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xr:revisionPtr revIDLastSave="0" documentId="11_83C85080BCC4BDEAF2CB93FD61A0156CD358A778" xr6:coauthVersionLast="47" xr6:coauthVersionMax="47" xr10:uidLastSave="{00000000-0000-0000-0000-000000000000}"/>
  <bookViews>
    <workbookView xWindow="5865" yWindow="795" windowWidth="21600" windowHeight="14025" xr2:uid="{00000000-000D-0000-FFFF-FFFF00000000}"/>
  </bookViews>
  <sheets>
    <sheet name="案件_全381件" sheetId="1" r:id="rId1"/>
    <sheet name="指標_全件縦持ち" sheetId="2" r:id="rId2"/>
    <sheet name="売上目標Box_全381件" sheetId="3" r:id="rId3"/>
    <sheet name="売上目標_年次縦持ち" sheetId="4" r:id="rId4"/>
    <sheet name="文章_全件原文" sheetId="5" r:id="rId5"/>
    <sheet name="Box_全ページ縦持ち" sheetId="6" r:id="rId6"/>
    <sheet name="その他Box_全件" sheetId="7" r:id="rId7"/>
    <sheet name="ページ原文_887頁" sheetId="8" r:id="rId8"/>
    <sheet name="確認ログ_全件" sheetId="9" r:id="rId9"/>
    <sheet name="主要4指標_全件検証" sheetId="10" r:id="rId10"/>
    <sheet name="読み方" sheetId="11" r:id="rId11"/>
  </sheets>
  <calcPr calcId="181029"/>
</workbook>
</file>

<file path=xl/calcChain.xml><?xml version="1.0" encoding="utf-8"?>
<calcChain xmlns="http://schemas.openxmlformats.org/spreadsheetml/2006/main">
  <c r="S1528" i="10" l="1"/>
  <c r="S1527" i="10"/>
  <c r="S1526" i="10"/>
  <c r="S1525" i="10"/>
  <c r="S1524" i="10"/>
  <c r="S1523" i="10"/>
  <c r="S1522" i="10"/>
  <c r="S1521" i="10"/>
  <c r="S1520" i="10"/>
  <c r="S1519" i="10"/>
  <c r="S1518" i="10"/>
  <c r="S1517" i="10"/>
  <c r="S1516" i="10"/>
  <c r="S1515" i="10"/>
  <c r="S1514" i="10"/>
  <c r="S1513" i="10"/>
  <c r="S1512" i="10"/>
  <c r="S1511" i="10"/>
  <c r="S1510" i="10"/>
  <c r="S1509" i="10"/>
  <c r="S1508" i="10"/>
  <c r="S1507" i="10"/>
  <c r="S1506" i="10"/>
  <c r="S1505" i="10"/>
  <c r="S1504" i="10"/>
  <c r="S1503" i="10"/>
  <c r="S1502" i="10"/>
  <c r="S1501" i="10"/>
  <c r="S1500" i="10"/>
  <c r="S1499" i="10"/>
  <c r="S1498" i="10"/>
  <c r="S1497" i="10"/>
  <c r="S1496" i="10"/>
  <c r="S1495" i="10"/>
  <c r="S1494" i="10"/>
  <c r="S1493" i="10"/>
  <c r="S1492" i="10"/>
  <c r="S1491" i="10"/>
  <c r="S1490" i="10"/>
  <c r="S1489" i="10"/>
  <c r="S1488" i="10"/>
  <c r="S1487" i="10"/>
  <c r="S1486" i="10"/>
  <c r="S1485" i="10"/>
  <c r="S1484" i="10"/>
  <c r="S1483" i="10"/>
  <c r="S1482" i="10"/>
  <c r="S1481" i="10"/>
  <c r="S1480" i="10"/>
  <c r="S1479" i="10"/>
  <c r="S1478" i="10"/>
  <c r="S1477" i="10"/>
  <c r="S1476" i="10"/>
  <c r="S1475" i="10"/>
  <c r="S1474" i="10"/>
  <c r="S1473" i="10"/>
  <c r="S1472" i="10"/>
  <c r="S1471" i="10"/>
  <c r="S1470" i="10"/>
  <c r="S1469" i="10"/>
  <c r="S1468" i="10"/>
  <c r="S1467" i="10"/>
  <c r="S1466" i="10"/>
  <c r="S1465" i="10"/>
  <c r="S1464" i="10"/>
  <c r="S1463" i="10"/>
  <c r="S1462" i="10"/>
  <c r="S1461" i="10"/>
  <c r="S1460" i="10"/>
  <c r="S1459" i="10"/>
  <c r="S1458" i="10"/>
  <c r="S1457" i="10"/>
  <c r="S1456" i="10"/>
  <c r="S1455" i="10"/>
  <c r="S1454" i="10"/>
  <c r="S1453" i="10"/>
  <c r="S1452" i="10"/>
  <c r="S1451" i="10"/>
  <c r="S1450" i="10"/>
  <c r="S1449" i="10"/>
  <c r="S1448" i="10"/>
  <c r="S1447" i="10"/>
  <c r="S1446" i="10"/>
  <c r="S1445" i="10"/>
  <c r="S1444" i="10"/>
  <c r="S1443" i="10"/>
  <c r="S1442" i="10"/>
  <c r="S1441" i="10"/>
  <c r="S1440" i="10"/>
  <c r="S1439" i="10"/>
  <c r="S1438" i="10"/>
  <c r="S1437" i="10"/>
  <c r="S1436" i="10"/>
  <c r="S1435" i="10"/>
  <c r="S1434" i="10"/>
  <c r="S1433" i="10"/>
  <c r="S1432" i="10"/>
  <c r="S1431" i="10"/>
  <c r="S1430" i="10"/>
  <c r="S1429" i="10"/>
  <c r="S1428" i="10"/>
  <c r="S1427" i="10"/>
  <c r="S1426" i="10"/>
  <c r="S1425" i="10"/>
  <c r="S1424" i="10"/>
  <c r="S1423" i="10"/>
  <c r="S1422" i="10"/>
  <c r="S1421" i="10"/>
  <c r="S1420" i="10"/>
  <c r="S1419" i="10"/>
  <c r="S1418" i="10"/>
  <c r="S1417" i="10"/>
  <c r="S1416" i="10"/>
  <c r="S1415" i="10"/>
  <c r="S1414" i="10"/>
  <c r="S1413" i="10"/>
  <c r="S1412" i="10"/>
  <c r="S1411" i="10"/>
  <c r="S1410" i="10"/>
  <c r="S1409" i="10"/>
  <c r="S1408" i="10"/>
  <c r="S1407" i="10"/>
  <c r="S1406" i="10"/>
  <c r="S1405" i="10"/>
  <c r="S1404" i="10"/>
  <c r="S1403" i="10"/>
  <c r="S1402" i="10"/>
  <c r="S1401" i="10"/>
  <c r="S1400" i="10"/>
  <c r="S1399" i="10"/>
  <c r="S1398" i="10"/>
  <c r="S1397" i="10"/>
  <c r="S1396" i="10"/>
  <c r="S1395" i="10"/>
  <c r="S1394" i="10"/>
  <c r="S1393" i="10"/>
  <c r="S1392" i="10"/>
  <c r="S1391" i="10"/>
  <c r="S1390" i="10"/>
  <c r="S1389" i="10"/>
  <c r="S1388" i="10"/>
  <c r="S1387" i="10"/>
  <c r="S1386" i="10"/>
  <c r="S1385" i="10"/>
  <c r="S1384" i="10"/>
  <c r="S1383" i="10"/>
  <c r="S1382" i="10"/>
  <c r="S1381" i="10"/>
  <c r="S1380" i="10"/>
  <c r="S1379" i="10"/>
  <c r="S1378" i="10"/>
  <c r="S1377" i="10"/>
  <c r="S1376" i="10"/>
  <c r="S1375" i="10"/>
  <c r="S1374" i="10"/>
  <c r="S1373" i="10"/>
  <c r="S1372" i="10"/>
  <c r="S1371" i="10"/>
  <c r="S1370" i="10"/>
  <c r="S1369" i="10"/>
  <c r="S1368" i="10"/>
  <c r="S1367" i="10"/>
  <c r="S1366" i="10"/>
  <c r="S1365" i="10"/>
  <c r="S1364" i="10"/>
  <c r="S1363" i="10"/>
  <c r="S1362" i="10"/>
  <c r="S1361" i="10"/>
  <c r="S1360" i="10"/>
  <c r="S1359" i="10"/>
  <c r="S1358" i="10"/>
  <c r="S1357" i="10"/>
  <c r="S1356" i="10"/>
  <c r="S1355" i="10"/>
  <c r="S1354" i="10"/>
  <c r="S1353" i="10"/>
  <c r="S1352" i="10"/>
  <c r="S1351" i="10"/>
  <c r="S1350" i="10"/>
  <c r="S1349" i="10"/>
  <c r="S1348" i="10"/>
  <c r="S1347" i="10"/>
  <c r="S1346" i="10"/>
  <c r="S1345" i="10"/>
  <c r="S1344" i="10"/>
  <c r="S1343" i="10"/>
  <c r="S1342" i="10"/>
  <c r="S1341" i="10"/>
  <c r="S1340" i="10"/>
  <c r="S1339" i="10"/>
  <c r="S1338" i="10"/>
  <c r="S1337" i="10"/>
  <c r="S1336" i="10"/>
  <c r="S1335" i="10"/>
  <c r="S1334" i="10"/>
  <c r="S1333" i="10"/>
  <c r="S1332" i="10"/>
  <c r="S1331" i="10"/>
  <c r="S1330" i="10"/>
  <c r="S1329" i="10"/>
  <c r="S1328" i="10"/>
  <c r="S1327" i="10"/>
  <c r="S1326" i="10"/>
  <c r="S1325" i="10"/>
  <c r="S1324" i="10"/>
  <c r="S1323" i="10"/>
  <c r="S1322" i="10"/>
  <c r="S1321" i="10"/>
  <c r="S1320" i="10"/>
  <c r="S1319" i="10"/>
  <c r="S1318" i="10"/>
  <c r="S1317" i="10"/>
  <c r="S1316" i="10"/>
  <c r="S1315" i="10"/>
  <c r="S1314" i="10"/>
  <c r="S1313" i="10"/>
  <c r="S1312" i="10"/>
  <c r="S1311" i="10"/>
  <c r="S1310" i="10"/>
  <c r="S1309" i="10"/>
  <c r="S1308" i="10"/>
  <c r="S1307" i="10"/>
  <c r="S1306" i="10"/>
  <c r="S1305" i="10"/>
  <c r="S1304" i="10"/>
  <c r="S1303" i="10"/>
  <c r="S1302" i="10"/>
  <c r="S1301" i="10"/>
  <c r="S1300" i="10"/>
  <c r="S1299" i="10"/>
  <c r="S1298" i="10"/>
  <c r="S1297" i="10"/>
  <c r="S1296" i="10"/>
  <c r="S1295" i="10"/>
  <c r="S1294" i="10"/>
  <c r="S1293" i="10"/>
  <c r="S1292" i="10"/>
  <c r="S1291" i="10"/>
  <c r="S1290" i="10"/>
  <c r="S1289" i="10"/>
  <c r="S1288" i="10"/>
  <c r="S1287" i="10"/>
  <c r="S1286" i="10"/>
  <c r="S1285" i="10"/>
  <c r="S1284" i="10"/>
  <c r="S1283" i="10"/>
  <c r="S1282" i="10"/>
  <c r="S1281" i="10"/>
  <c r="S1280" i="10"/>
  <c r="S1279" i="10"/>
  <c r="S1278" i="10"/>
  <c r="S1277" i="10"/>
  <c r="S1276" i="10"/>
  <c r="S1275" i="10"/>
  <c r="S1274" i="10"/>
  <c r="S1273" i="10"/>
  <c r="S1272" i="10"/>
  <c r="S1271" i="10"/>
  <c r="S1270" i="10"/>
  <c r="S1269" i="10"/>
  <c r="S1268" i="10"/>
  <c r="S1267" i="10"/>
  <c r="S1266" i="10"/>
  <c r="S1265" i="10"/>
  <c r="S1264" i="10"/>
  <c r="S1263" i="10"/>
  <c r="S1262" i="10"/>
  <c r="S1261" i="10"/>
  <c r="S1260" i="10"/>
  <c r="S1259" i="10"/>
  <c r="S1258" i="10"/>
  <c r="S1257" i="10"/>
  <c r="S1256" i="10"/>
  <c r="S1255" i="10"/>
  <c r="S1254" i="10"/>
  <c r="S1253" i="10"/>
  <c r="S1252" i="10"/>
  <c r="S1251" i="10"/>
  <c r="S1250" i="10"/>
  <c r="S1249" i="10"/>
  <c r="S1248" i="10"/>
  <c r="S1247" i="10"/>
  <c r="S1246" i="10"/>
  <c r="S1245" i="10"/>
  <c r="S1244" i="10"/>
  <c r="S1243" i="10"/>
  <c r="S1242" i="10"/>
  <c r="S1241" i="10"/>
  <c r="S1240" i="10"/>
  <c r="S1239" i="10"/>
  <c r="S1238" i="10"/>
  <c r="S1237" i="10"/>
  <c r="S1236" i="10"/>
  <c r="S1235" i="10"/>
  <c r="S1234" i="10"/>
  <c r="S1233" i="10"/>
  <c r="S1232" i="10"/>
  <c r="S1231" i="10"/>
  <c r="S1230" i="10"/>
  <c r="S1229" i="10"/>
  <c r="S1228" i="10"/>
  <c r="S1227" i="10"/>
  <c r="S1226" i="10"/>
  <c r="S1225" i="10"/>
  <c r="S1224" i="10"/>
  <c r="S1223" i="10"/>
  <c r="S1222" i="10"/>
  <c r="S1221" i="10"/>
  <c r="S1220" i="10"/>
  <c r="S1219" i="10"/>
  <c r="S1218" i="10"/>
  <c r="S1217" i="10"/>
  <c r="S1216" i="10"/>
  <c r="S1215" i="10"/>
  <c r="S1214" i="10"/>
  <c r="S1213" i="10"/>
  <c r="S1212" i="10"/>
  <c r="S1211" i="10"/>
  <c r="S1210" i="10"/>
  <c r="S1209" i="10"/>
  <c r="S1208" i="10"/>
  <c r="S1207" i="10"/>
  <c r="S1206" i="10"/>
  <c r="S1205" i="10"/>
  <c r="S1204" i="10"/>
  <c r="S1203" i="10"/>
  <c r="S1202" i="10"/>
  <c r="S1201" i="10"/>
  <c r="S1200" i="10"/>
  <c r="S1199" i="10"/>
  <c r="S1198" i="10"/>
  <c r="S1197" i="10"/>
  <c r="S1196" i="10"/>
  <c r="S1195" i="10"/>
  <c r="S1194" i="10"/>
  <c r="S1193" i="10"/>
  <c r="S1192" i="10"/>
  <c r="S1191" i="10"/>
  <c r="S1190" i="10"/>
  <c r="S1189" i="10"/>
  <c r="S1188" i="10"/>
  <c r="S1187" i="10"/>
  <c r="S1186" i="10"/>
  <c r="S1185" i="10"/>
  <c r="S1184" i="10"/>
  <c r="S1183" i="10"/>
  <c r="S1182" i="10"/>
  <c r="S1181" i="10"/>
  <c r="S1180" i="10"/>
  <c r="S1179" i="10"/>
  <c r="S1178" i="10"/>
  <c r="S1177" i="10"/>
  <c r="S1176" i="10"/>
  <c r="S1175" i="10"/>
  <c r="S1174" i="10"/>
  <c r="S1173" i="10"/>
  <c r="S1172" i="10"/>
  <c r="S1171" i="10"/>
  <c r="S1170" i="10"/>
  <c r="S1169" i="10"/>
  <c r="S1168" i="10"/>
  <c r="S1167" i="10"/>
  <c r="S1166" i="10"/>
  <c r="S1165" i="10"/>
  <c r="S1164" i="10"/>
  <c r="S1163" i="10"/>
  <c r="S1162" i="10"/>
  <c r="S1161" i="10"/>
  <c r="S1160" i="10"/>
  <c r="S1159" i="10"/>
  <c r="S1158" i="10"/>
  <c r="S1157" i="10"/>
  <c r="S1156" i="10"/>
  <c r="S1155" i="10"/>
  <c r="S1154" i="10"/>
  <c r="S1153" i="10"/>
  <c r="S1152" i="10"/>
  <c r="S1151" i="10"/>
  <c r="S1150" i="10"/>
  <c r="S1149" i="10"/>
  <c r="S1148" i="10"/>
  <c r="S1147" i="10"/>
  <c r="S1146" i="10"/>
  <c r="S1145" i="10"/>
  <c r="S1144" i="10"/>
  <c r="S1143" i="10"/>
  <c r="S1142" i="10"/>
  <c r="S1141" i="10"/>
  <c r="S1140" i="10"/>
  <c r="S1139" i="10"/>
  <c r="S1138" i="10"/>
  <c r="S1137" i="10"/>
  <c r="S1136" i="10"/>
  <c r="S1135" i="10"/>
  <c r="S1134" i="10"/>
  <c r="S1133" i="10"/>
  <c r="S1132" i="10"/>
  <c r="S1131" i="10"/>
  <c r="S1130" i="10"/>
  <c r="S1129" i="10"/>
  <c r="S1128" i="10"/>
  <c r="S1127" i="10"/>
  <c r="S1126" i="10"/>
  <c r="S1125" i="10"/>
  <c r="S1124" i="10"/>
  <c r="S1123" i="10"/>
  <c r="S1122" i="10"/>
  <c r="S1121" i="10"/>
  <c r="S1120" i="10"/>
  <c r="S1119" i="10"/>
  <c r="S1118" i="10"/>
  <c r="S1117" i="10"/>
  <c r="S1116" i="10"/>
  <c r="S1115" i="10"/>
  <c r="S1114" i="10"/>
  <c r="S1113" i="10"/>
  <c r="S1112" i="10"/>
  <c r="S1111" i="10"/>
  <c r="S1110" i="10"/>
  <c r="S1109" i="10"/>
  <c r="S1108" i="10"/>
  <c r="S1107" i="10"/>
  <c r="S1106" i="10"/>
  <c r="S1105" i="10"/>
  <c r="S1104" i="10"/>
  <c r="S1103" i="10"/>
  <c r="S1102" i="10"/>
  <c r="S1101" i="10"/>
  <c r="S1100" i="10"/>
  <c r="S1099" i="10"/>
  <c r="S1098" i="10"/>
  <c r="S1097" i="10"/>
  <c r="S1096" i="10"/>
  <c r="S1095" i="10"/>
  <c r="S1094" i="10"/>
  <c r="S1093" i="10"/>
  <c r="S1092" i="10"/>
  <c r="S1091" i="10"/>
  <c r="S1090" i="10"/>
  <c r="S1089" i="10"/>
  <c r="S1088" i="10"/>
  <c r="S1087" i="10"/>
  <c r="S1086" i="10"/>
  <c r="S1085" i="10"/>
  <c r="S1084" i="10"/>
  <c r="S1083" i="10"/>
  <c r="S1082" i="10"/>
  <c r="S1081" i="10"/>
  <c r="S1080" i="10"/>
  <c r="S1079" i="10"/>
  <c r="S1078" i="10"/>
  <c r="S1077" i="10"/>
  <c r="S1076" i="10"/>
  <c r="S1075" i="10"/>
  <c r="S1074" i="10"/>
  <c r="S1073" i="10"/>
  <c r="S1072" i="10"/>
  <c r="S1071" i="10"/>
  <c r="S1070" i="10"/>
  <c r="S1069" i="10"/>
  <c r="S1068" i="10"/>
  <c r="S1067" i="10"/>
  <c r="S1066" i="10"/>
  <c r="S1065" i="10"/>
  <c r="S1064" i="10"/>
  <c r="S1063" i="10"/>
  <c r="S1062" i="10"/>
  <c r="S1061" i="10"/>
  <c r="S1060" i="10"/>
  <c r="S1059" i="10"/>
  <c r="S1058" i="10"/>
  <c r="S1057" i="10"/>
  <c r="S1056" i="10"/>
  <c r="S1055" i="10"/>
  <c r="S1054" i="10"/>
  <c r="S1053" i="10"/>
  <c r="S1052" i="10"/>
  <c r="S1051" i="10"/>
  <c r="S1050" i="10"/>
  <c r="S1049" i="10"/>
  <c r="S1048" i="10"/>
  <c r="S1047" i="10"/>
  <c r="S1046" i="10"/>
  <c r="S1045" i="10"/>
  <c r="S1044" i="10"/>
  <c r="S1043" i="10"/>
  <c r="S1042" i="10"/>
  <c r="S1041" i="10"/>
  <c r="S1040" i="10"/>
  <c r="S1039" i="10"/>
  <c r="S1038" i="10"/>
  <c r="S1037" i="10"/>
  <c r="S1036" i="10"/>
  <c r="S1035" i="10"/>
  <c r="S1034" i="10"/>
  <c r="S1033" i="10"/>
  <c r="S1032" i="10"/>
  <c r="S1031" i="10"/>
  <c r="S1030" i="10"/>
  <c r="S1029" i="10"/>
  <c r="S1028" i="10"/>
  <c r="S1027" i="10"/>
  <c r="S1026" i="10"/>
  <c r="S1025" i="10"/>
  <c r="S1024" i="10"/>
  <c r="S1023" i="10"/>
  <c r="S1022" i="10"/>
  <c r="S1021" i="10"/>
  <c r="S1020" i="10"/>
  <c r="S1019" i="10"/>
  <c r="S1018" i="10"/>
  <c r="S1017" i="10"/>
  <c r="S1016" i="10"/>
  <c r="S1015" i="10"/>
  <c r="S1014" i="10"/>
  <c r="S1013" i="10"/>
  <c r="S1012" i="10"/>
  <c r="S1011" i="10"/>
  <c r="S1010" i="10"/>
  <c r="S1009" i="10"/>
  <c r="S1008" i="10"/>
  <c r="S1007" i="10"/>
  <c r="S1006" i="10"/>
  <c r="S1005" i="10"/>
  <c r="S1004" i="10"/>
  <c r="S1003" i="10"/>
  <c r="S1002" i="10"/>
  <c r="S1001" i="10"/>
  <c r="S1000" i="10"/>
  <c r="S999" i="10"/>
  <c r="S998" i="10"/>
  <c r="S997" i="10"/>
  <c r="S996" i="10"/>
  <c r="S995" i="10"/>
  <c r="S994" i="10"/>
  <c r="S993" i="10"/>
  <c r="S992" i="10"/>
  <c r="S991" i="10"/>
  <c r="S990" i="10"/>
  <c r="S989" i="10"/>
  <c r="S988" i="10"/>
  <c r="S987" i="10"/>
  <c r="S986" i="10"/>
  <c r="S985" i="10"/>
  <c r="S984" i="10"/>
  <c r="S983" i="10"/>
  <c r="S982" i="10"/>
  <c r="S981" i="10"/>
  <c r="S980" i="10"/>
  <c r="S979" i="10"/>
  <c r="S978" i="10"/>
  <c r="S977" i="10"/>
  <c r="S976" i="10"/>
  <c r="S975" i="10"/>
  <c r="S974" i="10"/>
  <c r="S973" i="10"/>
  <c r="S972" i="10"/>
  <c r="S971" i="10"/>
  <c r="S970" i="10"/>
  <c r="S969" i="10"/>
  <c r="S968" i="10"/>
  <c r="S967" i="10"/>
  <c r="S966" i="10"/>
  <c r="S965" i="10"/>
  <c r="S964" i="10"/>
  <c r="S963" i="10"/>
  <c r="S962" i="10"/>
  <c r="S961" i="10"/>
  <c r="S960" i="10"/>
  <c r="S959" i="10"/>
  <c r="S958" i="10"/>
  <c r="S957" i="10"/>
  <c r="S956" i="10"/>
  <c r="S955" i="10"/>
  <c r="S954" i="10"/>
  <c r="S953" i="10"/>
  <c r="S952" i="10"/>
  <c r="S951" i="10"/>
  <c r="S950" i="10"/>
  <c r="S949" i="10"/>
  <c r="S948" i="10"/>
  <c r="S947" i="10"/>
  <c r="S946" i="10"/>
  <c r="S945" i="10"/>
  <c r="S944" i="10"/>
  <c r="S943" i="10"/>
  <c r="S942" i="10"/>
  <c r="S941" i="10"/>
  <c r="S940" i="10"/>
  <c r="S939" i="10"/>
  <c r="S938" i="10"/>
  <c r="S937" i="10"/>
  <c r="S936" i="10"/>
  <c r="S935" i="10"/>
  <c r="S934" i="10"/>
  <c r="S933" i="10"/>
  <c r="S932" i="10"/>
  <c r="S931" i="10"/>
  <c r="S930" i="10"/>
  <c r="S929" i="10"/>
  <c r="S928" i="10"/>
  <c r="S927" i="10"/>
  <c r="S926" i="10"/>
  <c r="S925" i="10"/>
  <c r="S924" i="10"/>
  <c r="S923" i="10"/>
  <c r="S922" i="10"/>
  <c r="S921" i="10"/>
  <c r="S920" i="10"/>
  <c r="S919" i="10"/>
  <c r="S918" i="10"/>
  <c r="S917" i="10"/>
  <c r="S916" i="10"/>
  <c r="S915" i="10"/>
  <c r="S914" i="10"/>
  <c r="S913" i="10"/>
  <c r="S912" i="10"/>
  <c r="S911" i="10"/>
  <c r="S910" i="10"/>
  <c r="S909" i="10"/>
  <c r="S908" i="10"/>
  <c r="S907" i="10"/>
  <c r="S906" i="10"/>
  <c r="S905" i="10"/>
  <c r="S904" i="10"/>
  <c r="S903" i="10"/>
  <c r="S902" i="10"/>
  <c r="S901" i="10"/>
  <c r="S900" i="10"/>
  <c r="S899" i="10"/>
  <c r="S898" i="10"/>
  <c r="S897" i="10"/>
  <c r="S896" i="10"/>
  <c r="S895" i="10"/>
  <c r="S894" i="10"/>
  <c r="S893" i="10"/>
  <c r="S892" i="10"/>
  <c r="S891" i="10"/>
  <c r="S890" i="10"/>
  <c r="S889" i="10"/>
  <c r="S888" i="10"/>
  <c r="S887" i="10"/>
  <c r="S886" i="10"/>
  <c r="S885" i="10"/>
  <c r="S884" i="10"/>
  <c r="S883" i="10"/>
  <c r="S882" i="10"/>
  <c r="S881" i="10"/>
  <c r="S880" i="10"/>
  <c r="S879" i="10"/>
  <c r="S878" i="10"/>
  <c r="S877" i="10"/>
  <c r="S876" i="10"/>
  <c r="S875" i="10"/>
  <c r="S874" i="10"/>
  <c r="S873" i="10"/>
  <c r="S872" i="10"/>
  <c r="S871" i="10"/>
  <c r="S870" i="10"/>
  <c r="S869" i="10"/>
  <c r="S868" i="10"/>
  <c r="S867" i="10"/>
  <c r="S866" i="10"/>
  <c r="S865" i="10"/>
  <c r="S864" i="10"/>
  <c r="S863" i="10"/>
  <c r="S862" i="10"/>
  <c r="S861" i="10"/>
  <c r="S860" i="10"/>
  <c r="S859" i="10"/>
  <c r="S858" i="10"/>
  <c r="S857" i="10"/>
  <c r="S856" i="10"/>
  <c r="S855" i="10"/>
  <c r="S854" i="10"/>
  <c r="S853" i="10"/>
  <c r="S852" i="10"/>
  <c r="S851" i="10"/>
  <c r="S850" i="10"/>
  <c r="S849" i="10"/>
  <c r="S848" i="10"/>
  <c r="S847" i="10"/>
  <c r="S846" i="10"/>
  <c r="S845" i="10"/>
  <c r="S844" i="10"/>
  <c r="S843" i="10"/>
  <c r="S842" i="10"/>
  <c r="S841" i="10"/>
  <c r="S840" i="10"/>
  <c r="S839" i="10"/>
  <c r="S838" i="10"/>
  <c r="S837" i="10"/>
  <c r="S836" i="10"/>
  <c r="S835" i="10"/>
  <c r="S834" i="10"/>
  <c r="S833" i="10"/>
  <c r="S832" i="10"/>
  <c r="S831" i="10"/>
  <c r="S830" i="10"/>
  <c r="S829" i="10"/>
  <c r="S828" i="10"/>
  <c r="S827" i="10"/>
  <c r="S826" i="10"/>
  <c r="S825" i="10"/>
  <c r="S824" i="10"/>
  <c r="S823" i="10"/>
  <c r="S822" i="10"/>
  <c r="S821" i="10"/>
  <c r="S820" i="10"/>
  <c r="S819" i="10"/>
  <c r="S818" i="10"/>
  <c r="S817" i="10"/>
  <c r="S816" i="10"/>
  <c r="S815" i="10"/>
  <c r="S814" i="10"/>
  <c r="S813" i="10"/>
  <c r="S812" i="10"/>
  <c r="S811" i="10"/>
  <c r="S810" i="10"/>
  <c r="S809" i="10"/>
  <c r="S808" i="10"/>
  <c r="S807" i="10"/>
  <c r="S806" i="10"/>
  <c r="S805" i="10"/>
  <c r="S804" i="10"/>
  <c r="S803" i="10"/>
  <c r="S802" i="10"/>
  <c r="S801" i="10"/>
  <c r="S800" i="10"/>
  <c r="S799" i="10"/>
  <c r="S798" i="10"/>
  <c r="S797" i="10"/>
  <c r="S796" i="10"/>
  <c r="S795" i="10"/>
  <c r="S794" i="10"/>
  <c r="S793" i="10"/>
  <c r="S792" i="10"/>
  <c r="S791" i="10"/>
  <c r="S790" i="10"/>
  <c r="S789" i="10"/>
  <c r="S788" i="10"/>
  <c r="S787" i="10"/>
  <c r="S786" i="10"/>
  <c r="S785" i="10"/>
  <c r="S784" i="10"/>
  <c r="S783" i="10"/>
  <c r="S782" i="10"/>
  <c r="S781" i="10"/>
  <c r="S780" i="10"/>
  <c r="S779" i="10"/>
  <c r="S778" i="10"/>
  <c r="S777" i="10"/>
  <c r="S776" i="10"/>
  <c r="S775" i="10"/>
  <c r="S774" i="10"/>
  <c r="S773" i="10"/>
  <c r="S772" i="10"/>
  <c r="S771" i="10"/>
  <c r="S770" i="10"/>
  <c r="S769" i="10"/>
  <c r="S768" i="10"/>
  <c r="S767" i="10"/>
  <c r="S766" i="10"/>
  <c r="S765" i="10"/>
  <c r="S764" i="10"/>
  <c r="S763" i="10"/>
  <c r="S762" i="10"/>
  <c r="S761" i="10"/>
  <c r="S760" i="10"/>
  <c r="S759" i="10"/>
  <c r="S758" i="10"/>
  <c r="S757" i="10"/>
  <c r="S756" i="10"/>
  <c r="S755" i="10"/>
  <c r="S754" i="10"/>
  <c r="S753" i="10"/>
  <c r="S752" i="10"/>
  <c r="S751" i="10"/>
  <c r="S750" i="10"/>
  <c r="S749" i="10"/>
  <c r="S748" i="10"/>
  <c r="S747" i="10"/>
  <c r="S746" i="10"/>
  <c r="S745" i="10"/>
  <c r="S744" i="10"/>
  <c r="S743" i="10"/>
  <c r="S742" i="10"/>
  <c r="S741" i="10"/>
  <c r="S740" i="10"/>
  <c r="S739" i="10"/>
  <c r="S738" i="10"/>
  <c r="S737" i="10"/>
  <c r="S736" i="10"/>
  <c r="S735" i="10"/>
  <c r="S734" i="10"/>
  <c r="S733" i="10"/>
  <c r="S732" i="10"/>
  <c r="S731" i="10"/>
  <c r="S730" i="10"/>
  <c r="S729" i="10"/>
  <c r="S728" i="10"/>
  <c r="S727" i="10"/>
  <c r="S726" i="10"/>
  <c r="S725" i="10"/>
  <c r="S724" i="10"/>
  <c r="S723" i="10"/>
  <c r="S722" i="10"/>
  <c r="S721" i="10"/>
  <c r="S720" i="10"/>
  <c r="S719" i="10"/>
  <c r="S718" i="10"/>
  <c r="S717" i="10"/>
  <c r="S716" i="10"/>
  <c r="S715" i="10"/>
  <c r="S714" i="10"/>
  <c r="S713" i="10"/>
  <c r="S712" i="10"/>
  <c r="S711" i="10"/>
  <c r="S710" i="10"/>
  <c r="S709" i="10"/>
  <c r="S708" i="10"/>
  <c r="S707" i="10"/>
  <c r="S706" i="10"/>
  <c r="S705" i="10"/>
  <c r="S704" i="10"/>
  <c r="S703" i="10"/>
  <c r="S702" i="10"/>
  <c r="S701" i="10"/>
  <c r="S700" i="10"/>
  <c r="S699" i="10"/>
  <c r="S698" i="10"/>
  <c r="S697" i="10"/>
  <c r="S696" i="10"/>
  <c r="S695" i="10"/>
  <c r="S694" i="10"/>
  <c r="S693" i="10"/>
  <c r="S692" i="10"/>
  <c r="S691" i="10"/>
  <c r="S690" i="10"/>
  <c r="S689" i="10"/>
  <c r="S688" i="10"/>
  <c r="S687" i="10"/>
  <c r="S686" i="10"/>
  <c r="S685" i="10"/>
  <c r="S684" i="10"/>
  <c r="S683" i="10"/>
  <c r="S682" i="10"/>
  <c r="S681" i="10"/>
  <c r="S680" i="10"/>
  <c r="S679" i="10"/>
  <c r="S678" i="10"/>
  <c r="S677" i="10"/>
  <c r="S676" i="10"/>
  <c r="S675" i="10"/>
  <c r="S674" i="10"/>
  <c r="S673" i="10"/>
  <c r="S672" i="10"/>
  <c r="S671" i="10"/>
  <c r="S670" i="10"/>
  <c r="S669" i="10"/>
  <c r="S668" i="10"/>
  <c r="S667" i="10"/>
  <c r="S666" i="10"/>
  <c r="S665" i="10"/>
  <c r="S664" i="10"/>
  <c r="S663" i="10"/>
  <c r="S662" i="10"/>
  <c r="S661" i="10"/>
  <c r="S660" i="10"/>
  <c r="S659" i="10"/>
  <c r="S658" i="10"/>
  <c r="S657" i="10"/>
  <c r="S656" i="10"/>
  <c r="S655" i="10"/>
  <c r="S654" i="10"/>
  <c r="S653" i="10"/>
  <c r="S652" i="10"/>
  <c r="S651" i="10"/>
  <c r="S650" i="10"/>
  <c r="S649" i="10"/>
  <c r="S648" i="10"/>
  <c r="S647" i="10"/>
  <c r="S646" i="10"/>
  <c r="S645" i="10"/>
  <c r="S644" i="10"/>
  <c r="S643" i="10"/>
  <c r="S642" i="10"/>
  <c r="S641" i="10"/>
  <c r="S640" i="10"/>
  <c r="S639" i="10"/>
  <c r="S638" i="10"/>
  <c r="S637" i="10"/>
  <c r="S636" i="10"/>
  <c r="S635" i="10"/>
  <c r="S634" i="10"/>
  <c r="S633" i="10"/>
  <c r="S632" i="10"/>
  <c r="S631" i="10"/>
  <c r="S630" i="10"/>
  <c r="S629" i="10"/>
  <c r="S628" i="10"/>
  <c r="S627" i="10"/>
  <c r="S626" i="10"/>
  <c r="S625" i="10"/>
  <c r="S624" i="10"/>
  <c r="S623" i="10"/>
  <c r="S622" i="10"/>
  <c r="S621" i="10"/>
  <c r="S620" i="10"/>
  <c r="S619" i="10"/>
  <c r="S618" i="10"/>
  <c r="S617" i="10"/>
  <c r="S616" i="10"/>
  <c r="S615" i="10"/>
  <c r="S614" i="10"/>
  <c r="S613" i="10"/>
  <c r="S612" i="10"/>
  <c r="S611" i="10"/>
  <c r="S610" i="10"/>
  <c r="S609" i="10"/>
  <c r="S608" i="10"/>
  <c r="S607" i="10"/>
  <c r="S606" i="10"/>
  <c r="S605" i="10"/>
  <c r="S604" i="10"/>
  <c r="S603" i="10"/>
  <c r="S602" i="10"/>
  <c r="S601" i="10"/>
  <c r="S600" i="10"/>
  <c r="S599" i="10"/>
  <c r="S598" i="10"/>
  <c r="S597" i="10"/>
  <c r="S596" i="10"/>
  <c r="S595" i="10"/>
  <c r="S594" i="10"/>
  <c r="S593" i="10"/>
  <c r="S592" i="10"/>
  <c r="S591" i="10"/>
  <c r="S590" i="10"/>
  <c r="S589" i="10"/>
  <c r="S588" i="10"/>
  <c r="S587" i="10"/>
  <c r="S586" i="10"/>
  <c r="S585" i="10"/>
  <c r="S584" i="10"/>
  <c r="S583" i="10"/>
  <c r="S582" i="10"/>
  <c r="S581" i="10"/>
  <c r="S580" i="10"/>
  <c r="S579" i="10"/>
  <c r="S578" i="10"/>
  <c r="S577" i="10"/>
  <c r="S576" i="10"/>
  <c r="S575" i="10"/>
  <c r="S574" i="10"/>
  <c r="S573" i="10"/>
  <c r="S572" i="10"/>
  <c r="S571" i="10"/>
  <c r="S570" i="10"/>
  <c r="S569" i="10"/>
  <c r="S568" i="10"/>
  <c r="S567" i="10"/>
  <c r="S566" i="10"/>
  <c r="S565" i="10"/>
  <c r="S564" i="10"/>
  <c r="S563" i="10"/>
  <c r="S562" i="10"/>
  <c r="S561" i="10"/>
  <c r="S560" i="10"/>
  <c r="S559" i="10"/>
  <c r="S558" i="10"/>
  <c r="S557" i="10"/>
  <c r="S556" i="10"/>
  <c r="S555" i="10"/>
  <c r="S554" i="10"/>
  <c r="S553" i="10"/>
  <c r="S552" i="10"/>
  <c r="S551" i="10"/>
  <c r="S550" i="10"/>
  <c r="S549" i="10"/>
  <c r="S548" i="10"/>
  <c r="S547" i="10"/>
  <c r="S546" i="10"/>
  <c r="S545" i="10"/>
  <c r="S544" i="10"/>
  <c r="S543" i="10"/>
  <c r="S542" i="10"/>
  <c r="S541" i="10"/>
  <c r="S540" i="10"/>
  <c r="S539" i="10"/>
  <c r="S538" i="10"/>
  <c r="S537" i="10"/>
  <c r="S536" i="10"/>
  <c r="S535" i="10"/>
  <c r="S534" i="10"/>
  <c r="S533" i="10"/>
  <c r="S532" i="10"/>
  <c r="S531" i="10"/>
  <c r="S530" i="10"/>
  <c r="S529" i="10"/>
  <c r="S528" i="10"/>
  <c r="S527" i="10"/>
  <c r="S526" i="10"/>
  <c r="S525" i="10"/>
  <c r="S524" i="10"/>
  <c r="S523" i="10"/>
  <c r="S522" i="10"/>
  <c r="S521" i="10"/>
  <c r="S520" i="10"/>
  <c r="S519" i="10"/>
  <c r="S518" i="10"/>
  <c r="S517" i="10"/>
  <c r="S516" i="10"/>
  <c r="S515" i="10"/>
  <c r="S514" i="10"/>
  <c r="S513" i="10"/>
  <c r="S512" i="10"/>
  <c r="S511" i="10"/>
  <c r="S510" i="10"/>
  <c r="S509" i="10"/>
  <c r="S508" i="10"/>
  <c r="S507" i="10"/>
  <c r="S506" i="10"/>
  <c r="S505" i="10"/>
  <c r="S504" i="10"/>
  <c r="S503" i="10"/>
  <c r="S502" i="10"/>
  <c r="S501" i="10"/>
  <c r="S500" i="10"/>
  <c r="S499" i="10"/>
  <c r="S498" i="10"/>
  <c r="S497" i="10"/>
  <c r="S496" i="10"/>
  <c r="S495" i="10"/>
  <c r="S494" i="10"/>
  <c r="S493" i="10"/>
  <c r="S492" i="10"/>
  <c r="S491" i="10"/>
  <c r="S490" i="10"/>
  <c r="S489" i="10"/>
  <c r="S488" i="10"/>
  <c r="S487" i="10"/>
  <c r="S486" i="10"/>
  <c r="S485" i="10"/>
  <c r="S484" i="10"/>
  <c r="S483" i="10"/>
  <c r="S482" i="10"/>
  <c r="S481" i="10"/>
  <c r="S480" i="10"/>
  <c r="S479" i="10"/>
  <c r="S478" i="10"/>
  <c r="S477" i="10"/>
  <c r="S476" i="10"/>
  <c r="S475" i="10"/>
  <c r="S474" i="10"/>
  <c r="S473" i="10"/>
  <c r="S472" i="10"/>
  <c r="S471" i="10"/>
  <c r="S470" i="10"/>
  <c r="S469" i="10"/>
  <c r="S468" i="10"/>
  <c r="S467" i="10"/>
  <c r="S466" i="10"/>
  <c r="S465" i="10"/>
  <c r="S464" i="10"/>
  <c r="S463" i="10"/>
  <c r="S462" i="10"/>
  <c r="S461" i="10"/>
  <c r="S460" i="10"/>
  <c r="S459" i="10"/>
  <c r="S458" i="10"/>
  <c r="S457" i="10"/>
  <c r="S456" i="10"/>
  <c r="S455" i="10"/>
  <c r="S454" i="10"/>
  <c r="S453" i="10"/>
  <c r="S452" i="10"/>
  <c r="S451" i="10"/>
  <c r="S450" i="10"/>
  <c r="S449" i="10"/>
  <c r="S448" i="10"/>
  <c r="S447" i="10"/>
  <c r="S446" i="10"/>
  <c r="S445" i="10"/>
  <c r="S444" i="10"/>
  <c r="S443" i="10"/>
  <c r="S442" i="10"/>
  <c r="S441" i="10"/>
  <c r="S440" i="10"/>
  <c r="S439" i="10"/>
  <c r="S438" i="10"/>
  <c r="S437" i="10"/>
  <c r="S436" i="10"/>
  <c r="S435" i="10"/>
  <c r="S434" i="10"/>
  <c r="S433" i="10"/>
  <c r="S432" i="10"/>
  <c r="S431" i="10"/>
  <c r="S430" i="10"/>
  <c r="S429" i="10"/>
  <c r="S428" i="10"/>
  <c r="S427" i="10"/>
  <c r="S426" i="10"/>
  <c r="S425" i="10"/>
  <c r="S424" i="10"/>
  <c r="S423" i="10"/>
  <c r="S422" i="10"/>
  <c r="S421" i="10"/>
  <c r="S420" i="10"/>
  <c r="S419" i="10"/>
  <c r="S418" i="10"/>
  <c r="S417" i="10"/>
  <c r="S416" i="10"/>
  <c r="S415" i="10"/>
  <c r="S414" i="10"/>
  <c r="S413" i="10"/>
  <c r="S412" i="10"/>
  <c r="S411" i="10"/>
  <c r="S410" i="10"/>
  <c r="S409" i="10"/>
  <c r="S408" i="10"/>
  <c r="S407" i="10"/>
  <c r="S406" i="10"/>
  <c r="S405" i="10"/>
  <c r="S404" i="10"/>
  <c r="S403" i="10"/>
  <c r="S402" i="10"/>
  <c r="S401" i="10"/>
  <c r="S400" i="10"/>
  <c r="S399" i="10"/>
  <c r="S398" i="10"/>
  <c r="S397" i="10"/>
  <c r="S396" i="10"/>
  <c r="S395" i="10"/>
  <c r="S394" i="10"/>
  <c r="S393" i="10"/>
  <c r="S392" i="10"/>
  <c r="S391" i="10"/>
  <c r="S390" i="10"/>
  <c r="S389" i="10"/>
  <c r="S388" i="10"/>
  <c r="S387" i="10"/>
  <c r="S386" i="10"/>
  <c r="S385" i="10"/>
  <c r="S384" i="10"/>
  <c r="S383" i="10"/>
  <c r="S382" i="10"/>
  <c r="S381" i="10"/>
  <c r="S380" i="10"/>
  <c r="S379" i="10"/>
  <c r="S378" i="10"/>
  <c r="S377" i="10"/>
  <c r="S376" i="10"/>
  <c r="S375" i="10"/>
  <c r="S374" i="10"/>
  <c r="S373" i="10"/>
  <c r="S372" i="10"/>
  <c r="S371" i="10"/>
  <c r="S370" i="10"/>
  <c r="S369" i="10"/>
  <c r="S368" i="10"/>
  <c r="S367" i="10"/>
  <c r="S366" i="10"/>
  <c r="S365" i="10"/>
  <c r="S364" i="10"/>
  <c r="S363" i="10"/>
  <c r="S362" i="10"/>
  <c r="S361" i="10"/>
  <c r="S360" i="10"/>
  <c r="S359" i="10"/>
  <c r="S358" i="10"/>
  <c r="S357" i="10"/>
  <c r="S356" i="10"/>
  <c r="S355" i="10"/>
  <c r="S354" i="10"/>
  <c r="S353" i="10"/>
  <c r="S352" i="10"/>
  <c r="S351" i="10"/>
  <c r="S350" i="10"/>
  <c r="S349" i="10"/>
  <c r="S348" i="10"/>
  <c r="S347" i="10"/>
  <c r="S346" i="10"/>
  <c r="S345" i="10"/>
  <c r="S344" i="10"/>
  <c r="S343" i="10"/>
  <c r="S342" i="10"/>
  <c r="S341" i="10"/>
  <c r="S340" i="10"/>
  <c r="S339" i="10"/>
  <c r="S338" i="10"/>
  <c r="S337" i="10"/>
  <c r="S336" i="10"/>
  <c r="S335" i="10"/>
  <c r="S334" i="10"/>
  <c r="S333" i="10"/>
  <c r="S332" i="10"/>
  <c r="S331" i="10"/>
  <c r="S330" i="10"/>
  <c r="S329" i="10"/>
  <c r="S328" i="10"/>
  <c r="S327" i="10"/>
  <c r="S326" i="10"/>
  <c r="S325" i="10"/>
  <c r="S324" i="10"/>
  <c r="S323" i="10"/>
  <c r="S322" i="10"/>
  <c r="S321" i="10"/>
  <c r="S320" i="10"/>
  <c r="S319" i="10"/>
  <c r="S318" i="10"/>
  <c r="S317" i="10"/>
  <c r="S316" i="10"/>
  <c r="S315" i="10"/>
  <c r="S314" i="10"/>
  <c r="S313" i="10"/>
  <c r="S312" i="10"/>
  <c r="S311" i="10"/>
  <c r="S310" i="10"/>
  <c r="S309" i="10"/>
  <c r="S308" i="10"/>
  <c r="S307" i="10"/>
  <c r="S306" i="10"/>
  <c r="S305" i="10"/>
  <c r="S304" i="10"/>
  <c r="S303" i="10"/>
  <c r="S302" i="10"/>
  <c r="S301" i="10"/>
  <c r="S300" i="10"/>
  <c r="S299" i="10"/>
  <c r="S298" i="10"/>
  <c r="S297" i="10"/>
  <c r="S296" i="10"/>
  <c r="S295" i="10"/>
  <c r="S294" i="10"/>
  <c r="S293" i="10"/>
  <c r="S292" i="10"/>
  <c r="S291" i="10"/>
  <c r="S290" i="10"/>
  <c r="S289" i="10"/>
  <c r="S288" i="10"/>
  <c r="S287" i="10"/>
  <c r="S286" i="10"/>
  <c r="S285" i="10"/>
  <c r="S284" i="10"/>
  <c r="S283" i="10"/>
  <c r="S282" i="10"/>
  <c r="S281" i="10"/>
  <c r="S280" i="10"/>
  <c r="S279" i="10"/>
  <c r="S278" i="10"/>
  <c r="S277" i="10"/>
  <c r="S276" i="10"/>
  <c r="S275" i="10"/>
  <c r="S274" i="10"/>
  <c r="S273" i="10"/>
  <c r="S272" i="10"/>
  <c r="S271" i="10"/>
  <c r="S270" i="10"/>
  <c r="S269" i="10"/>
  <c r="S268" i="10"/>
  <c r="S267" i="10"/>
  <c r="S266" i="10"/>
  <c r="S265" i="10"/>
  <c r="S264" i="10"/>
  <c r="S263" i="10"/>
  <c r="S262" i="10"/>
  <c r="S261" i="10"/>
  <c r="S260" i="10"/>
  <c r="S259" i="10"/>
  <c r="S258" i="10"/>
  <c r="S257" i="10"/>
  <c r="S256" i="10"/>
  <c r="S255" i="10"/>
  <c r="S254" i="10"/>
  <c r="S253" i="10"/>
  <c r="S252" i="10"/>
  <c r="S251" i="10"/>
  <c r="S250" i="10"/>
  <c r="S249" i="10"/>
  <c r="S248" i="10"/>
  <c r="S247" i="10"/>
  <c r="S246" i="10"/>
  <c r="S245" i="10"/>
  <c r="S244" i="10"/>
  <c r="S243" i="10"/>
  <c r="S242" i="10"/>
  <c r="S241" i="10"/>
  <c r="S240" i="10"/>
  <c r="S239" i="10"/>
  <c r="S238" i="10"/>
  <c r="S237" i="10"/>
  <c r="S236" i="10"/>
  <c r="S235" i="10"/>
  <c r="S234" i="10"/>
  <c r="S233" i="10"/>
  <c r="S232" i="10"/>
  <c r="S231" i="10"/>
  <c r="S230" i="10"/>
  <c r="S229" i="10"/>
  <c r="S228" i="10"/>
  <c r="S227" i="10"/>
  <c r="S226" i="10"/>
  <c r="S225" i="10"/>
  <c r="S224" i="10"/>
  <c r="S223" i="10"/>
  <c r="S222" i="10"/>
  <c r="S221" i="10"/>
  <c r="S220" i="10"/>
  <c r="S219" i="10"/>
  <c r="S218" i="10"/>
  <c r="S217" i="10"/>
  <c r="S216" i="10"/>
  <c r="S215" i="10"/>
  <c r="S214" i="10"/>
  <c r="S213" i="10"/>
  <c r="S212" i="10"/>
  <c r="S211" i="10"/>
  <c r="S210" i="10"/>
  <c r="S209" i="10"/>
  <c r="S208" i="10"/>
  <c r="S207" i="10"/>
  <c r="S206" i="10"/>
  <c r="S205" i="10"/>
  <c r="S204" i="10"/>
  <c r="S203" i="10"/>
  <c r="S202" i="10"/>
  <c r="S201" i="10"/>
  <c r="S200" i="10"/>
  <c r="S199" i="10"/>
  <c r="S198" i="10"/>
  <c r="S197" i="10"/>
  <c r="S196" i="10"/>
  <c r="S195" i="10"/>
  <c r="S194" i="10"/>
  <c r="S193" i="10"/>
  <c r="S192" i="10"/>
  <c r="S191" i="10"/>
  <c r="S190" i="10"/>
  <c r="S189" i="10"/>
  <c r="S188" i="10"/>
  <c r="S187" i="10"/>
  <c r="S186" i="10"/>
  <c r="S185" i="10"/>
  <c r="S184" i="10"/>
  <c r="S183" i="10"/>
  <c r="S182" i="10"/>
  <c r="S181" i="10"/>
  <c r="S180" i="10"/>
  <c r="S179" i="10"/>
  <c r="S178" i="10"/>
  <c r="S177" i="10"/>
  <c r="S176" i="10"/>
  <c r="S175" i="10"/>
  <c r="S174" i="10"/>
  <c r="S173" i="10"/>
  <c r="S172" i="10"/>
  <c r="S171" i="10"/>
  <c r="S170" i="10"/>
  <c r="S169" i="10"/>
  <c r="S168" i="10"/>
  <c r="S167" i="10"/>
  <c r="S166" i="10"/>
  <c r="S165" i="10"/>
  <c r="S164" i="10"/>
  <c r="S163" i="10"/>
  <c r="S162" i="10"/>
  <c r="S161" i="10"/>
  <c r="S160" i="10"/>
  <c r="S159" i="10"/>
  <c r="S158" i="10"/>
  <c r="S157" i="10"/>
  <c r="S156" i="10"/>
  <c r="S155" i="10"/>
  <c r="S154" i="10"/>
  <c r="S153" i="10"/>
  <c r="S152" i="10"/>
  <c r="S151" i="10"/>
  <c r="S150" i="10"/>
  <c r="S149" i="10"/>
  <c r="S148" i="10"/>
  <c r="S147" i="10"/>
  <c r="S146" i="10"/>
  <c r="S145" i="10"/>
  <c r="S144" i="10"/>
  <c r="S143" i="10"/>
  <c r="S142" i="10"/>
  <c r="S141" i="10"/>
  <c r="S140" i="10"/>
  <c r="S139" i="10"/>
  <c r="S138" i="10"/>
  <c r="S137" i="10"/>
  <c r="S136" i="10"/>
  <c r="S135" i="10"/>
  <c r="S134" i="10"/>
  <c r="S133" i="10"/>
  <c r="S132" i="10"/>
  <c r="S131" i="10"/>
  <c r="S130" i="10"/>
  <c r="S129" i="10"/>
  <c r="S128" i="10"/>
  <c r="S127" i="10"/>
  <c r="S126" i="10"/>
  <c r="S125" i="10"/>
  <c r="S124" i="10"/>
  <c r="S123" i="10"/>
  <c r="S122" i="10"/>
  <c r="S121" i="10"/>
  <c r="S120" i="10"/>
  <c r="S119" i="10"/>
  <c r="S118" i="10"/>
  <c r="S117" i="10"/>
  <c r="S116" i="10"/>
  <c r="S115" i="10"/>
  <c r="S114" i="10"/>
  <c r="S113" i="10"/>
  <c r="S112" i="10"/>
  <c r="S111" i="10"/>
  <c r="S110" i="10"/>
  <c r="S109" i="10"/>
  <c r="S108" i="10"/>
  <c r="S107" i="10"/>
  <c r="S106" i="10"/>
  <c r="S105" i="10"/>
  <c r="S104" i="10"/>
  <c r="S103" i="10"/>
  <c r="S102" i="10"/>
  <c r="S101" i="10"/>
  <c r="S100" i="10"/>
  <c r="S99" i="10"/>
  <c r="S98" i="10"/>
  <c r="S97" i="10"/>
  <c r="S96" i="10"/>
  <c r="S95" i="10"/>
  <c r="S94" i="10"/>
  <c r="S93" i="10"/>
  <c r="S92" i="10"/>
  <c r="S91" i="10"/>
  <c r="S90" i="10"/>
  <c r="S89" i="10"/>
  <c r="S88" i="10"/>
  <c r="S87" i="10"/>
  <c r="S86" i="10"/>
  <c r="S85" i="10"/>
  <c r="S84" i="10"/>
  <c r="S83" i="10"/>
  <c r="S82" i="10"/>
  <c r="S81" i="10"/>
  <c r="S80" i="10"/>
  <c r="S79" i="10"/>
  <c r="S78" i="10"/>
  <c r="S77" i="10"/>
  <c r="S76" i="10"/>
  <c r="S75" i="10"/>
  <c r="S74" i="10"/>
  <c r="S73" i="10"/>
  <c r="S72" i="10"/>
  <c r="S71" i="10"/>
  <c r="S70" i="10"/>
  <c r="S69" i="10"/>
  <c r="S68" i="10"/>
  <c r="S67" i="10"/>
  <c r="S66" i="10"/>
  <c r="S65" i="10"/>
  <c r="S64" i="10"/>
  <c r="S63" i="10"/>
  <c r="S62" i="10"/>
  <c r="S61" i="10"/>
  <c r="S60" i="10"/>
  <c r="S59" i="10"/>
  <c r="S58" i="10"/>
  <c r="S57" i="10"/>
  <c r="S56" i="10"/>
  <c r="S55" i="10"/>
  <c r="S54" i="10"/>
  <c r="S53" i="10"/>
  <c r="S52" i="10"/>
  <c r="S51" i="10"/>
  <c r="S50" i="10"/>
  <c r="S49" i="10"/>
  <c r="S48" i="10"/>
  <c r="S47" i="10"/>
  <c r="S46" i="10"/>
  <c r="S45" i="10"/>
  <c r="S44" i="10"/>
  <c r="S43" i="10"/>
  <c r="S42" i="10"/>
  <c r="S41" i="10"/>
  <c r="S40" i="10"/>
  <c r="S39" i="10"/>
  <c r="S38" i="10"/>
  <c r="S37" i="10"/>
  <c r="S36" i="10"/>
  <c r="S35" i="10"/>
  <c r="S34" i="10"/>
  <c r="S33" i="10"/>
  <c r="S32" i="10"/>
  <c r="S31" i="10"/>
  <c r="S30" i="10"/>
  <c r="S29" i="10"/>
  <c r="S28" i="10"/>
  <c r="S27" i="10"/>
  <c r="S26" i="10"/>
  <c r="S25" i="10"/>
  <c r="S24" i="10"/>
  <c r="S23" i="10"/>
  <c r="S22" i="10"/>
  <c r="S21" i="10"/>
  <c r="S20" i="10"/>
  <c r="S19" i="10"/>
  <c r="S18" i="10"/>
  <c r="S17" i="10"/>
  <c r="S16" i="10"/>
  <c r="S15" i="10"/>
  <c r="S14" i="10"/>
  <c r="S13" i="10"/>
  <c r="S12" i="10"/>
  <c r="S11" i="10"/>
  <c r="S10" i="10"/>
  <c r="S9" i="10"/>
  <c r="S8" i="10"/>
  <c r="S7" i="10"/>
  <c r="S6" i="10"/>
  <c r="S5" i="10"/>
  <c r="G891" i="8"/>
  <c r="G890" i="8"/>
  <c r="G889" i="8"/>
  <c r="G888" i="8"/>
  <c r="G887" i="8"/>
  <c r="G886" i="8"/>
  <c r="G885" i="8"/>
  <c r="G884" i="8"/>
  <c r="G883" i="8"/>
  <c r="G882" i="8"/>
  <c r="G881" i="8"/>
  <c r="G880" i="8"/>
  <c r="G879" i="8"/>
  <c r="G878" i="8"/>
  <c r="G877" i="8"/>
  <c r="G876" i="8"/>
  <c r="G875" i="8"/>
  <c r="G874" i="8"/>
  <c r="G873" i="8"/>
  <c r="G872" i="8"/>
  <c r="G871" i="8"/>
  <c r="G870" i="8"/>
  <c r="G869" i="8"/>
  <c r="G868" i="8"/>
  <c r="G867" i="8"/>
  <c r="G866" i="8"/>
  <c r="G865" i="8"/>
  <c r="G864" i="8"/>
  <c r="G863" i="8"/>
  <c r="G862" i="8"/>
  <c r="G861" i="8"/>
  <c r="G860" i="8"/>
  <c r="G859" i="8"/>
  <c r="G858" i="8"/>
  <c r="G857" i="8"/>
  <c r="G856" i="8"/>
  <c r="G855" i="8"/>
  <c r="G854" i="8"/>
  <c r="G853" i="8"/>
  <c r="G852" i="8"/>
  <c r="G851" i="8"/>
  <c r="G850" i="8"/>
  <c r="G849" i="8"/>
  <c r="G848" i="8"/>
  <c r="G847" i="8"/>
  <c r="G846" i="8"/>
  <c r="G845" i="8"/>
  <c r="G844" i="8"/>
  <c r="G843" i="8"/>
  <c r="G842" i="8"/>
  <c r="G841" i="8"/>
  <c r="G840" i="8"/>
  <c r="G839" i="8"/>
  <c r="G838" i="8"/>
  <c r="G837" i="8"/>
  <c r="G836" i="8"/>
  <c r="G835" i="8"/>
  <c r="G834" i="8"/>
  <c r="G833" i="8"/>
  <c r="G832" i="8"/>
  <c r="G831" i="8"/>
  <c r="G830" i="8"/>
  <c r="G829" i="8"/>
  <c r="G828" i="8"/>
  <c r="G827" i="8"/>
  <c r="G826" i="8"/>
  <c r="G825" i="8"/>
  <c r="G824" i="8"/>
  <c r="G823" i="8"/>
  <c r="G822" i="8"/>
  <c r="G821" i="8"/>
  <c r="G820" i="8"/>
  <c r="G819" i="8"/>
  <c r="G818" i="8"/>
  <c r="G817" i="8"/>
  <c r="G816" i="8"/>
  <c r="G815" i="8"/>
  <c r="G814" i="8"/>
  <c r="G813" i="8"/>
  <c r="G812" i="8"/>
  <c r="G811" i="8"/>
  <c r="G810" i="8"/>
  <c r="G809" i="8"/>
  <c r="G808" i="8"/>
  <c r="G807" i="8"/>
  <c r="G806" i="8"/>
  <c r="G805" i="8"/>
  <c r="G804" i="8"/>
  <c r="G803" i="8"/>
  <c r="G802" i="8"/>
  <c r="G801" i="8"/>
  <c r="G800" i="8"/>
  <c r="G799" i="8"/>
  <c r="G798" i="8"/>
  <c r="G797" i="8"/>
  <c r="G796" i="8"/>
  <c r="G795" i="8"/>
  <c r="G794" i="8"/>
  <c r="G793" i="8"/>
  <c r="G792" i="8"/>
  <c r="G791" i="8"/>
  <c r="G790" i="8"/>
  <c r="G789" i="8"/>
  <c r="G788" i="8"/>
  <c r="G787" i="8"/>
  <c r="G786" i="8"/>
  <c r="G785" i="8"/>
  <c r="G784" i="8"/>
  <c r="G783" i="8"/>
  <c r="G782" i="8"/>
  <c r="G781" i="8"/>
  <c r="G780" i="8"/>
  <c r="G779" i="8"/>
  <c r="G778" i="8"/>
  <c r="G777" i="8"/>
  <c r="G776" i="8"/>
  <c r="G775" i="8"/>
  <c r="G774" i="8"/>
  <c r="G773" i="8"/>
  <c r="G772" i="8"/>
  <c r="G771" i="8"/>
  <c r="G770" i="8"/>
  <c r="G769" i="8"/>
  <c r="G768" i="8"/>
  <c r="G767" i="8"/>
  <c r="G766" i="8"/>
  <c r="G765" i="8"/>
  <c r="G764" i="8"/>
  <c r="G763" i="8"/>
  <c r="G762" i="8"/>
  <c r="G761" i="8"/>
  <c r="G760" i="8"/>
  <c r="G759" i="8"/>
  <c r="G758" i="8"/>
  <c r="G757" i="8"/>
  <c r="G756" i="8"/>
  <c r="G755" i="8"/>
  <c r="G754" i="8"/>
  <c r="G753" i="8"/>
  <c r="G752" i="8"/>
  <c r="G751" i="8"/>
  <c r="G750" i="8"/>
  <c r="G749" i="8"/>
  <c r="G748" i="8"/>
  <c r="G747" i="8"/>
  <c r="G746" i="8"/>
  <c r="G745" i="8"/>
  <c r="G744" i="8"/>
  <c r="G743" i="8"/>
  <c r="G742" i="8"/>
  <c r="G741" i="8"/>
  <c r="G740" i="8"/>
  <c r="G739" i="8"/>
  <c r="G738" i="8"/>
  <c r="G737" i="8"/>
  <c r="G736" i="8"/>
  <c r="G735" i="8"/>
  <c r="G734" i="8"/>
  <c r="G733" i="8"/>
  <c r="G732" i="8"/>
  <c r="G731" i="8"/>
  <c r="G730" i="8"/>
  <c r="G729" i="8"/>
  <c r="G728" i="8"/>
  <c r="G727" i="8"/>
  <c r="G726" i="8"/>
  <c r="G725" i="8"/>
  <c r="G724" i="8"/>
  <c r="G723" i="8"/>
  <c r="G722" i="8"/>
  <c r="G721" i="8"/>
  <c r="G720" i="8"/>
  <c r="G719" i="8"/>
  <c r="G718" i="8"/>
  <c r="G717" i="8"/>
  <c r="G716" i="8"/>
  <c r="G715" i="8"/>
  <c r="G714" i="8"/>
  <c r="G713" i="8"/>
  <c r="G712" i="8"/>
  <c r="G711" i="8"/>
  <c r="G710" i="8"/>
  <c r="G709" i="8"/>
  <c r="G708" i="8"/>
  <c r="G707" i="8"/>
  <c r="G706" i="8"/>
  <c r="G705" i="8"/>
  <c r="G704" i="8"/>
  <c r="G703" i="8"/>
  <c r="G702" i="8"/>
  <c r="G701" i="8"/>
  <c r="G700" i="8"/>
  <c r="G699" i="8"/>
  <c r="G698" i="8"/>
  <c r="G697" i="8"/>
  <c r="G696" i="8"/>
  <c r="G695" i="8"/>
  <c r="G694" i="8"/>
  <c r="G693" i="8"/>
  <c r="G692" i="8"/>
  <c r="G691" i="8"/>
  <c r="G690" i="8"/>
  <c r="G689" i="8"/>
  <c r="G688" i="8"/>
  <c r="G687" i="8"/>
  <c r="G686" i="8"/>
  <c r="G685" i="8"/>
  <c r="G684" i="8"/>
  <c r="G683" i="8"/>
  <c r="G682" i="8"/>
  <c r="G681" i="8"/>
  <c r="G680" i="8"/>
  <c r="G679" i="8"/>
  <c r="G678" i="8"/>
  <c r="G677" i="8"/>
  <c r="G676" i="8"/>
  <c r="G675" i="8"/>
  <c r="G674" i="8"/>
  <c r="G673" i="8"/>
  <c r="G672" i="8"/>
  <c r="G671" i="8"/>
  <c r="G670" i="8"/>
  <c r="G669" i="8"/>
  <c r="G668" i="8"/>
  <c r="G667" i="8"/>
  <c r="G666" i="8"/>
  <c r="G665" i="8"/>
  <c r="G664" i="8"/>
  <c r="G663" i="8"/>
  <c r="G662" i="8"/>
  <c r="G661" i="8"/>
  <c r="G660" i="8"/>
  <c r="G659" i="8"/>
  <c r="G658" i="8"/>
  <c r="G657" i="8"/>
  <c r="G656" i="8"/>
  <c r="G655" i="8"/>
  <c r="G654" i="8"/>
  <c r="G653" i="8"/>
  <c r="G652" i="8"/>
  <c r="G651" i="8"/>
  <c r="G650" i="8"/>
  <c r="G649" i="8"/>
  <c r="G648" i="8"/>
  <c r="G647" i="8"/>
  <c r="G646" i="8"/>
  <c r="G645" i="8"/>
  <c r="G644" i="8"/>
  <c r="G643" i="8"/>
  <c r="G642" i="8"/>
  <c r="G641" i="8"/>
  <c r="G640" i="8"/>
  <c r="G639" i="8"/>
  <c r="G638" i="8"/>
  <c r="G637" i="8"/>
  <c r="G636" i="8"/>
  <c r="G635" i="8"/>
  <c r="G634" i="8"/>
  <c r="G633" i="8"/>
  <c r="G632" i="8"/>
  <c r="G631" i="8"/>
  <c r="G630" i="8"/>
  <c r="G629" i="8"/>
  <c r="G628" i="8"/>
  <c r="G627" i="8"/>
  <c r="G626" i="8"/>
  <c r="G625" i="8"/>
  <c r="G624" i="8"/>
  <c r="G623" i="8"/>
  <c r="G622" i="8"/>
  <c r="G621" i="8"/>
  <c r="G620" i="8"/>
  <c r="G619" i="8"/>
  <c r="G618" i="8"/>
  <c r="G617" i="8"/>
  <c r="G616" i="8"/>
  <c r="G615" i="8"/>
  <c r="G614" i="8"/>
  <c r="G613" i="8"/>
  <c r="G612" i="8"/>
  <c r="G611" i="8"/>
  <c r="G610" i="8"/>
  <c r="G609" i="8"/>
  <c r="G608" i="8"/>
  <c r="G607" i="8"/>
  <c r="G606" i="8"/>
  <c r="G605" i="8"/>
  <c r="G604" i="8"/>
  <c r="G603" i="8"/>
  <c r="G602" i="8"/>
  <c r="G601" i="8"/>
  <c r="G600" i="8"/>
  <c r="G599" i="8"/>
  <c r="G598" i="8"/>
  <c r="G597" i="8"/>
  <c r="G596" i="8"/>
  <c r="G595" i="8"/>
  <c r="G594" i="8"/>
  <c r="G593" i="8"/>
  <c r="G592" i="8"/>
  <c r="G591" i="8"/>
  <c r="G590" i="8"/>
  <c r="G589" i="8"/>
  <c r="G588" i="8"/>
  <c r="G587" i="8"/>
  <c r="G586" i="8"/>
  <c r="G585" i="8"/>
  <c r="G584" i="8"/>
  <c r="G583" i="8"/>
  <c r="G582" i="8"/>
  <c r="G581" i="8"/>
  <c r="G580" i="8"/>
  <c r="G579" i="8"/>
  <c r="G578" i="8"/>
  <c r="G577" i="8"/>
  <c r="G576" i="8"/>
  <c r="G575" i="8"/>
  <c r="G574" i="8"/>
  <c r="G573" i="8"/>
  <c r="G572" i="8"/>
  <c r="G571" i="8"/>
  <c r="G570" i="8"/>
  <c r="G569" i="8"/>
  <c r="G568" i="8"/>
  <c r="G567" i="8"/>
  <c r="G566" i="8"/>
  <c r="G565" i="8"/>
  <c r="G564" i="8"/>
  <c r="G563" i="8"/>
  <c r="G562" i="8"/>
  <c r="G561" i="8"/>
  <c r="G560" i="8"/>
  <c r="G559" i="8"/>
  <c r="G558" i="8"/>
  <c r="G557" i="8"/>
  <c r="G556" i="8"/>
  <c r="G555" i="8"/>
  <c r="G554" i="8"/>
  <c r="G553" i="8"/>
  <c r="G552" i="8"/>
  <c r="G551" i="8"/>
  <c r="G550" i="8"/>
  <c r="G549" i="8"/>
  <c r="G548" i="8"/>
  <c r="G547" i="8"/>
  <c r="G546" i="8"/>
  <c r="G545" i="8"/>
  <c r="G544" i="8"/>
  <c r="G543" i="8"/>
  <c r="G542" i="8"/>
  <c r="G541" i="8"/>
  <c r="G540" i="8"/>
  <c r="G539" i="8"/>
  <c r="G538" i="8"/>
  <c r="G537" i="8"/>
  <c r="G536" i="8"/>
  <c r="G535" i="8"/>
  <c r="G534" i="8"/>
  <c r="G533" i="8"/>
  <c r="G532" i="8"/>
  <c r="G531" i="8"/>
  <c r="G530" i="8"/>
  <c r="G529" i="8"/>
  <c r="G528" i="8"/>
  <c r="G527" i="8"/>
  <c r="G526" i="8"/>
  <c r="G525" i="8"/>
  <c r="G524" i="8"/>
  <c r="G523" i="8"/>
  <c r="G522" i="8"/>
  <c r="G521" i="8"/>
  <c r="G520" i="8"/>
  <c r="G519" i="8"/>
  <c r="G518" i="8"/>
  <c r="G517" i="8"/>
  <c r="G516" i="8"/>
  <c r="G515" i="8"/>
  <c r="G514" i="8"/>
  <c r="G513" i="8"/>
  <c r="G512" i="8"/>
  <c r="G511" i="8"/>
  <c r="G510" i="8"/>
  <c r="G509" i="8"/>
  <c r="G508" i="8"/>
  <c r="G507" i="8"/>
  <c r="G506" i="8"/>
  <c r="G505" i="8"/>
  <c r="G504" i="8"/>
  <c r="G503" i="8"/>
  <c r="G502" i="8"/>
  <c r="G501" i="8"/>
  <c r="G500" i="8"/>
  <c r="G499" i="8"/>
  <c r="G498" i="8"/>
  <c r="G497" i="8"/>
  <c r="G496" i="8"/>
  <c r="G495" i="8"/>
  <c r="G494" i="8"/>
  <c r="G493" i="8"/>
  <c r="G492" i="8"/>
  <c r="G491" i="8"/>
  <c r="G490" i="8"/>
  <c r="G489" i="8"/>
  <c r="G488" i="8"/>
  <c r="G487" i="8"/>
  <c r="G486" i="8"/>
  <c r="G485" i="8"/>
  <c r="G484" i="8"/>
  <c r="G483" i="8"/>
  <c r="G482" i="8"/>
  <c r="G481" i="8"/>
  <c r="G480" i="8"/>
  <c r="G479" i="8"/>
  <c r="G478" i="8"/>
  <c r="G477" i="8"/>
  <c r="G476" i="8"/>
  <c r="G475" i="8"/>
  <c r="G474" i="8"/>
  <c r="G473" i="8"/>
  <c r="G472" i="8"/>
  <c r="G471" i="8"/>
  <c r="G470" i="8"/>
  <c r="G469" i="8"/>
  <c r="G468" i="8"/>
  <c r="G467" i="8"/>
  <c r="G466" i="8"/>
  <c r="G465" i="8"/>
  <c r="G464" i="8"/>
  <c r="G463" i="8"/>
  <c r="G462" i="8"/>
  <c r="G461" i="8"/>
  <c r="G460" i="8"/>
  <c r="G459" i="8"/>
  <c r="G458" i="8"/>
  <c r="G457" i="8"/>
  <c r="G456" i="8"/>
  <c r="G455" i="8"/>
  <c r="G454" i="8"/>
  <c r="G453" i="8"/>
  <c r="G452" i="8"/>
  <c r="G451" i="8"/>
  <c r="G450" i="8"/>
  <c r="G449" i="8"/>
  <c r="G448" i="8"/>
  <c r="G447" i="8"/>
  <c r="G446" i="8"/>
  <c r="G445" i="8"/>
  <c r="G444" i="8"/>
  <c r="G443" i="8"/>
  <c r="G442" i="8"/>
  <c r="G441" i="8"/>
  <c r="G440" i="8"/>
  <c r="G439" i="8"/>
  <c r="G438" i="8"/>
  <c r="G437" i="8"/>
  <c r="G436" i="8"/>
  <c r="G435" i="8"/>
  <c r="G434" i="8"/>
  <c r="G433" i="8"/>
  <c r="G432" i="8"/>
  <c r="G431" i="8"/>
  <c r="G430" i="8"/>
  <c r="G429" i="8"/>
  <c r="G428" i="8"/>
  <c r="G427" i="8"/>
  <c r="G426" i="8"/>
  <c r="G425" i="8"/>
  <c r="G424" i="8"/>
  <c r="G423" i="8"/>
  <c r="G422" i="8"/>
  <c r="G421" i="8"/>
  <c r="G420" i="8"/>
  <c r="G419" i="8"/>
  <c r="G418" i="8"/>
  <c r="G417" i="8"/>
  <c r="G416" i="8"/>
  <c r="G415" i="8"/>
  <c r="G414" i="8"/>
  <c r="G413" i="8"/>
  <c r="G412" i="8"/>
  <c r="G411" i="8"/>
  <c r="G410" i="8"/>
  <c r="G409" i="8"/>
  <c r="G408" i="8"/>
  <c r="G407" i="8"/>
  <c r="G406" i="8"/>
  <c r="G405" i="8"/>
  <c r="G404" i="8"/>
  <c r="G403" i="8"/>
  <c r="G402" i="8"/>
  <c r="G401" i="8"/>
  <c r="G400" i="8"/>
  <c r="G399" i="8"/>
  <c r="G398" i="8"/>
  <c r="G397" i="8"/>
  <c r="G396" i="8"/>
  <c r="G395" i="8"/>
  <c r="G394" i="8"/>
  <c r="G393" i="8"/>
  <c r="G392" i="8"/>
  <c r="G391" i="8"/>
  <c r="G390" i="8"/>
  <c r="G389" i="8"/>
  <c r="G388" i="8"/>
  <c r="G387" i="8"/>
  <c r="G386" i="8"/>
  <c r="G385" i="8"/>
  <c r="G384" i="8"/>
  <c r="G383" i="8"/>
  <c r="G382" i="8"/>
  <c r="G381" i="8"/>
  <c r="G380" i="8"/>
  <c r="G379" i="8"/>
  <c r="G378" i="8"/>
  <c r="G377" i="8"/>
  <c r="G376" i="8"/>
  <c r="G375" i="8"/>
  <c r="G374" i="8"/>
  <c r="G373" i="8"/>
  <c r="G372" i="8"/>
  <c r="G371" i="8"/>
  <c r="G370" i="8"/>
  <c r="G369" i="8"/>
  <c r="G368" i="8"/>
  <c r="G367" i="8"/>
  <c r="G366" i="8"/>
  <c r="G365" i="8"/>
  <c r="G364" i="8"/>
  <c r="G363" i="8"/>
  <c r="G362" i="8"/>
  <c r="G361" i="8"/>
  <c r="G360" i="8"/>
  <c r="G359" i="8"/>
  <c r="G358" i="8"/>
  <c r="G357" i="8"/>
  <c r="G356" i="8"/>
  <c r="G355" i="8"/>
  <c r="G354" i="8"/>
  <c r="G353" i="8"/>
  <c r="G352" i="8"/>
  <c r="G351" i="8"/>
  <c r="G350" i="8"/>
  <c r="G349" i="8"/>
  <c r="G348" i="8"/>
  <c r="G347" i="8"/>
  <c r="G346" i="8"/>
  <c r="G345" i="8"/>
  <c r="G344" i="8"/>
  <c r="G343" i="8"/>
  <c r="G342" i="8"/>
  <c r="G341" i="8"/>
  <c r="G340" i="8"/>
  <c r="G339" i="8"/>
  <c r="G338" i="8"/>
  <c r="G337" i="8"/>
  <c r="G336" i="8"/>
  <c r="G335" i="8"/>
  <c r="G334" i="8"/>
  <c r="G333" i="8"/>
  <c r="G332" i="8"/>
  <c r="G331" i="8"/>
  <c r="G330" i="8"/>
  <c r="G329" i="8"/>
  <c r="G328" i="8"/>
  <c r="G327" i="8"/>
  <c r="G326" i="8"/>
  <c r="G325" i="8"/>
  <c r="G324" i="8"/>
  <c r="G323" i="8"/>
  <c r="G322" i="8"/>
  <c r="G321" i="8"/>
  <c r="G320" i="8"/>
  <c r="G319" i="8"/>
  <c r="G318" i="8"/>
  <c r="G317" i="8"/>
  <c r="G316" i="8"/>
  <c r="G315" i="8"/>
  <c r="G314" i="8"/>
  <c r="G313" i="8"/>
  <c r="G312" i="8"/>
  <c r="G311" i="8"/>
  <c r="G310" i="8"/>
  <c r="G309" i="8"/>
  <c r="G308" i="8"/>
  <c r="G307" i="8"/>
  <c r="G306" i="8"/>
  <c r="G305" i="8"/>
  <c r="G304" i="8"/>
  <c r="G303" i="8"/>
  <c r="G302" i="8"/>
  <c r="G301" i="8"/>
  <c r="G300" i="8"/>
  <c r="G299" i="8"/>
  <c r="G298" i="8"/>
  <c r="G297" i="8"/>
  <c r="G296" i="8"/>
  <c r="G295" i="8"/>
  <c r="G294" i="8"/>
  <c r="G293" i="8"/>
  <c r="G292" i="8"/>
  <c r="G291" i="8"/>
  <c r="G290" i="8"/>
  <c r="G289" i="8"/>
  <c r="G288" i="8"/>
  <c r="G287" i="8"/>
  <c r="G286" i="8"/>
  <c r="G285" i="8"/>
  <c r="G284" i="8"/>
  <c r="G283" i="8"/>
  <c r="G282" i="8"/>
  <c r="G281" i="8"/>
  <c r="G280" i="8"/>
  <c r="G279" i="8"/>
  <c r="G278" i="8"/>
  <c r="G277" i="8"/>
  <c r="G276" i="8"/>
  <c r="G275" i="8"/>
  <c r="G274" i="8"/>
  <c r="G273" i="8"/>
  <c r="G272" i="8"/>
  <c r="G271" i="8"/>
  <c r="G270" i="8"/>
  <c r="G269" i="8"/>
  <c r="G268" i="8"/>
  <c r="G267" i="8"/>
  <c r="G266" i="8"/>
  <c r="G265" i="8"/>
  <c r="G264" i="8"/>
  <c r="G263" i="8"/>
  <c r="G262" i="8"/>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L835" i="7"/>
  <c r="L834" i="7"/>
  <c r="L833" i="7"/>
  <c r="L832" i="7"/>
  <c r="L831" i="7"/>
  <c r="L830" i="7"/>
  <c r="L829" i="7"/>
  <c r="L828" i="7"/>
  <c r="L827" i="7"/>
  <c r="L826" i="7"/>
  <c r="L825" i="7"/>
  <c r="L824" i="7"/>
  <c r="L823" i="7"/>
  <c r="L822" i="7"/>
  <c r="L821" i="7"/>
  <c r="L820" i="7"/>
  <c r="L819" i="7"/>
  <c r="L818" i="7"/>
  <c r="L817" i="7"/>
  <c r="L816" i="7"/>
  <c r="L815" i="7"/>
  <c r="L814" i="7"/>
  <c r="L813" i="7"/>
  <c r="L812" i="7"/>
  <c r="L811" i="7"/>
  <c r="L810" i="7"/>
  <c r="L809" i="7"/>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7" i="7"/>
  <c r="L646" i="7"/>
  <c r="L645" i="7"/>
  <c r="L644" i="7"/>
  <c r="L643" i="7"/>
  <c r="L642" i="7"/>
  <c r="L641" i="7"/>
  <c r="L640" i="7"/>
  <c r="L639" i="7"/>
  <c r="L638" i="7"/>
  <c r="L637" i="7"/>
  <c r="L636" i="7"/>
  <c r="L635" i="7"/>
  <c r="L634" i="7"/>
  <c r="L633" i="7"/>
  <c r="L632" i="7"/>
  <c r="L631" i="7"/>
  <c r="L630" i="7"/>
  <c r="L629" i="7"/>
  <c r="L628" i="7"/>
  <c r="L627" i="7"/>
  <c r="L626" i="7"/>
  <c r="L625" i="7"/>
  <c r="L624" i="7"/>
  <c r="L623" i="7"/>
  <c r="L622" i="7"/>
  <c r="L621" i="7"/>
  <c r="L620" i="7"/>
  <c r="L619" i="7"/>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L517" i="7"/>
  <c r="L516" i="7"/>
  <c r="L515" i="7"/>
  <c r="L514" i="7"/>
  <c r="L513" i="7"/>
  <c r="L512" i="7"/>
  <c r="L511" i="7"/>
  <c r="L510" i="7"/>
  <c r="L509" i="7"/>
  <c r="L508" i="7"/>
  <c r="L507" i="7"/>
  <c r="L506" i="7"/>
  <c r="L505" i="7"/>
  <c r="L504" i="7"/>
  <c r="L503" i="7"/>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P1999" i="6"/>
  <c r="P1998" i="6"/>
  <c r="P1997" i="6"/>
  <c r="P1996" i="6"/>
  <c r="P1995" i="6"/>
  <c r="P1994" i="6"/>
  <c r="P1993" i="6"/>
  <c r="P1992" i="6"/>
  <c r="P1991" i="6"/>
  <c r="P1990" i="6"/>
  <c r="P1989" i="6"/>
  <c r="P1988" i="6"/>
  <c r="P1987" i="6"/>
  <c r="P1986" i="6"/>
  <c r="P1985" i="6"/>
  <c r="P1984" i="6"/>
  <c r="P1983" i="6"/>
  <c r="P1982" i="6"/>
  <c r="P1981" i="6"/>
  <c r="P1980" i="6"/>
  <c r="P1979" i="6"/>
  <c r="P1978" i="6"/>
  <c r="P1977" i="6"/>
  <c r="P1976" i="6"/>
  <c r="P1975" i="6"/>
  <c r="P1974" i="6"/>
  <c r="P1973" i="6"/>
  <c r="P1972" i="6"/>
  <c r="P1971" i="6"/>
  <c r="P1970" i="6"/>
  <c r="P1969" i="6"/>
  <c r="P1968" i="6"/>
  <c r="P1967" i="6"/>
  <c r="P1966" i="6"/>
  <c r="P1965" i="6"/>
  <c r="P1964" i="6"/>
  <c r="P1963" i="6"/>
  <c r="P1962" i="6"/>
  <c r="P1961" i="6"/>
  <c r="P1960" i="6"/>
  <c r="P1959" i="6"/>
  <c r="P1958" i="6"/>
  <c r="P1957" i="6"/>
  <c r="P1956" i="6"/>
  <c r="P1955" i="6"/>
  <c r="P1954" i="6"/>
  <c r="P1953" i="6"/>
  <c r="P1952" i="6"/>
  <c r="P1951" i="6"/>
  <c r="P1950" i="6"/>
  <c r="P1949" i="6"/>
  <c r="P1948" i="6"/>
  <c r="P1947" i="6"/>
  <c r="P1946" i="6"/>
  <c r="P1945" i="6"/>
  <c r="P1944" i="6"/>
  <c r="P1943" i="6"/>
  <c r="P1942" i="6"/>
  <c r="P1941" i="6"/>
  <c r="P1940" i="6"/>
  <c r="P1939" i="6"/>
  <c r="P1938" i="6"/>
  <c r="P1937" i="6"/>
  <c r="P1936" i="6"/>
  <c r="P1935" i="6"/>
  <c r="P1934" i="6"/>
  <c r="P1933" i="6"/>
  <c r="P1932" i="6"/>
  <c r="P1931" i="6"/>
  <c r="P1930" i="6"/>
  <c r="P1929" i="6"/>
  <c r="P1928" i="6"/>
  <c r="P1927" i="6"/>
  <c r="P1926" i="6"/>
  <c r="P1925" i="6"/>
  <c r="P1924" i="6"/>
  <c r="P1923" i="6"/>
  <c r="P1922" i="6"/>
  <c r="P1921" i="6"/>
  <c r="P1920" i="6"/>
  <c r="P1919" i="6"/>
  <c r="P1918" i="6"/>
  <c r="P1917" i="6"/>
  <c r="P1916" i="6"/>
  <c r="P1915" i="6"/>
  <c r="P1914" i="6"/>
  <c r="P1913" i="6"/>
  <c r="P1912" i="6"/>
  <c r="P1911" i="6"/>
  <c r="P1910" i="6"/>
  <c r="P1909" i="6"/>
  <c r="P1908" i="6"/>
  <c r="P1907" i="6"/>
  <c r="P1906" i="6"/>
  <c r="P1905" i="6"/>
  <c r="P1904" i="6"/>
  <c r="P1903" i="6"/>
  <c r="P1902" i="6"/>
  <c r="P1901" i="6"/>
  <c r="P1900" i="6"/>
  <c r="P1899" i="6"/>
  <c r="P1898" i="6"/>
  <c r="P1897" i="6"/>
  <c r="P1896" i="6"/>
  <c r="P1895" i="6"/>
  <c r="P1894" i="6"/>
  <c r="P1893" i="6"/>
  <c r="P1892" i="6"/>
  <c r="P1891" i="6"/>
  <c r="P1890" i="6"/>
  <c r="P1889" i="6"/>
  <c r="P1888" i="6"/>
  <c r="P1887" i="6"/>
  <c r="P1886" i="6"/>
  <c r="P1885" i="6"/>
  <c r="P1884" i="6"/>
  <c r="P1883" i="6"/>
  <c r="P1882" i="6"/>
  <c r="P1881" i="6"/>
  <c r="P1880" i="6"/>
  <c r="P1879" i="6"/>
  <c r="P1878" i="6"/>
  <c r="P1877" i="6"/>
  <c r="P1876" i="6"/>
  <c r="P1875" i="6"/>
  <c r="P1874" i="6"/>
  <c r="P1873" i="6"/>
  <c r="P1872" i="6"/>
  <c r="P1871" i="6"/>
  <c r="P1870" i="6"/>
  <c r="P1869" i="6"/>
  <c r="P1868" i="6"/>
  <c r="P1867" i="6"/>
  <c r="P1866" i="6"/>
  <c r="P1865" i="6"/>
  <c r="P1864" i="6"/>
  <c r="P1863" i="6"/>
  <c r="P1862" i="6"/>
  <c r="P1861" i="6"/>
  <c r="P1860" i="6"/>
  <c r="P1859" i="6"/>
  <c r="P1858" i="6"/>
  <c r="P1857" i="6"/>
  <c r="P1856" i="6"/>
  <c r="P1855" i="6"/>
  <c r="P1854" i="6"/>
  <c r="P1853" i="6"/>
  <c r="P1852" i="6"/>
  <c r="P1851" i="6"/>
  <c r="P1850" i="6"/>
  <c r="P1849" i="6"/>
  <c r="P1848" i="6"/>
  <c r="P1847" i="6"/>
  <c r="P1846" i="6"/>
  <c r="P1845" i="6"/>
  <c r="P1844" i="6"/>
  <c r="P1843" i="6"/>
  <c r="P1842" i="6"/>
  <c r="P1841" i="6"/>
  <c r="P1840" i="6"/>
  <c r="P1839" i="6"/>
  <c r="P1838" i="6"/>
  <c r="P1837" i="6"/>
  <c r="P1836" i="6"/>
  <c r="P1835" i="6"/>
  <c r="P1834" i="6"/>
  <c r="P1833" i="6"/>
  <c r="P1832" i="6"/>
  <c r="P1831" i="6"/>
  <c r="P1830" i="6"/>
  <c r="P1829" i="6"/>
  <c r="P1828" i="6"/>
  <c r="P1827" i="6"/>
  <c r="P1826" i="6"/>
  <c r="P1825" i="6"/>
  <c r="P1824" i="6"/>
  <c r="P1823" i="6"/>
  <c r="P1822" i="6"/>
  <c r="P1821" i="6"/>
  <c r="P1820" i="6"/>
  <c r="P1819" i="6"/>
  <c r="P1818" i="6"/>
  <c r="P1817" i="6"/>
  <c r="P1816" i="6"/>
  <c r="P1815" i="6"/>
  <c r="P1814" i="6"/>
  <c r="P1813" i="6"/>
  <c r="P1812" i="6"/>
  <c r="P1811" i="6"/>
  <c r="P1810" i="6"/>
  <c r="P1809" i="6"/>
  <c r="P1808" i="6"/>
  <c r="P1807" i="6"/>
  <c r="P1806" i="6"/>
  <c r="P1805" i="6"/>
  <c r="P1804" i="6"/>
  <c r="P1803" i="6"/>
  <c r="P1802" i="6"/>
  <c r="P1801" i="6"/>
  <c r="P1800" i="6"/>
  <c r="P1799" i="6"/>
  <c r="P1798" i="6"/>
  <c r="P1797" i="6"/>
  <c r="P1796" i="6"/>
  <c r="P1795" i="6"/>
  <c r="P1794" i="6"/>
  <c r="P1793" i="6"/>
  <c r="P1792" i="6"/>
  <c r="P1791" i="6"/>
  <c r="P1790" i="6"/>
  <c r="P1789" i="6"/>
  <c r="P1788" i="6"/>
  <c r="P1787" i="6"/>
  <c r="P1786" i="6"/>
  <c r="P1785" i="6"/>
  <c r="P1784" i="6"/>
  <c r="P1783" i="6"/>
  <c r="P1782" i="6"/>
  <c r="P1781" i="6"/>
  <c r="P1780" i="6"/>
  <c r="P1779" i="6"/>
  <c r="P1778" i="6"/>
  <c r="P1777" i="6"/>
  <c r="P1776" i="6"/>
  <c r="P1775" i="6"/>
  <c r="P1774" i="6"/>
  <c r="P1773" i="6"/>
  <c r="P1772" i="6"/>
  <c r="P1771" i="6"/>
  <c r="P1770" i="6"/>
  <c r="P1769" i="6"/>
  <c r="P1768" i="6"/>
  <c r="P1767" i="6"/>
  <c r="P1766" i="6"/>
  <c r="P1765" i="6"/>
  <c r="P1764" i="6"/>
  <c r="P1763" i="6"/>
  <c r="P1762" i="6"/>
  <c r="P1761" i="6"/>
  <c r="P1760" i="6"/>
  <c r="P1759" i="6"/>
  <c r="P1758" i="6"/>
  <c r="P1757" i="6"/>
  <c r="P1756" i="6"/>
  <c r="P1755" i="6"/>
  <c r="P1754" i="6"/>
  <c r="P1753" i="6"/>
  <c r="P1752" i="6"/>
  <c r="P1751" i="6"/>
  <c r="P1750" i="6"/>
  <c r="P1749" i="6"/>
  <c r="P1748" i="6"/>
  <c r="P1747" i="6"/>
  <c r="P1746" i="6"/>
  <c r="P1745" i="6"/>
  <c r="P1744" i="6"/>
  <c r="P1743" i="6"/>
  <c r="P1742" i="6"/>
  <c r="P1741" i="6"/>
  <c r="P1740" i="6"/>
  <c r="P1739" i="6"/>
  <c r="P1738" i="6"/>
  <c r="P1737" i="6"/>
  <c r="P1736" i="6"/>
  <c r="P1735" i="6"/>
  <c r="P1734" i="6"/>
  <c r="P1733" i="6"/>
  <c r="P1732" i="6"/>
  <c r="P1731" i="6"/>
  <c r="P1730" i="6"/>
  <c r="P1729" i="6"/>
  <c r="P1728" i="6"/>
  <c r="P1727" i="6"/>
  <c r="P1726" i="6"/>
  <c r="P1725" i="6"/>
  <c r="P1724" i="6"/>
  <c r="P1723" i="6"/>
  <c r="P1722" i="6"/>
  <c r="P1721" i="6"/>
  <c r="P1720" i="6"/>
  <c r="P1719" i="6"/>
  <c r="P1718" i="6"/>
  <c r="P1717" i="6"/>
  <c r="P1716" i="6"/>
  <c r="P1715" i="6"/>
  <c r="P1714" i="6"/>
  <c r="P1713" i="6"/>
  <c r="P1712" i="6"/>
  <c r="P1711" i="6"/>
  <c r="P1710" i="6"/>
  <c r="P1709" i="6"/>
  <c r="P1708" i="6"/>
  <c r="P1707" i="6"/>
  <c r="P1706" i="6"/>
  <c r="P1705" i="6"/>
  <c r="P1704" i="6"/>
  <c r="P1703" i="6"/>
  <c r="P1702" i="6"/>
  <c r="P1701" i="6"/>
  <c r="P1700" i="6"/>
  <c r="P1699" i="6"/>
  <c r="P1698" i="6"/>
  <c r="P1697" i="6"/>
  <c r="P1696" i="6"/>
  <c r="P1695" i="6"/>
  <c r="P1694" i="6"/>
  <c r="P1693" i="6"/>
  <c r="P1692" i="6"/>
  <c r="P1691" i="6"/>
  <c r="P1690" i="6"/>
  <c r="P1689" i="6"/>
  <c r="P1688" i="6"/>
  <c r="P1687" i="6"/>
  <c r="P1686" i="6"/>
  <c r="P1685" i="6"/>
  <c r="P1684" i="6"/>
  <c r="P1683" i="6"/>
  <c r="P1682" i="6"/>
  <c r="P1681" i="6"/>
  <c r="P1680" i="6"/>
  <c r="P1679" i="6"/>
  <c r="P1678" i="6"/>
  <c r="P1677" i="6"/>
  <c r="P1676" i="6"/>
  <c r="P1675" i="6"/>
  <c r="P1674" i="6"/>
  <c r="P1673" i="6"/>
  <c r="P1672" i="6"/>
  <c r="P1671" i="6"/>
  <c r="P1670" i="6"/>
  <c r="P1669" i="6"/>
  <c r="P1668" i="6"/>
  <c r="P1667" i="6"/>
  <c r="P1666" i="6"/>
  <c r="P1665" i="6"/>
  <c r="P1664" i="6"/>
  <c r="P1663" i="6"/>
  <c r="P1662" i="6"/>
  <c r="P1661" i="6"/>
  <c r="P1660" i="6"/>
  <c r="P1659" i="6"/>
  <c r="P1658" i="6"/>
  <c r="P1657" i="6"/>
  <c r="P1656" i="6"/>
  <c r="P1655" i="6"/>
  <c r="P1654" i="6"/>
  <c r="P1653" i="6"/>
  <c r="P1652" i="6"/>
  <c r="P1651" i="6"/>
  <c r="P1650" i="6"/>
  <c r="P1649" i="6"/>
  <c r="P1648" i="6"/>
  <c r="P1647" i="6"/>
  <c r="P1646" i="6"/>
  <c r="P1645" i="6"/>
  <c r="P1644" i="6"/>
  <c r="P1643" i="6"/>
  <c r="P1642" i="6"/>
  <c r="P1641" i="6"/>
  <c r="P1640" i="6"/>
  <c r="P1639" i="6"/>
  <c r="P1638" i="6"/>
  <c r="P1637" i="6"/>
  <c r="P1636" i="6"/>
  <c r="P1635" i="6"/>
  <c r="P1634" i="6"/>
  <c r="P1633" i="6"/>
  <c r="P1632" i="6"/>
  <c r="P1631" i="6"/>
  <c r="P1630" i="6"/>
  <c r="P1629" i="6"/>
  <c r="P1628" i="6"/>
  <c r="P1627" i="6"/>
  <c r="P1626" i="6"/>
  <c r="P1625" i="6"/>
  <c r="P1624" i="6"/>
  <c r="P1623" i="6"/>
  <c r="P1622" i="6"/>
  <c r="P1621" i="6"/>
  <c r="P1620" i="6"/>
  <c r="P1619" i="6"/>
  <c r="P1618" i="6"/>
  <c r="P1617" i="6"/>
  <c r="P1616" i="6"/>
  <c r="P1615" i="6"/>
  <c r="P1614" i="6"/>
  <c r="P1613" i="6"/>
  <c r="P1612" i="6"/>
  <c r="P1611" i="6"/>
  <c r="P1610" i="6"/>
  <c r="P1609" i="6"/>
  <c r="P1608" i="6"/>
  <c r="P1607" i="6"/>
  <c r="P1606" i="6"/>
  <c r="P1605" i="6"/>
  <c r="P1604" i="6"/>
  <c r="P1603" i="6"/>
  <c r="P1602" i="6"/>
  <c r="P1601" i="6"/>
  <c r="P1600" i="6"/>
  <c r="P1599" i="6"/>
  <c r="P1598" i="6"/>
  <c r="P1597" i="6"/>
  <c r="P1596" i="6"/>
  <c r="P1595" i="6"/>
  <c r="P1594" i="6"/>
  <c r="P1593" i="6"/>
  <c r="P1592" i="6"/>
  <c r="P1591" i="6"/>
  <c r="P1590" i="6"/>
  <c r="P1589" i="6"/>
  <c r="P1588" i="6"/>
  <c r="P1587" i="6"/>
  <c r="P1586" i="6"/>
  <c r="P1585" i="6"/>
  <c r="P1584" i="6"/>
  <c r="P1583" i="6"/>
  <c r="P1582" i="6"/>
  <c r="P1581" i="6"/>
  <c r="P1580" i="6"/>
  <c r="P1579" i="6"/>
  <c r="P1578" i="6"/>
  <c r="P1577" i="6"/>
  <c r="P1576" i="6"/>
  <c r="P1575" i="6"/>
  <c r="P1574" i="6"/>
  <c r="P1573" i="6"/>
  <c r="P1572" i="6"/>
  <c r="P1571" i="6"/>
  <c r="P1570" i="6"/>
  <c r="P1569" i="6"/>
  <c r="P1568" i="6"/>
  <c r="P1567" i="6"/>
  <c r="P1566" i="6"/>
  <c r="P1565" i="6"/>
  <c r="P1564" i="6"/>
  <c r="P1563" i="6"/>
  <c r="P1562" i="6"/>
  <c r="P1561" i="6"/>
  <c r="P1560" i="6"/>
  <c r="P1559" i="6"/>
  <c r="P1558" i="6"/>
  <c r="P1557" i="6"/>
  <c r="P1556" i="6"/>
  <c r="P1555" i="6"/>
  <c r="P1554" i="6"/>
  <c r="P1553" i="6"/>
  <c r="P1552" i="6"/>
  <c r="P1551" i="6"/>
  <c r="P1550" i="6"/>
  <c r="P1549" i="6"/>
  <c r="P1548" i="6"/>
  <c r="P1547" i="6"/>
  <c r="P1546" i="6"/>
  <c r="P1545" i="6"/>
  <c r="P1544" i="6"/>
  <c r="P1543" i="6"/>
  <c r="P1542" i="6"/>
  <c r="P1541" i="6"/>
  <c r="P1540" i="6"/>
  <c r="P1539" i="6"/>
  <c r="P1538" i="6"/>
  <c r="P1537" i="6"/>
  <c r="P1536" i="6"/>
  <c r="P1535" i="6"/>
  <c r="P1534" i="6"/>
  <c r="P1533" i="6"/>
  <c r="P1532" i="6"/>
  <c r="P1531" i="6"/>
  <c r="P1530" i="6"/>
  <c r="P1529" i="6"/>
  <c r="P1528" i="6"/>
  <c r="P1527" i="6"/>
  <c r="P1526" i="6"/>
  <c r="P1525" i="6"/>
  <c r="P1524" i="6"/>
  <c r="P1523" i="6"/>
  <c r="P1522" i="6"/>
  <c r="P1521" i="6"/>
  <c r="P1520" i="6"/>
  <c r="P1519" i="6"/>
  <c r="P1518" i="6"/>
  <c r="P1517" i="6"/>
  <c r="P1516" i="6"/>
  <c r="P1515" i="6"/>
  <c r="P1514" i="6"/>
  <c r="P1513" i="6"/>
  <c r="P1512" i="6"/>
  <c r="P1511" i="6"/>
  <c r="P1510" i="6"/>
  <c r="P1509" i="6"/>
  <c r="P1508" i="6"/>
  <c r="P1507" i="6"/>
  <c r="P1506" i="6"/>
  <c r="P1505" i="6"/>
  <c r="P1504" i="6"/>
  <c r="P1503" i="6"/>
  <c r="P1502" i="6"/>
  <c r="P1501" i="6"/>
  <c r="P1500" i="6"/>
  <c r="P1499" i="6"/>
  <c r="P1498" i="6"/>
  <c r="P1497" i="6"/>
  <c r="P1496" i="6"/>
  <c r="P1495" i="6"/>
  <c r="P1494" i="6"/>
  <c r="P1493" i="6"/>
  <c r="P1492" i="6"/>
  <c r="P1491" i="6"/>
  <c r="P1490" i="6"/>
  <c r="P1489" i="6"/>
  <c r="P1488" i="6"/>
  <c r="P1487" i="6"/>
  <c r="P1486" i="6"/>
  <c r="P1485" i="6"/>
  <c r="P1484" i="6"/>
  <c r="P1483" i="6"/>
  <c r="P1482" i="6"/>
  <c r="P1481" i="6"/>
  <c r="P1480" i="6"/>
  <c r="P1479" i="6"/>
  <c r="P1478" i="6"/>
  <c r="P1477" i="6"/>
  <c r="P1476" i="6"/>
  <c r="P1475" i="6"/>
  <c r="P1474" i="6"/>
  <c r="P1473" i="6"/>
  <c r="P1472" i="6"/>
  <c r="P1471" i="6"/>
  <c r="P1470" i="6"/>
  <c r="P1469" i="6"/>
  <c r="P1468" i="6"/>
  <c r="P1467" i="6"/>
  <c r="P1466" i="6"/>
  <c r="P1465" i="6"/>
  <c r="P1464" i="6"/>
  <c r="P1463" i="6"/>
  <c r="P1462" i="6"/>
  <c r="P1461" i="6"/>
  <c r="P1460" i="6"/>
  <c r="P1459" i="6"/>
  <c r="P1458" i="6"/>
  <c r="P1457" i="6"/>
  <c r="P1456" i="6"/>
  <c r="P1455" i="6"/>
  <c r="P1454" i="6"/>
  <c r="P1453" i="6"/>
  <c r="P1452" i="6"/>
  <c r="P1451" i="6"/>
  <c r="P1450" i="6"/>
  <c r="P1449" i="6"/>
  <c r="P1448" i="6"/>
  <c r="P1447" i="6"/>
  <c r="P1446" i="6"/>
  <c r="P1445" i="6"/>
  <c r="P1444" i="6"/>
  <c r="P1443" i="6"/>
  <c r="P1442" i="6"/>
  <c r="P1441" i="6"/>
  <c r="P1440" i="6"/>
  <c r="P1439" i="6"/>
  <c r="P1438" i="6"/>
  <c r="P1437" i="6"/>
  <c r="P1436" i="6"/>
  <c r="P1435" i="6"/>
  <c r="P1434" i="6"/>
  <c r="P1433" i="6"/>
  <c r="P1432" i="6"/>
  <c r="P1431" i="6"/>
  <c r="P1430" i="6"/>
  <c r="P1429" i="6"/>
  <c r="P1428" i="6"/>
  <c r="P1427" i="6"/>
  <c r="P1426" i="6"/>
  <c r="P1425" i="6"/>
  <c r="P1424" i="6"/>
  <c r="P1423" i="6"/>
  <c r="P1422" i="6"/>
  <c r="P1421" i="6"/>
  <c r="P1420" i="6"/>
  <c r="P1419" i="6"/>
  <c r="P1418" i="6"/>
  <c r="P1417" i="6"/>
  <c r="P1416" i="6"/>
  <c r="P1415" i="6"/>
  <c r="P1414" i="6"/>
  <c r="P1413" i="6"/>
  <c r="P1412" i="6"/>
  <c r="P1411" i="6"/>
  <c r="P1410" i="6"/>
  <c r="P1409" i="6"/>
  <c r="P1408" i="6"/>
  <c r="P1407" i="6"/>
  <c r="P1406" i="6"/>
  <c r="P1405" i="6"/>
  <c r="P1404" i="6"/>
  <c r="P1403" i="6"/>
  <c r="P1402" i="6"/>
  <c r="P1401" i="6"/>
  <c r="P1400" i="6"/>
  <c r="P1399" i="6"/>
  <c r="P1398" i="6"/>
  <c r="P1397" i="6"/>
  <c r="P1396" i="6"/>
  <c r="P1395" i="6"/>
  <c r="P1394" i="6"/>
  <c r="P1393" i="6"/>
  <c r="P1392" i="6"/>
  <c r="P1391" i="6"/>
  <c r="P1390" i="6"/>
  <c r="P1389" i="6"/>
  <c r="P1388" i="6"/>
  <c r="P1387" i="6"/>
  <c r="P1386" i="6"/>
  <c r="P1385" i="6"/>
  <c r="P1384" i="6"/>
  <c r="P1383" i="6"/>
  <c r="P1382" i="6"/>
  <c r="P1381" i="6"/>
  <c r="P1380" i="6"/>
  <c r="P1379" i="6"/>
  <c r="P1378" i="6"/>
  <c r="P1377" i="6"/>
  <c r="P1376" i="6"/>
  <c r="P1375" i="6"/>
  <c r="P1374" i="6"/>
  <c r="P1373" i="6"/>
  <c r="P1372" i="6"/>
  <c r="P1371" i="6"/>
  <c r="P1370" i="6"/>
  <c r="P1369" i="6"/>
  <c r="P1368" i="6"/>
  <c r="P1367" i="6"/>
  <c r="P1366" i="6"/>
  <c r="P1365" i="6"/>
  <c r="P1364" i="6"/>
  <c r="P1363" i="6"/>
  <c r="P1362" i="6"/>
  <c r="P1361" i="6"/>
  <c r="P1360" i="6"/>
  <c r="P1359" i="6"/>
  <c r="P1358" i="6"/>
  <c r="P1357" i="6"/>
  <c r="P1356" i="6"/>
  <c r="P1355" i="6"/>
  <c r="P1354" i="6"/>
  <c r="P1353" i="6"/>
  <c r="P1352" i="6"/>
  <c r="P1351" i="6"/>
  <c r="P1350" i="6"/>
  <c r="P1349" i="6"/>
  <c r="P1348" i="6"/>
  <c r="P1347" i="6"/>
  <c r="P1346" i="6"/>
  <c r="P1345" i="6"/>
  <c r="P1344" i="6"/>
  <c r="P1343" i="6"/>
  <c r="P1342" i="6"/>
  <c r="P1341" i="6"/>
  <c r="P1340" i="6"/>
  <c r="P1339" i="6"/>
  <c r="P1338" i="6"/>
  <c r="P1337" i="6"/>
  <c r="P1336" i="6"/>
  <c r="P1335" i="6"/>
  <c r="P1334" i="6"/>
  <c r="P1333" i="6"/>
  <c r="P1332" i="6"/>
  <c r="P1331" i="6"/>
  <c r="P1330" i="6"/>
  <c r="P1329" i="6"/>
  <c r="P1328" i="6"/>
  <c r="P1327" i="6"/>
  <c r="P1326" i="6"/>
  <c r="P1325" i="6"/>
  <c r="P1324" i="6"/>
  <c r="P1323" i="6"/>
  <c r="P1322" i="6"/>
  <c r="P1321" i="6"/>
  <c r="P1320" i="6"/>
  <c r="P1319" i="6"/>
  <c r="P1318" i="6"/>
  <c r="P1317" i="6"/>
  <c r="P1316" i="6"/>
  <c r="P1315" i="6"/>
  <c r="P1314" i="6"/>
  <c r="P1313" i="6"/>
  <c r="P1312" i="6"/>
  <c r="P1311" i="6"/>
  <c r="P1310" i="6"/>
  <c r="P1309" i="6"/>
  <c r="P1308" i="6"/>
  <c r="P1307" i="6"/>
  <c r="P1306" i="6"/>
  <c r="P1305" i="6"/>
  <c r="P1304" i="6"/>
  <c r="P1303" i="6"/>
  <c r="P1302" i="6"/>
  <c r="P1301" i="6"/>
  <c r="P1300" i="6"/>
  <c r="P1299" i="6"/>
  <c r="P1298" i="6"/>
  <c r="P1297" i="6"/>
  <c r="P1296" i="6"/>
  <c r="P1295" i="6"/>
  <c r="P1294" i="6"/>
  <c r="P1293" i="6"/>
  <c r="P1292" i="6"/>
  <c r="P1291" i="6"/>
  <c r="P1290" i="6"/>
  <c r="P1289" i="6"/>
  <c r="P1288" i="6"/>
  <c r="P1287" i="6"/>
  <c r="P1286" i="6"/>
  <c r="P1285" i="6"/>
  <c r="P1284" i="6"/>
  <c r="P1283" i="6"/>
  <c r="P1282" i="6"/>
  <c r="P1281" i="6"/>
  <c r="P1280" i="6"/>
  <c r="P1279" i="6"/>
  <c r="P1278" i="6"/>
  <c r="P1277" i="6"/>
  <c r="P1276" i="6"/>
  <c r="P1275" i="6"/>
  <c r="P1274" i="6"/>
  <c r="P1273" i="6"/>
  <c r="P1272" i="6"/>
  <c r="P1271" i="6"/>
  <c r="P1270" i="6"/>
  <c r="P1269" i="6"/>
  <c r="P1268" i="6"/>
  <c r="P1267" i="6"/>
  <c r="P1266" i="6"/>
  <c r="P1265" i="6"/>
  <c r="P1264" i="6"/>
  <c r="P1263" i="6"/>
  <c r="P1262" i="6"/>
  <c r="P1261" i="6"/>
  <c r="P1260" i="6"/>
  <c r="P1259" i="6"/>
  <c r="P1258" i="6"/>
  <c r="P1257" i="6"/>
  <c r="P1256" i="6"/>
  <c r="P1255" i="6"/>
  <c r="P1254" i="6"/>
  <c r="P1253" i="6"/>
  <c r="P1252" i="6"/>
  <c r="P1251" i="6"/>
  <c r="P1250" i="6"/>
  <c r="P1249" i="6"/>
  <c r="P1248" i="6"/>
  <c r="P1247" i="6"/>
  <c r="P1246" i="6"/>
  <c r="P1245" i="6"/>
  <c r="P1244" i="6"/>
  <c r="P1243" i="6"/>
  <c r="P1242" i="6"/>
  <c r="P1241" i="6"/>
  <c r="P1240" i="6"/>
  <c r="P1239" i="6"/>
  <c r="P1238" i="6"/>
  <c r="P1237" i="6"/>
  <c r="P1236" i="6"/>
  <c r="P1235" i="6"/>
  <c r="P1234" i="6"/>
  <c r="P1233" i="6"/>
  <c r="P1232" i="6"/>
  <c r="P1231" i="6"/>
  <c r="P1230" i="6"/>
  <c r="P1229" i="6"/>
  <c r="P1228" i="6"/>
  <c r="P1227" i="6"/>
  <c r="P1226" i="6"/>
  <c r="P1225" i="6"/>
  <c r="P1224" i="6"/>
  <c r="P1223" i="6"/>
  <c r="P1222" i="6"/>
  <c r="P1221" i="6"/>
  <c r="P1220" i="6"/>
  <c r="P1219" i="6"/>
  <c r="P1218" i="6"/>
  <c r="P1217" i="6"/>
  <c r="P1216" i="6"/>
  <c r="P1215" i="6"/>
  <c r="P1214" i="6"/>
  <c r="P1213" i="6"/>
  <c r="P1212" i="6"/>
  <c r="P1211" i="6"/>
  <c r="P1210" i="6"/>
  <c r="P1209" i="6"/>
  <c r="P1208" i="6"/>
  <c r="P1207" i="6"/>
  <c r="P1206" i="6"/>
  <c r="P1205" i="6"/>
  <c r="P1204" i="6"/>
  <c r="P1203" i="6"/>
  <c r="P1202" i="6"/>
  <c r="P1201" i="6"/>
  <c r="P1200" i="6"/>
  <c r="P1199" i="6"/>
  <c r="P1198" i="6"/>
  <c r="P1197" i="6"/>
  <c r="P1196" i="6"/>
  <c r="P1195" i="6"/>
  <c r="P1194" i="6"/>
  <c r="P1193" i="6"/>
  <c r="P1192" i="6"/>
  <c r="P1191" i="6"/>
  <c r="P1190" i="6"/>
  <c r="P1189" i="6"/>
  <c r="P1188" i="6"/>
  <c r="P1187" i="6"/>
  <c r="P1186" i="6"/>
  <c r="P1185" i="6"/>
  <c r="P1184" i="6"/>
  <c r="P1183" i="6"/>
  <c r="P1182" i="6"/>
  <c r="P1181" i="6"/>
  <c r="P1180" i="6"/>
  <c r="P1179" i="6"/>
  <c r="P1178" i="6"/>
  <c r="P1177" i="6"/>
  <c r="P1176" i="6"/>
  <c r="P1175" i="6"/>
  <c r="P1174" i="6"/>
  <c r="P1173" i="6"/>
  <c r="P1172" i="6"/>
  <c r="P1171" i="6"/>
  <c r="P1170" i="6"/>
  <c r="P1169" i="6"/>
  <c r="P1168" i="6"/>
  <c r="P1167" i="6"/>
  <c r="P1166" i="6"/>
  <c r="P1165" i="6"/>
  <c r="P1164" i="6"/>
  <c r="P1163" i="6"/>
  <c r="P1162" i="6"/>
  <c r="P1161" i="6"/>
  <c r="P1160" i="6"/>
  <c r="P1159" i="6"/>
  <c r="P1158" i="6"/>
  <c r="P1157" i="6"/>
  <c r="P1156" i="6"/>
  <c r="P1155" i="6"/>
  <c r="P1154" i="6"/>
  <c r="P1153" i="6"/>
  <c r="P1152" i="6"/>
  <c r="P1151" i="6"/>
  <c r="P1150" i="6"/>
  <c r="P1149" i="6"/>
  <c r="P1148" i="6"/>
  <c r="P1147" i="6"/>
  <c r="P1146" i="6"/>
  <c r="P1145" i="6"/>
  <c r="P1144" i="6"/>
  <c r="P1143" i="6"/>
  <c r="P1142" i="6"/>
  <c r="P1141" i="6"/>
  <c r="P1140" i="6"/>
  <c r="P1139" i="6"/>
  <c r="P1138" i="6"/>
  <c r="P1137" i="6"/>
  <c r="P1136" i="6"/>
  <c r="P1135" i="6"/>
  <c r="P1134" i="6"/>
  <c r="P1133" i="6"/>
  <c r="P1132" i="6"/>
  <c r="P1131" i="6"/>
  <c r="P1130" i="6"/>
  <c r="P1129" i="6"/>
  <c r="P1128" i="6"/>
  <c r="P1127" i="6"/>
  <c r="P1126" i="6"/>
  <c r="P1125" i="6"/>
  <c r="P1124" i="6"/>
  <c r="P1123" i="6"/>
  <c r="P1122" i="6"/>
  <c r="P1121" i="6"/>
  <c r="P1120" i="6"/>
  <c r="P1119" i="6"/>
  <c r="P1118" i="6"/>
  <c r="P1117" i="6"/>
  <c r="P1116" i="6"/>
  <c r="P1115" i="6"/>
  <c r="P1114" i="6"/>
  <c r="P1113" i="6"/>
  <c r="P1112" i="6"/>
  <c r="P1111" i="6"/>
  <c r="P1110" i="6"/>
  <c r="P1109" i="6"/>
  <c r="P1108" i="6"/>
  <c r="P1107" i="6"/>
  <c r="P1106" i="6"/>
  <c r="P1105" i="6"/>
  <c r="P1104" i="6"/>
  <c r="P1103" i="6"/>
  <c r="P1102" i="6"/>
  <c r="P1101" i="6"/>
  <c r="P1100" i="6"/>
  <c r="P1099" i="6"/>
  <c r="P1098" i="6"/>
  <c r="P1097" i="6"/>
  <c r="P1096" i="6"/>
  <c r="P1095" i="6"/>
  <c r="P1094" i="6"/>
  <c r="P1093" i="6"/>
  <c r="P1092" i="6"/>
  <c r="P1091" i="6"/>
  <c r="P1090" i="6"/>
  <c r="P1089" i="6"/>
  <c r="P1088" i="6"/>
  <c r="P1087" i="6"/>
  <c r="P1086" i="6"/>
  <c r="P1085" i="6"/>
  <c r="P1084" i="6"/>
  <c r="P1083" i="6"/>
  <c r="P1082" i="6"/>
  <c r="P1081" i="6"/>
  <c r="P1080" i="6"/>
  <c r="P1079" i="6"/>
  <c r="P1078" i="6"/>
  <c r="P1077" i="6"/>
  <c r="P1076" i="6"/>
  <c r="P1075" i="6"/>
  <c r="P1074" i="6"/>
  <c r="P1073" i="6"/>
  <c r="P1072" i="6"/>
  <c r="P1071" i="6"/>
  <c r="P1070" i="6"/>
  <c r="P1069" i="6"/>
  <c r="P1068" i="6"/>
  <c r="P1067" i="6"/>
  <c r="P1066" i="6"/>
  <c r="P1065" i="6"/>
  <c r="P1064" i="6"/>
  <c r="P1063" i="6"/>
  <c r="P1062" i="6"/>
  <c r="P1061" i="6"/>
  <c r="P1060" i="6"/>
  <c r="P1059" i="6"/>
  <c r="P1058" i="6"/>
  <c r="P1057" i="6"/>
  <c r="P1056" i="6"/>
  <c r="P1055" i="6"/>
  <c r="P1054" i="6"/>
  <c r="P1053" i="6"/>
  <c r="P1052" i="6"/>
  <c r="P1051" i="6"/>
  <c r="P1050" i="6"/>
  <c r="P1049" i="6"/>
  <c r="P1048" i="6"/>
  <c r="P1047" i="6"/>
  <c r="P1046" i="6"/>
  <c r="P1045" i="6"/>
  <c r="P1044" i="6"/>
  <c r="P1043" i="6"/>
  <c r="P1042" i="6"/>
  <c r="P1041" i="6"/>
  <c r="P1040" i="6"/>
  <c r="P1039" i="6"/>
  <c r="P1038" i="6"/>
  <c r="P1037" i="6"/>
  <c r="P1036" i="6"/>
  <c r="P1035" i="6"/>
  <c r="P1034" i="6"/>
  <c r="P1033" i="6"/>
  <c r="P1032" i="6"/>
  <c r="P1031" i="6"/>
  <c r="P1030" i="6"/>
  <c r="P1029" i="6"/>
  <c r="P1028" i="6"/>
  <c r="P1027" i="6"/>
  <c r="P1026" i="6"/>
  <c r="P1025" i="6"/>
  <c r="P1024" i="6"/>
  <c r="P1023" i="6"/>
  <c r="P1022" i="6"/>
  <c r="P1021" i="6"/>
  <c r="P1020" i="6"/>
  <c r="P1019" i="6"/>
  <c r="P1018" i="6"/>
  <c r="P1017" i="6"/>
  <c r="P1016" i="6"/>
  <c r="P1015" i="6"/>
  <c r="P1014" i="6"/>
  <c r="P1013" i="6"/>
  <c r="P1012" i="6"/>
  <c r="P1011" i="6"/>
  <c r="P1010" i="6"/>
  <c r="P1009" i="6"/>
  <c r="P1008" i="6"/>
  <c r="P1007" i="6"/>
  <c r="P1006" i="6"/>
  <c r="P1005" i="6"/>
  <c r="P1004" i="6"/>
  <c r="P1003" i="6"/>
  <c r="P1002" i="6"/>
  <c r="P1001" i="6"/>
  <c r="P1000" i="6"/>
  <c r="P999" i="6"/>
  <c r="P998" i="6"/>
  <c r="P997" i="6"/>
  <c r="P996" i="6"/>
  <c r="P995" i="6"/>
  <c r="P994" i="6"/>
  <c r="P993" i="6"/>
  <c r="P992" i="6"/>
  <c r="P991" i="6"/>
  <c r="P990" i="6"/>
  <c r="P989" i="6"/>
  <c r="P988" i="6"/>
  <c r="P987" i="6"/>
  <c r="P986" i="6"/>
  <c r="P985" i="6"/>
  <c r="P984" i="6"/>
  <c r="P983" i="6"/>
  <c r="P982" i="6"/>
  <c r="P981" i="6"/>
  <c r="P980" i="6"/>
  <c r="P979" i="6"/>
  <c r="P978" i="6"/>
  <c r="P977" i="6"/>
  <c r="P976" i="6"/>
  <c r="P975" i="6"/>
  <c r="P974" i="6"/>
  <c r="P973" i="6"/>
  <c r="P972" i="6"/>
  <c r="P971" i="6"/>
  <c r="P970" i="6"/>
  <c r="P969" i="6"/>
  <c r="P968" i="6"/>
  <c r="P967" i="6"/>
  <c r="P966" i="6"/>
  <c r="P965" i="6"/>
  <c r="P964" i="6"/>
  <c r="P963" i="6"/>
  <c r="P962" i="6"/>
  <c r="P961" i="6"/>
  <c r="P960" i="6"/>
  <c r="P959" i="6"/>
  <c r="P958" i="6"/>
  <c r="P957" i="6"/>
  <c r="P956" i="6"/>
  <c r="P955" i="6"/>
  <c r="P954" i="6"/>
  <c r="P953" i="6"/>
  <c r="P952" i="6"/>
  <c r="P951" i="6"/>
  <c r="P950" i="6"/>
  <c r="P949" i="6"/>
  <c r="P948" i="6"/>
  <c r="P947" i="6"/>
  <c r="P946" i="6"/>
  <c r="P945" i="6"/>
  <c r="P944" i="6"/>
  <c r="P943" i="6"/>
  <c r="P942" i="6"/>
  <c r="P941" i="6"/>
  <c r="P940" i="6"/>
  <c r="P939" i="6"/>
  <c r="P938" i="6"/>
  <c r="P937" i="6"/>
  <c r="P936" i="6"/>
  <c r="P935" i="6"/>
  <c r="P934" i="6"/>
  <c r="P933" i="6"/>
  <c r="P932" i="6"/>
  <c r="P931" i="6"/>
  <c r="P930" i="6"/>
  <c r="P929" i="6"/>
  <c r="P928" i="6"/>
  <c r="P927" i="6"/>
  <c r="P926" i="6"/>
  <c r="P925" i="6"/>
  <c r="P924" i="6"/>
  <c r="P923" i="6"/>
  <c r="P922" i="6"/>
  <c r="P921" i="6"/>
  <c r="P920" i="6"/>
  <c r="P919" i="6"/>
  <c r="P918" i="6"/>
  <c r="P917" i="6"/>
  <c r="P916" i="6"/>
  <c r="P915" i="6"/>
  <c r="P914" i="6"/>
  <c r="P913" i="6"/>
  <c r="P912" i="6"/>
  <c r="P911" i="6"/>
  <c r="P910" i="6"/>
  <c r="P909" i="6"/>
  <c r="P908" i="6"/>
  <c r="P907" i="6"/>
  <c r="P906" i="6"/>
  <c r="P905" i="6"/>
  <c r="P904" i="6"/>
  <c r="P903" i="6"/>
  <c r="P902" i="6"/>
  <c r="P901" i="6"/>
  <c r="P900" i="6"/>
  <c r="P899" i="6"/>
  <c r="P898" i="6"/>
  <c r="P897" i="6"/>
  <c r="P896" i="6"/>
  <c r="P895" i="6"/>
  <c r="P894" i="6"/>
  <c r="P893" i="6"/>
  <c r="P892" i="6"/>
  <c r="P891" i="6"/>
  <c r="P890" i="6"/>
  <c r="P889" i="6"/>
  <c r="P888" i="6"/>
  <c r="P887" i="6"/>
  <c r="P886" i="6"/>
  <c r="P885" i="6"/>
  <c r="P884" i="6"/>
  <c r="P883" i="6"/>
  <c r="P882" i="6"/>
  <c r="P881" i="6"/>
  <c r="P880" i="6"/>
  <c r="P879" i="6"/>
  <c r="P878" i="6"/>
  <c r="P877" i="6"/>
  <c r="P876" i="6"/>
  <c r="P875" i="6"/>
  <c r="P874" i="6"/>
  <c r="P873" i="6"/>
  <c r="P872" i="6"/>
  <c r="P871" i="6"/>
  <c r="P870" i="6"/>
  <c r="P869" i="6"/>
  <c r="P868" i="6"/>
  <c r="P867" i="6"/>
  <c r="P866" i="6"/>
  <c r="P865" i="6"/>
  <c r="P864" i="6"/>
  <c r="P863" i="6"/>
  <c r="P862" i="6"/>
  <c r="P861" i="6"/>
  <c r="P860" i="6"/>
  <c r="P859" i="6"/>
  <c r="P858" i="6"/>
  <c r="P857" i="6"/>
  <c r="P856" i="6"/>
  <c r="P855" i="6"/>
  <c r="P854" i="6"/>
  <c r="P853" i="6"/>
  <c r="P852" i="6"/>
  <c r="P851" i="6"/>
  <c r="P850" i="6"/>
  <c r="P849" i="6"/>
  <c r="P848" i="6"/>
  <c r="P847" i="6"/>
  <c r="P846" i="6"/>
  <c r="P845" i="6"/>
  <c r="P844" i="6"/>
  <c r="P843" i="6"/>
  <c r="P842" i="6"/>
  <c r="P841" i="6"/>
  <c r="P840" i="6"/>
  <c r="P839" i="6"/>
  <c r="P838" i="6"/>
  <c r="P837" i="6"/>
  <c r="P836" i="6"/>
  <c r="P835" i="6"/>
  <c r="P834" i="6"/>
  <c r="P833" i="6"/>
  <c r="P832" i="6"/>
  <c r="P831" i="6"/>
  <c r="P830" i="6"/>
  <c r="P829" i="6"/>
  <c r="P828" i="6"/>
  <c r="P827" i="6"/>
  <c r="P826" i="6"/>
  <c r="P825" i="6"/>
  <c r="P824" i="6"/>
  <c r="P823" i="6"/>
  <c r="P822" i="6"/>
  <c r="P821" i="6"/>
  <c r="P820" i="6"/>
  <c r="P819" i="6"/>
  <c r="P818" i="6"/>
  <c r="P817" i="6"/>
  <c r="P816" i="6"/>
  <c r="P815" i="6"/>
  <c r="P814" i="6"/>
  <c r="P813" i="6"/>
  <c r="P812" i="6"/>
  <c r="P811" i="6"/>
  <c r="P810" i="6"/>
  <c r="P809" i="6"/>
  <c r="P808" i="6"/>
  <c r="P807" i="6"/>
  <c r="P806" i="6"/>
  <c r="P805" i="6"/>
  <c r="P804" i="6"/>
  <c r="P803" i="6"/>
  <c r="P802" i="6"/>
  <c r="P801" i="6"/>
  <c r="P800" i="6"/>
  <c r="P799" i="6"/>
  <c r="P798" i="6"/>
  <c r="P797" i="6"/>
  <c r="P796" i="6"/>
  <c r="P795" i="6"/>
  <c r="P794" i="6"/>
  <c r="P793" i="6"/>
  <c r="P792" i="6"/>
  <c r="P791" i="6"/>
  <c r="P790" i="6"/>
  <c r="P789" i="6"/>
  <c r="P788" i="6"/>
  <c r="P787" i="6"/>
  <c r="P786" i="6"/>
  <c r="P785" i="6"/>
  <c r="P784" i="6"/>
  <c r="P783" i="6"/>
  <c r="P782" i="6"/>
  <c r="P781" i="6"/>
  <c r="P780" i="6"/>
  <c r="P779" i="6"/>
  <c r="P778" i="6"/>
  <c r="P777" i="6"/>
  <c r="P776" i="6"/>
  <c r="P775" i="6"/>
  <c r="P774" i="6"/>
  <c r="P773" i="6"/>
  <c r="P772" i="6"/>
  <c r="P771" i="6"/>
  <c r="P770" i="6"/>
  <c r="P769" i="6"/>
  <c r="P768" i="6"/>
  <c r="P767" i="6"/>
  <c r="P766" i="6"/>
  <c r="P765" i="6"/>
  <c r="P764" i="6"/>
  <c r="P763" i="6"/>
  <c r="P762" i="6"/>
  <c r="P761" i="6"/>
  <c r="P760" i="6"/>
  <c r="P759" i="6"/>
  <c r="P758" i="6"/>
  <c r="P757" i="6"/>
  <c r="P756" i="6"/>
  <c r="P755" i="6"/>
  <c r="P754" i="6"/>
  <c r="P753" i="6"/>
  <c r="P752" i="6"/>
  <c r="P751" i="6"/>
  <c r="P750" i="6"/>
  <c r="P749" i="6"/>
  <c r="P748" i="6"/>
  <c r="P747" i="6"/>
  <c r="P746" i="6"/>
  <c r="P745" i="6"/>
  <c r="P744" i="6"/>
  <c r="P743" i="6"/>
  <c r="P742" i="6"/>
  <c r="P741" i="6"/>
  <c r="P740" i="6"/>
  <c r="P739" i="6"/>
  <c r="P738" i="6"/>
  <c r="P737" i="6"/>
  <c r="P736" i="6"/>
  <c r="P735" i="6"/>
  <c r="P734" i="6"/>
  <c r="P733" i="6"/>
  <c r="P732" i="6"/>
  <c r="P731" i="6"/>
  <c r="P730" i="6"/>
  <c r="P729" i="6"/>
  <c r="P728" i="6"/>
  <c r="P727" i="6"/>
  <c r="P726" i="6"/>
  <c r="P725" i="6"/>
  <c r="P724" i="6"/>
  <c r="P723" i="6"/>
  <c r="P722" i="6"/>
  <c r="P721" i="6"/>
  <c r="P720" i="6"/>
  <c r="P719" i="6"/>
  <c r="P718" i="6"/>
  <c r="P717" i="6"/>
  <c r="P716" i="6"/>
  <c r="P715" i="6"/>
  <c r="P714" i="6"/>
  <c r="P713" i="6"/>
  <c r="P712" i="6"/>
  <c r="P711" i="6"/>
  <c r="P710" i="6"/>
  <c r="P709" i="6"/>
  <c r="P708" i="6"/>
  <c r="P707" i="6"/>
  <c r="P706" i="6"/>
  <c r="P705" i="6"/>
  <c r="P704" i="6"/>
  <c r="P703" i="6"/>
  <c r="P702" i="6"/>
  <c r="P701" i="6"/>
  <c r="P700" i="6"/>
  <c r="P699" i="6"/>
  <c r="P698" i="6"/>
  <c r="P697" i="6"/>
  <c r="P696" i="6"/>
  <c r="P695" i="6"/>
  <c r="P694" i="6"/>
  <c r="P693" i="6"/>
  <c r="P692" i="6"/>
  <c r="P691" i="6"/>
  <c r="P690" i="6"/>
  <c r="P689" i="6"/>
  <c r="P688" i="6"/>
  <c r="P687" i="6"/>
  <c r="P686" i="6"/>
  <c r="P685" i="6"/>
  <c r="P684" i="6"/>
  <c r="P683" i="6"/>
  <c r="P682" i="6"/>
  <c r="P681" i="6"/>
  <c r="P680" i="6"/>
  <c r="P679" i="6"/>
  <c r="P678" i="6"/>
  <c r="P677" i="6"/>
  <c r="P676" i="6"/>
  <c r="P675" i="6"/>
  <c r="P674" i="6"/>
  <c r="P673" i="6"/>
  <c r="P672" i="6"/>
  <c r="P671" i="6"/>
  <c r="P670" i="6"/>
  <c r="P669" i="6"/>
  <c r="P668" i="6"/>
  <c r="P667" i="6"/>
  <c r="P666" i="6"/>
  <c r="P665" i="6"/>
  <c r="P664" i="6"/>
  <c r="P663" i="6"/>
  <c r="P662" i="6"/>
  <c r="P661" i="6"/>
  <c r="P660" i="6"/>
  <c r="P659" i="6"/>
  <c r="P658" i="6"/>
  <c r="P657" i="6"/>
  <c r="P656" i="6"/>
  <c r="P655" i="6"/>
  <c r="P654" i="6"/>
  <c r="P653" i="6"/>
  <c r="P652" i="6"/>
  <c r="P651" i="6"/>
  <c r="P650" i="6"/>
  <c r="P649" i="6"/>
  <c r="P648" i="6"/>
  <c r="P647" i="6"/>
  <c r="P646" i="6"/>
  <c r="P645" i="6"/>
  <c r="P644" i="6"/>
  <c r="P643" i="6"/>
  <c r="P642" i="6"/>
  <c r="P641" i="6"/>
  <c r="P640" i="6"/>
  <c r="P639" i="6"/>
  <c r="P638" i="6"/>
  <c r="P637" i="6"/>
  <c r="P636" i="6"/>
  <c r="P635" i="6"/>
  <c r="P634" i="6"/>
  <c r="P633" i="6"/>
  <c r="P632" i="6"/>
  <c r="P631" i="6"/>
  <c r="P630" i="6"/>
  <c r="P629" i="6"/>
  <c r="P628" i="6"/>
  <c r="P627" i="6"/>
  <c r="P626" i="6"/>
  <c r="P625" i="6"/>
  <c r="P624" i="6"/>
  <c r="P623" i="6"/>
  <c r="P622" i="6"/>
  <c r="P621" i="6"/>
  <c r="P620" i="6"/>
  <c r="P619" i="6"/>
  <c r="P618" i="6"/>
  <c r="P617" i="6"/>
  <c r="P616" i="6"/>
  <c r="P615" i="6"/>
  <c r="P614" i="6"/>
  <c r="P613" i="6"/>
  <c r="P612" i="6"/>
  <c r="P611" i="6"/>
  <c r="P610" i="6"/>
  <c r="P609" i="6"/>
  <c r="P608" i="6"/>
  <c r="P607" i="6"/>
  <c r="P606" i="6"/>
  <c r="P605" i="6"/>
  <c r="P604" i="6"/>
  <c r="P603" i="6"/>
  <c r="P602" i="6"/>
  <c r="P601" i="6"/>
  <c r="P600" i="6"/>
  <c r="P599" i="6"/>
  <c r="P598" i="6"/>
  <c r="P597" i="6"/>
  <c r="P596" i="6"/>
  <c r="P595" i="6"/>
  <c r="P594" i="6"/>
  <c r="P593" i="6"/>
  <c r="P592" i="6"/>
  <c r="P591" i="6"/>
  <c r="P590" i="6"/>
  <c r="P589" i="6"/>
  <c r="P588" i="6"/>
  <c r="P587" i="6"/>
  <c r="P586" i="6"/>
  <c r="P585" i="6"/>
  <c r="P584" i="6"/>
  <c r="P583" i="6"/>
  <c r="P582" i="6"/>
  <c r="P581" i="6"/>
  <c r="P580" i="6"/>
  <c r="P579" i="6"/>
  <c r="P578" i="6"/>
  <c r="P577" i="6"/>
  <c r="P576" i="6"/>
  <c r="P575" i="6"/>
  <c r="P574" i="6"/>
  <c r="P573" i="6"/>
  <c r="P572" i="6"/>
  <c r="P571" i="6"/>
  <c r="P570" i="6"/>
  <c r="P569" i="6"/>
  <c r="P568" i="6"/>
  <c r="P567" i="6"/>
  <c r="P566" i="6"/>
  <c r="P565" i="6"/>
  <c r="P564" i="6"/>
  <c r="P563" i="6"/>
  <c r="P562" i="6"/>
  <c r="P561" i="6"/>
  <c r="P560" i="6"/>
  <c r="P559" i="6"/>
  <c r="P558" i="6"/>
  <c r="P557" i="6"/>
  <c r="P556" i="6"/>
  <c r="P555" i="6"/>
  <c r="P554" i="6"/>
  <c r="P553" i="6"/>
  <c r="P552" i="6"/>
  <c r="P551" i="6"/>
  <c r="P550" i="6"/>
  <c r="P549" i="6"/>
  <c r="P548" i="6"/>
  <c r="P547" i="6"/>
  <c r="P546" i="6"/>
  <c r="P545" i="6"/>
  <c r="P544" i="6"/>
  <c r="P543" i="6"/>
  <c r="P542" i="6"/>
  <c r="P541" i="6"/>
  <c r="P540" i="6"/>
  <c r="P539" i="6"/>
  <c r="P538" i="6"/>
  <c r="P537" i="6"/>
  <c r="P536" i="6"/>
  <c r="P535" i="6"/>
  <c r="P534" i="6"/>
  <c r="P533" i="6"/>
  <c r="P532" i="6"/>
  <c r="P531" i="6"/>
  <c r="P530" i="6"/>
  <c r="P529" i="6"/>
  <c r="P528" i="6"/>
  <c r="P527" i="6"/>
  <c r="P526" i="6"/>
  <c r="P525" i="6"/>
  <c r="P524" i="6"/>
  <c r="P523" i="6"/>
  <c r="P522" i="6"/>
  <c r="P521" i="6"/>
  <c r="P520" i="6"/>
  <c r="P519" i="6"/>
  <c r="P518" i="6"/>
  <c r="P517" i="6"/>
  <c r="P516" i="6"/>
  <c r="P515" i="6"/>
  <c r="P514" i="6"/>
  <c r="P513" i="6"/>
  <c r="P512" i="6"/>
  <c r="P511" i="6"/>
  <c r="P510" i="6"/>
  <c r="P509" i="6"/>
  <c r="P508" i="6"/>
  <c r="P507" i="6"/>
  <c r="P506" i="6"/>
  <c r="P505" i="6"/>
  <c r="P504" i="6"/>
  <c r="P503" i="6"/>
  <c r="P502" i="6"/>
  <c r="P501" i="6"/>
  <c r="P500" i="6"/>
  <c r="P499" i="6"/>
  <c r="P498" i="6"/>
  <c r="P497" i="6"/>
  <c r="P496" i="6"/>
  <c r="P495" i="6"/>
  <c r="P494" i="6"/>
  <c r="P493" i="6"/>
  <c r="P492" i="6"/>
  <c r="P491" i="6"/>
  <c r="P490" i="6"/>
  <c r="P489" i="6"/>
  <c r="P488" i="6"/>
  <c r="P487" i="6"/>
  <c r="P486" i="6"/>
  <c r="P485" i="6"/>
  <c r="P484" i="6"/>
  <c r="P483" i="6"/>
  <c r="P482" i="6"/>
  <c r="P481" i="6"/>
  <c r="P480" i="6"/>
  <c r="P479" i="6"/>
  <c r="P478" i="6"/>
  <c r="P477" i="6"/>
  <c r="P476" i="6"/>
  <c r="P475" i="6"/>
  <c r="P474" i="6"/>
  <c r="P473" i="6"/>
  <c r="P472" i="6"/>
  <c r="P471" i="6"/>
  <c r="P470" i="6"/>
  <c r="P469" i="6"/>
  <c r="P468" i="6"/>
  <c r="P467" i="6"/>
  <c r="P466" i="6"/>
  <c r="P465" i="6"/>
  <c r="P464" i="6"/>
  <c r="P463" i="6"/>
  <c r="P462" i="6"/>
  <c r="P461" i="6"/>
  <c r="P460" i="6"/>
  <c r="P459" i="6"/>
  <c r="P458" i="6"/>
  <c r="P457" i="6"/>
  <c r="P456" i="6"/>
  <c r="P455" i="6"/>
  <c r="P454" i="6"/>
  <c r="P453" i="6"/>
  <c r="P452" i="6"/>
  <c r="P451" i="6"/>
  <c r="P450" i="6"/>
  <c r="P449" i="6"/>
  <c r="P448" i="6"/>
  <c r="P447" i="6"/>
  <c r="P446" i="6"/>
  <c r="P445" i="6"/>
  <c r="P444" i="6"/>
  <c r="P443" i="6"/>
  <c r="P442" i="6"/>
  <c r="P441" i="6"/>
  <c r="P440" i="6"/>
  <c r="P439" i="6"/>
  <c r="P438" i="6"/>
  <c r="P437" i="6"/>
  <c r="P436" i="6"/>
  <c r="P435" i="6"/>
  <c r="P434" i="6"/>
  <c r="P433" i="6"/>
  <c r="P432" i="6"/>
  <c r="P431" i="6"/>
  <c r="P430" i="6"/>
  <c r="P429" i="6"/>
  <c r="P428" i="6"/>
  <c r="P427" i="6"/>
  <c r="P426" i="6"/>
  <c r="P425" i="6"/>
  <c r="P424" i="6"/>
  <c r="P423" i="6"/>
  <c r="P422" i="6"/>
  <c r="P421" i="6"/>
  <c r="P420" i="6"/>
  <c r="P419" i="6"/>
  <c r="P418" i="6"/>
  <c r="P417" i="6"/>
  <c r="P416" i="6"/>
  <c r="P415" i="6"/>
  <c r="P414" i="6"/>
  <c r="P413" i="6"/>
  <c r="P412" i="6"/>
  <c r="P411" i="6"/>
  <c r="P410" i="6"/>
  <c r="P409" i="6"/>
  <c r="P408" i="6"/>
  <c r="P407" i="6"/>
  <c r="P406" i="6"/>
  <c r="P405" i="6"/>
  <c r="P404" i="6"/>
  <c r="P403" i="6"/>
  <c r="P402" i="6"/>
  <c r="P401" i="6"/>
  <c r="P400" i="6"/>
  <c r="P399" i="6"/>
  <c r="P398" i="6"/>
  <c r="P397" i="6"/>
  <c r="P396" i="6"/>
  <c r="P395" i="6"/>
  <c r="P394" i="6"/>
  <c r="P393" i="6"/>
  <c r="P392" i="6"/>
  <c r="P391" i="6"/>
  <c r="P390" i="6"/>
  <c r="P389" i="6"/>
  <c r="P388" i="6"/>
  <c r="P387" i="6"/>
  <c r="P386" i="6"/>
  <c r="P385" i="6"/>
  <c r="P384" i="6"/>
  <c r="P383" i="6"/>
  <c r="P382" i="6"/>
  <c r="P381" i="6"/>
  <c r="P380" i="6"/>
  <c r="P379" i="6"/>
  <c r="P378" i="6"/>
  <c r="P377" i="6"/>
  <c r="P376" i="6"/>
  <c r="P375" i="6"/>
  <c r="P374" i="6"/>
  <c r="P373" i="6"/>
  <c r="P372" i="6"/>
  <c r="P371" i="6"/>
  <c r="P370" i="6"/>
  <c r="P369" i="6"/>
  <c r="P368" i="6"/>
  <c r="P367" i="6"/>
  <c r="P366" i="6"/>
  <c r="P365" i="6"/>
  <c r="P364" i="6"/>
  <c r="P363" i="6"/>
  <c r="P362" i="6"/>
  <c r="P361" i="6"/>
  <c r="P360" i="6"/>
  <c r="P359" i="6"/>
  <c r="P358" i="6"/>
  <c r="P357" i="6"/>
  <c r="P356" i="6"/>
  <c r="P355" i="6"/>
  <c r="P354" i="6"/>
  <c r="P353" i="6"/>
  <c r="P352" i="6"/>
  <c r="P351" i="6"/>
  <c r="P350" i="6"/>
  <c r="P349" i="6"/>
  <c r="P348" i="6"/>
  <c r="P347" i="6"/>
  <c r="P346" i="6"/>
  <c r="P345" i="6"/>
  <c r="P344" i="6"/>
  <c r="P343" i="6"/>
  <c r="P342" i="6"/>
  <c r="P341" i="6"/>
  <c r="P340" i="6"/>
  <c r="P339" i="6"/>
  <c r="P338" i="6"/>
  <c r="P337" i="6"/>
  <c r="P336" i="6"/>
  <c r="P335" i="6"/>
  <c r="P334" i="6"/>
  <c r="P333" i="6"/>
  <c r="P332" i="6"/>
  <c r="P331" i="6"/>
  <c r="P330" i="6"/>
  <c r="P329" i="6"/>
  <c r="P328" i="6"/>
  <c r="P327" i="6"/>
  <c r="P326" i="6"/>
  <c r="P325" i="6"/>
  <c r="P324" i="6"/>
  <c r="P323" i="6"/>
  <c r="P322" i="6"/>
  <c r="P321" i="6"/>
  <c r="P320" i="6"/>
  <c r="P319" i="6"/>
  <c r="P318" i="6"/>
  <c r="P317" i="6"/>
  <c r="P316" i="6"/>
  <c r="P315" i="6"/>
  <c r="P314" i="6"/>
  <c r="P313" i="6"/>
  <c r="P312" i="6"/>
  <c r="P311" i="6"/>
  <c r="P310" i="6"/>
  <c r="P309" i="6"/>
  <c r="P308" i="6"/>
  <c r="P307" i="6"/>
  <c r="P306" i="6"/>
  <c r="P305" i="6"/>
  <c r="P304" i="6"/>
  <c r="P303" i="6"/>
  <c r="P302" i="6"/>
  <c r="P301" i="6"/>
  <c r="P300" i="6"/>
  <c r="P299" i="6"/>
  <c r="P298" i="6"/>
  <c r="P297" i="6"/>
  <c r="P296" i="6"/>
  <c r="P295" i="6"/>
  <c r="P294" i="6"/>
  <c r="P293" i="6"/>
  <c r="P292" i="6"/>
  <c r="P291" i="6"/>
  <c r="P290" i="6"/>
  <c r="P289" i="6"/>
  <c r="P288" i="6"/>
  <c r="P287" i="6"/>
  <c r="P286" i="6"/>
  <c r="P285" i="6"/>
  <c r="P284" i="6"/>
  <c r="P283" i="6"/>
  <c r="P282" i="6"/>
  <c r="P281" i="6"/>
  <c r="P280" i="6"/>
  <c r="P279" i="6"/>
  <c r="P278" i="6"/>
  <c r="P277" i="6"/>
  <c r="P276" i="6"/>
  <c r="P275" i="6"/>
  <c r="P274" i="6"/>
  <c r="P273" i="6"/>
  <c r="P272" i="6"/>
  <c r="P271" i="6"/>
  <c r="P270" i="6"/>
  <c r="P269" i="6"/>
  <c r="P268" i="6"/>
  <c r="P267" i="6"/>
  <c r="P266" i="6"/>
  <c r="P265" i="6"/>
  <c r="P264" i="6"/>
  <c r="P263" i="6"/>
  <c r="P262" i="6"/>
  <c r="P261" i="6"/>
  <c r="P260" i="6"/>
  <c r="P259" i="6"/>
  <c r="P258" i="6"/>
  <c r="P257" i="6"/>
  <c r="P256" i="6"/>
  <c r="P255" i="6"/>
  <c r="P254" i="6"/>
  <c r="P253" i="6"/>
  <c r="P252" i="6"/>
  <c r="P251" i="6"/>
  <c r="P250" i="6"/>
  <c r="P249" i="6"/>
  <c r="P248" i="6"/>
  <c r="P247" i="6"/>
  <c r="P246" i="6"/>
  <c r="P245" i="6"/>
  <c r="P244" i="6"/>
  <c r="P243" i="6"/>
  <c r="P242" i="6"/>
  <c r="P241" i="6"/>
  <c r="P240" i="6"/>
  <c r="P239" i="6"/>
  <c r="P238" i="6"/>
  <c r="P237" i="6"/>
  <c r="P236" i="6"/>
  <c r="P235" i="6"/>
  <c r="P234" i="6"/>
  <c r="P233" i="6"/>
  <c r="P232" i="6"/>
  <c r="P231" i="6"/>
  <c r="P230" i="6"/>
  <c r="P229" i="6"/>
  <c r="P228" i="6"/>
  <c r="P227" i="6"/>
  <c r="P226" i="6"/>
  <c r="P225" i="6"/>
  <c r="P224" i="6"/>
  <c r="P223" i="6"/>
  <c r="P222" i="6"/>
  <c r="P221" i="6"/>
  <c r="P220" i="6"/>
  <c r="P219" i="6"/>
  <c r="P218" i="6"/>
  <c r="P217" i="6"/>
  <c r="P216" i="6"/>
  <c r="P215" i="6"/>
  <c r="P214" i="6"/>
  <c r="P213" i="6"/>
  <c r="P212" i="6"/>
  <c r="P211" i="6"/>
  <c r="P210" i="6"/>
  <c r="P209" i="6"/>
  <c r="P208" i="6"/>
  <c r="P207" i="6"/>
  <c r="P206" i="6"/>
  <c r="P205" i="6"/>
  <c r="P204" i="6"/>
  <c r="P203" i="6"/>
  <c r="P202" i="6"/>
  <c r="P201" i="6"/>
  <c r="P200" i="6"/>
  <c r="P199" i="6"/>
  <c r="P198" i="6"/>
  <c r="P197" i="6"/>
  <c r="P196" i="6"/>
  <c r="P195" i="6"/>
  <c r="P194" i="6"/>
  <c r="P193" i="6"/>
  <c r="P192" i="6"/>
  <c r="P191" i="6"/>
  <c r="P190" i="6"/>
  <c r="P189" i="6"/>
  <c r="P188" i="6"/>
  <c r="P187" i="6"/>
  <c r="P186" i="6"/>
  <c r="P185" i="6"/>
  <c r="P184" i="6"/>
  <c r="P183" i="6"/>
  <c r="P182" i="6"/>
  <c r="P181" i="6"/>
  <c r="P180" i="6"/>
  <c r="P179" i="6"/>
  <c r="P178" i="6"/>
  <c r="P177" i="6"/>
  <c r="P176" i="6"/>
  <c r="P175" i="6"/>
  <c r="P174" i="6"/>
  <c r="P173" i="6"/>
  <c r="P172" i="6"/>
  <c r="P171" i="6"/>
  <c r="P170" i="6"/>
  <c r="P169" i="6"/>
  <c r="P168" i="6"/>
  <c r="P167" i="6"/>
  <c r="P166" i="6"/>
  <c r="P165" i="6"/>
  <c r="P164" i="6"/>
  <c r="P163" i="6"/>
  <c r="P162" i="6"/>
  <c r="P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N385" i="5"/>
  <c r="N384" i="5"/>
  <c r="N383" i="5"/>
  <c r="N382" i="5"/>
  <c r="N381" i="5"/>
  <c r="N380" i="5"/>
  <c r="N379" i="5"/>
  <c r="N378" i="5"/>
  <c r="N377" i="5"/>
  <c r="N376" i="5"/>
  <c r="N375" i="5"/>
  <c r="N374" i="5"/>
  <c r="N373" i="5"/>
  <c r="N372" i="5"/>
  <c r="N371" i="5"/>
  <c r="N370" i="5"/>
  <c r="N369" i="5"/>
  <c r="N368" i="5"/>
  <c r="N367" i="5"/>
  <c r="N366" i="5"/>
  <c r="N365" i="5"/>
  <c r="N364" i="5"/>
  <c r="N363" i="5"/>
  <c r="N362" i="5"/>
  <c r="N361" i="5"/>
  <c r="N360" i="5"/>
  <c r="N359" i="5"/>
  <c r="N358" i="5"/>
  <c r="N357" i="5"/>
  <c r="N356" i="5"/>
  <c r="N355" i="5"/>
  <c r="N354" i="5"/>
  <c r="N353" i="5"/>
  <c r="N352" i="5"/>
  <c r="N351" i="5"/>
  <c r="N350" i="5"/>
  <c r="N349" i="5"/>
  <c r="N348" i="5"/>
  <c r="N347" i="5"/>
  <c r="N346" i="5"/>
  <c r="N345" i="5"/>
  <c r="N344" i="5"/>
  <c r="N343" i="5"/>
  <c r="N342" i="5"/>
  <c r="N341" i="5"/>
  <c r="N340" i="5"/>
  <c r="N339" i="5"/>
  <c r="N338" i="5"/>
  <c r="N337" i="5"/>
  <c r="N336" i="5"/>
  <c r="N335" i="5"/>
  <c r="N334" i="5"/>
  <c r="N333" i="5"/>
  <c r="N332" i="5"/>
  <c r="N331" i="5"/>
  <c r="N330" i="5"/>
  <c r="N329" i="5"/>
  <c r="N328" i="5"/>
  <c r="N327" i="5"/>
  <c r="N326" i="5"/>
  <c r="N325" i="5"/>
  <c r="N324" i="5"/>
  <c r="N323" i="5"/>
  <c r="N322" i="5"/>
  <c r="N321" i="5"/>
  <c r="N320" i="5"/>
  <c r="N319" i="5"/>
  <c r="N318" i="5"/>
  <c r="N317" i="5"/>
  <c r="N316" i="5"/>
  <c r="N315" i="5"/>
  <c r="N314" i="5"/>
  <c r="N313" i="5"/>
  <c r="N312" i="5"/>
  <c r="N311" i="5"/>
  <c r="N310" i="5"/>
  <c r="N309" i="5"/>
  <c r="N308" i="5"/>
  <c r="N307" i="5"/>
  <c r="N306" i="5"/>
  <c r="N305" i="5"/>
  <c r="N304" i="5"/>
  <c r="N303" i="5"/>
  <c r="N302" i="5"/>
  <c r="N301" i="5"/>
  <c r="N300" i="5"/>
  <c r="N299" i="5"/>
  <c r="N298" i="5"/>
  <c r="N297" i="5"/>
  <c r="N296" i="5"/>
  <c r="N295" i="5"/>
  <c r="N294" i="5"/>
  <c r="N293" i="5"/>
  <c r="N292" i="5"/>
  <c r="N291" i="5"/>
  <c r="N290" i="5"/>
  <c r="N289" i="5"/>
  <c r="N288" i="5"/>
  <c r="N287" i="5"/>
  <c r="N286" i="5"/>
  <c r="N285" i="5"/>
  <c r="N284" i="5"/>
  <c r="N283" i="5"/>
  <c r="N282" i="5"/>
  <c r="N281" i="5"/>
  <c r="N280" i="5"/>
  <c r="N279" i="5"/>
  <c r="N278" i="5"/>
  <c r="N277" i="5"/>
  <c r="N276" i="5"/>
  <c r="N275" i="5"/>
  <c r="N274" i="5"/>
  <c r="N273" i="5"/>
  <c r="N272" i="5"/>
  <c r="N271" i="5"/>
  <c r="N270" i="5"/>
  <c r="N269" i="5"/>
  <c r="N268" i="5"/>
  <c r="N267" i="5"/>
  <c r="N266" i="5"/>
  <c r="N265" i="5"/>
  <c r="N264" i="5"/>
  <c r="N263" i="5"/>
  <c r="N262" i="5"/>
  <c r="N261" i="5"/>
  <c r="N260" i="5"/>
  <c r="N259" i="5"/>
  <c r="N258" i="5"/>
  <c r="N257" i="5"/>
  <c r="N256" i="5"/>
  <c r="N255" i="5"/>
  <c r="N254" i="5"/>
  <c r="N253" i="5"/>
  <c r="N252" i="5"/>
  <c r="N251" i="5"/>
  <c r="N250" i="5"/>
  <c r="N249" i="5"/>
  <c r="N248" i="5"/>
  <c r="N247" i="5"/>
  <c r="N246" i="5"/>
  <c r="N245" i="5"/>
  <c r="N244" i="5"/>
  <c r="N243" i="5"/>
  <c r="N242" i="5"/>
  <c r="N241" i="5"/>
  <c r="N240" i="5"/>
  <c r="N239" i="5"/>
  <c r="N238" i="5"/>
  <c r="N237" i="5"/>
  <c r="N236" i="5"/>
  <c r="N235" i="5"/>
  <c r="N234" i="5"/>
  <c r="N233" i="5"/>
  <c r="N232" i="5"/>
  <c r="N231" i="5"/>
  <c r="N230" i="5"/>
  <c r="N229" i="5"/>
  <c r="N228" i="5"/>
  <c r="N227" i="5"/>
  <c r="N226" i="5"/>
  <c r="N225" i="5"/>
  <c r="N224" i="5"/>
  <c r="N223" i="5"/>
  <c r="N222" i="5"/>
  <c r="N221" i="5"/>
  <c r="N220" i="5"/>
  <c r="N219" i="5"/>
  <c r="N218" i="5"/>
  <c r="N217" i="5"/>
  <c r="N216" i="5"/>
  <c r="N215" i="5"/>
  <c r="N214" i="5"/>
  <c r="N213" i="5"/>
  <c r="N212" i="5"/>
  <c r="N211" i="5"/>
  <c r="N210" i="5"/>
  <c r="N209" i="5"/>
  <c r="N208" i="5"/>
  <c r="N207" i="5"/>
  <c r="N206" i="5"/>
  <c r="N205" i="5"/>
  <c r="N204" i="5"/>
  <c r="N203" i="5"/>
  <c r="N202" i="5"/>
  <c r="N201" i="5"/>
  <c r="N200" i="5"/>
  <c r="N199" i="5"/>
  <c r="N198" i="5"/>
  <c r="N197" i="5"/>
  <c r="N196" i="5"/>
  <c r="N195" i="5"/>
  <c r="N194" i="5"/>
  <c r="N193" i="5"/>
  <c r="N192" i="5"/>
  <c r="N191" i="5"/>
  <c r="N190" i="5"/>
  <c r="N189" i="5"/>
  <c r="N188" i="5"/>
  <c r="N187" i="5"/>
  <c r="N186" i="5"/>
  <c r="N185" i="5"/>
  <c r="N184" i="5"/>
  <c r="N183" i="5"/>
  <c r="N182" i="5"/>
  <c r="N181" i="5"/>
  <c r="N180" i="5"/>
  <c r="N179" i="5"/>
  <c r="N178" i="5"/>
  <c r="N177" i="5"/>
  <c r="N176" i="5"/>
  <c r="N175" i="5"/>
  <c r="N174" i="5"/>
  <c r="N173" i="5"/>
  <c r="N172" i="5"/>
  <c r="N171" i="5"/>
  <c r="N170" i="5"/>
  <c r="N169" i="5"/>
  <c r="N168" i="5"/>
  <c r="N167" i="5"/>
  <c r="N166" i="5"/>
  <c r="N165" i="5"/>
  <c r="N164" i="5"/>
  <c r="N163" i="5"/>
  <c r="N162" i="5"/>
  <c r="N161" i="5"/>
  <c r="N160" i="5"/>
  <c r="N159" i="5"/>
  <c r="N158" i="5"/>
  <c r="N157" i="5"/>
  <c r="N156" i="5"/>
  <c r="N155" i="5"/>
  <c r="N154" i="5"/>
  <c r="N153" i="5"/>
  <c r="N152" i="5"/>
  <c r="N151" i="5"/>
  <c r="N150" i="5"/>
  <c r="N149" i="5"/>
  <c r="N148" i="5"/>
  <c r="N147" i="5"/>
  <c r="N146"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8" i="5"/>
  <c r="N117"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T385" i="3"/>
  <c r="T384" i="3"/>
  <c r="T383" i="3"/>
  <c r="T382" i="3"/>
  <c r="T381" i="3"/>
  <c r="T380" i="3"/>
  <c r="T379" i="3"/>
  <c r="T378" i="3"/>
  <c r="T377" i="3"/>
  <c r="T376" i="3"/>
  <c r="T375" i="3"/>
  <c r="T374" i="3"/>
  <c r="T373" i="3"/>
  <c r="T372" i="3"/>
  <c r="T371" i="3"/>
  <c r="T370" i="3"/>
  <c r="T369" i="3"/>
  <c r="T368" i="3"/>
  <c r="T367" i="3"/>
  <c r="T366" i="3"/>
  <c r="T365" i="3"/>
  <c r="T364" i="3"/>
  <c r="T363" i="3"/>
  <c r="T362" i="3"/>
  <c r="T361" i="3"/>
  <c r="T360" i="3"/>
  <c r="T359" i="3"/>
  <c r="T358" i="3"/>
  <c r="T357" i="3"/>
  <c r="T356" i="3"/>
  <c r="T355" i="3"/>
  <c r="T354" i="3"/>
  <c r="T353" i="3"/>
  <c r="T352" i="3"/>
  <c r="T351" i="3"/>
  <c r="T350" i="3"/>
  <c r="T349" i="3"/>
  <c r="T348" i="3"/>
  <c r="T347" i="3"/>
  <c r="T346" i="3"/>
  <c r="T345" i="3"/>
  <c r="T344" i="3"/>
  <c r="T343" i="3"/>
  <c r="T342" i="3"/>
  <c r="T341" i="3"/>
  <c r="T340" i="3"/>
  <c r="T339" i="3"/>
  <c r="T338" i="3"/>
  <c r="T337" i="3"/>
  <c r="T336" i="3"/>
  <c r="T335" i="3"/>
  <c r="T334" i="3"/>
  <c r="T333" i="3"/>
  <c r="T332" i="3"/>
  <c r="T331" i="3"/>
  <c r="T330" i="3"/>
  <c r="T329" i="3"/>
  <c r="T328" i="3"/>
  <c r="T327" i="3"/>
  <c r="T326" i="3"/>
  <c r="T325" i="3"/>
  <c r="T324" i="3"/>
  <c r="T323" i="3"/>
  <c r="T322" i="3"/>
  <c r="T321" i="3"/>
  <c r="T320" i="3"/>
  <c r="T319" i="3"/>
  <c r="T318" i="3"/>
  <c r="T317" i="3"/>
  <c r="T316" i="3"/>
  <c r="T315" i="3"/>
  <c r="T314" i="3"/>
  <c r="T313" i="3"/>
  <c r="T312" i="3"/>
  <c r="T311" i="3"/>
  <c r="T310" i="3"/>
  <c r="T309" i="3"/>
  <c r="T308" i="3"/>
  <c r="T307" i="3"/>
  <c r="T306" i="3"/>
  <c r="T305" i="3"/>
  <c r="T304" i="3"/>
  <c r="T303" i="3"/>
  <c r="T302" i="3"/>
  <c r="T301" i="3"/>
  <c r="T300" i="3"/>
  <c r="T299" i="3"/>
  <c r="T298" i="3"/>
  <c r="T297" i="3"/>
  <c r="T296" i="3"/>
  <c r="T295" i="3"/>
  <c r="T294" i="3"/>
  <c r="T293" i="3"/>
  <c r="T292" i="3"/>
  <c r="T291" i="3"/>
  <c r="T290" i="3"/>
  <c r="T289" i="3"/>
  <c r="T288" i="3"/>
  <c r="T287" i="3"/>
  <c r="T286" i="3"/>
  <c r="T285" i="3"/>
  <c r="T284" i="3"/>
  <c r="T283" i="3"/>
  <c r="T282" i="3"/>
  <c r="T281" i="3"/>
  <c r="T280" i="3"/>
  <c r="T279" i="3"/>
  <c r="T278" i="3"/>
  <c r="T277" i="3"/>
  <c r="T276" i="3"/>
  <c r="T275" i="3"/>
  <c r="T274" i="3"/>
  <c r="T273" i="3"/>
  <c r="T272" i="3"/>
  <c r="T271" i="3"/>
  <c r="T270" i="3"/>
  <c r="T269" i="3"/>
  <c r="T268" i="3"/>
  <c r="T267" i="3"/>
  <c r="T266" i="3"/>
  <c r="T265" i="3"/>
  <c r="T264" i="3"/>
  <c r="T263" i="3"/>
  <c r="T262" i="3"/>
  <c r="T261" i="3"/>
  <c r="T260" i="3"/>
  <c r="T259" i="3"/>
  <c r="T258" i="3"/>
  <c r="T257" i="3"/>
  <c r="T256" i="3"/>
  <c r="T255" i="3"/>
  <c r="T254" i="3"/>
  <c r="T253" i="3"/>
  <c r="T252" i="3"/>
  <c r="T251" i="3"/>
  <c r="T250" i="3"/>
  <c r="T249" i="3"/>
  <c r="T248" i="3"/>
  <c r="T247" i="3"/>
  <c r="T246" i="3"/>
  <c r="T245" i="3"/>
  <c r="T244" i="3"/>
  <c r="T243" i="3"/>
  <c r="T242" i="3"/>
  <c r="T241" i="3"/>
  <c r="T240" i="3"/>
  <c r="T239" i="3"/>
  <c r="T238" i="3"/>
  <c r="T237" i="3"/>
  <c r="T236" i="3"/>
  <c r="T235" i="3"/>
  <c r="T234" i="3"/>
  <c r="T233" i="3"/>
  <c r="T232" i="3"/>
  <c r="T231" i="3"/>
  <c r="T230" i="3"/>
  <c r="T229" i="3"/>
  <c r="T228" i="3"/>
  <c r="T227" i="3"/>
  <c r="T226" i="3"/>
  <c r="T225" i="3"/>
  <c r="T224" i="3"/>
  <c r="T223" i="3"/>
  <c r="T222" i="3"/>
  <c r="T221" i="3"/>
  <c r="T220" i="3"/>
  <c r="T219" i="3"/>
  <c r="T218" i="3"/>
  <c r="T217" i="3"/>
  <c r="T216" i="3"/>
  <c r="T215" i="3"/>
  <c r="T214" i="3"/>
  <c r="T213" i="3"/>
  <c r="T212" i="3"/>
  <c r="T211" i="3"/>
  <c r="T210" i="3"/>
  <c r="T209" i="3"/>
  <c r="T208" i="3"/>
  <c r="T207" i="3"/>
  <c r="T206" i="3"/>
  <c r="T205" i="3"/>
  <c r="T204" i="3"/>
  <c r="T203" i="3"/>
  <c r="T202" i="3"/>
  <c r="T201" i="3"/>
  <c r="T200" i="3"/>
  <c r="T199" i="3"/>
  <c r="T198" i="3"/>
  <c r="T197" i="3"/>
  <c r="T196" i="3"/>
  <c r="T195" i="3"/>
  <c r="T194" i="3"/>
  <c r="T193" i="3"/>
  <c r="T192" i="3"/>
  <c r="T191" i="3"/>
  <c r="T190" i="3"/>
  <c r="T189" i="3"/>
  <c r="T188" i="3"/>
  <c r="T187" i="3"/>
  <c r="T186" i="3"/>
  <c r="T185" i="3"/>
  <c r="T184" i="3"/>
  <c r="T183" i="3"/>
  <c r="T182" i="3"/>
  <c r="T181" i="3"/>
  <c r="T180" i="3"/>
  <c r="T179" i="3"/>
  <c r="T178" i="3"/>
  <c r="T177" i="3"/>
  <c r="T176" i="3"/>
  <c r="T175" i="3"/>
  <c r="T174" i="3"/>
  <c r="T173" i="3"/>
  <c r="T172" i="3"/>
  <c r="T171" i="3"/>
  <c r="T170" i="3"/>
  <c r="T169" i="3"/>
  <c r="T168" i="3"/>
  <c r="T167" i="3"/>
  <c r="T166" i="3"/>
  <c r="T165" i="3"/>
  <c r="T164" i="3"/>
  <c r="T163" i="3"/>
  <c r="T162" i="3"/>
  <c r="T161" i="3"/>
  <c r="T160" i="3"/>
  <c r="T159" i="3"/>
  <c r="T158" i="3"/>
  <c r="T157" i="3"/>
  <c r="T156" i="3"/>
  <c r="T155" i="3"/>
  <c r="T154" i="3"/>
  <c r="T153" i="3"/>
  <c r="T152" i="3"/>
  <c r="T151" i="3"/>
  <c r="T150" i="3"/>
  <c r="T149" i="3"/>
  <c r="T148" i="3"/>
  <c r="T147" i="3"/>
  <c r="T146"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O3935" i="2"/>
  <c r="O3934" i="2"/>
  <c r="O3933" i="2"/>
  <c r="O3932" i="2"/>
  <c r="O3931" i="2"/>
  <c r="O3930" i="2"/>
  <c r="O3929" i="2"/>
  <c r="O3928" i="2"/>
  <c r="O3927" i="2"/>
  <c r="O3926" i="2"/>
  <c r="O3925" i="2"/>
  <c r="O3924" i="2"/>
  <c r="O3923" i="2"/>
  <c r="O3922" i="2"/>
  <c r="O3921" i="2"/>
  <c r="O3920" i="2"/>
  <c r="O3919" i="2"/>
  <c r="O3918" i="2"/>
  <c r="O3917" i="2"/>
  <c r="O3916" i="2"/>
  <c r="O3915" i="2"/>
  <c r="O3914" i="2"/>
  <c r="O3913" i="2"/>
  <c r="O3912" i="2"/>
  <c r="O3911" i="2"/>
  <c r="O3910" i="2"/>
  <c r="O3909" i="2"/>
  <c r="O3908" i="2"/>
  <c r="O3907" i="2"/>
  <c r="O3906" i="2"/>
  <c r="O3905" i="2"/>
  <c r="O3904" i="2"/>
  <c r="O3903" i="2"/>
  <c r="O3902" i="2"/>
  <c r="O3901" i="2"/>
  <c r="O3900" i="2"/>
  <c r="O3899" i="2"/>
  <c r="O3898" i="2"/>
  <c r="O3897" i="2"/>
  <c r="O3896" i="2"/>
  <c r="O3895" i="2"/>
  <c r="O3894" i="2"/>
  <c r="O3893" i="2"/>
  <c r="O3892" i="2"/>
  <c r="O3891" i="2"/>
  <c r="O3890" i="2"/>
  <c r="O3889" i="2"/>
  <c r="O3888" i="2"/>
  <c r="O3887" i="2"/>
  <c r="O3886" i="2"/>
  <c r="O3885" i="2"/>
  <c r="O3884" i="2"/>
  <c r="O3883" i="2"/>
  <c r="O3882" i="2"/>
  <c r="O3881" i="2"/>
  <c r="O3880" i="2"/>
  <c r="O3879" i="2"/>
  <c r="O3878" i="2"/>
  <c r="O3877" i="2"/>
  <c r="O3876" i="2"/>
  <c r="O3875" i="2"/>
  <c r="O3874" i="2"/>
  <c r="O3873" i="2"/>
  <c r="O3872" i="2"/>
  <c r="O3871" i="2"/>
  <c r="O3870" i="2"/>
  <c r="O3869" i="2"/>
  <c r="O3868" i="2"/>
  <c r="O3867" i="2"/>
  <c r="O3866" i="2"/>
  <c r="O3865" i="2"/>
  <c r="O3864" i="2"/>
  <c r="O3863" i="2"/>
  <c r="O3862" i="2"/>
  <c r="O3861" i="2"/>
  <c r="O3860" i="2"/>
  <c r="O3859" i="2"/>
  <c r="O3858" i="2"/>
  <c r="O3857" i="2"/>
  <c r="O3856" i="2"/>
  <c r="O3855" i="2"/>
  <c r="O3854" i="2"/>
  <c r="O3853" i="2"/>
  <c r="O3852" i="2"/>
  <c r="O3851" i="2"/>
  <c r="O3850" i="2"/>
  <c r="O3849" i="2"/>
  <c r="O3848" i="2"/>
  <c r="O3847" i="2"/>
  <c r="O3846" i="2"/>
  <c r="O3845" i="2"/>
  <c r="O3844" i="2"/>
  <c r="O3843" i="2"/>
  <c r="O3842" i="2"/>
  <c r="O3841" i="2"/>
  <c r="O3840" i="2"/>
  <c r="O3839" i="2"/>
  <c r="O3838" i="2"/>
  <c r="O3837" i="2"/>
  <c r="O3836" i="2"/>
  <c r="O3835" i="2"/>
  <c r="O3834" i="2"/>
  <c r="O3833" i="2"/>
  <c r="O3832" i="2"/>
  <c r="O3831" i="2"/>
  <c r="O3830" i="2"/>
  <c r="O3829" i="2"/>
  <c r="O3828" i="2"/>
  <c r="O3827" i="2"/>
  <c r="O3826" i="2"/>
  <c r="O3825" i="2"/>
  <c r="O3824" i="2"/>
  <c r="O3823" i="2"/>
  <c r="O3822" i="2"/>
  <c r="O3821" i="2"/>
  <c r="O3820" i="2"/>
  <c r="O3819" i="2"/>
  <c r="O3818" i="2"/>
  <c r="O3817" i="2"/>
  <c r="O3816" i="2"/>
  <c r="O3815" i="2"/>
  <c r="O3814" i="2"/>
  <c r="O3813" i="2"/>
  <c r="O3812" i="2"/>
  <c r="O3811" i="2"/>
  <c r="O3810" i="2"/>
  <c r="O3809" i="2"/>
  <c r="O3808" i="2"/>
  <c r="O3807" i="2"/>
  <c r="O3806" i="2"/>
  <c r="O3805" i="2"/>
  <c r="O3804" i="2"/>
  <c r="O3803" i="2"/>
  <c r="O3802" i="2"/>
  <c r="O3801" i="2"/>
  <c r="O3800" i="2"/>
  <c r="O3799" i="2"/>
  <c r="O3798" i="2"/>
  <c r="O3797" i="2"/>
  <c r="O3796" i="2"/>
  <c r="O3795" i="2"/>
  <c r="O3794" i="2"/>
  <c r="O3793" i="2"/>
  <c r="O3792" i="2"/>
  <c r="O3791" i="2"/>
  <c r="O3790" i="2"/>
  <c r="O3789" i="2"/>
  <c r="O3788" i="2"/>
  <c r="O3787" i="2"/>
  <c r="O3786" i="2"/>
  <c r="O3785" i="2"/>
  <c r="O3784" i="2"/>
  <c r="O3783" i="2"/>
  <c r="O3782" i="2"/>
  <c r="O3781" i="2"/>
  <c r="O3780" i="2"/>
  <c r="O3779" i="2"/>
  <c r="O3778" i="2"/>
  <c r="O3777" i="2"/>
  <c r="O3776" i="2"/>
  <c r="O3775" i="2"/>
  <c r="O3774" i="2"/>
  <c r="O3773" i="2"/>
  <c r="O3772" i="2"/>
  <c r="O3771" i="2"/>
  <c r="O3770" i="2"/>
  <c r="O3769" i="2"/>
  <c r="O3768" i="2"/>
  <c r="O3767" i="2"/>
  <c r="O3766" i="2"/>
  <c r="O3765" i="2"/>
  <c r="O3764" i="2"/>
  <c r="O3763" i="2"/>
  <c r="O3762" i="2"/>
  <c r="O3761" i="2"/>
  <c r="O3760" i="2"/>
  <c r="O3759" i="2"/>
  <c r="O3758" i="2"/>
  <c r="O3757" i="2"/>
  <c r="O3756" i="2"/>
  <c r="O3755" i="2"/>
  <c r="O3754" i="2"/>
  <c r="O3753" i="2"/>
  <c r="O3752" i="2"/>
  <c r="O3751" i="2"/>
  <c r="O3750" i="2"/>
  <c r="O3749" i="2"/>
  <c r="O3748" i="2"/>
  <c r="O3747" i="2"/>
  <c r="O3746" i="2"/>
  <c r="O3745" i="2"/>
  <c r="O3744" i="2"/>
  <c r="O3743" i="2"/>
  <c r="O3742" i="2"/>
  <c r="O3741" i="2"/>
  <c r="O3740" i="2"/>
  <c r="O3739" i="2"/>
  <c r="O3738" i="2"/>
  <c r="O3737" i="2"/>
  <c r="O3736" i="2"/>
  <c r="O3735" i="2"/>
  <c r="O3734" i="2"/>
  <c r="O3733" i="2"/>
  <c r="O3732" i="2"/>
  <c r="O3731" i="2"/>
  <c r="O3730" i="2"/>
  <c r="O3729" i="2"/>
  <c r="O3728" i="2"/>
  <c r="O3727" i="2"/>
  <c r="O3726" i="2"/>
  <c r="O3725" i="2"/>
  <c r="O3724" i="2"/>
  <c r="O3723" i="2"/>
  <c r="O3722" i="2"/>
  <c r="O3721" i="2"/>
  <c r="O3720" i="2"/>
  <c r="O3719" i="2"/>
  <c r="O3718" i="2"/>
  <c r="O3717" i="2"/>
  <c r="O3716" i="2"/>
  <c r="O3715" i="2"/>
  <c r="O3714" i="2"/>
  <c r="O3713" i="2"/>
  <c r="O3712" i="2"/>
  <c r="O3711" i="2"/>
  <c r="O3710" i="2"/>
  <c r="O3709" i="2"/>
  <c r="O3708" i="2"/>
  <c r="O3707" i="2"/>
  <c r="O3706" i="2"/>
  <c r="O3705" i="2"/>
  <c r="O3704" i="2"/>
  <c r="O3703" i="2"/>
  <c r="O3702" i="2"/>
  <c r="O3701" i="2"/>
  <c r="O3700" i="2"/>
  <c r="O3699" i="2"/>
  <c r="O3698" i="2"/>
  <c r="O3697" i="2"/>
  <c r="O3696" i="2"/>
  <c r="O3695" i="2"/>
  <c r="O3694" i="2"/>
  <c r="O3693" i="2"/>
  <c r="O3692" i="2"/>
  <c r="O3691" i="2"/>
  <c r="O3690" i="2"/>
  <c r="O3689" i="2"/>
  <c r="O3688" i="2"/>
  <c r="O3687" i="2"/>
  <c r="O3686" i="2"/>
  <c r="O3685" i="2"/>
  <c r="O3684" i="2"/>
  <c r="O3683" i="2"/>
  <c r="O3682" i="2"/>
  <c r="O3681" i="2"/>
  <c r="O3680" i="2"/>
  <c r="O3679" i="2"/>
  <c r="O3678" i="2"/>
  <c r="O3677" i="2"/>
  <c r="O3676" i="2"/>
  <c r="O3675" i="2"/>
  <c r="O3674" i="2"/>
  <c r="O3673" i="2"/>
  <c r="O3672" i="2"/>
  <c r="O3671" i="2"/>
  <c r="O3670" i="2"/>
  <c r="O3669" i="2"/>
  <c r="O3668" i="2"/>
  <c r="O3667" i="2"/>
  <c r="O3666" i="2"/>
  <c r="O3665" i="2"/>
  <c r="O3664" i="2"/>
  <c r="O3663" i="2"/>
  <c r="O3662" i="2"/>
  <c r="O3661" i="2"/>
  <c r="O3660" i="2"/>
  <c r="O3659" i="2"/>
  <c r="O3658" i="2"/>
  <c r="O3657" i="2"/>
  <c r="O3656" i="2"/>
  <c r="O3655" i="2"/>
  <c r="O3654" i="2"/>
  <c r="O3653" i="2"/>
  <c r="O3652" i="2"/>
  <c r="O3651" i="2"/>
  <c r="O3650" i="2"/>
  <c r="O3649" i="2"/>
  <c r="O3648" i="2"/>
  <c r="O3647" i="2"/>
  <c r="O3646" i="2"/>
  <c r="O3645" i="2"/>
  <c r="O3644" i="2"/>
  <c r="O3643" i="2"/>
  <c r="O3642" i="2"/>
  <c r="O3641" i="2"/>
  <c r="O3640" i="2"/>
  <c r="O3639" i="2"/>
  <c r="O3638" i="2"/>
  <c r="O3637" i="2"/>
  <c r="O3636" i="2"/>
  <c r="O3635" i="2"/>
  <c r="O3634" i="2"/>
  <c r="O3633" i="2"/>
  <c r="O3632" i="2"/>
  <c r="O3631" i="2"/>
  <c r="O3630" i="2"/>
  <c r="O3629" i="2"/>
  <c r="O3628" i="2"/>
  <c r="O3627" i="2"/>
  <c r="O3626" i="2"/>
  <c r="O3625" i="2"/>
  <c r="O3624" i="2"/>
  <c r="O3623" i="2"/>
  <c r="O3622" i="2"/>
  <c r="O3621" i="2"/>
  <c r="O3620" i="2"/>
  <c r="O3619" i="2"/>
  <c r="O3618" i="2"/>
  <c r="O3617" i="2"/>
  <c r="O3616" i="2"/>
  <c r="O3615" i="2"/>
  <c r="O3614" i="2"/>
  <c r="O3613" i="2"/>
  <c r="O3612" i="2"/>
  <c r="O3611" i="2"/>
  <c r="O3610" i="2"/>
  <c r="O3609" i="2"/>
  <c r="O3608" i="2"/>
  <c r="O3607" i="2"/>
  <c r="O3606" i="2"/>
  <c r="O3605" i="2"/>
  <c r="O3604" i="2"/>
  <c r="O3603" i="2"/>
  <c r="O3602" i="2"/>
  <c r="O3601" i="2"/>
  <c r="O3600" i="2"/>
  <c r="O3599" i="2"/>
  <c r="O3598" i="2"/>
  <c r="O3597" i="2"/>
  <c r="O3596" i="2"/>
  <c r="O3595" i="2"/>
  <c r="O3594" i="2"/>
  <c r="O3593" i="2"/>
  <c r="O3592" i="2"/>
  <c r="O3591" i="2"/>
  <c r="O3590" i="2"/>
  <c r="O3589" i="2"/>
  <c r="O3588" i="2"/>
  <c r="O3587" i="2"/>
  <c r="O3586" i="2"/>
  <c r="O3585" i="2"/>
  <c r="O3584" i="2"/>
  <c r="O3583" i="2"/>
  <c r="O3582" i="2"/>
  <c r="O3581" i="2"/>
  <c r="O3580" i="2"/>
  <c r="O3579" i="2"/>
  <c r="O3578" i="2"/>
  <c r="O3577" i="2"/>
  <c r="O3576" i="2"/>
  <c r="O3575" i="2"/>
  <c r="O3574" i="2"/>
  <c r="O3573" i="2"/>
  <c r="O3572" i="2"/>
  <c r="O3571" i="2"/>
  <c r="O3570" i="2"/>
  <c r="O3569" i="2"/>
  <c r="O3568" i="2"/>
  <c r="O3567" i="2"/>
  <c r="O3566" i="2"/>
  <c r="O3565" i="2"/>
  <c r="O3564" i="2"/>
  <c r="O3563" i="2"/>
  <c r="O3562" i="2"/>
  <c r="O3561" i="2"/>
  <c r="O3560" i="2"/>
  <c r="O3559" i="2"/>
  <c r="O3558" i="2"/>
  <c r="O3557" i="2"/>
  <c r="O3556" i="2"/>
  <c r="O3555" i="2"/>
  <c r="O3554" i="2"/>
  <c r="O3553" i="2"/>
  <c r="O3552" i="2"/>
  <c r="O3551" i="2"/>
  <c r="O3550" i="2"/>
  <c r="O3549" i="2"/>
  <c r="O3548" i="2"/>
  <c r="O3547" i="2"/>
  <c r="O3546" i="2"/>
  <c r="O3545" i="2"/>
  <c r="O3544" i="2"/>
  <c r="O3543" i="2"/>
  <c r="O3542" i="2"/>
  <c r="O3541" i="2"/>
  <c r="O3540" i="2"/>
  <c r="O3539" i="2"/>
  <c r="O3538" i="2"/>
  <c r="O3537" i="2"/>
  <c r="O3536" i="2"/>
  <c r="O3535" i="2"/>
  <c r="O3534" i="2"/>
  <c r="O3533" i="2"/>
  <c r="O3532" i="2"/>
  <c r="O3531" i="2"/>
  <c r="O3530" i="2"/>
  <c r="O3529" i="2"/>
  <c r="O3528" i="2"/>
  <c r="O3527" i="2"/>
  <c r="O3526" i="2"/>
  <c r="O3525" i="2"/>
  <c r="O3524" i="2"/>
  <c r="O3523" i="2"/>
  <c r="O3522" i="2"/>
  <c r="O3521" i="2"/>
  <c r="O3520" i="2"/>
  <c r="O3519" i="2"/>
  <c r="O3518" i="2"/>
  <c r="O3517" i="2"/>
  <c r="O3516" i="2"/>
  <c r="O3515" i="2"/>
  <c r="O3514" i="2"/>
  <c r="O3513" i="2"/>
  <c r="O3512" i="2"/>
  <c r="O3511" i="2"/>
  <c r="O3510" i="2"/>
  <c r="O3509" i="2"/>
  <c r="O3508" i="2"/>
  <c r="O3507" i="2"/>
  <c r="O3506" i="2"/>
  <c r="O3505" i="2"/>
  <c r="O3504" i="2"/>
  <c r="O3503" i="2"/>
  <c r="O3502" i="2"/>
  <c r="O3501" i="2"/>
  <c r="O3500" i="2"/>
  <c r="O3499" i="2"/>
  <c r="O3498" i="2"/>
  <c r="O3497" i="2"/>
  <c r="O3496" i="2"/>
  <c r="O3495" i="2"/>
  <c r="O3494" i="2"/>
  <c r="O3493" i="2"/>
  <c r="O3492" i="2"/>
  <c r="O3491" i="2"/>
  <c r="O3490" i="2"/>
  <c r="O3489" i="2"/>
  <c r="O3488" i="2"/>
  <c r="O3487" i="2"/>
  <c r="O3486" i="2"/>
  <c r="O3485" i="2"/>
  <c r="O3484" i="2"/>
  <c r="O3483" i="2"/>
  <c r="O3482" i="2"/>
  <c r="O3481" i="2"/>
  <c r="O3480" i="2"/>
  <c r="O3479" i="2"/>
  <c r="O3478" i="2"/>
  <c r="O3477" i="2"/>
  <c r="O3476" i="2"/>
  <c r="O3475" i="2"/>
  <c r="O3474" i="2"/>
  <c r="O3473" i="2"/>
  <c r="O3472" i="2"/>
  <c r="O3471" i="2"/>
  <c r="O3470" i="2"/>
  <c r="O3469" i="2"/>
  <c r="O3468" i="2"/>
  <c r="O3467" i="2"/>
  <c r="O3466" i="2"/>
  <c r="O3465" i="2"/>
  <c r="O3464" i="2"/>
  <c r="O3463" i="2"/>
  <c r="O3462" i="2"/>
  <c r="O3461" i="2"/>
  <c r="O3460" i="2"/>
  <c r="O3459" i="2"/>
  <c r="O3458" i="2"/>
  <c r="O3457" i="2"/>
  <c r="O3456" i="2"/>
  <c r="O3455" i="2"/>
  <c r="O3454" i="2"/>
  <c r="O3453" i="2"/>
  <c r="O3452" i="2"/>
  <c r="O3451" i="2"/>
  <c r="O3450" i="2"/>
  <c r="O3449" i="2"/>
  <c r="O3448" i="2"/>
  <c r="O3447" i="2"/>
  <c r="O3446" i="2"/>
  <c r="O3445" i="2"/>
  <c r="O3444" i="2"/>
  <c r="O3443" i="2"/>
  <c r="O3442" i="2"/>
  <c r="O3441" i="2"/>
  <c r="O3440" i="2"/>
  <c r="O3439" i="2"/>
  <c r="O3438" i="2"/>
  <c r="O3437" i="2"/>
  <c r="O3436" i="2"/>
  <c r="O3435" i="2"/>
  <c r="O3434" i="2"/>
  <c r="O3433" i="2"/>
  <c r="O3432" i="2"/>
  <c r="O3431" i="2"/>
  <c r="O3430" i="2"/>
  <c r="O3429" i="2"/>
  <c r="O3428" i="2"/>
  <c r="O3427" i="2"/>
  <c r="O3426" i="2"/>
  <c r="O3425" i="2"/>
  <c r="O3424" i="2"/>
  <c r="O3423" i="2"/>
  <c r="O3422" i="2"/>
  <c r="O3421" i="2"/>
  <c r="O3420" i="2"/>
  <c r="O3419" i="2"/>
  <c r="O3418" i="2"/>
  <c r="O3417" i="2"/>
  <c r="O3416" i="2"/>
  <c r="O3415" i="2"/>
  <c r="O3414" i="2"/>
  <c r="O3413" i="2"/>
  <c r="O3412" i="2"/>
  <c r="O3411" i="2"/>
  <c r="O3410" i="2"/>
  <c r="O3409" i="2"/>
  <c r="O3408" i="2"/>
  <c r="O3407" i="2"/>
  <c r="O3406" i="2"/>
  <c r="O3405" i="2"/>
  <c r="O3404" i="2"/>
  <c r="O3403" i="2"/>
  <c r="O3402" i="2"/>
  <c r="O3401" i="2"/>
  <c r="O3400" i="2"/>
  <c r="O3399" i="2"/>
  <c r="O3398" i="2"/>
  <c r="O3397" i="2"/>
  <c r="O3396" i="2"/>
  <c r="O3395" i="2"/>
  <c r="O3394" i="2"/>
  <c r="O3393" i="2"/>
  <c r="O3392" i="2"/>
  <c r="O3391" i="2"/>
  <c r="O3390" i="2"/>
  <c r="O3389" i="2"/>
  <c r="O3388" i="2"/>
  <c r="O3387" i="2"/>
  <c r="O3386" i="2"/>
  <c r="O3385" i="2"/>
  <c r="O3384" i="2"/>
  <c r="O3383" i="2"/>
  <c r="O3382" i="2"/>
  <c r="O3381" i="2"/>
  <c r="O3380" i="2"/>
  <c r="O3379" i="2"/>
  <c r="O3378" i="2"/>
  <c r="O3377" i="2"/>
  <c r="O3376" i="2"/>
  <c r="O3375" i="2"/>
  <c r="O3374" i="2"/>
  <c r="O3373" i="2"/>
  <c r="O3372" i="2"/>
  <c r="O3371" i="2"/>
  <c r="O3370" i="2"/>
  <c r="O3369" i="2"/>
  <c r="O3368" i="2"/>
  <c r="O3367" i="2"/>
  <c r="O3366" i="2"/>
  <c r="O3365" i="2"/>
  <c r="O3364" i="2"/>
  <c r="O3363" i="2"/>
  <c r="O3362" i="2"/>
  <c r="O3361" i="2"/>
  <c r="O3360" i="2"/>
  <c r="O3359" i="2"/>
  <c r="O3358" i="2"/>
  <c r="O3357" i="2"/>
  <c r="O3356" i="2"/>
  <c r="O3355" i="2"/>
  <c r="O3354" i="2"/>
  <c r="O3353" i="2"/>
  <c r="O3352" i="2"/>
  <c r="O3351" i="2"/>
  <c r="O3350" i="2"/>
  <c r="O3349" i="2"/>
  <c r="O3348" i="2"/>
  <c r="O3347" i="2"/>
  <c r="O3346" i="2"/>
  <c r="O3345" i="2"/>
  <c r="O3344" i="2"/>
  <c r="O3343" i="2"/>
  <c r="O3342" i="2"/>
  <c r="O3341" i="2"/>
  <c r="O3340" i="2"/>
  <c r="O3339" i="2"/>
  <c r="O3338" i="2"/>
  <c r="O3337" i="2"/>
  <c r="O3336" i="2"/>
  <c r="O3335" i="2"/>
  <c r="O3334" i="2"/>
  <c r="O3333" i="2"/>
  <c r="O3332" i="2"/>
  <c r="O3331" i="2"/>
  <c r="O3330" i="2"/>
  <c r="O3329" i="2"/>
  <c r="O3328" i="2"/>
  <c r="O3327" i="2"/>
  <c r="O3326" i="2"/>
  <c r="O3325" i="2"/>
  <c r="O3324" i="2"/>
  <c r="O3323" i="2"/>
  <c r="O3322" i="2"/>
  <c r="O3321" i="2"/>
  <c r="O3320" i="2"/>
  <c r="O3319" i="2"/>
  <c r="O3318" i="2"/>
  <c r="O3317" i="2"/>
  <c r="O3316" i="2"/>
  <c r="O3315" i="2"/>
  <c r="O3314" i="2"/>
  <c r="O3313" i="2"/>
  <c r="O3312" i="2"/>
  <c r="O3311" i="2"/>
  <c r="O3310" i="2"/>
  <c r="O3309" i="2"/>
  <c r="O3308" i="2"/>
  <c r="O3307" i="2"/>
  <c r="O3306" i="2"/>
  <c r="O3305" i="2"/>
  <c r="O3304" i="2"/>
  <c r="O3303" i="2"/>
  <c r="O3302" i="2"/>
  <c r="O3301" i="2"/>
  <c r="O3300" i="2"/>
  <c r="O3299" i="2"/>
  <c r="O3298" i="2"/>
  <c r="O3297" i="2"/>
  <c r="O3296" i="2"/>
  <c r="O3295" i="2"/>
  <c r="O3294" i="2"/>
  <c r="O3293" i="2"/>
  <c r="O3292" i="2"/>
  <c r="O3291" i="2"/>
  <c r="O3290" i="2"/>
  <c r="O3289" i="2"/>
  <c r="O3288" i="2"/>
  <c r="O3287" i="2"/>
  <c r="O3286" i="2"/>
  <c r="O3285" i="2"/>
  <c r="O3284" i="2"/>
  <c r="O3283" i="2"/>
  <c r="O3282" i="2"/>
  <c r="O3281" i="2"/>
  <c r="O3280" i="2"/>
  <c r="O3279" i="2"/>
  <c r="O3278" i="2"/>
  <c r="O3277" i="2"/>
  <c r="O3276" i="2"/>
  <c r="O3275" i="2"/>
  <c r="O3274" i="2"/>
  <c r="O3273" i="2"/>
  <c r="O3272" i="2"/>
  <c r="O3271" i="2"/>
  <c r="O3270" i="2"/>
  <c r="O3269" i="2"/>
  <c r="O3268" i="2"/>
  <c r="O3267" i="2"/>
  <c r="O3266" i="2"/>
  <c r="O3265" i="2"/>
  <c r="O3264" i="2"/>
  <c r="O3263" i="2"/>
  <c r="O3262" i="2"/>
  <c r="O3261" i="2"/>
  <c r="O3260" i="2"/>
  <c r="O3259" i="2"/>
  <c r="O3258" i="2"/>
  <c r="O3257" i="2"/>
  <c r="O3256" i="2"/>
  <c r="O3255" i="2"/>
  <c r="O3254" i="2"/>
  <c r="O3253" i="2"/>
  <c r="O3252" i="2"/>
  <c r="O3251" i="2"/>
  <c r="O3250" i="2"/>
  <c r="O3249" i="2"/>
  <c r="O3248" i="2"/>
  <c r="O3247" i="2"/>
  <c r="O3246" i="2"/>
  <c r="O3245" i="2"/>
  <c r="O3244" i="2"/>
  <c r="O3243" i="2"/>
  <c r="O3242" i="2"/>
  <c r="O3241" i="2"/>
  <c r="O3240" i="2"/>
  <c r="O3239" i="2"/>
  <c r="O3238" i="2"/>
  <c r="O3237" i="2"/>
  <c r="O3236" i="2"/>
  <c r="O3235" i="2"/>
  <c r="O3234" i="2"/>
  <c r="O3233" i="2"/>
  <c r="O3232" i="2"/>
  <c r="O3231" i="2"/>
  <c r="O3230" i="2"/>
  <c r="O3229" i="2"/>
  <c r="O3228" i="2"/>
  <c r="O3227" i="2"/>
  <c r="O3226" i="2"/>
  <c r="O3225" i="2"/>
  <c r="O3224" i="2"/>
  <c r="O3223" i="2"/>
  <c r="O3222" i="2"/>
  <c r="O3221" i="2"/>
  <c r="O3220" i="2"/>
  <c r="O3219" i="2"/>
  <c r="O3218" i="2"/>
  <c r="O3217" i="2"/>
  <c r="O3216" i="2"/>
  <c r="O3215" i="2"/>
  <c r="O3214" i="2"/>
  <c r="O3213" i="2"/>
  <c r="O3212" i="2"/>
  <c r="O3211" i="2"/>
  <c r="O3210" i="2"/>
  <c r="O3209" i="2"/>
  <c r="O3208" i="2"/>
  <c r="O3207" i="2"/>
  <c r="O3206" i="2"/>
  <c r="O3205" i="2"/>
  <c r="O3204" i="2"/>
  <c r="O3203" i="2"/>
  <c r="O3202" i="2"/>
  <c r="O3201" i="2"/>
  <c r="O3200" i="2"/>
  <c r="O3199" i="2"/>
  <c r="O3198" i="2"/>
  <c r="O3197" i="2"/>
  <c r="O3196" i="2"/>
  <c r="O3195" i="2"/>
  <c r="O3194" i="2"/>
  <c r="O3193" i="2"/>
  <c r="O3192" i="2"/>
  <c r="O3191" i="2"/>
  <c r="O3190" i="2"/>
  <c r="O3189" i="2"/>
  <c r="O3188" i="2"/>
  <c r="O3187" i="2"/>
  <c r="O3186" i="2"/>
  <c r="O3185" i="2"/>
  <c r="O3184" i="2"/>
  <c r="O3183" i="2"/>
  <c r="O3182" i="2"/>
  <c r="O3181" i="2"/>
  <c r="O3180" i="2"/>
  <c r="O3179" i="2"/>
  <c r="O3178" i="2"/>
  <c r="O3177" i="2"/>
  <c r="O3176" i="2"/>
  <c r="O3175" i="2"/>
  <c r="O3174" i="2"/>
  <c r="O3173" i="2"/>
  <c r="O3172" i="2"/>
  <c r="O3171" i="2"/>
  <c r="O3170" i="2"/>
  <c r="O3169" i="2"/>
  <c r="O3168" i="2"/>
  <c r="O3167" i="2"/>
  <c r="O3166" i="2"/>
  <c r="O3165" i="2"/>
  <c r="O3164" i="2"/>
  <c r="O3163" i="2"/>
  <c r="O3162" i="2"/>
  <c r="O3161" i="2"/>
  <c r="O3160" i="2"/>
  <c r="O3159" i="2"/>
  <c r="O3158" i="2"/>
  <c r="O3157" i="2"/>
  <c r="O3156" i="2"/>
  <c r="O3155" i="2"/>
  <c r="O3154" i="2"/>
  <c r="O3153" i="2"/>
  <c r="O3152" i="2"/>
  <c r="O3151" i="2"/>
  <c r="O3150" i="2"/>
  <c r="O3149" i="2"/>
  <c r="O3148" i="2"/>
  <c r="O3147" i="2"/>
  <c r="O3146" i="2"/>
  <c r="O3145" i="2"/>
  <c r="O3144" i="2"/>
  <c r="O3143" i="2"/>
  <c r="O3142" i="2"/>
  <c r="O3141" i="2"/>
  <c r="O3140" i="2"/>
  <c r="O3139" i="2"/>
  <c r="O3138" i="2"/>
  <c r="O3137" i="2"/>
  <c r="O3136" i="2"/>
  <c r="O3135" i="2"/>
  <c r="O3134" i="2"/>
  <c r="O3133" i="2"/>
  <c r="O3132" i="2"/>
  <c r="O3131" i="2"/>
  <c r="O3130" i="2"/>
  <c r="O3129" i="2"/>
  <c r="O3128" i="2"/>
  <c r="O3127" i="2"/>
  <c r="O3126" i="2"/>
  <c r="O3125" i="2"/>
  <c r="O3124" i="2"/>
  <c r="O3123" i="2"/>
  <c r="O3122" i="2"/>
  <c r="O3121" i="2"/>
  <c r="O3120" i="2"/>
  <c r="O3119" i="2"/>
  <c r="O3118" i="2"/>
  <c r="O3117" i="2"/>
  <c r="O3116" i="2"/>
  <c r="O3115" i="2"/>
  <c r="O3114" i="2"/>
  <c r="O3113" i="2"/>
  <c r="O3112" i="2"/>
  <c r="O3111" i="2"/>
  <c r="O3110" i="2"/>
  <c r="O3109" i="2"/>
  <c r="O3108" i="2"/>
  <c r="O3107" i="2"/>
  <c r="O3106" i="2"/>
  <c r="O3105" i="2"/>
  <c r="O3104" i="2"/>
  <c r="O3103" i="2"/>
  <c r="O3102" i="2"/>
  <c r="O3101" i="2"/>
  <c r="O3100" i="2"/>
  <c r="O3099" i="2"/>
  <c r="O3098" i="2"/>
  <c r="O3097" i="2"/>
  <c r="O3096" i="2"/>
  <c r="O3095" i="2"/>
  <c r="O3094" i="2"/>
  <c r="O3093" i="2"/>
  <c r="O3092" i="2"/>
  <c r="O3091" i="2"/>
  <c r="O3090" i="2"/>
  <c r="O3089" i="2"/>
  <c r="O3088" i="2"/>
  <c r="O3087" i="2"/>
  <c r="O3086" i="2"/>
  <c r="O3085" i="2"/>
  <c r="O3084" i="2"/>
  <c r="O3083" i="2"/>
  <c r="O3082" i="2"/>
  <c r="O3081" i="2"/>
  <c r="O3080" i="2"/>
  <c r="O3079" i="2"/>
  <c r="O3078" i="2"/>
  <c r="O3077" i="2"/>
  <c r="O3076" i="2"/>
  <c r="O3075" i="2"/>
  <c r="O3074" i="2"/>
  <c r="O3073" i="2"/>
  <c r="O3072" i="2"/>
  <c r="O3071" i="2"/>
  <c r="O3070" i="2"/>
  <c r="O3069" i="2"/>
  <c r="O3068" i="2"/>
  <c r="O3067" i="2"/>
  <c r="O3066" i="2"/>
  <c r="O3065" i="2"/>
  <c r="O3064" i="2"/>
  <c r="O3063" i="2"/>
  <c r="O3062" i="2"/>
  <c r="O3061" i="2"/>
  <c r="O3060" i="2"/>
  <c r="O3059" i="2"/>
  <c r="O3058" i="2"/>
  <c r="O3057" i="2"/>
  <c r="O3056" i="2"/>
  <c r="O3055" i="2"/>
  <c r="O3054" i="2"/>
  <c r="O3053" i="2"/>
  <c r="O3052" i="2"/>
  <c r="O3051" i="2"/>
  <c r="O3050" i="2"/>
  <c r="O3049" i="2"/>
  <c r="O3048" i="2"/>
  <c r="O3047" i="2"/>
  <c r="O3046" i="2"/>
  <c r="O3045" i="2"/>
  <c r="O3044" i="2"/>
  <c r="O3043" i="2"/>
  <c r="O3042" i="2"/>
  <c r="O3041" i="2"/>
  <c r="O3040" i="2"/>
  <c r="O3039" i="2"/>
  <c r="O3038" i="2"/>
  <c r="O3037" i="2"/>
  <c r="O3036" i="2"/>
  <c r="O3035" i="2"/>
  <c r="O3034" i="2"/>
  <c r="O3033" i="2"/>
  <c r="O3032" i="2"/>
  <c r="O3031" i="2"/>
  <c r="O3030" i="2"/>
  <c r="O3029" i="2"/>
  <c r="O3028" i="2"/>
  <c r="O3027" i="2"/>
  <c r="O3026" i="2"/>
  <c r="O3025" i="2"/>
  <c r="O3024" i="2"/>
  <c r="O3023" i="2"/>
  <c r="O3022" i="2"/>
  <c r="O3021" i="2"/>
  <c r="O3020" i="2"/>
  <c r="O3019" i="2"/>
  <c r="O3018" i="2"/>
  <c r="O3017" i="2"/>
  <c r="O3016" i="2"/>
  <c r="O3015" i="2"/>
  <c r="O3014" i="2"/>
  <c r="O3013" i="2"/>
  <c r="O3012" i="2"/>
  <c r="O3011" i="2"/>
  <c r="O3010" i="2"/>
  <c r="O3009" i="2"/>
  <c r="O3008" i="2"/>
  <c r="O3007" i="2"/>
  <c r="O3006" i="2"/>
  <c r="O3005" i="2"/>
  <c r="O3004" i="2"/>
  <c r="O3003" i="2"/>
  <c r="O3002" i="2"/>
  <c r="O3001" i="2"/>
  <c r="O3000" i="2"/>
  <c r="O2999" i="2"/>
  <c r="O2998" i="2"/>
  <c r="O2997" i="2"/>
  <c r="O2996" i="2"/>
  <c r="O2995" i="2"/>
  <c r="O2994" i="2"/>
  <c r="O2993" i="2"/>
  <c r="O2992" i="2"/>
  <c r="O2991" i="2"/>
  <c r="O2990" i="2"/>
  <c r="O2989" i="2"/>
  <c r="O2988" i="2"/>
  <c r="O2987" i="2"/>
  <c r="O2986" i="2"/>
  <c r="O2985" i="2"/>
  <c r="O2984" i="2"/>
  <c r="O2983" i="2"/>
  <c r="O2982" i="2"/>
  <c r="O2981" i="2"/>
  <c r="O2980" i="2"/>
  <c r="O2979" i="2"/>
  <c r="O2978" i="2"/>
  <c r="O2977" i="2"/>
  <c r="O2976" i="2"/>
  <c r="O2975" i="2"/>
  <c r="O2974" i="2"/>
  <c r="O2973" i="2"/>
  <c r="O2972" i="2"/>
  <c r="O2971" i="2"/>
  <c r="O2970" i="2"/>
  <c r="O2969" i="2"/>
  <c r="O2968" i="2"/>
  <c r="O2967" i="2"/>
  <c r="O2966" i="2"/>
  <c r="O2965" i="2"/>
  <c r="O2964" i="2"/>
  <c r="O2963" i="2"/>
  <c r="O2962" i="2"/>
  <c r="O2961" i="2"/>
  <c r="O2960" i="2"/>
  <c r="O2959" i="2"/>
  <c r="O2958" i="2"/>
  <c r="O2957" i="2"/>
  <c r="O2956" i="2"/>
  <c r="O2955" i="2"/>
  <c r="O2954" i="2"/>
  <c r="O2953" i="2"/>
  <c r="O2952" i="2"/>
  <c r="O2951" i="2"/>
  <c r="O2950" i="2"/>
  <c r="O2949" i="2"/>
  <c r="O2948" i="2"/>
  <c r="O2947" i="2"/>
  <c r="O2946" i="2"/>
  <c r="O2945" i="2"/>
  <c r="O2944" i="2"/>
  <c r="O2943" i="2"/>
  <c r="O2942" i="2"/>
  <c r="O2941" i="2"/>
  <c r="O2940" i="2"/>
  <c r="O2939" i="2"/>
  <c r="O2938" i="2"/>
  <c r="O2937" i="2"/>
  <c r="O2936" i="2"/>
  <c r="O2935" i="2"/>
  <c r="O2934" i="2"/>
  <c r="O2933" i="2"/>
  <c r="O2932" i="2"/>
  <c r="O2931" i="2"/>
  <c r="O2930" i="2"/>
  <c r="O2929" i="2"/>
  <c r="O2928" i="2"/>
  <c r="O2927" i="2"/>
  <c r="O2926" i="2"/>
  <c r="O2925" i="2"/>
  <c r="O2924" i="2"/>
  <c r="O2923" i="2"/>
  <c r="O2922" i="2"/>
  <c r="O2921" i="2"/>
  <c r="O2920" i="2"/>
  <c r="O2919" i="2"/>
  <c r="O2918" i="2"/>
  <c r="O2917" i="2"/>
  <c r="O2916" i="2"/>
  <c r="O2915" i="2"/>
  <c r="O2914" i="2"/>
  <c r="O2913" i="2"/>
  <c r="O2912" i="2"/>
  <c r="O2911" i="2"/>
  <c r="O2910" i="2"/>
  <c r="O2909" i="2"/>
  <c r="O2908" i="2"/>
  <c r="O2907" i="2"/>
  <c r="O2906" i="2"/>
  <c r="O2905" i="2"/>
  <c r="O2904" i="2"/>
  <c r="O2903" i="2"/>
  <c r="O2902" i="2"/>
  <c r="O2901" i="2"/>
  <c r="O2900" i="2"/>
  <c r="O2899" i="2"/>
  <c r="O2898" i="2"/>
  <c r="O2897" i="2"/>
  <c r="O2896" i="2"/>
  <c r="O2895" i="2"/>
  <c r="O2894" i="2"/>
  <c r="O2893" i="2"/>
  <c r="O2892" i="2"/>
  <c r="O2891" i="2"/>
  <c r="O2890" i="2"/>
  <c r="O2889" i="2"/>
  <c r="O2888" i="2"/>
  <c r="O2887" i="2"/>
  <c r="O2886" i="2"/>
  <c r="O2885" i="2"/>
  <c r="O2884" i="2"/>
  <c r="O2883" i="2"/>
  <c r="O2882" i="2"/>
  <c r="O2881" i="2"/>
  <c r="O2880" i="2"/>
  <c r="O2879" i="2"/>
  <c r="O2878" i="2"/>
  <c r="O2877" i="2"/>
  <c r="O2876" i="2"/>
  <c r="O2875" i="2"/>
  <c r="O2874" i="2"/>
  <c r="O2873" i="2"/>
  <c r="O2872" i="2"/>
  <c r="O2871" i="2"/>
  <c r="O2870" i="2"/>
  <c r="O2869" i="2"/>
  <c r="O2868" i="2"/>
  <c r="O2867" i="2"/>
  <c r="O2866" i="2"/>
  <c r="O2865" i="2"/>
  <c r="O2864" i="2"/>
  <c r="O2863" i="2"/>
  <c r="O2862" i="2"/>
  <c r="O2861" i="2"/>
  <c r="O2860" i="2"/>
  <c r="O2859" i="2"/>
  <c r="O2858" i="2"/>
  <c r="O2857" i="2"/>
  <c r="O2856" i="2"/>
  <c r="O2855" i="2"/>
  <c r="O2854" i="2"/>
  <c r="O2853" i="2"/>
  <c r="O2852" i="2"/>
  <c r="O2851" i="2"/>
  <c r="O2850" i="2"/>
  <c r="O2849" i="2"/>
  <c r="O2848" i="2"/>
  <c r="O2847" i="2"/>
  <c r="O2846" i="2"/>
  <c r="O2845" i="2"/>
  <c r="O2844" i="2"/>
  <c r="O2843" i="2"/>
  <c r="O2842" i="2"/>
  <c r="O2841" i="2"/>
  <c r="O2840" i="2"/>
  <c r="O2839" i="2"/>
  <c r="O2838" i="2"/>
  <c r="O2837" i="2"/>
  <c r="O2836" i="2"/>
  <c r="O2835" i="2"/>
  <c r="O2834" i="2"/>
  <c r="O2833" i="2"/>
  <c r="O2832" i="2"/>
  <c r="O2831" i="2"/>
  <c r="O2830" i="2"/>
  <c r="O2829" i="2"/>
  <c r="O2828" i="2"/>
  <c r="O2827" i="2"/>
  <c r="O2826" i="2"/>
  <c r="O2825" i="2"/>
  <c r="O2824" i="2"/>
  <c r="O2823" i="2"/>
  <c r="O2822" i="2"/>
  <c r="O2821" i="2"/>
  <c r="O2820" i="2"/>
  <c r="O2819" i="2"/>
  <c r="O2818" i="2"/>
  <c r="O2817" i="2"/>
  <c r="O2816" i="2"/>
  <c r="O2815" i="2"/>
  <c r="O2814" i="2"/>
  <c r="O2813" i="2"/>
  <c r="O2812" i="2"/>
  <c r="O2811" i="2"/>
  <c r="O2810" i="2"/>
  <c r="O2809" i="2"/>
  <c r="O2808" i="2"/>
  <c r="O2807" i="2"/>
  <c r="O2806" i="2"/>
  <c r="O2805" i="2"/>
  <c r="O2804" i="2"/>
  <c r="O2803" i="2"/>
  <c r="O2802" i="2"/>
  <c r="O2801" i="2"/>
  <c r="O2800" i="2"/>
  <c r="O2799" i="2"/>
  <c r="O2798" i="2"/>
  <c r="O2797" i="2"/>
  <c r="O2796" i="2"/>
  <c r="O2795" i="2"/>
  <c r="O2794" i="2"/>
  <c r="O2793" i="2"/>
  <c r="O2792" i="2"/>
  <c r="O2791" i="2"/>
  <c r="O2790" i="2"/>
  <c r="O2789" i="2"/>
  <c r="O2788" i="2"/>
  <c r="O2787" i="2"/>
  <c r="O2786" i="2"/>
  <c r="O2785" i="2"/>
  <c r="O2784" i="2"/>
  <c r="O2783" i="2"/>
  <c r="O2782" i="2"/>
  <c r="O2781" i="2"/>
  <c r="O2780" i="2"/>
  <c r="O2779" i="2"/>
  <c r="O2778" i="2"/>
  <c r="O2777" i="2"/>
  <c r="O2776" i="2"/>
  <c r="O2775" i="2"/>
  <c r="O2774" i="2"/>
  <c r="O2773" i="2"/>
  <c r="O2772" i="2"/>
  <c r="O2771" i="2"/>
  <c r="O2770" i="2"/>
  <c r="O2769" i="2"/>
  <c r="O2768" i="2"/>
  <c r="O2767" i="2"/>
  <c r="O2766" i="2"/>
  <c r="O2765" i="2"/>
  <c r="O2764" i="2"/>
  <c r="O2763" i="2"/>
  <c r="O2762" i="2"/>
  <c r="O2761" i="2"/>
  <c r="O2760" i="2"/>
  <c r="O2759" i="2"/>
  <c r="O2758" i="2"/>
  <c r="O2757" i="2"/>
  <c r="O2756" i="2"/>
  <c r="O2755" i="2"/>
  <c r="O2754" i="2"/>
  <c r="O2753" i="2"/>
  <c r="O2752" i="2"/>
  <c r="O2751" i="2"/>
  <c r="O2750" i="2"/>
  <c r="O2749" i="2"/>
  <c r="O2748" i="2"/>
  <c r="O2747" i="2"/>
  <c r="O2746" i="2"/>
  <c r="O2745" i="2"/>
  <c r="O2744" i="2"/>
  <c r="O2743" i="2"/>
  <c r="O2742" i="2"/>
  <c r="O2741" i="2"/>
  <c r="O2740" i="2"/>
  <c r="O2739" i="2"/>
  <c r="O2738" i="2"/>
  <c r="O2737" i="2"/>
  <c r="O2736" i="2"/>
  <c r="O2735" i="2"/>
  <c r="O2734" i="2"/>
  <c r="O2733" i="2"/>
  <c r="O2732" i="2"/>
  <c r="O2731" i="2"/>
  <c r="O2730" i="2"/>
  <c r="O2729" i="2"/>
  <c r="O2728" i="2"/>
  <c r="O2727" i="2"/>
  <c r="O2726" i="2"/>
  <c r="O2725" i="2"/>
  <c r="O2724" i="2"/>
  <c r="O2723" i="2"/>
  <c r="O2722" i="2"/>
  <c r="O2721" i="2"/>
  <c r="O2720" i="2"/>
  <c r="O2719" i="2"/>
  <c r="O2718" i="2"/>
  <c r="O2717" i="2"/>
  <c r="O2716" i="2"/>
  <c r="O2715" i="2"/>
  <c r="O2714" i="2"/>
  <c r="O2713" i="2"/>
  <c r="O2712" i="2"/>
  <c r="O2711" i="2"/>
  <c r="O2710" i="2"/>
  <c r="O2709" i="2"/>
  <c r="O2708" i="2"/>
  <c r="O2707" i="2"/>
  <c r="O2706" i="2"/>
  <c r="O2705" i="2"/>
  <c r="O2704" i="2"/>
  <c r="O2703" i="2"/>
  <c r="O2702" i="2"/>
  <c r="O2701" i="2"/>
  <c r="O2700" i="2"/>
  <c r="O2699" i="2"/>
  <c r="O2698" i="2"/>
  <c r="O2697" i="2"/>
  <c r="O2696" i="2"/>
  <c r="O2695" i="2"/>
  <c r="O2694" i="2"/>
  <c r="O2693" i="2"/>
  <c r="O2692" i="2"/>
  <c r="O2691" i="2"/>
  <c r="O2690" i="2"/>
  <c r="O2689" i="2"/>
  <c r="O2688" i="2"/>
  <c r="O2687" i="2"/>
  <c r="O2686" i="2"/>
  <c r="O2685" i="2"/>
  <c r="O2684" i="2"/>
  <c r="O2683" i="2"/>
  <c r="O2682" i="2"/>
  <c r="O2681" i="2"/>
  <c r="O2680" i="2"/>
  <c r="O2679" i="2"/>
  <c r="O2678" i="2"/>
  <c r="O2677" i="2"/>
  <c r="O2676" i="2"/>
  <c r="O2675" i="2"/>
  <c r="O2674" i="2"/>
  <c r="O2673" i="2"/>
  <c r="O2672" i="2"/>
  <c r="O2671" i="2"/>
  <c r="O2670" i="2"/>
  <c r="O2669" i="2"/>
  <c r="O2668" i="2"/>
  <c r="O2667" i="2"/>
  <c r="O2666" i="2"/>
  <c r="O2665" i="2"/>
  <c r="O2664" i="2"/>
  <c r="O2663" i="2"/>
  <c r="O2662" i="2"/>
  <c r="O2661" i="2"/>
  <c r="O2660" i="2"/>
  <c r="O2659" i="2"/>
  <c r="O2658" i="2"/>
  <c r="O2657" i="2"/>
  <c r="O2656" i="2"/>
  <c r="O2655" i="2"/>
  <c r="O2654" i="2"/>
  <c r="O2653" i="2"/>
  <c r="O2652" i="2"/>
  <c r="O2651" i="2"/>
  <c r="O2650" i="2"/>
  <c r="O2649" i="2"/>
  <c r="O2648" i="2"/>
  <c r="O2647" i="2"/>
  <c r="O2646" i="2"/>
  <c r="O2645" i="2"/>
  <c r="O2644" i="2"/>
  <c r="O2643" i="2"/>
  <c r="O2642" i="2"/>
  <c r="O2641" i="2"/>
  <c r="O2640" i="2"/>
  <c r="O2639" i="2"/>
  <c r="O2638" i="2"/>
  <c r="O2637" i="2"/>
  <c r="O2636" i="2"/>
  <c r="O2635" i="2"/>
  <c r="O2634" i="2"/>
  <c r="O2633" i="2"/>
  <c r="O2632" i="2"/>
  <c r="O2631" i="2"/>
  <c r="O2630" i="2"/>
  <c r="O2629" i="2"/>
  <c r="O2628" i="2"/>
  <c r="O2627" i="2"/>
  <c r="O2626" i="2"/>
  <c r="O2625" i="2"/>
  <c r="O2624" i="2"/>
  <c r="O2623" i="2"/>
  <c r="O2622" i="2"/>
  <c r="O2621" i="2"/>
  <c r="O2620" i="2"/>
  <c r="O2619" i="2"/>
  <c r="O2618" i="2"/>
  <c r="O2617" i="2"/>
  <c r="O2616" i="2"/>
  <c r="O2615" i="2"/>
  <c r="O2614" i="2"/>
  <c r="O2613" i="2"/>
  <c r="O2612" i="2"/>
  <c r="O2611" i="2"/>
  <c r="O2610" i="2"/>
  <c r="O2609" i="2"/>
  <c r="O2608" i="2"/>
  <c r="O2607" i="2"/>
  <c r="O2606" i="2"/>
  <c r="O2605" i="2"/>
  <c r="O2604" i="2"/>
  <c r="O2603" i="2"/>
  <c r="O2602" i="2"/>
  <c r="O2601" i="2"/>
  <c r="O2600" i="2"/>
  <c r="O2599" i="2"/>
  <c r="O2598" i="2"/>
  <c r="O2597" i="2"/>
  <c r="O2596" i="2"/>
  <c r="O2595" i="2"/>
  <c r="O2594" i="2"/>
  <c r="O2593" i="2"/>
  <c r="O2592" i="2"/>
  <c r="O2591" i="2"/>
  <c r="O2590" i="2"/>
  <c r="O2589" i="2"/>
  <c r="O2588" i="2"/>
  <c r="O2587" i="2"/>
  <c r="O2586" i="2"/>
  <c r="O2585" i="2"/>
  <c r="O2584" i="2"/>
  <c r="O2583" i="2"/>
  <c r="O2582" i="2"/>
  <c r="O2581" i="2"/>
  <c r="O2580" i="2"/>
  <c r="O2579" i="2"/>
  <c r="O2578" i="2"/>
  <c r="O2577" i="2"/>
  <c r="O2576" i="2"/>
  <c r="O2575" i="2"/>
  <c r="O2574" i="2"/>
  <c r="O2573" i="2"/>
  <c r="O2572" i="2"/>
  <c r="O2571" i="2"/>
  <c r="O2570" i="2"/>
  <c r="O2569" i="2"/>
  <c r="O2568" i="2"/>
  <c r="O2567" i="2"/>
  <c r="O2566" i="2"/>
  <c r="O2565" i="2"/>
  <c r="O2564" i="2"/>
  <c r="O2563" i="2"/>
  <c r="O2562" i="2"/>
  <c r="O2561" i="2"/>
  <c r="O2560" i="2"/>
  <c r="O2559" i="2"/>
  <c r="O2558" i="2"/>
  <c r="O2557" i="2"/>
  <c r="O2556" i="2"/>
  <c r="O2555" i="2"/>
  <c r="O2554" i="2"/>
  <c r="O2553" i="2"/>
  <c r="O2552" i="2"/>
  <c r="O2551" i="2"/>
  <c r="O2550" i="2"/>
  <c r="O2549" i="2"/>
  <c r="O2548" i="2"/>
  <c r="O2547" i="2"/>
  <c r="O2546" i="2"/>
  <c r="O2545" i="2"/>
  <c r="O2544" i="2"/>
  <c r="O2543" i="2"/>
  <c r="O2542" i="2"/>
  <c r="O2541" i="2"/>
  <c r="O2540" i="2"/>
  <c r="O2539" i="2"/>
  <c r="O2538" i="2"/>
  <c r="O2537" i="2"/>
  <c r="O2536" i="2"/>
  <c r="O2535" i="2"/>
  <c r="O2534" i="2"/>
  <c r="O2533" i="2"/>
  <c r="O2532" i="2"/>
  <c r="O2531" i="2"/>
  <c r="O2530" i="2"/>
  <c r="O2529" i="2"/>
  <c r="O2528" i="2"/>
  <c r="O2527" i="2"/>
  <c r="O2526" i="2"/>
  <c r="O2525" i="2"/>
  <c r="O2524" i="2"/>
  <c r="O2523" i="2"/>
  <c r="O2522" i="2"/>
  <c r="O2521" i="2"/>
  <c r="O2520" i="2"/>
  <c r="O2519" i="2"/>
  <c r="O2518" i="2"/>
  <c r="O2517" i="2"/>
  <c r="O2516" i="2"/>
  <c r="O2515" i="2"/>
  <c r="O2514" i="2"/>
  <c r="O2513" i="2"/>
  <c r="O2512" i="2"/>
  <c r="O2511" i="2"/>
  <c r="O2510" i="2"/>
  <c r="O2509" i="2"/>
  <c r="O2508" i="2"/>
  <c r="O2507" i="2"/>
  <c r="O2506" i="2"/>
  <c r="O2505" i="2"/>
  <c r="O2504" i="2"/>
  <c r="O2503" i="2"/>
  <c r="O2502" i="2"/>
  <c r="O2501" i="2"/>
  <c r="O2500" i="2"/>
  <c r="O2499" i="2"/>
  <c r="O2498" i="2"/>
  <c r="O2497" i="2"/>
  <c r="O2496" i="2"/>
  <c r="O2495" i="2"/>
  <c r="O2494" i="2"/>
  <c r="O2493" i="2"/>
  <c r="O2492" i="2"/>
  <c r="O2491" i="2"/>
  <c r="O2490" i="2"/>
  <c r="O2489" i="2"/>
  <c r="O2488" i="2"/>
  <c r="O2487" i="2"/>
  <c r="O2486" i="2"/>
  <c r="O2485" i="2"/>
  <c r="O2484" i="2"/>
  <c r="O2483" i="2"/>
  <c r="O2482" i="2"/>
  <c r="O2481" i="2"/>
  <c r="O2480" i="2"/>
  <c r="O2479" i="2"/>
  <c r="O2478" i="2"/>
  <c r="O2477" i="2"/>
  <c r="O2476" i="2"/>
  <c r="O2475" i="2"/>
  <c r="O2474" i="2"/>
  <c r="O2473" i="2"/>
  <c r="O2472" i="2"/>
  <c r="O2471" i="2"/>
  <c r="O2470" i="2"/>
  <c r="O2469" i="2"/>
  <c r="O2468" i="2"/>
  <c r="O2467" i="2"/>
  <c r="O2466" i="2"/>
  <c r="O2465" i="2"/>
  <c r="O2464" i="2"/>
  <c r="O2463" i="2"/>
  <c r="O2462" i="2"/>
  <c r="O2461" i="2"/>
  <c r="O2460" i="2"/>
  <c r="O2459" i="2"/>
  <c r="O2458" i="2"/>
  <c r="O2457" i="2"/>
  <c r="O2456" i="2"/>
  <c r="O2455" i="2"/>
  <c r="O2454" i="2"/>
  <c r="O2453" i="2"/>
  <c r="O2452" i="2"/>
  <c r="O2451" i="2"/>
  <c r="O2450" i="2"/>
  <c r="O2449" i="2"/>
  <c r="O2448" i="2"/>
  <c r="O2447" i="2"/>
  <c r="O2446" i="2"/>
  <c r="O2445" i="2"/>
  <c r="O2444" i="2"/>
  <c r="O2443" i="2"/>
  <c r="O2442" i="2"/>
  <c r="O2441" i="2"/>
  <c r="O2440" i="2"/>
  <c r="O2439" i="2"/>
  <c r="O2438" i="2"/>
  <c r="O2437" i="2"/>
  <c r="O2436" i="2"/>
  <c r="O2435" i="2"/>
  <c r="O2434" i="2"/>
  <c r="O2433" i="2"/>
  <c r="O2432" i="2"/>
  <c r="O2431" i="2"/>
  <c r="O2430" i="2"/>
  <c r="O2429" i="2"/>
  <c r="O2428" i="2"/>
  <c r="O2427" i="2"/>
  <c r="O2426" i="2"/>
  <c r="O2425" i="2"/>
  <c r="O2424" i="2"/>
  <c r="O2423" i="2"/>
  <c r="O2422" i="2"/>
  <c r="O2421" i="2"/>
  <c r="O2420" i="2"/>
  <c r="O2419" i="2"/>
  <c r="O2418" i="2"/>
  <c r="O2417" i="2"/>
  <c r="O2416" i="2"/>
  <c r="O2415" i="2"/>
  <c r="O2414" i="2"/>
  <c r="O2413" i="2"/>
  <c r="O2412" i="2"/>
  <c r="O2411" i="2"/>
  <c r="O2410" i="2"/>
  <c r="O2409" i="2"/>
  <c r="O2408" i="2"/>
  <c r="O2407" i="2"/>
  <c r="O2406" i="2"/>
  <c r="O2405" i="2"/>
  <c r="O2404" i="2"/>
  <c r="O2403" i="2"/>
  <c r="O2402" i="2"/>
  <c r="O2401" i="2"/>
  <c r="O2400" i="2"/>
  <c r="O2399" i="2"/>
  <c r="O2398" i="2"/>
  <c r="O2397" i="2"/>
  <c r="O2396" i="2"/>
  <c r="O2395" i="2"/>
  <c r="O2394" i="2"/>
  <c r="O2393" i="2"/>
  <c r="O2392" i="2"/>
  <c r="O2391" i="2"/>
  <c r="O2390" i="2"/>
  <c r="O2389" i="2"/>
  <c r="O2388" i="2"/>
  <c r="O2387" i="2"/>
  <c r="O2386" i="2"/>
  <c r="O2385" i="2"/>
  <c r="O2384" i="2"/>
  <c r="O2383" i="2"/>
  <c r="O2382" i="2"/>
  <c r="O2381" i="2"/>
  <c r="O2380" i="2"/>
  <c r="O2379" i="2"/>
  <c r="O2378" i="2"/>
  <c r="O2377" i="2"/>
  <c r="O2376" i="2"/>
  <c r="O2375" i="2"/>
  <c r="O2374" i="2"/>
  <c r="O2373" i="2"/>
  <c r="O2372" i="2"/>
  <c r="O2371" i="2"/>
  <c r="O2370" i="2"/>
  <c r="O2369" i="2"/>
  <c r="O2368" i="2"/>
  <c r="O2367" i="2"/>
  <c r="O2366" i="2"/>
  <c r="O2365" i="2"/>
  <c r="O2364" i="2"/>
  <c r="O2363" i="2"/>
  <c r="O2362" i="2"/>
  <c r="O2361" i="2"/>
  <c r="O2360" i="2"/>
  <c r="O2359" i="2"/>
  <c r="O2358" i="2"/>
  <c r="O2357" i="2"/>
  <c r="O2356" i="2"/>
  <c r="O2355" i="2"/>
  <c r="O2354" i="2"/>
  <c r="O2353" i="2"/>
  <c r="O2352" i="2"/>
  <c r="O2351" i="2"/>
  <c r="O2350" i="2"/>
  <c r="O2349" i="2"/>
  <c r="O2348" i="2"/>
  <c r="O2347" i="2"/>
  <c r="O2346" i="2"/>
  <c r="O2345" i="2"/>
  <c r="O2344" i="2"/>
  <c r="O2343" i="2"/>
  <c r="O2342" i="2"/>
  <c r="O2341" i="2"/>
  <c r="O2340" i="2"/>
  <c r="O2339" i="2"/>
  <c r="O2338" i="2"/>
  <c r="O2337" i="2"/>
  <c r="O2336" i="2"/>
  <c r="O2335" i="2"/>
  <c r="O2334" i="2"/>
  <c r="O2333" i="2"/>
  <c r="O2332" i="2"/>
  <c r="O2331" i="2"/>
  <c r="O2330" i="2"/>
  <c r="O2329" i="2"/>
  <c r="O2328" i="2"/>
  <c r="O2327" i="2"/>
  <c r="O2326" i="2"/>
  <c r="O2325" i="2"/>
  <c r="O2324" i="2"/>
  <c r="O2323" i="2"/>
  <c r="O2322" i="2"/>
  <c r="O2321" i="2"/>
  <c r="O2320" i="2"/>
  <c r="O2319" i="2"/>
  <c r="O2318" i="2"/>
  <c r="O2317" i="2"/>
  <c r="O2316" i="2"/>
  <c r="O2315" i="2"/>
  <c r="O2314" i="2"/>
  <c r="O2313" i="2"/>
  <c r="O2312" i="2"/>
  <c r="O2311" i="2"/>
  <c r="O2310" i="2"/>
  <c r="O2309" i="2"/>
  <c r="O2308" i="2"/>
  <c r="O2307" i="2"/>
  <c r="O2306" i="2"/>
  <c r="O2305" i="2"/>
  <c r="O2304" i="2"/>
  <c r="O2303" i="2"/>
  <c r="O2302" i="2"/>
  <c r="O2301" i="2"/>
  <c r="O2300" i="2"/>
  <c r="O2299" i="2"/>
  <c r="O2298" i="2"/>
  <c r="O2297" i="2"/>
  <c r="O2296" i="2"/>
  <c r="O2295" i="2"/>
  <c r="O2294" i="2"/>
  <c r="O2293" i="2"/>
  <c r="O2292" i="2"/>
  <c r="O2291" i="2"/>
  <c r="O2290" i="2"/>
  <c r="O2289" i="2"/>
  <c r="O2288" i="2"/>
  <c r="O2287" i="2"/>
  <c r="O2286" i="2"/>
  <c r="O2285" i="2"/>
  <c r="O2284" i="2"/>
  <c r="O2283" i="2"/>
  <c r="O2282" i="2"/>
  <c r="O2281" i="2"/>
  <c r="O2280" i="2"/>
  <c r="O2279" i="2"/>
  <c r="O2278" i="2"/>
  <c r="O2277" i="2"/>
  <c r="O2276" i="2"/>
  <c r="O2275" i="2"/>
  <c r="O2274" i="2"/>
  <c r="O2273" i="2"/>
  <c r="O2272" i="2"/>
  <c r="O2271" i="2"/>
  <c r="O2270" i="2"/>
  <c r="O2269" i="2"/>
  <c r="O2268" i="2"/>
  <c r="O2267" i="2"/>
  <c r="O2266" i="2"/>
  <c r="O2265" i="2"/>
  <c r="O2264" i="2"/>
  <c r="O2263" i="2"/>
  <c r="O2262" i="2"/>
  <c r="O2261" i="2"/>
  <c r="O2260" i="2"/>
  <c r="O2259" i="2"/>
  <c r="O2258" i="2"/>
  <c r="O2257" i="2"/>
  <c r="O2256" i="2"/>
  <c r="O2255" i="2"/>
  <c r="O2254" i="2"/>
  <c r="O2253" i="2"/>
  <c r="O2252" i="2"/>
  <c r="O2251" i="2"/>
  <c r="O2250" i="2"/>
  <c r="O2249" i="2"/>
  <c r="O2248" i="2"/>
  <c r="O2247" i="2"/>
  <c r="O2246" i="2"/>
  <c r="O2245" i="2"/>
  <c r="O2244" i="2"/>
  <c r="O2243" i="2"/>
  <c r="O2242" i="2"/>
  <c r="O2241" i="2"/>
  <c r="O2240" i="2"/>
  <c r="O2239" i="2"/>
  <c r="O2238" i="2"/>
  <c r="O2237" i="2"/>
  <c r="O2236" i="2"/>
  <c r="O2235" i="2"/>
  <c r="O2234" i="2"/>
  <c r="O2233" i="2"/>
  <c r="O2232" i="2"/>
  <c r="O2231" i="2"/>
  <c r="O2230" i="2"/>
  <c r="O2229" i="2"/>
  <c r="O2228" i="2"/>
  <c r="O2227" i="2"/>
  <c r="O2226" i="2"/>
  <c r="O2225" i="2"/>
  <c r="O2224" i="2"/>
  <c r="O2223" i="2"/>
  <c r="O2222" i="2"/>
  <c r="O2221" i="2"/>
  <c r="O2220" i="2"/>
  <c r="O2219" i="2"/>
  <c r="O2218" i="2"/>
  <c r="O2217" i="2"/>
  <c r="O2216" i="2"/>
  <c r="O2215" i="2"/>
  <c r="O2214" i="2"/>
  <c r="O2213" i="2"/>
  <c r="O2212" i="2"/>
  <c r="O2211" i="2"/>
  <c r="O2210" i="2"/>
  <c r="O2209" i="2"/>
  <c r="O2208" i="2"/>
  <c r="O2207" i="2"/>
  <c r="O2206" i="2"/>
  <c r="O2205" i="2"/>
  <c r="O2204" i="2"/>
  <c r="O2203" i="2"/>
  <c r="O2202" i="2"/>
  <c r="O2201" i="2"/>
  <c r="O2200" i="2"/>
  <c r="O2199" i="2"/>
  <c r="O2198" i="2"/>
  <c r="O2197" i="2"/>
  <c r="O2196" i="2"/>
  <c r="O2195" i="2"/>
  <c r="O2194" i="2"/>
  <c r="O2193" i="2"/>
  <c r="O2192" i="2"/>
  <c r="O2191" i="2"/>
  <c r="O2190" i="2"/>
  <c r="O2189" i="2"/>
  <c r="O2188" i="2"/>
  <c r="O2187" i="2"/>
  <c r="O2186" i="2"/>
  <c r="O2185" i="2"/>
  <c r="O2184" i="2"/>
  <c r="O2183" i="2"/>
  <c r="O2182" i="2"/>
  <c r="O2181" i="2"/>
  <c r="O2180" i="2"/>
  <c r="O2179" i="2"/>
  <c r="O2178" i="2"/>
  <c r="O2177" i="2"/>
  <c r="O2176" i="2"/>
  <c r="O2175" i="2"/>
  <c r="O2174" i="2"/>
  <c r="O2173" i="2"/>
  <c r="O2172" i="2"/>
  <c r="O2171" i="2"/>
  <c r="O2170" i="2"/>
  <c r="O2169" i="2"/>
  <c r="O2168" i="2"/>
  <c r="O2167" i="2"/>
  <c r="O2166" i="2"/>
  <c r="O2165" i="2"/>
  <c r="O2164" i="2"/>
  <c r="O2163" i="2"/>
  <c r="O2162" i="2"/>
  <c r="O2161" i="2"/>
  <c r="O2160" i="2"/>
  <c r="O2159" i="2"/>
  <c r="O2158" i="2"/>
  <c r="O2157" i="2"/>
  <c r="O2156" i="2"/>
  <c r="O2155" i="2"/>
  <c r="O2154" i="2"/>
  <c r="O2153" i="2"/>
  <c r="O2152" i="2"/>
  <c r="O2151" i="2"/>
  <c r="O2150" i="2"/>
  <c r="O2149" i="2"/>
  <c r="O2148" i="2"/>
  <c r="O2147" i="2"/>
  <c r="O2146" i="2"/>
  <c r="O2145" i="2"/>
  <c r="O2144" i="2"/>
  <c r="O2143" i="2"/>
  <c r="O2142" i="2"/>
  <c r="O2141" i="2"/>
  <c r="O2140" i="2"/>
  <c r="O2139" i="2"/>
  <c r="O2138" i="2"/>
  <c r="O2137" i="2"/>
  <c r="O2136" i="2"/>
  <c r="O2135" i="2"/>
  <c r="O2134" i="2"/>
  <c r="O2133" i="2"/>
  <c r="O2132" i="2"/>
  <c r="O2131" i="2"/>
  <c r="O2130" i="2"/>
  <c r="O2129" i="2"/>
  <c r="O2128" i="2"/>
  <c r="O2127" i="2"/>
  <c r="O2126" i="2"/>
  <c r="O2125" i="2"/>
  <c r="O2124" i="2"/>
  <c r="O2123" i="2"/>
  <c r="O2122" i="2"/>
  <c r="O2121" i="2"/>
  <c r="O2120" i="2"/>
  <c r="O2119" i="2"/>
  <c r="O2118" i="2"/>
  <c r="O2117" i="2"/>
  <c r="O2116" i="2"/>
  <c r="O2115" i="2"/>
  <c r="O2114" i="2"/>
  <c r="O2113" i="2"/>
  <c r="O2112" i="2"/>
  <c r="O2111" i="2"/>
  <c r="O2110" i="2"/>
  <c r="O2109" i="2"/>
  <c r="O2108" i="2"/>
  <c r="O2107" i="2"/>
  <c r="O2106" i="2"/>
  <c r="O2105" i="2"/>
  <c r="O2104" i="2"/>
  <c r="O2103" i="2"/>
  <c r="O2102" i="2"/>
  <c r="O2101" i="2"/>
  <c r="O2100" i="2"/>
  <c r="O2099" i="2"/>
  <c r="O2098" i="2"/>
  <c r="O2097" i="2"/>
  <c r="O2096" i="2"/>
  <c r="O2095" i="2"/>
  <c r="O2094" i="2"/>
  <c r="O2093" i="2"/>
  <c r="O2092" i="2"/>
  <c r="O2091" i="2"/>
  <c r="O2090" i="2"/>
  <c r="O2089" i="2"/>
  <c r="O2088" i="2"/>
  <c r="O2087" i="2"/>
  <c r="O2086" i="2"/>
  <c r="O2085" i="2"/>
  <c r="O2084" i="2"/>
  <c r="O2083" i="2"/>
  <c r="O2082" i="2"/>
  <c r="O2081" i="2"/>
  <c r="O2080" i="2"/>
  <c r="O2079" i="2"/>
  <c r="O2078" i="2"/>
  <c r="O2077" i="2"/>
  <c r="O2076" i="2"/>
  <c r="O2075" i="2"/>
  <c r="O2074" i="2"/>
  <c r="O2073" i="2"/>
  <c r="O2072" i="2"/>
  <c r="O2071" i="2"/>
  <c r="O2070" i="2"/>
  <c r="O2069" i="2"/>
  <c r="O2068" i="2"/>
  <c r="O2067" i="2"/>
  <c r="O2066" i="2"/>
  <c r="O2065" i="2"/>
  <c r="O2064" i="2"/>
  <c r="O2063" i="2"/>
  <c r="O2062" i="2"/>
  <c r="O2061" i="2"/>
  <c r="O2060" i="2"/>
  <c r="O2059" i="2"/>
  <c r="O2058" i="2"/>
  <c r="O2057" i="2"/>
  <c r="O2056" i="2"/>
  <c r="O2055" i="2"/>
  <c r="O2054" i="2"/>
  <c r="O2053" i="2"/>
  <c r="O2052" i="2"/>
  <c r="O2051" i="2"/>
  <c r="O2050" i="2"/>
  <c r="O2049" i="2"/>
  <c r="O2048" i="2"/>
  <c r="O2047" i="2"/>
  <c r="O2046" i="2"/>
  <c r="O2045" i="2"/>
  <c r="O2044" i="2"/>
  <c r="O2043" i="2"/>
  <c r="O2042" i="2"/>
  <c r="O2041" i="2"/>
  <c r="O2040" i="2"/>
  <c r="O2039" i="2"/>
  <c r="O2038" i="2"/>
  <c r="O2037" i="2"/>
  <c r="O2036" i="2"/>
  <c r="O2035" i="2"/>
  <c r="O2034" i="2"/>
  <c r="O2033" i="2"/>
  <c r="O2032" i="2"/>
  <c r="O2031" i="2"/>
  <c r="O2030" i="2"/>
  <c r="O2029" i="2"/>
  <c r="O2028" i="2"/>
  <c r="O2027" i="2"/>
  <c r="O2026" i="2"/>
  <c r="O2025" i="2"/>
  <c r="O2024" i="2"/>
  <c r="O2023" i="2"/>
  <c r="O2022" i="2"/>
  <c r="O2021" i="2"/>
  <c r="O2020" i="2"/>
  <c r="O2019" i="2"/>
  <c r="O2018" i="2"/>
  <c r="O2017" i="2"/>
  <c r="O2016" i="2"/>
  <c r="O2015" i="2"/>
  <c r="O2014" i="2"/>
  <c r="O2013" i="2"/>
  <c r="O2012" i="2"/>
  <c r="O2011" i="2"/>
  <c r="O2010" i="2"/>
  <c r="O2009" i="2"/>
  <c r="O2008" i="2"/>
  <c r="O2007" i="2"/>
  <c r="O2006" i="2"/>
  <c r="O2005" i="2"/>
  <c r="O2004" i="2"/>
  <c r="O2003" i="2"/>
  <c r="O2002" i="2"/>
  <c r="O2001" i="2"/>
  <c r="O2000" i="2"/>
  <c r="O1999" i="2"/>
  <c r="O1998" i="2"/>
  <c r="O1997" i="2"/>
  <c r="O1996" i="2"/>
  <c r="O1995" i="2"/>
  <c r="O1994" i="2"/>
  <c r="O1993" i="2"/>
  <c r="O1992" i="2"/>
  <c r="O1991" i="2"/>
  <c r="O1990" i="2"/>
  <c r="O1989" i="2"/>
  <c r="O1988" i="2"/>
  <c r="O1987" i="2"/>
  <c r="O1986" i="2"/>
  <c r="O1985" i="2"/>
  <c r="O1984" i="2"/>
  <c r="O1983" i="2"/>
  <c r="O1982" i="2"/>
  <c r="O1981" i="2"/>
  <c r="O1980" i="2"/>
  <c r="O1979" i="2"/>
  <c r="O1978" i="2"/>
  <c r="O1977" i="2"/>
  <c r="O1976" i="2"/>
  <c r="O1975" i="2"/>
  <c r="O1974" i="2"/>
  <c r="O1973" i="2"/>
  <c r="O1972" i="2"/>
  <c r="O1971" i="2"/>
  <c r="O1970" i="2"/>
  <c r="O1969" i="2"/>
  <c r="O1968" i="2"/>
  <c r="O1967" i="2"/>
  <c r="O1966" i="2"/>
  <c r="O1965" i="2"/>
  <c r="O1964" i="2"/>
  <c r="O1963" i="2"/>
  <c r="O1962" i="2"/>
  <c r="O1961" i="2"/>
  <c r="O1960" i="2"/>
  <c r="O1959" i="2"/>
  <c r="O1958" i="2"/>
  <c r="O1957" i="2"/>
  <c r="O1956" i="2"/>
  <c r="O1955" i="2"/>
  <c r="O1954" i="2"/>
  <c r="O1953" i="2"/>
  <c r="O1952" i="2"/>
  <c r="O1951" i="2"/>
  <c r="O1950" i="2"/>
  <c r="O1949" i="2"/>
  <c r="O1948" i="2"/>
  <c r="O1947" i="2"/>
  <c r="O1946" i="2"/>
  <c r="O1945" i="2"/>
  <c r="O1944" i="2"/>
  <c r="O1943" i="2"/>
  <c r="O1942" i="2"/>
  <c r="O1941" i="2"/>
  <c r="O1940" i="2"/>
  <c r="O1939" i="2"/>
  <c r="O1938" i="2"/>
  <c r="O1937" i="2"/>
  <c r="O1936" i="2"/>
  <c r="O1935" i="2"/>
  <c r="O1934" i="2"/>
  <c r="O1933" i="2"/>
  <c r="O1932" i="2"/>
  <c r="O1931" i="2"/>
  <c r="O1930" i="2"/>
  <c r="O1929" i="2"/>
  <c r="O1928" i="2"/>
  <c r="O1927" i="2"/>
  <c r="O1926" i="2"/>
  <c r="O1925" i="2"/>
  <c r="O1924" i="2"/>
  <c r="O1923" i="2"/>
  <c r="O1922" i="2"/>
  <c r="O1921" i="2"/>
  <c r="O1920" i="2"/>
  <c r="O1919" i="2"/>
  <c r="O1918" i="2"/>
  <c r="O1917" i="2"/>
  <c r="O1916" i="2"/>
  <c r="O1915" i="2"/>
  <c r="O1914" i="2"/>
  <c r="O1913" i="2"/>
  <c r="O1912" i="2"/>
  <c r="O1911" i="2"/>
  <c r="O1910" i="2"/>
  <c r="O1909" i="2"/>
  <c r="O1908" i="2"/>
  <c r="O1907" i="2"/>
  <c r="O1906" i="2"/>
  <c r="O1905" i="2"/>
  <c r="O1904" i="2"/>
  <c r="O1903" i="2"/>
  <c r="O1902" i="2"/>
  <c r="O1901" i="2"/>
  <c r="O1900" i="2"/>
  <c r="O1899" i="2"/>
  <c r="O1898" i="2"/>
  <c r="O1897" i="2"/>
  <c r="O1896" i="2"/>
  <c r="O1895" i="2"/>
  <c r="O1894" i="2"/>
  <c r="O1893" i="2"/>
  <c r="O1892" i="2"/>
  <c r="O1891" i="2"/>
  <c r="O1890" i="2"/>
  <c r="O1889" i="2"/>
  <c r="O1888" i="2"/>
  <c r="O1887" i="2"/>
  <c r="O1886" i="2"/>
  <c r="O1885" i="2"/>
  <c r="O1884" i="2"/>
  <c r="O1883" i="2"/>
  <c r="O1882" i="2"/>
  <c r="O1881" i="2"/>
  <c r="O1880" i="2"/>
  <c r="O1879" i="2"/>
  <c r="O1878" i="2"/>
  <c r="O1877" i="2"/>
  <c r="O1876" i="2"/>
  <c r="O1875" i="2"/>
  <c r="O1874" i="2"/>
  <c r="O1873" i="2"/>
  <c r="O1872" i="2"/>
  <c r="O1871" i="2"/>
  <c r="O1870" i="2"/>
  <c r="O1869" i="2"/>
  <c r="O1868" i="2"/>
  <c r="O1867" i="2"/>
  <c r="O1866" i="2"/>
  <c r="O1865" i="2"/>
  <c r="O1864" i="2"/>
  <c r="O1863" i="2"/>
  <c r="O1862" i="2"/>
  <c r="O1861" i="2"/>
  <c r="O1860" i="2"/>
  <c r="O1859" i="2"/>
  <c r="O1858" i="2"/>
  <c r="O1857" i="2"/>
  <c r="O1856" i="2"/>
  <c r="O1855" i="2"/>
  <c r="O1854" i="2"/>
  <c r="O1853" i="2"/>
  <c r="O1852" i="2"/>
  <c r="O1851" i="2"/>
  <c r="O1850" i="2"/>
  <c r="O1849" i="2"/>
  <c r="O1848" i="2"/>
  <c r="O1847" i="2"/>
  <c r="O1846" i="2"/>
  <c r="O1845" i="2"/>
  <c r="O1844" i="2"/>
  <c r="O1843" i="2"/>
  <c r="O1842" i="2"/>
  <c r="O1841" i="2"/>
  <c r="O1840" i="2"/>
  <c r="O1839" i="2"/>
  <c r="O1838" i="2"/>
  <c r="O1837" i="2"/>
  <c r="O1836" i="2"/>
  <c r="O1835" i="2"/>
  <c r="O1834" i="2"/>
  <c r="O1833" i="2"/>
  <c r="O1832" i="2"/>
  <c r="O1831" i="2"/>
  <c r="O1830" i="2"/>
  <c r="O1829" i="2"/>
  <c r="O1828" i="2"/>
  <c r="O1827" i="2"/>
  <c r="O1826" i="2"/>
  <c r="O1825" i="2"/>
  <c r="O1824" i="2"/>
  <c r="O1823" i="2"/>
  <c r="O1822" i="2"/>
  <c r="O1821" i="2"/>
  <c r="O1820" i="2"/>
  <c r="O1819" i="2"/>
  <c r="O1818" i="2"/>
  <c r="O1817" i="2"/>
  <c r="O1816" i="2"/>
  <c r="O1815" i="2"/>
  <c r="O1814" i="2"/>
  <c r="O1813" i="2"/>
  <c r="O1812" i="2"/>
  <c r="O1811" i="2"/>
  <c r="O1810" i="2"/>
  <c r="O1809" i="2"/>
  <c r="O1808" i="2"/>
  <c r="O1807" i="2"/>
  <c r="O1806" i="2"/>
  <c r="O1805" i="2"/>
  <c r="O1804" i="2"/>
  <c r="O1803" i="2"/>
  <c r="O1802" i="2"/>
  <c r="O1801" i="2"/>
  <c r="O1800" i="2"/>
  <c r="O1799" i="2"/>
  <c r="O1798" i="2"/>
  <c r="O1797" i="2"/>
  <c r="O1796" i="2"/>
  <c r="O1795" i="2"/>
  <c r="O1794" i="2"/>
  <c r="O1793" i="2"/>
  <c r="O1792" i="2"/>
  <c r="O1791" i="2"/>
  <c r="O1790" i="2"/>
  <c r="O1789" i="2"/>
  <c r="O1788" i="2"/>
  <c r="O1787" i="2"/>
  <c r="O1786" i="2"/>
  <c r="O1785" i="2"/>
  <c r="O1784" i="2"/>
  <c r="O1783" i="2"/>
  <c r="O1782" i="2"/>
  <c r="O1781" i="2"/>
  <c r="O1780" i="2"/>
  <c r="O1779" i="2"/>
  <c r="O1778" i="2"/>
  <c r="O1777" i="2"/>
  <c r="O1776" i="2"/>
  <c r="O1775" i="2"/>
  <c r="O1774" i="2"/>
  <c r="O1773" i="2"/>
  <c r="O1772" i="2"/>
  <c r="O1771" i="2"/>
  <c r="O1770" i="2"/>
  <c r="O1769" i="2"/>
  <c r="O1768" i="2"/>
  <c r="O1767" i="2"/>
  <c r="O1766" i="2"/>
  <c r="O1765" i="2"/>
  <c r="O1764" i="2"/>
  <c r="O1763" i="2"/>
  <c r="O1762" i="2"/>
  <c r="O1761" i="2"/>
  <c r="O1760" i="2"/>
  <c r="O1759" i="2"/>
  <c r="O1758" i="2"/>
  <c r="O1757" i="2"/>
  <c r="O1756" i="2"/>
  <c r="O1755" i="2"/>
  <c r="O1754" i="2"/>
  <c r="O1753" i="2"/>
  <c r="O1752" i="2"/>
  <c r="O1751" i="2"/>
  <c r="O1750" i="2"/>
  <c r="O1749" i="2"/>
  <c r="O1748" i="2"/>
  <c r="O1747" i="2"/>
  <c r="O1746" i="2"/>
  <c r="O1745" i="2"/>
  <c r="O1744" i="2"/>
  <c r="O1743" i="2"/>
  <c r="O1742" i="2"/>
  <c r="O1741" i="2"/>
  <c r="O1740" i="2"/>
  <c r="O1739" i="2"/>
  <c r="O1738" i="2"/>
  <c r="O1737" i="2"/>
  <c r="O1736" i="2"/>
  <c r="O1735" i="2"/>
  <c r="O1734" i="2"/>
  <c r="O1733" i="2"/>
  <c r="O1732" i="2"/>
  <c r="O1731" i="2"/>
  <c r="O1730" i="2"/>
  <c r="O1729" i="2"/>
  <c r="O1728" i="2"/>
  <c r="O1727" i="2"/>
  <c r="O1726" i="2"/>
  <c r="O1725" i="2"/>
  <c r="O1724" i="2"/>
  <c r="O1723" i="2"/>
  <c r="O1722" i="2"/>
  <c r="O1721" i="2"/>
  <c r="O1720" i="2"/>
  <c r="O1719" i="2"/>
  <c r="O1718" i="2"/>
  <c r="O1717" i="2"/>
  <c r="O1716" i="2"/>
  <c r="O1715" i="2"/>
  <c r="O1714" i="2"/>
  <c r="O1713" i="2"/>
  <c r="O1712" i="2"/>
  <c r="O1711" i="2"/>
  <c r="O1710" i="2"/>
  <c r="O1709" i="2"/>
  <c r="O1708" i="2"/>
  <c r="O1707" i="2"/>
  <c r="O1706" i="2"/>
  <c r="O1705" i="2"/>
  <c r="O1704" i="2"/>
  <c r="O1703" i="2"/>
  <c r="O1702" i="2"/>
  <c r="O1701" i="2"/>
  <c r="O1700" i="2"/>
  <c r="O1699" i="2"/>
  <c r="O1698" i="2"/>
  <c r="O1697" i="2"/>
  <c r="O1696" i="2"/>
  <c r="O1695" i="2"/>
  <c r="O1694" i="2"/>
  <c r="O1693" i="2"/>
  <c r="O1692" i="2"/>
  <c r="O1691" i="2"/>
  <c r="O1690" i="2"/>
  <c r="O1689" i="2"/>
  <c r="O1688" i="2"/>
  <c r="O1687" i="2"/>
  <c r="O1686" i="2"/>
  <c r="O1685" i="2"/>
  <c r="O1684" i="2"/>
  <c r="O1683" i="2"/>
  <c r="O1682" i="2"/>
  <c r="O1681" i="2"/>
  <c r="O1680" i="2"/>
  <c r="O1679" i="2"/>
  <c r="O1678" i="2"/>
  <c r="O1677" i="2"/>
  <c r="O1676" i="2"/>
  <c r="O1675" i="2"/>
  <c r="O1674" i="2"/>
  <c r="O1673" i="2"/>
  <c r="O1672" i="2"/>
  <c r="O1671" i="2"/>
  <c r="O1670" i="2"/>
  <c r="O1669" i="2"/>
  <c r="O1668" i="2"/>
  <c r="O1667" i="2"/>
  <c r="O1666" i="2"/>
  <c r="O1665" i="2"/>
  <c r="O1664" i="2"/>
  <c r="O1663" i="2"/>
  <c r="O1662" i="2"/>
  <c r="O1661" i="2"/>
  <c r="O1660" i="2"/>
  <c r="O1659" i="2"/>
  <c r="O1658" i="2"/>
  <c r="O1657" i="2"/>
  <c r="O1656" i="2"/>
  <c r="O1655" i="2"/>
  <c r="O1654" i="2"/>
  <c r="O1653" i="2"/>
  <c r="O1652" i="2"/>
  <c r="O1651" i="2"/>
  <c r="O1650" i="2"/>
  <c r="O1649" i="2"/>
  <c r="O1648" i="2"/>
  <c r="O1647" i="2"/>
  <c r="O1646" i="2"/>
  <c r="O1645" i="2"/>
  <c r="O1644" i="2"/>
  <c r="O1643" i="2"/>
  <c r="O1642" i="2"/>
  <c r="O1641" i="2"/>
  <c r="O1640" i="2"/>
  <c r="O1639" i="2"/>
  <c r="O1638" i="2"/>
  <c r="O1637" i="2"/>
  <c r="O1636" i="2"/>
  <c r="O1635" i="2"/>
  <c r="O1634" i="2"/>
  <c r="O1633" i="2"/>
  <c r="O1632" i="2"/>
  <c r="O1631" i="2"/>
  <c r="O1630" i="2"/>
  <c r="O1629" i="2"/>
  <c r="O1628" i="2"/>
  <c r="O1627" i="2"/>
  <c r="O1626" i="2"/>
  <c r="O1625" i="2"/>
  <c r="O1624" i="2"/>
  <c r="O1623" i="2"/>
  <c r="O1622" i="2"/>
  <c r="O1621" i="2"/>
  <c r="O1620" i="2"/>
  <c r="O1619" i="2"/>
  <c r="O1618" i="2"/>
  <c r="O1617" i="2"/>
  <c r="O1616" i="2"/>
  <c r="O1615" i="2"/>
  <c r="O1614" i="2"/>
  <c r="O1613" i="2"/>
  <c r="O1612" i="2"/>
  <c r="O1611" i="2"/>
  <c r="O1610" i="2"/>
  <c r="O1609" i="2"/>
  <c r="O1608" i="2"/>
  <c r="O1607" i="2"/>
  <c r="O1606" i="2"/>
  <c r="O1605" i="2"/>
  <c r="O1604" i="2"/>
  <c r="O1603" i="2"/>
  <c r="O1602" i="2"/>
  <c r="O1601" i="2"/>
  <c r="O1600" i="2"/>
  <c r="O1599" i="2"/>
  <c r="O1598" i="2"/>
  <c r="O1597" i="2"/>
  <c r="O1596" i="2"/>
  <c r="O1595" i="2"/>
  <c r="O1594" i="2"/>
  <c r="O1593" i="2"/>
  <c r="O1592" i="2"/>
  <c r="O1591" i="2"/>
  <c r="O1590" i="2"/>
  <c r="O1589" i="2"/>
  <c r="O1588" i="2"/>
  <c r="O1587" i="2"/>
  <c r="O1586" i="2"/>
  <c r="O1585" i="2"/>
  <c r="O1584" i="2"/>
  <c r="O1583" i="2"/>
  <c r="O1582" i="2"/>
  <c r="O1581" i="2"/>
  <c r="O1580" i="2"/>
  <c r="O1579" i="2"/>
  <c r="O1578" i="2"/>
  <c r="O1577" i="2"/>
  <c r="O1576" i="2"/>
  <c r="O1575" i="2"/>
  <c r="O1574" i="2"/>
  <c r="O1573" i="2"/>
  <c r="O1572" i="2"/>
  <c r="O1571" i="2"/>
  <c r="O1570" i="2"/>
  <c r="O1569" i="2"/>
  <c r="O1568" i="2"/>
  <c r="O1567" i="2"/>
  <c r="O1566" i="2"/>
  <c r="O1565" i="2"/>
  <c r="O1564" i="2"/>
  <c r="O1563" i="2"/>
  <c r="O1562" i="2"/>
  <c r="O1561" i="2"/>
  <c r="O1560" i="2"/>
  <c r="O1559" i="2"/>
  <c r="O1558" i="2"/>
  <c r="O1557" i="2"/>
  <c r="O1556" i="2"/>
  <c r="O1555" i="2"/>
  <c r="O1554" i="2"/>
  <c r="O1553" i="2"/>
  <c r="O1552" i="2"/>
  <c r="O1551" i="2"/>
  <c r="O1550" i="2"/>
  <c r="O1549" i="2"/>
  <c r="O1548" i="2"/>
  <c r="O1547" i="2"/>
  <c r="O1546" i="2"/>
  <c r="O1545" i="2"/>
  <c r="O1544" i="2"/>
  <c r="O1543" i="2"/>
  <c r="O1542" i="2"/>
  <c r="O1541" i="2"/>
  <c r="O1540" i="2"/>
  <c r="O1539" i="2"/>
  <c r="O1538" i="2"/>
  <c r="O1537" i="2"/>
  <c r="O1536" i="2"/>
  <c r="O1535" i="2"/>
  <c r="O1534" i="2"/>
  <c r="O1533" i="2"/>
  <c r="O1532" i="2"/>
  <c r="O1531" i="2"/>
  <c r="O1530" i="2"/>
  <c r="O1529" i="2"/>
  <c r="O1528" i="2"/>
  <c r="O1527" i="2"/>
  <c r="O1526" i="2"/>
  <c r="O1525" i="2"/>
  <c r="O1524" i="2"/>
  <c r="O1523" i="2"/>
  <c r="O1522" i="2"/>
  <c r="O1521" i="2"/>
  <c r="O1520" i="2"/>
  <c r="O1519" i="2"/>
  <c r="O1518" i="2"/>
  <c r="O1517" i="2"/>
  <c r="O1516" i="2"/>
  <c r="O1515" i="2"/>
  <c r="O1514" i="2"/>
  <c r="O1513" i="2"/>
  <c r="O1512" i="2"/>
  <c r="O1511" i="2"/>
  <c r="O1510" i="2"/>
  <c r="O1509" i="2"/>
  <c r="O1508" i="2"/>
  <c r="O1507" i="2"/>
  <c r="O1506" i="2"/>
  <c r="O1505" i="2"/>
  <c r="O1504" i="2"/>
  <c r="O1503" i="2"/>
  <c r="O1502" i="2"/>
  <c r="O1501" i="2"/>
  <c r="O1500" i="2"/>
  <c r="O1499" i="2"/>
  <c r="O1498" i="2"/>
  <c r="O1497" i="2"/>
  <c r="O1496" i="2"/>
  <c r="O1495" i="2"/>
  <c r="O1494" i="2"/>
  <c r="O1493" i="2"/>
  <c r="O1492" i="2"/>
  <c r="O1491" i="2"/>
  <c r="O1490" i="2"/>
  <c r="O1489" i="2"/>
  <c r="O1488" i="2"/>
  <c r="O1487" i="2"/>
  <c r="O1486" i="2"/>
  <c r="O1485" i="2"/>
  <c r="O1484" i="2"/>
  <c r="O1483" i="2"/>
  <c r="O1482" i="2"/>
  <c r="O1481" i="2"/>
  <c r="O1480" i="2"/>
  <c r="O1479" i="2"/>
  <c r="O1478" i="2"/>
  <c r="O1477" i="2"/>
  <c r="O1476" i="2"/>
  <c r="O1475" i="2"/>
  <c r="O1474" i="2"/>
  <c r="O1473" i="2"/>
  <c r="O1472" i="2"/>
  <c r="O1471" i="2"/>
  <c r="O1470" i="2"/>
  <c r="O1469" i="2"/>
  <c r="O1468" i="2"/>
  <c r="O1467" i="2"/>
  <c r="O1466" i="2"/>
  <c r="O1465" i="2"/>
  <c r="O1464" i="2"/>
  <c r="O1463" i="2"/>
  <c r="O1462" i="2"/>
  <c r="O1461" i="2"/>
  <c r="O1460" i="2"/>
  <c r="O1459" i="2"/>
  <c r="O1458" i="2"/>
  <c r="O1457" i="2"/>
  <c r="O1456" i="2"/>
  <c r="O1455" i="2"/>
  <c r="O1454" i="2"/>
  <c r="O1453" i="2"/>
  <c r="O1452" i="2"/>
  <c r="O1451" i="2"/>
  <c r="O1450" i="2"/>
  <c r="O1449" i="2"/>
  <c r="O1448" i="2"/>
  <c r="O1447" i="2"/>
  <c r="O1446" i="2"/>
  <c r="O1445" i="2"/>
  <c r="O1444" i="2"/>
  <c r="O1443" i="2"/>
  <c r="O1442" i="2"/>
  <c r="O1441" i="2"/>
  <c r="O1440" i="2"/>
  <c r="O1439" i="2"/>
  <c r="O1438" i="2"/>
  <c r="O1437" i="2"/>
  <c r="O1436" i="2"/>
  <c r="O1435" i="2"/>
  <c r="O1434" i="2"/>
  <c r="O1433" i="2"/>
  <c r="O1432" i="2"/>
  <c r="O1431" i="2"/>
  <c r="O1430" i="2"/>
  <c r="O1429" i="2"/>
  <c r="O1428" i="2"/>
  <c r="O1427" i="2"/>
  <c r="O1426" i="2"/>
  <c r="O1425" i="2"/>
  <c r="O1424" i="2"/>
  <c r="O1423" i="2"/>
  <c r="O1422" i="2"/>
  <c r="O1421" i="2"/>
  <c r="O1420" i="2"/>
  <c r="O1419" i="2"/>
  <c r="O1418" i="2"/>
  <c r="O1417" i="2"/>
  <c r="O1416" i="2"/>
  <c r="O1415" i="2"/>
  <c r="O1414" i="2"/>
  <c r="O1413" i="2"/>
  <c r="O1412" i="2"/>
  <c r="O1411" i="2"/>
  <c r="O1410" i="2"/>
  <c r="O1409" i="2"/>
  <c r="O1408" i="2"/>
  <c r="O1407" i="2"/>
  <c r="O1406" i="2"/>
  <c r="O1405" i="2"/>
  <c r="O1404" i="2"/>
  <c r="O1403" i="2"/>
  <c r="O1402" i="2"/>
  <c r="O1401" i="2"/>
  <c r="O1400" i="2"/>
  <c r="O1399" i="2"/>
  <c r="O1398" i="2"/>
  <c r="O1397" i="2"/>
  <c r="O1396" i="2"/>
  <c r="O1395" i="2"/>
  <c r="O1394" i="2"/>
  <c r="O1393" i="2"/>
  <c r="O1392" i="2"/>
  <c r="O1391" i="2"/>
  <c r="O1390" i="2"/>
  <c r="O1389" i="2"/>
  <c r="O1388" i="2"/>
  <c r="O1387" i="2"/>
  <c r="O1386" i="2"/>
  <c r="O1385" i="2"/>
  <c r="O1384" i="2"/>
  <c r="O1383" i="2"/>
  <c r="O1382" i="2"/>
  <c r="O1381" i="2"/>
  <c r="O1380" i="2"/>
  <c r="O1379" i="2"/>
  <c r="O1378" i="2"/>
  <c r="O1377" i="2"/>
  <c r="O1376" i="2"/>
  <c r="O1375" i="2"/>
  <c r="O1374" i="2"/>
  <c r="O1373" i="2"/>
  <c r="O1372" i="2"/>
  <c r="O1371" i="2"/>
  <c r="O1370" i="2"/>
  <c r="O1369" i="2"/>
  <c r="O1368" i="2"/>
  <c r="O1367" i="2"/>
  <c r="O1366" i="2"/>
  <c r="O1365" i="2"/>
  <c r="O1364" i="2"/>
  <c r="O1363" i="2"/>
  <c r="O1362" i="2"/>
  <c r="O1361" i="2"/>
  <c r="O1360" i="2"/>
  <c r="O1359" i="2"/>
  <c r="O1358" i="2"/>
  <c r="O1357" i="2"/>
  <c r="O1356" i="2"/>
  <c r="O1355" i="2"/>
  <c r="O1354" i="2"/>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BL385" i="1"/>
  <c r="O385" i="1"/>
  <c r="BL384" i="1"/>
  <c r="O384" i="1"/>
  <c r="BL383" i="1"/>
  <c r="O383" i="1"/>
  <c r="BL382" i="1"/>
  <c r="O382" i="1"/>
  <c r="BL381" i="1"/>
  <c r="O381" i="1"/>
  <c r="BL380" i="1"/>
  <c r="O380" i="1"/>
  <c r="BL379" i="1"/>
  <c r="O379" i="1"/>
  <c r="BL378" i="1"/>
  <c r="O378" i="1"/>
  <c r="BL377" i="1"/>
  <c r="O377" i="1"/>
  <c r="BL376" i="1"/>
  <c r="O376" i="1"/>
  <c r="BL375" i="1"/>
  <c r="O375" i="1"/>
  <c r="BL374" i="1"/>
  <c r="O374" i="1"/>
  <c r="BL373" i="1"/>
  <c r="O373" i="1"/>
  <c r="BL372" i="1"/>
  <c r="O372" i="1"/>
  <c r="BL371" i="1"/>
  <c r="O371" i="1"/>
  <c r="BL370" i="1"/>
  <c r="O370" i="1"/>
  <c r="BL369" i="1"/>
  <c r="O369" i="1"/>
  <c r="BL368" i="1"/>
  <c r="O368" i="1"/>
  <c r="BL367" i="1"/>
  <c r="O367" i="1"/>
  <c r="BL366" i="1"/>
  <c r="O366" i="1"/>
  <c r="BL365" i="1"/>
  <c r="O365" i="1"/>
  <c r="BL364" i="1"/>
  <c r="O364" i="1"/>
  <c r="BL363" i="1"/>
  <c r="O363" i="1"/>
  <c r="BL362" i="1"/>
  <c r="O362" i="1"/>
  <c r="BL361" i="1"/>
  <c r="O361" i="1"/>
  <c r="BL360" i="1"/>
  <c r="O360" i="1"/>
  <c r="BL359" i="1"/>
  <c r="O359" i="1"/>
  <c r="BL358" i="1"/>
  <c r="O358" i="1"/>
  <c r="BL357" i="1"/>
  <c r="O357" i="1"/>
  <c r="BL356" i="1"/>
  <c r="O356" i="1"/>
  <c r="BL355" i="1"/>
  <c r="O355" i="1"/>
  <c r="BL354" i="1"/>
  <c r="O354" i="1"/>
  <c r="BL353" i="1"/>
  <c r="O353" i="1"/>
  <c r="BL352" i="1"/>
  <c r="O352" i="1"/>
  <c r="BL351" i="1"/>
  <c r="O351" i="1"/>
  <c r="BL350" i="1"/>
  <c r="O350" i="1"/>
  <c r="BL349" i="1"/>
  <c r="O349" i="1"/>
  <c r="BL348" i="1"/>
  <c r="O348" i="1"/>
  <c r="BL347" i="1"/>
  <c r="O347" i="1"/>
  <c r="BL346" i="1"/>
  <c r="O346" i="1"/>
  <c r="BL345" i="1"/>
  <c r="O345" i="1"/>
  <c r="BL344" i="1"/>
  <c r="O344" i="1"/>
  <c r="BL343" i="1"/>
  <c r="O343" i="1"/>
  <c r="BL342" i="1"/>
  <c r="O342" i="1"/>
  <c r="BL341" i="1"/>
  <c r="O341" i="1"/>
  <c r="BL340" i="1"/>
  <c r="O340" i="1"/>
  <c r="BL339" i="1"/>
  <c r="O339" i="1"/>
  <c r="BL338" i="1"/>
  <c r="O338" i="1"/>
  <c r="BL337" i="1"/>
  <c r="O337" i="1"/>
  <c r="BL336" i="1"/>
  <c r="O336" i="1"/>
  <c r="BL335" i="1"/>
  <c r="O335" i="1"/>
  <c r="BL334" i="1"/>
  <c r="O334" i="1"/>
  <c r="BL333" i="1"/>
  <c r="O333" i="1"/>
  <c r="BL332" i="1"/>
  <c r="O332" i="1"/>
  <c r="BL331" i="1"/>
  <c r="O331" i="1"/>
  <c r="BL330" i="1"/>
  <c r="O330" i="1"/>
  <c r="BL329" i="1"/>
  <c r="O329" i="1"/>
  <c r="BL328" i="1"/>
  <c r="O328" i="1"/>
  <c r="BL327" i="1"/>
  <c r="O327" i="1"/>
  <c r="BL326" i="1"/>
  <c r="O326" i="1"/>
  <c r="BL325" i="1"/>
  <c r="O325" i="1"/>
  <c r="BL324" i="1"/>
  <c r="O324" i="1"/>
  <c r="BL323" i="1"/>
  <c r="O323" i="1"/>
  <c r="BL322" i="1"/>
  <c r="O322" i="1"/>
  <c r="BL321" i="1"/>
  <c r="O321" i="1"/>
  <c r="BL320" i="1"/>
  <c r="O320" i="1"/>
  <c r="BL319" i="1"/>
  <c r="O319" i="1"/>
  <c r="BL318" i="1"/>
  <c r="O318" i="1"/>
  <c r="BL317" i="1"/>
  <c r="O317" i="1"/>
  <c r="BL316" i="1"/>
  <c r="O316" i="1"/>
  <c r="BL315" i="1"/>
  <c r="O315" i="1"/>
  <c r="BL314" i="1"/>
  <c r="O314" i="1"/>
  <c r="BL313" i="1"/>
  <c r="O313" i="1"/>
  <c r="BL312" i="1"/>
  <c r="O312" i="1"/>
  <c r="BL311" i="1"/>
  <c r="O311" i="1"/>
  <c r="BL310" i="1"/>
  <c r="O310" i="1"/>
  <c r="BL309" i="1"/>
  <c r="O309" i="1"/>
  <c r="BL308" i="1"/>
  <c r="O308" i="1"/>
  <c r="BL307" i="1"/>
  <c r="O307" i="1"/>
  <c r="BL306" i="1"/>
  <c r="O306" i="1"/>
  <c r="BL305" i="1"/>
  <c r="O305" i="1"/>
  <c r="BL304" i="1"/>
  <c r="O304" i="1"/>
  <c r="BL303" i="1"/>
  <c r="O303" i="1"/>
  <c r="BL302" i="1"/>
  <c r="O302" i="1"/>
  <c r="BL301" i="1"/>
  <c r="O301" i="1"/>
  <c r="BL300" i="1"/>
  <c r="O300" i="1"/>
  <c r="BL299" i="1"/>
  <c r="O299" i="1"/>
  <c r="BL298" i="1"/>
  <c r="O298" i="1"/>
  <c r="BL297" i="1"/>
  <c r="O297" i="1"/>
  <c r="BL296" i="1"/>
  <c r="O296" i="1"/>
  <c r="BL295" i="1"/>
  <c r="O295" i="1"/>
  <c r="BL294" i="1"/>
  <c r="O294" i="1"/>
  <c r="BL293" i="1"/>
  <c r="O293" i="1"/>
  <c r="BL292" i="1"/>
  <c r="O292" i="1"/>
  <c r="BL291" i="1"/>
  <c r="O291" i="1"/>
  <c r="BL290" i="1"/>
  <c r="O290" i="1"/>
  <c r="BL289" i="1"/>
  <c r="O289" i="1"/>
  <c r="BL288" i="1"/>
  <c r="O288" i="1"/>
  <c r="BL287" i="1"/>
  <c r="O287" i="1"/>
  <c r="BL286" i="1"/>
  <c r="O286" i="1"/>
  <c r="BL285" i="1"/>
  <c r="O285" i="1"/>
  <c r="BL284" i="1"/>
  <c r="O284" i="1"/>
  <c r="BL283" i="1"/>
  <c r="O283" i="1"/>
  <c r="BL282" i="1"/>
  <c r="O282" i="1"/>
  <c r="BL281" i="1"/>
  <c r="O281" i="1"/>
  <c r="BL280" i="1"/>
  <c r="O280" i="1"/>
  <c r="BL279" i="1"/>
  <c r="O279" i="1"/>
  <c r="BL278" i="1"/>
  <c r="O278" i="1"/>
  <c r="BL277" i="1"/>
  <c r="O277" i="1"/>
  <c r="BL276" i="1"/>
  <c r="O276" i="1"/>
  <c r="BL275" i="1"/>
  <c r="O275" i="1"/>
  <c r="BL274" i="1"/>
  <c r="O274" i="1"/>
  <c r="BL273" i="1"/>
  <c r="O273" i="1"/>
  <c r="BL272" i="1"/>
  <c r="O272" i="1"/>
  <c r="BL271" i="1"/>
  <c r="O271" i="1"/>
  <c r="BL270" i="1"/>
  <c r="O270" i="1"/>
  <c r="BL269" i="1"/>
  <c r="O269" i="1"/>
  <c r="BL268" i="1"/>
  <c r="O268" i="1"/>
  <c r="BL267" i="1"/>
  <c r="O267" i="1"/>
  <c r="BL266" i="1"/>
  <c r="O266" i="1"/>
  <c r="BL265" i="1"/>
  <c r="O265" i="1"/>
  <c r="BL264" i="1"/>
  <c r="O264" i="1"/>
  <c r="BL263" i="1"/>
  <c r="O263" i="1"/>
  <c r="BL262" i="1"/>
  <c r="O262" i="1"/>
  <c r="BL261" i="1"/>
  <c r="O261" i="1"/>
  <c r="BL260" i="1"/>
  <c r="O260" i="1"/>
  <c r="BL259" i="1"/>
  <c r="O259" i="1"/>
  <c r="BL258" i="1"/>
  <c r="O258" i="1"/>
  <c r="BL257" i="1"/>
  <c r="O257" i="1"/>
  <c r="BL256" i="1"/>
  <c r="O256" i="1"/>
  <c r="BL255" i="1"/>
  <c r="O255" i="1"/>
  <c r="BL254" i="1"/>
  <c r="O254" i="1"/>
  <c r="BL253" i="1"/>
  <c r="O253" i="1"/>
  <c r="BL252" i="1"/>
  <c r="O252" i="1"/>
  <c r="BL251" i="1"/>
  <c r="O251" i="1"/>
  <c r="BL250" i="1"/>
  <c r="O250" i="1"/>
  <c r="BL249" i="1"/>
  <c r="O249" i="1"/>
  <c r="BL248" i="1"/>
  <c r="O248" i="1"/>
  <c r="BL247" i="1"/>
  <c r="O247" i="1"/>
  <c r="BL246" i="1"/>
  <c r="O246" i="1"/>
  <c r="BL245" i="1"/>
  <c r="O245" i="1"/>
  <c r="BL244" i="1"/>
  <c r="O244" i="1"/>
  <c r="BL243" i="1"/>
  <c r="O243" i="1"/>
  <c r="BL242" i="1"/>
  <c r="O242" i="1"/>
  <c r="BL241" i="1"/>
  <c r="O241" i="1"/>
  <c r="BL240" i="1"/>
  <c r="O240" i="1"/>
  <c r="BL239" i="1"/>
  <c r="O239" i="1"/>
  <c r="BL238" i="1"/>
  <c r="O238" i="1"/>
  <c r="BL237" i="1"/>
  <c r="O237" i="1"/>
  <c r="BL236" i="1"/>
  <c r="O236" i="1"/>
  <c r="BL235" i="1"/>
  <c r="O235" i="1"/>
  <c r="BL234" i="1"/>
  <c r="O234" i="1"/>
  <c r="BL233" i="1"/>
  <c r="O233" i="1"/>
  <c r="BL232" i="1"/>
  <c r="O232" i="1"/>
  <c r="BL231" i="1"/>
  <c r="O231" i="1"/>
  <c r="BL230" i="1"/>
  <c r="O230" i="1"/>
  <c r="BL229" i="1"/>
  <c r="O229" i="1"/>
  <c r="BL228" i="1"/>
  <c r="O228" i="1"/>
  <c r="BL227" i="1"/>
  <c r="O227" i="1"/>
  <c r="BL226" i="1"/>
  <c r="O226" i="1"/>
  <c r="BL225" i="1"/>
  <c r="O225" i="1"/>
  <c r="BL224" i="1"/>
  <c r="O224" i="1"/>
  <c r="BL223" i="1"/>
  <c r="O223" i="1"/>
  <c r="BL222" i="1"/>
  <c r="O222" i="1"/>
  <c r="BL221" i="1"/>
  <c r="O221" i="1"/>
  <c r="BL220" i="1"/>
  <c r="O220" i="1"/>
  <c r="BL219" i="1"/>
  <c r="O219" i="1"/>
  <c r="BL218" i="1"/>
  <c r="O218" i="1"/>
  <c r="BL217" i="1"/>
  <c r="O217" i="1"/>
  <c r="BL216" i="1"/>
  <c r="O216" i="1"/>
  <c r="BL215" i="1"/>
  <c r="O215" i="1"/>
  <c r="BL214" i="1"/>
  <c r="O214" i="1"/>
  <c r="BL213" i="1"/>
  <c r="O213" i="1"/>
  <c r="BL212" i="1"/>
  <c r="O212" i="1"/>
  <c r="BL211" i="1"/>
  <c r="O211" i="1"/>
  <c r="BL210" i="1"/>
  <c r="O210" i="1"/>
  <c r="BL209" i="1"/>
  <c r="O209" i="1"/>
  <c r="BL208" i="1"/>
  <c r="O208" i="1"/>
  <c r="BL207" i="1"/>
  <c r="O207" i="1"/>
  <c r="BL206" i="1"/>
  <c r="O206" i="1"/>
  <c r="BL205" i="1"/>
  <c r="O205" i="1"/>
  <c r="BL204" i="1"/>
  <c r="O204" i="1"/>
  <c r="BL203" i="1"/>
  <c r="O203" i="1"/>
  <c r="BL202" i="1"/>
  <c r="O202" i="1"/>
  <c r="BL201" i="1"/>
  <c r="O201" i="1"/>
  <c r="BL200" i="1"/>
  <c r="O200" i="1"/>
  <c r="BL199" i="1"/>
  <c r="O199" i="1"/>
  <c r="BL198" i="1"/>
  <c r="O198" i="1"/>
  <c r="BL197" i="1"/>
  <c r="O197" i="1"/>
  <c r="BL196" i="1"/>
  <c r="O196" i="1"/>
  <c r="BL195" i="1"/>
  <c r="O195" i="1"/>
  <c r="BL194" i="1"/>
  <c r="O194" i="1"/>
  <c r="BL193" i="1"/>
  <c r="O193" i="1"/>
  <c r="BL192" i="1"/>
  <c r="O192" i="1"/>
  <c r="BL191" i="1"/>
  <c r="O191" i="1"/>
  <c r="BL190" i="1"/>
  <c r="O190" i="1"/>
  <c r="BL189" i="1"/>
  <c r="O189" i="1"/>
  <c r="BL188" i="1"/>
  <c r="O188" i="1"/>
  <c r="BL187" i="1"/>
  <c r="O187" i="1"/>
  <c r="BL186" i="1"/>
  <c r="O186" i="1"/>
  <c r="BL185" i="1"/>
  <c r="O185" i="1"/>
  <c r="BL184" i="1"/>
  <c r="O184" i="1"/>
  <c r="BL183" i="1"/>
  <c r="O183" i="1"/>
  <c r="BL182" i="1"/>
  <c r="O182" i="1"/>
  <c r="BL181" i="1"/>
  <c r="O181" i="1"/>
  <c r="BL180" i="1"/>
  <c r="O180" i="1"/>
  <c r="BL179" i="1"/>
  <c r="O179" i="1"/>
  <c r="BL178" i="1"/>
  <c r="O178" i="1"/>
  <c r="BL177" i="1"/>
  <c r="O177" i="1"/>
  <c r="BL176" i="1"/>
  <c r="O176" i="1"/>
  <c r="BL175" i="1"/>
  <c r="O175" i="1"/>
  <c r="BL174" i="1"/>
  <c r="O174" i="1"/>
  <c r="BL173" i="1"/>
  <c r="O173" i="1"/>
  <c r="BL172" i="1"/>
  <c r="O172" i="1"/>
  <c r="BL171" i="1"/>
  <c r="O171" i="1"/>
  <c r="BL170" i="1"/>
  <c r="O170" i="1"/>
  <c r="BL169" i="1"/>
  <c r="O169" i="1"/>
  <c r="BL168" i="1"/>
  <c r="O168" i="1"/>
  <c r="BL167" i="1"/>
  <c r="O167" i="1"/>
  <c r="BL166" i="1"/>
  <c r="O166" i="1"/>
  <c r="BL165" i="1"/>
  <c r="O165" i="1"/>
  <c r="BL164" i="1"/>
  <c r="O164" i="1"/>
  <c r="BL163" i="1"/>
  <c r="O163" i="1"/>
  <c r="BL162" i="1"/>
  <c r="O162" i="1"/>
  <c r="BL161" i="1"/>
  <c r="O161" i="1"/>
  <c r="BL160" i="1"/>
  <c r="O160" i="1"/>
  <c r="BL159" i="1"/>
  <c r="O159" i="1"/>
  <c r="BL158" i="1"/>
  <c r="O158" i="1"/>
  <c r="BL157" i="1"/>
  <c r="O157" i="1"/>
  <c r="BL156" i="1"/>
  <c r="O156" i="1"/>
  <c r="BL155" i="1"/>
  <c r="O155" i="1"/>
  <c r="BL154" i="1"/>
  <c r="O154" i="1"/>
  <c r="BL153" i="1"/>
  <c r="O153" i="1"/>
  <c r="BL152" i="1"/>
  <c r="O152" i="1"/>
  <c r="BL151" i="1"/>
  <c r="O151" i="1"/>
  <c r="BL150" i="1"/>
  <c r="O150" i="1"/>
  <c r="BL149" i="1"/>
  <c r="O149" i="1"/>
  <c r="BL148" i="1"/>
  <c r="O148" i="1"/>
  <c r="BL147" i="1"/>
  <c r="O147" i="1"/>
  <c r="BL146" i="1"/>
  <c r="O146" i="1"/>
  <c r="BL145" i="1"/>
  <c r="O145" i="1"/>
  <c r="BL144" i="1"/>
  <c r="O144" i="1"/>
  <c r="BL143" i="1"/>
  <c r="O143" i="1"/>
  <c r="BL142" i="1"/>
  <c r="O142" i="1"/>
  <c r="BL141" i="1"/>
  <c r="O141" i="1"/>
  <c r="BL140" i="1"/>
  <c r="O140" i="1"/>
  <c r="BL139" i="1"/>
  <c r="O139" i="1"/>
  <c r="BL138" i="1"/>
  <c r="O138" i="1"/>
  <c r="BL137" i="1"/>
  <c r="O137" i="1"/>
  <c r="BL136" i="1"/>
  <c r="O136" i="1"/>
  <c r="BL135" i="1"/>
  <c r="O135" i="1"/>
  <c r="BL134" i="1"/>
  <c r="O134" i="1"/>
  <c r="BL133" i="1"/>
  <c r="O133" i="1"/>
  <c r="BL132" i="1"/>
  <c r="O132" i="1"/>
  <c r="BL131" i="1"/>
  <c r="O131" i="1"/>
  <c r="BL130" i="1"/>
  <c r="O130" i="1"/>
  <c r="BL129" i="1"/>
  <c r="O129" i="1"/>
  <c r="BL128" i="1"/>
  <c r="O128" i="1"/>
  <c r="BL127" i="1"/>
  <c r="O127" i="1"/>
  <c r="BL126" i="1"/>
  <c r="O126" i="1"/>
  <c r="BL125" i="1"/>
  <c r="O125" i="1"/>
  <c r="BL124" i="1"/>
  <c r="O124" i="1"/>
  <c r="BL123" i="1"/>
  <c r="O123" i="1"/>
  <c r="BL122" i="1"/>
  <c r="O122" i="1"/>
  <c r="BL121" i="1"/>
  <c r="O121" i="1"/>
  <c r="BL120" i="1"/>
  <c r="O120" i="1"/>
  <c r="BL119" i="1"/>
  <c r="O119" i="1"/>
  <c r="BL118" i="1"/>
  <c r="O118" i="1"/>
  <c r="BL117" i="1"/>
  <c r="O117" i="1"/>
  <c r="BL116" i="1"/>
  <c r="O116" i="1"/>
  <c r="BL115" i="1"/>
  <c r="O115" i="1"/>
  <c r="BL114" i="1"/>
  <c r="O114" i="1"/>
  <c r="BL113" i="1"/>
  <c r="O113" i="1"/>
  <c r="BL112" i="1"/>
  <c r="O112" i="1"/>
  <c r="BL111" i="1"/>
  <c r="O111" i="1"/>
  <c r="BL110" i="1"/>
  <c r="O110" i="1"/>
  <c r="BL109" i="1"/>
  <c r="O109" i="1"/>
  <c r="BL108" i="1"/>
  <c r="O108" i="1"/>
  <c r="BL107" i="1"/>
  <c r="O107" i="1"/>
  <c r="BL106" i="1"/>
  <c r="O106" i="1"/>
  <c r="BL105" i="1"/>
  <c r="O105" i="1"/>
  <c r="BL104" i="1"/>
  <c r="O104" i="1"/>
  <c r="BL103" i="1"/>
  <c r="O103" i="1"/>
  <c r="BL102" i="1"/>
  <c r="O102" i="1"/>
  <c r="BL101" i="1"/>
  <c r="O101" i="1"/>
  <c r="BL100" i="1"/>
  <c r="O100" i="1"/>
  <c r="BL99" i="1"/>
  <c r="O99" i="1"/>
  <c r="BL98" i="1"/>
  <c r="O98" i="1"/>
  <c r="BL97" i="1"/>
  <c r="O97" i="1"/>
  <c r="BL96" i="1"/>
  <c r="O96" i="1"/>
  <c r="BL95" i="1"/>
  <c r="O95" i="1"/>
  <c r="BL94" i="1"/>
  <c r="O94" i="1"/>
  <c r="BL93" i="1"/>
  <c r="O93" i="1"/>
  <c r="BL92" i="1"/>
  <c r="O92" i="1"/>
  <c r="BL91" i="1"/>
  <c r="O91" i="1"/>
  <c r="BL90" i="1"/>
  <c r="O90" i="1"/>
  <c r="BL89" i="1"/>
  <c r="O89" i="1"/>
  <c r="BL88" i="1"/>
  <c r="O88" i="1"/>
  <c r="BL87" i="1"/>
  <c r="O87" i="1"/>
  <c r="BL86" i="1"/>
  <c r="O86" i="1"/>
  <c r="BL85" i="1"/>
  <c r="O85" i="1"/>
  <c r="BL84" i="1"/>
  <c r="O84" i="1"/>
  <c r="BL83" i="1"/>
  <c r="O83" i="1"/>
  <c r="BL82" i="1"/>
  <c r="O82" i="1"/>
  <c r="BL81" i="1"/>
  <c r="O81" i="1"/>
  <c r="BL80" i="1"/>
  <c r="O80" i="1"/>
  <c r="BL79" i="1"/>
  <c r="O79" i="1"/>
  <c r="BL78" i="1"/>
  <c r="O78" i="1"/>
  <c r="BL77" i="1"/>
  <c r="O77" i="1"/>
  <c r="BL76" i="1"/>
  <c r="O76" i="1"/>
  <c r="BL75" i="1"/>
  <c r="O75" i="1"/>
  <c r="BL74" i="1"/>
  <c r="O74" i="1"/>
  <c r="BL73" i="1"/>
  <c r="O73" i="1"/>
  <c r="BL72" i="1"/>
  <c r="O72" i="1"/>
  <c r="BL71" i="1"/>
  <c r="O71" i="1"/>
  <c r="BL70" i="1"/>
  <c r="O70" i="1"/>
  <c r="BL69" i="1"/>
  <c r="O69" i="1"/>
  <c r="BL68" i="1"/>
  <c r="O68" i="1"/>
  <c r="BL67" i="1"/>
  <c r="O67" i="1"/>
  <c r="BL66" i="1"/>
  <c r="O66" i="1"/>
  <c r="BL65" i="1"/>
  <c r="O65" i="1"/>
  <c r="BL64" i="1"/>
  <c r="O64" i="1"/>
  <c r="BL63" i="1"/>
  <c r="O63" i="1"/>
  <c r="BL62" i="1"/>
  <c r="O62" i="1"/>
  <c r="BL61" i="1"/>
  <c r="O61" i="1"/>
  <c r="BL60" i="1"/>
  <c r="O60" i="1"/>
  <c r="BL59" i="1"/>
  <c r="O59" i="1"/>
  <c r="BL58" i="1"/>
  <c r="O58" i="1"/>
  <c r="BL57" i="1"/>
  <c r="O57" i="1"/>
  <c r="BL56" i="1"/>
  <c r="O56" i="1"/>
  <c r="BL55" i="1"/>
  <c r="O55" i="1"/>
  <c r="BL54" i="1"/>
  <c r="O54" i="1"/>
  <c r="BL53" i="1"/>
  <c r="O53" i="1"/>
  <c r="BL52" i="1"/>
  <c r="O52" i="1"/>
  <c r="BL51" i="1"/>
  <c r="O51" i="1"/>
  <c r="BL50" i="1"/>
  <c r="O50" i="1"/>
  <c r="BL49" i="1"/>
  <c r="O49" i="1"/>
  <c r="BL48" i="1"/>
  <c r="O48" i="1"/>
  <c r="BL47" i="1"/>
  <c r="O47" i="1"/>
  <c r="BL46" i="1"/>
  <c r="O46" i="1"/>
  <c r="BL45" i="1"/>
  <c r="O45" i="1"/>
  <c r="BL44" i="1"/>
  <c r="O44" i="1"/>
  <c r="BL43" i="1"/>
  <c r="O43" i="1"/>
  <c r="BL42" i="1"/>
  <c r="O42" i="1"/>
  <c r="BL41" i="1"/>
  <c r="O41" i="1"/>
  <c r="BL40" i="1"/>
  <c r="O40" i="1"/>
  <c r="BL39" i="1"/>
  <c r="O39" i="1"/>
  <c r="BL38" i="1"/>
  <c r="O38" i="1"/>
  <c r="BL37" i="1"/>
  <c r="O37" i="1"/>
  <c r="BL36" i="1"/>
  <c r="O36" i="1"/>
  <c r="BL35" i="1"/>
  <c r="O35" i="1"/>
  <c r="BL34" i="1"/>
  <c r="O34" i="1"/>
  <c r="BL33" i="1"/>
  <c r="O33" i="1"/>
  <c r="BL32" i="1"/>
  <c r="O32" i="1"/>
  <c r="BL31" i="1"/>
  <c r="O31" i="1"/>
  <c r="BL30" i="1"/>
  <c r="O30" i="1"/>
  <c r="BL29" i="1"/>
  <c r="O29" i="1"/>
  <c r="BL28" i="1"/>
  <c r="O28" i="1"/>
  <c r="BL27" i="1"/>
  <c r="O27" i="1"/>
  <c r="BL26" i="1"/>
  <c r="O26" i="1"/>
  <c r="BL25" i="1"/>
  <c r="O25" i="1"/>
  <c r="BL24" i="1"/>
  <c r="O24" i="1"/>
  <c r="BL23" i="1"/>
  <c r="O23" i="1"/>
  <c r="BL22" i="1"/>
  <c r="O22" i="1"/>
  <c r="BL21" i="1"/>
  <c r="O21" i="1"/>
  <c r="BL20" i="1"/>
  <c r="O20" i="1"/>
  <c r="BL19" i="1"/>
  <c r="O19" i="1"/>
  <c r="BL18" i="1"/>
  <c r="O18" i="1"/>
  <c r="BL17" i="1"/>
  <c r="O17" i="1"/>
  <c r="BL16" i="1"/>
  <c r="O16" i="1"/>
  <c r="BL15" i="1"/>
  <c r="O15" i="1"/>
  <c r="BL14" i="1"/>
  <c r="O14" i="1"/>
  <c r="BL13" i="1"/>
  <c r="O13" i="1"/>
  <c r="BL12" i="1"/>
  <c r="O12" i="1"/>
  <c r="BL11" i="1"/>
  <c r="O11" i="1"/>
  <c r="BL10" i="1"/>
  <c r="O10" i="1"/>
  <c r="BL9" i="1"/>
  <c r="O9" i="1"/>
  <c r="BL8" i="1"/>
  <c r="O8" i="1"/>
  <c r="BL7" i="1"/>
  <c r="O7" i="1"/>
  <c r="BL6" i="1"/>
  <c r="O6" i="1"/>
  <c r="BL5" i="1"/>
  <c r="O5" i="1"/>
</calcChain>
</file>

<file path=xl/sharedStrings.xml><?xml version="1.0" encoding="utf-8"?>
<sst xmlns="http://schemas.openxmlformats.org/spreadsheetml/2006/main" count="108826" uniqueCount="11864">
  <si>
    <t>案件横持ち - 全381件</t>
  </si>
  <si>
    <t>売上はPDFの売上成長目標Boxを座標分離して再抽出。主要3指標と役員給与もPDF表・年平均率・目視補正で全件検証しています。</t>
  </si>
  <si>
    <t>案件ID</t>
  </si>
  <si>
    <t>公募回</t>
  </si>
  <si>
    <t>申請企業</t>
  </si>
  <si>
    <t>数値対象企業</t>
  </si>
  <si>
    <t>数値対象範囲</t>
  </si>
  <si>
    <t>他の参加企業</t>
  </si>
  <si>
    <t>総頁</t>
  </si>
  <si>
    <t>企業紹介頁</t>
  </si>
  <si>
    <t>長期ビジョン頁</t>
  </si>
  <si>
    <t>補助事業頁</t>
  </si>
  <si>
    <t>追加頁</t>
  </si>
  <si>
    <t>事業費(百万円)</t>
  </si>
  <si>
    <t>補助額(百万円)</t>
  </si>
  <si>
    <t>事業費・補助額原文（Box転記）</t>
  </si>
  <si>
    <t>補助率(%)</t>
  </si>
  <si>
    <t>事業費・補助額Box頁</t>
  </si>
  <si>
    <t>事業費・補助額抽出方法</t>
  </si>
  <si>
    <t>事業費・補助額Box座標原文</t>
  </si>
  <si>
    <t>事業費・補助額旧横読み原文</t>
  </si>
  <si>
    <t>事業費・補助額検証</t>
  </si>
  <si>
    <t>売上対象範囲</t>
  </si>
  <si>
    <t>売上基準年</t>
  </si>
  <si>
    <t>売上基準値(億円)</t>
  </si>
  <si>
    <t>売上目標年</t>
  </si>
  <si>
    <t>売上目標値(億円)</t>
  </si>
  <si>
    <t>売上増加額(億円)</t>
  </si>
  <si>
    <t>増加額対応年</t>
  </si>
  <si>
    <t>PDF記載成長率(%)</t>
  </si>
  <si>
    <t>成長率対応年</t>
  </si>
  <si>
    <t>成長率定義</t>
  </si>
  <si>
    <t>PDF記載累積成長率(%)</t>
  </si>
  <si>
    <t>PDF記載CAGR(%)</t>
  </si>
  <si>
    <t>再計算CAGR(%)</t>
  </si>
  <si>
    <t>売上倍率</t>
  </si>
  <si>
    <t>売上Box検証</t>
  </si>
  <si>
    <t>売上Box抽出方法</t>
  </si>
  <si>
    <t>売上Box頁</t>
  </si>
  <si>
    <t>売上Box原文</t>
  </si>
  <si>
    <t>年次売上一覧</t>
  </si>
  <si>
    <t>労働基準年</t>
  </si>
  <si>
    <t>労働基準値</t>
  </si>
  <si>
    <t>労働目標年</t>
  </si>
  <si>
    <t>労働目標値</t>
  </si>
  <si>
    <t>労働単位</t>
  </si>
  <si>
    <t>労働年平均率(%)</t>
  </si>
  <si>
    <t>給与基準年</t>
  </si>
  <si>
    <t>給与基準値</t>
  </si>
  <si>
    <t>給与目標年</t>
  </si>
  <si>
    <t>給与目標値</t>
  </si>
  <si>
    <t>給与単位</t>
  </si>
  <si>
    <t>給与年平均率(%)</t>
  </si>
  <si>
    <t>役員給与基準年</t>
  </si>
  <si>
    <t>役員給与基準値</t>
  </si>
  <si>
    <t>役員給与目標年</t>
  </si>
  <si>
    <t>役員給与目標値</t>
  </si>
  <si>
    <t>役員給与単位</t>
  </si>
  <si>
    <t>役員給与年平均率(%)</t>
  </si>
  <si>
    <t>従業員基準年</t>
  </si>
  <si>
    <t>従業員基準値</t>
  </si>
  <si>
    <t>従業員目標年</t>
  </si>
  <si>
    <t>従業員目標値</t>
  </si>
  <si>
    <t>主要指標確度</t>
  </si>
  <si>
    <t>QAフラグ</t>
  </si>
  <si>
    <t>PDF URL</t>
  </si>
  <si>
    <t>ローカルPDF</t>
  </si>
  <si>
    <t>全頁画像</t>
  </si>
  <si>
    <t>労働検証</t>
  </si>
  <si>
    <t>給与検証</t>
  </si>
  <si>
    <t>役員給与検証</t>
  </si>
  <si>
    <t>従業員検証</t>
  </si>
  <si>
    <t>s1_outline_1</t>
  </si>
  <si>
    <t>1次</t>
  </si>
  <si>
    <t>株式会社岩崎電機製作所</t>
  </si>
  <si>
    <t>全社</t>
  </si>
  <si>
    <t>事業費 24億円
（補助額） （7.6億円）</t>
  </si>
  <si>
    <t>coordinate_cost_box_char_reconstruction</t>
  </si>
  <si>
    <t>事業費 24億円
（補助額） （7.6億円）
投資額</t>
  </si>
  <si>
    <t>いため、 事業費 24億円
る （補助額） （7.6億円）
上 投資額
場を建設
減、効率性向上
20.44億円
を1か所に集約するこ</t>
  </si>
  <si>
    <t>整合</t>
  </si>
  <si>
    <t>会社全体（Box記載に従う）</t>
  </si>
  <si>
    <t>売上高成長率（定義未確定）</t>
  </si>
  <si>
    <t>Box内明記値確認済み（算術検算対象外）</t>
  </si>
  <si>
    <t>sales_box_rectangle</t>
  </si>
  <si>
    <t>売上成長目標
• 2029年度までの会社全体の売上高成長率：55％
• 2029年度までの会社全体の売上高増加額：92億円</t>
  </si>
  <si>
    <t>万円/人</t>
  </si>
  <si>
    <t>主要3指標:高確度</t>
  </si>
  <si>
    <t>..\seichotoushi_pdfs\outline_1.pdf</t>
  </si>
  <si>
    <t>.\全ページ画像\s1_outline_1.jpg</t>
  </si>
  <si>
    <t>PDF表セル・率検算確認済み</t>
  </si>
  <si>
    <t>PDFで絶対値なし・年平均率のみ確認済み</t>
  </si>
  <si>
    <t>PDF表セル確認済み</t>
  </si>
  <si>
    <t>s1_outline_10</t>
  </si>
  <si>
    <t>株式会社プレジィール</t>
  </si>
  <si>
    <t>applicant</t>
  </si>
  <si>
    <t>事業費 80億円
（補助額） （25億円）</t>
  </si>
  <si>
    <t>事業費 80億円
（補助額） （25億円）
労働生産性
設備、システム導入による
働生産性向上</t>
  </si>
  <si>
    <t>した実施体 事業費 80億円
（補助額） （25億円）
労働生産性
下記の機械設備、システム導入による
労働生産性向上
自動化・省力化に伴う
労働生産性向上</t>
  </si>
  <si>
    <t>累積成長率（数値整合）</t>
  </si>
  <si>
    <t>Box内数値整合確認済み</t>
  </si>
  <si>
    <t>積極的な投資を行い、事業規模を拡大する。
売上成長目標
• 機械設備・システム投資により省力化・合理化を推進し、労働生産
性を向上する。
2023年9月期 2029年9月期 増加額 成長率
223億円 800億円 577億円 258.7％</t>
  </si>
  <si>
    <t>2023年 223億円（PDF明記） / 2029年 800億円（PDF明記）</t>
  </si>
  <si>
    <t>..\seichotoushi_pdfs\outline_10.pdf</t>
  </si>
  <si>
    <t>.\全ページ画像\s1_outline_10.jpg</t>
  </si>
  <si>
    <t>s1_outline_100</t>
  </si>
  <si>
    <t>マリンフード株式会社</t>
  </si>
  <si>
    <t>単体</t>
  </si>
  <si>
    <t>事業費 46億円
（補助額） （14億円）</t>
  </si>
  <si>
    <t>ーノ」。健康志向
事業費 46億円
指す。拡大す
・効率化による （補助額） （14億円）</t>
  </si>
  <si>
    <t>売上成長目標
• 2038年までの会社全体の売上高成長率276％
• 2038年までの会社全体の売上高増加額638億円
※弊社2023年事業発展計画書P８より</t>
  </si>
  <si>
    <t>..\seichotoushi_pdfs\outline_100.pdf</t>
  </si>
  <si>
    <t>.\全ページ画像\s1_outline_100.jpg</t>
  </si>
  <si>
    <t>原本画像目視確認済み（原本内不整合）</t>
  </si>
  <si>
    <t>s1_outline_101</t>
  </si>
  <si>
    <t>株式会社正興電機製作所</t>
  </si>
  <si>
    <t>連結</t>
  </si>
  <si>
    <t>事業費 39億円
（補助額） （12億円）</t>
  </si>
  <si>
    <t>事業費
（補助額）
39億円
（12億円）</t>
  </si>
  <si>
    <t>課題と 事業費
を設立 （補助額）
業の拡大
39億円
（12億円）
や地域へ
電システ
プリケー</t>
  </si>
  <si>
    <t>増加額不整合</t>
  </si>
  <si>
    <t>〇⾧期経営ビジョン NEXT20 （2041年に向かって）
・連結売上高（2023～2041年）:1,000億円 増加額 729億円（369％）
〇中期経営計画 SEIKO IC2026（2022～2026年）
・連結売上高（2023～2026年）: 400億円 増加額 129億円（148%）
・単体売上高（2023～2026年）: 290億円 増加額 99億円（152%）
〇基本方針:企業活動・事業活動を通じた社会課題解決により、
サステナブルな社会の実現に貢献する
〇重点課題
①デジタルファースト （デジタル技術を活用した社会課題解決）
②脱炭素社会の実現 （カーボンニュートラルへの取り組み）
③One正興 (グループ総合力の発揮）</t>
  </si>
  <si>
    <t>2026年 400億円（PDF明記） / 2026年 290億円（PDF明記） / 2041年 1000億円（PDF明記）</t>
  </si>
  <si>
    <t>..\seichotoushi_pdfs\outline_101.pdf</t>
  </si>
  <si>
    <t>.\全ページ画像\s1_outline_101.jpg</t>
  </si>
  <si>
    <t>s1_outline_102</t>
  </si>
  <si>
    <t>冬木工業株式会社</t>
  </si>
  <si>
    <t>事業費 69億円
（補助額） （22億円）</t>
  </si>
  <si>
    <t>ーなど10t超
事業費 69億円
レード認定取
（補助額） （22億円）</t>
  </si>
  <si>
    <t>売上成⾧目標
• 2029年までの会社全体の売上高成⾧率136％
• 2029年までの会社全体の売上高増加額65億円</t>
  </si>
  <si>
    <t>..\seichotoushi_pdfs\outline_102.pdf</t>
  </si>
  <si>
    <t>.\全ページ画像\s1_outline_102.jpg</t>
  </si>
  <si>
    <t>s1_outline_103</t>
  </si>
  <si>
    <t>オーケー化成株式会社</t>
  </si>
  <si>
    <t>事業費 29億円
（補助額） （9.6億円）</t>
  </si>
  <si>
    <t>色剤への
事業費 29億円
産体制を （補助額） （9.6億円）</t>
  </si>
  <si>
    <t>売上成⾧目標
• 2030年までの会社全体の売上高成⾧率198.0％
• 2030年までの会社全体の売上高増加額44.7億円
うち、補助事業における売上高増加額37.6億円</t>
  </si>
  <si>
    <t>..\seichotoushi_pdfs\outline_103.pdf</t>
  </si>
  <si>
    <t>.\全ページ画像\s1_outline_103.jpg</t>
  </si>
  <si>
    <t>s1_outline_104</t>
  </si>
  <si>
    <t>ヤマダイ株式会社</t>
  </si>
  <si>
    <t>事業費 34億円
（補助額） （11億円）</t>
  </si>
  <si>
    <t>生産性の問題が 事業費 3 億円
4
省力化を目的と
（補助額） （1 億円）
たい。 1
能となる。
須であったが、機械を利用することにより、省人・省</t>
  </si>
  <si>
    <t>売上成長目標
• 2030年までの会社全体の売上高成長率42％
• 2030年までの会社全体の売上高増加額47億円</t>
  </si>
  <si>
    <t>..\seichotoushi_pdfs\outline_104.pdf</t>
  </si>
  <si>
    <t>.\全ページ画像\s1_outline_104.jpg</t>
  </si>
  <si>
    <t>s1_outline_105</t>
  </si>
  <si>
    <t>中外医薬生産株式会社</t>
  </si>
  <si>
    <t>事業費 65億円
（補助額） （20億円）</t>
  </si>
  <si>
    <t>と共に、生 事業費 6 5 億円
（補助額） （20億円）</t>
  </si>
  <si>
    <t>売上成長目標
• 2030年に会社全体の売上高120億円、売上高成長率
170％、付加価値額52億円を達成する
• 従業員数154名増員し335名体制へ（中堅企業へ成長）
• 新規事業（補助事業）開始以降、毎年５％以上の賃上げ
を実施する</t>
  </si>
  <si>
    <t>2030年 120億円（PDF明記）</t>
  </si>
  <si>
    <t>要確認あり</t>
  </si>
  <si>
    <t>従業員数正規化要確認</t>
  </si>
  <si>
    <t>..\seichotoushi_pdfs\outline_105.pdf</t>
  </si>
  <si>
    <t>.\全ページ画像\s1_outline_105.jpg</t>
  </si>
  <si>
    <t>PDFで数値なし・ハイフン</t>
  </si>
  <si>
    <t>PDF記載なし又は抽出不能</t>
  </si>
  <si>
    <t>s1_outline_106</t>
  </si>
  <si>
    <t>株式会社シーエル</t>
  </si>
  <si>
    <t>グループ</t>
  </si>
  <si>
    <t>事業費 21億円
（補助額） （6.3億円）</t>
  </si>
  <si>
    <t>事業費 21億円
拠点を保有
（補助額） （6.3億円）</t>
  </si>
  <si>
    <t>売上成⾧目標（2023年度比）
（単位:億円）
2023 2024 2025 2026 2027 2028 2029
単体 81 92 102 112 125 140 157
グループ合算 149 170 181 195 217 246 268
• 2029年までの売上高増加額76億円（単体）
• 2029年までの売上高増加額119億円（グループ全体）</t>
  </si>
  <si>
    <t>..\seichotoushi_pdfs\outline_106.pdf</t>
  </si>
  <si>
    <t>.\全ページ画像\s1_outline_106.jpg</t>
  </si>
  <si>
    <t>原本画像目視確認済み</t>
  </si>
  <si>
    <t>s1_outline_107</t>
  </si>
  <si>
    <t>株式会社ササキ</t>
  </si>
  <si>
    <t>事業費 39億円
（補助額） （13億円）</t>
  </si>
  <si>
    <t>事業費 39億円
（補助額） （13億円）
ドラムローラーと
切断機</t>
  </si>
  <si>
    <t>入する 事業費 39億円
（補助額） （13億円）
ドラムローラーと
自動倉庫
切断機</t>
  </si>
  <si>
    <t>売上成長目標
• 2023年～2030年までの会社全体の売上高成長率13％
• 2030年までの会社全体の売上高増加額70億円</t>
  </si>
  <si>
    <t>..\seichotoushi_pdfs\outline_107.pdf</t>
  </si>
  <si>
    <t>.\全ページ画像\s1_outline_107.jpg</t>
  </si>
  <si>
    <t>s1_outline_108</t>
  </si>
  <si>
    <t>株式会社ミラプロ</t>
  </si>
  <si>
    <t>事業費 13億円
（補助額） （4.4億円）</t>
  </si>
  <si>
    <t>事業費 13億円
（補助額） （4.4億円）
ドウェアも導入する。</t>
  </si>
  <si>
    <t>事業費 億円
13
（補助額） （ 億円）
入可能 4.4
ーバーなどハードウェアも導入する。</t>
  </si>
  <si>
    <t>• 開発・設計と製造の直接部門のヒトの割合増加
売上増加とともに増員が必要な間接部門の人員の割合を減らし、
売上高と利益率の増加に貢献する部門の人員の割合を増やす。
現在の間接部門の人数で売上高1,000億円を実現する体制を構築</t>
  </si>
  <si>
    <t>動機欄未分離</t>
  </si>
  <si>
    <t>..\seichotoushi_pdfs\outline_108.pdf</t>
  </si>
  <si>
    <t>.\全ページ画像\s1_outline_108.jpg</t>
  </si>
  <si>
    <t>s1_outline_109</t>
  </si>
  <si>
    <t>マイクロカット株式会社</t>
  </si>
  <si>
    <t>不明</t>
  </si>
  <si>
    <t>事業費 14.9億円
（補助額） （4.9億円）</t>
  </si>
  <si>
    <t>14.9億円
事業費 （4.9億円）
（補助額） ※2025年3月までに
補助事業完了</t>
  </si>
  <si>
    <t>体分野の発展 1 4.9 億円
事業費 （ 億円）
4.9
た事業成長と （補助額） ※2025年3月までに
補助事業完了</t>
  </si>
  <si>
    <t>長期売上成長目標
・ 2030年時点（カッコ内は対23/12期）
売上101億円
うち既存事業 32億円（＋9億円/＋36％）
うち補助事業 69億円（＋53億円/+349%）</t>
  </si>
  <si>
    <t>2030年 101億円（PDF明記）</t>
  </si>
  <si>
    <t>補助額未解析</t>
  </si>
  <si>
    <t>..\seichotoushi_pdfs\outline_109.pdf</t>
  </si>
  <si>
    <t>.\全ページ画像\s1_outline_109.jpg</t>
  </si>
  <si>
    <t>s1_outline_11</t>
  </si>
  <si>
    <t>大峰堂薬品工業株式会社</t>
  </si>
  <si>
    <t>事業費 113 億円
（補助額） （36 億円）</t>
  </si>
  <si>
    <t>事業費 113 億円
（補助額）
（36 億円）</t>
  </si>
  <si>
    <t>薬のユーザ
受注量が限界
事業費 113 億円
（補助額）
省力化投資
（36 億円）
み切った。</t>
  </si>
  <si>
    <t>増加額不整合 / 成長率定義要確認</t>
  </si>
  <si>
    <t>売上成長目標
• 2035年までに全体の売上高 200億円（KGI）
• 2030年までに全体の売上高増加額 70億円（KPI）
※成長率 90％
• 2030年までに医療用漢方薬の売上高増加額 15億円
※成長率 37％
• 2030年までに一般用漢方薬の売上高増加額 50億円
※成長率 155％</t>
  </si>
  <si>
    <t>2035年 200億円（PDF明記） / 2030年 200億円（PDF明記）</t>
  </si>
  <si>
    <t>..\seichotoushi_pdfs\outline_11.pdf</t>
  </si>
  <si>
    <t>.\全ページ画像\s1_outline_11.jpg</t>
  </si>
  <si>
    <t>s1_outline_110</t>
  </si>
  <si>
    <t>株式会社菰下鎔断</t>
  </si>
  <si>
    <t>事業費 16億円
（補助額） （5.1億円）</t>
  </si>
  <si>
    <t>事業費 16億円
（補助額） （5.1億円）
R・AR溶接技能訓練システム
（補助事業外で導入）</t>
  </si>
  <si>
    <t>や水素関連
億円
展開。 事業費 16
ールを中心と （補助額） （5. 億円）
1
資
VR・AR溶接技能訓練システム
（補助事業外で導入）
２次・３次加工工程</t>
  </si>
  <si>
    <t>CAGR明記</t>
  </si>
  <si>
    <t>売上成⾧目標（対最新決算期）
• 2028年3月度までに会社全体の売上高成⾧率66％
（CAGR13.6％）
• 2028年3月度までに会社全体の売上高増加額約82億円
• 2028年3月度までに会社全体の売上高205億</t>
  </si>
  <si>
    <t>事業費未解析</t>
  </si>
  <si>
    <t>..\seichotoushi_pdfs\outline_110.pdf</t>
  </si>
  <si>
    <t>.\全ページ画像\s1_outline_110.jpg</t>
  </si>
  <si>
    <t>s1_outline_111</t>
  </si>
  <si>
    <t>株式会社向山工場</t>
  </si>
  <si>
    <t>事業費 40億円
（補助額） （13億円）</t>
  </si>
  <si>
    <t>が図られた最新鋭の工場となる。
事業費 40億円
（補助額） （13億円）</t>
  </si>
  <si>
    <t>抜本的な向上が図られた最新鋭の工場となる。
、独自仕様 事業費 4 億円
0
（補助額） （1 億円）
3</t>
  </si>
  <si>
    <t>売上成長目標
• 2030年3月までの会社全体の売上高成長率48％
• 2030年3月までの会社全体の売上高増加額146億円</t>
  </si>
  <si>
    <t>..\seichotoushi_pdfs\outline_111.pdf</t>
  </si>
  <si>
    <t>.\全ページ画像\s1_outline_111.jpg</t>
  </si>
  <si>
    <t>s1_outline_112</t>
  </si>
  <si>
    <t>株式会社八芳園</t>
  </si>
  <si>
    <t>事業費 68億円
（補助額） （20億円）</t>
  </si>
  <si>
    <t>事業費 68億円
（補助額） （20億円）
）
円 組数1,500組 単価5,000千円
組数2,200組 単価2,500千円</t>
  </si>
  <si>
    <t>保 事業費 億円
68
（補助額） （2 億円）
0
準年度＋3年後）
売上7,500百万円 組数1,500組 単価5,000千円
5,500百万円 組数2,200組 単価2,500千円
調理・配膳の自動化</t>
  </si>
  <si>
    <t>Box内補足金額あり</t>
  </si>
  <si>
    <t>売上成長目標
23/9期(実績) 26/9期(基準年*） 29/9期
全社売上高 85.7億円 114.0億円 140.0億円</t>
  </si>
  <si>
    <t>2023年 85.7億円（PDF明記） / 2026年 114億円（PDF明記） / 2029年 140億円（PDF明記）</t>
  </si>
  <si>
    <t>..\seichotoushi_pdfs\outline_112.pdf</t>
  </si>
  <si>
    <t>.\全ページ画像\s1_outline_112.jpg</t>
  </si>
  <si>
    <t>s1_outline_113</t>
  </si>
  <si>
    <t>トーアス株式会社</t>
  </si>
  <si>
    <t>事業費 14億円
（補助額） （4.6億円）</t>
  </si>
  <si>
    <t>メーカーの
ティが追い
事業費 14億円
（補助額） （4.6億円）
た。</t>
  </si>
  <si>
    <t>売上成長目標（2024年3月期との対比）
・2028年3月期までの会社全体の売上高成長率 77.6％
・2028年3月期までの会社全体の売上高増加額 8,428百万円
・2028年3月期本事業の売上高増加額 7,900百万円</t>
  </si>
  <si>
    <t>..\seichotoushi_pdfs\outline_113.pdf</t>
  </si>
  <si>
    <t>.\全ページ画像\s1_outline_113.jpg</t>
  </si>
  <si>
    <t>s1_outline_114</t>
  </si>
  <si>
    <t>株式会社中西製作所</t>
  </si>
  <si>
    <t>事業費 36億円
（補助額） （5.4億円）</t>
  </si>
  <si>
    <t>事業費 36億円
（補助額） （ 億円）
5.4
よる生産性向上</t>
  </si>
  <si>
    <t>売上成長目標
• 2030年までに会社全体の売上高450億円を達成
• （2024年3月期比で成長率23％）
• （2024年3月期比で売上高増加額84億円）</t>
  </si>
  <si>
    <t>2030年 450億円（PDF明記）</t>
  </si>
  <si>
    <t>..\seichotoushi_pdfs\outline_114.pdf</t>
  </si>
  <si>
    <t>.\全ページ画像\s1_outline_114.jpg</t>
  </si>
  <si>
    <t>s1_outline_115</t>
  </si>
  <si>
    <t>株式会社国際エキスプレス</t>
  </si>
  <si>
    <t>事業費 47億円
（補助額） （16億円）</t>
  </si>
  <si>
    <t>事業費 47億円
（補助額） （16億円）
・海上輸送・3PL事業を
庫の３拠点において業務の省力化を</t>
  </si>
  <si>
    <t>.1%を見込む。
品質の限界 事業費 億円
47
（補助額） （1 億円）
6
より、航空輸送・海上輸送・3PL事業を
倉庫、博多倉庫の３拠点において業務の省力化を
≪博多支店≫投資額：0.7億円
【機械装置・システム導入】</t>
  </si>
  <si>
    <t>売上成長目標
• 2030年までに売上高248.6億円（売上高成長率239.0％、
売上高増加額144.6億円）を目標とする（KPI）
• 2034年までに会社全体の売上高300億円を達成（KGI）</t>
  </si>
  <si>
    <t>2030年 248.6億円（PDF明記） / 2034年 248.6億円（PDF明記）</t>
  </si>
  <si>
    <t>..\seichotoushi_pdfs\outline_115.pdf</t>
  </si>
  <si>
    <t>.\全ページ画像\s1_outline_115.jpg</t>
  </si>
  <si>
    <t>s1_outline_116</t>
  </si>
  <si>
    <t>株式会社かねふくめんたいパーク</t>
  </si>
  <si>
    <t>グループ全体</t>
  </si>
  <si>
    <t>事業費 12億円
（補助額） （1.4億円）</t>
  </si>
  <si>
    <t>通じて、明太
事業費 1 億円
2
太子製造に比 （補助額） （ 1.4 億円）
ることが可能</t>
  </si>
  <si>
    <t>売上成長目標
2028年7月度までに ※対2023年7月度比
グループ全体の売上高成長率：128％
グループ全体の売上高増加額：+67億円
会社全体の売上高成長率：182％
会社全体の売上高増加額：+33.4億円</t>
  </si>
  <si>
    <t>..\seichotoushi_pdfs\outline_116.pdf</t>
  </si>
  <si>
    <t>.\全ページ画像\s1_outline_116.jpg</t>
  </si>
  <si>
    <t>s1_outline_117</t>
  </si>
  <si>
    <t>信越理研株式会社</t>
  </si>
  <si>
    <t>事業費 44億円
（補助額） （12億円）</t>
  </si>
  <si>
    <t>事業費 44億円
（補助額）（12億円）</t>
  </si>
  <si>
    <t>2.補助事業の概要 信越理研株式会社
事業費45億円による、金属表面処理需要拡大に伴うモビリティ分野生産体制強化及びパワー半導体向け金
めっきライン新設事業
補助事業の • 本件大規模投資により、補助事業の顧客フォーキャスト77億円(P13売上推移)実行し、付 事業費 44億円
加価値の大幅な増加を図り収益性、生産性の向上を目指します。
背景・目的 （補助額）（12億円）</t>
  </si>
  <si>
    <t>売上成⾧目標
• 2029年度 120億円(補助事業100億円+既存20億円)
• 2029年度 会社全体の売上高成⾧率245％
• 2029年度 会社全体の売上高増加額71億円</t>
  </si>
  <si>
    <t>2029年 120億円（PDF明記）</t>
  </si>
  <si>
    <t>..\seichotoushi_pdfs\outline_117.pdf</t>
  </si>
  <si>
    <t>.\全ページ画像\s1_outline_117.jpg</t>
  </si>
  <si>
    <t>s1_outline_118</t>
  </si>
  <si>
    <t>クリエイトワン株式会社</t>
  </si>
  <si>
    <t>事業費 12億円
（補助額） （0.74億円）</t>
  </si>
  <si>
    <t>売上成長目標
2025年から2029年9月期までの全社売上高成長率 220％
2025年から2029年9月期までの全社売上高増加額 21億円</t>
  </si>
  <si>
    <t>..\seichotoushi_pdfs\outline_118.pdf</t>
  </si>
  <si>
    <t>.\全ページ画像\s1_outline_118.jpg</t>
  </si>
  <si>
    <t>s1_outline_119</t>
  </si>
  <si>
    <t>株式会社フルヤ金属</t>
  </si>
  <si>
    <t>事業費 41億円
（補助額） （12億円）</t>
  </si>
  <si>
    <t>事業費 41億円
（補助額） （12億円）
新工場予定地</t>
  </si>
  <si>
    <t>いられる拡散 4 億円
事業費 1
に伴う千歳工 （1 億円）
（補助額） 2
新工場予定地</t>
  </si>
  <si>
    <t>売上成長目標
• 2030年までの会社全体の売上高成長率243％
• 2030年までの会社全体の売上高増加額690億円（連結）</t>
  </si>
  <si>
    <t>..\seichotoushi_pdfs\outline_119.pdf</t>
  </si>
  <si>
    <t>.\全ページ画像\s1_outline_119.jpg</t>
  </si>
  <si>
    <t>s1_outline_12</t>
  </si>
  <si>
    <t>株式会社松岡</t>
  </si>
  <si>
    <t>事業費 131億円
（補助額） （42億円）</t>
  </si>
  <si>
    <t>ることに課題感 事業費 131億円
（補助額） （42億円）</t>
  </si>
  <si>
    <t>visual_manual_override</t>
  </si>
  <si>
    <t>2029年度売上高948億円。2023年度600億円から348億円増（+58%）、売上高年平均成長率7.9%</t>
  </si>
  <si>
    <t>2023年 600億円（PDF明記） / 2029年 948億円（PDF明記）</t>
  </si>
  <si>
    <t>..\seichotoushi_pdfs\outline_12.pdf</t>
  </si>
  <si>
    <t>.\全ページ画像\s1_outline_12.jpg</t>
  </si>
  <si>
    <t>s1_outline_120</t>
  </si>
  <si>
    <t>旭陽電気株式会社</t>
  </si>
  <si>
    <t>事業費 31億円
（補助額） （3.2億円）</t>
  </si>
  <si>
    <t>である東京
事業費 31億円
（補助額） （3.2億円）</t>
  </si>
  <si>
    <t>売上成長目標
• 29年3月期に現状の倍以上となる売上高140億円を実現
• 売上高増加額は80億円に及び、年平均成長率18%での
高い売上成長を目指す
• 営業利益についても直近最高益9.4億円（22年3月期）の
倍以上となる約22億円を見込む</t>
  </si>
  <si>
    <t>2029年 140億円（PDF明記） / 2029年 140億円（PDF明記）</t>
  </si>
  <si>
    <t>..\seichotoushi_pdfs\outline_120.pdf</t>
  </si>
  <si>
    <t>.\全ページ画像\s1_outline_120.jpg</t>
  </si>
  <si>
    <t>s1_outline_121</t>
  </si>
  <si>
    <t>土佐鶴酒造株式会社</t>
  </si>
  <si>
    <t>事業費 12.7億円
（補助額） （3.7億円）</t>
  </si>
  <si>
    <t>rendered_cost_box_visual_verification</t>
  </si>
  <si>
    <t>彩な商品 事業費 12 . 7億円
併せて衛生 （3.7億円）
（補助 額 ）
排除すると
る。１日あ
等の幅広い
けでなく
みに抑えた
でのシェア</t>
  </si>
  <si>
    <t>目視検証済</t>
  </si>
  <si>
    <t>売上成長目標
• 2029年までに会社全体の売上高成長率189％（2024年9月期
比）
• 2029年までに会社全体の売上高増加額10億円（2024年9月
期比）</t>
  </si>
  <si>
    <t>..\seichotoushi_pdfs\outline_121.pdf</t>
  </si>
  <si>
    <t>.\全ページ画像\s1_outline_121.jpg</t>
  </si>
  <si>
    <t>s1_outline_122</t>
  </si>
  <si>
    <t>岸和田製鋼株式会社</t>
  </si>
  <si>
    <t>事業費 45億円
（補助額） （2.3億円）</t>
  </si>
  <si>
    <t>45億円
事業費
（補助額）（2.3億円）
置する。
エネルギーを</t>
  </si>
  <si>
    <t>45億円
事業費
（補助額）（2.3億円）
素バーナを設置する。
溶解に必要なエネルギーを
延機へ更新する。</t>
  </si>
  <si>
    <t>売上成長目標
売上高 21/3期266億円→30/3期581億円
出荷数量 21/3期443千㌧→30/3期596千㌧
2029年度までの売上高増加+315億円
•
2029年度までの出荷数量増加+153千㌧
•
経営理念
1. 鉄スクラップの可能性を追求する
2. 高品質の製品を安定して供給する
3. 安全は全ての作業に優先する
4. 全従業員で地球環境問題に取り組む</t>
  </si>
  <si>
    <t>2029年 266億円（PDF明記） / 2021年 581億円（PDF明記） / 2030年 315億円（PDF明記）</t>
  </si>
  <si>
    <t>..\seichotoushi_pdfs\outline_122.pdf</t>
  </si>
  <si>
    <t>.\全ページ画像\s1_outline_122.jpg</t>
  </si>
  <si>
    <t>s1_outline_123</t>
  </si>
  <si>
    <t>株式会社タケエイ</t>
  </si>
  <si>
    <t>事業費 95億円
（補助額） （19億円）</t>
  </si>
  <si>
    <t>事業費 95億円
（補助額） （19億円）
品化施設プラント主要設備</t>
  </si>
  <si>
    <t>ング・カンパニーを目指します。
業として 事業費 95億円
行う （補助額） （19億円）
度選別・再商品化施設 プラント主要設備
破袋機</t>
  </si>
  <si>
    <t>売上成⾧目標 ※2024年3月期決算比
•
2029年3月期までに㈱タケエイ単体の売上高成⾧率49％
•
2029年3月期までに㈱タケエイ単体の売上高増加額46億円
• 2029年3月期までにTREグループ連結の売上高成⾧率29％
• 2029年3月期までにTREグループ連結の売上高増加額271億円</t>
  </si>
  <si>
    <t>..\seichotoushi_pdfs\outline_123.pdf</t>
  </si>
  <si>
    <t>.\全ページ画像\s1_outline_123.jpg</t>
  </si>
  <si>
    <t>s1_outline_124</t>
  </si>
  <si>
    <t>株式会社シロ</t>
  </si>
  <si>
    <t>事業費 27億円
（補助額） （7.8億円）</t>
  </si>
  <si>
    <t>事業費 27億円
こと （補助額） （7.8億円）
共用）</t>
  </si>
  <si>
    <t>売上成長目標
• 2030年までに会社全体の売上高年平均成長率11％
（2024年と比較して）
• 2030年までに会社全体の売上高増加額159億円
（2024年と比較して）</t>
  </si>
  <si>
    <t>..\seichotoushi_pdfs\outline_124.pdf</t>
  </si>
  <si>
    <t>.\全ページ画像\s1_outline_124.jpg</t>
  </si>
  <si>
    <t>s1_outline_125</t>
  </si>
  <si>
    <t>株式会社ミダック</t>
  </si>
  <si>
    <t>事業費 27億円
（補助額） （2.1億円）</t>
  </si>
  <si>
    <t>事業費 27億円
（補助額） 2.1億円
イメージ写真</t>
  </si>
  <si>
    <t>既存の施設
事業費 27億円
（補助額） 2.1億円
イメージ写真</t>
  </si>
  <si>
    <t>売長上期成成長長目ビ標ジ「ョCンhaのlle目ng標e8を0t達hの成売す上る成た長め目に標大」規模な投資を実行し、
下記売上高の目標を掲げ、事業推進を行なっていきます。
• 2024年と2030年の売上高の増加額は、+66億円
• 2024年~2030年の売上高平均成長率は「+10.7%」
• 2030年までに営業利益率50%以上を目指します</t>
  </si>
  <si>
    <t>2030年 66億円（PDF明記）</t>
  </si>
  <si>
    <t>..\seichotoushi_pdfs\outline_125.pdf</t>
  </si>
  <si>
    <t>.\全ページ画像\s1_outline_125.jpg</t>
  </si>
  <si>
    <t>s1_outline_126</t>
  </si>
  <si>
    <t>高末株式会社</t>
  </si>
  <si>
    <t>事業費 75億円
（補助額） （4.4億円）</t>
  </si>
  <si>
    <t>0％）
事業費 75億円
（補助額） （4.4億円）
4％）
8%）</t>
  </si>
  <si>
    <t>存・共栄を図る持続可能な収益基盤の強化を目指す。
売上成⻑目標（基準年度︓2027年2月期比較）
•
2030年2月期までに会社全体の売上⾼年平均成⻑率︓13.1％
•
2030年2月期までに会社全体の売上⾼増加額︓64.8億円</t>
  </si>
  <si>
    <t>..\seichotoushi_pdfs\outline_126.pdf</t>
  </si>
  <si>
    <t>.\全ページ画像\s1_outline_126.jpg</t>
  </si>
  <si>
    <t>s1_outline_127</t>
  </si>
  <si>
    <t>株式会社ユニワールド</t>
  </si>
  <si>
    <t>事業費 17億円
（補助額） （5.7億円）</t>
  </si>
  <si>
    <t>ているが、既存
送付や問い合
事業費 億円
17
物流コストの
（補助額） （ 億円）
5.7
率の改善を
既存物流センター】
床面積：1,957坪/平屋
管パレット数：5,205PL</t>
  </si>
  <si>
    <t>売上成長目標
• 2029年2月期までに全社売上高107.9億円を達成
（2024年2月期の売上高55.9億円に対し、5年間で52億
円の売上増）
• 2029年2月期までに当社事業戦略の柱であるPUMA. AT
WORK.で売上高51億円を達成
（2024年2月期のPUMA. AT WORK.売上高9億円に対
し、5年間で42億円の売上増。全社売上に占める割合は
47％となる。）
• その他商品販売についてもPUMA. AT WORK.との営業相
乗効果により、5年間で約10億円の売上増を達成
• 国内では今後10年内での売上高150億円を目標とするとと
もに、海外進出により更なる成長力の獲得を目指す。</t>
  </si>
  <si>
    <t>2024年 55.9億円（PDF明記） / 2024年 9億円（PDF明記） / 2029年 107.9億円（PDF明記）</t>
  </si>
  <si>
    <t>..\seichotoushi_pdfs\outline_127.pdf</t>
  </si>
  <si>
    <t>.\全ページ画像\s1_outline_127.jpg</t>
  </si>
  <si>
    <t>s1_outline_128</t>
  </si>
  <si>
    <t>株式会社ただおザウルス</t>
  </si>
  <si>
    <t>事業費 15億円
（補助額） （4.7億円）</t>
  </si>
  <si>
    <t>）と弱みの 事業費 1 億円
5
（補助額） （4. 億円）
7
選
別
効
率
化</t>
  </si>
  <si>
    <t>売上成長目標
補助事業（全社）の成長目標（2023/7期-2029/7期対比）
・ 売上高 2,266百万円（売上高増加額 +1,671百万円）
・ 売上高成長率 280.8％</t>
  </si>
  <si>
    <t>..\seichotoushi_pdfs\outline_128.pdf</t>
  </si>
  <si>
    <t>.\全ページ画像\s1_outline_128.jpg</t>
  </si>
  <si>
    <t>s1_outline_129</t>
  </si>
  <si>
    <t>株式会社浜屋</t>
  </si>
  <si>
    <t>事業費 15億円
（補助額） （4.3億円）</t>
  </si>
  <si>
    <t>事業費 15億円
（補助額） （4.3億円）
イメージ</t>
  </si>
  <si>
    <t>る。新規雇用
事業費 15億円
につなげる。
（補助額） （4.3億円）
建物完成イメージ</t>
  </si>
  <si>
    <t>売上成長目標
• 2028年度（2029/9月期）までに会社全体の年平均売上
高成長率10.8％
• 2028年度（2029/9月期）までに会社全体の売上高増加
額80億円
※上記は補助事業完了後3ヵ年における成長率及び額を記載。</t>
  </si>
  <si>
    <t>2028年 80億円（PDF明記）</t>
  </si>
  <si>
    <t>..\seichotoushi_pdfs\outline_129.pdf</t>
  </si>
  <si>
    <t>.\全ページ画像\s1_outline_129.jpg</t>
  </si>
  <si>
    <t>s1_outline_13</t>
  </si>
  <si>
    <t>株式会社アロン社</t>
  </si>
  <si>
    <t>事業費 18億円
（補助額） （6.0億円）</t>
  </si>
  <si>
    <t>税抜事業費 18億円
（補助額） （6.0億円）</t>
  </si>
  <si>
    <t>化が著し
ッチング
工場を新 税抜事業費 18億円
ことを決 （補助額） （6.0億円）
製品に対
実現する。
させ、
現在の花泉工場</t>
  </si>
  <si>
    <t>売上成長目標
2030年度までの平均売上高成長率10%
2030年度までの売上高増加額16億円</t>
  </si>
  <si>
    <t>..\seichotoushi_pdfs\outline_13.pdf</t>
  </si>
  <si>
    <t>.\全ページ画像\s1_outline_13.jpg</t>
  </si>
  <si>
    <t>s1_outline_130</t>
  </si>
  <si>
    <t>小林酒造株式会社</t>
  </si>
  <si>
    <t>事業費 12.6億円
（補助額） （4.2億円）</t>
  </si>
  <si>
    <t>事業費 12.6億円
（補助額）（4.2億円）</t>
  </si>
  <si>
    <t>強い体制を構築し、事業を実現する。
実現する。 事業費 億円
12.6
実現する。 （補助額）（4.2億円）
場内のイメージ</t>
  </si>
  <si>
    <t>売上成長目標
• 2033年までの会社全体の売上高成長率＋275％
• 2033年までの会社全体の売上高増加額33億円
＜参考＞
●売上高 2023年9月決算：12億円
2033年9月決算：45億円</t>
  </si>
  <si>
    <t>2033年 33億円（PDF明記） / 2033年 12億円（PDF明記）</t>
  </si>
  <si>
    <t>..\seichotoushi_pdfs\outline_130.pdf</t>
  </si>
  <si>
    <t>.\全ページ画像\s1_outline_130.jpg</t>
  </si>
  <si>
    <t>s1_outline_131</t>
  </si>
  <si>
    <t>株式会社遠藤写真工芸所</t>
  </si>
  <si>
    <t>株式会社 遠藤写真工芸所</t>
  </si>
  <si>
    <t>事業費 38億円
（補助額） （10億円）</t>
  </si>
  <si>
    <t>事業費 38億円
（補助額） （10億円）
し、多能工化による生産性の</t>
  </si>
  <si>
    <t>事業費 3 8 億円
質管理の
（補助額） （10億円）
をする。
自動化・省人化し、多能工化による生産性の
の低コスト・短期提供を実現する。
認証・モバイルアルバムシステムの組み合わせで</t>
  </si>
  <si>
    <t>売上成長目標：2024年から2029年の5年間
• 2029年までに会社全体の売上高成長率53.8％CAGR
• 2029年までに会社全体の売上高増加額55.3億円</t>
  </si>
  <si>
    <t>..\seichotoushi_pdfs\outline_131.pdf</t>
  </si>
  <si>
    <t>.\全ページ画像\s1_outline_131.jpg</t>
  </si>
  <si>
    <t>s1_outline_132</t>
  </si>
  <si>
    <t>株式会社ヨシノ自動車</t>
  </si>
  <si>
    <t>事業費 26億円
（補助額） （7.3億円）</t>
  </si>
  <si>
    <t>事業費 26億円
（補助額） （7.3億円）
画
に特化</t>
  </si>
  <si>
    <t>おける輸送能力不足の改善に寄与する
材確保を図る 事業費 2 億円
6
（補助額） （7.3億円）
資
2拠点にする計画
かる修理や架装に特化
には自動シャーリング
生産性が向上する</t>
  </si>
  <si>
    <t>売上成長目標
• 2029年度までに会社全体の売上高年平均成長率10％
• 2029年度までに会社全体の売上高増加額約47億円</t>
  </si>
  <si>
    <t>..\seichotoushi_pdfs\outline_132.pdf</t>
  </si>
  <si>
    <t>.\全ページ画像\s1_outline_132.jpg</t>
  </si>
  <si>
    <t>s1_outline_134</t>
  </si>
  <si>
    <t>株式会社コンメックス</t>
  </si>
  <si>
    <t>株式会社近藤製作所</t>
  </si>
  <si>
    <t>事業費 28億円
（補助額） （2.9億円）</t>
  </si>
  <si>
    <t>事業費 28億円
（補助額） （2.9億円）
場イメージ図</t>
  </si>
  <si>
    <t>は上限に
事業費
28億円
（補助額）
効率の向 （2.9億円）
的とするもの
新工場イメージ図</t>
  </si>
  <si>
    <t>成長率定義要確認</t>
  </si>
  <si>
    <t>売上成⾧目標
• コンメックス（2023年→2029年）
会社全体の売上高成⾧率 :＋250％

会社全体の売上高 :＋30億円

• 連結（2023年→2029年）
会社全体の売上高成⾧率 :＋201％

会社全体の売上高 :＋84億円
</t>
  </si>
  <si>
    <t>2023年 30億円（PDF明記） / 2029年 84億円（PDF明記）</t>
  </si>
  <si>
    <t>..\seichotoushi_pdfs\outline_134.pdf</t>
  </si>
  <si>
    <t>.\全ページ画像\s1_outline_134.jpg</t>
  </si>
  <si>
    <t>s1_outline_135</t>
  </si>
  <si>
    <t>株式会社永井運送</t>
  </si>
  <si>
    <t>事業費 22億円
（補助額） （2.1億円）</t>
  </si>
  <si>
    <t>事業費 2 億円
2
（補助額）（ 億円）
2.1</t>
  </si>
  <si>
    <t>活性化してい
ム倉庫が不 事業費
2 億円
2
げ、物流全 （補助額）
（ 億円）
2.1</t>
  </si>
  <si>
    <t>売上成長目標
• 2033年度までに会社全体の売上高成長率68.5％
• 2033年度までに会社全体の売上高増加額25億円</t>
  </si>
  <si>
    <t>..\seichotoushi_pdfs\outline_135.pdf</t>
  </si>
  <si>
    <t>.\全ページ画像\s1_outline_135.jpg</t>
  </si>
  <si>
    <t>s1_outline_136</t>
  </si>
  <si>
    <t>まねき食品株式会社</t>
  </si>
  <si>
    <t>事業費 33億円
（補助額） （9.3億円）</t>
  </si>
  <si>
    <t>事業費 33億円
（補助額） （9.3億円）
は避けられない
来の行き詰まりが見込まれる
務と比べて人材確保が難しい</t>
  </si>
  <si>
    <t>る「当社最 事業費 3 3 億円
（補助額） （ 9.3 億円）
まれ、内需縮小は避けられない
口減少による将来の行き詰まりが見込まれる
働となり、日中勤務と比べて人材確保が難しい</t>
  </si>
  <si>
    <t>売上成長目標
内需＋外需の獲得により、
2030年8月までに売上高100億円超を達成する。
（輸出額は5年で6億、10年で20億を目指す）
※直近2023年8月期の全社売上高は47億8,900万円
※売上高目標100億円は、社員感謝イベントにて社員に発表済み
✓ 2030年8月期までに会社全体の売上高成長率120％
✓ 2030年8月期までに会社全体の売上高増加額60億円</t>
  </si>
  <si>
    <t>2030年 100億円（PDF明記） / 2030年 100億円（PDF明記）</t>
  </si>
  <si>
    <t>..\seichotoushi_pdfs\outline_136.pdf</t>
  </si>
  <si>
    <t>.\全ページ画像\s1_outline_136.jpg</t>
  </si>
  <si>
    <t>s1_outline_137</t>
  </si>
  <si>
    <t>総武機械株式会社</t>
  </si>
  <si>
    <t>事業費 20億円
（補助額） （5.7億円）</t>
  </si>
  <si>
    <t>度＋3年後）。
事業費 20億円
（補助額） （5.7億円）</t>
  </si>
  <si>
    <t>度⇒基準年度＋3年後）。
る。
事業費 億円
20
ある。
（補助額） （ 億円）
5.7
から見た図【】
長さ60メー
トルの組立</t>
  </si>
  <si>
    <t>売上成長目標
• 2030年までに会社全体の売上高成長率157.1％（2023
年5月期21.39億円→2030年5月期55億円）
• 2030年までに会社全体の売上高増加額33.61億円（同
上）
※2024年5月期の決算は確定していないため、2023年5月
期の数値を参照した。</t>
  </si>
  <si>
    <t>2030年 21.39億円（PDF明記） / 2030年 55億円（PDF明記）</t>
  </si>
  <si>
    <t>千円/人</t>
  </si>
  <si>
    <t>..\seichotoushi_pdfs\outline_137.pdf</t>
  </si>
  <si>
    <t>.\全ページ画像\s1_outline_137.jpg</t>
  </si>
  <si>
    <t>s1_outline_138</t>
  </si>
  <si>
    <t>菅野包装資材株式会社</t>
  </si>
  <si>
    <t>事業費 48億円
（補助額） （16億円）</t>
  </si>
  <si>
    <t>事業費
48億円
（補助額）
（16億円）
る生産性と生産能力向上</t>
  </si>
  <si>
    <t>労働環境の
からの増産要
を新工場に移 事業費
48億円
受けて食品安
（補助額）
（16億円）
値を基に、賃
化・自動化による生産性と生産能力向上
Before</t>
  </si>
  <si>
    <t>売上成長目標（2023年6月期 対比）
168.5％
2030年までの会社全体の売上高成長率
73.2億円
2030年までの会社全体の売上高増加額</t>
  </si>
  <si>
    <t>2030年 73.2億円（PDF明記）</t>
  </si>
  <si>
    <t>..\seichotoushi_pdfs\outline_138.pdf</t>
  </si>
  <si>
    <t>.\全ページ画像\s1_outline_138.jpg</t>
  </si>
  <si>
    <t>s1_outline_139</t>
  </si>
  <si>
    <t>川﨑工業株式会社</t>
  </si>
  <si>
    <t>事業費 54億円
（補助額） （16億円）</t>
  </si>
  <si>
    <t>事業費 5 億円
4
（補助額） （16億円）
の導入</t>
  </si>
  <si>
    <t>売上成長目標
• 2030年3月期までの会社全体の売上高成長率65.5％
（直近期と比較した成長率）
• 2030年3月期までの会社全体の売上高増加額76.8億円
2023年8月期実績売上高117.3億円
2030年3月期目標売上高194.1億円
2040年3月期目標売上高230.0億円 を達成する。</t>
  </si>
  <si>
    <t>2030年 76.8億円（PDF明記） / 2030年 117.3億円（PDF明記）</t>
  </si>
  <si>
    <t>..\seichotoushi_pdfs\outline_139.pdf</t>
  </si>
  <si>
    <t>.\全ページ画像\s1_outline_139.jpg</t>
  </si>
  <si>
    <t>s1_outline_14</t>
  </si>
  <si>
    <t>日華化学株式会社</t>
  </si>
  <si>
    <t>事業費 166億円
（補助額） （50億円）</t>
  </si>
  <si>
    <t>事業費 1(cid:25)(cid:25)億円
（補助額） （50億円）
福井スマートファクトリー完成イメージ</t>
  </si>
  <si>
    <t>し、 事業費 1 億円
(cid:25)(cid:25)
（補助額） （50億円）
福井スマートファクトリー完成イメージ</t>
  </si>
  <si>
    <t>売上成長目標
• 2030年までの売上高増加額200億円（CAGR5%）
• 化学品事業：450億円（＋88億円／2030年）
• 化粧品事業：250億円（＋110億円／2030年）
• 化粧品事業国内売上高比率：85%（直近実績）</t>
  </si>
  <si>
    <t>2030年 250億円（PDF明記）</t>
  </si>
  <si>
    <t>..\seichotoushi_pdfs\outline_14.pdf</t>
  </si>
  <si>
    <t>.\全ページ画像\s1_outline_14.jpg</t>
  </si>
  <si>
    <t>s1_outline_140</t>
  </si>
  <si>
    <t>新生電子株式会社</t>
  </si>
  <si>
    <t>事業費 23億円
（補助額） （7.6億円）</t>
  </si>
  <si>
    <t>加しているもの
事業費 23億円
器等新たな
（補助額） （7.6億円）
する。</t>
  </si>
  <si>
    <t>新生電子の成⾧目標
◆2030年3月期（2029年度）
売上300億円
営業利益45億円（営業利益率15%）</t>
  </si>
  <si>
    <t>2029年 300億円（PDF明記）</t>
  </si>
  <si>
    <t>売上目標未抽出</t>
  </si>
  <si>
    <t>..\seichotoushi_pdfs\outline_140.pdf</t>
  </si>
  <si>
    <t>.\全ページ画像\s1_outline_140.jpg</t>
  </si>
  <si>
    <t>s1_outline_141</t>
  </si>
  <si>
    <t>共栄フード株式会社</t>
  </si>
  <si>
    <t>事業費 98億円
（補助額） （30億円）</t>
  </si>
  <si>
    <t>事業費 ◼ 98億円
（補助額） (30億円）
新工場の模式図</t>
  </si>
  <si>
    <t>場を建設
ており、 事業費 ◼ 9 8 億円
（補助額） (30億円）
新工場の模式図</t>
  </si>
  <si>
    <t>累積成長率明記</t>
  </si>
  <si>
    <t>2029年売上高300.4億円（2023年比 +104.7%、+153.7億円）</t>
  </si>
  <si>
    <t>2023年 146.7億円（PDF明記値から逆算） / 2029年 300.4億円（PDF明記）</t>
  </si>
  <si>
    <t>..\seichotoushi_pdfs\outline_141.pdf</t>
  </si>
  <si>
    <t>.\全ページ画像\s1_outline_141.jpg</t>
  </si>
  <si>
    <t>s1_outline_143</t>
  </si>
  <si>
    <t>株式会社ロッキー</t>
  </si>
  <si>
    <t>株式会社ザ．キッチン
株式会社アールミート</t>
  </si>
  <si>
    <t>事業費 29億円
（補助額） （9.4億円）</t>
  </si>
  <si>
    <t>事業費 29億円
（補助額）（9.4億円）
※コンソーシアム全体
の投資額</t>
  </si>
  <si>
    <t>削減する
事業費
29億円
（9.4億円）
（補助額）
※コンソーシアム全体
の投資額</t>
  </si>
  <si>
    <t>売上成⾧目標（基準年度比）
• 2028年度年までのコンソーシアム全体の売上高年平均成⾧
率12.4％
• 2028年度までのコンソーシアム全体の売上高増加額9,192
百万円</t>
  </si>
  <si>
    <t>..\seichotoushi_pdfs\outline_143.pdf</t>
  </si>
  <si>
    <t>.\全ページ画像\s1_outline_143.jpg</t>
  </si>
  <si>
    <t>s1_outline_145</t>
  </si>
  <si>
    <t>株式会社小松電業所</t>
  </si>
  <si>
    <t>事業費 43億円
（補助額） （14億円）</t>
  </si>
  <si>
    <t>事業費 43億円
（補助額） （14億円）
塗装ライン</t>
  </si>
  <si>
    <t>製作所は
力がなく顧
事業費 43億円
力がなく、
（補助額） （14億円）
いる。
望に応え、
）割振りの
現させる。
塗装ライン
産性向上によ</t>
  </si>
  <si>
    <t>2029年度の売上成⾧目標
• 当社単体 246億円 (2023年度比＋59％、+91億円)
• グループ全体 346億円 (2023年度比＋52％、+118億円)</t>
  </si>
  <si>
    <t>2023年 91億円（PDF明記） / 2023年 118億円（PDF明記） / 2029年 246億円（PDF明記）</t>
  </si>
  <si>
    <t>..\seichotoushi_pdfs\outline_145.pdf</t>
  </si>
  <si>
    <t>.\全ページ画像\s1_outline_145.jpg</t>
  </si>
  <si>
    <t>s1_outline_146</t>
  </si>
  <si>
    <t>アオイ電子株式会社</t>
  </si>
  <si>
    <t>事業費 254億円
（補助額） （50億円）</t>
  </si>
  <si>
    <t>事業費 254億円
（補助額） （50億円）
三重事業所第１工場）</t>
  </si>
  <si>
    <t>の量産受注
ある。
事業費 254億円
（補助額） （50億円）
とによりGX
購入（シャープ三重事業所第１工場）</t>
  </si>
  <si>
    <t>売上成⾧目標
• 2029年度までに会社全体の売上高成⾧率102％（単体）
• 2029年度までに会社全体の売上高増加額379億円（〃）</t>
  </si>
  <si>
    <t>..\seichotoushi_pdfs\outline_146.pdf</t>
  </si>
  <si>
    <t>.\全ページ画像\s1_outline_146.jpg</t>
  </si>
  <si>
    <t>s1_outline_147</t>
  </si>
  <si>
    <t>株式会社ｂｕｄ梱包出荷サポート</t>
  </si>
  <si>
    <t>事業費 26億円
（補助額） （8.0億円）</t>
  </si>
  <si>
    <t>事業費 26億円
（補助額）（8.0億円）</t>
  </si>
  <si>
    <t>の拡大を図る
事業費 2 億円
6
（補助額） （ . 億円）
現する 8 0</t>
  </si>
  <si>
    <t>売上成長目標
■2029年10月期に出荷個数1,000万個を突破
■2029年10月期に会社全体の売上高55億円・営業利益4.3億円超
■2029年10月期売上高成長率+258.7％ （2023年度実績値と比較）
■3PL国内市場シェア約1％を獲得（2023年度は0.04％）</t>
  </si>
  <si>
    <t>2029年 55億円（PDF明記）</t>
  </si>
  <si>
    <t>..\seichotoushi_pdfs\outline_147.pdf</t>
  </si>
  <si>
    <t>.\全ページ画像\s1_outline_147.jpg</t>
  </si>
  <si>
    <t>s1_outline_148</t>
  </si>
  <si>
    <t>株式会社しばた工芸</t>
  </si>
  <si>
    <t>事業費 15億円
（補助額） （4.8億円）</t>
  </si>
  <si>
    <t>事業費 15億円
（補助額）
( 4.8億円 )</t>
  </si>
  <si>
    <t>り、多くの貴
都圏に作るこ
事業費 15億円
（補助額）
な設備が必要 ( 4.8億円 )
必要である。</t>
  </si>
  <si>
    <t>売上成長目標
2031年 2月期に、会社全体の売上高 70 億円
［2029 年 2 月期に、会社全体の売上高 50 億円］
補助事業完了後 5 年間で売上高増加額 45 億円、
売上高成長率 280% 以上</t>
  </si>
  <si>
    <t>2031年 70億円（PDF明記） / 2031年 70億円（PDF明記）</t>
  </si>
  <si>
    <t>..\seichotoushi_pdfs\outline_148.pdf</t>
  </si>
  <si>
    <t>.\全ページ画像\s1_outline_148.jpg</t>
  </si>
  <si>
    <t>s1_outline_149</t>
  </si>
  <si>
    <t>株式会社共同物流サービス</t>
  </si>
  <si>
    <t>事業費
（補助額）
34億円
（11億円）</t>
  </si>
  <si>
    <t>事業費
ある。 （補助額）
34億円
（11億円）</t>
  </si>
  <si>
    <t>CAGR（数値整合）</t>
  </si>
  <si>
    <t>売上成長目標
• 2029年度までに、会社全体の売上高 １００億円/年
売上高成長率9.6％/年
2023年度売上実績 → 57.8億円/年
（対2023年度比42億円増）</t>
  </si>
  <si>
    <t>2023年 57.8億円（PDF明記） / 2023年 42億円（PDF明記） / 2029年 100億円（PDF明記）</t>
  </si>
  <si>
    <t>..\seichotoushi_pdfs\outline_149.pdf</t>
  </si>
  <si>
    <t>.\全ページ画像\s1_outline_149.jpg</t>
  </si>
  <si>
    <t>s1_outline_150</t>
  </si>
  <si>
    <t>三笠産業株式会社</t>
  </si>
  <si>
    <t>事業費 122億円
（補助額） （34億円）</t>
  </si>
  <si>
    <t>事業費 事業費(cid:1)122億円
（補助額）（補助額(cid:1) 34億円）</t>
  </si>
  <si>
    <t>減に対応
事業費 事業費(cid:1) 122億円
（補助額）（補助額(cid:1) 34億円）
環境整備
総額向上</t>
  </si>
  <si>
    <t>売上成⾧目標
• 2029年までに会社全体の売上高成⾧率7.5％
• 2029年までに会社全体の売上高増加額
単体 65億円増 連結 75億円増
• 2032年度 200億円企業を目指す
2023年度 単体売上高 120億円 連結売上高 125億円
2029年度 単体売上高 185億円 連結売上高 200億円
2032年度 単体売上高 200億円 連結売上高 230億円</t>
  </si>
  <si>
    <t>2029年 65億円（PDF明記） / 2029年 120億円（PDF明記）</t>
  </si>
  <si>
    <t>..\seichotoushi_pdfs\outline_150.pdf</t>
  </si>
  <si>
    <t>.\全ページ画像\s1_outline_150.jpg</t>
  </si>
  <si>
    <t>s1_outline_151</t>
  </si>
  <si>
    <t>四国医療サービス株式会社</t>
  </si>
  <si>
    <t>事業費 45億円
（補助額） （13億円）</t>
  </si>
  <si>
    <t>事業費 45億円
(補助額) (13億円)
工場外観イメージ図</t>
  </si>
  <si>
    <t>場の需要に 事業費 4 億円
5
成長を目指す (補助額) (13億円)
工場外観イメージ図</t>
  </si>
  <si>
    <t>売上成長目標
全社の成長目標(2023/12期-2028/12期対比)
• 売上高 15,413百万円(売上高増加額 +3,880百万円)
• 売上高成長率 133.6%
補助事業の成長目標(2023/12期-2028/12期対比)
• 売上高 7,994百万円(売上高増加額 +3,580百万円)</t>
  </si>
  <si>
    <t>..\seichotoushi_pdfs\outline_151.pdf</t>
  </si>
  <si>
    <t>.\全ページ画像\s1_outline_151.jpg</t>
  </si>
  <si>
    <t>s1_outline_152</t>
  </si>
  <si>
    <t>ヤマトミシン製造株式会社</t>
  </si>
  <si>
    <t>事業費 19億円
（補助額） （4億円）</t>
  </si>
  <si>
    <t>事業費 19億円
（補助額） （4億円）
※別途、土地取得費 6億円</t>
  </si>
  <si>
    <t>億円
事業費 19
（ 億円）
（補助額） 4
わる頭脳部分に ※別途、土地取得費 6億円
る強い利益体</t>
  </si>
  <si>
    <t>売上成長目標
• 2030年までの会社全体の売上高成長率56％
• 2030年までの会社全体の売上高増加額37億円</t>
  </si>
  <si>
    <t>..\seichotoushi_pdfs\outline_152.pdf</t>
  </si>
  <si>
    <t>.\全ページ画像\s1_outline_152.jpg</t>
  </si>
  <si>
    <t>s1_outline_153</t>
  </si>
  <si>
    <t>株式会社越後屋</t>
  </si>
  <si>
    <t>事業費 25億円
（補助額） （8.4億円）</t>
  </si>
  <si>
    <t>事業費
25億円
（補助額）
（8.4億円）
自動精算機イメージ</t>
  </si>
  <si>
    <t>事業費
が必要である 25億円
（補助額）
（8.4億円）
自動精算機イメージ
サイド型の</t>
  </si>
  <si>
    <t>ろう」）
売上成長目標
2040年10月期までに、会社全体（FC店舗を含む）で：
• 売上高1,000億円、店舗数800店
（売上高成長率2741%、売上増加額965億円）
他の外食チェーンの店舗数
(​2024/3月時点)
：大戸屋308店、吉野家1,229店</t>
  </si>
  <si>
    <t>2040年 1000億円（PDF明記）</t>
  </si>
  <si>
    <t>..\seichotoushi_pdfs\outline_153.pdf</t>
  </si>
  <si>
    <t>.\全ページ画像\s1_outline_153.jpg</t>
  </si>
  <si>
    <t>s1_outline_154</t>
  </si>
  <si>
    <t>中央観光株式会社</t>
  </si>
  <si>
    <t>事業費 26億円
（補助額） （6.8億円）</t>
  </si>
  <si>
    <t>事業費 26億円
（補助額） (6.8億円）
�</t>
  </si>
  <si>
    <t>用により、旅行価値を高めていただ＜
長が可能 事業費 26億円
（補助額） (6.8億円）
---------------�</t>
  </si>
  <si>
    <t>left_column_sales_band</t>
  </si>
  <si>
    <t>上により、当社・地域経済の発展に寄与する
売上成長目標（2023/7月期比）
• 2030年までの会社全体の売上高成長率231%
• 2030年までの会社全体の売上高増加額50億円</t>
  </si>
  <si>
    <t>目標表未検出</t>
  </si>
  <si>
    <t>..\seichotoushi_pdfs\outline_154.pdf</t>
  </si>
  <si>
    <t>.\全ページ画像\s1_outline_154.jpg</t>
  </si>
  <si>
    <t>s1_outline_155</t>
  </si>
  <si>
    <t>株式会社スギノマシン</t>
  </si>
  <si>
    <t>株式会社 スギノマシン</t>
  </si>
  <si>
    <t>事業費 17億円
（補助額） （5.6億円）</t>
  </si>
  <si>
    <t>事業費 17億円
庫情報が
（補助額） （5.6億円）
ている</t>
  </si>
  <si>
    <t>売上成長目標
• 2029年に現状の約170％となる売上高365億円を目指す
（年平均成長率9%）
• 営業利益も現状の倍以上となる69億円を見込む</t>
  </si>
  <si>
    <t>2029年 365億円（PDF明記）</t>
  </si>
  <si>
    <t>..\seichotoushi_pdfs\outline_155.pdf</t>
  </si>
  <si>
    <t>.\全ページ画像\s1_outline_155.jpg</t>
  </si>
  <si>
    <t>s1_outline_156</t>
  </si>
  <si>
    <t>株式会社ダイセイ</t>
  </si>
  <si>
    <t>事業費 12億円
（補助額） （4.0億円）</t>
  </si>
  <si>
    <t>サービス業として革新的に進化させる。
施設・住宅
事業費 1 億円
害時には一 2
（補助額） （4.0億円）
事業分野が
会推進等を</t>
  </si>
  <si>
    <t>売上成長目標 2031年30億円企業をめざす
• 2031年までに会社全体の売上高成長率166％
• 2031年までに会社全体の売上高増加額12億円
2023年 2031年 増加額 成長率
売上高 1,806,877 3,000,000 1,193,123 166.0%
営業利益 89,941 346,000 256,059 384.7%
給与支給総額 743,845 1,100,000 356,155 147.9%
減価償却費 34,351 93,500 59,149 272.2%
付加価値額 868,137 1,539,500 671,363 177.3%</t>
  </si>
  <si>
    <t>2031年 30億円（PDF明記）</t>
  </si>
  <si>
    <t>..\seichotoushi_pdfs\outline_156.pdf</t>
  </si>
  <si>
    <t>.\全ページ画像\s1_outline_156.jpg</t>
  </si>
  <si>
    <t>s1_outline_157</t>
  </si>
  <si>
    <t>ハマダコンフェクト株式会社</t>
  </si>
  <si>
    <t>事業費 186億円
（補助額） （28億円）</t>
  </si>
  <si>
    <t>事業費 186億円
（補助額） （28億円）
1階</t>
  </si>
  <si>
    <t>当社のコスト 事業費 1 億円
86
いる。 （補助額） （ 億円）
28
1階</t>
  </si>
  <si>
    <t>売上成長目標
• 2029年度までの会社全体の売上高成長率35％
• 2029年度までの会社全体の売上高増加額52億円</t>
  </si>
  <si>
    <t>..\seichotoushi_pdfs\outline_157.pdf</t>
  </si>
  <si>
    <t>.\全ページ画像\s1_outline_157.jpg</t>
  </si>
  <si>
    <t>s1_outline_158</t>
  </si>
  <si>
    <t>平和食品工業株式会社</t>
  </si>
  <si>
    <t>事業費 10億円
（補助額） （1.7億円）</t>
  </si>
  <si>
    <t>実現
事業費 10億円
（補助額） （1.7億円）</t>
  </si>
  <si>
    <t>％の賃上げを実現
に合った 事業費 10 億円
（補助額） （1 億円）
.7
得予定
善</t>
  </si>
  <si>
    <t>売上成長目標（2025年→2032年）
• 2032年までの会社全体の売上高成長率212％
• 2032年までの会社全体の売上高増加額72億円</t>
  </si>
  <si>
    <t>..\seichotoushi_pdfs\outline_158.pdf</t>
  </si>
  <si>
    <t>.\全ページ画像\s1_outline_158.jpg</t>
  </si>
  <si>
    <t>s1_outline_159</t>
  </si>
  <si>
    <t>浦島観光ホテル株式会社</t>
  </si>
  <si>
    <t>株式会社みちのりホテルズ
株式会社丸峰観光ホテル</t>
  </si>
  <si>
    <t>事業費 69億円
（補助額） （12億円）</t>
  </si>
  <si>
    <t>事業費 69億円
（補助額） （12億円）
窟をテーマにした
インダイニング</t>
  </si>
  <si>
    <t>体で老朽化
道は今後も 事業費 69億円
のフラッグシッ （補助額） （12億円）
洞窟をテーマにした
メインダイニング
“売り”である洞窟</t>
  </si>
  <si>
    <t>売上成長目標
• 23年度→29年度迄のコンソーシアム全体の売上成長
＋47％
• 23年度→29年度迄の会社全体の売上高増加額
＋26.3億円
23年度 売上 29年度 売上 成長率</t>
  </si>
  <si>
    <t>..\seichotoushi_pdfs\outline_159.pdf</t>
  </si>
  <si>
    <t>.\全ページ画像\s1_outline_159.jpg</t>
  </si>
  <si>
    <t>s1_outline_16</t>
  </si>
  <si>
    <t>株式会社旭ウエルテック</t>
  </si>
  <si>
    <t>コンソーシアム</t>
  </si>
  <si>
    <t>株式会社朝日電機製作所
株式会社石川プレート</t>
  </si>
  <si>
    <t>事業費 33億円
（補助額） （10億円）</t>
  </si>
  <si>
    <t>事業費 3(cid:22)億円
（補助額） （10億円）</t>
  </si>
  <si>
    <t>(切削、組
先間の品 事業費
3(cid:22)億円
、これらの課 （補助額） （10億円）
企業集団PSG
金属構造部品 担当
テック
(例：機械フレーム、ブラケット)
技術連携</t>
  </si>
  <si>
    <t>製造業全体の底上げを実現する。
売上成⾧目標
• 2029年までのコンソーシアム全体の売上高成⾧率240％
• 2029年までのコンソーシアム全体の売上高増加額29.9億円
• 2029年までのコンソーシアム全体の付加価値額23.4億円 (2.49倍UP)</t>
  </si>
  <si>
    <t>2029年 23.4億円（PDF明記）</t>
  </si>
  <si>
    <t>..\seichotoushi_pdfs\outline_16.pdf</t>
  </si>
  <si>
    <t>.\全ページ画像\s1_outline_16.jpg</t>
  </si>
  <si>
    <t>s1_outline_162</t>
  </si>
  <si>
    <t>信光陸運株式会社</t>
  </si>
  <si>
    <t>事業費 22億円
（補助額） （7.3億円）</t>
  </si>
  <si>
    <t>上の安定化 事業費 22億円
（補助額） （7.3億円）</t>
  </si>
  <si>
    <t>売上成⻑⽬標
• 当社は2024年5⽉期の売上⾼28.82億円を基点として、
2034年5⽉期までの10年間で売上⾼を約62.01億円に到
達させることを⽬標とする。これは約2.15倍の増加（増加額
約33.19億円）であり、年平均成⻑率（CAGR）は約
8.93%に相当する。
• 新規事業として⾷品保管を開始し、既存の配送、タイヤ保管、
家電事業と組み合わせて、広域ネットワークを活⽤し新たな顧
客を獲得。また、アソート出荷対応やAIを活⽤した在庫管理
システムの導⼊により、サービスの質を向上させ、既存顧客との
信頼関係を強化し、継続的な取引と追加受注を⽬指す。</t>
  </si>
  <si>
    <t>2024年 28.82億円（PDF明記） / 2034年 28.82億円（PDF明記）</t>
  </si>
  <si>
    <t>..\seichotoushi_pdfs\outline_162.pdf</t>
  </si>
  <si>
    <t>.\全ページ画像\s1_outline_162.jpg</t>
  </si>
  <si>
    <t>s1_outline_164</t>
  </si>
  <si>
    <t>株式会社福砂屋グループ</t>
  </si>
  <si>
    <t>株式会社 福砂屋グループ</t>
  </si>
  <si>
    <t>株式会社福砂屋
株式会社カステラ本家福砂屋</t>
  </si>
  <si>
    <t>事業費 55億円
（補助額） （17億円）</t>
  </si>
  <si>
    <t>開発
%への拡張 事業費 5 5 億円
力化 （補助額） （1 7 億円）
(写真1) 現中目黒工場外観</t>
  </si>
  <si>
    <t>売上成長目標
(グループ全社連結)2033年度 134.3億円
• 2033年期までの長期の売上高成長率+64.5％
• 2033年期までの長期の売上高増加額+52.7億円
*上記2022年度比較
(東京連結) 2033年度 88.0億円
• 2033年期までの長期の売上高成長率+146.0％
• 2033年期までの長期の売上高増加額+52.2億
*上記2022年度比較</t>
  </si>
  <si>
    <t>2033年 134.3億円（PDF明記） / 2033年 52.7億円（PDF明記）</t>
  </si>
  <si>
    <t>..\seichotoushi_pdfs\outline_164.pdf</t>
  </si>
  <si>
    <t>.\全ページ画像\s1_outline_164.jpg</t>
  </si>
  <si>
    <t>s1_outline_166</t>
  </si>
  <si>
    <t>株式会社福地建設</t>
  </si>
  <si>
    <t>事業費 22億円
（補助額） （7.2億円）</t>
  </si>
  <si>
    <t>事業費 22億円
(補助額) (7.2億円)</t>
  </si>
  <si>
    <t>事業費 22億円
供給を
(補助額) (7. 億円)
2</t>
  </si>
  <si>
    <t>2023年度決算実績比較：2030年までの会社全体売上高成長率636%、売上高増加額495億円</t>
  </si>
  <si>
    <t>..\seichotoushi_pdfs\outline_166.pdf</t>
  </si>
  <si>
    <t>.\全ページ画像\s1_outline_166.jpg</t>
  </si>
  <si>
    <t>s1_outline_167</t>
  </si>
  <si>
    <t>銘建工業株式会社</t>
  </si>
  <si>
    <t>事業費 62億円
（補助額） （20億円）</t>
  </si>
  <si>
    <t>事業費 62億円
（補助額） （20億円）
化と生産量の最大化を
上を拡大。</t>
  </si>
  <si>
    <t>工程で主要 事業費 62億円
化を図りたい。 （補助額） （20億円）
生産の最適化と生産量の最大化を
商材での売上を拡大。
運用できる高効率な運用を実現。こ
産性の向上と賃上げ促進を図る。</t>
  </si>
  <si>
    <t>売上成長目標
最新の省力化・検品技術を活かした新工場への大規模投資を成長ドライバとし、
2029年度までに以下の成長目標を達成する。
• 会社全体の売上高 436億円
• 会社全体の売上高増加額 133億円
• 会社全体の売上高成長率 44.1％ 会社全体の付加価値額 75.5億円</t>
  </si>
  <si>
    <t>2029年 436億円（PDF明記）</t>
  </si>
  <si>
    <t>..\seichotoushi_pdfs\outline_167.pdf</t>
  </si>
  <si>
    <t>.\全ページ画像\s1_outline_167.jpg</t>
  </si>
  <si>
    <t>s1_outline_168</t>
  </si>
  <si>
    <t>株式会社大真空</t>
  </si>
  <si>
    <t>事業費 79億円
（補助額） （26億円）</t>
  </si>
  <si>
    <t>事業費 79億円
（補助額） （26億円）
【従来の工程】</t>
  </si>
  <si>
    <t>ーの旺盛な
術（高周
事業費 79億円
変わってきた。
（補助額） （26億円）
に量産化して
【従来の工程】
置等</t>
  </si>
  <si>
    <t>売上成長目標（単体）
•
2030年3月期までに 会社全体の売上高成長率86％
•
2030年3月期までに 会社全体の売上高増加額370億円
売上成長目標（連結）
•
2030年3月期までに グループ全体の売上高成長率72％
•
2030年3月期までに グループ全体の売上高増加額380億円
※基準年（2027年3月期）と比較して算出しています</t>
  </si>
  <si>
    <t>..\seichotoushi_pdfs\outline_168.pdf</t>
  </si>
  <si>
    <t>.\全ページ画像\s1_outline_168.jpg</t>
  </si>
  <si>
    <t>s1_outline_169</t>
  </si>
  <si>
    <t>サトウ食品株式会社</t>
  </si>
  <si>
    <t>事業費 96億円
（補助額） （27億円）</t>
  </si>
  <si>
    <t>事業費 96億円
向上させ （補助額） （27億円）
新工場 イメージ</t>
  </si>
  <si>
    <t>Box座標抽出済み</t>
  </si>
  <si>
    <t>はん」という認知を得ている。
• 10年前と比較して当社売上高・生産量は約2倍に引き上げている。
• しかし、近年は当社予想を大幅に上回る需要増大局面にあり、生産能力が
逼迫。さらなる生産量増強の必要性がある。
• そのため、当社にとって過去最大規模となる総工費80億円の設備投資を行
い、次世代米飯生産ラインを開発。バリューチェーン強化を図り、サプライ
チェーン全体での高い経済波及効果を実現。</t>
  </si>
  <si>
    <t>..\seichotoushi_pdfs\outline_169.pdf</t>
  </si>
  <si>
    <t>.\全ページ画像\s1_outline_169.jpg</t>
  </si>
  <si>
    <t>s1_outline_17</t>
  </si>
  <si>
    <t>進工業株式会社</t>
  </si>
  <si>
    <t>事業費 94億円
（補助額） （29億円）</t>
  </si>
  <si>
    <t>事業費 億円
(cid:28)(cid:23)
（補助額） （29億円）
2024年4月に竣工した新棟</t>
  </si>
  <si>
    <t>性向上・賃上げ・地域貢献）
増産要求に
事業費 億円
(cid:28)(cid:23)
（補助額） （29億円）
上げ）により、 2024年4月に竣工した新棟
ースは確保済
薄膜生成 微細フォトエッチング</t>
  </si>
  <si>
    <t>売上成長目標
・2022年度～2027年度までの売上高成長率102.3％
・2022年度～2027年度までの売上高成長額10,038百万円</t>
  </si>
  <si>
    <t>2027年 100.38億円（PDF明記）</t>
  </si>
  <si>
    <t>..\seichotoushi_pdfs\outline_17.pdf</t>
  </si>
  <si>
    <t>.\全ページ画像\s1_outline_17.jpg</t>
  </si>
  <si>
    <t>s1_outline_170</t>
  </si>
  <si>
    <t>株式会社光製作所</t>
  </si>
  <si>
    <t>事業費 17億円
（補助額） （5.2億円）</t>
  </si>
  <si>
    <t>事業費 17億円
（補助額） （5.2億円）
既存事業</t>
  </si>
  <si>
    <t>化している。 事業費 1 億円
7
。 （補助額） （5. 億円）
2
の商流
既存事業
機 溶 品 最
カ 納 組 販
械 接 質 終
ッ
加 加 確 製
ト 品 立 売
工 工 認 品</t>
  </si>
  <si>
    <t>売上成長目標
• 2029年までの会社全体の売上高成長率272％
• 2029年までの会社全体の売上高増加額26億円</t>
  </si>
  <si>
    <t>..\seichotoushi_pdfs\outline_170.pdf</t>
  </si>
  <si>
    <t>.\全ページ画像\s1_outline_170.jpg</t>
  </si>
  <si>
    <t>s1_outline_171</t>
  </si>
  <si>
    <t>昭和産業株式会社</t>
  </si>
  <si>
    <t>事業費 25億円
（補助額） （7.8億円）</t>
  </si>
  <si>
    <t>生産要請を
接金網、トラ
建設し、県内 事業費 2 億円
5
ン数増加にと （補助額） （7. 億円）
8
.6%の生産
概要
工程の一部を本社工場から新工場に移設</t>
  </si>
  <si>
    <t>売上成長目標
• 2030年4月期までに会社全体の売上高成長率：＋81％
• 2030年4月期までに会社全体の売上高増加額：＋86億円</t>
  </si>
  <si>
    <t>..\seichotoushi_pdfs\outline_171.pdf</t>
  </si>
  <si>
    <t>.\全ページ画像\s1_outline_171.jpg</t>
  </si>
  <si>
    <t>s1_outline_173</t>
  </si>
  <si>
    <t>中央紙通商株式会社</t>
  </si>
  <si>
    <t>中央ペーパーロジ株式会社</t>
  </si>
  <si>
    <t>事業費 21億円
（補助額） （2.0億円）</t>
  </si>
  <si>
    <t>紙の流通量増
あり、受注の機
事業費 2 億円
1
（補助額） （ 億円）
る収益力の強 2.0
ー</t>
  </si>
  <si>
    <t>売上成長目標
【連結】（24/3期比）
• 29/3期までの売上高増加額 ：32億円（CAGR4.7％）
【単体】（24/3期比）
• 2030年までの売上高増加額 ：28億円（CAGR4.1％）</t>
  </si>
  <si>
    <t>..\seichotoushi_pdfs\outline_173.pdf</t>
  </si>
  <si>
    <t>.\全ページ画像\s1_outline_173.jpg</t>
  </si>
  <si>
    <t>s1_outline_174</t>
  </si>
  <si>
    <t>株式会社Ｐｌａｎ・Ｄｏ・Ｓｅｅ琉球</t>
  </si>
  <si>
    <t>株式会社Ｐｌａｎ・Ｄｏ・Ｓｅｅ</t>
  </si>
  <si>
    <t>事業費 39億円
（補助額） （4.2億円）</t>
  </si>
  <si>
    <t>り人材育成を
事業費 39億円
を可能にする
（補助額） （4.2億円）
ントなどの総称</t>
  </si>
  <si>
    <t>売上成長目標
【Plan･Do･See琉球】
・2029年3月期迄に、売上高成長率127％、売上高増加額29億円
【 Plan･Do･See 】
・2029年3月期迄に、売上高成長率104％、売上高増加額40億円</t>
  </si>
  <si>
    <t>..\seichotoushi_pdfs\outline_174.pdf</t>
  </si>
  <si>
    <t>.\全ページ画像\s1_outline_174.jpg</t>
  </si>
  <si>
    <t>s1_outline_177</t>
  </si>
  <si>
    <t>さいほく鉄工株式会社</t>
  </si>
  <si>
    <t>小松物産交易株式会社</t>
  </si>
  <si>
    <t>事業費 25億円
（補助額） （3.0億円）</t>
  </si>
  <si>
    <t>事業費 2 億円
5
（補助額） （ 億円）
3.0
新工場レイアウト図</t>
  </si>
  <si>
    <t>の性能評価
事業費
実現し、競 2 5 億円
（補助額）
目指す。 （ 3.0 億円）
新工場レイアウト図
2階</t>
  </si>
  <si>
    <t>売上成長目標
• 2033年までに会社全体の売上高成長率
単体350.38％/ 連結349.69％
• 2033年までに会社全体の売上高増加額
単体56.9億円/連結58.4億円</t>
  </si>
  <si>
    <t>..\seichotoushi_pdfs\outline_177.pdf</t>
  </si>
  <si>
    <t>.\全ページ画像\s1_outline_177.jpg</t>
  </si>
  <si>
    <t>s1_outline_19</t>
  </si>
  <si>
    <t>株式会社XEN GROUP</t>
  </si>
  <si>
    <t>事業費 29億円
（補助額） （9.5億円）</t>
  </si>
  <si>
    <t>事業費 約29億円
（補助額） （約9.5億円）</t>
  </si>
  <si>
    <t>為には、
事業費 約29億円
持続的な賃
（補助額） （約9.5億円）
動が発展</t>
  </si>
  <si>
    <t>売上成長目標
会社全体
• 2022年度→2029年度まで売上高成長率308％
• 2022年度→2029年度までの売上高増加額82億円
補助事業
• 2022年度→2029年度まで売上高成長率3600％
• 2022年度→2029年度までの売上高増加額64億円</t>
  </si>
  <si>
    <t>..\seichotoushi_pdfs\outline_19.pdf</t>
  </si>
  <si>
    <t>.\全ページ画像\s1_outline_19.jpg</t>
  </si>
  <si>
    <t>s1_outline_2</t>
  </si>
  <si>
    <t>株式会社アイ・テック</t>
  </si>
  <si>
    <t>事業費 74億円
（補助額） （5.6億円）</t>
  </si>
  <si>
    <t>総事業費:74億円
事業費
(補助額 : 5.6億円）
（補助額）
敷地面積:92,796.59㎡
糧備蓄と宿泊施設を事務所内に完備。
源として整備する予定。</t>
  </si>
  <si>
    <t>げを目指す
総事業費:74億円
事業費
(補助額 : 5.6億円）
補助額）
敷地面積:92,796.59㎡
蓄と宿泊施設を事務所内に完備。
して整備する予定。
ロックで先行稼働している
MCの無人化設備の様子</t>
  </si>
  <si>
    <t>売上成長目標
• 2023年3月期～2028年３月期の5年間における
会社全体の売上高成長率:32.1％
• 2023～2028年３月期の5年間における会社全体の
売上高増加額:349億円</t>
  </si>
  <si>
    <t>..\seichotoushi_pdfs\outline_2.pdf</t>
  </si>
  <si>
    <t>.\全ページ画像\s1_outline_2.jpg</t>
  </si>
  <si>
    <t>s1_outline_20</t>
  </si>
  <si>
    <t>エスティケイテクノロジー株式会社</t>
  </si>
  <si>
    <t>会社全体</t>
  </si>
  <si>
    <t>事業費 21億円
（補助額） （6.7億円）</t>
  </si>
  <si>
    <t>たリスク対策を実施する。
産設備の増強 事業費 2 1 億円
（補助額） （6.7億円）</t>
  </si>
  <si>
    <t>2029年3月期までの目標
会社全体 売上高成長率4.0%／売上高増加額45億円
補助事業 売上高成長率5.6%／売上高増加額19億円</t>
  </si>
  <si>
    <t>..\seichotoushi_pdfs\outline_20.pdf</t>
  </si>
  <si>
    <t>.\全ページ画像\s1_outline_20.jpg</t>
  </si>
  <si>
    <t>s1_outline_21</t>
  </si>
  <si>
    <t>株式会社くまさんメディクス</t>
  </si>
  <si>
    <t>事業費 27億円
（補助額） （8.6億円）</t>
  </si>
  <si>
    <t>事業費 2(cid:26)億円
（補助額） （8.(cid:25)億円）</t>
  </si>
  <si>
    <t>る過程で必
事業費 2 億円
人材確保が (cid:26)
（補助額） （8. 億円）
(cid:25)</t>
  </si>
  <si>
    <t>売上成長目標（2030年に向けて）
直近2023年8月期の会社全体の売上高306億円
増加額194億円
成長率64％
2030年8月期会社全体の売上高目標
500億円</t>
  </si>
  <si>
    <t>2030年 306億円（PDF明記） / 2030年 306億円（PDF明記）</t>
  </si>
  <si>
    <t>..\seichotoushi_pdfs\outline_21.pdf</t>
  </si>
  <si>
    <t>.\全ページ画像\s1_outline_21.jpg</t>
  </si>
  <si>
    <t>s1_outline_22</t>
  </si>
  <si>
    <t>BBSジャパン株式会社</t>
  </si>
  <si>
    <t>事業費 48億円
する （補助額） （16億円）</t>
  </si>
  <si>
    <t>売上成長目標
※基準年度比（基準年度2026/6：基準年度＋3年後2029/6)
• 2029年6月期までの会社全体の売上高成長率：28％
• 2029年6月期までの会社全体の売上高増加額：40億円</t>
  </si>
  <si>
    <t>..\seichotoushi_pdfs\outline_22.pdf</t>
  </si>
  <si>
    <t>.\全ページ画像\s1_outline_22.jpg</t>
  </si>
  <si>
    <t>s1_outline_23</t>
  </si>
  <si>
    <t>株式会社ジェーイーエル</t>
  </si>
  <si>
    <t>事業費 52億円
（補助額） （16億円）</t>
  </si>
  <si>
    <t>必要である。
めの支援を
事業費 52億円
（補助額） （16億円）</t>
  </si>
  <si>
    <t>売上成⾧目標
• 2030年5月期までの会社全体の売上高成⾧率毎年15％
• 2030年5月期の会社全体の売上目標231億円（直近2023
年５月期145億円）
（補助事業となる尾道工場の2030年5月期の売り上げ目標80
億円、会社全体の売上に対する割合34%）</t>
  </si>
  <si>
    <t>2023年 145億円（PDF明記） / 2030年 231億円（PDF明記） / 2030年 80億円（PDF明記）</t>
  </si>
  <si>
    <t>..\seichotoushi_pdfs\outline_23.pdf</t>
  </si>
  <si>
    <t>.\全ページ画像\s1_outline_23.jpg</t>
  </si>
  <si>
    <t>s1_outline_24</t>
  </si>
  <si>
    <t>株式会社フジキン</t>
  </si>
  <si>
    <t>事業費 42億円
（補助額） （13億円）</t>
  </si>
  <si>
    <t>込まれる。
事業費 42億円
設する。
（補助額） （13億円）
器や水素</t>
  </si>
  <si>
    <t>【連結】2023年度1,701億円→2030年度3,000億円（1.8倍）。【単体】2023年度836億円→2030年度1,420億円（1.7倍）</t>
  </si>
  <si>
    <t>2023年 1701億円（PDF明記・連結） / 2030年 3000億円（PDF明記・連結）</t>
  </si>
  <si>
    <t>..\seichotoushi_pdfs\outline_24.pdf</t>
  </si>
  <si>
    <t>.\全ページ画像\s1_outline_24.jpg</t>
  </si>
  <si>
    <t>s1_outline_25</t>
  </si>
  <si>
    <t>日本リファイン株式会社</t>
  </si>
  <si>
    <t>事業費 40億円
（補助額） （8.6億円）</t>
  </si>
  <si>
    <t>の課題であり、
事業費 4 円
0億
なる。
（補助額） （8. 億円）
6
工場に移管す</t>
  </si>
  <si>
    <t>売上成長目標
【グループ全社】
2023年度：209億円→2029年度： 500億円
• 2029年度でにグループ全体の売上高成長率239％
• 2029年度までにグループ全体の売上高増加額291億円
【日本リファイン（株）】
2023年度：121億円→2029年度 189億円
• 2029年度までに会社全体の売上高成長率156％
• 2029年度までに会社全体の売上高増加額68.4億円</t>
  </si>
  <si>
    <t>2023年 209億円（PDF明記） / 2029年 500億円（PDF明記）</t>
  </si>
  <si>
    <t>..\seichotoushi_pdfs\outline_25.pdf</t>
  </si>
  <si>
    <t>.\全ページ画像\s1_outline_25.jpg</t>
  </si>
  <si>
    <t>s1_outline_26</t>
  </si>
  <si>
    <t>日星電気株式会社</t>
  </si>
  <si>
    <t>事業費 95億円
（補助額） （28億円）</t>
  </si>
  <si>
    <t>事業費 95億円
（補助額） （28億円）
チューブ加工自動機 開発事例 NO.５】</t>
  </si>
  <si>
    <t>産体制の
億円
事業費 95
（補助額） （28億円）
【医療用チューブ加工自動機 開発事例 NO.５】</t>
  </si>
  <si>
    <t>売上成⾧目標
• 2029年度までに会社全体の売上高成⾧率116％
• 2029年度までに会社全体の売上高増加額71億円
（基準年度2026年度をベースに計算）</t>
  </si>
  <si>
    <t>..\seichotoushi_pdfs\outline_26.pdf</t>
  </si>
  <si>
    <t>.\全ページ画像\s1_outline_26.jpg</t>
  </si>
  <si>
    <t>s1_outline_27</t>
  </si>
  <si>
    <t>株式会社クラタ</t>
  </si>
  <si>
    <t>事業費 19億円
（補助額） （6.4億円）</t>
  </si>
  <si>
    <t>給与支給総額上昇を実現する。
事業費 19億円
（補助額） （6.4億円）</t>
  </si>
  <si>
    <t>業員1人あたり給与支給総額上昇を実現する。
に必須の回生 事業費 19億円
（補助額） （6.4億円）</t>
  </si>
  <si>
    <t>売上成長（2023年度47億円⇒2035年度80億円）
■会社全体の売上高成長率70％
■2035年までの会社全体の売上高増加額33億円</t>
  </si>
  <si>
    <t>2023年 47億円（PDF明記） / 2035年 80億円（PDF明記）</t>
  </si>
  <si>
    <t>..\seichotoushi_pdfs\outline_27.pdf</t>
  </si>
  <si>
    <t>.\全ページ画像\s1_outline_27.jpg</t>
  </si>
  <si>
    <t>s1_outline_28</t>
  </si>
  <si>
    <t>広陵化学工業株式会社</t>
  </si>
  <si>
    <t>事業費 17億円
（補助額） （5.3億円）</t>
  </si>
  <si>
    <t>大規模な設 事業費 17億円
し、解決する （補助額） （5. 億円）
3</t>
  </si>
  <si>
    <t>売上成長目標
• 直近期（2023年12月）より2030年12月までの会社全体の
売上高成長率50％
• 2030年までの会社全体の売上高増加額11.6億円</t>
  </si>
  <si>
    <t>..\seichotoushi_pdfs\outline_28.pdf</t>
  </si>
  <si>
    <t>.\全ページ画像\s1_outline_28.jpg</t>
  </si>
  <si>
    <t>s1_outline_29</t>
  </si>
  <si>
    <t>株式会社三和テスコ</t>
  </si>
  <si>
    <t>事業費 18億円
（補助額） （5.5億円）</t>
  </si>
  <si>
    <t>となっている。
事業費 億円
18
り、積極的な
（補助額） （ 億円）
5.5
目指す。</t>
  </si>
  <si>
    <t>売上成長目標
• 2028年までに会社全体の売上高成長率を年平均40％以
上とする。
• 2028年までに会社全体の売上高増加額約50億円
→補助事業による寄与度
国内10セット×＠3億円＝30億円
海外 5セット×＠3億円＝15億円</t>
  </si>
  <si>
    <t>..\seichotoushi_pdfs\outline_29.pdf</t>
  </si>
  <si>
    <t>.\全ページ画像\s1_outline_29.jpg</t>
  </si>
  <si>
    <t>s1_outline_3</t>
  </si>
  <si>
    <t>株式会社堀場エステック</t>
  </si>
  <si>
    <t>事業費 130億円
（補助額） （38億円）</t>
  </si>
  <si>
    <t>事業費 130億円
（補助額） （38億円）
ネ設備等を導入。</t>
  </si>
  <si>
    <t>事業にもインパクトのあるシナジー効果を生み出す。
事業費 1 30 億円
クルを加速 （補助額） （ 38 億円）
ネルギーの省エネ設備等を導入。
など、自動化と効率化を促進。
可能。</t>
  </si>
  <si>
    <t>売上成長目標
数値は2023年度比
• 当社グループ連結
o 2028年までのグループ全体の売上高成長率54.9％
o 2028年までのグループ全体の売上高増加額1,595億円
• 当社
o 2028年までの会社全体の売上高成長率40.4％
o 2028年までの会社全体の売上高増加額335億円</t>
  </si>
  <si>
    <t>..\seichotoushi_pdfs\outline_3.pdf</t>
  </si>
  <si>
    <t>.\全ページ画像\s1_outline_3.jpg</t>
  </si>
  <si>
    <t>s1_outline_30</t>
  </si>
  <si>
    <t>株式会社メイドー</t>
  </si>
  <si>
    <t>株式会社 メイドー</t>
  </si>
  <si>
    <t>事業費 58億円
（補助額） （19億円）</t>
  </si>
  <si>
    <t>労働生産性 （単位：万円/人） 698 843 （年平均上昇率＋6.5％）
事業費 58億円
（補助額） (19億円) 目標値 従業員1人あたり給与支給総額 （単位：万円/人） 582 694 （年平均上昇率＋6.0％）
役員1人あたり給与支給総額 (単位：万円/人) ー ー
補助事業に係る従業員数 (単位：人) 1,600 1,700</t>
  </si>
  <si>
    <t>項目 2026年度（基準年度） 2029年度（基準年度＋３年後）
労働生産性 （単位：万円/人） 698 843 （年平均上昇率＋6.5％）
事業費 58億円
目標値 従業員1人あたり給与支給総額 （単位：万円/人） 582 694 （年平均上昇率＋6.0％）
（補助額） (19億円)
役員1人あたり給与支給総額 (単位：万円/人) ー ー
補助事業に係る従業員数 (単位：人) 1,600 1,700</t>
  </si>
  <si>
    <t>売上成長目標
• 2033年までの会社全体の売上高成長率124％
• 2033年までの会社全体の売上高増加額642億円</t>
  </si>
  <si>
    <t>..\seichotoushi_pdfs\outline_30.pdf</t>
  </si>
  <si>
    <t>.\全ページ画像\s1_outline_30.jpg</t>
  </si>
  <si>
    <t>s1_outline_31</t>
  </si>
  <si>
    <t>鎌長製衡株式会社</t>
  </si>
  <si>
    <t>事業費 16億円
（補助額） （4.6億円）</t>
  </si>
  <si>
    <t>事業費 16億円
（補助額） （4.6億円）
組立、塗装、テスト設備</t>
  </si>
  <si>
    <t>場環境が悪く人 事業費 1 億円
6
性が低い。 （補助額） （4.6億円）
組立、塗装、テスト設備
を備えた最新鋭工場</t>
  </si>
  <si>
    <t>売上成長目標
• 2030年まで会社全体の売上高成長率9％（年率）
• 計量機器事業：年率3%成長
• 自動化機器・リサイクル機器事業：年率20%成長
• 2030年までに会社全体の売上高増加額34億円</t>
  </si>
  <si>
    <t>..\seichotoushi_pdfs\outline_31.pdf</t>
  </si>
  <si>
    <t>.\全ページ画像\s1_outline_31.jpg</t>
  </si>
  <si>
    <t>s1_outline_32</t>
  </si>
  <si>
    <t>オリヒロエンジニアリング株式会社</t>
  </si>
  <si>
    <t>事業費 61億円
（補助額） （19億円）</t>
  </si>
  <si>
    <t>化といった現代
61億円
題を有している。 事業費
（19億円）
とにより、市 （補助額）</t>
  </si>
  <si>
    <t>売上成長目標
（１）当社単体
2029年度 売上高65億円 営業利益8.9億円
2023年度比 売上高37億増円（成長率232％）
（２）グループ全体
2030年度 売上高700億円 営業利益100億円
2023年度比 売上高211億円増（成長率143％）</t>
  </si>
  <si>
    <t>2023年 211億円（PDF明記） / 2029年 65億円（PDF明記） / 2030年 700億円（PDF明記）</t>
  </si>
  <si>
    <t>..\seichotoushi_pdfs\outline_32.pdf</t>
  </si>
  <si>
    <t>.\全ページ画像\s1_outline_32.jpg</t>
  </si>
  <si>
    <t>s1_outline_33</t>
  </si>
  <si>
    <t>株式会社石井機械製作所</t>
  </si>
  <si>
    <t>事業費 11億円
（補助額） （3.5億円）</t>
  </si>
  <si>
    <t>・設備の新
の一部設備 事業費
11億円
図る。組み （補助
（3. 億円）
5
上げに資する 額）</t>
  </si>
  <si>
    <t>売上成長目標
• 2025年をリスタート年度として、会社全体の売上高成長率
140％
• 2033年までに会社全体の売上高増加額３０億円
＋それを上回るために重要産業分野への参入を模索</t>
  </si>
  <si>
    <t>..\seichotoushi_pdfs\outline_33.pdf</t>
  </si>
  <si>
    <t>.\全ページ画像\s1_outline_33.jpg</t>
  </si>
  <si>
    <t>s1_outline_34</t>
  </si>
  <si>
    <t>株式会社柴田合成</t>
  </si>
  <si>
    <t>事業費 19億円
（補助額） （5.2億円）</t>
  </si>
  <si>
    <t>株式会社柴田合成
間の補助対象事業費18.9億円（内7.1億円を今年度投下）
、省人化ブロー成形工場を実現
工場稼働により容器事業に本格参入。
事業に育成（中期5か年計画）。 事業費 1 億円
9
（補助額） （5.2億円）
ＳＤＧｓ対応ボトルの引き合い多数。</t>
  </si>
  <si>
    <t>売上成長目標
• 2028年度における会社全体の売上高150億円
（2023年度比増加額55億円･成長率＋57％）
• 2028年度における容器事業の売上高50億円</t>
  </si>
  <si>
    <t>2028年 150億円（PDF明記） / 2028年 150億円（PDF明記）</t>
  </si>
  <si>
    <t>..\seichotoushi_pdfs\outline_34.pdf</t>
  </si>
  <si>
    <t>.\全ページ画像\s1_outline_34.jpg</t>
  </si>
  <si>
    <t>s1_outline_35</t>
  </si>
  <si>
    <t>イグス株式会社</t>
  </si>
  <si>
    <t>事業費 34億円
（補助額） （8.9億円）</t>
  </si>
  <si>
    <t>た、
売り上げ
事業費 34億円
が急務で
（補助額） （8.9億円）</t>
  </si>
  <si>
    <t>売上成⾧目標
• 2029年までの会社全体の売上高成⾧率81.6％ (2023年度売上
比）
• 2029年までの会社全体の売上高増加額47.3億円 （2023年度
売上比）</t>
  </si>
  <si>
    <t>..\seichotoushi_pdfs\outline_35.pdf</t>
  </si>
  <si>
    <t>.\全ページ画像\s1_outline_35.jpg</t>
  </si>
  <si>
    <t>s1_outline_36</t>
  </si>
  <si>
    <t>株式会社廣澤精機製作所</t>
  </si>
  <si>
    <t>事業費 71億円
（補助額） （24億円）</t>
  </si>
  <si>
    <t>製品であるア
生産量増加
事業費 7 億円
1
最大化できる （補助額） （24億円）
を構築する。</t>
  </si>
  <si>
    <t>売上成長目標
• 2030年までの会社全体の売上高成長率12％
• 2030年までの会社全体の売上高増加額34.6億円</t>
  </si>
  <si>
    <t>..\seichotoushi_pdfs\outline_36.pdf</t>
  </si>
  <si>
    <t>.\全ページ画像\s1_outline_36.jpg</t>
  </si>
  <si>
    <t>s1_outline_37</t>
  </si>
  <si>
    <t>大日工業株式会社</t>
  </si>
  <si>
    <t>事業費 18億円
（補助額） （5.9億円）</t>
  </si>
  <si>
    <t>要事業に一極集中している現状を打破する。
補助事業 18億円
事業費 （補助額 億円） • 環境面においても、新工場はZEB実現を目指した設計
（補助額） 5.9 となっており、省エネ構造や太陽光発電を導入する。
項目 2025年9月期（基準年度） 2028年9月期（基準年度＋３年後）
労働生産性（万円/人） 632.3万円／人
400.1万円／人
（年平均上昇率＋16.48％）</t>
  </si>
  <si>
    <t>事業を行うことで、第2・第3の柱として事業拡大し、主
要事業に一極集中している現状を打破する。
補助事業 18億円
事業費 • 環境面においても、新工場はZEB実現を目指した設計
（補助額 億円）
5.9
（補助額） となっており、省エネ構造や太陽光発電を導入する。
項目 2025年9月期（基準年度） 2028年9月期（基準年度＋３年後）
労働生産性（万円/人） 632.3万円／人
400.1万円／人
（年平均上昇率＋16.48％）
従業員1人あたり 346.4万円／人
目標値 256.2万円／人
給与支給総額（万円/人） （年平均上昇率＋10.58％）</t>
  </si>
  <si>
    <t>売上成長目標
• 2023年9月期～2028年9月期までに
会社全体の売上高成長率：27.7％
• 2023年9月期～2028年9月期までに
会社全体の売上高増加額：10億円</t>
  </si>
  <si>
    <t>..\seichotoushi_pdfs\outline_37.pdf</t>
  </si>
  <si>
    <t>.\全ページ画像\s1_outline_37.jpg</t>
  </si>
  <si>
    <t>s1_outline_38</t>
  </si>
  <si>
    <t>テラル株式会社</t>
  </si>
  <si>
    <t>界においても
いる。
開発部門の 事業費 27億円
容を図る。
（補助額） （ 億円）
8.6
携の機会損
下がある。</t>
  </si>
  <si>
    <t>売上成長目標
• 2030年までに会社全体の売上高成長率・単体179％
• 2030年までに会社全体の売上高成長率・連結224％
• 2030年までに会社全体の売上高増加額・単体261億円
• 2030年までに会社全体の売上高増加額・連結553億円</t>
  </si>
  <si>
    <t>..\seichotoushi_pdfs\outline_38.pdf</t>
  </si>
  <si>
    <t>.\全ページ画像\s1_outline_38.jpg</t>
  </si>
  <si>
    <t>s1_outline_39</t>
  </si>
  <si>
    <t>株式会社ハウゼコ</t>
  </si>
  <si>
    <t>事業費 19億円
（補助額） （6.1億円）</t>
  </si>
  <si>
    <t>上させる。
事業費 19億円
（補助額） （6.1億円）</t>
  </si>
  <si>
    <t>産性を向上させる。
る。生産物 事業費 19億円
。 （補助額） （6. 億円）
1</t>
  </si>
  <si>
    <t>売上成長目標
2029年1月期までに以下の成長を目指す
会社全体売上高 ：66億円
売上高増加額 ：20億円
売上高成長率 ：43%
付加価値額 :7.6億円(76%増)</t>
  </si>
  <si>
    <t>2029年 66億円（PDF明記）</t>
  </si>
  <si>
    <t>..\seichotoushi_pdfs\outline_39.pdf</t>
  </si>
  <si>
    <t>.\全ページ画像\s1_outline_39.jpg</t>
  </si>
  <si>
    <t>s1_outline_4</t>
  </si>
  <si>
    <t>株式会社インターオフィス</t>
  </si>
  <si>
    <t>事業費 15億円
（補助額） （4.3億円）
建設図面・パース図</t>
  </si>
  <si>
    <t>機にオフィ 事業費 15億円
センターを （補助額） （4.3億円）
受注がで
建設図面・パース図
する多様
び利益の</t>
  </si>
  <si>
    <t>売上成⻑目標
・2032年8⽉期までに会社全体の売上⾼成⻑率（直近決
算比）161.5%
・2032年8⽉期までに会社全体の売上⾼増加額（直近決
算比）49.3億円</t>
  </si>
  <si>
    <t>..\seichotoushi_pdfs\outline_4.pdf</t>
  </si>
  <si>
    <t>.\全ページ画像\s1_outline_4.jpg</t>
  </si>
  <si>
    <t>s1_outline_40</t>
  </si>
  <si>
    <t>千代田鋼鉄工業株式会社</t>
  </si>
  <si>
    <t>事業費 43億円
（補助額） （6.5億円）</t>
  </si>
  <si>
    <t>事業費 43億円
（補助額） （6.5億円）
設備のイメージ</t>
  </si>
  <si>
    <t>事業拡大・
事業費 43億円
の新設・改 （補助額） （6.5億円）
導入設備のイメージ</t>
  </si>
  <si>
    <t>売上成長目標
• 2024年～2029年の5年間における、会社全体の売上高成長率 16.6％
• 20２４年～2029年の5年間における、会社全体の売上高増加額 5,749百万円</t>
  </si>
  <si>
    <t>動機欄未分離 / 目標表未検出</t>
  </si>
  <si>
    <t>..\seichotoushi_pdfs\outline_40.pdf</t>
  </si>
  <si>
    <t>.\全ページ画像\s1_outline_40.jpg</t>
  </si>
  <si>
    <t>s1_outline_41</t>
  </si>
  <si>
    <t>株式会社ビッグハウス</t>
  </si>
  <si>
    <t>事業費 12億円
（補助額） （3.8億円）</t>
  </si>
  <si>
    <t>事業費 12億円
（補助額） （3.8億円）
投資額</t>
  </si>
  <si>
    <t>効率向上により収益改善を図る
事業費 12億円
（補助額） （3.8億円）
投資額
3.7億円</t>
  </si>
  <si>
    <t>売上成長目標
• 2029年までの会社全体の売上高成長率161％
• 2029年までの会社全体の売上高増加額14億円</t>
  </si>
  <si>
    <t>..\seichotoushi_pdfs\outline_41.pdf</t>
  </si>
  <si>
    <t>.\全ページ画像\s1_outline_41.jpg</t>
  </si>
  <si>
    <t>s1_outline_42</t>
  </si>
  <si>
    <t>株式会社山田ドビー</t>
  </si>
  <si>
    <t>事業費 59億円
（補助額） （18億円）</t>
  </si>
  <si>
    <t>且つ大型 事業費 59億円
ってい （補助額） （18億円）
ス機を製
、脱炭素</t>
  </si>
  <si>
    <t>売上成長目標
• 2029年までの会社全体の売上高成長率82.3％
• 2029年までの会社全体の売上高増加額77.9億円</t>
  </si>
  <si>
    <t>..\seichotoushi_pdfs\outline_42.pdf</t>
  </si>
  <si>
    <t>.\全ページ画像\s1_outline_42.jpg</t>
  </si>
  <si>
    <t>s1_outline_43</t>
  </si>
  <si>
    <t>丸井産業株式会社</t>
  </si>
  <si>
    <t>株式会社イムロ</t>
  </si>
  <si>
    <t>事業費 102億円
（補助額） （30億円）</t>
  </si>
  <si>
    <t>事業費 102億円
（補助額） （30億円）
:支払済など対象外費用:2.8億円を含む）
流センター（2022年）</t>
  </si>
  <si>
    <t>タイムの短縮
事業費 102億円
る）。
（補助額） （30億円）
得られた
（※:支払済など対象外費用:2.8億円を含む）
社の東日本物流センター（2022年）</t>
  </si>
  <si>
    <t>売上成⾧目標
• 2030年度までに売上高1,000億円を達成させる
1,200
1,032
965
1,000 902
843
788
736
800
688
643
599
600
4000
2022年2023年2024年2025年2026年2027年2028年2029年2030年</t>
  </si>
  <si>
    <t>2030年 1000億円（PDF明記）</t>
  </si>
  <si>
    <t>..\seichotoushi_pdfs\outline_43.pdf</t>
  </si>
  <si>
    <t>.\全ページ画像\s1_outline_43.jpg</t>
  </si>
  <si>
    <t>s1_outline_45</t>
  </si>
  <si>
    <t>山本ビニター株式会社</t>
  </si>
  <si>
    <t>事業費 26億円
（補助額） （8.2億円）</t>
  </si>
  <si>
    <t>により、 事業費 2 億円
6
（補助額） （ 億円）
8.2</t>
  </si>
  <si>
    <t>売上成長目標
• 2030年までに会社全体の売上高成長率160％
• 2030年までに会社全体の売上高増加額25億円</t>
  </si>
  <si>
    <t>..\seichotoushi_pdfs\outline_45.pdf</t>
  </si>
  <si>
    <t>.\全ページ画像\s1_outline_45.jpg</t>
  </si>
  <si>
    <t>s1_outline_46</t>
  </si>
  <si>
    <t>株式会社アイスコ</t>
  </si>
  <si>
    <t>事業費 35億円
（補助額） （11億円）</t>
  </si>
  <si>
    <t>売上成長目標
• 2030年3月期までの会社全体のKGI
会社全体の売上高1,000億円
会社全体の営業利益25億円
売上高成長率122％、増加額551億円（直近期末比）</t>
  </si>
  <si>
    <t>..\seichotoushi_pdfs\outline_46.pdf</t>
  </si>
  <si>
    <t>.\全ページ画像\s1_outline_46.jpg</t>
  </si>
  <si>
    <t>s1_outline_47</t>
  </si>
  <si>
    <t>ポーライト株式会社</t>
  </si>
  <si>
    <t>事業費 31億円
（補助額） （8.2億円）</t>
  </si>
  <si>
    <t>主原料の銅
⾜かせとなって 事業費 31億円
⼒を強化し、 （補助額） （8.2億円）
Cu</t>
  </si>
  <si>
    <t>売上成⻑目標
•
28年までの会社全体の売上⾼成⻑率66％（22年⽐）
•
28年までの会社全体の売上⾼増加額82億円（22年⽐）</t>
  </si>
  <si>
    <t>..\seichotoushi_pdfs\outline_47.pdf</t>
  </si>
  <si>
    <t>.\全ページ画像\s1_outline_47.jpg</t>
  </si>
  <si>
    <t>s1_outline_48</t>
  </si>
  <si>
    <t>SINGS株式会社</t>
  </si>
  <si>
    <t>事業費 31億円
（補助額） （9.6億円）</t>
  </si>
  <si>
    <t>事業費 31億円
（補助額） （9.6億円）
建設予定地</t>
  </si>
  <si>
    <t>給与支給額5.9％の上昇を目指します。
ス材料の内製 事業費 億円
31
る。 （補助額） （ 億円）
9.6
建設予定地</t>
  </si>
  <si>
    <t>売上成長目標
• 2034年までに会社全体の売上高成長率248％
• 2034年までに会社全体の売上高増加額49億円
（2024年1月期売上高：33億円）</t>
  </si>
  <si>
    <t>2024年 33億円（PDF明記）</t>
  </si>
  <si>
    <t>..\seichotoushi_pdfs\outline_48.pdf</t>
  </si>
  <si>
    <t>.\全ページ画像\s1_outline_48.jpg</t>
  </si>
  <si>
    <t>s1_outline_49</t>
  </si>
  <si>
    <t>株式会社ＡＫシステム</t>
  </si>
  <si>
    <t>株式会社AKシステム</t>
  </si>
  <si>
    <t>事業費 11億円
（補助額） （3.5億円）
導入設備(一部)
自動脱脂洗浄機</t>
  </si>
  <si>
    <t>挑戦する。 事業費 11億円
（補助額） （3.5億円）
本社工場 導入設備(一部)
由布市庄内町
自動脱脂洗浄機</t>
  </si>
  <si>
    <t>売上成長目標
売上高成長率
現在 目指す姿
182.6％
2023年3月期実績 2029年3月期計画
売上高増加額
21.9億円 40.0億円
18.1億円</t>
  </si>
  <si>
    <t>2023年 21.9億円（PDF明記） / 2029年 40億円（PDF明記）</t>
  </si>
  <si>
    <t>..\seichotoushi_pdfs\outline_49.pdf</t>
  </si>
  <si>
    <t>.\全ページ画像\s1_outline_49.jpg</t>
  </si>
  <si>
    <t>s1_outline_5</t>
  </si>
  <si>
    <t>大森機械工業株式会社</t>
  </si>
  <si>
    <t>株式会社大森ホールディングス</t>
  </si>
  <si>
    <t>事業費 36億円
（補助額） （11億円）</t>
  </si>
  <si>
    <t>事業費 (cid:22)(cid:25)億円
（補助額） （1(cid:20)億円）
円）
置の購入</t>
  </si>
  <si>
    <t>大型案件の
事業費 億円
(cid:22)(cid:25)
力化需要、 （補助額） （1 億円）
(cid:20)
の大幅な増
の投資（約6.5億円）
テム・機械装置の購入
する支給品払い出しシステムの構築
対応するための3D CADシステムの</t>
  </si>
  <si>
    <t>連結売上高：2023年394億円、2029年620億円、2034年750億円、2048年1,000億円（PDF表）</t>
  </si>
  <si>
    <t>2023年 394億円（PDF表・連結） / 2029年 620億円（PDF表・連結） / 2034年 750億円（PDF表・連結） / 2048年 1000億円（PDF表・連結）</t>
  </si>
  <si>
    <t>..\seichotoushi_pdfs\outline_5.pdf</t>
  </si>
  <si>
    <t>.\全ページ画像\s1_outline_5.jpg</t>
  </si>
  <si>
    <t>s1_outline_50</t>
  </si>
  <si>
    <t>株式会社松尾製作所</t>
  </si>
  <si>
    <t>事業費 109億円
（補助額） （35億円）</t>
  </si>
  <si>
    <t>品がグローバ
代電動車
事業費 109億円
対応に必要
（補助額） （35億円）
への投資を
を実現する</t>
  </si>
  <si>
    <t>売上成長目標
【連結（本社、海外）】
• ’30年までの会社全体の売上高年平均成長率：8.5%
• ’30年までの会社全体の売上高増加額：370億円
【単独】
• ’30年までの松尾本社の売上高年平均成長率：6.3%
• ’30年までの松尾本社の売上高増加額：188億円</t>
  </si>
  <si>
    <t>..\seichotoushi_pdfs\outline_50.pdf</t>
  </si>
  <si>
    <t>.\全ページ画像\s1_outline_50.jpg</t>
  </si>
  <si>
    <t>s1_outline_51</t>
  </si>
  <si>
    <t>株式会社西部技研</t>
  </si>
  <si>
    <t>事業費 34億円
（補助額） （10億円）</t>
  </si>
  <si>
    <t>事業費 34億円
（補助額） （10億円）
における設備一式（左記）</t>
  </si>
  <si>
    <t>。 事業費 34億円
（補助額） （10億円）
ター生産工程における設備一式（左記）
、独自の知見により社内にて製作してきたため、</t>
  </si>
  <si>
    <t>売上成長目標（2023年実績対比）
• 2030年までの全体の売上高成長率
（連結）9.7% （単体）8.0%
• 2030年までの全体の連結売上高増加額
（連結）263億円 （単体）99億円</t>
  </si>
  <si>
    <t>..\seichotoushi_pdfs\outline_51.pdf</t>
  </si>
  <si>
    <t>.\全ページ画像\s1_outline_51.jpg</t>
  </si>
  <si>
    <t>s1_outline_52</t>
  </si>
  <si>
    <t>株式会社平島</t>
  </si>
  <si>
    <t>事業費 43億円
（補助額） （13億円）</t>
  </si>
  <si>
    <t>であり続け、地域の経済発展や持続可能な産業
たオートメー
事業費 億円
標を達成する 43
（補助額） （13億円）
力を確保する</t>
  </si>
  <si>
    <t>売上成長目標
• 2030年までの会社全体の売上高成長率139％
• 2030年までの会社全体の売上高増加額45億円
2030年売上高目標（売上比率）
製品製造・販売事業 109.0億円 （＋49.3％）
施工・研究開発事業 8.1億円 （＋6.1％）
原料製造・販売事業 23.0億円 （＋46.6％）</t>
  </si>
  <si>
    <t>2030年 109億円（PDF明記）</t>
  </si>
  <si>
    <t>..\seichotoushi_pdfs\outline_52.pdf</t>
  </si>
  <si>
    <t>.\全ページ画像\s1_outline_52.jpg</t>
  </si>
  <si>
    <t>s1_outline_53</t>
  </si>
  <si>
    <t>マルコーフーズ株式会社</t>
  </si>
  <si>
    <t>事業費 41億円
（補助額） （13億円）</t>
  </si>
  <si>
    <t>事業費 41億円
（補助額）（13億円）</t>
  </si>
  <si>
    <t>し、2026年
である。
事業費
41億円
指す。
（補助額）
（13億円）</t>
  </si>
  <si>
    <t>売上成⾧目標(2023年10月比)
• 2030年までの会社全体の売上高成⾧率43％
• 2030年までの会社全体の売上高増加額30億円</t>
  </si>
  <si>
    <t>..\seichotoushi_pdfs\outline_53.pdf</t>
  </si>
  <si>
    <t>.\全ページ画像\s1_outline_53.jpg</t>
  </si>
  <si>
    <t>s1_outline_55</t>
  </si>
  <si>
    <t>株式会社コーヨークリエイト</t>
  </si>
  <si>
    <t>事業費 15億円
（補助額） (4.8億円）</t>
  </si>
  <si>
    <t>域におい
事業費 15億円
土地 ・ 人
（補助額） (4.8億円）
産工程を
化するこ
------------------------------------------------------</t>
  </si>
  <si>
    <t>原本画像目視確認済み（年度表記に原本内不整合）</t>
  </si>
  <si>
    <t>売上成長目標（直近決算 約30億円）
2029年6月期（2028年度）までに 売上高70億円 成長率233%
2034年6月期（PDF括弧内は2023年度表記）までに 売上高100億円 増加額70億円</t>
  </si>
  <si>
    <t>2028年 70億円（PDF明記） / 2033年 100億円（PDF明記）</t>
  </si>
  <si>
    <t>動機欄未分離 / 目標表未検出 / 売上目標未抽出 / 従業員数正規化要確認</t>
  </si>
  <si>
    <t>..\seichotoushi_pdfs\outline_55.pdf</t>
  </si>
  <si>
    <t>.\全ページ画像\s1_outline_55.jpg</t>
  </si>
  <si>
    <t>s1_outline_56</t>
  </si>
  <si>
    <t>高知通運株式会社</t>
  </si>
  <si>
    <t>高知運輸株式会社
株式会社八潮商事
LIVORTグループ株式会社</t>
  </si>
  <si>
    <t>事業費 36億円
（補助額） （11億円）
事業費は税込かつ、⼟地取得費⽤を含む</t>
  </si>
  <si>
    <t>事業費
36億円
置含む）
（補助額）
（11億円）
※事業費は税込かつ、⼟地取得費⽤を含む</t>
  </si>
  <si>
    <t>売上成長目標
・2030年までに会社全体の売上高成長率21%
・2030年までに会社全体の売上高増加額31億円
・2035年までに運送事業の売上高：100億円
本補助事業と同様の倉庫を数年後に1施設設置し、上記
目標達成を目指す</t>
  </si>
  <si>
    <t>2035年 100億円（PDF明記）</t>
  </si>
  <si>
    <t>..\seichotoushi_pdfs\outline_56.pdf</t>
  </si>
  <si>
    <t>.\全ページ画像\s1_outline_56.jpg</t>
  </si>
  <si>
    <t>s1_outline_58</t>
  </si>
  <si>
    <t>三晶エムイーシー株式会社</t>
  </si>
  <si>
    <t>事業費 33億円
（補助額） （11億円）</t>
  </si>
  <si>
    <t>注量拡 事業費 33億円
（補助額） （11億円）
動化分野
EV・高
本事業にて自社開発し導入する自動機の
化 一例</t>
  </si>
  <si>
    <t>2028年11月期の会社全体売上目標14,762,844,105円（基準年度2025年11月期より26.7%UP）。補助事業売上目標3,867,530,338円（281.7%UP）</t>
  </si>
  <si>
    <t>2028年 147.62844105億円（PDF明記）</t>
  </si>
  <si>
    <t>..\seichotoushi_pdfs\outline_58.pdf</t>
  </si>
  <si>
    <t>.\全ページ画像\s1_outline_58.jpg</t>
  </si>
  <si>
    <t>s1_outline_61</t>
  </si>
  <si>
    <t>三恵工業株式会社</t>
  </si>
  <si>
    <t>株式会社ゴーシューホールディングス</t>
  </si>
  <si>
    <t>事業費 117億円
（補助額） （37億円）</t>
  </si>
  <si>
    <t>売上成長目標
2030年度売上目標：約500億円
2030年度までの売上高成長率284%、売上高増加額320億円（2022年度比）</t>
  </si>
  <si>
    <t>2030年 500億円（PDF明記）</t>
  </si>
  <si>
    <t>動機欄未分離 / 補助事業頁未判定 / 目標表未検出 / 事業費未解析 / 売上目標未抽出</t>
  </si>
  <si>
    <t>..\seichotoushi_pdfs\outline_61.pdf</t>
  </si>
  <si>
    <t>.\全ページ画像\s1_outline_61.jpg</t>
  </si>
  <si>
    <t>s1_outline_62</t>
  </si>
  <si>
    <t>サーパス工業株式会社</t>
  </si>
  <si>
    <t>事業費 200億円
（補助額） （50億円）</t>
  </si>
  <si>
    <t>事業費 200億円
（補助額）（50億円）
ジに成⾧させる特異点となります。</t>
  </si>
  <si>
    <t>む『PJ ブルーム』をスタート。
ます。 事業費 200億円
進めます。 （補助額） （50億円）
新しいステージに成⾧させる特異点となります。
、生産性向上を目指します。
確保し、新規雇用200人を予定。その後
きる新拠点となっています。</t>
  </si>
  <si>
    <t>売上成⾧目標
• 2030年までの全社売上高成⾧率165％
• 2030年までの全社従業員規模成⾧率150％
• 2033年までの会社全体の売上高成⾧率200％
• 2033年までの会社全体の従業員規模200％</t>
  </si>
  <si>
    <t>..\seichotoushi_pdfs\outline_62.pdf</t>
  </si>
  <si>
    <t>.\全ページ画像\s1_outline_62.jpg</t>
  </si>
  <si>
    <t>s1_outline_63</t>
  </si>
  <si>
    <t>株式会社オティックスホールディングス</t>
  </si>
  <si>
    <t>株式会社オティックス西尾</t>
  </si>
  <si>
    <t>予測
事業費 166億円
（補助額） （50億円）
ライヤーになる</t>
  </si>
  <si>
    <t>売上成長目標※ ※グループ会社全体
• 電動車部品売上高
82億円（24年1月期）→181億円（30年1月期） （2.2倍）
(電動車部品の売上高比率 12％→24%）
• 2038年の電動車部品売上高600億円(7.3倍）を目指す。
➡エンジン部品メーカーから「電動車部品含むモビリティ関連部品メーカー」に変
革。完成車メーカーから選ばれ続ける、イコールパートナーになる。
➡将来にわたって、日本の自動車産業を支え続ける部品メーカーになる。</t>
  </si>
  <si>
    <t>2038年 600億円（PDF明記）</t>
  </si>
  <si>
    <t>..\seichotoushi_pdfs\outline_63.pdf</t>
  </si>
  <si>
    <t>.\全ページ画像\s1_outline_63.jpg</t>
  </si>
  <si>
    <t>s1_outline_65</t>
  </si>
  <si>
    <t>株式会社松風</t>
  </si>
  <si>
    <t>事業費 22億円
（補助額） （6.6億円）</t>
  </si>
  <si>
    <t>事業費 22億円
（補助額） （6.6億円）
メージ図）</t>
  </si>
  <si>
    <t>大の基幹
状況となって 事業費 22億円
に生産の省 （補助額） （6.6億円）
（完成イメージ図）
、</t>
  </si>
  <si>
    <t>売上成⾧目標
（2023年3月期対比）
単体:
• 2028年3月期に売上高成⾧率 50％
• 2028年3月期に売上高増加額 97億円
連結:
• 2028年3月期に売上高成⾧率 58％
• 2028年3月期に売上高増加額 185億円</t>
  </si>
  <si>
    <t>..\seichotoushi_pdfs\outline_65.pdf</t>
  </si>
  <si>
    <t>.\全ページ画像\s1_outline_65.jpg</t>
  </si>
  <si>
    <t>s1_outline_66</t>
  </si>
  <si>
    <t>株式会社アルプスツール</t>
  </si>
  <si>
    <t>事業費 21億円
（補助額） （6.6億円）</t>
  </si>
  <si>
    <t>事業費 21億円
（補助額） （6.6億円）
ジ</t>
  </si>
  <si>
    <t>事業費 2 億円
1
（補助額） （6.6億円）
新工場イメージ</t>
  </si>
  <si>
    <t>売上成長目標
• 2030年までに
会社全体の売上高130億円
会社全体の売上高年成長率7.7％(2024年12月期対比)
補助事業の売上高30億円
補助事業の売上高年成長率55.5％(2024年12月期対比)</t>
  </si>
  <si>
    <t>2024年 30億円（PDF明記） / 2030年 130億円（PDF明記）</t>
  </si>
  <si>
    <t>..\seichotoushi_pdfs\outline_66.pdf</t>
  </si>
  <si>
    <t>.\全ページ画像\s1_outline_66.jpg</t>
  </si>
  <si>
    <t>s1_outline_67</t>
  </si>
  <si>
    <t>アドバンス電気工業株式会社</t>
  </si>
  <si>
    <t>事業費 32億円
（補助額） （8.9億円）</t>
  </si>
  <si>
    <t>求が拡大中。
事業費 32億円
・賃上げを
（補助額） （8.9億円）</t>
  </si>
  <si>
    <t>売上成長目標
・ 2032年までに会社全体の売上高成長率130％</t>
  </si>
  <si>
    <t>..\seichotoushi_pdfs\outline_67.pdf</t>
  </si>
  <si>
    <t>.\全ページ画像\s1_outline_67.jpg</t>
  </si>
  <si>
    <t>s1_outline_68</t>
  </si>
  <si>
    <t>株式会社ミマキエンジニアリング</t>
  </si>
  <si>
    <t>事業費 16億円
（補助額） （4.2億円）</t>
  </si>
  <si>
    <t>まりによる
1 億円
事業費 6
部門の労働 （4.2億円）
（補助額）
製品競争</t>
  </si>
  <si>
    <t>売上成⾧目標（2028年度）
• 会社全体の売上高増加額 連結508億円・単体372億円
• 会社全体の売上高成⾧率 連結172％・単体172%</t>
  </si>
  <si>
    <t>..\seichotoushi_pdfs\outline_68.pdf</t>
  </si>
  <si>
    <t>.\全ページ画像\s1_outline_68.jpg</t>
  </si>
  <si>
    <t>s1_outline_69</t>
  </si>
  <si>
    <t>NAX JAPAN株式会社</t>
  </si>
  <si>
    <t>事業費 14億円
（補助額） （4.7億円）</t>
  </si>
  <si>
    <t>ラック代の削減、保管期間の短縮による鮮度維持
事業費 14億円
（補助額） （4.7億円）</t>
  </si>
  <si>
    <t>売上成長目標
• 2030年までの会社全体の売上高成長率200％
• 2030年までの会社全体の売上高増加額100億円
昨期2023年度売上高実績は102億円、営業利益3.5億円
今年度より毎年10％の売上高増加を目標としております。</t>
  </si>
  <si>
    <t>2030年 100億円（PDF明記） / 2030年 102億円（PDF明記）</t>
  </si>
  <si>
    <t>..\seichotoushi_pdfs\outline_69.pdf</t>
  </si>
  <si>
    <t>.\全ページ画像\s1_outline_69.jpg</t>
  </si>
  <si>
    <t>s1_outline_7</t>
  </si>
  <si>
    <t>株式会社ＭＡＲＵＷＡ</t>
  </si>
  <si>
    <t>株式会社MARUWA</t>
  </si>
  <si>
    <t>事業費 127億円
（補助額） （35億円）</t>
  </si>
  <si>
    <t>事業費
127億円
（補助額）
（35億円）
福島県</t>
  </si>
  <si>
    <t>決定
事業費
工場を増強 1 27 億円
（補助額）
強化する （35億円）
材の確保
福島県
三春工場6号棟 イメージ図</t>
  </si>
  <si>
    <t>原本画像目視確認済み（中期目標の終期はPDF未記載）</t>
  </si>
  <si>
    <t>短期：2025年までに会社全体売上高700億円。中期：2026年から数年間で会社全体売上高1,000億円</t>
  </si>
  <si>
    <t>2025年 700億円（PDF明記・短期目標） / 2026年 1000億円（PDF明記・中期目標（開始年））</t>
  </si>
  <si>
    <t>..\seichotoushi_pdfs\outline_7.pdf</t>
  </si>
  <si>
    <t>.\全ページ画像\s1_outline_7.jpg</t>
  </si>
  <si>
    <t>s1_outline_70</t>
  </si>
  <si>
    <t>協和工業株式会社</t>
  </si>
  <si>
    <t>事業費 22億円
（補助額） （7.3億円）
②溶接機</t>
  </si>
  <si>
    <t>事業費 22億円
円を達成する （補助額） （7. 億円）
3
①新工場図面 ②溶接機</t>
  </si>
  <si>
    <t>売上成長目標
• 2030年までの会社全体の売上高成長率：6％
• 2030年までの会社全体の売上高増加額：25億円
• 2030年までの会社全体の売上高：75億円</t>
  </si>
  <si>
    <t>2030年 75億円（PDF明記）</t>
  </si>
  <si>
    <t>..\seichotoushi_pdfs\outline_70.pdf</t>
  </si>
  <si>
    <t>.\全ページ画像\s1_outline_70.jpg</t>
  </si>
  <si>
    <t>s1_outline_71</t>
  </si>
  <si>
    <t>株式会社北四国グラビア印刷</t>
  </si>
  <si>
    <t>事業費 29億円
（補助額） （8.7億円）</t>
  </si>
  <si>
    <t>手不足に対応
型への移行を
事業費 2 億円
性や高齢者を 9
（補助額） （8.7億円）
設備・技術や</t>
  </si>
  <si>
    <t>売上成長目標
• 2029年までの会社全体の売上高成長率51.1％
• 2029年までの会社全体の売上高増加額23.8億円</t>
  </si>
  <si>
    <t>..\seichotoushi_pdfs\outline_71.pdf</t>
  </si>
  <si>
    <t>.\全ページ画像\s1_outline_71.jpg</t>
  </si>
  <si>
    <t>s1_outline_72</t>
  </si>
  <si>
    <t>ヤマセ電気株式会社</t>
  </si>
  <si>
    <t>事業費 29億円
（補助額） （7.2億円）</t>
  </si>
  <si>
    <t>る。
事業費 29億円
ム建築の
（補助額）
（7.2億円）
化を図る。</t>
  </si>
  <si>
    <t>売上成⻑目標︓ 2028年売上 約380億円
•
2028年までのグループ全体の売上高成⻑率35％
•
2028年までのグループ全体の売上高増加額98億円</t>
  </si>
  <si>
    <t>2028年 380億円（PDF明記）</t>
  </si>
  <si>
    <t>..\seichotoushi_pdfs\outline_72.pdf</t>
  </si>
  <si>
    <t>.\全ページ画像\s1_outline_72.jpg</t>
  </si>
  <si>
    <t>s1_outline_73</t>
  </si>
  <si>
    <t>株式会社大昌鉄工所</t>
  </si>
  <si>
    <t>事業費 23億円
（補助額） （7.5億円）</t>
  </si>
  <si>
    <t>事業費 23億円
（補助額） （7.5億円）
ない</t>
  </si>
  <si>
    <t>て 事業費 23億円
（補助額） （7.5億円）
応できる設備がない
(門型・横型) ロール研削盤</t>
  </si>
  <si>
    <t>売上成長目標
• ■2029年7月期までの会社全体の売上高成長率32.8％（基準年度比）
■2029年7月までに営業利益3,740.9百万円</t>
  </si>
  <si>
    <t>2029年 37.409億円（PDF明記）</t>
  </si>
  <si>
    <t>..\seichotoushi_pdfs\outline_73.pdf</t>
  </si>
  <si>
    <t>.\全ページ画像\s1_outline_73.jpg</t>
  </si>
  <si>
    <t>s1_outline_74</t>
  </si>
  <si>
    <t>株式会社ユニシス</t>
  </si>
  <si>
    <t>事業費
（補助額）
16億円
5.1億円）</t>
  </si>
  <si>
    <t>事業費
（補助額）
億円
16
億円）
5.1</t>
  </si>
  <si>
    <t>売上成長目標
• 2029年7月期までの会社全体の
売上高平均成長率15.5％/年
• 2029年7月期での会社全体の
売上高増加額37億円</t>
  </si>
  <si>
    <t>..\seichotoushi_pdfs\outline_74.pdf</t>
  </si>
  <si>
    <t>.\全ページ画像\s1_outline_74.jpg</t>
  </si>
  <si>
    <t>s1_outline_75</t>
  </si>
  <si>
    <t>株式会社伝食</t>
  </si>
  <si>
    <t>事業費 40億円
（補助額） （11.8億円）</t>
  </si>
  <si>
    <t>化 事業費 億円
40
（補助額） （ 億円）
11.8
ルの相互</t>
  </si>
  <si>
    <t>売上成長目標（2023.9月期決算を基準として）
• 2030年までの会社全体の売上高成長率 67.5％
• 2030年までの会社全体の売上高増加額 80.6億円
・売上高 200 億円
・売上総利益 74 億円
・営業利益 11.2億円
・経常利益 11 億円
・売上総利益率 37.0 ％</t>
  </si>
  <si>
    <t>2030年 200億円（PDF明記）</t>
  </si>
  <si>
    <t>..\seichotoushi_pdfs\outline_75.pdf</t>
  </si>
  <si>
    <t>.\全ページ画像\s1_outline_75.jpg</t>
  </si>
  <si>
    <t>s1_outline_76</t>
  </si>
  <si>
    <t>安田工業株式会社</t>
  </si>
  <si>
    <t>事業費 20億円
（補助額） （6.2億円）</t>
  </si>
  <si>
    <t>.
事業費（補助額） ❙建築予定場所
円（6 円） 岡山県浅口郡里庄町大字新庄字太治郎開地5272番1ほか3筆
20億 .2億
約500メートル
設備投資の内容 当社本社 研究棟（本事業）
PRESENTATION TITLE （28pt）</t>
  </si>
  <si>
    <t>2.補助事業の概要 安田工業株式会社
❙建築予定場所
事業費（補助額）
岡山県浅口郡里庄町大字新庄字太治郎開地5272番1ほか3筆
円（6 円）
20億 .2億
約500メートル
設備投資の内容 当社本社 研究棟（本事業）
PRESENTATION TITLE （28pt）
当社念願の専用研究棟「YASDAエクセレンスラボ」（仮称）の新設
❙外観イメージ</t>
  </si>
  <si>
    <t>売上成長目標（5年・10年後）
売上高：2023年3月期168億円、2027年3月期193億円、2030年3月期243億円
区間CAGR：2023→2027 4.7%、2027→2030 8.0%
売上高増加額：2023→2027 +25億円、2027→2030 +50億円</t>
  </si>
  <si>
    <t>2023年 168億円（PDF明記） / 2027年 193億円（PDF明記） / 2030年 243億円（PDF明記）</t>
  </si>
  <si>
    <t>動機欄未分離 / 事業費未解析 / 補助額未解析</t>
  </si>
  <si>
    <t>..\seichotoushi_pdfs\outline_76.pdf</t>
  </si>
  <si>
    <t>.\全ページ画像\s1_outline_76.jpg</t>
  </si>
  <si>
    <t>s1_outline_77</t>
  </si>
  <si>
    <t>千寿製薬株式会社</t>
  </si>
  <si>
    <t>事業費 103億円
（補助額） （32億円）</t>
  </si>
  <si>
    <t>給能力が不足 事業費 10 億円
3
。 （補助額） （3 億円）
2</t>
  </si>
  <si>
    <t>売上成長目標
2025年度 連結売上高 500億円
単体売上高 432億円相当
国内医療事業売上高 329億円相当</t>
  </si>
  <si>
    <t>2025年 500億円（PDF明記）</t>
  </si>
  <si>
    <t>..\seichotoushi_pdfs\outline_77.pdf</t>
  </si>
  <si>
    <t>.\全ページ画像\s1_outline_77.jpg</t>
  </si>
  <si>
    <t>s1_outline_78</t>
  </si>
  <si>
    <t>環境のミカタ株式会社</t>
  </si>
  <si>
    <t>事業費 28億円
（補助額） （9.0億円）</t>
  </si>
  <si>
    <t>事業費 28億円
（補助額） （9.0億円）
加炭材</t>
  </si>
  <si>
    <t>に拡大する
事業費 2 億円
8
上させる
（補助額） （9 億円）
.0
加炭材</t>
  </si>
  <si>
    <t>売上成長目標（直近決算比）
• 2029年までの会社全体の売上高成長率17.6％（年平均）
• 2029年までの会社全体の売上高増加額27.5億円</t>
  </si>
  <si>
    <t>..\seichotoushi_pdfs\outline_78.pdf</t>
  </si>
  <si>
    <t>.\全ページ画像\s1_outline_78.jpg</t>
  </si>
  <si>
    <t>s1_outline_79</t>
  </si>
  <si>
    <t>スーパー工業株式会社</t>
  </si>
  <si>
    <t>事業費 19億円
（補助額） （6.2億円）</t>
  </si>
  <si>
    <t>事業費 19 億円
（補助額） （ 億円）
6.2</t>
  </si>
  <si>
    <t>売上成長目標 2029年度
売上高 2022年度比 43.6％増
営業利益 2022年度比 約3倍</t>
  </si>
  <si>
    <t>..\seichotoushi_pdfs\outline_79.pdf</t>
  </si>
  <si>
    <t>.\全ページ画像\s1_outline_79.jpg</t>
  </si>
  <si>
    <t>s1_outline_8</t>
  </si>
  <si>
    <t>サムテック株式会社</t>
  </si>
  <si>
    <t>事業費 77億円
（補助額） （22億円）</t>
  </si>
  <si>
    <t>「電動化の
た。
業とハブ旋 事業費 77億円
製品製造、 （補助額） （22億円）
図る。
貢献していく。</t>
  </si>
  <si>
    <t>売上成⾧目標（2023年11月期対比）
• 2029年までの会社全体の売上高成⾧率32％
• 2029年までの会社全体の売上高増加額75億円</t>
  </si>
  <si>
    <t>..\seichotoushi_pdfs\outline_8.pdf</t>
  </si>
  <si>
    <t>.\全ページ画像\s1_outline_8.jpg</t>
  </si>
  <si>
    <t>s1_outline_80</t>
  </si>
  <si>
    <t>寧薬化学工業株式会社</t>
  </si>
  <si>
    <t>事業費 38億円
（補助額） （12億円）</t>
  </si>
  <si>
    <t>置のための新 事業費 38億円
（補助額） （12億円）</t>
  </si>
  <si>
    <t>売上成長目標
• 2029年度までの会社全体の売上高成長率100％
• 2029年度までの会社全体の売上高増加額20億円</t>
  </si>
  <si>
    <t>..\seichotoushi_pdfs\outline_80.pdf</t>
  </si>
  <si>
    <t>.\全ページ画像\s1_outline_80.jpg</t>
  </si>
  <si>
    <t>s1_outline_81</t>
  </si>
  <si>
    <t>デーバー加工サービス㈱</t>
  </si>
  <si>
    <t>デーバー加工サービス株式会社</t>
  </si>
  <si>
    <t>事業費 21億円
（補助額） （6.7億円）
ため、新たな設備投資が必要と
工法に対応するための設備と、</t>
  </si>
  <si>
    <t>対応できる工 事業費 2 億円
1
実現する。 （補助額） （ 億円）
6.7
精度が必要なため、新たな設備投資が必要と
ている。
建設し、省力化工法に対応するための設備と、
含む）を行う（詳細はP17、P18参照）。
客の鉄筋加工業者は、自らは省力化工法に
した物件の鉄筋加工を受注できる。当社が設</t>
  </si>
  <si>
    <t>売上成長目標
• 2030年８月期までの会社全体の売上高成長率40％超
• 2030年８月期までの会社全体の売上高増加額16億円超</t>
  </si>
  <si>
    <t>..\seichotoushi_pdfs\outline_81.pdf</t>
  </si>
  <si>
    <t>.\全ページ画像\s1_outline_81.jpg</t>
  </si>
  <si>
    <t>s1_outline_82</t>
  </si>
  <si>
    <t>サン工業株式会社</t>
  </si>
  <si>
    <t>事業費 39億円
（補助額） （13億円）
機能開発品の量産へ特化）
動めっき設備
りも25％向上</t>
  </si>
  <si>
    <t>事業費 39億円
ュートラル対応
（補助額） （13億円）
っきライン（高機能開発品の量産へ特化）
継ぎ手向け自動めっき設備
を従来工法よりも25％向上
ットの導入で一人当たりの労働生産性を2倍に向上
しない材料へのめっき工程を開発し、燃料使用量を</t>
  </si>
  <si>
    <t>売上成長目標
• 30年までの会社全体の売上高成長率196％
• 30年までの会社全体の売上高増加額34.4億円</t>
  </si>
  <si>
    <t>..\seichotoushi_pdfs\outline_82.pdf</t>
  </si>
  <si>
    <t>.\全ページ画像\s1_outline_82.jpg</t>
  </si>
  <si>
    <t>s1_outline_83</t>
  </si>
  <si>
    <t>株式会社ヒサダ</t>
  </si>
  <si>
    <t>事業費 19億円
（補助額） （4.4億円）</t>
  </si>
  <si>
    <t>る。
事業費 19億円
（補助額） （4.4億円）
省スペース自動化ライン
自動化ラインの展開スピードUP</t>
  </si>
  <si>
    <t>上昇を達成する。
事業費 19億円
排出低減） （補助額） （4.4億円）
省スペース自動化ライン
自動化ラインの展開スピードUP
自動組付
ライン</t>
  </si>
  <si>
    <t>売上成⾧目標
• 28年までの九州生産製品の売上高成⾧率260％
• 28年までの会社全体の売上高増加額20.2億円</t>
  </si>
  <si>
    <t>..\seichotoushi_pdfs\outline_83.pdf</t>
  </si>
  <si>
    <t>.\全ページ画像\s1_outline_83.jpg</t>
  </si>
  <si>
    <t>s1_outline_84</t>
  </si>
  <si>
    <t>株式会社マグナ・ワイヤレス</t>
  </si>
  <si>
    <t>事業費 21億円
（補助額） （5.9億円）</t>
  </si>
  <si>
    <t>事業費 21億円
（補助額） （5.9億円）
を製造販売する。
が可能となる。</t>
  </si>
  <si>
    <t>向上や課題解決に貢献する。
し、従来より 事業費 21億円
図る。 （補助額） （5.9億円）
局と通信端末を製造販売する。
末と市場投入が可能となる。
貢献する。
明
設計:量産化に向けた基本的な仕様や回路構成の設計を行</t>
  </si>
  <si>
    <t>売上成⾧目標
• 年間売上目標 104.7億円（2030年10月期）
• 2030年10月期まで本事業の基準年度（2027年10月
期）から起算して年平均売上高成⾧率91.1％、売上高増
加額約90億円</t>
  </si>
  <si>
    <t>2030年 104.7億円（PDF明記） / 2027年 90億円（PDF明記）</t>
  </si>
  <si>
    <t>..\seichotoushi_pdfs\outline_84.pdf</t>
  </si>
  <si>
    <t>.\全ページ画像\s1_outline_84.jpg</t>
  </si>
  <si>
    <t>s1_outline_85</t>
  </si>
  <si>
    <t>マルコ工業株式会社</t>
  </si>
  <si>
    <t>事業費 37億円
（補助額） （12億円）</t>
  </si>
  <si>
    <t>事業費 37億円
（補助額） （12億円）
メイド設備を導入のため相見積もりの取得は困難
釜周り一式</t>
  </si>
  <si>
    <t>3 億円
事業費 7
取り組む
（1 億円）
（補助額） 2
っき加工不可
境対応式のオーダーメイド設備を導入のため相見積もりの取得は困難
釜周り一式
ク・プログラム装置等</t>
  </si>
  <si>
    <t>売上成長目標
■2029年度の会社全体の売上高２.2倍
■2029年までに営業利益200百万円
■溶融亜鉛めっき市場でのシェア8.0％</t>
  </si>
  <si>
    <t>2029年 2億円（PDF明記）</t>
  </si>
  <si>
    <t>..\seichotoushi_pdfs\outline_85.pdf</t>
  </si>
  <si>
    <t>.\全ページ画像\s1_outline_85.jpg</t>
  </si>
  <si>
    <t>s1_outline_86</t>
  </si>
  <si>
    <t>グローバル・テック株式会社</t>
  </si>
  <si>
    <t>売上成長目標（2023年度比）
2029年度までの会社全体の売上高成長率90%
2029年度までの会社全体の売上高増加額34.5億円</t>
  </si>
  <si>
    <t>動機欄未分離 / 補助事業頁未判定 / 目標表未検出 / 事業費未解析 / 売上目標未抽出 / 従業員数正規化要確認</t>
  </si>
  <si>
    <t>..\seichotoushi_pdfs\outline_86.pdf</t>
  </si>
  <si>
    <t>.\全ページ画像\s1_outline_86.jpg</t>
  </si>
  <si>
    <t>s1_outline_87</t>
  </si>
  <si>
    <t>トーカロ株式会社</t>
  </si>
  <si>
    <t>事業費 112億円
（補助額） （34億円）</t>
  </si>
  <si>
    <t>注キャパシ
実現する。
⼈員数を 事業費 112億円
（補助額） （34億円）
業員が個性
30年3月期（基準年度＋３年後）
2,191万円（年平均上昇率＋5.1％）
876万円（年平均上昇率＋4.0％）</t>
  </si>
  <si>
    <t>売上成⻑目標
•
30年3月期までに会社全体の売上⾼成⻑率6.0％
（23年3月期を基準とした年平均成⻑率）
•
30年3月期までに会社全体の売上⾼増加額201億円
（23年3月期を基準とした増加額）</t>
  </si>
  <si>
    <t>..\seichotoushi_pdfs\outline_87.pdf</t>
  </si>
  <si>
    <t>.\全ページ画像\s1_outline_87.jpg</t>
  </si>
  <si>
    <t>s1_outline_88</t>
  </si>
  <si>
    <t>株式会社創味食品</t>
  </si>
  <si>
    <t>事業費 134億円
（補助額） （41億円）</t>
  </si>
  <si>
    <t>事業費 134億円
（補助額） （41億円）
要
屋建設、排水処理施設工事</t>
  </si>
  <si>
    <t>設し、自動化・ 事業費 1 億円
34
げを実現する。 （補助額） （4 億円）
1
概要
た新工場建屋建設、排水処理施設工事
チ充填後ライン、ニーダー、その他生産
機械装置等</t>
  </si>
  <si>
    <t>売上成長目標
• 2028年に国内外で売上高537億円を達成。
• 2028年までに会社全体の売上高成長率 150％
• 2028年までに会社全体の売上高増加額 180億円</t>
  </si>
  <si>
    <t>2028年 537億円（PDF明記）</t>
  </si>
  <si>
    <t>..\seichotoushi_pdfs\outline_88.pdf</t>
  </si>
  <si>
    <t>.\全ページ画像\s1_outline_88.jpg</t>
  </si>
  <si>
    <t>s1_outline_89</t>
  </si>
  <si>
    <t>京西テクノス株式会社</t>
  </si>
  <si>
    <t>事業費 25億円
（補助額） （7.9億円）</t>
  </si>
  <si>
    <t>以西エリアを統 事業費 億円
25
。 （補助額） （ 億円）
7.9</t>
  </si>
  <si>
    <t>売上成長目標：2030年に向けて売上高5,542百万円増加、成長率38.3%
単位：百万円 FY24 FY25 FY26 FY27 FY28 FY29 FY30
テクノス 15,115 15,582 16,052 16,712 17,371 18,128 18,882
ﾃｸﾉﾄﾚﾝﾄﾞ 252 260 268 279 290 302 315
Mテック 460 475 489 509 529 552 575
ﾄﾚﾝﾄﾞﾒﾃﾞｨｶﾙ 142 147 151 158 164 171 178
京西科技 30 37 40 42 46 46 50
合計 16,000 16,500 17,000 17,700 18,400 19,200 20,000</t>
  </si>
  <si>
    <t>2030年 55.42億円（PDF明記）</t>
  </si>
  <si>
    <t>..\seichotoushi_pdfs\outline_89.pdf</t>
  </si>
  <si>
    <t>.\全ページ画像\s1_outline_89.jpg</t>
  </si>
  <si>
    <t>s1_outline_9</t>
  </si>
  <si>
    <t>株式会社Pale Blue</t>
  </si>
  <si>
    <t>事業費 13億円
（補助額） （3.4億円）</t>
  </si>
  <si>
    <t>当社の既存
事業費 1 億円
3
きないため、
（補助額） （3.4億円）
図る。</t>
  </si>
  <si>
    <t>売上成長目標
• 2029年度までの会社全体の売上高成長率195倍</t>
  </si>
  <si>
    <t>..\seichotoushi_pdfs\outline_9.pdf</t>
  </si>
  <si>
    <t>.\全ページ画像\s1_outline_9.jpg</t>
  </si>
  <si>
    <t>s1_outline_91</t>
  </si>
  <si>
    <t>矢田工業株式会社</t>
  </si>
  <si>
    <t>事業費 20億円
（補助額） （6.7億円）</t>
  </si>
  <si>
    <t>事業費 20億円
（補助額） （6.7億円）
設予定地</t>
  </si>
  <si>
    <t>する。
事業費 20億円
業⼒強化、海
（補助額） （6.7億円）
⼯場建設予定地</t>
  </si>
  <si>
    <t>売上成長目標
2028年までの会社全体の売上高成長率33%
2028年までの会社全体の売上高増加額25億円
最終年度の定量目標：売上高100億円（本社工場75億円、四国工場25億円）</t>
  </si>
  <si>
    <t>2028年 100億円（PDF明記）</t>
  </si>
  <si>
    <t>動機欄未分離 / 売上目標未抽出</t>
  </si>
  <si>
    <t>..\seichotoushi_pdfs\outline_91.pdf</t>
  </si>
  <si>
    <t>.\全ページ画像\s1_outline_91.jpg</t>
  </si>
  <si>
    <t>s1_outline_92</t>
  </si>
  <si>
    <t>アサヒフォージ株式会社</t>
  </si>
  <si>
    <t>事業費 168億円
（補助額） （50億円）</t>
  </si>
  <si>
    <t>といった事業
高付加価値
事業費 億円
168
（補助額） （ 億円）
設備投資と、 50
向上を図る。</t>
  </si>
  <si>
    <t>2029年度へ向けた売上成長目標
• 全社の売上高成長率30％(2022年度比)
• 全社の売上高増加額92億円の達成に向け取り組む。</t>
  </si>
  <si>
    <t>..\seichotoushi_pdfs\outline_92.pdf</t>
  </si>
  <si>
    <t>.\全ページ画像\s1_outline_92.jpg</t>
  </si>
  <si>
    <t>s1_outline_93</t>
  </si>
  <si>
    <t>ウイング株式会社</t>
  </si>
  <si>
    <t>ウィング株式会社</t>
  </si>
  <si>
    <t>省人化設備導 事業費 2 億円
1
（補助額） （6.6億円）
カッ</t>
  </si>
  <si>
    <t>売上成長目標
• 2030年までに会社全体の売上高 25億円増(＋15%)売
上200億円、2035年までに会社全体の売上高 53億円増
(+30%)売上230億円を目指す</t>
  </si>
  <si>
    <t>2030年 25億円（PDF明記） / 2035年 53億円（PDF明記）</t>
  </si>
  <si>
    <t>..\seichotoushi_pdfs\outline_93.pdf</t>
  </si>
  <si>
    <t>.\全ページ画像\s1_outline_93.jpg</t>
  </si>
  <si>
    <t>s1_outline_94</t>
  </si>
  <si>
    <t>株式会社友和環境</t>
  </si>
  <si>
    <t>事業費 16億円
（補助額） （5.3億円）</t>
  </si>
  <si>
    <t>受入量、生
い、この課題
事業費 16億円
（補助額） （5.3億円）
人材不足の</t>
  </si>
  <si>
    <t>売上成長目標
2030年までに会社全体の売上高成長率145%
2030年までに会社全体の売上高増加額7.1億円</t>
  </si>
  <si>
    <t>..\seichotoushi_pdfs\outline_94.pdf</t>
  </si>
  <si>
    <t>.\全ページ画像\s1_outline_94.jpg</t>
  </si>
  <si>
    <t>s1_outline_95</t>
  </si>
  <si>
    <t>ナミックス株式会社</t>
  </si>
  <si>
    <t>事業費 229億円
（補助額） （50億円）</t>
  </si>
  <si>
    <t>、工場の新 事業費 2 億円
29
を図る （補助額） （50億円）
50億円）
え、</t>
  </si>
  <si>
    <t>売上成長目標
• 2029年度の全社売上高755億円、営業利益163
億円
• 2024～2029年度までの売上高成長率7.2％、
売上高増加額220億円</t>
  </si>
  <si>
    <t>2029年 755億円（PDF明記）</t>
  </si>
  <si>
    <t>..\seichotoushi_pdfs\outline_95.pdf</t>
  </si>
  <si>
    <t>.\全ページ画像\s1_outline_95.jpg</t>
  </si>
  <si>
    <t>s1_outline_96</t>
  </si>
  <si>
    <t>大岡技研株式会社</t>
  </si>
  <si>
    <t>事業費 52億円
（補助額） （15億円）</t>
  </si>
  <si>
    <t>事業費 52億円
（補助額） （15億円）
蘭工場 IoTシステム</t>
  </si>
  <si>
    <t>建設、切削
。生産余力 事業費 52億円
って非自動 （補助額） （15億円）
ム 室蘭工場 IoTシステム</t>
  </si>
  <si>
    <t>売上成長目標(2029年)
• EV関連・非自動車事業で売上80億円(成長率1,476%)
• 全社売上高 260億円（売上高成長率 18%）</t>
  </si>
  <si>
    <t>2029年 80億円（PDF明記）</t>
  </si>
  <si>
    <t>..\seichotoushi_pdfs\outline_96.pdf</t>
  </si>
  <si>
    <t>.\全ページ画像\s1_outline_96.jpg</t>
  </si>
  <si>
    <t>s1_outline_97</t>
  </si>
  <si>
    <t>フクシマガリレイ株式会社</t>
  </si>
  <si>
    <t>事業費 137億円
（補助額） （28億円）</t>
  </si>
  <si>
    <t>事業費 137億円
（補助額） （28億円）
南新工場 イメージ図</t>
  </si>
  <si>
    <t>の高まりや、
ーケース事業 事業費 137 億円
（補助額） （2 8 億円）
滋賀湖南新工場 イメージ図</t>
  </si>
  <si>
    <t>GALILEI Global Vision 2030
グループ売上2,000億円、営業利益率10%以上</t>
  </si>
  <si>
    <t>2030年 2000億円（PDF明記）</t>
  </si>
  <si>
    <t>売上目標未抽出 / 従業員数正規化要確認</t>
  </si>
  <si>
    <t>..\seichotoushi_pdfs\outline_97.pdf</t>
  </si>
  <si>
    <t>.\全ページ画像\s1_outline_97.jpg</t>
  </si>
  <si>
    <t>s1_outline_99</t>
  </si>
  <si>
    <t>株式会社オーレック</t>
  </si>
  <si>
    <t>株式会社オーレックホールディングス</t>
  </si>
  <si>
    <t>54億円
事業費
（16億円）
（補助額）
③営業所＆物流倉庫の新設
下記は彦根のイメージ図</t>
  </si>
  <si>
    <t>億円
54
事業費
（16億円）
（補助額）
③営業所＆物流倉庫の新設
下記は彦根のイメージ図</t>
  </si>
  <si>
    <t>売上成長目標
■2029年までの会社全体の売上高成長率50％
■2029年までに会社全体の売上高増加額100億円</t>
  </si>
  <si>
    <t>..\seichotoushi_pdfs\outline_99.pdf</t>
  </si>
  <si>
    <t>.\全ページ画像\s1_outline_99.jpg</t>
  </si>
  <si>
    <t>s1_outline__179</t>
  </si>
  <si>
    <t>2次</t>
  </si>
  <si>
    <t>アサヒセイレン中部株式会社</t>
  </si>
  <si>
    <t>SAN株式会社</t>
  </si>
  <si>
    <t>事業費 188億円
（補助額） （50億円）</t>
  </si>
  <si>
    <t>事業費 188億円
（補助額） （50億円）
ｸｰﾗｰ/脱ガス装置(RDF)/鋳造用
ｽﾀｯｷﾝｸﾞ・ロボット/5k塊自動梱包
ガス・窒素・軽油)/ｴｱｰｺﾝﾌﾟﾚｯｻｰ/</t>
  </si>
  <si>
    <t>。 事業費 1 88 億円
する。 （補助額） （50億円）
灰絞り機/冷灰ｸｰﾗｰ/脱ガス装置(RDF)/鋳造用
用ﾀｰﾝﾃｰﾌﾞﾙ/ｽﾀｯｷﾝｸﾞ・ロボット/5k塊自動梱包
ンク(重油・LPガス・窒素・軽油)/ｴｱｰｺﾝﾌﾟﾚｯｻｰ/
装置/原料破砕機/磁選機/振動フルイ機/X線
機 など</t>
  </si>
  <si>
    <t>・２０２６年までの
会社全体の売上高成長率：１８％
会社全体の売上高増加額：１５１億円
①自動車メーカーとのSC強化
自動車メーカー（及び部品メーカー）のCO２削減ニーズ
を取り込み、サプライチェーン強靭化と
省エネルギーに貢献する。
→今後ますます、自動車に使用されるアルミは
増加する見通しであり、素材メーカーとして
サプライチェーンの強靭化で</t>
  </si>
  <si>
    <t>..\seichotoushi_pdfs\outline__179.pdf</t>
  </si>
  <si>
    <t>.\全ページ画像\s1_outline__179.jpg</t>
  </si>
  <si>
    <t>s1_outline__181</t>
  </si>
  <si>
    <t>株式会社ホテルニューアワジ</t>
  </si>
  <si>
    <t>株式会社あわじ浜離宮</t>
  </si>
  <si>
    <t>事業費 82億円
（補助額） （26億円）</t>
  </si>
  <si>
    <t>２社 計 82億円（26億円）
事業費
㈱ホテルニューアワジ 41億円（13億円）
（補助額）
㈱あわじ浜離宮 41億円（13億円）
株式会社あわじ浜離宮（南あわじ市）
「⽇本三⼤・御⾷国」を背景にした⾷⽂化や⾷の⽣産者に対し知的好</t>
  </si>
  <si>
    <t>にある。そのた ２社 計 82億円（26億円）
平均２泊以上
事業費
新設し、官⺠ ㈱ホテルニューアワジ 41億円（13億円）
（補助額）
⽬的に、異
て滞在を促進。 ㈱あわじ浜離宮 41億円（13億円）
株式会社あわじ浜離宮（南あわじ市）
対し知的好 「⽇本三⼤・御⾷国」を背景にした⾷⽂化や⾷の⽣産者に対し知的好
奇⼼の⾼いミドルクラス層
室100平⽶ • 夜間に街中に外出する傾向が⾼いことから、⾷べたい時にいつでも利</t>
  </si>
  <si>
    <t>売上成⻑⽬標︓2029年までに
ホテルニューアワジ あわじ浜離宮
売上⾼ 100.7億円 25.3億円
売上⾼成⻑率 148.6％UP 218.7％UP
売上⾼増加額 32.9億円 13.7億円</t>
  </si>
  <si>
    <t>2029年 100.7億円（PDF明記）</t>
  </si>
  <si>
    <t>..\seichotoushi_pdfs\outline__181.pdf</t>
  </si>
  <si>
    <t>.\全ページ画像\s1_outline__181.jpg</t>
  </si>
  <si>
    <t>s1_outline__182</t>
  </si>
  <si>
    <t>埼玉機器株式会社</t>
  </si>
  <si>
    <t>事業費 91億円
（補助額） （25億円）</t>
  </si>
  <si>
    <t>事業費 91億円
（補助額） （25億円）
（=GoWest）し、生産能力</t>
  </si>
  <si>
    <t>サプライヤー
事業費 億円
91
（補助額） （2 億円）
性への懸念や 5
を新たに建設（=GoWest）し、生産能力
品製造へも積極的に参入していくことで、さら</t>
  </si>
  <si>
    <t>売上成長目標
• 2030年までに会社全体の売上高年平均成長率13％
• 2030年までに会社全体の売上高を162億円
• 2030年までに小型トラック等の新規ビジネス売上高29億円</t>
  </si>
  <si>
    <t>2030年 162億円（PDF明記） / 2030年 29億円（PDF明記）</t>
  </si>
  <si>
    <t>..\seichotoushi_pdfs\outline__182.pdf</t>
  </si>
  <si>
    <t>.\全ページ画像\s1_outline__182.jpg</t>
  </si>
  <si>
    <t>s1_outline__183</t>
  </si>
  <si>
    <t>スズキハイテック株式会社</t>
  </si>
  <si>
    <t>事業費 33億円
（補助額） （8.9億円）</t>
  </si>
  <si>
    <t>33億円
事業費
（補助額） （8.9億円）
ジェクター めっき・検査ライン</t>
  </si>
  <si>
    <t>られない
33億円
事業費
高め、省
（補助額） （ 億円）
8.9
行する。
直噴インジェクター めっき・検査ライン</t>
  </si>
  <si>
    <t>売上成長目標
（補助事業完了の2027年5月期を基準に）
【補助事業】
(cid:127) 2030年5月期までの売上高成長率+107.9％
(cid:127) 〃 売上高増加額+37.5億円
【会社全体】
(cid:127) 2030年5月期までの売上高成長率+72.0％
(cid:127) 〃 売上高増加額+40.2億円</t>
  </si>
  <si>
    <t>..\seichotoushi_pdfs\outline__183.pdf</t>
  </si>
  <si>
    <t>.\全ページ画像\s1_outline__183.jpg</t>
  </si>
  <si>
    <t>s1_outline__184</t>
  </si>
  <si>
    <t>泉南乳業株式会社</t>
  </si>
  <si>
    <t>事業費 12億円
（補助額） （1.3億円）</t>
  </si>
  <si>
    <t>事業費 12億円
（補助額） （1.3億円）
いが、生産設備増強によりボ</t>
  </si>
  <si>
    <t>課題感 事業費 12億円
（補助額） （ 億円）
1.3
えることができないが、生産設備増強によりボ</t>
  </si>
  <si>
    <t>売上成長目標
• 2030年までに売上高成長率185％
• 2030年までに売上高増加額96億円
※ 2023年度比較（2024年3月期売上高113億円）</t>
  </si>
  <si>
    <t>2024年 113億円（PDF明記）</t>
  </si>
  <si>
    <t>..\seichotoushi_pdfs\outline__184.pdf</t>
  </si>
  <si>
    <t>.\全ページ画像\s1_outline__184.jpg</t>
  </si>
  <si>
    <t>s1_outline__188</t>
  </si>
  <si>
    <t>山城金属株式会社</t>
  </si>
  <si>
    <t>事業費 15億円
（補助額） （5.0億円）</t>
  </si>
  <si>
    <t>事業費 1 億円
5
（補助額）（5. 億円）
0</t>
  </si>
  <si>
    <t>支給総額5％UP
を導入し精密
オイルシール 事業費 1 5 億円
（補助額）
と生産性を高 （5. 億円）
0</t>
  </si>
  <si>
    <t>売上成長目標
・2029年までに、会社全体の売上高成長率
基準年度(2026年9月期)比 170％
・2029年までに、会社全体の売上高増加額
基準年度(2026年9月期)から＋38億円</t>
  </si>
  <si>
    <t>2026年 38億円（PDF明記）</t>
  </si>
  <si>
    <t>..\seichotoushi_pdfs\outline__188.pdf</t>
  </si>
  <si>
    <t>.\全ページ画像\s1_outline__188.jpg</t>
  </si>
  <si>
    <t>s1_outline__189</t>
  </si>
  <si>
    <t>長﨑ジャッキ株式会社</t>
  </si>
  <si>
    <t>事業費 22億円
（補助額） （6.3億円）</t>
  </si>
  <si>
    <t>22億円
事業費
（6.3億円）
（補助額）</t>
  </si>
  <si>
    <t>22億円
事業費
により事業の （6.3億円）
（補助額）</t>
  </si>
  <si>
    <t>売上成⻑⽬標
• 2030年までに会社全体の売上⾼16.8億円(+134.1%)
増、売上29.2億円を⽬指す。</t>
  </si>
  <si>
    <t>2030年 16.8億円（PDF明記）</t>
  </si>
  <si>
    <t>..\seichotoushi_pdfs\outline__189.pdf</t>
  </si>
  <si>
    <t>.\全ページ画像\s1_outline__189.jpg</t>
  </si>
  <si>
    <t>s1_outline__190</t>
  </si>
  <si>
    <t>株式会社GOTENリゾート</t>
  </si>
  <si>
    <t>事業費 ２8億円
（補助額） （８.0億円）</t>
  </si>
  <si>
    <t>事業費
事業費 ２8億円
(補助額) 補助額
(８.0億円)
新館）を建設</t>
  </si>
  <si>
    <t>を目指す。
事業費
事業費 ２ 8 億円
補助額) 補助額
(８ 億円)
.0
館）を建設</t>
  </si>
  <si>
    <t>売上成長目標
（対2022年10月期比：事務局指示）
• 2029年10月期までの会社全体の売上高24.7億円
• 2029年10月期までの会社全体の売上高成長率243％
• 2029年10月期までの会社全体の売上高増加額17.5億円
※2022年【事務局指示】売上高７.2億円、営業利益0.8億円、従業員数70人
既存２施設＋新館１施設、全３施設での実現を目指す
• 旅館(既存)太良嶽温泉蟹御殿（16室） 売上高 6.1億円
• 旅館【既存】奥武雄温泉風の森（11室） 売上高 3.6億円
• 旅館【新館】奥嬉野温泉無名滝（22室） 売上高 11.5億円
• 観光特産品事業 売上高 3.0億円</t>
  </si>
  <si>
    <t>2022年 24.7億円（PDF明記） / 2029年 24.7億円（PDF明記）</t>
  </si>
  <si>
    <t>..\seichotoushi_pdfs\outline__190.pdf</t>
  </si>
  <si>
    <t>.\全ページ画像\s1_outline__190.jpg</t>
  </si>
  <si>
    <t>s1_outline__191</t>
  </si>
  <si>
    <t>株式会社カナイ</t>
  </si>
  <si>
    <t>事業費 45億円
（補助額） （6.9億円）</t>
  </si>
  <si>
    <t>事業費 45億円
（補助額）（6.9億円
計</t>
  </si>
  <si>
    <t>市場(中大規
の強化(出
事業費 億円
45
いる。しかし、 （補助額） （ 億円）
6.9
ある。
計
。 画
自動ラック パ
ー</t>
  </si>
  <si>
    <t>売上成長目標(2023年比)
• 2029年まで当社単体の売上高成長率33％
• 2029年まで当社単位の売上高増加額100億円
単体売上高 2023年度 当社 300億円
2029年度 当社 400億円</t>
  </si>
  <si>
    <t>2023年 100億円（PDF明記） / 2029年 300億円（PDF明記）</t>
  </si>
  <si>
    <t>..\seichotoushi_pdfs\outline__191.pdf</t>
  </si>
  <si>
    <t>.\全ページ画像\s1_outline__191.jpg</t>
  </si>
  <si>
    <t>s1_outline__192</t>
  </si>
  <si>
    <t>池田糖化工業株式会社</t>
  </si>
  <si>
    <t>事業費 162億円
（補助額） （50億円）</t>
  </si>
  <si>
    <t>設備で高付 事業費 162億円
（補助額） （50億円）
降で説明）
（C）補助金交付申請額</t>
  </si>
  <si>
    <t>売上成長目標（2023年度対比）
2029年までの会社全体の売上高成長率84%
2029年までの会社全体の売上高増加額471億円</t>
  </si>
  <si>
    <t>..\seichotoushi_pdfs\outline__192.pdf</t>
  </si>
  <si>
    <t>.\全ページ画像\s1_outline__192.jpg</t>
  </si>
  <si>
    <t>s1_outline__194</t>
  </si>
  <si>
    <t>ZACROS株式会社</t>
  </si>
  <si>
    <t>ＺＡＣＲＯＳ株式会社</t>
  </si>
  <si>
    <t>事業費 129億円
（補助額） （41億円）</t>
  </si>
  <si>
    <t>込まれます。
事業費 129億円
を図り、更なる
（補助額） （41億円）</t>
  </si>
  <si>
    <t>数値目標
売上高：2023年度1,361億円、2026年度1,650億円、2030年度2,200億円</t>
  </si>
  <si>
    <t>2023年 1361億円（PDF明記） / 2026年 1650億円（PDF明記） / 2030年 2200億円（PDF明記）</t>
  </si>
  <si>
    <t>..\seichotoushi_pdfs\outline__194.pdf</t>
  </si>
  <si>
    <t>.\全ページ画像\s1_outline__194.jpg</t>
  </si>
  <si>
    <t>s1_outline__195</t>
  </si>
  <si>
    <t>アシザワ・ファインテック株式会社</t>
  </si>
  <si>
    <t>事業費 25億円
（補助額） （8.1億円）</t>
  </si>
  <si>
    <t>に向上させる。
機会損失も発
事業費 2 億円
5
ズミルの需要
（補助額） （8. 億円）
1
も注力する。</t>
  </si>
  <si>
    <t>2029年度：会社全体売上高60億円、売上高増加額31.6億円、売上高成長率111.5%（23年度比）</t>
  </si>
  <si>
    <t>2029年 60億円（PDF明記）</t>
  </si>
  <si>
    <t>..\seichotoushi_pdfs\outline__195.pdf</t>
  </si>
  <si>
    <t>.\全ページ画像\s1_outline__195.jpg</t>
  </si>
  <si>
    <t>s1_outline__196</t>
  </si>
  <si>
    <t>株式会社八立製作所</t>
  </si>
  <si>
    <t>事業費 13億円
（補助額） （4.2億円）</t>
  </si>
  <si>
    <t>事業費 13億円
（補助額） （4.2億円）
次葉にて記載）</t>
  </si>
  <si>
    <t>産性向上
事業費 1 3 億円
最適化
（補助額） （4. 億円）
2
』については次葉にて記載）</t>
  </si>
  <si>
    <t>売上成長目標
• 2030年6月期の会社全体の売上高年平均成長率7.0％
• 2030年6月期の会社全体の売上高増加額7.7億円</t>
  </si>
  <si>
    <t>..\seichotoushi_pdfs\outline__196.pdf</t>
  </si>
  <si>
    <t>.\全ページ画像\s1_outline__196.jpg</t>
  </si>
  <si>
    <t>s1_outline__197</t>
  </si>
  <si>
    <t>株式会社福山臨床検査センター</t>
  </si>
  <si>
    <t>事業費 17億円
（補助額） （4.4億円）</t>
  </si>
  <si>
    <t>シティが限界
事業費 億円
17
備を導入する
（補助額） （ 億円）
4.4
新棟
既存の</t>
  </si>
  <si>
    <t>2029年度（2025年度対比）：売上高成長率57.7%、年平均上昇率12.1%、売上高増加額58億円</t>
  </si>
  <si>
    <t>..\seichotoushi_pdfs\outline__197.pdf</t>
  </si>
  <si>
    <t>.\全ページ画像\s1_outline__197.jpg</t>
  </si>
  <si>
    <t>s1_outline__198</t>
  </si>
  <si>
    <t>ユニコム株式会社</t>
  </si>
  <si>
    <t>事業費 18億円
（補助額） （5.0億円）</t>
  </si>
  <si>
    <t>事業費 18億円
（補助額） （5.0億円）
ス</t>
  </si>
  <si>
    <t>賃金の年平均上昇率6.0％を実現する。
）や応用設
事業費 1 億円
8
規設備投資を
（補助額） （5. 億円）
0
場 イメージパース</t>
  </si>
  <si>
    <t>売上成長目標
• 2029年度までの会社全体の売上高成長率 103.7％
• 2029年度までの会社全体の売上高増加額 27.3億円
* (事業化報告3年目)－(基準年)で算出</t>
  </si>
  <si>
    <t>..\seichotoushi_pdfs\outline__198.pdf</t>
  </si>
  <si>
    <t>.\全ページ画像\s1_outline__198.jpg</t>
  </si>
  <si>
    <t>s1_outline__199</t>
  </si>
  <si>
    <t>株式会社ティー・シー・ピー</t>
  </si>
  <si>
    <t>事業費 21億円
（補助額） （7.0億円）</t>
  </si>
  <si>
    <t>事業費 21億円
（補助額） （7.0億円）
シー・ピー 北陸工場 アクリル製造設備</t>
  </si>
  <si>
    <t>テンツブラン 事業費 21億円
（補助額） （7 .0 億円）
推進可能
株 式 会 社 テ ィ ー ・ シ ー ・ ピ ー 北 陸 工 場 ア ク リ ル 製 造 設 備</t>
  </si>
  <si>
    <t>売上成長目標
• 2029年までに会社全体の売上高成長率目標100％成長
• 2029年までに会社全体の売上高増加額41億円</t>
  </si>
  <si>
    <t>..\seichotoushi_pdfs\outline__199.pdf</t>
  </si>
  <si>
    <t>.\全ページ画像\s1_outline__199.jpg</t>
  </si>
  <si>
    <t>s1_outline__200</t>
  </si>
  <si>
    <t>株式会社イズミテクノ</t>
  </si>
  <si>
    <t>ある。この技術 事業費 17億円
ィクルが大きな
（補助額） （5.3億円）
る。
体製造における
賃上げを実施し</t>
  </si>
  <si>
    <t>売上成⻑⽬標_最⾼売上(2022年度)との⽐較
• 2030年までの会社全体の売上⾼成⻑率200％
• 2030年までの会社全体の売上⾼増加額25億円
• 2030年までの会社全体の利益成⻑率231％
• 2030年までの会社全体の利益増加額7億円</t>
  </si>
  <si>
    <t>..\seichotoushi_pdfs\outline__200.pdf</t>
  </si>
  <si>
    <t>.\全ページ画像\s1_outline__200.jpg</t>
  </si>
  <si>
    <t>s1_outline__201</t>
  </si>
  <si>
    <t>株式会社イートアンドフーズ</t>
  </si>
  <si>
    <t>事業費 67億円
（補助額） （21億円）</t>
  </si>
  <si>
    <t>拠点として宮
事業費 6 億円
7
産拠点に新設
（補助額） （21億円）</t>
  </si>
  <si>
    <t>売上成長目標
連結
• 2026年度までに会社全体の売上高成長率66.0％
• 2026年度までに会社全体の売上高増加額170億円
※イートアンドフーズ単体売上はP.8に記載</t>
  </si>
  <si>
    <t>..\seichotoushi_pdfs\outline__201.pdf</t>
  </si>
  <si>
    <t>.\全ページ画像\s1_outline__201.jpg</t>
  </si>
  <si>
    <t>s1_outline__202</t>
  </si>
  <si>
    <t>アライドコーヒーロースターズ株式会社</t>
  </si>
  <si>
    <t>事業費 54億円
（補助額） (16億円）</t>
  </si>
  <si>
    <t>事業費 54 億円
（補助額） (16億円）
包装 積付・保管 出荷</t>
  </si>
  <si>
    <t>売上成長目標
売上高：2024年3月期120億円、2030年3月期275億円、2050年3月期1,400億円
2050年3月期までの増加額1,280億円（2024年3月期比）、約12倍</t>
  </si>
  <si>
    <t>2024年 120億円（PDF明記） / 2030年 275億円（PDF明記） / 2050年 1400億円（PDF明記）</t>
  </si>
  <si>
    <t>..\seichotoushi_pdfs\outline__202.pdf</t>
  </si>
  <si>
    <t>.\全ページ画像\s1_outline__202.jpg</t>
  </si>
  <si>
    <t>s1_outline__203</t>
  </si>
  <si>
    <t>株式会社東映京都スタジオ</t>
  </si>
  <si>
    <t>事業費 35億円
（補助額） （9.5億円）</t>
  </si>
  <si>
    <t>事業費 35億円
（補助額） （9.5億円）
点
夫</t>
  </si>
  <si>
    <t>して、
事業費 億円
備を導入 35
（補助額） （ 億円）
9.5
向上につながる点
ペレーションの工夫
、作業時間と人手不足を軽減
ン業務の効率化を図り、店舗面積当たりの人員を削減
の導入</t>
  </si>
  <si>
    <t>2033年度の売上成長目標(対2023年度) 売上高成長率470％、売上高増加額67億円</t>
  </si>
  <si>
    <t>..\seichotoushi_pdfs\outline__203.pdf</t>
  </si>
  <si>
    <t>.\全ページ画像\s1_outline__203.jpg</t>
  </si>
  <si>
    <t>s1_outline__204</t>
  </si>
  <si>
    <t>メック株式会社</t>
  </si>
  <si>
    <t>事業費 23億円
（補助額） （5.5億円）</t>
  </si>
  <si>
    <t>事業費 23億円
（補助額） （5.5億円）
投資額
（億円）</t>
  </si>
  <si>
    <t>GX等)の
導体パッケー
事業費 23億円
た既存工場
（補助額） （5.5億円）
技術の保護」
した。
投資額
（億円）</t>
  </si>
  <si>
    <t>売上成長目標
2025年（基準年度） ：単体売上高116億円
2030年 ：約1.7倍相当を達成</t>
  </si>
  <si>
    <t>2025年 116億円（PDF明記）</t>
  </si>
  <si>
    <t>..\seichotoushi_pdfs\outline__204.pdf</t>
  </si>
  <si>
    <t>.\全ページ画像\s1_outline__204.jpg</t>
  </si>
  <si>
    <t>s1_outline__205</t>
  </si>
  <si>
    <t>ヤマシンスチール株式会社</t>
  </si>
  <si>
    <t>事業費 29億円
（補助額） （8.3億円）</t>
  </si>
  <si>
    <t>事業費 29億円
（補助額） （8.3億円）
設備導入
金額単位:百万円
導入設備・工事 導入メーカー 金額</t>
  </si>
  <si>
    <t>築する
事業費 29億円
産性向上を
（補助額） （8.3億円）
▼新設備導入
金額単位:百万円
項目 導入設備・工事 導入メーカー 金額
折他
工事関連 建物 吉川工務店 他 1,380
画）
電機設備工事等 正栄電機 400
設備関連 異形ロール口付機 川崎製作所 20</t>
  </si>
  <si>
    <t>売上成⾧目標
• 2028年までの会社全体の売上高成⾧率+71%
• 2028年までの会社全体の売上高増加額+9,630百万円
※どちらも2025年を基準とした3年後
2025年までシリコンサイクルのボトム期に入り、現状より売上
減少額50億円程度既に見込まれているため、本事業による
その時点からの復活目標</t>
  </si>
  <si>
    <t>2025年 50億円（PDF明記）</t>
  </si>
  <si>
    <t>..\seichotoushi_pdfs\outline__205.pdf</t>
  </si>
  <si>
    <t>.\全ページ画像\s1_outline__205.jpg</t>
  </si>
  <si>
    <t>s1_outline__206</t>
  </si>
  <si>
    <t>上山製紙株式会社</t>
  </si>
  <si>
    <t>事業費 30億円
（補助額） （9.9億円）</t>
  </si>
  <si>
    <t>事業費 30億円
（補助額） （9.9億円）
始
抄紙機</t>
  </si>
  <si>
    <t>売上成長目標
• 2030年までの会社全体の売上高成長率88％
• 2030年までの会社全体の売上高増加額20億円
• 2030年の東北地方でのトイレットペーパーシェア17%、ペー
パータオルシェア21％</t>
  </si>
  <si>
    <t>..\seichotoushi_pdfs\outline__206.pdf</t>
  </si>
  <si>
    <t>.\全ページ画像\s1_outline__206.jpg</t>
  </si>
  <si>
    <t>s1_outline__207</t>
  </si>
  <si>
    <t>株式会社ジェイ・イー・ティ</t>
  </si>
  <si>
    <t>事業費 115億円
（補助額） （38億円）</t>
  </si>
  <si>
    <t>事業費
（補助額）
115億円</t>
  </si>
  <si>
    <t>しつつある
事業費
部品の
（補助額）
るが、薬液
11 億円
の原因） 5
（3 億円）
8</t>
  </si>
  <si>
    <t>売上高CAGR：8.3％
2033年
2027年 技術優位の
差別化された製品にて
中期経営計画
世界市場でポジション獲得
Challenge 2026
2023年</t>
  </si>
  <si>
    <t>..\seichotoushi_pdfs\outline__207.pdf</t>
  </si>
  <si>
    <t>.\全ページ画像\s1_outline__207.jpg</t>
  </si>
  <si>
    <t>s1_outline__208</t>
  </si>
  <si>
    <t>日本電波工業株式会社</t>
  </si>
  <si>
    <t>函館エヌ・デー・ケー株式会社
古川エヌ・デー・ケー株式会社</t>
  </si>
  <si>
    <t>事業費 10４億円
（補助額） （31億円）</t>
  </si>
  <si>
    <t>事業費 10４億円
（補助額） （31億円）
設備投資例</t>
  </si>
  <si>
    <t>獲得するに
度化など、機
事業費 10４億円
創発と労働生
（補助額） （31億円）
し、売上高と
設備投資例
地試運転費用・</t>
  </si>
  <si>
    <t>売上成長目標(*1)
• 2030年に連結の売上高498億円増加（成長率199％）(*1)
– 単体(日本電波工業株式会社)の売上高319億円増加
– 函館エヌ・デー・ケー(株)の売上高65億円増加
– 古川エヌ・デー・ケー(株)の売上高52億円増加</t>
  </si>
  <si>
    <t>2030年 498億円（PDF明記）</t>
  </si>
  <si>
    <t>..\seichotoushi_pdfs\outline__208.pdf</t>
  </si>
  <si>
    <t>.\全ページ画像\s1_outline__208.jpg</t>
  </si>
  <si>
    <t>s2_outline_1</t>
  </si>
  <si>
    <t>3次</t>
  </si>
  <si>
    <t>株式会社角藤</t>
  </si>
  <si>
    <t>事業費 21億円
（補助額） （5.3億円）</t>
  </si>
  <si>
    <t>性を飛躍的に向上させる。
らなる対応
事業費 2 億円
1
力の拡大』・
（補助額） （ 億円）
5.3
を実行する。</t>
  </si>
  <si>
    <t>会社全体の売上成長目標 1,000
2031年1月期までに売上高 億円を目指す
現状売上高 目標売上高 売上高 売上高
単位:百万円
2025年1月期 2031年1月期 増加額 成長率
会社全体 61,887 100,000 38,113 61.6%
うち補助事業 25,572 50,000 24,428 95.5%</t>
  </si>
  <si>
    <t>2025年 618.87億円（PDF明記） / 2031年 1000億円（PDF明記）</t>
  </si>
  <si>
    <t>..\3次4次\seichotoushi_pdfs\outline_1.pdf</t>
  </si>
  <si>
    <t>.\全ページ画像\s2_outline_1.jpg</t>
  </si>
  <si>
    <t>s2_outline_101</t>
  </si>
  <si>
    <t>安藤パラケミー株式会社</t>
  </si>
  <si>
    <t>ANPケミカルズ株式会社</t>
  </si>
  <si>
    <t>会社全体の売上成長目標（～31年）
• 売上高成長率10.4％
• 売上高増加額263億円</t>
  </si>
  <si>
    <t>..\3次4次\seichotoushi_pdfs\outline_101.pdf</t>
  </si>
  <si>
    <t>.\全ページ画像\s2_outline_101.jpg</t>
  </si>
  <si>
    <t>s2_outline_103</t>
  </si>
  <si>
    <t>ベストアメニティ株式会社</t>
  </si>
  <si>
    <t>事業費 51億円
（補助額） （17億円）</t>
  </si>
  <si>
    <t>億5円1
事業費
（ １1６7億円）
（ 補助額）
機能の併設で効率化
高品質保持と廃棄０）</t>
  </si>
  <si>
    <t>会社全体の売上成 目標（ 2 0 3 4 年）
長
• 売上高成 率1 5 0 ％
長
• 売上高増加額1 4 5 億円</t>
  </si>
  <si>
    <t>補助事業頁未判定 / 事業費未解析</t>
  </si>
  <si>
    <t>..\3次4次\seichotoushi_pdfs\outline_103.pdf</t>
  </si>
  <si>
    <t>.\全ページ画像\s2_outline_103.jpg</t>
  </si>
  <si>
    <t>s2_outline_104</t>
  </si>
  <si>
    <t>アイサービス株式会社</t>
  </si>
  <si>
    <t>事業費 82億円
（補助額） （21億円）</t>
  </si>
  <si>
    <t>事業費 82億円
（補助額） （21億円）
大を目指す。
、新たな付加価値を生み出す。</t>
  </si>
  <si>
    <t>事業費 億円
82
。
（補助額） （2 億円）
1
率化と事業拡大を目指す。
質摂取強化等、新たな付加価値を生み出す。
国内物流コストを効率化する。</t>
  </si>
  <si>
    <t>会社全体の売上成長目標（2023～2030年度）
売上高成長率：233％
売上高増加額：＋123億円</t>
  </si>
  <si>
    <t>..\3次4次\seichotoushi_pdfs\outline_104.pdf</t>
  </si>
  <si>
    <t>.\全ページ画像\s2_outline_104.jpg</t>
  </si>
  <si>
    <t>s2_outline_105</t>
  </si>
  <si>
    <t>株式会社シード</t>
  </si>
  <si>
    <t>事業費 127億円
（補助額） （41億円）</t>
  </si>
  <si>
    <t>事業費 億円
127
（補助額） （4 億円）
1</t>
  </si>
  <si>
    <t>会社全体の売上成長目標（～31年）
• 売上高成長率6.0％
• 売上高増加額151億円</t>
  </si>
  <si>
    <t>..\3次4次\seichotoushi_pdfs\outline_105.pdf</t>
  </si>
  <si>
    <t>.\全ページ画像\s2_outline_105.jpg</t>
  </si>
  <si>
    <t>s2_outline_106</t>
  </si>
  <si>
    <t>河淳株式会社</t>
  </si>
  <si>
    <t>事業費 85億円
（補助額） （23億円）</t>
  </si>
  <si>
    <t>事業費 85億円
(補助額) (23億円)</t>
  </si>
  <si>
    <t>舗展開によ
を大幅に向上
事業費
85億円
環境を改善し
(補助額) (23億円)
増加を推進
。
の収容力と高い耐震性を備え、ゆとりのトラックバース配
活性化にも寄与します。</t>
  </si>
  <si>
    <t>会社全体の売上成⾧目標（～2030年）
• 売上高成⾧率 +39.6％
• 売上高増加額 304億円</t>
  </si>
  <si>
    <t>..\3次4次\seichotoushi_pdfs\outline_106.pdf</t>
  </si>
  <si>
    <t>.\全ページ画像\s2_outline_106.jpg</t>
  </si>
  <si>
    <t>s2_outline_108</t>
  </si>
  <si>
    <t>株式会社丸杉</t>
  </si>
  <si>
    <t>事業費 12億円
（補助額） （3.9億円）</t>
  </si>
  <si>
    <t>事業費 12億円
（補助額） （3.9億円）
EMS・太陽光・蓄電設備）
マッチングシステム）</t>
  </si>
  <si>
    <t>次世代鋼材 事業費 12億円
（補助額） （3.9億円）
する基盤とする
サー、アンドン、EMS・太陽光・蓄電設備）
テム、地域連携マッチングシステム）
内製加工体制を整備し、生産能力1.5倍に
・歩数の定量把握により、物流効率を向上</t>
  </si>
  <si>
    <t>会社全体の売上成長目標（～2030年）
• 売上高目標 1,693億円
• 会社全体の売上高成長率 49.4％
• 会社全体の売上高増加額 857億円</t>
  </si>
  <si>
    <t>2030年 1693億円（PDF明記）</t>
  </si>
  <si>
    <t>..\3次4次\seichotoushi_pdfs\outline_108.pdf</t>
  </si>
  <si>
    <t>.\全ページ画像\s2_outline_108.jpg</t>
  </si>
  <si>
    <t>s2_outline_109</t>
  </si>
  <si>
    <t>株式会社ヤマイシ</t>
  </si>
  <si>
    <t>事業費 26億円
（補助額） （7.7億円）</t>
  </si>
  <si>
    <t>事業費 2 億円
6
（補助額） （7.7億円）
生産性向上</t>
  </si>
  <si>
    <t>会社全体の売上成長目標（～31年）
• 売上高成長率10％
• 売上高増加額123億円</t>
  </si>
  <si>
    <t>..\3次4次\seichotoushi_pdfs\outline_109.pdf</t>
  </si>
  <si>
    <t>.\全ページ画像\s2_outline_109.jpg</t>
  </si>
  <si>
    <t>s2_outline_11</t>
  </si>
  <si>
    <t>たまご＆ファーマーズ株式会社</t>
  </si>
  <si>
    <t>事業費 75億円
（補助額） （25億円）</t>
  </si>
  <si>
    <t>75億円
事業費
（25億円）
（補助額）
建屋改装。
接しており、規
として集約し、</t>
  </si>
  <si>
    <t>会社全体の売上成長目標（直近決算～2031年）
• 売上高成長率9.6％
• 売上高増加額324億円
（25年1月期442億/31年1月期767億）</t>
  </si>
  <si>
    <t>..\3次4次\seichotoushi_pdfs\outline_11.pdf</t>
  </si>
  <si>
    <t>.\全ページ画像\s2_outline_11.jpg</t>
  </si>
  <si>
    <t>s2_outline_110</t>
  </si>
  <si>
    <t>学校法人花沢学園</t>
  </si>
  <si>
    <t>事業費 29億円
（補助額） （6.8億円）</t>
  </si>
  <si>
    <t>性が高まって 事業費 29億円
育成する。 （補助額） （6.8億円）</t>
  </si>
  <si>
    <t>会社全体の売上成⾧目標（～30年）
• 売上高成⾧率110％
• 売上高増加額14億円</t>
  </si>
  <si>
    <t>..\3次4次\seichotoushi_pdfs\outline_110.pdf</t>
  </si>
  <si>
    <t>.\全ページ画像\s2_outline_110.jpg</t>
  </si>
  <si>
    <t>s2_outline_12</t>
  </si>
  <si>
    <t>株式会社フルサワ</t>
  </si>
  <si>
    <t>事業費 43億円
（補助額） （14億円）
ーラクレーン
ヘル社製）</t>
  </si>
  <si>
    <t>働生産性 事業費 43億円
指す （補助額） （14億円）
1350tクローラクレーン
（リープヘル社製）</t>
  </si>
  <si>
    <t>会社全体の売上成長目標（2024-2029/12期）
• 売上高成長率：208％
• 売上高増加額：+40億円</t>
  </si>
  <si>
    <t>..\3次4次\seichotoushi_pdfs\outline_12.pdf</t>
  </si>
  <si>
    <t>.\全ページ画像\s2_outline_12.jpg</t>
  </si>
  <si>
    <t>s2_outline_123</t>
  </si>
  <si>
    <t>東洋ケアサービス株式会社</t>
  </si>
  <si>
    <t>ESキッチン株式会社</t>
  </si>
  <si>
    <t>事業費 22億円
（補助額） （6.7億円）</t>
  </si>
  <si>
    <t>事業費 2 億円
2
（補助額） （6.7億円）
未来型工場）</t>
  </si>
  <si>
    <t>会社全体の売上成長目標（〜30年）
• 売上高成長率30.3％
• 売上高増加額80億円</t>
  </si>
  <si>
    <t>..\3次4次\seichotoushi_pdfs\outline_123.pdf</t>
  </si>
  <si>
    <t>.\全ページ画像\s2_outline_123.jpg</t>
  </si>
  <si>
    <t>s2_outline_128</t>
  </si>
  <si>
    <t>株式会社タカラ倉庫運輸サービス</t>
  </si>
  <si>
    <t>株式会社タカラグループ</t>
  </si>
  <si>
    <t>事業費 46億円
（補助額）（14億円）</t>
  </si>
  <si>
    <t>変化する物 事業費 46億円
デルを構築。 （補助額） （14億円）</t>
  </si>
  <si>
    <t>売上成⾧目標［コンソーシアム］
会社全体の売上成⾧目標（2024年8月期／2031年8月期）
・売上高成⾧率 215.6％
・売上高増加額 73.5億円</t>
  </si>
  <si>
    <t>..\3次4次\seichotoushi_pdfs\outline_128.pdf</t>
  </si>
  <si>
    <t>.\全ページ画像\s2_outline_128.jpg</t>
  </si>
  <si>
    <t>s2_outline_13</t>
  </si>
  <si>
    <t>フジセイコー株式会社</t>
  </si>
  <si>
    <t>事業費 16億円
（補助額） （5.0億円）</t>
  </si>
  <si>
    <t>事業費
（補助額） 16億円
（5.0億円）</t>
  </si>
  <si>
    <t>要拡大が予
事業費
る。 （補助額） 1 6 億円
すことにより、 （5. 0 億円）
く。
備を導入する。</t>
  </si>
  <si>
    <t>売上成長目標
• 2029年度までに会社全体の売上高成長率195％
2029年度までに会社全体の売上高増加額23億円
2023年度売上高11.8億円 → 2029年度売上高35億円
•</t>
  </si>
  <si>
    <t>2029年 23億円（PDF明記） / 2029年 11.8億円（PDF明記）</t>
  </si>
  <si>
    <t>..\3次4次\seichotoushi_pdfs\outline_13.pdf</t>
  </si>
  <si>
    <t>.\全ページ画像\s2_outline_13.jpg</t>
  </si>
  <si>
    <t>s2_outline_14</t>
  </si>
  <si>
    <t>スギムラ化学工業株式会社</t>
  </si>
  <si>
    <t>事業費 47億円
（補助額） （12億円）</t>
  </si>
  <si>
    <t>事業費 47億円
（補助額） （12億円）
発生を抑制する。</t>
  </si>
  <si>
    <t>築し、柔軟で 事業費 億円
47
る。 （補助額） （1 億円）
2
する。
時間や不良の発生を抑制する。
油などの量産に対応可能となる。
大と利益率の改善が期待される。</t>
  </si>
  <si>
    <t>会社全体の売上成長目標（～2031年）
• 売上高成長率178.6％
• 売上高増加額114億円（2031年売上高：259億円）</t>
  </si>
  <si>
    <t>2031年 259億円（PDF明記）</t>
  </si>
  <si>
    <t>..\3次4次\seichotoushi_pdfs\outline_14.pdf</t>
  </si>
  <si>
    <t>.\全ページ画像\s2_outline_14.jpg</t>
  </si>
  <si>
    <t>s2_outline_140</t>
  </si>
  <si>
    <t>都吹株式会社</t>
  </si>
  <si>
    <t>事業費 32億円
（補助額） （10億円）</t>
  </si>
  <si>
    <t>事業費 32億円
（補助額） (10億円)
フリーザー</t>
  </si>
  <si>
    <t>(＝賃上げ実施)に繋がる
産性 事業費 3 億円
2
を実現 （補助額） (1 億円)
0
乳抽出設備 フリーザー
※ 一部の機械</t>
  </si>
  <si>
    <t>会社全体の売上成長目標
※基準年度～事業化報告3年
• 年平均売上高成長率 16.89％
• 売上高増加額 45億円</t>
  </si>
  <si>
    <t>..\3次4次\seichotoushi_pdfs\outline_140.pdf</t>
  </si>
  <si>
    <t>.\全ページ画像\s2_outline_140.jpg</t>
  </si>
  <si>
    <t>s2_outline_15</t>
  </si>
  <si>
    <t>賀谷セロファン株式会社</t>
  </si>
  <si>
    <t>事業費 31億円
（補助額） （7.5億円）</t>
  </si>
  <si>
    <t>事業費 31億円
（補助額） （7.5億円）
ド製袋機</t>
  </si>
  <si>
    <t>製品の開発・
へ変革する。
事業費 3 億円
ヤー」では、 1
（補助額） （ 億円）
7.5
造体制を構
スタンド製袋機
円</t>
  </si>
  <si>
    <t>会社全体の売上成長目標（～2030年）
会社全体の売上成長目標（～XX年）
• 売上高成長率17.1％
• 売上高成長率XX％
• 売上高増加額27.8億円
• 売上高増加額XX億円</t>
  </si>
  <si>
    <t>..\3次4次\seichotoushi_pdfs\outline_15.pdf</t>
  </si>
  <si>
    <t>.\全ページ画像\s2_outline_15.jpg</t>
  </si>
  <si>
    <t>s2_outline_151</t>
  </si>
  <si>
    <t>株式会社清水インダストリ－</t>
  </si>
  <si>
    <t>事業費 15億円
（補助額） （4.8億円）
メージ】</t>
  </si>
  <si>
    <t>の2点である。
るウッドチップ
事業費 15億円
から、本事
（補助額） （ 億円）
4.8
需要が高
する。
【完成イメージ】
る。</t>
  </si>
  <si>
    <t>会社全体の売上成長目標（～2030年4月期）
• 売上高成長率159.5％
• 売上高増加額23億円</t>
  </si>
  <si>
    <t>..\3次4次\seichotoushi_pdfs\outline_151.pdf</t>
  </si>
  <si>
    <t>.\全ページ画像\s2_outline_151.jpg</t>
  </si>
  <si>
    <t>s2_outline_16</t>
  </si>
  <si>
    <t>株式会社ヤマキ</t>
  </si>
  <si>
    <t>替えているた
事業費 41 億円
（補助額） （13億円）
化する。
ｔで、仕上げ
0ｔ向上でき
生産性向上
備増設により生産能力向上で売上拡大</t>
  </si>
  <si>
    <t>会社全体の売上成長目標（2030年度）
• 売上高成長率75％
• 売上高増加額37.5億円</t>
  </si>
  <si>
    <t>..\3次4次\seichotoushi_pdfs\outline_16.pdf</t>
  </si>
  <si>
    <t>.\全ページ画像\s2_outline_16.jpg</t>
  </si>
  <si>
    <t>s2_outline_17</t>
  </si>
  <si>
    <t>日生流通運輸倉庫株式会社</t>
  </si>
  <si>
    <t>事業費 81億円
（補助額） （17億円）</t>
  </si>
  <si>
    <t>事業費 81億円
（補助額） (17億円)
頁以降で詳細記載）
施設特徴</t>
  </si>
  <si>
    <t>ラットフォー 81億円
事業費
（補助額） ( )
17億円
の適正な
設備概要（次頁以降で詳細記載）
施設特徴
床面積：約9,000㎡
輸配送・倉庫管理・入退室管理・温度管理システム</t>
  </si>
  <si>
    <t>売上成長目標
売上高(実績) 24/5期比 売上高成長率
売上高(見込)
163%
売上高(計画) 152%
139%
108%
（十億円） 100% 102% 101% 102%
13.8
14 12.9
11.8
12
9.2
10 8.2 8.5 8.6 8.6 8.7
7.8
8
6
4
22/5期 23/5期 24/5期 25/5期 26/5期 27/5期 28/5期 29/5期 30/5期 31/5期
長期成長ビジョンの実現に向け、’31/5期までに全社で以下成長を目指します
➢
売上高成長率163%、売上高増加額+53億円</t>
  </si>
  <si>
    <t>..\3次4次\seichotoushi_pdfs\outline_17.pdf</t>
  </si>
  <si>
    <t>.\全ページ画像\s2_outline_17.jpg</t>
  </si>
  <si>
    <t>s2_outline_173</t>
  </si>
  <si>
    <t>栄屋乳業株式会社</t>
  </si>
  <si>
    <t>事業費 61億円
（補助額） （20億円）</t>
  </si>
  <si>
    <t>クラップ＆ビルト
億円
事業費 61
（ 億円）
（補助額） 20
事業とする。</t>
  </si>
  <si>
    <t>会社全体の売上成長目標（直近決算～2031年）
• 売上高成長率+155％
• 売上高増加額：129億円➨329億円 ＋200億円</t>
  </si>
  <si>
    <t>..\3次4次\seichotoushi_pdfs\outline_173.pdf</t>
  </si>
  <si>
    <t>.\全ページ画像\s2_outline_173.jpg</t>
  </si>
  <si>
    <t>s2_outline_18</t>
  </si>
  <si>
    <t>DOWAパワーデバイス株式会社</t>
  </si>
  <si>
    <t>いることから
、当社の
事業費 億円
売上高 46
（補助額） （ 14 億円）
な賃金改
貢献を行
D
18年4月竣工) C</t>
  </si>
  <si>
    <t>会社全体の売上成長目標（～2030年度）
• 売上高成長率246％
• 売上高増加額92億円</t>
  </si>
  <si>
    <t>..\3次4次\seichotoushi_pdfs\outline_18.pdf</t>
  </si>
  <si>
    <t>.\全ページ画像\s2_outline_18.jpg</t>
  </si>
  <si>
    <t>s2_outline_185</t>
  </si>
  <si>
    <t>三日月興業株式会社</t>
  </si>
  <si>
    <t>事業費 11億円
（補助額） （2.8億円）</t>
  </si>
  <si>
    <t>事業費 11億円
（補助額）（2.8億円）
コンセプトイメージ</t>
  </si>
  <si>
    <t>が顕在化
では」の高付加 事業費 11億円
（補助額）（2.8億円）
コンセプトイメージ</t>
  </si>
  <si>
    <t>会社全体の売上成長目標（2025/3～2030/3）
• 売上高成長率+179％（2.79倍）、売上高増加額11.7億円</t>
  </si>
  <si>
    <t>..\3次4次\seichotoushi_pdfs\outline_185.pdf</t>
  </si>
  <si>
    <t>.\全ページ画像\s2_outline_185.jpg</t>
  </si>
  <si>
    <t>s2_outline_186</t>
  </si>
  <si>
    <t>株式会社PXP</t>
  </si>
  <si>
    <t>事業費 37億円
（補助額） （9.6億円）</t>
  </si>
  <si>
    <t>2MW/年) 事業費 億円
37
（補助額） （9.6億円）</t>
  </si>
  <si>
    <t>会社全体の売上成長目標（～2030年）
• 売上高成長率333倍（vs直前確定決算期）
• 売上高増加額235億円（同上）
※本件はR&amp;Dフェーズから量産化に進む為の投資であり、既存数値と
比べて上昇幅は大きい</t>
  </si>
  <si>
    <t>..\3次4次\seichotoushi_pdfs\outline_186.pdf</t>
  </si>
  <si>
    <t>.\全ページ画像\s2_outline_186.jpg</t>
  </si>
  <si>
    <t>s2_outline_188</t>
  </si>
  <si>
    <t>株式会社ユビタス</t>
  </si>
  <si>
    <t>事業費 176億円
（補助額） （50億円）</t>
  </si>
  <si>
    <t>事業費 176億円
（補助額） （50億円）
の確立</t>
  </si>
  <si>
    <t>不足 事業費 億円
176
（補助額） （50億円）
PU供給体制の確立</t>
  </si>
  <si>
    <t>会社全体の売上成長目標（～30年）
• 売上高成長率42％
• 売上高増加額159億円</t>
  </si>
  <si>
    <t>..\3次4次\seichotoushi_pdfs\outline_188.pdf</t>
  </si>
  <si>
    <t>.\全ページ画像\s2_outline_188.jpg</t>
  </si>
  <si>
    <t>s2_outline_19</t>
  </si>
  <si>
    <t>株式会社高木製作所</t>
  </si>
  <si>
    <t>株式会社高木運輸</t>
  </si>
  <si>
    <t>事業費 94億円
（補助額） （23億円）</t>
  </si>
  <si>
    <t>会社全体の売上成⾧目標（2030年まで）
・売上高成⾧率 168%
・売上高増加額 304億円</t>
  </si>
  <si>
    <t>..\3次4次\seichotoushi_pdfs\outline_19.pdf</t>
  </si>
  <si>
    <t>.\全ページ画像\s2_outline_19.jpg</t>
  </si>
  <si>
    <t>s2_outline_190</t>
  </si>
  <si>
    <t>伊藤光学工業株式会社</t>
  </si>
  <si>
    <t>事業費 47億円
（補助額） （15億円）</t>
  </si>
  <si>
    <t>産能力増強。 事業費 億円
47
（補助額） （1 億円）
5</t>
  </si>
  <si>
    <t>会社全体の売上成長目標（～31年度）
• 売上高成長率103％
• 売上高増加額65.9億円</t>
  </si>
  <si>
    <t>..\3次4次\seichotoushi_pdfs\outline_190.pdf</t>
  </si>
  <si>
    <t>.\全ページ画像\s2_outline_190.jpg</t>
  </si>
  <si>
    <t>s2_outline_197</t>
  </si>
  <si>
    <t>株式会社ファイン</t>
  </si>
  <si>
    <t>オール薬品工業株式会社</t>
  </si>
  <si>
    <t>36億円
事業費
(11億円)
（補助額）
＊2社合計額</t>
  </si>
  <si>
    <t>ている)。
36億円
事業費
(11億円)
（補助額）
医薬品の製 ＊2社合計額
資】
工業が担う。</t>
  </si>
  <si>
    <t>会社全体の売上目標(直近期～2031/3期*） ㈱ファイン オール薬品工業㈱
売上高成長率 +273％ +678％
売上高増加額 +127億円 +44億円</t>
  </si>
  <si>
    <t>..\3次4次\seichotoushi_pdfs\outline_197.pdf</t>
  </si>
  <si>
    <t>.\全ページ画像\s2_outline_197.jpg</t>
  </si>
  <si>
    <t>s2_outline_2</t>
  </si>
  <si>
    <t>ガイア株式会社</t>
  </si>
  <si>
    <t>事業費 50億円
（補助額） （17億円）</t>
  </si>
  <si>
    <t>まろやかな水
事業費 50億円
分配。
（補助額） （17億円）</t>
  </si>
  <si>
    <t>競走馬育成事業 強い馬の活躍
会社全体の売上成長目標(～2029年度)売上成長目標（2024年度比）
• 2029年度までの会社全体の売上高年平均成長率35.6％
• 2029年度までの会社全体の売上高増加額57億円を目指す。
• 新事業のみのため2024年比較は割愛。2027年度比で149%を目指す。</t>
  </si>
  <si>
    <t>..\3次4次\seichotoushi_pdfs\outline_2.pdf</t>
  </si>
  <si>
    <t>.\全ページ画像\s2_outline_2.jpg</t>
  </si>
  <si>
    <t>s2_outline_205</t>
  </si>
  <si>
    <t>八戸酒造株式会社</t>
  </si>
  <si>
    <t>事業費 26億円
（補助額） （6.5億円）</t>
  </si>
  <si>
    <t>放する。
事業費 26億円
から、現在の
（補助額） （ . 億円）
6 5
可欠である。
い。</t>
  </si>
  <si>
    <t>会社全体の売上成長目標（～2030年度）
• 売上高 16.4億円
• 売上高成長率 14.28％（2030年度）
• 売上高増加額 7.1億円</t>
  </si>
  <si>
    <t>2030年 16.4億円（PDF明記）</t>
  </si>
  <si>
    <t>..\3次4次\seichotoushi_pdfs\outline_205.pdf</t>
  </si>
  <si>
    <t>.\全ページ画像\s2_outline_205.jpg</t>
  </si>
  <si>
    <t>s2_outline_209</t>
  </si>
  <si>
    <t>株式会社ファーストダウン</t>
  </si>
  <si>
    <t>事業費 31億円
（補助額） （10億円）</t>
  </si>
  <si>
    <t>事業費 31億円
（補助額） （10億円）
自動脱水機</t>
  </si>
  <si>
    <t>事業費 3 億円
1
（補助額） （1 億円）
0
自動計量器 自動脱水機</t>
  </si>
  <si>
    <t>会社全体の売上成長目標（～2031年）
• 2031年までに売上高成長率267%
• 2031年までに売上高増加額は9,380億円
※最新事業年度比較（24/8期 56億円⇒ 31/8期 150億円）</t>
  </si>
  <si>
    <t>2031年 9380億円（PDF明記） / 2031年 56億円（PDF明記）</t>
  </si>
  <si>
    <t>..\3次4次\seichotoushi_pdfs\outline_209.pdf</t>
  </si>
  <si>
    <t>.\全ページ画像\s2_outline_209.jpg</t>
  </si>
  <si>
    <t>s2_outline_21</t>
  </si>
  <si>
    <t>健栄製薬株式会社</t>
  </si>
  <si>
    <t>事業費 117億円
（補助額） （35億円）</t>
  </si>
  <si>
    <t>の改善を実現する
拡大に対応 事業費 1 億円
17
（補助額） （35億円）
後発医薬品
十三第二工場(新工場)イメージ</t>
  </si>
  <si>
    <t>会社全体の売上成長目標（2023年度～2030年度）
• 売上高成長率7.8％
• 売上高増加額186億円
会社全体の年平均</t>
  </si>
  <si>
    <t>..\3次4次\seichotoushi_pdfs\outline_21.pdf</t>
  </si>
  <si>
    <t>.\全ページ画像\s2_outline_21.jpg</t>
  </si>
  <si>
    <t>s2_outline_212</t>
  </si>
  <si>
    <t>キングパーツ株式会社</t>
  </si>
  <si>
    <t>事業費
（補助額）
っている
34億円
（11億円）
赤枠内が
本社・鋳造工場</t>
  </si>
  <si>
    <t>会社全体の売上成長目標（2023～2030年度）
売上高成長率︓219％
売上高増加額︓＋53億円</t>
  </si>
  <si>
    <t>..\3次4次\seichotoushi_pdfs\outline_212.pdf</t>
  </si>
  <si>
    <t>.\全ページ画像\s2_outline_212.jpg</t>
  </si>
  <si>
    <t>s2_outline_214</t>
  </si>
  <si>
    <t>株式会社 八天堂</t>
  </si>
  <si>
    <t>事業費 26億円
（補助額） （8.3億円）</t>
  </si>
  <si>
    <t>事業費 26億円
（8.3億円）
（補助額）
島県三原市本郷町善入寺</t>
  </si>
  <si>
    <t>界
2 億円
須 事業費 6
（8.3億円）
（補助額）
2000
実施場所：広島県三原市本郷町善入寺
空の駅 ORCHARD 新工場
八天堂ビレッジ
りんくう保育園</t>
  </si>
  <si>
    <t>2030年度
2027年度
125億円
直近決算 66億円
2023年
46億円
売上高年平均成長率23.53％（23-30年度）
会社全体の売上成長目標（2023～2030年度）
売上高成長率：273％
売上高増加額：＋79億円</t>
  </si>
  <si>
    <t>2030年 125億円（PDF明記） / 2027年 66億円（PDF明記）</t>
  </si>
  <si>
    <t>..\3次4次\seichotoushi_pdfs\outline_214.pdf</t>
  </si>
  <si>
    <t>.\全ページ画像\s2_outline_214.jpg</t>
  </si>
  <si>
    <t>s2_outline_215</t>
  </si>
  <si>
    <t>昭和化工株式会社</t>
  </si>
  <si>
    <t>事業費 112億円
（補助額） （18億円）</t>
  </si>
  <si>
    <t>課題感 事業費 億円
112
題感 （補助額） （ 億円）
18
た工程を内</t>
  </si>
  <si>
    <t>会社全体の売上成長目標（～2031年3月度）
• 売上高成長率+98％
• 売上高増加額107億円</t>
  </si>
  <si>
    <t>..\3次4次\seichotoushi_pdfs\outline_215.pdf</t>
  </si>
  <si>
    <t>.\全ページ画像\s2_outline_215.jpg</t>
  </si>
  <si>
    <t>s2_outline_216</t>
  </si>
  <si>
    <t>中本Fine Pack株式会社</t>
  </si>
  <si>
    <t>事業費 35億円
（補助額） （9.7億円）</t>
  </si>
  <si>
    <t>事業費 35億円
（補助額） (9.7億円)</t>
  </si>
  <si>
    <t>後の事業展開 事業費 35億円
（補助額） (9. 億円)
7
押出成形機(例)
真空圧空成形機(例) 段ボール積込装置(例)</t>
  </si>
  <si>
    <t>会社全体の売上成長目標（～2030年12月期）
• 売上高成長率 17.01％
• 売上高増加額 33.45億円</t>
  </si>
  <si>
    <t>..\3次4次\seichotoushi_pdfs\outline_216.pdf</t>
  </si>
  <si>
    <t>.\全ページ画像\s2_outline_216.jpg</t>
  </si>
  <si>
    <t>s2_outline_22</t>
  </si>
  <si>
    <t>味覚糖株式会社</t>
  </si>
  <si>
    <t>事業費 117億円
（補助額） （39億円）</t>
  </si>
  <si>
    <t>に大規模
ることで生 事業費 11 7 億円
する。 （補助額） （3 9 億円）</t>
  </si>
  <si>
    <t>味覚糖（株）全体の売上成長目標（直近事業年度～2030年9月）
売上高成長率197.3％
売上高増加額305.8億円（75期314.2億→81期620億）
味覚糖（株）</t>
  </si>
  <si>
    <t>..\3次4次\seichotoushi_pdfs\outline_22.pdf</t>
  </si>
  <si>
    <t>.\全ページ画像\s2_outline_22.jpg</t>
  </si>
  <si>
    <t>s2_outline_229</t>
  </si>
  <si>
    <t>オーディエー株式会社</t>
  </si>
  <si>
    <t>事業費 31億円
（補助額） （10億円）
自動倉庫</t>
  </si>
  <si>
    <t>省力化・省人 事業費 31億円
（補助額） （10億円）
自動倉庫</t>
  </si>
  <si>
    <t>トとして公開。業界全体の効率化・デジタル化を促進する。
会社全体の売上成長目標（～30/7期）
• 売上高成長率+85％（直近決算期比）
• 売上高増加額+101億円（直近決算期比）</t>
  </si>
  <si>
    <t>..\3次4次\seichotoushi_pdfs\outline_229.pdf</t>
  </si>
  <si>
    <t>.\全ページ画像\s2_outline_229.jpg</t>
  </si>
  <si>
    <t>s2_outline_23</t>
  </si>
  <si>
    <t>大和鋼業株式会社</t>
  </si>
  <si>
    <t>事業費 39億円
(補助額） (12億円）
ザー切断機</t>
  </si>
  <si>
    <t>流問題） 事業費 億円
39
(補助額） (1 億円）
2
ファイバーレーザー切断機</t>
  </si>
  <si>
    <t>会社全体の売上成長目標(～2030年度）
• 売上高成長率+59.8％
• 売上高増加額+47.8億円</t>
  </si>
  <si>
    <t>..\3次4次\seichotoushi_pdfs\outline_23.pdf</t>
  </si>
  <si>
    <t>.\全ページ画像\s2_outline_23.jpg</t>
  </si>
  <si>
    <t>s2_outline_232</t>
  </si>
  <si>
    <t>株式会社モリシタ</t>
  </si>
  <si>
    <t>株式会社ホワイトフォックス</t>
  </si>
  <si>
    <t>事業費 18億円
（補助額） （4.4億円）</t>
  </si>
  <si>
    <t>18億円
事業費
（補助額） （4.4億円）</t>
  </si>
  <si>
    <t>備の新設と物 18億円
事業費
体制構築と
（4.4億円）
（補助額）
成イメージ図】</t>
  </si>
  <si>
    <t>コンソーシアム全体の売上成長目標
（2023～2030年度）
• 売上高成長率 301％ コンソーシアム形式各社の合計数値
• 売上高増加額 43億円
コンソーシアム全体の</t>
  </si>
  <si>
    <t>..\3次4次\seichotoushi_pdfs\outline_232.pdf</t>
  </si>
  <si>
    <t>.\全ページ画像\s2_outline_232.jpg</t>
  </si>
  <si>
    <t>s2_outline_234</t>
  </si>
  <si>
    <t>日本エア・リキード合同会社</t>
  </si>
  <si>
    <t>事業費 203億円
（補助額） （50億円）</t>
  </si>
  <si>
    <t>を用いて増 事業費 億円
203
（補助額） （50億円）
空気分離装置</t>
  </si>
  <si>
    <t>会社全体の売上成長目標（～2030年）
• 売上高成長率年93.0%(2024年度比)
• 売上高増加額1,022億円(2024年度比)</t>
  </si>
  <si>
    <t>..\3次4次\seichotoushi_pdfs\outline_234.pdf</t>
  </si>
  <si>
    <t>.\全ページ画像\s2_outline_234.jpg</t>
  </si>
  <si>
    <t>s2_outline_24</t>
  </si>
  <si>
    <t>高知食糧株式会社</t>
  </si>
  <si>
    <t>事業費 17億円
（補助額） （5.4億円）</t>
  </si>
  <si>
    <t>力化を図
事業費 17億円
付加価値
（補助額） （5.4億円）
データを
的。</t>
  </si>
  <si>
    <t>会社全体の売上成⾧目標（2035年）
売上高:２００億円企業をめざす
• 売上高成⾧率: 8.9％
• 売上高増加額:126億円</t>
  </si>
  <si>
    <t>2035年 200億円（PDF明記）</t>
  </si>
  <si>
    <t>..\3次4次\seichotoushi_pdfs\outline_24.pdf</t>
  </si>
  <si>
    <t>.\全ページ画像\s2_outline_24.jpg</t>
  </si>
  <si>
    <t>s2_outline_25</t>
  </si>
  <si>
    <t>有限会社ホテル十勝屋</t>
  </si>
  <si>
    <t>ある
事業費 5億円
4
広中心
（補助額） （1 億円）
3
。</t>
  </si>
  <si>
    <t>会社全体の売上成長目標（2030年度）
• 売上高成長率280.3％
• 売上高増加額35.6億円</t>
  </si>
  <si>
    <t>..\3次4次\seichotoushi_pdfs\outline_25.pdf</t>
  </si>
  <si>
    <t>.\全ページ画像\s2_outline_25.jpg</t>
  </si>
  <si>
    <t>s2_outline_26</t>
  </si>
  <si>
    <t>株式会社ティーケーシン</t>
  </si>
  <si>
    <t>事業費 21億円
（補助額） （5.0億円）</t>
  </si>
  <si>
    <t>事業費
（補助額）
21億円
（5.0億円）</t>
  </si>
  <si>
    <t>業としての持 事業費
（補助額）
ホテル・百貨
られていない 億円
21
（5.0億円）
の負担を減ら</t>
  </si>
  <si>
    <t>会社全体の売上成長目標（2030年4月期：売上目標112億円）
• 売上高成長率：16.3％
• 売上高増加額（2025年4月期から2030年4月期）：+50.6億円</t>
  </si>
  <si>
    <t>2030年 112億円（PDF明記） / 2030年 50.6億円（PDF明記）</t>
  </si>
  <si>
    <t>..\3次4次\seichotoushi_pdfs\outline_26.pdf</t>
  </si>
  <si>
    <t>.\全ページ画像\s2_outline_26.jpg</t>
  </si>
  <si>
    <t>s2_outline_27</t>
  </si>
  <si>
    <t>株式会社ライト製作所</t>
  </si>
  <si>
    <t>株式会社青森ライト
株式会社東北ライト製作所</t>
  </si>
  <si>
    <t>事業費 66億円
（補助額） （16億円）</t>
  </si>
  <si>
    <t>事業費 66億円
（補助額） （16億円）
新規取引先を含め、高付</t>
  </si>
  <si>
    <t>が深刻
6
事業費 6億円
けでな （補助額）
（16億円）
するとともに、新規取引先を含め、高付</t>
  </si>
  <si>
    <t>精密メカトロニクス技術を強みとし、医療機器・半導体製造装置の発展を通じて、世界の人々の健康と幸福に
貢献し、売上高160億円(現状の2倍)を目指して地域の雇用創出と持続的な賃上げを実現する</t>
  </si>
  <si>
    <t>..\3次4次\seichotoushi_pdfs\outline_27.pdf</t>
  </si>
  <si>
    <t>.\全ページ画像\s2_outline_27.jpg</t>
  </si>
  <si>
    <t>s2_outline_3</t>
  </si>
  <si>
    <t>さくら不動産株式会社</t>
  </si>
  <si>
    <t>The Hakuba Company株式会社</t>
  </si>
  <si>
    <t>事業費 11億円
（補助額） （2.7億円）</t>
  </si>
  <si>
    <t>る地域共生 事業費 11 億円
である。 （補助額） （ 億円）
2.7</t>
  </si>
  <si>
    <t>会社全体の売上成長目標（～2029年度）
• 売上高成長率19.0％（年平均成長率）
• 売上高増加額52.9億円（直近事業年度比285%）
注）直近期～事業化報告最終年度のコンソーシアム合算で記載</t>
  </si>
  <si>
    <t>..\3次4次\seichotoushi_pdfs\outline_3.pdf</t>
  </si>
  <si>
    <t>.\全ページ画像\s2_outline_3.jpg</t>
  </si>
  <si>
    <t>s2_outline_30</t>
  </si>
  <si>
    <t>東洋スクリーン工業株式会社</t>
  </si>
  <si>
    <t>事業費 33億円
（補助額） （9.1億円）</t>
  </si>
  <si>
    <t>事業費 33億円
（補助額） （9.1億円）
工場イメージ</t>
  </si>
  <si>
    <t>事業費 億円
33
（補助額） （9.1億円）
本社兼工場イメージ</t>
  </si>
  <si>
    <t>会社全体の売上成長目標（～2029年）
• 売上高成長率217％（直近事業年度比）
• 売上高増加額38億円（直近事業年度比）</t>
  </si>
  <si>
    <t>..\3次4次\seichotoushi_pdfs\outline_30.pdf</t>
  </si>
  <si>
    <t>.\全ページ画像\s2_outline_30.jpg</t>
  </si>
  <si>
    <t>s2_outline_31</t>
  </si>
  <si>
    <t>アトム株式会社</t>
  </si>
  <si>
    <t>事業費 42億円
（補助額） （12億円）</t>
  </si>
  <si>
    <t>事業費 42億円
（補助額） （12億円）
00坪</t>
  </si>
  <si>
    <t>大に対して、
事業費 億円
42
産性向上を （補助額） （12億円）
坪数：約1,500坪</t>
  </si>
  <si>
    <t>会社全体の売上成長目標（～2030年9月期）
• 売上高年平均成長率14.5％
• 売上高増加額179億円（直近期比）</t>
  </si>
  <si>
    <t>..\3次4次\seichotoushi_pdfs\outline_31.pdf</t>
  </si>
  <si>
    <t>.\全ページ画像\s2_outline_31.jpg</t>
  </si>
  <si>
    <t>s2_outline_32</t>
  </si>
  <si>
    <t>第一物産株式会社</t>
  </si>
  <si>
    <t>事業費 17億円
（補助額） （5.5億円）</t>
  </si>
  <si>
    <t>事業費 17億円
（補助額） （5.5億円）
屋外倉庫</t>
  </si>
  <si>
    <t>ての機能を持たせる。
校に伴う跡地 事業費 17億円
時に図る。 （補助額） （5.5億円）
イメージ】
危険物倉庫 屋外倉庫 既存/体育館
(避難所)</t>
  </si>
  <si>
    <t>会社全体の売上成⾧目標（～31/8期）
• 売上高成⾧率+128.4％（直近決算期比）
• 売上高増加額+53.7億円（直近決算期比）</t>
  </si>
  <si>
    <t>..\3次4次\seichotoushi_pdfs\outline_32.pdf</t>
  </si>
  <si>
    <t>.\全ページ画像\s2_outline_32.jpg</t>
  </si>
  <si>
    <t>s2_outline_33</t>
  </si>
  <si>
    <t>株式会社浪速ポンプ製作所</t>
  </si>
  <si>
    <t>事業費 38億円
（補助額） （8.8億円）</t>
  </si>
  <si>
    <t>効率が低下
事業費 3 億円
8
は世界シェ
（補助額） （ . 億円）
8 8
強化する。</t>
  </si>
  <si>
    <t>会社全体の売上成長目標（基準日～2030年）
• 売上高成長率 20％
• 売上高増加額 84億円</t>
  </si>
  <si>
    <t>..\3次4次\seichotoushi_pdfs\outline_33.pdf</t>
  </si>
  <si>
    <t>.\全ページ画像\s2_outline_33.jpg</t>
  </si>
  <si>
    <t>s2_outline_34</t>
  </si>
  <si>
    <t>フタバ食品株式会社</t>
  </si>
  <si>
    <t>事業費 168億円
（補助額） （50億円）
完成イメージ】</t>
  </si>
  <si>
    <t>る増産対応
ト工場の建設 事業費 168億円
（補助額） （50億円）
る生産性1.7
【完成イメージ】
機能強化
強化</t>
  </si>
  <si>
    <t>売上成長目標（2024年8月期～2030年8月期）
• 売上高成長率 51.4％
• 売上高増加額 118.9億円
(2024/3期 売上高231.1億円に対して、2030/8期 売上高350億円)</t>
  </si>
  <si>
    <t>2024年 118.9億円（PDF明記） / 2030年 231.1億円（PDF明記）</t>
  </si>
  <si>
    <t>..\3次4次\seichotoushi_pdfs\outline_34.pdf</t>
  </si>
  <si>
    <t>.\全ページ画像\s2_outline_34.jpg</t>
  </si>
  <si>
    <t>s2_outline_35</t>
  </si>
  <si>
    <t>株式会社北海道ちぬやファーム</t>
  </si>
  <si>
    <t>ちぬや冷食株式会社</t>
  </si>
  <si>
    <t>事業費 41億円
（補助額） （11億円）</t>
  </si>
  <si>
    <t>に外部倉庫へ
事業費 億円
41
（補助額） （11億円）
を強化し、持
り、一人
スの抑制、 左記の取組によ あたり付加価
値額の大幅向上と、持
続可能な 続的な賃上げ
生産性と働
原資の確保が可能となり、
き方改革の両立を実現する</t>
  </si>
  <si>
    <t>コンソーシアム全体</t>
  </si>
  <si>
    <t>2030年までのコンソーシアム全体：売上高成長率176.8%（直近期比）、売上高増加額261億円（直近期比）</t>
  </si>
  <si>
    <t>..\3次4次\seichotoushi_pdfs\outline_35.pdf</t>
  </si>
  <si>
    <t>.\全ページ画像\s2_outline_35.jpg</t>
  </si>
  <si>
    <t>s2_outline_37</t>
  </si>
  <si>
    <t>ノーラエンジニアリング株式会社</t>
  </si>
  <si>
    <t>東北ノーラ株式会社</t>
  </si>
  <si>
    <t>事業費 17億円
（補助額） （4.8億円）</t>
  </si>
  <si>
    <t>コンソーシアム合計</t>
  </si>
  <si>
    <t>会社全体の売上成長目標（～2030年7月期）
売上高成長率：コンソーシアム合計13.6%
売上高増加額：コンソーシアム合計53億円（2030年7月期 売上高100億円）</t>
  </si>
  <si>
    <t>2030年 100億円（PDF明記）</t>
  </si>
  <si>
    <t>..\3次4次\seichotoushi_pdfs\outline_37.pdf</t>
  </si>
  <si>
    <t>.\全ページ画像\s2_outline_37.jpg</t>
  </si>
  <si>
    <t>s2_outline_39</t>
  </si>
  <si>
    <t>名古屋東部陸運株式会社</t>
  </si>
  <si>
    <t>事業費 65億円
（補助額） （21億円）</t>
  </si>
  <si>
    <t>事業費 65億円
（補助額） （21億円）
て活用する。
して作業進捗を可視化する。</t>
  </si>
  <si>
    <t>・出荷機能を 事業費 65億円
（補助額） （21億円）
棟を建設する。
営業倉庫として活用する。
システムを導入して作業進捗を可視化する。
の柔軟性が向上する。
削減し運行効率が向上する。これにより省人
を確立する。</t>
  </si>
  <si>
    <t>会社全体の売上成長目標（2027年～2031年）
• 売上高成長率14.8％
• 売上高増加額190億円（2031年売上高：453億円）</t>
  </si>
  <si>
    <t>2031年 453億円（PDF明記）</t>
  </si>
  <si>
    <t>..\3次4次\seichotoushi_pdfs\outline_39.pdf</t>
  </si>
  <si>
    <t>.\全ページ画像\s2_outline_39.jpg</t>
  </si>
  <si>
    <t>s2_outline_40</t>
  </si>
  <si>
    <t>株式会社英楽</t>
  </si>
  <si>
    <t>事業費 19億円
（補助額） （6.3億円）</t>
  </si>
  <si>
    <t>事業費 19億円
（補助額） （6.3億円）
新工場建設予定地</t>
  </si>
  <si>
    <t>縮や食品ロス
事業費 19億円
、作業員不
（補助額） （6.3億円）
る。
新工場建設予定地
金額
9.0億円</t>
  </si>
  <si>
    <t>会社全体の売上成長目標
（2024年4月期～2030年4月期）
• 売上高成長率 +433.8％
• 売上高増加額 31.9億円</t>
  </si>
  <si>
    <t>..\3次4次\seichotoushi_pdfs\outline_40.pdf</t>
  </si>
  <si>
    <t>.\全ページ画像\s2_outline_40.jpg</t>
  </si>
  <si>
    <t>s2_outline_41</t>
  </si>
  <si>
    <t>藤本化学製品株式会社</t>
  </si>
  <si>
    <t>事業費 142億円
（補助額） （46億円）</t>
  </si>
  <si>
    <t>ためには新工 事業費 142億円
。 （補助額） （46億円）</t>
  </si>
  <si>
    <t>会社全体の売上成長目標（～2035年）
• 当社は2035年度に売上高500億円を目指す。
• これに向けて、2035年度では直近決算期比で売上高増加
率+169％、売上高増加額314億円を達成する。</t>
  </si>
  <si>
    <t>2035年 500億円（PDF明記）</t>
  </si>
  <si>
    <t>..\3次4次\seichotoushi_pdfs\outline_41.pdf</t>
  </si>
  <si>
    <t>.\全ページ画像\s2_outline_41.jpg</t>
  </si>
  <si>
    <t>s2_outline_42</t>
  </si>
  <si>
    <t>中央製乳株式会社</t>
  </si>
  <si>
    <t>事業費 66億円
（補助額） （15億円）</t>
  </si>
  <si>
    <t>事業費 66億円
（補助額） （15億円）
既存工場 新工場</t>
  </si>
  <si>
    <t>事業費 億円
66
する （補助額） （ 億円）
15
既存工場 新工場</t>
  </si>
  <si>
    <t>会社全体の売上成長目標（～2030年）
• 売上高成長率：57％
• 売上高増加額：54億円</t>
  </si>
  <si>
    <t>..\3次4次\seichotoushi_pdfs\outline_42.pdf</t>
  </si>
  <si>
    <t>.\全ページ画像\s2_outline_42.jpg</t>
  </si>
  <si>
    <t>s2_outline_43</t>
  </si>
  <si>
    <t>近江鍛工株式会社</t>
  </si>
  <si>
    <t>事業費 24億円
（補助額） （5.9億円）</t>
  </si>
  <si>
    <t>事業費 24億円
（補助額）（5.9億円）
第三旋盤工場 ステッキ工場</t>
  </si>
  <si>
    <t>、安価な製
す想定
などの影響で 事業費 2 億円
4
＋切削加工 （補助額） （ . 億円）
5 9
パシティ拡
旋盤工場 第三旋盤工場 ステッキ工場</t>
  </si>
  <si>
    <t>会社全体の売上成長目標（2024→30年）
• 全社売上高 156億円→300億円
• 全社売上高成長率 11.5％/年
• 売上高増加額 ＋144億円</t>
  </si>
  <si>
    <t>2030年 156億円（PDF明記）</t>
  </si>
  <si>
    <t>..\3次4次\seichotoushi_pdfs\outline_43.pdf</t>
  </si>
  <si>
    <t>.\全ページ画像\s2_outline_43.jpg</t>
  </si>
  <si>
    <t>s2_outline_44</t>
  </si>
  <si>
    <t>株式会社アヤボ</t>
  </si>
  <si>
    <t>事業費 18億円
（補助額） （3.4億円）</t>
  </si>
  <si>
    <t>事業費 18億円
る切削 （補助額） （3.4億円）</t>
  </si>
  <si>
    <t>会社全体の売上成長目標（2025年度～2030年度）
• 売上高成長率２０％（年平均）
• 売上高増加額１６億円</t>
  </si>
  <si>
    <t>..\3次4次\seichotoushi_pdfs\outline_44.pdf</t>
  </si>
  <si>
    <t>.\全ページ画像\s2_outline_44.jpg</t>
  </si>
  <si>
    <t>s2_outline_45</t>
  </si>
  <si>
    <t>株式会社田中食品興業所</t>
  </si>
  <si>
    <t>事業費 20億円
（補助額） （6.6億円）</t>
  </si>
  <si>
    <t>事業費 20億円
（補助額）（6.6億円）
強
投資 投資⾦額</t>
  </si>
  <si>
    <t>生産性の向上を実現する
て当社生産
事業費 20億円
よる労働
（補助額）（6.6億円）
生産能⼒増強
設備投資 投資⾦額
プラコン洗浄室増設 90百万円
受水槽増設 60百万円
原料倉庫増設 500百万円</t>
  </si>
  <si>
    <t>会社全体の売上成⻑目標（〜2031年7月期）
•
売上高成⻑率150.0％（2024年7月期⽐）
•
売上高増加額63億円（2024年7月期⽐）</t>
  </si>
  <si>
    <t>..\3次4次\seichotoushi_pdfs\outline_45.pdf</t>
  </si>
  <si>
    <t>.\全ページ画像\s2_outline_45.jpg</t>
  </si>
  <si>
    <t>s2_outline_46</t>
  </si>
  <si>
    <t>カンケンテクノ株式会社</t>
  </si>
  <si>
    <t>事業費 28億円
（補助額） （8.4億円）</t>
  </si>
  <si>
    <t>拡大を目指す
事業費 28億円
（補助額） （8.4億円）</t>
  </si>
  <si>
    <t>グループ全体の売上成⾧目標（2024～2030年）
• 売上高成⾧率13.7％（267億円→585億円）
• 売上高増加額318億円</t>
  </si>
  <si>
    <t>2030年 267億円（PDF明記）</t>
  </si>
  <si>
    <t>..\3次4次\seichotoushi_pdfs\outline_46.pdf</t>
  </si>
  <si>
    <t>.\全ページ画像\s2_outline_46.jpg</t>
  </si>
  <si>
    <t>s2_outline_47</t>
  </si>
  <si>
    <t>INTLOOP株式会社</t>
  </si>
  <si>
    <t>事業費 15億円
（補助額） （5.1億円）</t>
  </si>
  <si>
    <t>事業費 15億円
ーズが拡大
（補助額） （5.1億円）
を目指す
資/開発対象
t Platform（IAP）
INTLOOP社員
大手企業 従来</t>
  </si>
  <si>
    <t>会社全体の売上成⾧目標（～2030年/連結）
• 売上高成⾧率: 24.3％(FY24実績比)
• 売上高増加額:729億円(FY24実績比)</t>
  </si>
  <si>
    <t>..\3次4次\seichotoushi_pdfs\outline_47.pdf</t>
  </si>
  <si>
    <t>.\全ページ画像\s2_outline_47.jpg</t>
  </si>
  <si>
    <t>s2_outline_48</t>
  </si>
  <si>
    <t>株式会社サンワ</t>
  </si>
  <si>
    <t>事業費 24億円
（補助額） （7.3億円）</t>
  </si>
  <si>
    <t>事業費 24億円
（補助額） （7.3億円）
両向け取引の拡大</t>
  </si>
  <si>
    <t>事業費 24億円
（補助額） （ 億円）
7.3
と産業用車両向け取引の拡大
て</t>
  </si>
  <si>
    <t>会社全体の売上成長目標（～31年9月期）
• 売上高成長率12.2％
• 売上高増加額46億円</t>
  </si>
  <si>
    <t>..\3次4次\seichotoushi_pdfs\outline_48.pdf</t>
  </si>
  <si>
    <t>.\全ページ画像\s2_outline_48.jpg</t>
  </si>
  <si>
    <t>s2_outline_49</t>
  </si>
  <si>
    <t>白鷺特殊鋼株式会社</t>
  </si>
  <si>
    <t>ハクロスチール株式会社</t>
  </si>
  <si>
    <t>事業費 36億円
（補助額） （8.5億円）</t>
  </si>
  <si>
    <t>事業費 36億円
（補助額） （8.5億円）
切削加工強化
加工での高付加価値化
鋼㈱、ハクロスチール㈱</t>
  </si>
  <si>
    <t>共有で、全国 事業費 億円
36
的に生産性 （補助額） （ . 億円）
8 5
目指す。
③グループ切削加工強化
～難削材加工での高付加価値化
・白鷺特殊鋼㈱、ハクロスチール㈱
各拠点での切断機械増強
★16ｐ</t>
  </si>
  <si>
    <t>2社合計の売上成長目標（～2030年）
• 売上高成長率187％
• 売上高増加額81億円</t>
  </si>
  <si>
    <t>..\3次4次\seichotoushi_pdfs\outline_49.pdf</t>
  </si>
  <si>
    <t>.\全ページ画像\s2_outline_49.jpg</t>
  </si>
  <si>
    <t>s2_outline_5</t>
  </si>
  <si>
    <t>奥長良川名水株式会社</t>
  </si>
  <si>
    <t>事業費 13億円
（補助額） （3.0億円）</t>
  </si>
  <si>
    <t>ーへの需要が
社会的要請と
ず、受注機会の 事業費 13 億円
産設備のDX化 （補助額） （ 3 .0億円）
上させる。そし</t>
  </si>
  <si>
    <t>■売上成長目標（2024年直近決算～2029年）
・全社売上目標：28.6億円
・売上高成長率：358.3%
・会社全体の売上高増加額：20.6億円
（売上の内訳） 2024年 2029年
OEM保存水 723百万 2,777百万
機能水製造 75百万 84百万
798百万 2,861百万
■</t>
  </si>
  <si>
    <t>2029年 28.6億円（PDF明記）</t>
  </si>
  <si>
    <t>..\3次4次\seichotoushi_pdfs\outline_5.pdf</t>
  </si>
  <si>
    <t>.\全ページ画像\s2_outline_5.jpg</t>
  </si>
  <si>
    <t>s2_outline_51</t>
  </si>
  <si>
    <t>有楽製菓株式会社</t>
  </si>
  <si>
    <t>事業費 25億円
（補助額） （8.3億円）</t>
  </si>
  <si>
    <t>状況である。 事業費 億円
25
（補助額） （ . 億円）
8 3</t>
  </si>
  <si>
    <t>会社全体の売上成長目標（2030/7月期）
• 売上高成長率16％
• 売上高増加額155億円</t>
  </si>
  <si>
    <t>..\3次4次\seichotoushi_pdfs\outline_51.pdf</t>
  </si>
  <si>
    <t>.\全ページ画像\s2_outline_51.jpg</t>
  </si>
  <si>
    <t>s2_outline_52</t>
  </si>
  <si>
    <t>株式会社GYXUS</t>
  </si>
  <si>
    <t>株式会社GYXUS関東
株式会社光洲産業
株式会社KOSEI・GYXUS
株式会社沖潮開発</t>
  </si>
  <si>
    <t>事業費 98億円
（補助額） （26億円）</t>
  </si>
  <si>
    <t>事業費 98億円
（補助額） （26億円）
の多くが埋立処理される中、本設備投
ボードの水平リサイクルすることができ、循
成に大きく貢献できます。</t>
  </si>
  <si>
    <t>社会的問題、
事業費 98億円
膏ボード価格
解決を行う。
（補助額） （26億円）
廃石膏ボードの多くが埋立処理される中、本設備投
資により石膏ボードの水平リサイクルすることができ、循
環型社会の形成に大きく貢献できます。
これまで中間処理し、埋め立てる最終処分のためにコ
ストがかかっていましたが、埋め立てる代わりに石膏ボー
ドを製造することで、新たな付加価値を生む取り組みと</t>
  </si>
  <si>
    <t>直近決算期 43
売上成⾧目標
基準年度＋3年後 4,677
売上高増加額 4,634
売上高成⾧率 376.3% -</t>
  </si>
  <si>
    <t>..\3次4次\seichotoushi_pdfs\outline_52.pdf</t>
  </si>
  <si>
    <t>.\全ページ画像\s2_outline_52.jpg</t>
  </si>
  <si>
    <t>s2_outline_58</t>
  </si>
  <si>
    <t>巴工業株式会社</t>
  </si>
  <si>
    <t>巴マシナリー株式会社</t>
  </si>
  <si>
    <t>事業費 52億円
（補助額） （13億円）</t>
  </si>
  <si>
    <t>で、現在の
なっている。 事業費 52 億円
と共に、グルー （補助額） （ 13 億円）</t>
  </si>
  <si>
    <t>会社全体の売上成長目標
単位：百万円
売上高 売上高 売上高 売上高
社名
2024年10月期 2030年10月期 増加額 成長率
巴工業㈱ 47,315 73,000 25,685 54.3%
うち機械事業 11,541 23,000 11,459 99.3%
巴マシナリー㈱ 565 1,000 435 77.0%
コンソ全体 47,880 74,000 26,120 54.6%</t>
  </si>
  <si>
    <t>2024年 473.15億円（PDF明記） / 2030年 730億円（PDF明記）</t>
  </si>
  <si>
    <t>..\3次4次\seichotoushi_pdfs\outline_58.pdf</t>
  </si>
  <si>
    <t>.\全ページ画像\s2_outline_58.jpg</t>
  </si>
  <si>
    <t>s2_outline_6</t>
  </si>
  <si>
    <t>株式会社上野凮月堂</t>
  </si>
  <si>
    <t>株式会社上野凮月堂ホールディングス</t>
  </si>
  <si>
    <t>事業費 63億円
（補助額） （18億円）</t>
  </si>
  <si>
    <t>事業費 63億円
（補助額） （18億円）
完成イメージ</t>
  </si>
  <si>
    <t>の増築による
る 事業費 63億円
産性の向上を （補助額） （18億円）
現するもの
完成イメージ</t>
  </si>
  <si>
    <t>も見込む
会社全体の売上成長目標（～2031年）
• 売上高成長率＋１４９％（2024年～2031年）
• 売上高増加額＋８５億円（2024年～2031年）</t>
  </si>
  <si>
    <t>..\3次4次\seichotoushi_pdfs\outline_6.pdf</t>
  </si>
  <si>
    <t>.\全ページ画像\s2_outline_6.jpg</t>
  </si>
  <si>
    <t>s2_outline_60</t>
  </si>
  <si>
    <t>株式会社トッカコーポレーション</t>
  </si>
  <si>
    <t>っているが、複
事業費 億円
17
（補助額） （ . 億円）
5 5
的とする。</t>
  </si>
  <si>
    <t>会社全体の売上成長目標
2.2倍
• 売上高:</t>
  </si>
  <si>
    <t>..\3次4次\seichotoushi_pdfs\outline_60.pdf</t>
  </si>
  <si>
    <t>.\全ページ画像\s2_outline_60.jpg</t>
  </si>
  <si>
    <t>s2_outline_61</t>
  </si>
  <si>
    <t>株式会社川金コアテック</t>
  </si>
  <si>
    <t>事業費 40億円
（補助額） （11億円）</t>
  </si>
  <si>
    <t>期遅れリスク
事業費 4 億円
0
入により川上 （補助額） （11億円）
一工場ですべてが完結するワン
ストップ化、協同ロボや塗装自
動化導入、デジタル化により、</t>
  </si>
  <si>
    <t>売上成長目標(2030年度全社（基準年比）)
• 売上高成長率173％(cagr20%)
• 売上高増加額95億円</t>
  </si>
  <si>
    <t>..\3次4次\seichotoushi_pdfs\outline_61.pdf</t>
  </si>
  <si>
    <t>.\全ページ画像\s2_outline_61.jpg</t>
  </si>
  <si>
    <t>s2_outline_62</t>
  </si>
  <si>
    <t>株式会社エネルギーギャップ</t>
  </si>
  <si>
    <t>事業費 87億円
（補助額） （26億円）</t>
  </si>
  <si>
    <t>場では約
中。
事業費 億円
87
客へ提供して （補助額） （26億円）</t>
  </si>
  <si>
    <t>会社全体の売上成長目標（～2030年）
• 売上高成長率 753％
• 売上高増加額 602億円</t>
  </si>
  <si>
    <t>..\3次4次\seichotoushi_pdfs\outline_62.pdf</t>
  </si>
  <si>
    <t>.\全ページ画像\s2_outline_62.jpg</t>
  </si>
  <si>
    <t>s2_outline_63</t>
  </si>
  <si>
    <t>エックスサーバー株式会社</t>
  </si>
  <si>
    <t>エックスサーバークラウド株式会社</t>
  </si>
  <si>
    <t>事業費 35億円
（補助額） （6.8億円）</t>
  </si>
  <si>
    <t>事業費 • 設備投資総額：35億円 *
（うち補助金 6.8億円）
（補助額）
• 自己資金で残額を対応</t>
  </si>
  <si>
    <t>進 事業費 • 設備投資総額： 35 億円 *
（うち補助金 6.8億円）
（補助額）
現 • 自己資金で残額を対応</t>
  </si>
  <si>
    <t>会社全体の売上成長目標（～2030年）
•
売上高成長率：年平均
130％成長
（2030年3月期までに売上300億円 、10年後には1000億円）
•
売上高増加額：+223億円
（2024年3月期77億円 → 2030年3月期300億円）</t>
  </si>
  <si>
    <t>2030年 300億円（PDF明記） / 2030年 300億円（PDF明記）</t>
  </si>
  <si>
    <t>..\3次4次\seichotoushi_pdfs\outline_63.pdf</t>
  </si>
  <si>
    <t>.\全ページ画像\s2_outline_63.jpg</t>
  </si>
  <si>
    <t>s2_outline_65</t>
  </si>
  <si>
    <t>ハビックス株式会社</t>
  </si>
  <si>
    <t>事業費 36億円
（補助額） （9.8億円）</t>
  </si>
  <si>
    <t>売上成⾧目標（基準年度比）
• 2030年度までに会社全体の売上高増加額75億円
• 2030年までに会社全体の売上高年平均成⾧率14%</t>
  </si>
  <si>
    <t>..\3次4次\seichotoushi_pdfs\outline_65.pdf</t>
  </si>
  <si>
    <t>.\全ページ画像\s2_outline_65.jpg</t>
  </si>
  <si>
    <t>s2_outline_66</t>
  </si>
  <si>
    <t>トクセン工業株式会社</t>
  </si>
  <si>
    <t>事業費 45億円
（補助額） （9.9億円）</t>
  </si>
  <si>
    <t>45億円
事業費 （9.9億円）
（補助額）
※44.9億円の内訳
建物 30.6億円
設備 14.3億円</t>
  </si>
  <si>
    <t>場への機
4 億円
5
び供給量の
事業費 （ 億円）
9.9
（補助額）
界最大手 ※44.9億円の内訳
建物 30.6億円
における売
設備 14.3億円
伸線 圧延
建設
を図ることで、 厚み×幅
40μm×100μm</t>
  </si>
  <si>
    <t>会社全体の売上成長及び賃上げ目標（2023年度対比）
売上高：2023年度250億円、2027年度283億円（+32億円、+13%）、2030年度371億円（+121億円、+48%）</t>
  </si>
  <si>
    <t>2023年 250億円（PDF明記） / 2027年 283億円（PDF明記） / 2030年 371億円（PDF明記）</t>
  </si>
  <si>
    <t>..\3次4次\seichotoushi_pdfs\outline_66.pdf</t>
  </si>
  <si>
    <t>.\全ページ画像\s2_outline_66.jpg</t>
  </si>
  <si>
    <t>s2_outline_67</t>
  </si>
  <si>
    <t>千代田空調機器株式会社</t>
  </si>
  <si>
    <t>事業費 15億円
（補助額） （4.6億円）</t>
  </si>
  <si>
    <t>事業費 15億円
（補助額） （4.6億円）
図２</t>
  </si>
  <si>
    <t>事業費 1 億円
5
（補助額） （4.6億円）
図１ 図２</t>
  </si>
  <si>
    <t>会社全体の売上成長目標（基準年～2030年度）
• 売上高成長率21.3％
• 売上高増加額80億円</t>
  </si>
  <si>
    <t>..\3次4次\seichotoushi_pdfs\outline_67.pdf</t>
  </si>
  <si>
    <t>.\全ページ画像\s2_outline_67.jpg</t>
  </si>
  <si>
    <t>s2_outline_68</t>
  </si>
  <si>
    <t>三友プラントサービス株式会社</t>
  </si>
  <si>
    <t>事業費 64億円
（補助額） （19億円）</t>
  </si>
  <si>
    <t>事業費 64億円
（補助額）（19億円）
）、処理用設備の一部</t>
  </si>
  <si>
    <t>社の他工場
事業費 6 億円
っています。 4
中、一般廃棄 （補助額）（ 19 億円）
められています。
当社の他工場）、処理用設備の一部</t>
  </si>
  <si>
    <t>会社全体の売上成長目標（～2030年）
• 売上高成長率 68％※
• 売上高増加額 56億円
（2024/12期：82億円⇒2030/12期：139億円）
※（2030/12期売上高 - 2024/12期売上高）÷ 2024/12期売上高</t>
  </si>
  <si>
    <t>..\3次4次\seichotoushi_pdfs\outline_68.pdf</t>
  </si>
  <si>
    <t>.\全ページ画像\s2_outline_68.jpg</t>
  </si>
  <si>
    <t>s2_outline_69</t>
  </si>
  <si>
    <t>松村フーズ株式会社</t>
  </si>
  <si>
    <t>事業費 50億円
（補助額） （12億円）</t>
  </si>
  <si>
    <t>事業費 億円
50
機材へと移行
（補助額） （12億円）
ます。
加価値事業の</t>
  </si>
  <si>
    <t>会社全体の売上成長目標
（基準年度～事業化報告3年目）
• 売上高成長率 16.7％
• 売上高増加額176.4億円（298.5億→474.9億）</t>
  </si>
  <si>
    <t>..\3次4次\seichotoushi_pdfs\outline_69.pdf</t>
  </si>
  <si>
    <t>.\全ページ画像\s2_outline_69.jpg</t>
  </si>
  <si>
    <t>s2_outline_70</t>
  </si>
  <si>
    <t>事業費 48億円
（補助額） （12億円）</t>
  </si>
  <si>
    <t>事業費 48億円
（補助額）（12億円）
柳津新工場構想図</t>
  </si>
  <si>
    <t>事業費 48億円
拡大を図る （補助額）（12億円）
柳津新工場構想図</t>
  </si>
  <si>
    <t>売上成⾧目標
• 2030年までの会社全体の売上高成⾧率+82.6％
• 2030年までの会社全体の売上高増加額77.8億円</t>
  </si>
  <si>
    <t>..\3次4次\seichotoushi_pdfs\outline_70.pdf</t>
  </si>
  <si>
    <t>.\全ページ画像\s2_outline_70.jpg</t>
  </si>
  <si>
    <t>s2_outline_71</t>
  </si>
  <si>
    <t>至誠堂製薬株式会社</t>
  </si>
  <si>
    <t>事業費 58億円
（補助額） （16億円）</t>
  </si>
  <si>
    <t>事業費 58億円
（補助額）（16億円）
の発生）
可能な状況
る</t>
  </si>
  <si>
    <t>事業には当てはまらない
事業費 5 8 億円
製造受託、 （補助額） （ 16 億円）
いる（機会損失の発生）
上は物理的に不可能な状況
着を促す必要がある
【図：新工場・打錠工程の配置図】</t>
  </si>
  <si>
    <t>会社全体の売上成長目標（2031年3月期）
• 売上高成長率 +244.8％（直近決算比較）
• 売上高増加額 +68.2億円（直近決算比較）</t>
  </si>
  <si>
    <t>..\3次4次\seichotoushi_pdfs\outline_71.pdf</t>
  </si>
  <si>
    <t>.\全ページ画像\s2_outline_71.jpg</t>
  </si>
  <si>
    <t>s2_outline_72</t>
  </si>
  <si>
    <t>ときわ製作所株式会社</t>
  </si>
  <si>
    <t>事業費 10億円
（補助額） （2.5億円）</t>
  </si>
  <si>
    <t>続的な賃金向上を達成する
インの再構築 事業費 10億円
に伸長させる。 （補助額） （ 2.5 億円）</t>
  </si>
  <si>
    <t>会社全体の売上成長目標（直近事業年度～2029年）
• 売上高成長率25.99%（年平均）
• 売上高増加額23.9億円</t>
  </si>
  <si>
    <t>..\3次4次\seichotoushi_pdfs\outline_72.pdf</t>
  </si>
  <si>
    <t>.\全ページ画像\s2_outline_72.jpg</t>
  </si>
  <si>
    <t>s2_outline_73</t>
  </si>
  <si>
    <t>株式会社ライジング</t>
  </si>
  <si>
    <t>のの、受注
事業費 33億円
機能工場」、
（補助額） （11億円）
建設予定。</t>
  </si>
  <si>
    <t>会社全体の売上成⾧目標（～2031年）
• 売上高成⾧率:+133％
• 売上高増加額:51億円</t>
  </si>
  <si>
    <t>..\3次4次\seichotoushi_pdfs\outline_73.pdf</t>
  </si>
  <si>
    <t>.\全ページ画像\s2_outline_73.jpg</t>
  </si>
  <si>
    <t>s2_outline_74</t>
  </si>
  <si>
    <t>株式会社山福</t>
  </si>
  <si>
    <t>有限会社エクセル</t>
  </si>
  <si>
    <t>事業費 51億円
（補助額） （16億円）</t>
  </si>
  <si>
    <t>や物流効率
事業費 億円
51
を構築すると （補助額） （16億円）</t>
  </si>
  <si>
    <t>売上成長目標
（コンソーシアム合算）2031年5月期: 509億円
• 27/5期から31/5期までの売上高成長率: +13.4％
• 27/5期から31/5期までの売上高増加額: +197億円
（山福単体） 2031年5月期: 503億円
• 27/5期から31/5期までの売上高成長率: +13.2%
• 27/5期から31/5期までの売上高増加額: +201億円</t>
  </si>
  <si>
    <t>2031年 509億円（PDF明記） / 2027年 197億円（PDF明記）</t>
  </si>
  <si>
    <t>..\3次4次\seichotoushi_pdfs\outline_74.pdf</t>
  </si>
  <si>
    <t>.\全ページ画像\s2_outline_74.jpg</t>
  </si>
  <si>
    <t>s2_outline_77</t>
  </si>
  <si>
    <t>株式会社やまみ</t>
  </si>
  <si>
    <t>事業費 56億円
（補助額） （18億円）</t>
  </si>
  <si>
    <t>事業を通じて、
設備が必要）
おり、最新の設
事業費 56億円
（補助額） （18億円）</t>
  </si>
  <si>
    <t>2030年6月期売上高475.3億円（2024年6月期+272.3億円）、年平均成長率16.7%/年</t>
  </si>
  <si>
    <t>2024年 203億円（PDF明記値から逆算） / 2030年 475.3億円（PDF明記）</t>
  </si>
  <si>
    <t>..\3次4次\seichotoushi_pdfs\outline_77.pdf</t>
  </si>
  <si>
    <t>.\全ページ画像\s2_outline_77.jpg</t>
  </si>
  <si>
    <t>s2_outline_78</t>
  </si>
  <si>
    <t>株式会社宮古島の雪塩</t>
  </si>
  <si>
    <t>事業費 25億円
（補助額） （8.0億円）</t>
  </si>
  <si>
    <t>事業費 2 億円
5
牽引しつつ （補助額） （8 億円）
.0</t>
  </si>
  <si>
    <t>会社全体の売上成長目標（～29年度）
• 売上高成長率217％
• 売上高増加額80億円</t>
  </si>
  <si>
    <t>..\3次4次\seichotoushi_pdfs\outline_78.pdf</t>
  </si>
  <si>
    <t>.\全ページ画像\s2_outline_78.jpg</t>
  </si>
  <si>
    <t>s2_outline_79</t>
  </si>
  <si>
    <t>大京株式会社</t>
  </si>
  <si>
    <t>事業費 61億円
（補助額） （20億円）
ジ
ライン、着脱レスの実現~</t>
  </si>
  <si>
    <t>従業員の労 事業費 億円
61
（補助額） （20億円）
新工場イメージ
~つながる生産ライン、着脱レスの実現~
製
組立 塗装 板金
品</t>
  </si>
  <si>
    <t>会社全体の売上成長目標（2029年度）
• 売上⾼成長率65％
• 売上⾼増加額208億円</t>
  </si>
  <si>
    <t>..\3次4次\seichotoushi_pdfs\outline_79.pdf</t>
  </si>
  <si>
    <t>.\全ページ画像\s2_outline_79.jpg</t>
  </si>
  <si>
    <t>s2_outline_8</t>
  </si>
  <si>
    <t>牛乳石鹸共進社株式会社</t>
  </si>
  <si>
    <t>事業費 145億円
（補助額） （46億円）</t>
  </si>
  <si>
    <t>力を改善する 事業費 14 億円
5
図る。 （補助額） （4 億円）
6</t>
  </si>
  <si>
    <t>会社全体の売上成長目標（基準年～2030年度）
• 売上高成長率18.9％
• 売上高増加額167億円</t>
  </si>
  <si>
    <t>..\3次4次\seichotoushi_pdfs\outline_8.pdf</t>
  </si>
  <si>
    <t>.\全ページ画像\s2_outline_8.jpg</t>
  </si>
  <si>
    <t>s2_outline_80</t>
  </si>
  <si>
    <t>株式会社レイズ</t>
  </si>
  <si>
    <t>事業費 37億円
（補助額） （12億円）
。</t>
  </si>
  <si>
    <t>生している。
急務となっている。 事業費 億円
37
高める。
（補助額） （ 億円）
12
産体制を構築する。</t>
  </si>
  <si>
    <t>売上成長目標（～2029年度）
売上高増加率：+67％
売上高増加額：103億円増
グループ連結長期成長目標（～2034年度）
グループ連結売上高成長率+222％、
グループ連結売上高500億円を目指す</t>
  </si>
  <si>
    <t>2034年 500億円（PDF明記）</t>
  </si>
  <si>
    <t>..\3次4次\seichotoushi_pdfs\outline_80.pdf</t>
  </si>
  <si>
    <t>.\全ページ画像\s2_outline_80.jpg</t>
  </si>
  <si>
    <t>s2_outline_81</t>
  </si>
  <si>
    <t>東亜薬品株式会社</t>
  </si>
  <si>
    <t>事業費 190億円
（補助額） （46億円）</t>
  </si>
  <si>
    <t>事業費 190億円
（補助額） （46億円）
建設イメージパース</t>
  </si>
  <si>
    <t>びている中、 事業費 190億円
強を行う。 （補助額） （46億円）
工場 新製剤棟建設イメージパース
新製剤棟</t>
  </si>
  <si>
    <t>会社全体の売上成⾧目標
2023年 2030年 2036年
（最新決算） （7年後） (13年後)
売上高 215億円 335億円 440億円
売上高成⾧率 － 156％ 205％</t>
  </si>
  <si>
    <t>2036年 215億円（PDF明記）</t>
  </si>
  <si>
    <t>..\3次4次\seichotoushi_pdfs\outline_81.pdf</t>
  </si>
  <si>
    <t>.\全ページ画像\s2_outline_81.jpg</t>
  </si>
  <si>
    <t>s2_outline_82</t>
  </si>
  <si>
    <t>ハマダレクテック株式会社</t>
  </si>
  <si>
    <t>事業費 106億円
（補助額） （35億円）</t>
  </si>
  <si>
    <t>事業費 106億円
（補助額） （35億円）
補助対象事業</t>
  </si>
  <si>
    <t>会社全体の売上成⾧目標（～2030年度）
直近2024年7月期の会社全体の売上高119億円
• 売上高成⾧率124％
• 売上高増加額147億円
2031年7月期の全社全体の売上高目標266億円</t>
  </si>
  <si>
    <t>2030年 119億円（PDF明記） / 2030年 119億円（PDF明記）</t>
  </si>
  <si>
    <t>..\3次4次\seichotoushi_pdfs\outline_82.pdf</t>
  </si>
  <si>
    <t>.\全ページ画像\s2_outline_82.jpg</t>
  </si>
  <si>
    <t>s2_outline_83</t>
  </si>
  <si>
    <t>株式会社キド</t>
  </si>
  <si>
    <t>事業費 26億円
（補助額） （5.7億円）</t>
  </si>
  <si>
    <t>業の拡大を図る
ため、生産 事業費 2 億円
6
図る。 （補助額） （ . 億円）
5 7</t>
  </si>
  <si>
    <t>会社全体の売上成長目標（2030年）
• 売上高成長率163.2％(CAGR 14.8%)
• 売上高増加額30.2億円</t>
  </si>
  <si>
    <t>..\3次4次\seichotoushi_pdfs\outline_83.pdf</t>
  </si>
  <si>
    <t>.\全ページ画像\s2_outline_83.jpg</t>
  </si>
  <si>
    <t>s2_outline_84</t>
  </si>
  <si>
    <t>株式会社ジョヴィ</t>
  </si>
  <si>
    <t>事業費 165億円
（補助額） （30億円）</t>
  </si>
  <si>
    <t>24年3月期 28年3月期 31年3月期
(直近事業年度) (基準年) (事業化報告３年目)
売上高
882億円 1,562億円 2,441億円
（既存事業）
賃上目標 年平均 年平均
ー
（既存事業） 6％以上 6％以上</t>
  </si>
  <si>
    <t>2024年 882億円（PDF明記） / 2028年 1562億円（PDF明記） / 2031年 2441億円（PDF明記）</t>
  </si>
  <si>
    <t>..\3次4次\seichotoushi_pdfs\outline_84.pdf</t>
  </si>
  <si>
    <t>.\全ページ画像\s2_outline_84.jpg</t>
  </si>
  <si>
    <t>s2_outline_85</t>
  </si>
  <si>
    <t>Ｌ物流株式会社</t>
  </si>
  <si>
    <t>事業費 46億円
（補助額） （14億円）
低温食品物流センター」を建設
※土地や一部発注済み経費含む</t>
  </si>
  <si>
    <t>理を解消し、 事業費 46億円
上げる。 （補助額） （14億円）
的とした「米子低温食品物流センター」を建設
※土地や一部発注済み経費含む</t>
  </si>
  <si>
    <t>売上成長目標
2014年に立てた「2034年までに売上高成長率107.5％の維持、年
商100億円」という目標は今回の補助事業により2031年3月期で達
成する前倒しの計画を策定。以降も、伸長率を落とすことなく増収傾向
を維持する。
会社全体の売上成長目標 （24年3月期～
30年3月期）
• 売上高成長率203.3％
• 売上高増加額47億円</t>
  </si>
  <si>
    <t>2034年 100億円（PDF明記）</t>
  </si>
  <si>
    <t>..\3次4次\seichotoushi_pdfs\outline_85.pdf</t>
  </si>
  <si>
    <t>.\全ページ画像\s2_outline_85.jpg</t>
  </si>
  <si>
    <t>s2_outline_86</t>
  </si>
  <si>
    <t>ヤマトスチール株式会社</t>
  </si>
  <si>
    <t>事業費 133億円
（補助額） （41億円）</t>
  </si>
  <si>
    <t>上を図り、
事業費 133億円
（補助額） （41億円）</t>
  </si>
  <si>
    <t>会社全体の売上成⻑⽬標（〜2030年）
• 売上⾼成⻑率10％
• 売上⾼増加額420億円
会社全体の賃上げ⽬標
• 0.1%（直近事業年度〜基準年度）
※熟練⼯退職に伴う世代交代により若年従業員⼤幅増加のため、賃上げは実施
するも基準年度までは上記数値に留まる⾒込み。
• 7.4%（基準年度〜事業化報告3年⽬）</t>
  </si>
  <si>
    <t>..\3次4次\seichotoushi_pdfs\outline_86.pdf</t>
  </si>
  <si>
    <t>.\全ページ画像\s2_outline_86.jpg</t>
  </si>
  <si>
    <t>s2_outline_87</t>
  </si>
  <si>
    <t>長野牛乳株式会社</t>
  </si>
  <si>
    <t>事業費 89億円
（補助額） （22億円）</t>
  </si>
  <si>
    <t>事業費 89億円
（補助額） （22億円）
場完成イメージ</t>
  </si>
  <si>
    <t>的な増産依頼
事業費 億円
89
るべく収益性 （補助額） （ 22 億円）
新工場完成イメージ</t>
  </si>
  <si>
    <t>会社全体の売上成長目標（2030年3月期）
• 売上高成長率122％
• 売上高増加額99億円
2033年度に売上高200億円を目指す！</t>
  </si>
  <si>
    <t>..\3次4次\seichotoushi_pdfs\outline_87.pdf</t>
  </si>
  <si>
    <t>.\全ページ画像\s2_outline_87.jpg</t>
  </si>
  <si>
    <t>s2_outline_88</t>
  </si>
  <si>
    <t>モルツウェル株式会社</t>
  </si>
  <si>
    <t>事業費 18億円
（補助額） （5.9億円）
新工場完成イメージ</t>
  </si>
  <si>
    <t>工場を建設 事業費 1 億円
8
上させます。 （補助額） （5.9億円）
新工場完成イメージ
税</t>
  </si>
  <si>
    <t>会社全体の売上成長目標（～2031年度）
• 売上高100億円（2032/8期）← 17.9億円（2024/8期）
• 売上高増加額82.1億円、成長率459％</t>
  </si>
  <si>
    <t>2031年 100億円（PDF明記）</t>
  </si>
  <si>
    <t>..\3次4次\seichotoushi_pdfs\outline_88.pdf</t>
  </si>
  <si>
    <t>.\全ページ画像\s2_outline_88.jpg</t>
  </si>
  <si>
    <t>s2_outline_89</t>
  </si>
  <si>
    <t>北海道乳業株式会社</t>
  </si>
  <si>
    <t>事業費 97億円
（補助額） （29億円）</t>
  </si>
  <si>
    <t>価値商品の
億円
事業費 97
（29億円）
（補助額）
よる</t>
  </si>
  <si>
    <t>げを実現する。 産性向上を実現する。
〈売上成長目標〉
2030年度 売上高665億円（2023年度比＋316億円、90.8％増）営業利益65.3億円（2023年度比＋53.2億円、 442.6％増）
〈</t>
  </si>
  <si>
    <t>2023年 316億円（PDF明記） / 2023年 53.2億円（PDF明記） / 2030年 665億円（PDF明記）</t>
  </si>
  <si>
    <t>動機欄未分離 / 補助額未解析</t>
  </si>
  <si>
    <t>..\3次4次\seichotoushi_pdfs\outline_89.pdf</t>
  </si>
  <si>
    <t>.\全ページ画像\s2_outline_89.jpg</t>
  </si>
  <si>
    <t>s2_outline_9</t>
  </si>
  <si>
    <t>株式会社マルト水谷</t>
  </si>
  <si>
    <t>株式会社MMGホールディングス</t>
  </si>
  <si>
    <t>事業費 45億円
（補助額） （15億円）</t>
  </si>
  <si>
    <t>ための新規設
ライヤー各社 事業費 45億円
（補助額） （15億円）
能とし、1日2
メージ</t>
  </si>
  <si>
    <t>会社全体の売上成長目標（～2031年3月期）
• 売上高成長率97.2％（24年3月期比）
• 売上高増加額255億円（24年3月期比）</t>
  </si>
  <si>
    <t>..\3次4次\seichotoushi_pdfs\outline_9.pdf</t>
  </si>
  <si>
    <t>.\全ページ画像\s2_outline_9.jpg</t>
  </si>
  <si>
    <t>s2_outline_90</t>
  </si>
  <si>
    <t>有価物回収協業組合　石坂グループ</t>
  </si>
  <si>
    <t>有価物回収協業組合 石坂グループ</t>
  </si>
  <si>
    <t>事業費 42億円
（補助額） （12億円）
ン＋２つの吸引機構」を導入
日）を実現する。</t>
  </si>
  <si>
    <t>出、AI学
事業費 42億円
ることで、
（補助額） （12億円）
確立する。
】
のロールスクリーン＋２つの吸引機構」を導入
理（最大64t/日）を実現する。
選別」を導入したラインで、手選別を大幅に省
倍の処理を可能とすると同時に、飲料容器の
型エコキャッチャーの共同開発を目指す。</t>
  </si>
  <si>
    <t>【財務の視点】
売上成長目標（直近期（2024年5月期→2031年5月期）
会社全体の売上高：45.67億円→110.01億円
（売上高：64.34億円の増加・CAGR：13.38％）</t>
  </si>
  <si>
    <t>2031年 45.67億円（PDF明記）</t>
  </si>
  <si>
    <t>..\3次4次\seichotoushi_pdfs\outline_90.pdf</t>
  </si>
  <si>
    <t>.\全ページ画像\s2_outline_90.jpg</t>
  </si>
  <si>
    <t>s2_outline_91</t>
  </si>
  <si>
    <t>ＫＩＤＯ　ＰＡＣＫＡＧＩＮＧ株式会社</t>
  </si>
  <si>
    <t>ＫＩＤＯ ＰＡＣＫＡＧＩＮＧ株式会社</t>
  </si>
  <si>
    <t>ＫＩＤＯホールディングス株式会社</t>
  </si>
  <si>
    <t>事業費 46億円
（補助額） （15億円）</t>
  </si>
  <si>
    <t>事業費 46億円
（補助額） （15億円）
4.「工場統合による衛生面強化」
同一建屋内への工程集約による衛
生面強化とFSSC22000の取得</t>
  </si>
  <si>
    <t>衛生面強化によ 事業費 億円
46
（補助額） （ 億円）
15
」 4.「工場統合による衛生面強化」
酷労働削 同一建屋内への工程集約による衛
有機溶剤レ 生面強化とFSSC22000の取得
境改善</t>
  </si>
  <si>
    <t>会社全体の売上成長目標
（基準年度～事業化報告3年目）
• 年平均売上高成長率単体16.9％、コンソーシアム17.1％
• 売上高増加額単体73億円、コンソーシアム75億円</t>
  </si>
  <si>
    <t>..\3次4次\seichotoushi_pdfs\outline_91.pdf</t>
  </si>
  <si>
    <t>.\全ページ画像\s2_outline_91.jpg</t>
  </si>
  <si>
    <t>s2_outline_93</t>
  </si>
  <si>
    <t>東亜工業株式会社</t>
  </si>
  <si>
    <t>事業費 57億円
（補助額） （19億円）</t>
  </si>
  <si>
    <t>事業費 57億円
（補助額） （19億円）
＞</t>
  </si>
  <si>
    <t>向け専用ライ
事業費 億円
向上、年平 57
（補助額） （ 億円）
19
＜脇屋工場概要＞</t>
  </si>
  <si>
    <t>会社全体の売上成長目標（2030年度）
• 売上高成長率20.32％（基準年度比）
• 売上高増加額163億円（基準年度比）</t>
  </si>
  <si>
    <t>..\3次4次\seichotoushi_pdfs\outline_93.pdf</t>
  </si>
  <si>
    <t>.\全ページ画像\s2_outline_93.jpg</t>
  </si>
  <si>
    <t>s2_outline_94</t>
  </si>
  <si>
    <t>株式会社富士カーボン製造所</t>
  </si>
  <si>
    <t>事業費 52億円
(補助額) (15億円)</t>
  </si>
  <si>
    <t>善
事業費 億円
52
(補助額) ( 億円)
15</t>
  </si>
  <si>
    <t>PDF表記（目標/基準比）</t>
  </si>
  <si>
    <t>当社全体の売上成長目標（～2030年）
単体：2024年度22.32億円→2030年度85.75億円、売上高成長率384.1%、増加額63.42億円
海外子会社：27.10億円→68.72億円、253.6%、増加額41.62億円
連結：49.42億円→154.47億円、312.5%、増加額105.04億円</t>
  </si>
  <si>
    <t>2024年 49.42億円（PDF明記・連結） / 2030年 154.47億円（PDF明記・連結）</t>
  </si>
  <si>
    <t>..\3次4次\seichotoushi_pdfs\outline_94.pdf</t>
  </si>
  <si>
    <t>.\全ページ画像\s2_outline_94.jpg</t>
  </si>
  <si>
    <t>s2_outline_95</t>
  </si>
  <si>
    <t>山崎商事運輸株式会社</t>
  </si>
  <si>
    <t>事業費 26億円
（補助額） （8.5億円）</t>
  </si>
  <si>
    <t>題への対応を目指す取組である。
応える 事業費 2 億円
6
（補助額） （8.5億円）</t>
  </si>
  <si>
    <t>会社全体の売上成長目標（～31年5月期）
• 売上高成長率25.0％
• 売上高増加額36.6億円</t>
  </si>
  <si>
    <t>..\3次4次\seichotoushi_pdfs\outline_95.pdf</t>
  </si>
  <si>
    <t>.\全ページ画像\s2_outline_95.jpg</t>
  </si>
  <si>
    <t>s2_outline_96</t>
  </si>
  <si>
    <t>株式会社フォース</t>
  </si>
  <si>
    <t>事業費 36億円
（補助額） （7.3億円）</t>
  </si>
  <si>
    <t>事業費 36億円
。（補助額） （7.3億円）</t>
  </si>
  <si>
    <t>株式会社フォース
を導入します。事業費は、建設資材中間処理施設16.25億
円です。目標値は、労働生産性3,206万円/人に上昇。
再生砂の需要が高まっています。しかし、 事業費 36億円
に設置し需要に応えることが目的です。（補助額） （7.3億円）</t>
  </si>
  <si>
    <t>会社全体の売上成長目標（2029年6月期）
• 売上高成長率81.88％
• 売上高増加額52.67億円（基準年度からの増加額）</t>
  </si>
  <si>
    <t>..\3次4次\seichotoushi_pdfs\outline_96.pdf</t>
  </si>
  <si>
    <t>.\全ページ画像\s2_outline_96.jpg</t>
  </si>
  <si>
    <t>s2_outline_97</t>
  </si>
  <si>
    <t>中村土建株式会社</t>
  </si>
  <si>
    <t>事業費 20億円
（補助額） （4.7億円）</t>
  </si>
  <si>
    <t>事業費 20億円
（補助額） （4.7億円）
ND_LABO</t>
  </si>
  <si>
    <t>者・監督者
な課題とな 事業費 20億円
追求）や、 （補助額） （4.7億円）
内訳
ND_LABO
16.5 億円
1.7 億円</t>
  </si>
  <si>
    <t>会社全体の売上成長目標（2024年～2030年）
• 売上高成長率214％
• 売上高増加額129億円</t>
  </si>
  <si>
    <t>..\3次4次\seichotoushi_pdfs\outline_97.pdf</t>
  </si>
  <si>
    <t>.\全ページ画像\s2_outline_97.jpg</t>
  </si>
  <si>
    <t>s2_outline_98</t>
  </si>
  <si>
    <t>ホーコス株式会社</t>
  </si>
  <si>
    <t>事業費 30億円
（補助額） （7.1億円）</t>
  </si>
  <si>
    <t>事業費
（補助額）
30億円
（7.1億円）</t>
  </si>
  <si>
    <t>事業費
⻑期化
（補助額）
せる
30億円
（7.1億円）</t>
  </si>
  <si>
    <t>⽬標
会社全体の売上成⻑目標（2023〜2029年度）
売上高成⻑率 169％ / 売上高増加額 167億円</t>
  </si>
  <si>
    <t>..\3次4次\seichotoushi_pdfs\outline_98.pdf</t>
  </si>
  <si>
    <t>.\全ページ画像\s2_outline_98.jpg</t>
  </si>
  <si>
    <t>s2_outline_99</t>
  </si>
  <si>
    <t>株式会社シュゼット・ホールディングス</t>
  </si>
  <si>
    <t>株式会社スタジオ・シュゼット</t>
  </si>
  <si>
    <t>事業費 104億円
（補助額） （34億円）</t>
  </si>
  <si>
    <t>ブランド」を確立する
ルブランド
事業費 104億円
成長投
（補助額） （34億円）
投資額</t>
  </si>
  <si>
    <t>コンソーシアム全体の売上成長目標（2024→2030年)
・売上高 84％増
・売上高増加額 135億円増
コンソーシアム全体の</t>
  </si>
  <si>
    <t>..\3次4次\seichotoushi_pdfs\outline_99.pdf</t>
  </si>
  <si>
    <t>.\全ページ画像\s2_outline_99.jpg</t>
  </si>
  <si>
    <t>原本画像目視確認済み（数値なし）</t>
  </si>
  <si>
    <t>s2_outline_113</t>
  </si>
  <si>
    <t>4次</t>
  </si>
  <si>
    <t>株式会社アダチ</t>
  </si>
  <si>
    <t>事業費 1,736百万円
（補助額） （409百万円）</t>
  </si>
  <si>
    <t>庫は能力 事業費 1, 736 百万円
を一体で （補助額） （ 409 百万円）</t>
  </si>
  <si>
    <t>会社全体の売上成長目標（直近2024～2030年度）
• 売上高増加額:7,833百万円
• 売上高成長率:14.3％（年平均成長率）
一人当たりの</t>
  </si>
  <si>
    <t>..\3次4次\seichotoushi_pdfs\outline_113.pdf</t>
  </si>
  <si>
    <t>.\全ページ画像\s2_outline_113.jpg</t>
  </si>
  <si>
    <t>s2_outline_115</t>
  </si>
  <si>
    <t>株式会社コスモス食品</t>
  </si>
  <si>
    <t>事業費 1,684百万円
（補助額） （392百万円）</t>
  </si>
  <si>
    <t>欠。
作り）
事業費 1, 百万円
684
（補助額） （ 百万円）
392</t>
  </si>
  <si>
    <t>会社全体の売上成長目標（～2030年）
• 売上高増加額3,706百万円
• 売上高 年平均成長率 10.02％</t>
  </si>
  <si>
    <t>..\3次4次\seichotoushi_pdfs\outline_115.pdf</t>
  </si>
  <si>
    <t>.\全ページ画像\s2_outline_115.jpg</t>
  </si>
  <si>
    <t>s2_outline_116</t>
  </si>
  <si>
    <t>奥伊吹観光株式会社</t>
  </si>
  <si>
    <t>事業費 2,094百万円
（補助額） （670百万円）</t>
  </si>
  <si>
    <t>数がある当 事業費 2,0 94 百万円
もに地域を （補助額） （670百万円）</t>
  </si>
  <si>
    <t>会社全体の売上成長目標
（2024年9月期～2030年9月期）
• 売上高増加額7,320百万円
• 売上高成長率31.3％</t>
  </si>
  <si>
    <t>..\3次4次\seichotoushi_pdfs\outline_116.pdf</t>
  </si>
  <si>
    <t>.\全ページ画像\s2_outline_116.jpg</t>
  </si>
  <si>
    <t>s2_outline_117</t>
  </si>
  <si>
    <t>瀬戸内海印刷株式会社</t>
  </si>
  <si>
    <t>事業費 4,380百万円
（補助額） （1,360百万円）</t>
  </si>
  <si>
    <t>事業費 4,380百万円
（補助額）（1,360百万円）</t>
  </si>
  <si>
    <t>事業費 4,3 百万円
確実な下支え 80
（補助額）（1, 百万円）
360
ネート開発に
図＞</t>
  </si>
  <si>
    <t>目 標
会社全体の売上成長目標
(2023～2030年度)
売上高成長率：282.8％ (CAGR：16.0％)
売上高増加額：71.3億円</t>
  </si>
  <si>
    <t>..\3次4次\seichotoushi_pdfs\outline_117.pdf</t>
  </si>
  <si>
    <t>.\全ページ画像\s2_outline_117.jpg</t>
  </si>
  <si>
    <t>s2_outline_118</t>
  </si>
  <si>
    <t>株式会社光洋</t>
  </si>
  <si>
    <t>事業費 5,191百万円
（補助額） （1,134百万円）</t>
  </si>
  <si>
    <t>事業費 5,191百万円
（補助額） (1,134百万円)
立</t>
  </si>
  <si>
    <t>かない状況 事業費 5,191百万円
（補助額） (1,134百万円)
⾧基盤の確立</t>
  </si>
  <si>
    <t>会社全体の売上成⾧目標（～2031年2月期）
• 売上高年平均成⾧率8.6％
• 売上高増加額246億円</t>
  </si>
  <si>
    <t>..\3次4次\seichotoushi_pdfs\outline_118.pdf</t>
  </si>
  <si>
    <t>.\全ページ画像\s2_outline_118.jpg</t>
  </si>
  <si>
    <t>s2_outline_119</t>
  </si>
  <si>
    <t>株式会社群馬コイケ</t>
  </si>
  <si>
    <t>事業費 1612百万円
（補助額） （403百万円）</t>
  </si>
  <si>
    <t>事業費 1612百万円
（補助額） （ 百万円）
403</t>
  </si>
  <si>
    <t>会社全体の売上成長目標（直近決算～2030年度）
2024年度 2226百万円➨2030年度 5196百万円
• 売上高増加額2970百万円
• 売上高成長率15.2％</t>
  </si>
  <si>
    <t>2030年 22.26億円（PDF明記） / 2024年 51.96億円（PDF明記）</t>
  </si>
  <si>
    <t>..\3次4次\seichotoushi_pdfs\outline_119.pdf</t>
  </si>
  <si>
    <t>.\全ページ画像\s2_outline_119.jpg</t>
  </si>
  <si>
    <t>s2_outline_120</t>
  </si>
  <si>
    <t>株式会社クボテック</t>
  </si>
  <si>
    <t>事業費 1,387百万円
（補助額） （338百万円）</t>
  </si>
  <si>
    <t>事業費 1,387百万円
（補助額） （338百万円）
のイメージ】</t>
  </si>
  <si>
    <t>が増加してい
事業費 1, 百万円
応えることが 387
（補助額） （ 百万円）
338
の 【工場内部のイメージ】
ど</t>
  </si>
  <si>
    <t>会社全体の売上成長目標（～2029年）
• 売上高増加額4,691百万円
• 売上高成長率17.8％</t>
  </si>
  <si>
    <t>..\3次4次\seichotoushi_pdfs\outline_120.pdf</t>
  </si>
  <si>
    <t>.\全ページ画像\s2_outline_120.jpg</t>
  </si>
  <si>
    <t>s2_outline_121</t>
  </si>
  <si>
    <t>株式会社ヤマキ食品</t>
  </si>
  <si>
    <t>事業費 2,994百万円
（補助額） （736百万円）</t>
  </si>
  <si>
    <t>事業費 2,994百万円
（補助額）（736百万円）</t>
  </si>
  <si>
    <t>いる。当社でも、
こうした課題に
供給力の強化、 事業費 2,9 百万円
94
柔軟に対応でき （補助額） （ 百万円）
736
出と持続的な
案を
から</t>
  </si>
  <si>
    <t>会社全体の売上成長目標
(直近決算2023～2030年度)
• 売上高増加額2,439百万円
• 売上高成長率12.7% (CAGR)</t>
  </si>
  <si>
    <t>..\3次4次\seichotoushi_pdfs\outline_121.pdf</t>
  </si>
  <si>
    <t>.\全ページ画像\s2_outline_121.jpg</t>
  </si>
  <si>
    <t>s2_outline_122</t>
  </si>
  <si>
    <t>杉プラスチック工業株式会社</t>
  </si>
  <si>
    <t>事業費 20億円
（補助額） （4.9億円）</t>
  </si>
  <si>
    <t>事業費 20億円
(補助額) (4.9億円)
検査装置
ークテスター×3台</t>
  </si>
  <si>
    <t>化 ③自動化による生産性向上
止する
事業費 20 億円
備では難しい
率性が低い (補助額) (4.9億円)
検査装置
リークテスター×3台</t>
  </si>
  <si>
    <t>費する。当社はSDGs等に対応した製造工程・製品の浸透を目指す。 ワクワクする労働環境を整え、さらなる付加価値を生みだす。
〈売上成長目標〉
■2030年度の会社全体の売上高成長率268.6%増 ■2030年度に会社全体の売上高増加額42.42億円</t>
  </si>
  <si>
    <t>..\3次4次\seichotoushi_pdfs\outline_122.pdf</t>
  </si>
  <si>
    <t>.\全ページ画像\s2_outline_122.jpg</t>
  </si>
  <si>
    <t>s2_outline_125</t>
  </si>
  <si>
    <t>株式会社タンケンシールセーコウ</t>
  </si>
  <si>
    <t>事業費 4,181百万円
（補助額） （1,269百万円）</t>
  </si>
  <si>
    <t>事業費 4,181百万円
（補助額） （1,269百万円）
の導入（投資額：628百万円）
の生産能力を倍増する（従来比）
ボン材製造工程の自動化・省力化</t>
  </si>
  <si>
    <t>に対応するため 事業費 4, 百万円
181
（補助額） （1, 百万円）
269
各種生産設備の導入（投資額：628百万円）
り、カーボン材の生産能力を倍増する（従来比）
で行っていたカーボン材製造工程の自動化・省力化
働生産性の向上に繋げる
T CIP装置＞ ＜乾式CIP装置＞</t>
  </si>
  <si>
    <t>会社全体の売上成長目標（2025/3～2031/3）
• 売上高増加額：6,443百万円 （6,379→12,822百万円）
• 売上高の年平均成長率（CAGR）：12.3％</t>
  </si>
  <si>
    <t>..\3次4次\seichotoushi_pdfs\outline_125.pdf</t>
  </si>
  <si>
    <t>.\全ページ画像\s2_outline_125.jpg</t>
  </si>
  <si>
    <t>s2_outline_127</t>
  </si>
  <si>
    <t>株式会社キィポーション</t>
  </si>
  <si>
    <t>事業費 37億円
（補助額） （9.1億円）</t>
  </si>
  <si>
    <t>○売上成長目標
【2030年6月期（事業化報告3年目）における会社全体の売上目標】
会社全体の売上目標：9,603,625,177円
（基準年度である2027年6月期よりCAGR32.84％成長、＋5,507百万円増加）
 2025年6月期（決算試算）までに3,841百万円へ伸長させた売上高を、川下業者へのプ
ライベートブランド製品企画・開発・提案力・製造能力強化にて成長する海外市場へ
の規模の経済性発揮による総合流通加工サービス拡大での売上拡大を目指す。
○会社全体の1人当たり</t>
  </si>
  <si>
    <t>2025年 38.41億円（PDF明記） / 2027年 55.07億円（PDF明記）</t>
  </si>
  <si>
    <t>円/人</t>
  </si>
  <si>
    <t>人</t>
  </si>
  <si>
    <t>..\3次4次\seichotoushi_pdfs\outline_127.pdf</t>
  </si>
  <si>
    <t>.\全ページ画像\s2_outline_127.jpg</t>
  </si>
  <si>
    <t>s2_outline_130</t>
  </si>
  <si>
    <t>株式会社ピカソナチュラルズ</t>
  </si>
  <si>
    <t>事業費 59億円
（補助額） （19億円）</t>
  </si>
  <si>
    <t>社への引き 事業費 億円
59
量産化体制 （補助額） （ 億円）
19
力化を図り、</t>
  </si>
  <si>
    <t>会社全体の売上成長目標（2030年6月期 売上目標：160億円）
◼ ピカソナチュラルズ
売上高成長率：55％
⚫
売上高増加額：149億円
⚫
グループの売上目標（2030年6月期 売上目標：371億円）
◼ グループ全体
売上高成長率：20％
⚫
売上高増加額：213億円
⚫</t>
  </si>
  <si>
    <t>2030年 160億円（PDF明記） / 2030年 371億円（PDF明記）</t>
  </si>
  <si>
    <t>..\3次4次\seichotoushi_pdfs\outline_130.pdf</t>
  </si>
  <si>
    <t>.\全ページ画像\s2_outline_130.jpg</t>
  </si>
  <si>
    <t>s2_outline_131</t>
  </si>
  <si>
    <t>株式会社中村畜産</t>
  </si>
  <si>
    <t>事業費 2,138百万円
（補助額） （712百万円）</t>
  </si>
  <si>
    <t>(特に牛
肉保管ス
事業費 , 百万円
2 138
兼工場を （補助額） （ 百万円）
712
て売上拡
献する。</t>
  </si>
  <si>
    <t>会社全体の売上成長目標（～2030年度）
• 売上高増加額：20,836百万円(最新決算期比)
• 売上高成長率(CAGR)：18.3％</t>
  </si>
  <si>
    <t>..\3次4次\seichotoushi_pdfs\outline_131.pdf</t>
  </si>
  <si>
    <t>.\全ページ画像\s2_outline_131.jpg</t>
  </si>
  <si>
    <t>s2_outline_132</t>
  </si>
  <si>
    <t>株式会社コハラ</t>
  </si>
  <si>
    <t>事業費 1,618百万円
（補助額） （488百万円）</t>
  </si>
  <si>
    <t>機器販売では
事業費 1, 百万円
618
化し、機械商
（補助額） （488百万円）
生産性向上に</t>
  </si>
  <si>
    <t>承や労働力不足に悩む地域産業の持続的発展に貢献する。 技術環境に適応できる組織基盤を確立する。
〈売上成長目標〉
■2030年度の会社全体の売上高136.8億円 うち ロボットSIer事業27億円規模に成長</t>
  </si>
  <si>
    <t>2030年 136.8億円（PDF明記）</t>
  </si>
  <si>
    <t>..\3次4次\seichotoushi_pdfs\outline_132.pdf</t>
  </si>
  <si>
    <t>.\全ページ画像\s2_outline_132.jpg</t>
  </si>
  <si>
    <t>s2_outline_133</t>
  </si>
  <si>
    <t>株式会社ユタカ</t>
  </si>
  <si>
    <t>事業費 1,613百万円
（補助額） （536百万円）</t>
  </si>
  <si>
    <t>見込まれる
なく、当社へ
事業費 1,61 百万円
3
力はない
（補助額） （53 6 百万円）
大を目指す
術承継
＜新工場イメージ図＞</t>
  </si>
  <si>
    <t>会社全体の売上成長目標
(2025/3期～2030/3期)
売上高成長率：212.6％ (CAGR：16.3％)
売上高増加額：43.4億円</t>
  </si>
  <si>
    <t>..\3次4次\seichotoushi_pdfs\outline_133.pdf</t>
  </si>
  <si>
    <t>.\全ページ画像\s2_outline_133.jpg</t>
  </si>
  <si>
    <t>s2_outline_134</t>
  </si>
  <si>
    <t>池田薬品工業株式会社</t>
  </si>
  <si>
    <t>事業費 30億円
（補助額） （7.5億円）</t>
  </si>
  <si>
    <t>事業費 30億円
（補助額） （7.5億円）
本事業にて製造能力を強化
する製品</t>
  </si>
  <si>
    <t>実現
下落の中で、
事業費 30億円
品への指定 （補助額） （7.5億円）
獲得といっ
で、22世紀を 本事業にて製造能力を強化
する製品
備えた大型専
人化・省力化</t>
  </si>
  <si>
    <t>○会社全体の売上成長目標
【2030年9月期（事業化報告3年目）における会社全体売上目標：5,070,996,321円
（基準年度よりCAGR54.60%、＋3,699百万円増加）
 競合他社が少なく薬価向上が期待できる薬物溶解型、分散・乳化型製剤での国内市場の更なる開拓
による補助事業売上高380.6%UPにて会社全体売上高のCAGR54.60%での成長を目指す。
○会社全体の1人当たり</t>
  </si>
  <si>
    <t>2030年 50.70996321億円（PDF明記）</t>
  </si>
  <si>
    <t>..\3次4次\seichotoushi_pdfs\outline_134.pdf</t>
  </si>
  <si>
    <t>.\全ページ画像\s2_outline_134.jpg</t>
  </si>
  <si>
    <t>s2_outline_135</t>
  </si>
  <si>
    <t>株式会社リバイト</t>
  </si>
  <si>
    <t>事業費 ４9億円
（補助額） （1４億円）</t>
  </si>
  <si>
    <t>事業費
（補助額）
４9億円
(1４億円)</t>
  </si>
  <si>
    <t>ノウハウ、強
事業費
（南あわじ
（補助額）
トダウンを図
４9億円
る。 (1４億円)
＋フロントラウンジ棟１を建築。</t>
  </si>
  <si>
    <t>当社売上増加目標
合計：2025年2月期11.2億円→2031年2月期27.8億円、増加額16.6億円、CAGR16.3%
住宅機器通販事業：8.0→9.0、増加1.0、CAGR2.0%
リゾート事業：3.3→18.9、増加15.6、CAGR33.9%</t>
  </si>
  <si>
    <t>2025年 11.2億円（PDF明記・合計） / 2031年 27.8億円（PDF明記・合計）</t>
  </si>
  <si>
    <t>..\3次4次\seichotoushi_pdfs\outline_135.pdf</t>
  </si>
  <si>
    <t>.\全ページ画像\s2_outline_135.jpg</t>
  </si>
  <si>
    <t>s2_outline_136</t>
  </si>
  <si>
    <t>木本製菓株式会社</t>
  </si>
  <si>
    <t>事業費 49億円
（補助額） （7.5億円）</t>
  </si>
  <si>
    <t>事業費 49億円
（補助額） （7.5億円）
建設。</t>
  </si>
  <si>
    <t>１５０㎡の 事業費 49 億円
（補助額） （ 7.5 億円）
新しいホテルを建設。</t>
  </si>
  <si>
    <t>売上成長目標（～2030年度〈2031年4月期〉）
年平均成長率（対基準年度）：+17.68%/年
増加額（対基準年度）：+11.37億円〈+163%〉</t>
  </si>
  <si>
    <t>..\3次4次\seichotoushi_pdfs\outline_136.pdf</t>
  </si>
  <si>
    <t>.\全ページ画像\s2_outline_136.jpg</t>
  </si>
  <si>
    <t>s2_outline_137</t>
  </si>
  <si>
    <t>株式会社　博多屋</t>
  </si>
  <si>
    <t>株式会社 博多屋</t>
  </si>
  <si>
    <t>観光・ビ
事業費 12億円
（補助額） （4.0億円）
ンド需要
を受け入
体となる。</t>
  </si>
  <si>
    <t>売上成⾧目標
（対2025年2月期）
・2029年２月期までの会社全体の売上高 13.4億円
148.1％
・2029年２月期までの会社全体の売上高成⾧率
・2029年２月期までの会社全体の売上高増加額 4.35億円
ニューブランドホテル （ 98室 売上高 2.4億円）
佐世保ワシントンホテル （190室 売上高 7.8億円）
佐世保グリーンホテル （ 92室 売上高 3.2億円）</t>
  </si>
  <si>
    <t>2025年 13.4億円（PDF明記） / 2029年 13.4億円（PDF明記）</t>
  </si>
  <si>
    <t>..\3次4次\seichotoushi_pdfs\outline_137.pdf</t>
  </si>
  <si>
    <t>.\全ページ画像\s2_outline_137.jpg</t>
  </si>
  <si>
    <t>s2_outline_138</t>
  </si>
  <si>
    <t>株式会社ジーケーエス</t>
  </si>
  <si>
    <t>事業費 2,495百万円
（補助額） （832百万円）</t>
  </si>
  <si>
    <t>増加している。 事業費 2, 百万円
495
の低さから安定 （補助額） （ 百万円）
832</t>
  </si>
  <si>
    <t>会社全体の売上成長目標
（2024年6月期～2031年6月期）
• 売上高増加額23,283百万円
• 売上高成長率15.9％</t>
  </si>
  <si>
    <t>..\3次4次\seichotoushi_pdfs\outline_138.pdf</t>
  </si>
  <si>
    <t>.\全ページ画像\s2_outline_138.jpg</t>
  </si>
  <si>
    <t>s2_outline_139</t>
  </si>
  <si>
    <t>株式会社エルス</t>
  </si>
  <si>
    <t>事業費 2,151百万円
（補助額） （640百万円）</t>
  </si>
  <si>
    <t>産数量増加
事業費 , 百万円
2 151
能な次世代
（補助額） （6 百万円）
40</t>
  </si>
  <si>
    <t>用した新たな収益機会を創出し、物流の枠を超えた総合サービスを展開。 の創出により働きがいのある組織風土を醸成する。
〈売上成長目標〉
※CAGRは2025年度~2029年度の数字
■2029年度の会社全体の売上高10,884百万円（CAGR※26％）・営業利益2,367百万円（CAGR※85%）</t>
  </si>
  <si>
    <t>2029年 108.84億円（PDF明記）</t>
  </si>
  <si>
    <t>..\3次4次\seichotoushi_pdfs\outline_139.pdf</t>
  </si>
  <si>
    <t>.\全ページ画像\s2_outline_139.jpg</t>
  </si>
  <si>
    <t>s2_outline_141</t>
  </si>
  <si>
    <t>古川電気工業株式会社</t>
  </si>
  <si>
    <t>古川工業株式会社</t>
  </si>
  <si>
    <t>事業費 2,131百万円
（補助額） （596百万円）</t>
  </si>
  <si>
    <t>古川電気工業
株式会社
事業費 2,131百万円
（補助額） （596百万円）
ウトのイメージ</t>
  </si>
  <si>
    <t>古川電気工業
据えた事業
株式会社
事業費 , 百万円
2 131
で、製品輸 （補助額） （596百万円）
工場レイアウトのイメージ
最新設備
導入</t>
  </si>
  <si>
    <t>会社全体の売上成長目標
（2025年3月期～2032年3月期）
【コンソーシアム合計】
◼ 売上高増加額12,252百万円（目標：20,000百万円）
◼ 売上高年平均成長率14.5％
【古川電気工業単体】
◼ 売上高増加額9,982百万円 （目標：16,500百万円）
◼ 売上高年平均成長率14.2％
【古川工業単体】
◼ 売上高増加額2,270百万円 （目標：3,500百万円）
◼ 売上高年平均成長率16.1％</t>
  </si>
  <si>
    <t>2025年 122.52億円（PDF明記） / 2032年 200億円（PDF明記）</t>
  </si>
  <si>
    <t>..\3次4次\seichotoushi_pdfs\outline_141.pdf</t>
  </si>
  <si>
    <t>.\全ページ画像\s2_outline_141.jpg</t>
  </si>
  <si>
    <t>s2_outline_143</t>
  </si>
  <si>
    <t>株式会社ライズクリエイション</t>
  </si>
  <si>
    <t>事業費 2,630百万円
（補助額） （859百万円）</t>
  </si>
  <si>
    <t>される
事業費 2, 百万円
630
（補助額） （859百万円）
図り、
の
拡張</t>
  </si>
  <si>
    <t>会社全体の売上成長目標（～2030年度）
• 売上高増加額11,400百万円
• 売上高成長率21.8％</t>
  </si>
  <si>
    <t>..\3次4次\seichotoushi_pdfs\outline_143.pdf</t>
  </si>
  <si>
    <t>.\全ページ画像\s2_outline_143.jpg</t>
  </si>
  <si>
    <t>s2_outline_144</t>
  </si>
  <si>
    <t>株式会社シー・エス・ケイ</t>
  </si>
  <si>
    <t>事業費 1,769百万円
（補助額） （590百万円）</t>
  </si>
  <si>
    <t>事業費 1,769百万円
（補助額） （590百万円）
自動化設備例
無人搬送フォークリフト</t>
  </si>
  <si>
    <t>事業費 1, 百万円
769
（補助額） （ 百万円）
590
導入する自動化設備例
自動クレーン 無人搬送フォークリフト</t>
  </si>
  <si>
    <t>会社全体の売上成長目標（～2030年）
・売上高増加額：10,900百万円 ・売上高成長率：30.0%</t>
  </si>
  <si>
    <t>..\3次4次\seichotoushi_pdfs\outline_144.pdf</t>
  </si>
  <si>
    <t>.\全ページ画像\s2_outline_144.jpg</t>
  </si>
  <si>
    <t>s2_outline_145</t>
  </si>
  <si>
    <t>株式会社シャノワール</t>
  </si>
  <si>
    <t>事業費 31億円
（補助額） （9.8億円）</t>
  </si>
  <si>
    <t>事業費 31億円
（補助額）（9.8億円）</t>
  </si>
  <si>
    <t>託に依存
が困難
事業費 31 億円
（補助額）（9.8億円）
化による
込み
新工場の概要
工場用地購入済：</t>
  </si>
  <si>
    <t>売上成長目標
【直近：2025年3月期】 【事業化３年目：2031年3月期】
売上高 1,686百万円 売上高 5,091百万円
営業利益 167百万円 営業利益 1,033百万円
売上高増加額 3,405百万円
売上高成長率 301.9％</t>
  </si>
  <si>
    <t>2025年 16.86億円（PDF明記） / 2025年 16.86億円（PDF明記）</t>
  </si>
  <si>
    <t>..\3次4次\seichotoushi_pdfs\outline_145.pdf</t>
  </si>
  <si>
    <t>.\全ページ画像\s2_outline_145.jpg</t>
  </si>
  <si>
    <t>s2_outline_146</t>
  </si>
  <si>
    <t>セーレンアドバンストマテリアルズ株式会社</t>
  </si>
  <si>
    <t>事業費 4,353百万円
（補助額） （1,411百万円）</t>
  </si>
  <si>
    <t>る
事業費 4,3 53 百万円
（補助額） （1,4 11 百万円）
投資額
00百万円</t>
  </si>
  <si>
    <t>会社全体の売上成長目標（～2030年）
• 売上高増加額46億円（2024年比）
• 売上高年平均成長率19％</t>
  </si>
  <si>
    <t>..\3次4次\seichotoushi_pdfs\outline_146.pdf</t>
  </si>
  <si>
    <t>.\全ページ画像\s2_outline_146.jpg</t>
  </si>
  <si>
    <t>s2_outline_147</t>
  </si>
  <si>
    <t>株式会社　進和</t>
  </si>
  <si>
    <t>株式会社 進和</t>
  </si>
  <si>
    <t>事業費 3,473百万円
（補助額） （699百万円）</t>
  </si>
  <si>
    <t>事業費 3,473百万円
（補助額） （699百万円）
春日井第2事業所</t>
  </si>
  <si>
    <t>社事業所の 事業費 ,47 百万円
3 3
指す （補助額） （ 百万円）
699
春日井第2事業所</t>
  </si>
  <si>
    <t>売上高成長率明記</t>
  </si>
  <si>
    <t>最終年度（2031年8月期）単体業績目標：売上高成長率10.3%、売上高増加額335億円</t>
  </si>
  <si>
    <t>..\3次4次\seichotoushi_pdfs\outline_147.pdf</t>
  </si>
  <si>
    <t>.\全ページ画像\s2_outline_147.jpg</t>
  </si>
  <si>
    <t>s2_outline_148</t>
  </si>
  <si>
    <t>丹羽鋳造株式会社</t>
  </si>
  <si>
    <t>事業費 1,300百万円
（補助額） （372百万円）</t>
  </si>
  <si>
    <t>ルで考える事
なっている出 事業費 1, 300 百万円
自働化、省 （補助額） （372百万円）</t>
  </si>
  <si>
    <t>会社全体の売上成長目標（2030年度 :5年後）
4月期
• 売上高成長率 121.5％（基準年度比）で年平均40.5%up
• 売上高増加額 99億円（売上高180億円突破）</t>
  </si>
  <si>
    <t>2030年 180億円（PDF明記）</t>
  </si>
  <si>
    <t>..\3次4次\seichotoushi_pdfs\outline_148.pdf</t>
  </si>
  <si>
    <t>.\全ページ画像\s2_outline_148.jpg</t>
  </si>
  <si>
    <t>s2_outline_149</t>
  </si>
  <si>
    <t>株式会社サン海苔</t>
  </si>
  <si>
    <t>事業費 1,388百万円
（補助額） （426百万円）</t>
  </si>
  <si>
    <t>事業費 1,388百万円
（補助額）（426百万円）
）</t>
  </si>
  <si>
    <t>行体制では将 事業費 1,388百万円
（補助額） （426百万円）
持続的な事業
（解決すべき課題）
制構築による製造能力増加
省人化に資する設備投資で原価低減・品質安定</t>
  </si>
  <si>
    <t>会社全体の売上成長目標
（2025年9月期～2030年9月期）
• 売上高増加額 ＋3,139百万円
• 売上高年平均成長率 14.0％</t>
  </si>
  <si>
    <t>..\3次4次\seichotoushi_pdfs\outline_149.pdf</t>
  </si>
  <si>
    <t>.\全ページ画像\s2_outline_149.jpg</t>
  </si>
  <si>
    <t>s2_outline_150</t>
  </si>
  <si>
    <t>株式会社玉子屋</t>
  </si>
  <si>
    <t>多いことを確認。
事業費 34億円
場が必要となる
（補助額） （10億円）
継続のため、
工場イメージ</t>
  </si>
  <si>
    <t>会社全体の売上成長目標（～2030年度）
• 売上高増加額＋8,212百万円
• 売上高成長率＋155％</t>
  </si>
  <si>
    <t>..\3次4次\seichotoushi_pdfs\outline_150.pdf</t>
  </si>
  <si>
    <t>.\全ページ画像\s2_outline_150.jpg</t>
  </si>
  <si>
    <t>s2_outline_152</t>
  </si>
  <si>
    <t>株式会社大熊製作所</t>
  </si>
  <si>
    <t>事業費 4,775百万円
（補助額） （1,533百万円）</t>
  </si>
  <si>
    <t>事業費 4,775百万円
（補助額）（1,533百万円）</t>
  </si>
  <si>
    <t>定供給を受け
求を満たす塗
貫生産ができ 事業費 4 ,7 75 百万円
（補助額）（1, 百万円）
533
要求に応える。
働生産性も
新工場イメージ図
金</t>
  </si>
  <si>
    <t>会社全体の売上成長目標（～2030年）
• 売上高増加額8,094百万円 ※基準年度(2027年)比
• 売上高成長率298.1％ ※基準年度(2027年)比</t>
  </si>
  <si>
    <t>..\3次4次\seichotoushi_pdfs\outline_152.pdf</t>
  </si>
  <si>
    <t>.\全ページ画像\s2_outline_152.jpg</t>
  </si>
  <si>
    <t>s2_outline_153</t>
  </si>
  <si>
    <t>コモライフ株式会社</t>
  </si>
  <si>
    <t>事業費 3,200百万円
（補助額） （1,060百万円）</t>
  </si>
  <si>
    <t>事業費 3,200百万円
（補助額） (1,060百万円)</t>
  </si>
  <si>
    <t>る利益改善
事業費 3 , 200 百万円
（補助額） (1, 060 百万円)</t>
  </si>
  <si>
    <t>会社全体の売上成長目標（2030年度）
• 売上高増加額＋22,542百万円（2023年度比）
• 売上高成長率＋302.2％（2023年度比）</t>
  </si>
  <si>
    <t>..\3次4次\seichotoushi_pdfs\outline_153.pdf</t>
  </si>
  <si>
    <t>.\全ページ画像\s2_outline_153.jpg</t>
  </si>
  <si>
    <t>s2_outline_154</t>
  </si>
  <si>
    <t>アルフレッド株式会社</t>
  </si>
  <si>
    <t>事業費 1,635百万円
（補助額） （516百万円）</t>
  </si>
  <si>
    <t>事業費 1,635百万円
（補助額）（516百万円）</t>
  </si>
  <si>
    <t>すでに浜松に
28年には増
合し、国内最 事業費 1,635百万円
（補助額）（516百万円）
←アスベスト分析用
偏光顕微鏡</t>
  </si>
  <si>
    <t>会社全体の売上成長目標（～2030年）
売上高：2024年7億円、2025年13億円、2026年25億円、2027年35億円、2028年40億円、2029年45億円、2030年50億円</t>
  </si>
  <si>
    <t>2024年 7億円（PDF明記） / 2025年 13億円（PDF明記） / 2026年 25億円（PDF明記） / 2027年 35億円（PDF明記） / 2028年 40億円（PDF明記） / 2029年 45億円（PDF明記） / 2030年 50億円（PDF明記）</t>
  </si>
  <si>
    <t>..\3次4次\seichotoushi_pdfs\outline_154.pdf</t>
  </si>
  <si>
    <t>.\全ページ画像\s2_outline_154.jpg</t>
  </si>
  <si>
    <t>s2_outline_155</t>
  </si>
  <si>
    <t>信和化工株式会社</t>
  </si>
  <si>
    <t>事業費 1,510百万円
（補助額） （429百万円）</t>
  </si>
  <si>
    <t>事業費 1, 百万円
510
（補助額） （4 9百万円）
2</t>
  </si>
  <si>
    <t>会社全体の売上成長目標（～2030年）
• 売上高増加額908百万円
• 売上高成長率15％</t>
  </si>
  <si>
    <t>..\3次4次\seichotoushi_pdfs\outline_155.pdf</t>
  </si>
  <si>
    <t>.\全ページ画像\s2_outline_155.jpg</t>
  </si>
  <si>
    <t>s2_outline_156</t>
  </si>
  <si>
    <t>上野ロジケム株式会社</t>
  </si>
  <si>
    <t>事業費 3,541百万円
（補助額） （943百万円）</t>
  </si>
  <si>
    <t>事業費 3,541百万円
（補助額） 943百万円</t>
  </si>
  <si>
    <t>ロット対応
事業費 3,541百万円
（補助額） 943百万円
ていない
事業実施場所</t>
  </si>
  <si>
    <t>2024年度 2027年度 2030年度
※2023年度とは
2024年6月期決算 (直近年度) (基準年度) (最終年度)
売上高 75億円 91億円 152億円
付加価値額 9.4億円 12.5億円 30.2億円</t>
  </si>
  <si>
    <t>2024年 75億円（PDF明記）</t>
  </si>
  <si>
    <t>..\3次4次\seichotoushi_pdfs\outline_156.pdf</t>
  </si>
  <si>
    <t>.\全ページ画像\s2_outline_156.jpg</t>
  </si>
  <si>
    <t>s2_outline_157</t>
  </si>
  <si>
    <t>株式会社ワイズマート</t>
  </si>
  <si>
    <t>事業費 5,818百万円
（補助額） （1,917百万円）</t>
  </si>
  <si>
    <t>事業費 5,818百万円
（補助額） （1,917百万円）
システム投資・DXも実施
2階）を設置。</t>
  </si>
  <si>
    <t>ことにハードル
が難しい、他
事業費 5,818百万円
営状況
（補助額） （1,917百万円）
上（必要
を設立、各種システム投資・DXも実施
＆AutoStore（2階）を設置。
グロッサリーの提供に寄与
導
セ プ
入</t>
  </si>
  <si>
    <t>売上成長目標（27年2月期比較）
•
30年2月期までに会社全体の売上高成長率13％
•
30年2月期までに会社全体の売上高増加額259億円</t>
  </si>
  <si>
    <t>..\3次4次\seichotoushi_pdfs\outline_157.pdf</t>
  </si>
  <si>
    <t>.\全ページ画像\s2_outline_157.jpg</t>
  </si>
  <si>
    <t>s2_outline_158</t>
  </si>
  <si>
    <t>株式会社セントラルフード</t>
  </si>
  <si>
    <t>事業費 3,023百万円
（補助額） （625百万円）</t>
  </si>
  <si>
    <t>ーズの拡大。
事業費 , 百万円
3 023
（補助額） （ 百万円）
625
必要となる。</t>
  </si>
  <si>
    <t>加工で培った生産技術を惣菜製造に応用し新たな収益の柱構築。 境を整備し、女性管理職比率向上と従業員の帰属意識強化を図る。
〈売上成長目標〉
※CAGRは基準年度の前年と事業化3年目の期間で算出
■2030年度の会社全体の売上高10,842百万円（CAGR※15%）・営業利益700百万円（CAGR※70%）</t>
  </si>
  <si>
    <t>2030年 108.42億円（PDF明記）</t>
  </si>
  <si>
    <t>..\3次4次\seichotoushi_pdfs\outline_158.pdf</t>
  </si>
  <si>
    <t>.\全ページ画像\s2_outline_158.jpg</t>
  </si>
  <si>
    <t>s2_outline_159</t>
  </si>
  <si>
    <t>株式会社　ファーストライン</t>
  </si>
  <si>
    <t>株式会社 ファーストライン</t>
  </si>
  <si>
    <t>事業費 1,624百万円
（補助額） （397百万円）</t>
  </si>
  <si>
    <t>事業費 1,624百万円
（補助額） (397百万円）
ど機械設備およびシステムを導入する。
～20℃）常温という今後、物流に求</t>
  </si>
  <si>
    <t>市場ニーズ
庫を導入す 事業費 1, 百万円
624
ビス （補助額） ( 百万円）
397
な移動ラックなど機械設備およびシステムを導入する。
）、定温（15～20℃）常温という今後、物流に求
る経費削減や脱炭素に寄与する太陽光発電設備
の更なる拡大による売上高増、付加価値額増によ</t>
  </si>
  <si>
    <t>会社全体の売上成長目標（27年～30年）
• 売上高増加額：1,060百万円
• 売上高成長率：18.0％(年率平均）</t>
  </si>
  <si>
    <t>..\3次4次\seichotoushi_pdfs\outline_159.pdf</t>
  </si>
  <si>
    <t>.\全ページ画像\s2_outline_159.jpg</t>
  </si>
  <si>
    <t>s2_outline_160</t>
  </si>
  <si>
    <t>株式会社ダイドー</t>
  </si>
  <si>
    <t>事業費 1,569百万円
（補助額） （371百万円）</t>
  </si>
  <si>
    <t>を設ける
や加工技
事業費 1, 百万円
新分野・ 569
体制の再 （補助額） （ 371 百万円）
計画。
共有しており、特に
既存顧客以外へ
部購入が多くなって</t>
  </si>
  <si>
    <t>会社全体の売上成長目標（2029年度）
• 売上高増加額(2023年度比）：7,407百万円
• 売上高成長率：23.1％（CAGR）
• 給与支給総額：6.5％（CAGR）</t>
  </si>
  <si>
    <t>..\3次4次\seichotoushi_pdfs\outline_160.pdf</t>
  </si>
  <si>
    <t>.\全ページ画像\s2_outline_160.jpg</t>
  </si>
  <si>
    <t>s2_outline_161</t>
  </si>
  <si>
    <t>株式会社デイリーエッグ</t>
  </si>
  <si>
    <t>事業費 3,042百万円
（補助額） （974百万円）</t>
  </si>
  <si>
    <t>事業費 3,042百万円
（補助額）（974百万円）
資額 うち補助対象額
1,950 1,950</t>
  </si>
  <si>
    <t>貢献する。
調理場でも
事業費 3,042百万円
（補助額） （974百万円）
業の生産能力
投資額 うち補助対象額
1,950 1,950
218 218
20 20</t>
  </si>
  <si>
    <t>■会社全体の売上成長目標
• 2029年度売上高：290億円
• 2029年度までの売上高増加額：101億円
• 2029年度までの売上高成長率：7.4％</t>
  </si>
  <si>
    <t>2029年 290億円（PDF明記）</t>
  </si>
  <si>
    <t>..\3次4次\seichotoushi_pdfs\outline_161.pdf</t>
  </si>
  <si>
    <t>.\全ページ画像\s2_outline_161.jpg</t>
  </si>
  <si>
    <t>s2_outline_162</t>
  </si>
  <si>
    <t>三恵株式会社</t>
  </si>
  <si>
    <t>事業費 4,764百万円
（補助額） （1,170百万円）</t>
  </si>
  <si>
    <t>事業費 4,764百万円
（補助額） (1,170百万円)
⻑基盤確⽴</t>
  </si>
  <si>
    <t>事業費 4,764百万円
須 （補助額） (1,170百万円)
と中⻑期成⻑基盤確⽴</t>
  </si>
  <si>
    <t>会社全体の売上成⻑⽬標（〜31年3⽉期）
• 売上⾼年平均成⻑率8.9％
• 売上⾼増加額120億円
会社全体の賃上げ⽬標
• 2.5%（直近事業年度〜基準年度）
• 7.0%（基準年度〜事業化報告3年⽬）</t>
  </si>
  <si>
    <t>..\3次4次\seichotoushi_pdfs\outline_162.pdf</t>
  </si>
  <si>
    <t>.\全ページ画像\s2_outline_162.jpg</t>
  </si>
  <si>
    <t>s2_outline_163</t>
  </si>
  <si>
    <t>MHT株式会社</t>
  </si>
  <si>
    <t>事業費 1,524百万円
（補助額） （375百万円）</t>
  </si>
  <si>
    <t>目標を達成する。
に開始しており、 事業費 1,5 24 百万円
おり、展示会 （補助額） （ 百万円）
375
実施した。
りも大型化の</t>
  </si>
  <si>
    <t>会社全体の売上成長目標（～2030年）
現状（直近決算期の実績）
• 2024年12月期の会社全体の売上高75億円
計画の最終年の目標（2030年12月期）
• 会社全体の売上高150億円
• 会社全体の売上高成長率100％
• 会社全体の売上高増加額75億円</t>
  </si>
  <si>
    <t>2030年 75億円（PDF明記） / 2030年 75億円（PDF明記）</t>
  </si>
  <si>
    <t>..\3次4次\seichotoushi_pdfs\outline_163.pdf</t>
  </si>
  <si>
    <t>.\全ページ画像\s2_outline_163.jpg</t>
  </si>
  <si>
    <t>s2_outline_164</t>
  </si>
  <si>
    <t>株式会社東豊精工</t>
  </si>
  <si>
    <t>事業費 2,331百万円
（補助額） （550百万円）</t>
  </si>
  <si>
    <t>事業費 2, 百万円
331
方を大幅に増強
（補助額） （ 百万円）
550
策とする</t>
  </si>
  <si>
    <t>会社全体の売上成長目標（～2030年）
• 売上高増加額21.4億円
• 売上高成長率14.8％</t>
  </si>
  <si>
    <t>..\3次4次\seichotoushi_pdfs\outline_164.pdf</t>
  </si>
  <si>
    <t>.\全ページ画像\s2_outline_164.jpg</t>
  </si>
  <si>
    <t>s2_outline_165</t>
  </si>
  <si>
    <t>株式会社南鐵建</t>
  </si>
  <si>
    <t>事業費 2,214百万円
（補助額） （648百万円）</t>
  </si>
  <si>
    <t>事業費 2,214百万円
（補助額） （648百万円）
（単位：百万円）
備投資の名称 金額</t>
  </si>
  <si>
    <t>事業費 , 百万円
2 214
（補助額） （64 百万円）
8
（単位：百万円）
設備投資の名称 金額
１．新本社工場 (1,548)
① 新本社工場の建設、空調設置 673
② 溶接ロボット 77</t>
  </si>
  <si>
    <t>◆会社全体の売上成長目標
（基準：2024年9月期 目標年度：2031年9月期）
• 売上高増加額 20,651百万円（同成長率 106％）
◆会社全体の賃上目標
• 1.43％（直近事業年度～基準年度）
• 6.44％（基準年度～事業化後3年目）</t>
  </si>
  <si>
    <t>..\3次4次\seichotoushi_pdfs\outline_165.pdf</t>
  </si>
  <si>
    <t>.\全ページ画像\s2_outline_165.jpg</t>
  </si>
  <si>
    <t>s2_outline_166</t>
  </si>
  <si>
    <t>株式会社新潟食品運輸</t>
  </si>
  <si>
    <t>事業費 3,109百万円
（補助額） （1,015百万円）</t>
  </si>
  <si>
    <t>事業費 3,109百万円
（補助額） （1,015百万円）
市江南区丸山ノ内善之丞組1148番地
第2センター敷地内)</t>
  </si>
  <si>
    <t>ズが急増。
事業費 3, 百万円
109
分離。 （補助額） （1, 百万円）
015
る。
新潟市江南区丸山ノ内善之丞組1148番地
予定地
(NCL第2センター敷地内)
床面積 6,840㎡</t>
  </si>
  <si>
    <t>会社全体の売上成長目標（～2031年）
• 2031年までに会社全体の売上高240億円
• 売上高増加額99.1億円(直近期比)
• 売上高成長率9.3%(25.3期～31.3期)</t>
  </si>
  <si>
    <t>2031年 240億円（PDF明記）</t>
  </si>
  <si>
    <t>..\3次4次\seichotoushi_pdfs\outline_166.pdf</t>
  </si>
  <si>
    <t>.\全ページ画像\s2_outline_166.jpg</t>
  </si>
  <si>
    <t>s2_outline_167</t>
  </si>
  <si>
    <t>株式会社カネヒロ</t>
  </si>
  <si>
    <t>事業費 1,243百万円
（補助額） （309百万円）</t>
  </si>
  <si>
    <t>事業費 1,243百万円
（補助額） （309百万円）
行う。
び生産性を格段に向上させる計画。</t>
  </si>
  <si>
    <t>路の開拓・ 事業費 1, 243 百万円
（補助額） （ 309 百万円）
。熊本工場
百万円へ投資を行う。
で生産能力および生産性を格段に向上させる計画。
新規製品の受注や新規領域へ参入を目指す。設計・開発
作から量産案件の獲得に繋げていく。
所については工場外と導線が複雑である。本事業への投資に</t>
  </si>
  <si>
    <t>会社全体の売上成長目標（～2030年）
• 売上高増加額52億円
• 売上高成長率（年平均成長率）10.8%</t>
  </si>
  <si>
    <t>..\3次4次\seichotoushi_pdfs\outline_167.pdf</t>
  </si>
  <si>
    <t>.\全ページ画像\s2_outline_167.jpg</t>
  </si>
  <si>
    <t>s2_outline_168</t>
  </si>
  <si>
    <t>明和工業株式会社</t>
  </si>
  <si>
    <t>株式会社ヨシカワ機械</t>
  </si>
  <si>
    <t>事業費 2,195百万円
（補助額） （712百万円）</t>
  </si>
  <si>
    <t>2,195百万円
（712百万円）
事業費
以下明和工業分
（補助額）
1,718百万
（555百万）</t>
  </si>
  <si>
    <t>, 百万円
ング事業の 2 195
（ 百万円）
械設備の導 事業費 712
以下明和工業分
新卒）の確 （補助額）
, 百万
1 718
要となる
（ 百万）
555</t>
  </si>
  <si>
    <t>会社全体の売上成長目標（2025年3月期～2031年3月期）
【明和工業】
・売上増加額 約168.4億円（2030年目標値247.5億円）
・年平均売上高成長率CAGR＝20.9％
【ヨシカワ機械】
・売上増加額 約35.6億円（2030年目標値39.4億円）
・年平均売上高成長率CAGR＝47.6％</t>
  </si>
  <si>
    <t>2025年 168.4億円（PDF明記） / 2031年 247.5億円（PDF明記）</t>
  </si>
  <si>
    <t>事業費未解析 / 補助額未解析</t>
  </si>
  <si>
    <t>..\3次4次\seichotoushi_pdfs\outline_168.pdf</t>
  </si>
  <si>
    <t>.\全ページ画像\s2_outline_168.jpg</t>
  </si>
  <si>
    <t>s2_outline_170</t>
  </si>
  <si>
    <t>鈴木鉄工株式会社</t>
  </si>
  <si>
    <t>事業費 2,535百万円
（補助額） （843百万円）</t>
  </si>
  <si>
    <t>事業費 2,535百万円
（補助額）（ 百万円）
843</t>
  </si>
  <si>
    <t>化
念
事業費
2, 百万円
対応 535
（補助額）
（ 百万円）
品製造効率化 843</t>
  </si>
  <si>
    <t>会社全体の売上成長目標（直近決算～2031年）
• 売上高成長率：年平均成長率 12.5%
• 売上高増加額：152億円</t>
  </si>
  <si>
    <t>..\3次4次\seichotoushi_pdfs\outline_170.pdf</t>
  </si>
  <si>
    <t>.\全ページ画像\s2_outline_170.jpg</t>
  </si>
  <si>
    <t>s2_outline_171</t>
  </si>
  <si>
    <t>オギハラ食品株式会社</t>
  </si>
  <si>
    <t>事業費 4,192百万円
（補助額） （1,171百万円）</t>
  </si>
  <si>
    <t>事業費 4,192百万円
（補助額） （1,171百万円）
数値確定後記入</t>
  </si>
  <si>
    <t>築する
事業費 4,192百万円
（補助額） （1,171百万円）
数値確定後記入</t>
  </si>
  <si>
    <t>会社全体の売上成長目標（基準年度～2030年度）
• 売上高増加額3,143百万円
• 売上高成長率49.4％</t>
  </si>
  <si>
    <t>..\3次4次\seichotoushi_pdfs\outline_171.pdf</t>
  </si>
  <si>
    <t>.\全ページ画像\s2_outline_171.jpg</t>
  </si>
  <si>
    <t>s2_outline_172</t>
  </si>
  <si>
    <t>株式会社環境整備産業</t>
  </si>
  <si>
    <t>事業費 1,777百万円
（補助額） （557百万円）</t>
  </si>
  <si>
    <t>事業費 1,777百万円
（補助額） （557百万円）
備イメージ</t>
  </si>
  <si>
    <t>業者が極めて
8％、廃酸・廃
事業費 1,7 百万円
77
スク増加など、
（補助額） （5 百万円）
57
解決
図る。
廃棄物焼却設備イメージ</t>
  </si>
  <si>
    <t>会社全体の売上成長目標(2024年9月期-2030年9月期)
• 売上高増加額：+22.8億円
• 売上高成長率：年平均成長率+12.0％</t>
  </si>
  <si>
    <t>..\3次4次\seichotoushi_pdfs\outline_172.pdf</t>
  </si>
  <si>
    <t>.\全ページ画像\s2_outline_172.jpg</t>
  </si>
  <si>
    <t>s2_outline_174</t>
  </si>
  <si>
    <t>ナカネ新建材株式会社</t>
  </si>
  <si>
    <t>事業費 2,268百万円
（補助額） （709百万円）</t>
  </si>
  <si>
    <t>。属人的な
事業費 2, 百万円
268
精度を向上。 （補助額） （ 百万円）
709</t>
  </si>
  <si>
    <t>会社全体の売上成長目標（～2030年）
• 売上高171億円
• 売上高増加額106億円
• 売上高成長率163％（直近期末→30年10月期）</t>
  </si>
  <si>
    <t>2030年 171億円（PDF明記）</t>
  </si>
  <si>
    <t>..\3次4次\seichotoushi_pdfs\outline_174.pdf</t>
  </si>
  <si>
    <t>.\全ページ画像\s2_outline_174.jpg</t>
  </si>
  <si>
    <t>s2_outline_175</t>
  </si>
  <si>
    <t>化成工業株式会社</t>
  </si>
  <si>
    <t>事業費 1,702百万円
（補助額） （398百万円）</t>
  </si>
  <si>
    <t>けて大規模な成長を遂げていく
ている。
事業費 , 百万円
1 702
足している
（補助額） （ 百万円）
398
なく、大型
庫・出庫及
化しながら
る
大型成形機 大容量の自動倉庫
うになる</t>
  </si>
  <si>
    <t>• 大型部品の受注が大きく伸び
2025年3月期 2031年3月期 売上高成長率
トルネックを解消しないと成長
（直近年度） （6年後）
難しいものの、当社が対応で
売上高 58.6億円 114.7億円 CAGR11.8％ る⇒今後の大型部品の受注
増加額：＋56.1億円
• 協力会社に一部製造を委託
善できれば、大きな成長が見</t>
  </si>
  <si>
    <t>2025年 58.6億円（PDF明記） / 2031年 114.7億円（PDF明記）</t>
  </si>
  <si>
    <t>..\3次4次\seichotoushi_pdfs\outline_175.pdf</t>
  </si>
  <si>
    <t>.\全ページ画像\s2_outline_175.jpg</t>
  </si>
  <si>
    <t>s2_outline_176</t>
  </si>
  <si>
    <t>北アルプス飲料株式会社</t>
  </si>
  <si>
    <t>事業費 132億円
（補助額） （40億円）</t>
  </si>
  <si>
    <t>事業費
（補助額）
132億円
（40億円）</t>
  </si>
  <si>
    <t>造工場新 事業費
（補助額）
要望に応え
132億円
料（ライス
（40億円）
ることで、</t>
  </si>
  <si>
    <t>会社全体の売上成⾧目標（2030年）
 売上高増加額6,382百万円
 売上高成⾧率480％</t>
  </si>
  <si>
    <t>..\3次4次\seichotoushi_pdfs\outline_176.pdf</t>
  </si>
  <si>
    <t>.\全ページ画像\s2_outline_176.jpg</t>
  </si>
  <si>
    <t>s2_outline_177</t>
  </si>
  <si>
    <t>八光エルアール株式会社</t>
  </si>
  <si>
    <t>事業費 9,544百万円
（補助額） （2,333百万円）</t>
  </si>
  <si>
    <t>事業費 9,544百万円
（補助額）（2,333百万円</t>
  </si>
  <si>
    <t>の寄宿舎を建設する
め、国際基準
事業費 , 百万円
9 544
ーナショナルス
（補助額）（2,333百万円）
開と生徒への</t>
  </si>
  <si>
    <t>会社全体の売上成長目標（～2030年12月期）
• 売上高成長率7.9％
• 売上高増加額12,709百万円</t>
  </si>
  <si>
    <t>..\3次4次\seichotoushi_pdfs\outline_177.pdf</t>
  </si>
  <si>
    <t>.\全ページ画像\s2_outline_177.jpg</t>
  </si>
  <si>
    <t>s2_outline_178</t>
  </si>
  <si>
    <t>株式会社メタルテック</t>
  </si>
  <si>
    <t>事業費 2,369百万円
（補助額） （581百万円）</t>
  </si>
  <si>
    <t>事業費 2,369百万円
（補助額） (581百万円)
価値製品強化</t>
  </si>
  <si>
    <t>強化 事業費 百万円
2,369
（補助額） ( 百万円)
581
上と高付加価値製品強化</t>
  </si>
  <si>
    <t>会社全体の売上成長目標（～30年）
• 売上高成長率8.2％
• 売上高増加額159億円</t>
  </si>
  <si>
    <t>..\3次4次\seichotoushi_pdfs\outline_178.pdf</t>
  </si>
  <si>
    <t>.\全ページ画像\s2_outline_178.jpg</t>
  </si>
  <si>
    <t>s2_outline_179</t>
  </si>
  <si>
    <t>株式会社クラスコ</t>
  </si>
  <si>
    <t>事業費 2,499百万円
（補助額） （590百万円）</t>
  </si>
  <si>
    <t>事業費 2,499百万円
（補助額） （590百万円）
O HOTELプロジェクト</t>
  </si>
  <si>
    <t>ように滞在で
献する
事業費 2, 百万円
499
して不動産の
（補助額） （ 百万円）
590
O HOTELの
本町2丁目GO HOTELプロジェクト
石川県金沢市本町2丁目5-1
（JR金沢駅徒歩8分）
0室/地上9階建て/延床面積 523.93坪</t>
  </si>
  <si>
    <t>会社全体の売上成長目標（～2030年度）
• 売上高増加額 1,580百万円（最新決算期比較）
• 売上高成長率 40.1％（基準年度～2030年度）</t>
  </si>
  <si>
    <t>..\3次4次\seichotoushi_pdfs\outline_179.pdf</t>
  </si>
  <si>
    <t>.\全ページ画像\s2_outline_179.jpg</t>
  </si>
  <si>
    <t>s2_outline_180</t>
  </si>
  <si>
    <t>株式会社森田あられ</t>
  </si>
  <si>
    <t>事業費 5,315百万円
（補助額） （1,271百万円）</t>
  </si>
  <si>
    <t>事業費 5,315百万円
（補助額）(1,271百万円)</t>
  </si>
  <si>
    <t>の集約・自動
カ）を軌道に乗
課題がある 事業費 5, 315 百万円
環境の改善に （補助額）(1, 271 百万円)
組を通し競争
現を目的とする
新工場</t>
  </si>
  <si>
    <t>会社全体の売上成長目標（2024年度～2030年度）
• 売上高増加額＋7,376百万円
• 売上高成長率＋9.0％（2024年度から2030年度での年平均）</t>
  </si>
  <si>
    <t>..\3次4次\seichotoushi_pdfs\outline_180.pdf</t>
  </si>
  <si>
    <t>.\全ページ画像\s2_outline_180.jpg</t>
  </si>
  <si>
    <t>s2_outline_181</t>
  </si>
  <si>
    <t>株式会社手原産業倉庫</t>
  </si>
  <si>
    <t>事業費 1,789百万円
（補助額） （418百万円）</t>
  </si>
  <si>
    <t>事業費 1,789百万円
（補助額）（418百万円）</t>
  </si>
  <si>
    <t>1, 百万円
配送多頻度 事業費 789
（ 百万円）
簡素化を （補助額） 418</t>
  </si>
  <si>
    <t>会社全体の売上成長目標（～2030年）
• 売上高増加額3,631百万円
• 売上高成長率9.01％</t>
  </si>
  <si>
    <t>..\3次4次\seichotoushi_pdfs\outline_181.pdf</t>
  </si>
  <si>
    <t>.\全ページ画像\s2_outline_181.jpg</t>
  </si>
  <si>
    <t>s2_outline_182</t>
  </si>
  <si>
    <t>株式会社北十</t>
  </si>
  <si>
    <t>事業費 1 億円
0
（補助額） （ . 億円）
2 5</t>
  </si>
  <si>
    <t>右されない「持続可能なビジネスモデル」の構築を目指していく。
会社全体の売上成長目標（基準年度～30年）
• 売上高成長率 23.8％
• 売上高増加額 2,077百万円</t>
  </si>
  <si>
    <t>..\3次4次\seichotoushi_pdfs\outline_182.pdf</t>
  </si>
  <si>
    <t>.\全ページ画像\s2_outline_182.jpg</t>
  </si>
  <si>
    <t>s2_outline_183</t>
  </si>
  <si>
    <t>ナカシマヘルスフォース株式会社</t>
  </si>
  <si>
    <t>事業費 9,804百万円
（補助額） （2,680百万円）</t>
  </si>
  <si>
    <t>種要素技術
事業費 9,8 百万円
04
は2018年度 （補助額） （2,68 0 百万円）
パシティーの
伴い物流倉庫
も増加し、研
の各機能集
要になっている</t>
  </si>
  <si>
    <t>会社全体の売上成長目標（～2030年度）
• 売上高増加額18,598百万円
• 売上高成長率18.4％（CAGR）</t>
  </si>
  <si>
    <t>..\3次4次\seichotoushi_pdfs\outline_183.pdf</t>
  </si>
  <si>
    <t>.\全ページ画像\s2_outline_183.jpg</t>
  </si>
  <si>
    <t>s2_outline_184</t>
  </si>
  <si>
    <t>日電精密工業株式会社</t>
  </si>
  <si>
    <t>事業費 3,717百万円
（補助額） （1,184百万円）</t>
  </si>
  <si>
    <t>事業費 3,717百万円
（補助額） （補助額1,184百万円）
設備投資の目的
ス加工を新工場に集約し、製造工程の合理化を図る。
イルレスプレスともに４工場で行っている。</t>
  </si>
  <si>
    <t>日電精密工業株式会社
存リソースを再分配する。
させる。総事業費は4,044百万円を予定。
スを再分配する。 事業費 , 百万円
3 717
（補助額） （補助額1,1 百万円）
84
設備投資の目的
50
各工場で行っているプレス加工を新工場に集約し、製造工程の合理化を図る。
10
現在：オイルプレス、オイルレスプレスともに４工場で行っている。</t>
  </si>
  <si>
    <t>会社全体の売上高成長目標（～2030年）
• 売上高増加額6,021百万円
（24.9期7,087百万円→30.9期13,108百万円）
• 成長率（CAGR）+10.8％、30.9期に24.9期比1.85倍を計画</t>
  </si>
  <si>
    <t>..\3次4次\seichotoushi_pdfs\outline_184.pdf</t>
  </si>
  <si>
    <t>.\全ページ画像\s2_outline_184.jpg</t>
  </si>
  <si>
    <t>s2_outline_187</t>
  </si>
  <si>
    <t>石坂産業株式会社</t>
  </si>
  <si>
    <t>事業費 4,922百万円
（補助額） （1,641百万円）</t>
  </si>
  <si>
    <t>事業費 4,922百万円
（補助額）（1,641百万円）
燃料）
労働生産性向上</t>
  </si>
  <si>
    <t>事業費 4,922百万円
（補助額）（1,641百万円）
属、再生砂、固形燃料）
定稼働
労働生産性向上
産 ・既存施設を含めた各プラントの役割再編、
従業員再配置、レイアウト最適化、作業</t>
  </si>
  <si>
    <t>会社全体の売上成長目標（直近決算～2030年度）
• 売上高増加額8,536百万円（6,716百万円➨15,252百万円）
• 売上高成長率12.4％</t>
  </si>
  <si>
    <t>..\3次4次\seichotoushi_pdfs\outline_187.pdf</t>
  </si>
  <si>
    <t>.\全ページ画像\s2_outline_187.jpg</t>
  </si>
  <si>
    <t>s2_outline_189</t>
  </si>
  <si>
    <t>吉田海運ロジソリューションズ株式会社</t>
  </si>
  <si>
    <t>事業費 2,284百万円
（補助額） （761百万円）</t>
  </si>
  <si>
    <t>事業費 2, 百万円
284
（補助額） （ 百万円）
761
冷却設備一式</t>
  </si>
  <si>
    <t>に拡大しており、
能な冷凍倉庫
、物流業界で 事業費
2, 百万円
284
（補助額）
（ 百万円）
761
庫をJR九州と
取り組む。
冷却設備一式</t>
  </si>
  <si>
    <t>会社全体の売上成長目標（2030年度）
• 2030年度の会社全体の売上高：157億円
• 売上高増加額：93億円※
• 売上高成長率： CAGR25％※</t>
  </si>
  <si>
    <t>2030年 157億円（PDF明記）</t>
  </si>
  <si>
    <t>..\3次4次\seichotoushi_pdfs\outline_189.pdf</t>
  </si>
  <si>
    <t>.\全ページ画像\s2_outline_189.jpg</t>
  </si>
  <si>
    <t>s2_outline_191</t>
  </si>
  <si>
    <t>株式会社ビクトリー</t>
  </si>
  <si>
    <t>事業費 16,500百万円
（補助額） （4,999百万円）</t>
  </si>
  <si>
    <t>事業費 16,500百万円
（補助額） （4,999百万円）
体型新規設備</t>
  </si>
  <si>
    <t>。
新工場設立。
事業費 1 , 00百万円
6 5
（補助額） （ , 百万円）
4 999
成型・充填一体型新規設備
）</t>
  </si>
  <si>
    <t>会社全体の売上成長目標
（2025年3月期～2031年3月期）
• 売上高増加額:18661百万円
• 売上高年平均成長率24.6％
関東市場で人気ベスト５の製品となる</t>
  </si>
  <si>
    <t>..\3次4次\seichotoushi_pdfs\outline_191.pdf</t>
  </si>
  <si>
    <t>.\全ページ画像\s2_outline_191.jpg</t>
  </si>
  <si>
    <t>s2_outline_192</t>
  </si>
  <si>
    <t>フクビ岡山株式会社</t>
  </si>
  <si>
    <t>事業費 3,652百万円
（補助額） （900百万円）</t>
  </si>
  <si>
    <t>断熱材 事業費 3,652百万円
（補助額） （900百万円）</t>
  </si>
  <si>
    <t>会社全体の売上成⾧目標（2030年度）
• 売上高成⾧率230.8％（基準年度2025年3月期）
• 売上高増加額35.4億円</t>
  </si>
  <si>
    <t>..\3次4次\seichotoushi_pdfs\outline_192.pdf</t>
  </si>
  <si>
    <t>.\全ページ画像\s2_outline_192.jpg</t>
  </si>
  <si>
    <t>s2_outline_193</t>
  </si>
  <si>
    <t>ソントン食品株式会社</t>
  </si>
  <si>
    <t>事業費 13,005百万円
（補助額） （3,909百万円）</t>
  </si>
  <si>
    <t>事業費 13,005百万円
（補助額） (3,909百万円)</t>
  </si>
  <si>
    <t>事業費 1 , 百万円
3 005
須 （補助額） ( , 百万円)
3 909
ション確立</t>
  </si>
  <si>
    <t>会社全体の売上成長目標（～31年3月期）
• 売上高年平均成長率9.8％
• 売上高増加額248億円</t>
  </si>
  <si>
    <t>..\3次4次\seichotoushi_pdfs\outline_193.pdf</t>
  </si>
  <si>
    <t>.\全ページ画像\s2_outline_193.jpg</t>
  </si>
  <si>
    <t>s2_outline_194</t>
  </si>
  <si>
    <t>リバードコーポレーション株式会社</t>
  </si>
  <si>
    <t>事業費 5,918百万円
（補助額） （1,860百万円）</t>
  </si>
  <si>
    <t>を実現する次
事業費 5,918百万円
チェーン以降
（補助額） （1,860百万円）</t>
  </si>
  <si>
    <t>会社全体(ペットフード事業) 売上成⾧目標（～30
年）
• 売上高成⾧率 +272.0％
• 売上高増加額 +27.8億円</t>
  </si>
  <si>
    <t>..\3次4次\seichotoushi_pdfs\outline_194.pdf</t>
  </si>
  <si>
    <t>.\全ページ画像\s2_outline_194.jpg</t>
  </si>
  <si>
    <t>s2_outline_195</t>
  </si>
  <si>
    <t>株式会社レクザム</t>
  </si>
  <si>
    <t>事業費 19億円
（補助額） （4.5億円）</t>
  </si>
  <si>
    <t>。 事業費 19億円
る。 （補助額） （ . 億円）
4 5</t>
  </si>
  <si>
    <t>会社全体の売上成長目標（～2030年）
• 売上高成長率11.5％
• 売上高増加額100億円</t>
  </si>
  <si>
    <t>..\3次4次\seichotoushi_pdfs\outline_195.pdf</t>
  </si>
  <si>
    <t>.\全ページ画像\s2_outline_195.jpg</t>
  </si>
  <si>
    <t>s2_outline_196</t>
  </si>
  <si>
    <t>岩手雪運株式会社</t>
  </si>
  <si>
    <t>事業費 8,569百万円
（補助額） （1,975百万円）</t>
  </si>
  <si>
    <t>事業費 8,569百万円
（補助額）（1,975百万円</t>
  </si>
  <si>
    <t>アの運送 事業費 8, 百万円
569
倉庫が （補助額）（ , 百万円
1 975
タイムの
拡大する。</t>
  </si>
  <si>
    <t>会社全体の売上成長目標（基準年度～31年）
• 売上高成長率25.79％
• 売上高増加額+48億円</t>
  </si>
  <si>
    <t>..\3次4次\seichotoushi_pdfs\outline_196.pdf</t>
  </si>
  <si>
    <t>.\全ページ画像\s2_outline_196.jpg</t>
  </si>
  <si>
    <t>s2_outline_199</t>
  </si>
  <si>
    <t>日本毛織株式会社</t>
  </si>
  <si>
    <t>事業費 26億円
（補助額） （4.8億円）</t>
  </si>
  <si>
    <t>による品質
なくなるため、
事業費 2 億円
6
（補助額） （ . 億円）
品質製造を 4 8</t>
  </si>
  <si>
    <t>会社全体の売上成長目標（～2036年度）
• 売上高成長率73％（CAGR5.6％）
• 売上高増加額846億円</t>
  </si>
  <si>
    <t>..\3次4次\seichotoushi_pdfs\outline_199.pdf</t>
  </si>
  <si>
    <t>.\全ページ画像\s2_outline_199.jpg</t>
  </si>
  <si>
    <t>s2_outline_200</t>
  </si>
  <si>
    <t>有限会社ワンプラスワン</t>
  </si>
  <si>
    <t>事業費 3,831百万円
（補助額） （1,112百万円）</t>
  </si>
  <si>
    <t>事業費 3,831百万円
（補助額）（1,112百万円）
（イメージ）</t>
  </si>
  <si>
    <t>ヨタグループ
る愛知陸 事業費 3,831百万円
繋げる （補助額）（1, 百万円）
112
売上・利
物流センター（イメージ）</t>
  </si>
  <si>
    <t>会社全体の売上成長目標（～2030年度）
• 売上高増加額3,555百万円（直近事業年度～事業化報告
3年目）
• 売上高成長率 17％ （直近事業年度～事業化報告3年目
のCAGR(年平均成長率)）</t>
  </si>
  <si>
    <t>..\3次4次\seichotoushi_pdfs\outline_200.pdf</t>
  </si>
  <si>
    <t>.\全ページ画像\s2_outline_200.jpg</t>
  </si>
  <si>
    <t>s2_outline_201</t>
  </si>
  <si>
    <t>ハムリー株式会社</t>
  </si>
  <si>
    <t>事業費 2,367百万円
（補助額） （729百万円）</t>
  </si>
  <si>
    <t>社設備の
成施設を
事業費 2,367百万円
（補助額） （729百万円）</t>
  </si>
  <si>
    <t>会社全体の売上成⻑⽬標（2025年〜2030年）
• 売上⾼成⻑率２８２％（CＡＧＲ︓２７.６%）
• 売上⾼増加額５,５５８百万円
会社全体の賃上げ⽬標
• 3.7%（直近事業年度〜基準年度）
• 6.5%（基準年度〜事業化報告3年⽬）</t>
  </si>
  <si>
    <t>..\3次4次\seichotoushi_pdfs\outline_201.pdf</t>
  </si>
  <si>
    <t>.\全ページ画像\s2_outline_201.jpg</t>
  </si>
  <si>
    <t>s2_outline_202</t>
  </si>
  <si>
    <t>東海デキストリン株式会社</t>
  </si>
  <si>
    <t>事業費 2,744百万円
（補助額） （431百万円）</t>
  </si>
  <si>
    <t>事業費 , 百万円
2744
（補助額） （ 百万円）
431
工場 中川工場</t>
  </si>
  <si>
    <t>今後の事
験品製造
事業費
, 百万円
2 744
（補助額）
生産効率の （ 百万円）
431
保すること
中川工場
中村工場
※倉庫機能が主</t>
  </si>
  <si>
    <t>会社全体の売上成長目標（～2031年）
• 売上高増加額 7,781百万円
• 売上高成長率(CAGR) 10.6％</t>
  </si>
  <si>
    <t>..\3次4次\seichotoushi_pdfs\outline_202.pdf</t>
  </si>
  <si>
    <t>.\全ページ画像\s2_outline_202.jpg</t>
  </si>
  <si>
    <t>s2_outline_204</t>
  </si>
  <si>
    <t>新日本電工株式会社</t>
  </si>
  <si>
    <t>事業費 10,951百万円
（補助額） （3,381百万円）</t>
  </si>
  <si>
    <t>事業費 10,951百万円
(補助額) (3,381百万円)
※イメージ画像</t>
  </si>
  <si>
    <t>資源化」は環
責務である。 事業費 10,951百万円
経営資源や技 (補助額) (3,381百万円)
※イメージ画像</t>
  </si>
  <si>
    <t>当社は創業100周年を機に、素材・環境分野で持続可能なソリューションを提供する企業へと進化を目指しています。
事業ポートフォリオの高度化を目指し500億円規模の成長投資を通じて、2030年に売上高1,100億円、営業利益率12.5％の達成を
目標としています。
〜 未来への挑戦 100年企業から次の100年へ 〜
2025年10月に創業100周年を迎える当社は、これまで培った技術力と信頼を基盤に、次の100年に向けて新たな価値創造に取
り組んでいます。事業の多角化や脱炭素・資源循環への対応を加速し、社会的責任と収益性の両立を図ってまいります。</t>
  </si>
  <si>
    <t>2030年 1100億円（PDF明記）</t>
  </si>
  <si>
    <t>..\3次4次\seichotoushi_pdfs\outline_204.pdf</t>
  </si>
  <si>
    <t>.\全ページ画像\s2_outline_204.jpg</t>
  </si>
  <si>
    <t>s2_outline_206</t>
  </si>
  <si>
    <t>能勢酒造株式会社</t>
  </si>
  <si>
    <t>事業費 1885百万円
（補助額） （507百万円）</t>
  </si>
  <si>
    <t>ジネスと、地域 事業費 1 5百万円
88
カーになる。 （補助額） （50 百万円）
7</t>
  </si>
  <si>
    <t>会社全体の売上成長目標（～2030年）
• 売上高成長率414％
• 売上高増加額23.5億円</t>
  </si>
  <si>
    <t>..\3次4次\seichotoushi_pdfs\outline_206.pdf</t>
  </si>
  <si>
    <t>.\全ページ画像\s2_outline_206.jpg</t>
  </si>
  <si>
    <t>s2_outline_207</t>
  </si>
  <si>
    <t>ロートニッテン株式会社</t>
  </si>
  <si>
    <t>事業費 3,304百万円
（補助額） （809百万円）</t>
  </si>
  <si>
    <t>事業費 3,304百万円
（補助額） (809百万円)
長野工場</t>
  </si>
  <si>
    <t>強化 事業費 3,304百万円
（補助額） (809百万円)
長野工場
ンの構築</t>
  </si>
  <si>
    <t>会社全体の売上成長目標（～2031年3月期）
• 売上高成長率10.2％
• 売上高増加額98億円</t>
  </si>
  <si>
    <t>..\3次4次\seichotoushi_pdfs\outline_207.pdf</t>
  </si>
  <si>
    <t>.\全ページ画像\s2_outline_207.jpg</t>
  </si>
  <si>
    <t>s2_outline_208</t>
  </si>
  <si>
    <t>NICHIRO株式会社</t>
  </si>
  <si>
    <t>事業費 33億円
（補助額） (11億円)</t>
  </si>
  <si>
    <t>する事が必
ィ不足や効
33億円
事業費
できない （補助額） (11億円)
の発展に
ルターのプレス×塗装×組立の一貫ライン
法に比べて生産性30％UP、生産能力
P、他社が真似できない厚板(1.2㎜)</t>
  </si>
  <si>
    <t>会社全体の売上成長目標
• 2030年までの会社全体の売上高増加額57億円
• 2030年までの会社全体の売上高成長率174％</t>
  </si>
  <si>
    <t>..\3次4次\seichotoushi_pdfs\outline_208.pdf</t>
  </si>
  <si>
    <t>.\全ページ画像\s2_outline_208.jpg</t>
  </si>
  <si>
    <t>s2_outline_210</t>
  </si>
  <si>
    <t>南島酒販株式会社</t>
  </si>
  <si>
    <t>事業費 1,071百万円
（補助額） （357百万円）</t>
  </si>
  <si>
    <t>事業費 1,071百万円
（補助額） (357百万円)
性化</t>
  </si>
  <si>
    <t>確立 事業費 1, 百万円
071
（補助額） (3 百万円)
57
縄産業の活性化</t>
  </si>
  <si>
    <t>会社全体の売上成長目標（～31年3月期）
• 売上高年平均成長率10.8％
• 売上高増加額75億円</t>
  </si>
  <si>
    <t>..\3次4次\seichotoushi_pdfs\outline_210.pdf</t>
  </si>
  <si>
    <t>.\全ページ画像\s2_outline_210.jpg</t>
  </si>
  <si>
    <t>s2_outline_211</t>
  </si>
  <si>
    <t>アサヒプリテック株式会社</t>
  </si>
  <si>
    <t>事業費 6,167百万円
（補助額） （1,911百万円）</t>
  </si>
  <si>
    <t>事業費 6,167百万円
（補助額） (1,911百万円)</t>
  </si>
  <si>
    <t>行うべく、基
事業費 6,167百万円
分析機能を
（補助額） (1,911百万円)
ム関連投資
茨城県坂東工場_イメージ
PGM精製棟
第2期(済)</t>
  </si>
  <si>
    <t>会社全体の売上成長目標（～2031年3月期）
• 売上高成長率+0.8％（2025年3月期比、年平均）
• 売上高増加額+237億円（2025年3月期比）</t>
  </si>
  <si>
    <t>..\3次4次\seichotoushi_pdfs\outline_211.pdf</t>
  </si>
  <si>
    <t>.\全ページ画像\s2_outline_211.jpg</t>
  </si>
  <si>
    <t>s2_outline_213</t>
  </si>
  <si>
    <t>ファインプラス株式会社</t>
  </si>
  <si>
    <t>事業費 2,804百万円
（補助額） （697百万円）</t>
  </si>
  <si>
    <t>事業費 2,804百万円
（補助額） （697百万円）
建設予定地</t>
  </si>
  <si>
    <t>階的に再 事業費 2 , 804 百万円
点に、工程 （補助額） （ 697 百万円）
建設予定地</t>
  </si>
  <si>
    <t>会社全体の売上成長目標(～2031年3月期)
• 売上高増加額 5,226百万円
• 売上高成長率 7.8％</t>
  </si>
  <si>
    <t>..\3次4次\seichotoushi_pdfs\outline_213.pdf</t>
  </si>
  <si>
    <t>.\全ページ画像\s2_outline_213.jpg</t>
  </si>
  <si>
    <t>s2_outline_217</t>
  </si>
  <si>
    <t>院庄林業株式会社</t>
  </si>
  <si>
    <t>事業費 4,191百万円
（補助額） （1,397百万円）</t>
  </si>
  <si>
    <t>題がある。 事業費 4,191百万円
新たな製品展 （補助額） （1,397百万円）
強を実現する。
心とした新たな</t>
  </si>
  <si>
    <t>会社全体の売上成長目標（～2030年12月期）
• 売上高増加額 11,807百万円 (2024年12月期比)
• 売上高成長率 8.0％ (2024年12月期比、年平均)</t>
  </si>
  <si>
    <t>..\3次4次\seichotoushi_pdfs\outline_217.pdf</t>
  </si>
  <si>
    <t>.\全ページ画像\s2_outline_217.jpg</t>
  </si>
  <si>
    <t>s2_outline_218</t>
  </si>
  <si>
    <t>株式会社エム・ケー・ケー</t>
  </si>
  <si>
    <t>事業費 2,310百万円
（補助額） （563百万円）</t>
  </si>
  <si>
    <t>上百貨店
となって
事業費 2,310百万円
ホテルを自
（補助額） （563百万円）
ビル「コ</t>
  </si>
  <si>
    <t>会社全体の売上成長目標（2025/5月期～2031/5月期）
売上高増加額 2,325百万円（2025/5期 1,661百万円→2031/5期3,986百万円）
売上高成長率 140%（年平均成長率19.12％）</t>
  </si>
  <si>
    <t>..\3次4次\seichotoushi_pdfs\outline_218.pdf</t>
  </si>
  <si>
    <t>.\全ページ画像\s2_outline_218.jpg</t>
  </si>
  <si>
    <t>s2_outline_219</t>
  </si>
  <si>
    <t>株式会社ナリコマフード</t>
  </si>
  <si>
    <t>事業費 15,078百万円
（補助額） （3,737百万円）</t>
  </si>
  <si>
    <t>事業費 15,078百万円
（補助額）（3,737百万円）</t>
  </si>
  <si>
    <t>まっている
る 事業費 15, 百万円
078
る生産性向上 （補助額） （ , 百万円）
3 737
く</t>
  </si>
  <si>
    <t>会社全体の売上成長目標（～2031年）
• 売上高増加額40,088百万円
• 売上高成長率11.9％</t>
  </si>
  <si>
    <t>..\3次4次\seichotoushi_pdfs\outline_219.pdf</t>
  </si>
  <si>
    <t>.\全ページ画像\s2_outline_219.jpg</t>
  </si>
  <si>
    <t>s2_outline_220</t>
  </si>
  <si>
    <t>富田薬品株式会社</t>
  </si>
  <si>
    <t>事業費 4,199百万円
（補助額） （1,327百万円）</t>
  </si>
  <si>
    <t>悪化
課題 事業費 4, 199 百万円
（補助額） （1,3 27 百万円）
必要</t>
  </si>
  <si>
    <t>会社全体の売上成長目標（24～30年度）
• 売上高増加額621億円
• 売上高成長率5.9％
従業員</t>
  </si>
  <si>
    <t>..\3次4次\seichotoushi_pdfs\outline_220.pdf</t>
  </si>
  <si>
    <t>.\全ページ画像\s2_outline_220.jpg</t>
  </si>
  <si>
    <t>s2_outline_221</t>
  </si>
  <si>
    <t>株式会社ニシムタ</t>
  </si>
  <si>
    <t>事業費 13,439百万円
（補助額） （3,263百万円）</t>
  </si>
  <si>
    <t>事業費 13,439百万円
（補助額）（3,263百万円）
ントラルキッチン工場
置ＮデリカセンターＡＮＥＸ）</t>
  </si>
  <si>
    <t>実となります。
事業基盤
には更なる 事業費 13, 439 百万円
（補助額）（ , 百万円）
3 263
セントラルキッチン工場
（仮称：日置ＮデリカセンターＡＮＥＸ）
明和スーパーセンター Ａ・Ｂ・Ｃ棟</t>
  </si>
  <si>
    <t>会社全体の売上成長目標
（基準年度～事業化報告3年目）
• 売上高増加額14,670百万円（863.3億円⇒1010.0億
円）
• 売上高成長率5.3％（CAGR）</t>
  </si>
  <si>
    <t>..\3次4次\seichotoushi_pdfs\outline_221.pdf</t>
  </si>
  <si>
    <t>.\全ページ画像\s2_outline_221.jpg</t>
  </si>
  <si>
    <t>s2_outline_222</t>
  </si>
  <si>
    <t>株式会社 日本橋冷凍手島商店</t>
  </si>
  <si>
    <t>事業費 3,435百万円
（補助額） （1,117百万円）</t>
  </si>
  <si>
    <t>請が多く来て
建設を行う。 事業費 3,435百万円
産ラインを導入
を図る。 （補助額） （1,117百万円）</t>
  </si>
  <si>
    <t>会社全体の売上成長目標（2027年2月期～
2031年2月期）
• 売上高増加額 5,200百万円
• 売上高成長率 19.5％(年平均)</t>
  </si>
  <si>
    <t>..\3次4次\seichotoushi_pdfs\outline_222.pdf</t>
  </si>
  <si>
    <t>.\全ページ画像\s2_outline_222.jpg</t>
  </si>
  <si>
    <t>s2_outline_223</t>
  </si>
  <si>
    <t>三ッ和商事株式会社</t>
  </si>
  <si>
    <t>事業費 2,686百万円
（補助額） （766百万円）</t>
  </si>
  <si>
    <t>生じています。
事業費 2, 百万円
686
工場の建設
（補助額） （766百万円）</t>
  </si>
  <si>
    <t>会社全体の売上成長目標（～2030年度）
• 売上高目標6,526百万円（最新決算期2,427百万円）
• 売上高増加額4,099百万円
• 売上高成長率17.9％</t>
  </si>
  <si>
    <t>2030年 65.26億円（PDF明記）</t>
  </si>
  <si>
    <t>..\3次4次\seichotoushi_pdfs\outline_223.pdf</t>
  </si>
  <si>
    <t>.\全ページ画像\s2_outline_223.jpg</t>
  </si>
  <si>
    <t>s2_outline_225</t>
  </si>
  <si>
    <t>株式会社山本製作所</t>
  </si>
  <si>
    <t>事業費 1,962百万円
（補助額） （640百万円）</t>
  </si>
  <si>
    <t>事業費 1,962百万円
（補助額） （640百万円）
導入</t>
  </si>
  <si>
    <t>づいている
必要不可欠
, 百万円
事業費 1 962
、 （6 百万円）
（補助額） 40
制を整備
製造設備等を導入
量増加に対応
産量増加への対応に向け、</t>
  </si>
  <si>
    <t>会社全体の売上成長目標
(2024～2030年度)
売上高増加額：93.74億円
売上高成長率：CAGR（年平均成長率）16.7％</t>
  </si>
  <si>
    <t>..\3次4次\seichotoushi_pdfs\outline_225.pdf</t>
  </si>
  <si>
    <t>.\全ページ画像\s2_outline_225.jpg</t>
  </si>
  <si>
    <t>s2_outline_226</t>
  </si>
  <si>
    <t>日本海精錬株式会社</t>
  </si>
  <si>
    <t>事業費 1,515百万円
（補助額） （499百万円）</t>
  </si>
  <si>
    <t>事業費 1,515百万円
（補助額） (499百万円)</t>
  </si>
  <si>
    <t>た経営環境
買付競争が
型社会への貢 事業費 1 , 515 百万円
助事業では、 （補助額） ( 499 百万円)
、成長のため</t>
  </si>
  <si>
    <t>会社全体の売上成長目標（～2029年6月期）
• 売上高増加額8,600百万円 ※対基準年度
• 売上高成長率223％ ※対基準年度</t>
  </si>
  <si>
    <t>..\3次4次\seichotoushi_pdfs\outline_226.pdf</t>
  </si>
  <si>
    <t>.\全ページ画像\s2_outline_226.jpg</t>
  </si>
  <si>
    <t>s2_outline_227</t>
  </si>
  <si>
    <t>株式会社トノックス</t>
  </si>
  <si>
    <t>事業費 1,641百万円
（補助額） （473百万円）</t>
  </si>
  <si>
    <t>事業費 1,641百万円
（補助額） （473百万円）
ート平屋建て 1,500坪</t>
  </si>
  <si>
    <t>ィ製造を行うス 事業費 1, 百万円
641
（補助額） （473 万円）
百
場 鉄筋スレート平屋建て 1,500坪</t>
  </si>
  <si>
    <t>会社全体の売上成長目標（2035年）
• 2035年目標売上高 20,000百万円
• 最新決算からの増加額 ＋11,668百万円
• 売上高年平均成長率 ９．８％</t>
  </si>
  <si>
    <t>..\3次4次\seichotoushi_pdfs\outline_227.pdf</t>
  </si>
  <si>
    <t>.\全ページ画像\s2_outline_227.jpg</t>
  </si>
  <si>
    <t>s2_outline_228</t>
  </si>
  <si>
    <t>株式会社ベネフル</t>
  </si>
  <si>
    <t>事業費 1,885百万円
（補助額） （333百万円）</t>
  </si>
  <si>
    <t>題解決を目的 事業費 1, 百万円
885
（補助額） （3 3百万円）
3</t>
  </si>
  <si>
    <t>会社全体の売上成長目標（2031年5月期）
• 売上高50億円（現店舗20億円、新店舗10億円×3店）
• 売上高成長率18.3％（2024年5月実績と比較）</t>
  </si>
  <si>
    <t>2031年 50億円（PDF明記）</t>
  </si>
  <si>
    <t>..\3次4次\seichotoushi_pdfs\outline_228.pdf</t>
  </si>
  <si>
    <t>.\全ページ画像\s2_outline_228.jpg</t>
  </si>
  <si>
    <t>s2_outline_230</t>
  </si>
  <si>
    <t>株式会社アイ・グラン・ソリューション</t>
  </si>
  <si>
    <t>拡大を図る
事業費 億円
58
貢献する。 （補助額） （19億円）</t>
  </si>
  <si>
    <t>会社全体の売上成長目標（直近決算期2024年～2030年）
売上高成長率528％、売上高増加額107億円</t>
  </si>
  <si>
    <t>..\3次4次\seichotoushi_pdfs\outline_230.pdf</t>
  </si>
  <si>
    <t>.\全ページ画像\s2_outline_230.jpg</t>
  </si>
  <si>
    <t>s2_outline_231</t>
  </si>
  <si>
    <t>創建ホーム株式会社</t>
  </si>
  <si>
    <t>事業費 1,560百万円
（補助額） （520百万円）</t>
  </si>
  <si>
    <t>事業費 1,560百万円
（補助額） （520百万円）
新たなフラグシップである大型施設</t>
  </si>
  <si>
    <t>ためには、
築メーカーと 事業費 1,560百万円
ていかなけれ （補助額） （520百万円）
実現させ、お
新たなフラグシップである大型施設
ー
施</t>
  </si>
  <si>
    <t>会社全体の売上成長目標
(2024～2030年度)
売上高増加額：11,642百万円
売上高成長率：238％ (CAGR：15.54％)</t>
  </si>
  <si>
    <t>..\3次4次\seichotoushi_pdfs\outline_231.pdf</t>
  </si>
  <si>
    <t>.\全ページ画像\s2_outline_231.jpg</t>
  </si>
  <si>
    <t>目標指標 - 年度列を位置復元</t>
  </si>
  <si>
    <t>PDF上の横位置から年度列を復元。highのみ横持ちへ反映し、ambiguous/multi_entityは原文と画像で確認できます。</t>
  </si>
  <si>
    <t>ページ</t>
  </si>
  <si>
    <t>指標</t>
  </si>
  <si>
    <t>単位</t>
  </si>
  <si>
    <t>確度</t>
  </si>
  <si>
    <t>分割数字再結合</t>
  </si>
  <si>
    <t>列見出し</t>
  </si>
  <si>
    <t>年度</t>
  </si>
  <si>
    <t>値</t>
  </si>
  <si>
    <t>PDF値原文</t>
  </si>
  <si>
    <t>記載年平均率(%)</t>
  </si>
  <si>
    <t>行原文</t>
  </si>
  <si>
    <t>労働生産性</t>
  </si>
  <si>
    <t>high</t>
  </si>
  <si>
    <t>あり</t>
  </si>
  <si>
    <t>2026年度
(基準年度)</t>
  </si>
  <si>
    <t>862</t>
  </si>
  <si>
    <t>労働生産性
(単位:万円/人) | 862万円/人 | 1,168万円/人
(年平均上昇率+10.67%)</t>
  </si>
  <si>
    <t>2029年度
(基準年度+3年後)</t>
  </si>
  <si>
    <t>1,168</t>
  </si>
  <si>
    <t>従業員1人当たり給与支給総額</t>
  </si>
  <si>
    <t>439</t>
  </si>
  <si>
    <t>従業員1人あたり給与支給総額
(単位:万円/人) | 439万円/人 | 509万円/人
(年平均上昇率+5%)</t>
  </si>
  <si>
    <t>509</t>
  </si>
  <si>
    <t>役員1人当たり給与支給総額</t>
  </si>
  <si>
    <t>ambiguous</t>
  </si>
  <si>
    <t>役員1人あたり給与支給総額
(単位:万円/人) | ー | ー
(年平均上昇率+5%)</t>
  </si>
  <si>
    <t>補助事業に係る従業員数</t>
  </si>
  <si>
    <t>270</t>
  </si>
  <si>
    <t>補助事業に係る従業員数
(単位:人) | 270人 | 290人</t>
  </si>
  <si>
    <t>290</t>
  </si>
  <si>
    <t>2026年度
(基準年度) | 862万円/人 | 439万円/人</t>
  </si>
  <si>
    <t>ー</t>
  </si>
  <si>
    <t>役員1人あたり給与支給総額
(単位:万円/人) ー ー
(年平均上昇率+5%)</t>
  </si>
  <si>
    <t>2029年度
(基準年度+3年後) | 1,168万円/人
(年平均上昇率+10.67%) | 509万円/人
(年平均上昇率+5%)</t>
  </si>
  <si>
    <t>ー
(年平均上昇率+5%)</t>
  </si>
  <si>
    <t>1,236</t>
  </si>
  <si>
    <t>労働生産性
(単位:万円/人) | 1,236 | 1,870( 年平均上昇率+14.8%)</t>
  </si>
  <si>
    <t>1,870</t>
  </si>
  <si>
    <t>336</t>
  </si>
  <si>
    <t>従業員1人あたり給与支給総額
(単位:万円/人) | 336 | 369 (年平均上昇率+3.0%)</t>
  </si>
  <si>
    <t>369</t>
  </si>
  <si>
    <t>役員1人あたり給与支給総額
(単位:万円/人) | - | -(年平均上昇率+11.1%)</t>
  </si>
  <si>
    <t>840</t>
  </si>
  <si>
    <t>補助事業に係る従業員数
(単位:人) | 840 | 1,132</t>
  </si>
  <si>
    <t>1,132</t>
  </si>
  <si>
    <t>2026年度
(基準年度) | 1,236 | 336</t>
  </si>
  <si>
    <t>-</t>
  </si>
  <si>
    <t>役員1人あたり給与支給総額
(単位:万円/人) - -(年平均上昇率+11.1%)</t>
  </si>
  <si>
    <t>2029年度
(基準年度+3年後) | 1,870( 年平均上昇率+14.8%) | 369 (年平均上昇率+3.0%)</t>
  </si>
  <si>
    <t>- (年平均上昇率+11.1%)</t>
  </si>
  <si>
    <t>1,776</t>
  </si>
  <si>
    <t>労働生産性
(単位:万円/人) | 1,776万円/人 | 1,973万円/人
(年平均上昇率+9.1%)</t>
  </si>
  <si>
    <t>1,973</t>
  </si>
  <si>
    <t>450</t>
  </si>
  <si>
    <t>従業員1人あたり給与支給総額
(単位:万円/人) | 450万円/人 | 507万円/人
(年平均上昇率+4.06%)</t>
  </si>
  <si>
    <t>507</t>
  </si>
  <si>
    <t>3,069</t>
  </si>
  <si>
    <t>役員1人あたり給与支給総額
(単位:万円/人) | 3,069万円/人 | 3,453万円/人
(年平均上昇率+4.0%)</t>
  </si>
  <si>
    <t>3,453</t>
  </si>
  <si>
    <t>225</t>
  </si>
  <si>
    <t>補助事業に係る従業員数
(単位:人) | 225人 | 298人</t>
  </si>
  <si>
    <t>298</t>
  </si>
  <si>
    <t>2026年度（基準年度）</t>
  </si>
  <si>
    <t>1776</t>
  </si>
  <si>
    <t>PDF表目視確認 | 2026年度（基準年度）: 1776 | 2029年度（基準年度+3年後）: 1973</t>
  </si>
  <si>
    <t>2029年度（基準年度+3年後）</t>
  </si>
  <si>
    <t>1973</t>
  </si>
  <si>
    <t>1,027</t>
  </si>
  <si>
    <t>労働生産性
(万円)/人 | 1,027 | 1,204
(年平均上昇率+5.45%)</t>
  </si>
  <si>
    <t>1,204</t>
  </si>
  <si>
    <t>631</t>
  </si>
  <si>
    <t>従業員1人あたり ※1
給与支給総額(万円/人) | 631 | 717
(年平均上昇率+4.35%)</t>
  </si>
  <si>
    <t>717</t>
  </si>
  <si>
    <t>1,616</t>
  </si>
  <si>
    <t>役員1人あたり ※2
給与支給総額(万円/人) | 1,616 | 1,870
(年平均上昇率+5.00%)</t>
  </si>
  <si>
    <t>795</t>
  </si>
  <si>
    <t>補助事業に係る従業員数
(単位:人) | 795 | 810</t>
  </si>
  <si>
    <t>810</t>
  </si>
  <si>
    <t>912</t>
  </si>
  <si>
    <t>労働生産性
(単位:万円/人) | 912 | 1,492
(年平均上昇率+14.5%)</t>
  </si>
  <si>
    <t>1,492</t>
  </si>
  <si>
    <t>471</t>
  </si>
  <si>
    <t>従業員1人あたり給与支給総額
(単位:万円/人) | 471 | 522.5
(年平均上昇率+3.52%)</t>
  </si>
  <si>
    <t>522.5</t>
  </si>
  <si>
    <t>役員1人あたり給与支給総額
(単位:万円/人) | ー | -
(年平均上昇率+3.03%)</t>
  </si>
  <si>
    <t>68</t>
  </si>
  <si>
    <t>補助事業に係る従業員数
(単位:人) | 68 | 80</t>
  </si>
  <si>
    <t>80</t>
  </si>
  <si>
    <t>PDF表目視確認 | 2026年度（基準年度）: 912 | 2029年度（基準年度+3年後）: 1492</t>
  </si>
  <si>
    <t>1492</t>
  </si>
  <si>
    <t>2026年度
(基準年度) | 912 | 471</t>
  </si>
  <si>
    <t>役員1人あたり給与支給総額
(単位:万円/人) ー -
(年平均上昇率+3.03%)</t>
  </si>
  <si>
    <t>2029年度
(基準年度+3年後) | 1,492
(年平均上昇率+14.5%) | 522.5
(年平均上昇率+3.52%)</t>
  </si>
  <si>
    <t>-
(年平均上昇率+3.03%)</t>
  </si>
  <si>
    <t>2027年度
(基準年度)</t>
  </si>
  <si>
    <t>1,851</t>
  </si>
  <si>
    <t>労働生産性
(単位:万円/人) | 1,851 | 2,592
(年平均上昇率+11.9%)</t>
  </si>
  <si>
    <t>2030年度
(基準年度+3年後)</t>
  </si>
  <si>
    <t>2,592</t>
  </si>
  <si>
    <t>472</t>
  </si>
  <si>
    <t>従業員1人あたり給与支給総額
(単位:万円/人) | 472 | 551
(年平均上昇率+5.3%)</t>
  </si>
  <si>
    <t>551</t>
  </si>
  <si>
    <t>0</t>
  </si>
  <si>
    <t>役員1人あたり給与支給総額
(単位:万円/人) | 0 | 0
(年平均上昇率+0%)</t>
  </si>
  <si>
    <t>35</t>
  </si>
  <si>
    <t>補助事業に係る従業員数
(単位:人) | 35 | 50</t>
  </si>
  <si>
    <t>50</t>
  </si>
  <si>
    <t>1,169</t>
  </si>
  <si>
    <t>労働生産性
(単位:万円/人) | 1,169 | 1,489
(年平均上昇率+8.4%)</t>
  </si>
  <si>
    <t>1,489</t>
  </si>
  <si>
    <t>482</t>
  </si>
  <si>
    <t>従業員1人あたり給与支給総額
(単位:万円/人) | 482 | 550
(年平均上昇率+4.5%)</t>
  </si>
  <si>
    <t>550</t>
  </si>
  <si>
    <t>役員1人あたり給与支給総額
(単位:万円/人) | - | -
(年平均上昇率+4.5%)</t>
  </si>
  <si>
    <t>215</t>
  </si>
  <si>
    <t>補助事業に係る従業員数
(単位:人) | 215 | 225</t>
  </si>
  <si>
    <t>2026年度
(基準年度) | 1,169 | 482</t>
  </si>
  <si>
    <t>役員1人あたり給与支給総額
(単位:万円/人) - -
(年平均上昇率+4.5%)</t>
  </si>
  <si>
    <t>2029年度
(基準年度+3年後) | 1,489
(年平均上昇率+8.4%) | 8 4
550
(年平均上昇率+4.5%)</t>
  </si>
  <si>
    <t>-
(年平均上昇率+4.5%)</t>
  </si>
  <si>
    <t>877</t>
  </si>
  <si>
    <t>労働生産性
(万円/人) | 877 | 1,
020
(年平均上昇率+ %)
5.2</t>
  </si>
  <si>
    <t>1,020</t>
  </si>
  <si>
    <t>526</t>
  </si>
  <si>
    <t>従業員1人あたり
給与支給総額(万円/人) | 526 | 61
8
(年平均上昇率+5. %)
5</t>
  </si>
  <si>
    <t>618</t>
  </si>
  <si>
    <t>役員1人あたり
給与支給総額(万円/人) | ― | ―
(年平均上昇率+8.4%)</t>
  </si>
  <si>
    <t>2029年度（基準年度＋３年後）</t>
  </si>
  <si>
    <t>261</t>
  </si>
  <si>
    <t>労働生産性 261万円 216万円 （万円/人） （年平均上昇率＋6. ％） 4 従業員1人あたり 149万円 128万円 目標値 （年平均上昇率＋5.2％） 給与支給総額（万円/人） 役員1人あたり - - （年平均上昇率＋5.2％） 給与支給総額（万円/人）</t>
  </si>
  <si>
    <t>149</t>
  </si>
  <si>
    <t>216</t>
  </si>
  <si>
    <t>128</t>
  </si>
  <si>
    <t>750</t>
  </si>
  <si>
    <t>補助事業に係る従業員数 750人 900人 （単位:人）</t>
  </si>
  <si>
    <t>900</t>
  </si>
  <si>
    <t>シーエル | 2026年度（基準年度）: 128 | 2029年度（基準年度+3年後）: 149</t>
  </si>
  <si>
    <t>左列</t>
  </si>
  <si>
    <t>1,375</t>
  </si>
  <si>
    <t>1,431 労働生産性 1,375 （単位：万円/人） （年平均上昇率＋1.3％）</t>
  </si>
  <si>
    <t>右列</t>
  </si>
  <si>
    <t>1,431</t>
  </si>
  <si>
    <t>312</t>
  </si>
  <si>
    <t>従業員1人あたり給与支給総額 356 目標値 312 （年平均上昇率＋4.5％） （単位：万円/人）</t>
  </si>
  <si>
    <t>356</t>
  </si>
  <si>
    <t>役員１人あたり給与支給総額 - - （年平均上昇率5.1％） （単位：万円/人）</t>
  </si>
  <si>
    <t>54</t>
  </si>
  <si>
    <t>補助事業に係る従業員数 54 95 （単位：人）</t>
  </si>
  <si>
    <t>95</t>
  </si>
  <si>
    <t>20xx年度
(基準年度) | 1,375 | 312</t>
  </si>
  <si>
    <t>役員1人あたり給与支給総額
(単位:万円/人) - -
(年平均上昇率5.1%)</t>
  </si>
  <si>
    <t>20xx年度
(基準年度+3年後) | 1,431
(年平均上昇率+1.3%) | (年平均上昇率+1.3%)
356
(年平均上昇率+4.5%)</t>
  </si>
  <si>
    <t>(年平均上昇率+4.5%)
-
(年平均上昇率5.1%)</t>
  </si>
  <si>
    <t>2024年度
(基準年度)</t>
  </si>
  <si>
    <t>926</t>
  </si>
  <si>
    <t>| 労働生産性
(単位:万円/人) | 926 | 1302
(年平均上昇率+12.0%)</t>
  </si>
  <si>
    <t>2027年度
(基準年度+3年後)</t>
  </si>
  <si>
    <t>1302</t>
  </si>
  <si>
    <t>449</t>
  </si>
  <si>
    <t>| 従業員1人あたり給与支給総額
(単位:万円/人) | 449 | 520
(年平均上昇率+5.0%)</t>
  </si>
  <si>
    <t>520</t>
  </si>
  <si>
    <t>1182</t>
  </si>
  <si>
    <t>| 役員1人あたり給与支給総額
(単位:万円/人) | 1182 | 1368
(年平均上昇率+5.0%)</t>
  </si>
  <si>
    <t>1368</t>
  </si>
  <si>
    <t>773</t>
  </si>
  <si>
    <t>| 補助事業に係る従業員数
(単位:人) | 773 | 901</t>
  </si>
  <si>
    <t>901</t>
  </si>
  <si>
    <t>2025年度</t>
  </si>
  <si>
    <t>867</t>
  </si>
  <si>
    <t>| 労働生産性
(万円/人) | 867 | 1,384
(年平均上昇率+17%)</t>
  </si>
  <si>
    <t>2028年度
(基準年度+3年後)</t>
  </si>
  <si>
    <t>1,384</t>
  </si>
  <si>
    <t>505</t>
  </si>
  <si>
    <t>| 従業員1人あたり
給与支給総額(万円/人) | 505 | 601
(年平均上昇率+6%)</t>
  </si>
  <si>
    <t>601</t>
  </si>
  <si>
    <t>2,410</t>
  </si>
  <si>
    <t>| 役員1人あたり給与支給総額
(単位:万円/人) | 2,410 | 2,871
(年平均上昇率+6%)</t>
  </si>
  <si>
    <t>2,871</t>
  </si>
  <si>
    <t>260</t>
  </si>
  <si>
    <t>| 補助事業に係る従業員数
(単位:人) | 260 | 314</t>
  </si>
  <si>
    <t>314</t>
  </si>
  <si>
    <t>1,210</t>
  </si>
  <si>
    <t>労働生産性
(単位:万円/人) | 1,210 | 1,334
(年平均上昇率+3.3%)</t>
  </si>
  <si>
    <t>1,334</t>
  </si>
  <si>
    <t>519</t>
  </si>
  <si>
    <t>従業員1人あたり給与支給総額
(単位:万円/人) | 519 | 588
(年平均上昇率+4.21%)</t>
  </si>
  <si>
    <t>588</t>
  </si>
  <si>
    <t>役員1人あたり給与支給総額
(単位:万円/人) | - | -
(年平均上昇率+4.00%)</t>
  </si>
  <si>
    <t>280</t>
  </si>
  <si>
    <t>補助事業に係る従業員数
(単位:人) | 280 | 308</t>
  </si>
  <si>
    <t>308</t>
  </si>
  <si>
    <t>2027年度
(基準年度) | 1,210 | 519</t>
  </si>
  <si>
    <t>役員1人あたり給与支給総額
(単位:万円/人) - -
(年平均上昇率+4.00%)</t>
  </si>
  <si>
    <t>2030年度
(基準年度+3年後) | 1,334
(年平均上昇率+3.3%) | 588
(年平均上昇率+4.21%)</t>
  </si>
  <si>
    <t>-
(年平均上昇率+4.00%)</t>
  </si>
  <si>
    <t>2025年3月度
(基準年度)</t>
  </si>
  <si>
    <t>1,427</t>
  </si>
  <si>
    <t>労働生産性
(単位:万円/人) | 1,427万円 | 1,962万円
(年平均上昇率+11.2%)</t>
  </si>
  <si>
    <t>2028年3月度
(基準年度+3年後)</t>
  </si>
  <si>
    <t>1,962</t>
  </si>
  <si>
    <t>537</t>
  </si>
  <si>
    <t>従業員1人あたり給与支給総額
(単位:万円/人) | 537万円 | 659万円
(年平均上昇率+7.0%)</t>
  </si>
  <si>
    <t>659</t>
  </si>
  <si>
    <t>役員1人あたり給与支給総額
(単位:万円/人) | - | -
(年平均上昇率+4.6%)</t>
  </si>
  <si>
    <t>201</t>
  </si>
  <si>
    <t>補助事業に係る従業員数
(単位:人) | 201人 | 225人</t>
  </si>
  <si>
    <t>3,859</t>
  </si>
  <si>
    <t>労働生産性
(単位:万円/人) | 3,859 | 4,618
(年平均上昇率+6.2%)</t>
  </si>
  <si>
    <t>4,618</t>
  </si>
  <si>
    <t>640</t>
  </si>
  <si>
    <t>従業員1人あたり給与支給総額
(単位:万円/人) | 640 | 741
(年平均上昇率+5.0%)</t>
  </si>
  <si>
    <t>741</t>
  </si>
  <si>
    <t>役員1人あたり給与支給総額
(単位:万円/人) | - | -
(年平均上昇率+5.0%)</t>
  </si>
  <si>
    <t>169</t>
  </si>
  <si>
    <t>補助事業に係る従業員数
(単位:人) | 169 | 206</t>
  </si>
  <si>
    <t>206</t>
  </si>
  <si>
    <t>2026年度
(基準年度) | 3,859 | 640</t>
  </si>
  <si>
    <t>役員1人あたり給与支給総額
(単位:万円/人) - -
(年平均上昇率+5.0%)</t>
  </si>
  <si>
    <t>2029年度
(基準年度+3年後) | 4,618
(年平均上昇率+6.2%) | 741
(年平均上昇率+5.0%)</t>
  </si>
  <si>
    <t>-
(年平均上昇率+5.0%)</t>
  </si>
  <si>
    <t>999</t>
  </si>
  <si>
    <t>1,234万円 労働生産性(単位：万円/人） 999万円 （年平均上昇率7.3％）</t>
  </si>
  <si>
    <t>1,234</t>
  </si>
  <si>
    <t>429</t>
  </si>
  <si>
    <t>504万円 （ 5. ％） 429万円 従業員1人あたり給与支給総額（単位：万円/人） 目標値 年平均上昇率 6</t>
  </si>
  <si>
    <t>504</t>
  </si>
  <si>
    <t>1,338</t>
  </si>
  <si>
    <t>1,510万円（ 4.1％） 1,338万円 役員1人あたり給与支給総額（単位：万円/人） 年平均上昇率</t>
  </si>
  <si>
    <t>1,510</t>
  </si>
  <si>
    <t>420</t>
  </si>
  <si>
    <t>420人 490人 補助事業に係る従業員数*（単位：人） *就業時間換算</t>
  </si>
  <si>
    <t>490</t>
  </si>
  <si>
    <t>541</t>
  </si>
  <si>
    <t>労働生産性
(単位:万円/人) | 541 | 1,505
(年平均上昇率+40.7%)</t>
  </si>
  <si>
    <t>1,505</t>
  </si>
  <si>
    <t>400</t>
  </si>
  <si>
    <t>従業員1人あたり給与支給総額
(単位:万円/人) | 400 | 477
(年平均上昇率+6.03%)</t>
  </si>
  <si>
    <t>477</t>
  </si>
  <si>
    <t>役員1人あたり給与支給総額
(単位:万円/人) | 0 | ー</t>
  </si>
  <si>
    <t>45</t>
  </si>
  <si>
    <t>補助事業に係る従業員数
(単位:人) | 45 | 60</t>
  </si>
  <si>
    <t>60</t>
  </si>
  <si>
    <t>2025年度
(基準年度)</t>
  </si>
  <si>
    <t>875</t>
  </si>
  <si>
    <t>労働生産性
(単位:万円/人) | 875 | 2,071
(年平均上昇率+33.3%)</t>
  </si>
  <si>
    <t>2,071</t>
  </si>
  <si>
    <t>536</t>
  </si>
  <si>
    <t>従業員1人あたり給与支給総額
(単位:万円/人) | 536 | 621
(年平均上昇率+5%)</t>
  </si>
  <si>
    <t>621</t>
  </si>
  <si>
    <t>役員1人あたり給与支給総額
(単位:万円/人) | 0
(対象事業のみを管掌する役員は0人) | 0</t>
  </si>
  <si>
    <t>61</t>
  </si>
  <si>
    <t>補助事業に係る従業員数
(単位:人) | 61 | 100</t>
  </si>
  <si>
    <t>100</t>
  </si>
  <si>
    <t>2027年3月期
(基準年度)</t>
  </si>
  <si>
    <t>1,155</t>
  </si>
  <si>
    <t>労働生産性
(単位:万円/人) | 1,155 | 1,547
(年平均上昇率+10.2%)</t>
  </si>
  <si>
    <t>2030年3月期
(基準年度+3年後)</t>
  </si>
  <si>
    <t>1,547</t>
  </si>
  <si>
    <t>531</t>
  </si>
  <si>
    <t>従業員1人あたり給与支給総額
(単位:万円/人) | 53
1 | 634
(年平均上昇率+6.1%)</t>
  </si>
  <si>
    <t>634</t>
  </si>
  <si>
    <t>3,075</t>
  </si>
  <si>
    <t>役員1人あたり給与支給総額
(単位:万円/人) | 3,075 | 3,625
(年平均上昇率+5.6%)</t>
  </si>
  <si>
    <t>3,625</t>
  </si>
  <si>
    <t>227</t>
  </si>
  <si>
    <t>補助事業に係る従業員数
(単位:人) | 227 | 281</t>
  </si>
  <si>
    <t>281</t>
  </si>
  <si>
    <t>2025年7月度
(基準年度)</t>
  </si>
  <si>
    <t>労働生産性
(単位:万円/人) | 290 | 1,143
(年平均上昇率+57.9%)</t>
  </si>
  <si>
    <t>2028年7月度
(基準年度+3年後)</t>
  </si>
  <si>
    <t>1,143</t>
  </si>
  <si>
    <t>236</t>
  </si>
  <si>
    <t>従業員1人あたり給与支給総額
(単位:万円/人) | 236 | 272
(年平均上昇率+4.8%)</t>
  </si>
  <si>
    <t>272</t>
  </si>
  <si>
    <t>1,500</t>
  </si>
  <si>
    <t>役員1人あたり給与支給総額
(単位:万円/人) | 1,500 | 1,639
(年平均上昇率+3.0%)</t>
  </si>
  <si>
    <t>1,639</t>
  </si>
  <si>
    <t>63</t>
  </si>
  <si>
    <t>補助事業に係る従業員数
(単位:人) | 63 | 104</t>
  </si>
  <si>
    <t>104</t>
  </si>
  <si>
    <t>873</t>
  </si>
  <si>
    <t>労働生産性
(単位:万円/人) | 873 | 1,722
(年平均上昇率+25.4%)</t>
  </si>
  <si>
    <t>1,722</t>
  </si>
  <si>
    <t>従業員1人あたり給与支給総額
(単位:万円/人) | 504 | 585
(年平均上昇率+5.09%)</t>
  </si>
  <si>
    <t>585</t>
  </si>
  <si>
    <t>6,500</t>
  </si>
  <si>
    <t>役員1人あたり給与支給総額
(単位:万円/人) | 6,500 | 7,600
(年平均上昇率+5.35%)</t>
  </si>
  <si>
    <t>7,600</t>
  </si>
  <si>
    <t>129</t>
  </si>
  <si>
    <t>補助事業に係る従業員数
(単位:人) | 129 | 145</t>
  </si>
  <si>
    <t>145</t>
  </si>
  <si>
    <t>2025年度(基準年度)</t>
  </si>
  <si>
    <t>1,135</t>
  </si>
  <si>
    <t>労働生産性(単位:万円/人) | 1,135 | 2,087(年平均上昇率+23%)</t>
  </si>
  <si>
    <t>2028年度(基準年度+3年後)</t>
  </si>
  <si>
    <t>2,087</t>
  </si>
  <si>
    <t>558</t>
  </si>
  <si>
    <t>従業員1人あたり給与支給総額(単位:万円/人) | 558 | 656(年平均上昇率+5.5%)</t>
  </si>
  <si>
    <t>656</t>
  </si>
  <si>
    <t>役員1人あたり給与支給総額(単位:万円/人) | ー | ー</t>
  </si>
  <si>
    <t>38</t>
  </si>
  <si>
    <t>補助事業に係る従業員数(単位:人) | 38 | 51</t>
  </si>
  <si>
    <t>51</t>
  </si>
  <si>
    <t>1,158</t>
  </si>
  <si>
    <t>労働生産性
(単位:万円/人) | 1,158 | 1,866
(年平均上昇率+17%)</t>
  </si>
  <si>
    <t>1,866</t>
  </si>
  <si>
    <t>663</t>
  </si>
  <si>
    <t>従業員1人あたり給与支給総額
(単位:万円/人) | 663 | 746
(年平均上昇率+4.0%)</t>
  </si>
  <si>
    <t>746</t>
  </si>
  <si>
    <t>役員1人あたり給与支給総額
(単位:万円/人) | - | -
(年平均上昇率+4.0%)</t>
  </si>
  <si>
    <t>431</t>
  </si>
  <si>
    <t>補助事業に係る従業員数
(単位:人) | 431 | 456</t>
  </si>
  <si>
    <t>456</t>
  </si>
  <si>
    <t>2026年度
(基準年度) | 1,158 | 663</t>
  </si>
  <si>
    <t>役員1人あたり給与支給総額
(単位:万円/人) - -
(年平均上昇率+4.0%)</t>
  </si>
  <si>
    <t>2029年度
(基準年度+3年後) | 1,866
(年平均上昇率+17%) | 746
(年平均上昇率+4.0%)</t>
  </si>
  <si>
    <t>-
(年平均上昇率+4.0%)</t>
  </si>
  <si>
    <t>1,304</t>
  </si>
  <si>
    <t>労働生産性
(単位:万円/人) | 1,304万円 | 1,550万円(※)
(年平均上昇率+6.0%)</t>
  </si>
  <si>
    <t>1,550</t>
  </si>
  <si>
    <t>479</t>
  </si>
  <si>
    <t>従業員1人あたり給与支給総額
(単位:万円/人) | 479万円 | 587万円
(年平均上昇率+7.0%)</t>
  </si>
  <si>
    <t>587</t>
  </si>
  <si>
    <t>役員1人あたり給与支給総額
(単位:万円/人) | - | -</t>
  </si>
  <si>
    <t>補助事業に係る従業員数
(単位:人) | 505人 | 545人</t>
  </si>
  <si>
    <t>545</t>
  </si>
  <si>
    <t>653</t>
  </si>
  <si>
    <t>労働生産性
(単位:万円/人) | 653 |  | 1,296万円/人
(年平均上昇率+26%) |</t>
  </si>
  <si>
    <t>1,296</t>
  </si>
  <si>
    <t>multi_entity</t>
  </si>
  <si>
    <t>384</t>
  </si>
  <si>
    <t>従業員1人あたり給与支給総額
(単位:万円/人) | 384 | 384 | 457万円/人
(年平均上昇率+6%) | 457万円/人
(年平均上昇率+6%)</t>
  </si>
  <si>
    <t>457</t>
  </si>
  <si>
    <t>役員1人あたり給与支給総額
(単位:万円/人) | n/a | n/a | n/a | n/a</t>
  </si>
  <si>
    <t>130</t>
  </si>
  <si>
    <t>補助事業に係る従業員数
(単位:人) | 130人 | 173人 | 160人 | 191人</t>
  </si>
  <si>
    <t>173</t>
  </si>
  <si>
    <t>160</t>
  </si>
  <si>
    <t>191</t>
  </si>
  <si>
    <t>2026年度</t>
  </si>
  <si>
    <t>516</t>
  </si>
  <si>
    <t>労働生産性 | 516 | 1,005
(年平均上昇率+24.9%)</t>
  </si>
  <si>
    <t>2029年度</t>
  </si>
  <si>
    <t>1,005</t>
  </si>
  <si>
    <t>332</t>
  </si>
  <si>
    <t>従業員1人あたり給与支給総額 | 332 | 385
(年平均上昇率+5.0%)</t>
  </si>
  <si>
    <t>385</t>
  </si>
  <si>
    <t>623</t>
  </si>
  <si>
    <t>役員1人あたり給与支給総額 | 623 | 709
(年平均上昇率+4.4%)</t>
  </si>
  <si>
    <t>709</t>
  </si>
  <si>
    <t>71</t>
  </si>
  <si>
    <t>補助事業に係る従業員数 | 71 | 91</t>
  </si>
  <si>
    <t>91</t>
  </si>
  <si>
    <t>2026年度 27/3期
(基準年度)</t>
  </si>
  <si>
    <t>1,904</t>
  </si>
  <si>
    <t>労働生産性
(単位:万円/人) | 1,904万円/人 | 2,795万円/人
(年平均上昇率+13.7%)</t>
  </si>
  <si>
    <t>2029年度 30/3期
(基準年度+3年後)</t>
  </si>
  <si>
    <t>2,795</t>
  </si>
  <si>
    <t>649</t>
  </si>
  <si>
    <t>従業員1人あたり給与支給総額
(単位:万円/人) | 649万円/人 | 730万円/人
(年平均上昇率+4.0%)</t>
  </si>
  <si>
    <t>730</t>
  </si>
  <si>
    <t>補助事業に係る従業員数
(単位:人) | 225人 | 240人</t>
  </si>
  <si>
    <t>240</t>
  </si>
  <si>
    <t>2026年度 27/3期
(基準年度) | (基準年度)
1,904万円/人 | 649万円/人</t>
  </si>
  <si>
    <t>2029年度 30/3期
(基準年度+3年後) | (基2準,7年95度万+円3/年人後)
(年平均上昇率+13.7%) | 730万円/人
(年平均上昇率+4.0%)</t>
  </si>
  <si>
    <t>324</t>
  </si>
  <si>
    <t>労働生産性
(単位:万円/人) | 324 | 2,382
(年平均上昇率+94.5%)</t>
  </si>
  <si>
    <t>2,382</t>
  </si>
  <si>
    <t>589</t>
  </si>
  <si>
    <t>従業員1人あたり給与支給総額
(単位:万円/人) | 589 | 709
(年平均上昇率+6.37%)</t>
  </si>
  <si>
    <t>17</t>
  </si>
  <si>
    <t>補助事業に係る従業員数
(単位:人) | 17 | 130</t>
  </si>
  <si>
    <t>労働生産性
(単位:万円/人) | 795 | 1,336
(年平均上昇率+18.9%)</t>
  </si>
  <si>
    <t>1,336</t>
  </si>
  <si>
    <t>463</t>
  </si>
  <si>
    <t>従業員1人あたり給与支給総額
(単位:万円/人) | 463 | 575
(年平均上昇率+7.5%)</t>
  </si>
  <si>
    <t>575</t>
  </si>
  <si>
    <t>役員1人あたり給与支給総額
(単位:万円/人) | - | -
(年平均上昇率 - %)</t>
  </si>
  <si>
    <t>23</t>
  </si>
  <si>
    <t>補助事業に係る従業員数
(単位:人) | 23 | 70</t>
  </si>
  <si>
    <t>70</t>
  </si>
  <si>
    <t>2027年度(基準年度)</t>
  </si>
  <si>
    <t>15,377</t>
  </si>
  <si>
    <t>労働生産性(万円/人) | 15,377万円/人 | 18,036万円(年平均上昇率+5.5%)</t>
  </si>
  <si>
    <t>2030年度(基準年度+3年後)</t>
  </si>
  <si>
    <t>18,036</t>
  </si>
  <si>
    <t>491</t>
  </si>
  <si>
    <t>従業員1人あたり給与支給総額(万円/人) | 491万円/人 | 563万円(年平均上昇率+4.67%)</t>
  </si>
  <si>
    <t>563</t>
  </si>
  <si>
    <t>33</t>
  </si>
  <si>
    <t>補助事業に係る従業員数(人) | 33人 | 50人</t>
  </si>
  <si>
    <t>262</t>
  </si>
  <si>
    <t>労働生産性
(万円/人) | 262 | 799
(年平均上昇率+45.0%)</t>
  </si>
  <si>
    <t>799</t>
  </si>
  <si>
    <t>247</t>
  </si>
  <si>
    <t>従業員1人あたり
給与支給総額(万円/人) | 247 | 290
(年平均上昇率+5.4%)</t>
  </si>
  <si>
    <t>補助事業に係る従業員数
(単位:人) | 51 | 250
(年平均上昇率+69.8%)</t>
  </si>
  <si>
    <t>250</t>
  </si>
  <si>
    <t>1,226</t>
  </si>
  <si>
    <t>労働生産性 1,788万円 1,226万円 （単位：万円/人） （年平均上昇率＋13.4％）</t>
  </si>
  <si>
    <t>1,788</t>
  </si>
  <si>
    <t>従業員1人あたり給与支給総額 43 万円 3 目標値 369万円 （年平均上昇率＋5.5％） （単位：万円/人）</t>
  </si>
  <si>
    <t>433</t>
  </si>
  <si>
    <t>1,259</t>
  </si>
  <si>
    <t>役員１人あたり給与支給総額 1,428万円 1,259万円 （年平均上昇率＋4.3％） （単位：万円/人）</t>
  </si>
  <si>
    <t>1,428</t>
  </si>
  <si>
    <t>115.5</t>
  </si>
  <si>
    <t>補助事業に係る従業員数 115.5人 133.4人 （単位：人）※就業時間ベース</t>
  </si>
  <si>
    <t>133.4</t>
  </si>
  <si>
    <t>2026年7月期
(基準年度)</t>
  </si>
  <si>
    <t>918</t>
  </si>
  <si>
    <t>労働生産性
(単位:万円/人) | 918 | 1,415
(年平均上昇率+15.5%)</t>
  </si>
  <si>
    <t>2029年7月期
(基準年度+3年後)</t>
  </si>
  <si>
    <t>1,415</t>
  </si>
  <si>
    <t>291</t>
  </si>
  <si>
    <t>従業員1人あたり給与支給総額
(単位:万円/人) | 29
1 | 356
(年平均上昇率+7.0%)</t>
  </si>
  <si>
    <t>2,640</t>
  </si>
  <si>
    <t>役員1人あたり給与支給総額
(単位:万円/人) | 2,640 | 3,05
8
(年平均上昇率+5.0%)</t>
  </si>
  <si>
    <t>3,058</t>
  </si>
  <si>
    <t>29</t>
  </si>
  <si>
    <t>補助事業に係る従業員数
(単位:人) | 29 | 87</t>
  </si>
  <si>
    <t>87</t>
  </si>
  <si>
    <t>2025年度(2026/9月期)
(基準年度)</t>
  </si>
  <si>
    <t>31</t>
  </si>
  <si>
    <t>労働生産性
(単位:万円/人) | 31万円/人(※1) | 965万円/人
(年平均上昇率+214.8%)</t>
  </si>
  <si>
    <t>2028年度(2029/9月期)
(基準年度+3年後)</t>
  </si>
  <si>
    <t>965</t>
  </si>
  <si>
    <t>603</t>
  </si>
  <si>
    <t>従業員1人あたり給与支給総額
(単位:万円/人) | 603万円/人 | 739万円/人
(年平均上昇率+7.0%)</t>
  </si>
  <si>
    <t>739</t>
  </si>
  <si>
    <t>役員1人あたり給与支給総額
(単位:万円/人) | 1,500万円/人 | 1,838万円/人
(年平均上昇率+7.0%)</t>
  </si>
  <si>
    <t>1,838</t>
  </si>
  <si>
    <t>補助事業に係る従業員数
(単位:人) | 87人 | 112人</t>
  </si>
  <si>
    <t>112</t>
  </si>
  <si>
    <t>981.0</t>
  </si>
  <si>
    <t>労働生産性
(単位:万円/人) | 981.0万円/人 | 1,531.3万円/人
(年平均上昇率+約16%)</t>
  </si>
  <si>
    <t>1,531.3</t>
  </si>
  <si>
    <t>341.5</t>
  </si>
  <si>
    <t>従業員1人あたり給与支給総額
(単位:万円/人) | 341.5万円/人 | 395.3万円/人
(年平均上昇率+5%)</t>
  </si>
  <si>
    <t>395.3</t>
  </si>
  <si>
    <t>役員1人あたり給与支給総額
(単位:万円/人) | - | -
(年平均上昇率+5%)</t>
  </si>
  <si>
    <t>111</t>
  </si>
  <si>
    <t>補助事業に係る従業員数
(単位:人) | 111人 | 111人</t>
  </si>
  <si>
    <t>2027年度
(基準年度) | 981.0万円/人 | 341.5万円/人</t>
  </si>
  <si>
    <t>役員1人あたり給与支給総額
(単位:万円/人) - -
(年平均上昇率+5%)</t>
  </si>
  <si>
    <t>2030年度
(基準年度+3年後) | 1,531.3万円/人
(年平均上昇率+約16%) | (年平均上昇率+約16%)
395.3万円/人
(年平均上昇率+5%)</t>
  </si>
  <si>
    <t>(年平均上昇率+5%)
-
(年平均上昇率+5%)</t>
  </si>
  <si>
    <t>7,406</t>
  </si>
  <si>
    <t>労働生産性
(単位:万円/人) | 7,406 | 12,438
(年平均上昇率+19%)</t>
  </si>
  <si>
    <t>12,438</t>
  </si>
  <si>
    <t>343</t>
  </si>
  <si>
    <t>従業員1人あたり給与支給総額
(単位:万円/人) | 343 | 410
(年平均上昇率+6.0%)</t>
  </si>
  <si>
    <t>410</t>
  </si>
  <si>
    <t>1,095</t>
  </si>
  <si>
    <t>役員1人あたり給与支給総額
(単位:万円/人) | 1,095 | 1,335
(年平均上昇率+6.8%)</t>
  </si>
  <si>
    <t>1,335</t>
  </si>
  <si>
    <t>4</t>
  </si>
  <si>
    <t>補助事業に係る従業員数
(単位:人) | 4 | 10</t>
  </si>
  <si>
    <t>10</t>
  </si>
  <si>
    <t>403</t>
  </si>
  <si>
    <t>労働生産性
(単位:万円/人) | 403 | 1,4
20
(年平均上昇率+52.2%)</t>
  </si>
  <si>
    <t>1,420</t>
  </si>
  <si>
    <t>408</t>
  </si>
  <si>
    <t>従業員1人あたり給与支給総額
(単位:万円/人) | 40
8 | 536
(年平均上昇率+9.6%)</t>
  </si>
  <si>
    <t>役員1人あたり給与支給総額
(単位:万円/人) | 400 | 460.0
(年平均上昇率+4.8%)</t>
  </si>
  <si>
    <t>460.0</t>
  </si>
  <si>
    <t>76</t>
  </si>
  <si>
    <t>補助事業に係る従業員数
(単位:人) | 76 | 152
(年平均上昇率+26.0%)</t>
  </si>
  <si>
    <t>152</t>
  </si>
  <si>
    <t>1,406</t>
  </si>
  <si>
    <t>労働生産性
(単位:万円/人) | 1,406万円/人 | 3,561万円/人
(年平均上昇率+36.3%)</t>
  </si>
  <si>
    <t>3,561</t>
  </si>
  <si>
    <t>560</t>
  </si>
  <si>
    <t>従業員1人あたり給与支給総額
(単位:万円/人) | 560万円/人 | 655万円/人
(年平均上昇率+5.4%)</t>
  </si>
  <si>
    <t>655</t>
  </si>
  <si>
    <t>役員1人あたり給与支給総額
(単位:万円/人) | ※補助事業を専任する執行役員の給与は従業員給与に含まれており、役員報酬としては計上されていない |</t>
  </si>
  <si>
    <t>補助事業に係る従業員数
(単位:人) | 10 | 65</t>
  </si>
  <si>
    <t>65</t>
  </si>
  <si>
    <t>1,337</t>
  </si>
  <si>
    <t>労働生産性 | 1,337万円/人 | 2,814万円/人
(年平均+28.1%) | 1,148万円/人 | 2,356万円/人
(年平均+27.1%)</t>
  </si>
  <si>
    <t>2030年度(3年後)</t>
  </si>
  <si>
    <t>2,814</t>
  </si>
  <si>
    <t>1,148</t>
  </si>
  <si>
    <t>2,356</t>
  </si>
  <si>
    <t>555</t>
  </si>
  <si>
    <t>従業員1人あたり
給与支給総額 | 555万円/人 | 642万円/人
(年平均+5.0%) | 597万円/人 | 691万円/人
(年平均+5.0%)</t>
  </si>
  <si>
    <t>642</t>
  </si>
  <si>
    <t>597</t>
  </si>
  <si>
    <t>691</t>
  </si>
  <si>
    <t>役員1人あたり
給与支給総額 | 1,428万円/人 | 1,653万円/人
(年平均+5.0%) | 1,154万円/人 | 1,336万円/人
(年平均+5.0%)</t>
  </si>
  <si>
    <t>1,653</t>
  </si>
  <si>
    <t>1,154</t>
  </si>
  <si>
    <t>72</t>
  </si>
  <si>
    <t>補助事業に係る
従業員数 | 72人 | 72人 | 18人 | 18人</t>
  </si>
  <si>
    <t>18</t>
  </si>
  <si>
    <t>2025年度(26年3月期)
(基準年度)</t>
  </si>
  <si>
    <t>625</t>
  </si>
  <si>
    <t>労働生産性
(単位:万円/人) | 625 | 987
(年平均上昇率+16.5%)</t>
  </si>
  <si>
    <t>2028年度(29年3月期)
(基準年度+3年後)</t>
  </si>
  <si>
    <t>987</t>
  </si>
  <si>
    <t>451</t>
  </si>
  <si>
    <t>従業員1人あたり給与支給総額
(単位:万円/人) | 451 | 569
(年平均上昇率+8.1%)</t>
  </si>
  <si>
    <t>569</t>
  </si>
  <si>
    <t>1,077</t>
  </si>
  <si>
    <t>役員1人あたり給与支給総額
(単位:万円/人) | 1,077 | 1,357
(年平均上昇率+8.00%)</t>
  </si>
  <si>
    <t>1,357</t>
  </si>
  <si>
    <t>210</t>
  </si>
  <si>
    <t>補助事業に係る従業員数
(単位:人) | 210 | 215</t>
  </si>
  <si>
    <t>2027年8月期
(基準年度)</t>
  </si>
  <si>
    <t>577</t>
  </si>
  <si>
    <t>労働生産性
(単位:万円/人) | 577万円/人 | 1,497万円/人
年平均上昇
(年平均上昇率+37.4%)
5.1%の賃上 |  |</t>
  </si>
  <si>
    <t>2030年8月期
(基準年度+3年後)
全社員を対</t>
  </si>
  <si>
    <t>1,497</t>
  </si>
  <si>
    <t>334</t>
  </si>
  <si>
    <t>従業員1人あたり給与支給総額
(単位:万円/人) | 334万円/人 | 388万円/人 実施
(年平均上昇率+5.1%) |  |</t>
  </si>
  <si>
    <t>388</t>
  </si>
  <si>
    <t>848</t>
  </si>
  <si>
    <t>役員1人あたり給与支給総額
(単位:万円/人) | 848万円/人 | 役員を対象
1,058万円/人
年平均上昇
(年平均上昇率+7.65%)
7.65%の賃 |  |</t>
  </si>
  <si>
    <t>1,058</t>
  </si>
  <si>
    <t>193</t>
  </si>
  <si>
    <t>補助事業に係る従業員数
(単位:人) | 193人 | 201人 実施 | 実施 |</t>
  </si>
  <si>
    <t>2027年度（基準年度）</t>
  </si>
  <si>
    <t>PDF表目視確認 | 2027年度（基準年度）: 577 | 2030年度（基準年度+3年後）: 1497</t>
  </si>
  <si>
    <t>2030年度（基準年度+3年後）</t>
  </si>
  <si>
    <t>1497</t>
  </si>
  <si>
    <t>PDF表目視確認 | 2027年度（基準年度）: 334 | 2030年度（基準年度+3年後）: 388</t>
  </si>
  <si>
    <t>PDF表目視確認 | 2027年度（基準年度）: 848 | 2030年度（基準年度+3年後）: 1058</t>
  </si>
  <si>
    <t>1058</t>
  </si>
  <si>
    <t>PDF表目視確認 | 2027年度（基準年度）: 193 | 2030年度（基準年度+3年後）: 201</t>
  </si>
  <si>
    <t>2027年5月期
(基準年度)</t>
  </si>
  <si>
    <t>12,158</t>
  </si>
  <si>
    <t>労働生産性
(単位:千円/人) | 12,158千円/人 | 28,189千円/人
(年平均上昇率+32.4%)</t>
  </si>
  <si>
    <t>2030年5月期
(基準年度+3年後)</t>
  </si>
  <si>
    <t>28,189</t>
  </si>
  <si>
    <t>6,456</t>
  </si>
  <si>
    <t>従業員1人あたり給与支給総額
(単位:千円/人) | 6,456千円/人 | 7,473千円/人
(年平均上昇率+5.0%)</t>
  </si>
  <si>
    <t>7,473</t>
  </si>
  <si>
    <t>16,713</t>
  </si>
  <si>
    <t>役員1人あたり給与支給総額
(単位:千円/人) | 16,713千円/人 | 19,348千円/人
(年平均上昇率+5.0%)</t>
  </si>
  <si>
    <t>19,348</t>
  </si>
  <si>
    <t>28</t>
  </si>
  <si>
    <t>補助事業に係る従業員数
(単位:人) | 28人 | 47人</t>
  </si>
  <si>
    <t>47</t>
  </si>
  <si>
    <t>2027年6月期
(基準年度)</t>
  </si>
  <si>
    <t>1,16</t>
  </si>
  <si>
    <t>労働生産性 | 1,16 万円/人
2 | 169 万円/人
4
(年平均上昇率+13. 4%)</t>
  </si>
  <si>
    <t>2030年6月期
(基準年度+3年後)</t>
  </si>
  <si>
    <t>469</t>
  </si>
  <si>
    <t>従業員1人あたり給与支給総額 | 469万円/人 | 5 万円/人
60
(年平均上昇率+6.0 %)
6</t>
  </si>
  <si>
    <t>役員1人あたり給与支給総額 | - | -
(年平均上昇率+6. %)
5</t>
  </si>
  <si>
    <t>277</t>
  </si>
  <si>
    <t>補助事業に係る従業員数 | 277人 | 305人</t>
  </si>
  <si>
    <t>305</t>
  </si>
  <si>
    <t>1162</t>
  </si>
  <si>
    <t>PDF表目視確認 | 2027年度（基準年度）: 1162 | 2030年度（基準年度+3年後）: 1625</t>
  </si>
  <si>
    <t>1625</t>
  </si>
  <si>
    <t>PDF表目視確認 | 2027年度（基準年度）: 469 | 2030年度（基準年度+3年後）: 560</t>
  </si>
  <si>
    <t>PDF表目視確認 | 2027年度（基準年度）: 277 | 2030年度（基準年度+3年後）: 305</t>
  </si>
  <si>
    <t>2027年6月期
(基準年度) | 1,16 万円/人
2 | 469万円/人</t>
  </si>
  <si>
    <t>役員1人あたり給与支給総額 - -
(年平均上昇率+6. %)
5</t>
  </si>
  <si>
    <t>2030年6月期
(基準年度+3年後) | 169 万円/人
4
(年平均上昇率+13. 4%) | 5 万円/人
60
(年平均上昇率+6.0 %)
6</t>
  </si>
  <si>
    <t>-
(年平均上昇率+6. %)
5</t>
  </si>
  <si>
    <t>908</t>
  </si>
  <si>
    <t>労働生産性
(単位:万円/人) | 908 | 1400
(年平均上昇率+15.5%)</t>
  </si>
  <si>
    <t>1400</t>
  </si>
  <si>
    <t>従業員1人あたり給与支給総額
(単位:万円/人) | 469 | 535.5
(年平均上昇率+4.5%)</t>
  </si>
  <si>
    <t>535.5</t>
  </si>
  <si>
    <t>1210.8</t>
  </si>
  <si>
    <t>役員1人あたり給与支給総額
(単位:万円/人) | 1210.8 | 1381.9
(年平均上昇率+4.5%)</t>
  </si>
  <si>
    <t>1381.9</t>
  </si>
  <si>
    <t>102</t>
  </si>
  <si>
    <t>補助事業に係る従業員数(担当役員含む)
(単位:人) | 102 | 237</t>
  </si>
  <si>
    <t>237</t>
  </si>
  <si>
    <t>898</t>
  </si>
  <si>
    <t>労働生産性
(単位:万円/人) | 898万円 | 1,337万円
(年平均上昇率+14.1%)</t>
  </si>
  <si>
    <t>562</t>
  </si>
  <si>
    <t>従業員1人あたり給与支給総額
(単位:万円/人) | 562万円 | 623万円
(年平均上昇率+3.5%)</t>
  </si>
  <si>
    <t>役員1人あたり給与支給総額
(単位:万円/人) | ― | ―</t>
  </si>
  <si>
    <t>342</t>
  </si>
  <si>
    <t>補助事業に係る従業員数
(単位:人) | 342人 | 357人</t>
  </si>
  <si>
    <t>357</t>
  </si>
  <si>
    <t>701</t>
  </si>
  <si>
    <t>労働生産性
(単位:万円/人) | 701万円 | 1,611万円
(年平均上昇率+32.0%)</t>
  </si>
  <si>
    <t>1,611</t>
  </si>
  <si>
    <t>467</t>
  </si>
  <si>
    <t>従業員1人あたり給与支給総額
(単位:万円/人) | 467万円 | 541万円
(年平均上昇率+5.0%)</t>
  </si>
  <si>
    <t>役員1人あたり給与支給総額
(単位:万円/人) | 1,169万円 | 1,354万円
(年平均上昇率+5.0%)</t>
  </si>
  <si>
    <t>1,354</t>
  </si>
  <si>
    <t>補助事業に係る従業員数
(単位:人) | 128人 | 166人</t>
  </si>
  <si>
    <t>166</t>
  </si>
  <si>
    <t>2026年10月期
(基準年度)</t>
  </si>
  <si>
    <t>679</t>
  </si>
  <si>
    <t>労働生産性
(単位:万円/人) | 679 | 1,750
(年平均上昇率+37.1%)</t>
  </si>
  <si>
    <t>2029年10月期
(基準年度+3年後)</t>
  </si>
  <si>
    <t>1,750</t>
  </si>
  <si>
    <t>従業員1人あたり給与支給総額
(単位:万円/人) | 356 | 410
(年平均上昇率+4.8%)</t>
  </si>
  <si>
    <t>補助事業に係る従業員数
(単位:人) | 112 | 270</t>
  </si>
  <si>
    <t>労働生産性
(万円/人) | 431 | 741
(+19.7%)</t>
  </si>
  <si>
    <t>242</t>
  </si>
  <si>
    <t>従業員1人あたり
給与支給総額
(万円/人) | 242 | 280
(+5.0%)</t>
  </si>
  <si>
    <t>572</t>
  </si>
  <si>
    <t>補助事業に係る
従業員数(人) | 572 | 627
(+3.1%)</t>
  </si>
  <si>
    <t>627</t>
  </si>
  <si>
    <t>470</t>
  </si>
  <si>
    <t>労働生産性
(万円/人) | 470 | 869
(+22.8%) | 251 | 568
(+31.2%) | 279 | 499
(+21.4%)</t>
  </si>
  <si>
    <t>869</t>
  </si>
  <si>
    <t>251</t>
  </si>
  <si>
    <t>568</t>
  </si>
  <si>
    <t>279</t>
  </si>
  <si>
    <t>499</t>
  </si>
  <si>
    <t>274</t>
  </si>
  <si>
    <t>従業員1人あたり
給与支給総額
(万円/人) | 274 | 317
(+5.0%) | 232 | 269
(+5.0%) | 231 | 268
(+5.0%)</t>
  </si>
  <si>
    <t>317</t>
  </si>
  <si>
    <t>232</t>
  </si>
  <si>
    <t>269</t>
  </si>
  <si>
    <t>231</t>
  </si>
  <si>
    <t>268</t>
  </si>
  <si>
    <t>474</t>
  </si>
  <si>
    <t>補助事業に係る
従業員数(人) | 474 | 508 | 50 | 60 | 52 | 67</t>
  </si>
  <si>
    <t>508</t>
  </si>
  <si>
    <t>52</t>
  </si>
  <si>
    <t>67</t>
  </si>
  <si>
    <t>725</t>
  </si>
  <si>
    <t>労働生産性(万円/人) | 725 | 1,639(年平均上昇率+31.2%)</t>
  </si>
  <si>
    <t>495</t>
  </si>
  <si>
    <t>従業員1人あたり給与支給総額(万円/人) | 495 | 566(年平均上昇率+4.6%)</t>
  </si>
  <si>
    <t>566</t>
  </si>
  <si>
    <t>99</t>
  </si>
  <si>
    <t>補助事業に係る従業員数(単位:人) | 99 | 157</t>
  </si>
  <si>
    <t>157</t>
  </si>
  <si>
    <t>812</t>
  </si>
  <si>
    <t>労働生産性
(単位:万円/人) | 812万円 | 1,196万円
(年平均上昇率+14%)</t>
  </si>
  <si>
    <t>1,196</t>
  </si>
  <si>
    <t>従業員1人あたり給与支給総額
(単位:万円/人) | 490万円 | 535万円
(年平均上昇率+3.0%)</t>
  </si>
  <si>
    <t>535</t>
  </si>
  <si>
    <t>732</t>
  </si>
  <si>
    <t>補助事業に係る従業員数
(単位:人) | 732 | 795</t>
  </si>
  <si>
    <t>1,008</t>
  </si>
  <si>
    <t>労働生産性
(単位:万円/人) | 1,008万円/人 | 1,556万円/人
(年平均上昇率+15.6%)</t>
  </si>
  <si>
    <t>1,556</t>
  </si>
  <si>
    <t>286</t>
  </si>
  <si>
    <t>従業員1人あたり給与支給総額
(単位:万円/人) | 286万円/人 | 331万円/人
(年平均上昇率+5.0%)</t>
  </si>
  <si>
    <t>331</t>
  </si>
  <si>
    <t>役員1人あたり給与支給総額
(単位:万円/人) | ー | ー
(年平均上昇率+5.0%)</t>
  </si>
  <si>
    <t>48</t>
  </si>
  <si>
    <t>補助事業に係る従業員数
(単位:人) | 48人 | 51人</t>
  </si>
  <si>
    <t>2026年度
(基準年度) | 1,008万円/人 | 286万円/人</t>
  </si>
  <si>
    <t>役員1人あたり給与支給総額
(単位:万円/人) ー ー
(年平均上昇率+5.0%)</t>
  </si>
  <si>
    <t>2029年度
(基準年度+3年後) | 1,556万円/人
(年平均上昇率+15.6%) | 331万円/人
(年平均上昇率+5.0%)</t>
  </si>
  <si>
    <t>ー
(年平均上昇率+5.0%)</t>
  </si>
  <si>
    <t>1,166</t>
  </si>
  <si>
    <t>労働生産性
(単位:万円/人) |  | 1,166 | 2,043(年平均上昇率 +20.5%)</t>
  </si>
  <si>
    <t>2,043</t>
  </si>
  <si>
    <t>583</t>
  </si>
  <si>
    <t>従業員1人当たり給与支給総額
(単位:万円/人) | 栃木県 | 583 | 677(年平均上昇率+5.1%)</t>
  </si>
  <si>
    <t>677</t>
  </si>
  <si>
    <t>役員1人当たり給与支給総額
(単位:万円/人) | 栃木県 | - | - (年平均上昇率+4%)</t>
  </si>
  <si>
    <t>補助事業に係る従業員数
(単位:人) | 栃木県 | 71 | 95</t>
  </si>
  <si>
    <t>内容 ・労働生産性向上 （詳細19～20ページ参照） (1)作業効率が向上する機械設備・システムを導入し、生産性を向上させる。 (2)サーモン養殖業者は現在、超低温倉庫(-45℃)に保管するため、関東まで商品 をトラック輸送している。当社が新冷凍倉庫を建設することにより、長距離輸送が</t>
  </si>
  <si>
    <t>労働生産性
(単位:万円/人) | 420万円/人 | 544万円/人
(年平均上昇率+9.0%)</t>
  </si>
  <si>
    <t>544</t>
  </si>
  <si>
    <t>315</t>
  </si>
  <si>
    <t>従業員1人あたり給与支給総額
(単位:万円/人) | 315万円/人
内訳
社員 :276人 486万円/人
パート:465人 214万円/人 | 360万円/人
(年平均上昇率+4.5%)
内訳
社員:345人 555万円/人
パート:582人 244万円/人</t>
  </si>
  <si>
    <t>360</t>
  </si>
  <si>
    <t>753</t>
  </si>
  <si>
    <t>役員1人あたり給与支給総額
(単位:万円/人) | 753万円/人 | 847万円/人
(年平均上昇率+4.0%)</t>
  </si>
  <si>
    <t>847</t>
  </si>
  <si>
    <t>補助事業に係る従業員数
(単位:人) | 741人 | 927人</t>
  </si>
  <si>
    <t>927</t>
  </si>
  <si>
    <t>891</t>
  </si>
  <si>
    <t>労働生産性
(単位:万円/人) | 891 | 2,999
(年平均上昇率+49.9%)</t>
  </si>
  <si>
    <t>2,999</t>
  </si>
  <si>
    <t>382</t>
  </si>
  <si>
    <t>従業員1人あたり給与支給総額
(単位:万円/人) | 382 | 468
(年平均上昇率+7.0%)</t>
  </si>
  <si>
    <t>468</t>
  </si>
  <si>
    <t>1,450</t>
  </si>
  <si>
    <t>役員1人あたり給与支給総額
(単位:万円/人) | 1,450 | 1,650
(年平均上昇率+4.4%)</t>
  </si>
  <si>
    <t>1,650</t>
  </si>
  <si>
    <t>補助事業に係る従業員数
(単位:人) | 130 | 153</t>
  </si>
  <si>
    <t>153</t>
  </si>
  <si>
    <t>2026年度(基準年度)</t>
  </si>
  <si>
    <t>294</t>
  </si>
  <si>
    <t>労働生産性
(単位:万円/人) | 294 |  | 541
(年平均上昇率+22.6%) |</t>
  </si>
  <si>
    <t>2029年度(基準年度+3年後)</t>
  </si>
  <si>
    <t>従業員1人あたり給与支給総額
(単位:万円/人) | 277 | 256 | 330
(年平均上昇率+6.0%) | 305
(年平均上昇率+6.0%)</t>
  </si>
  <si>
    <t>256</t>
  </si>
  <si>
    <t>330</t>
  </si>
  <si>
    <t>役員1人あたり給与支給総額
(単位:万円/人) | 1,500 | 0 | 2,000
(年平均上昇率+10.1%) | 0</t>
  </si>
  <si>
    <t>2,000</t>
  </si>
  <si>
    <t>補助事業に係る従業員数
(単位:人) | 450 | 67 | 499 | 67</t>
  </si>
  <si>
    <t>1,295</t>
  </si>
  <si>
    <t>労働生産性
(単位:万円/人) | 1,295 | 1,918
(年平均上昇率+14.0%)</t>
  </si>
  <si>
    <t>1,918</t>
  </si>
  <si>
    <t>503</t>
  </si>
  <si>
    <t>従業員1人あたり給与支給総額
(単位:万円/人) | 503 | 618
(年平均上昇率+7.1%)</t>
  </si>
  <si>
    <t>役員1人あたり給与支給総額
(単位:万円/人) | - | -
(年平均上昇率+4.2%)</t>
  </si>
  <si>
    <t>105</t>
  </si>
  <si>
    <t>補助事業に係る従業員数
(単位:人) | 105 | 112</t>
  </si>
  <si>
    <t>2026年度
(基準年度) | 1,295 | 503</t>
  </si>
  <si>
    <t>役員1人あたり給与支給総額
(単位:万円/人) - -
(年平均上昇率+4.2%)</t>
  </si>
  <si>
    <t>2029年度
(基準年度+3年後) | 1,918
(年平均上昇率+14.0%) | 618
(年平均上昇率+7.1%)</t>
  </si>
  <si>
    <t>-
(年平均上昇率+4.2%)</t>
  </si>
  <si>
    <t>2026年10月期(基準年度)</t>
  </si>
  <si>
    <t>651</t>
  </si>
  <si>
    <t>労働生産性
(単位:万円/人) | 651 | - | - | - | - | - | - | - | 951
(年 | - | - | - | - | - | - | -</t>
  </si>
  <si>
    <t>2029年10月期(基準年度+3年後)</t>
  </si>
  <si>
    <t>951</t>
  </si>
  <si>
    <t>443</t>
  </si>
  <si>
    <t>従業員1人あたり給与支給総額
(単位:万円/人) | 443 | 472 | 393 | 540 | 273 | 272 | 397 | 397 | 518 | 549 | 457 | 625 | 316 | 315 | 459 | 459</t>
  </si>
  <si>
    <t>393</t>
  </si>
  <si>
    <t>540</t>
  </si>
  <si>
    <t>273</t>
  </si>
  <si>
    <t>397</t>
  </si>
  <si>
    <t>518</t>
  </si>
  <si>
    <t>549</t>
  </si>
  <si>
    <t>316</t>
  </si>
  <si>
    <t>459</t>
  </si>
  <si>
    <t>役員1人あたり給与支給総額
(単位:万円/人) | 0 | 0 | 0 | 0 | 0 | 0 | 0 | 0 | 0 | 0 | 0 | 0 | 0 | 0 | 0 | 0</t>
  </si>
  <si>
    <t>補助事業に係る従業員数
(単位:人) | 388 | 260 | 46 | 23 | 25 | 14 | 10 | 10 | 440 | 310 | 48 | 23 | 25 | 14 | 10 | 10</t>
  </si>
  <si>
    <t>46</t>
  </si>
  <si>
    <t>25</t>
  </si>
  <si>
    <t>14</t>
  </si>
  <si>
    <t>440</t>
  </si>
  <si>
    <t>310</t>
  </si>
  <si>
    <t>897</t>
  </si>
  <si>
    <t>1,376 労働生産性 897 （年平均上昇率＋15.3%) （単位：万円／人）</t>
  </si>
  <si>
    <t>1,376</t>
  </si>
  <si>
    <t>486</t>
  </si>
  <si>
    <t>従業員1人あたり給与支給総額 486 目標値 414 L （年平均上昇率＋ 5.5%) （単位：万円 人） | 役員 1 人あたり給与支給総額 644 546 （年平均上昇率＋ 5.7%) （単位：万円／人） |</t>
  </si>
  <si>
    <t>644</t>
  </si>
  <si>
    <t>414</t>
  </si>
  <si>
    <t>546</t>
  </si>
  <si>
    <t>198</t>
  </si>
  <si>
    <t>補助事業に係る従業員数 198 220 20 （単位：人）</t>
  </si>
  <si>
    <t>220</t>
  </si>
  <si>
    <t>20</t>
  </si>
  <si>
    <t>中央観光 | 2026年度（基準年度）: 897 | 2029年度（基準年度+3年後）: 1376</t>
  </si>
  <si>
    <t>1376</t>
  </si>
  <si>
    <t>中央観光 | 2026年度（基準年度）: 414 | 2029年度（基準年度+3年後）: 486</t>
  </si>
  <si>
    <t>中央観光 | 2026年度（基準年度）: 546 | 2029年度（基準年度+3年後）: 644</t>
  </si>
  <si>
    <t>中央観光 | 2026年度（基準年度）: 198 | 2029年度（基準年度+3年後）: 220</t>
  </si>
  <si>
    <t>1,030</t>
  </si>
  <si>
    <t>労働生産性
(単位:万円/人) | 1,030 | 1,538
(年平均上昇率+14.3%)</t>
  </si>
  <si>
    <t>1,538</t>
  </si>
  <si>
    <t>635</t>
  </si>
  <si>
    <t>従業員1人あたり給与支給総額
(単位:万円/人) | 635 | 727
(年平均上昇率+4.6%)</t>
  </si>
  <si>
    <t>727</t>
  </si>
  <si>
    <t>役員1人あたり給与支給総額
(単位:万円/人) | 1,500 | 1,687
(年平均上昇率+4.0%)</t>
  </si>
  <si>
    <t>1,687</t>
  </si>
  <si>
    <t>1,099</t>
  </si>
  <si>
    <t>補助事業に係る従業員数
(単位:人) | 1,099 | 1,125</t>
  </si>
  <si>
    <t>1,125</t>
  </si>
  <si>
    <t>労働生産性
(単位:万円/人) | 280万円/人 | 424万円/人
(年平均上昇率+14.8%)</t>
  </si>
  <si>
    <t>424</t>
  </si>
  <si>
    <t>従業員1人あたり給与支給総額
(単位:万円/人) | 232万円/人 | 293万円/人
(年平均上昇率+8.2%)</t>
  </si>
  <si>
    <t>293</t>
  </si>
  <si>
    <t>1,342</t>
  </si>
  <si>
    <t>役員1人あたり給与支給総額
(単位:万円/人) | 1,342万円/人 | 1,676万円/人
(年平均上昇率+7.70%)</t>
  </si>
  <si>
    <t>1,676</t>
  </si>
  <si>
    <t>306</t>
  </si>
  <si>
    <t>補助事業に係る従業員数
(単位:人) | 306 | 315</t>
  </si>
  <si>
    <t>1,145</t>
  </si>
  <si>
    <t>労働生産性
(単位:万円/人) | 1,145万円/人 | 1,531万円/人
(年平均上昇率+10.2%)</t>
  </si>
  <si>
    <t>1,531</t>
  </si>
  <si>
    <t>従業員1人あたり給与支給総額
(単位:万円/人) | 470万円/人 | 560万円/人
(年平均上昇率+6.0%)</t>
  </si>
  <si>
    <t>役員1人あたり給与支給総額
(単位:万円/人) | - | -
(年平均上昇率+6.0%)</t>
  </si>
  <si>
    <t>363</t>
  </si>
  <si>
    <t>補助事業に係る従業員数
(単位:人) | 363人 | 370人</t>
  </si>
  <si>
    <t>370</t>
  </si>
  <si>
    <t>OEM商品の生産を新工場で実施し、高度に自動化された生産ラインで生産することで労働生産性向上を実現する。 •</t>
  </si>
  <si>
    <t>1,892</t>
  </si>
  <si>
    <t>労働生産性
(単位:万円/人) | 1,892 | 2,699
(年平均上昇率+12.6%)</t>
  </si>
  <si>
    <t>2,699</t>
  </si>
  <si>
    <t>483</t>
  </si>
  <si>
    <t>従業員1人あたり給与支給総額
(単位:万円/人) | 483 | 567
(年平均上昇率+5.5%)</t>
  </si>
  <si>
    <t>567</t>
  </si>
  <si>
    <t>1,902</t>
  </si>
  <si>
    <t>役員1人あたり給与支給総額
(単位:万円/人) | 1,902 | 2,170
(年平均上昇率+4.5%)</t>
  </si>
  <si>
    <t>2,170</t>
  </si>
  <si>
    <t>55</t>
  </si>
  <si>
    <t>補助事業に係る従業員数
(単位:人) | 55 | 80</t>
  </si>
  <si>
    <t>労働生産性
(単位:万円/人) | 730万円/人 | 999万円/人
(年平均上昇率+11%)</t>
  </si>
  <si>
    <t>326</t>
  </si>
  <si>
    <t>従業員1人あたり給与支給総額
(単位:万円/人) | 326万円/人 | 385万円/人
(年平均上昇率+5.6%)</t>
  </si>
  <si>
    <t>1,033</t>
  </si>
  <si>
    <t>役員1人あたり給与支給総額
(単位:万円/人) | 1,033万円/人 | 1,162万円/人
(年平均上昇率+4%)</t>
  </si>
  <si>
    <t>1,162</t>
  </si>
  <si>
    <t>補助事業に係る従業員数
(単位:人) | 236人 | 236人</t>
  </si>
  <si>
    <t>| 労働生産性
(単位:万円/人) | 526万円/人 | 755万円/人
(年平均上昇率+13%)</t>
  </si>
  <si>
    <t>755</t>
  </si>
  <si>
    <t>| 従業員1人あたり給与支給総額
(単位:万円/人) | 343万円/人 | 407万円/人
(年平均上昇率+5.8%)</t>
  </si>
  <si>
    <t>407</t>
  </si>
  <si>
    <t>612</t>
  </si>
  <si>
    <t>| 役員1人あたり給与支給総額
(単位:万円/人) | 612万円/人 | 771万円/人
(年平均上昇率+8%)</t>
  </si>
  <si>
    <t>771</t>
  </si>
  <si>
    <t>| 補助事業に係る従業員数
(単位:人) | 60人 | 62人</t>
  </si>
  <si>
    <t>62</t>
  </si>
  <si>
    <t>373</t>
  </si>
  <si>
    <t>労働生産性
(単位:万円/人) | 373万円/人 | 589万円/人
(年平均上昇率17%)</t>
  </si>
  <si>
    <t>従業員1人あたり給与支給総額
(単位:万円/人) | 316万円/人 | 406万円/人
(年平均上昇率+8.7%)</t>
  </si>
  <si>
    <t>406</t>
  </si>
  <si>
    <t>役員1人あたり給与支給総額
(単位:万円/人) | 840万円/人 | 1,000万円/人
(年平均上昇率+6%)</t>
  </si>
  <si>
    <t>1,000</t>
  </si>
  <si>
    <t>110</t>
  </si>
  <si>
    <t>補助事業に係る従業員数
(単位:人) | 110人 | 114人</t>
  </si>
  <si>
    <t>114</t>
  </si>
  <si>
    <t>1187.6</t>
  </si>
  <si>
    <t>1033.1万円/人 1187.6万円/人 826.7万円/人 1182.5万円/人 労働生産性 724.9万円/人 ( 年平均上昇率 ＋12.4％ ) 892.2万円/人 ( 年平均上昇率 ＋9.89％ ) 581.6万円/人 ( 年平均上昇率 ＋12.3％ ) 816.3万円/人 ( 年平均上昇率 ＋13.0％ ) （単位:万円/人） ( 期間内上昇率＋42.5％ ) ( 期間内上昇率＋33.1％ ) ( 期間内上昇率＋42.1％ ) ( 期間内上昇率＋44.9％ )</t>
  </si>
  <si>
    <t>826.7</t>
  </si>
  <si>
    <t>1182.5</t>
  </si>
  <si>
    <t>639.5</t>
  </si>
  <si>
    <t>目標値 544.3万円/人 639.5万円/人 456.1万円/人 645.9万円/人 従業員1人あたり給与支給総額 428.8万円/人 500.0万円/人 371.9万円/人 525.5万円/人 ( 年平均上昇率 ＋8.26％ ) ( 年平均上昇率 ＋8.55％ ) ( 年平均上昇率 ＋7.04％ ) ( 年平均上昇率 ＋7.12％ ) （単位:万円/人） ( 期間内上昇率＋26.9％ ) ( 期間内上昇率＋27.9% ) ( 期間内上昇率＋22.6％ ) ( 期間内上昇率＋22.9％ )</t>
  </si>
  <si>
    <t>456.1</t>
  </si>
  <si>
    <t>645.9</t>
  </si>
  <si>
    <t>役員１人あたり給与支給総額 - - - - - - - - (年平均上昇率 ＋6.27%) (年平均上昇率 ＋7.00%) (年平均上昇率 ＋7.03%) （単位:万円/人）</t>
  </si>
  <si>
    <t>補助事業に係る従業員数 118人 145人 25人 43人 70人 76人 23人 26人 （単位:人）</t>
  </si>
  <si>
    <t>43</t>
  </si>
  <si>
    <t>26</t>
  </si>
  <si>
    <t>724.9</t>
  </si>
  <si>
    <t>コンソーシアム全体 | 2026年度（基準年度）: 724.9 | 2029年度（基準年度+3年後）: 1033.1</t>
  </si>
  <si>
    <t>1033.1</t>
  </si>
  <si>
    <t>428.8</t>
  </si>
  <si>
    <t>コンソーシアム全体 | 2026年度（基準年度）: 428.8 | 2029年度（基準年度+3年後）: 544.3</t>
  </si>
  <si>
    <t>544.3</t>
  </si>
  <si>
    <t>118</t>
  </si>
  <si>
    <t>コンソーシアム全体 | 2026年度（基準年度）: 118 | 2029年度（基準年度+3年後）: 145</t>
  </si>
  <si>
    <t>1,332万円/人 労働生産性 897万円/人 （単位：万円/人） （年平均上昇率＋14.1％）</t>
  </si>
  <si>
    <t>1,332</t>
  </si>
  <si>
    <t>530</t>
  </si>
  <si>
    <t>従業員1人あたり給与支給総額 685万円/人 目標値 530万円/人 （年平均上昇率＋8.9％） （単位：万円/人）</t>
  </si>
  <si>
    <t>685</t>
  </si>
  <si>
    <t>1,753</t>
  </si>
  <si>
    <t>役員１人あたり給与支給総額 2,033万円/人 1,753万円/人 （年平均上昇率＋5.1％） （単位：万円/人）</t>
  </si>
  <si>
    <t>2,033</t>
  </si>
  <si>
    <t>136</t>
  </si>
  <si>
    <t>補助事業に係る従業員数 136人 141人 （単位：人）</t>
  </si>
  <si>
    <t>141</t>
  </si>
  <si>
    <t>1,400</t>
  </si>
  <si>
    <t>労働生産性
(単位:万円/人) | 1,400 | 1,643
(年平均上昇率+5.5%)</t>
  </si>
  <si>
    <t>1,643</t>
  </si>
  <si>
    <t>501</t>
  </si>
  <si>
    <t>従業員1人あたり給与支給総額
(単位:万円/人) | 501 | 564
(年平均上昇率+4.1%)</t>
  </si>
  <si>
    <t>564</t>
  </si>
  <si>
    <t>209</t>
  </si>
  <si>
    <t>補助事業に係る従業員数
(単位:人) | 209 | 222</t>
  </si>
  <si>
    <t>222</t>
  </si>
  <si>
    <t>2026年度
(基準年度) | 1,400 | 501</t>
  </si>
  <si>
    <t>2029年度
(基準年度+3年後) | 1,643
(年平均上昇率+5.5%) | 564
(年平均上昇率+4.1%)</t>
  </si>
  <si>
    <t>労働生産性
(単位:万円/人) | 1,492 | 2,579
(年平均上昇率+20.0%)</t>
  </si>
  <si>
    <t>2,579</t>
  </si>
  <si>
    <t>622</t>
  </si>
  <si>
    <t>従業員1人あたり給与支給総額
(単位:万円/人) | 622 | 723
(年平均上昇率+5. %)
2</t>
  </si>
  <si>
    <t>723</t>
  </si>
  <si>
    <t>役員1人あたり給与支給総額
(単位:万円/人) | 1,428 | 1,653
(年平均上昇率+5.0%)</t>
  </si>
  <si>
    <t>補助事業に係る従業員数
(単位:人) | 33 | 59</t>
  </si>
  <si>
    <t>59</t>
  </si>
  <si>
    <t>PDF表目視確認 | 2026年度（基準年度）: 622 | 2029年度（基準年度+3年後）: 723</t>
  </si>
  <si>
    <t>1,554</t>
  </si>
  <si>
    <t>労働生産性
(単位:万円/人) | 1,554 | 1,911(年平均上昇率+7.1%)</t>
  </si>
  <si>
    <t>1,911</t>
  </si>
  <si>
    <t>従業員1人あたり給与支給総額
(単位:万円/人) | 558 | 646(年平均上昇率+5.0%)</t>
  </si>
  <si>
    <t>646</t>
  </si>
  <si>
    <t>1,061</t>
  </si>
  <si>
    <t>役員1人あたり給与支給総額
(単位:万円/人) | 1,061 | 1,229(年平均上昇率+5.0%)</t>
  </si>
  <si>
    <t>1,229</t>
  </si>
  <si>
    <t>379</t>
  </si>
  <si>
    <t>補助事業に係る従業員数
(単位:人) | 379 | 390</t>
  </si>
  <si>
    <t>390</t>
  </si>
  <si>
    <t>8,275</t>
  </si>
  <si>
    <t>労働生産性
(単位:万円/人) | 8,275 | 11,703
(年平均上昇率+12.2%)</t>
  </si>
  <si>
    <t>11,703</t>
  </si>
  <si>
    <t>791</t>
  </si>
  <si>
    <t>従業員1人あたり給与支給総額
(単位:万円/人) | 791 | 929
(年平均上昇率+5.5%)</t>
  </si>
  <si>
    <t>929</t>
  </si>
  <si>
    <t>役員1人あたり給与支給総額
(単位:万円/人) | - | -
(年平均上昇率+-%)</t>
  </si>
  <si>
    <t>30</t>
  </si>
  <si>
    <t>補助事業に係る従業員数
(単位:人) | 30 | 110</t>
  </si>
  <si>
    <t>3,059</t>
  </si>
  <si>
    <t>労働生産性
(単位:万円/人) | 3,059万円/人 | 4,247万円/人
(年平均上昇率+11.6%)</t>
  </si>
  <si>
    <t>4,247</t>
  </si>
  <si>
    <t>740</t>
  </si>
  <si>
    <t>従業員1人あたり給与支給総額
(単位:万円/人) | 740万円/人 | 881万円/人
(年平均上昇率+6.0%)</t>
  </si>
  <si>
    <t>881</t>
  </si>
  <si>
    <t>役員1人あたり給与支給総額
(単位:万円/人) | ‐
※補助事業に関わる役員は判定が困難なため、未設定。 | ‐
※補助事業に関わる役員は判定が困難なため、未設定。</t>
  </si>
  <si>
    <t>158</t>
  </si>
  <si>
    <t>補助事業に係る従業員数
(単位:人) | 158人 | 171人</t>
  </si>
  <si>
    <t>171</t>
  </si>
  <si>
    <t>2,439</t>
  </si>
  <si>
    <t>労働生産性
(単位:万円/人) | 2,439 | 4,187(1.72倍)
(年平均上昇率+19.78%)</t>
  </si>
  <si>
    <t>4,187</t>
  </si>
  <si>
    <t>497</t>
  </si>
  <si>
    <t>従業員1人あたり給与支給総額
(単位:万円/人) | 497 | 580
(年平均上昇率+5.34%)</t>
  </si>
  <si>
    <t>580</t>
  </si>
  <si>
    <t>役員1人あたり給与支給総額
(単位:万円/人) | - | -
(年平均上昇率+5.00%)</t>
  </si>
  <si>
    <t>213</t>
  </si>
  <si>
    <t>補助事業に係る従業員数
(単位:人) | 213 | 222</t>
  </si>
  <si>
    <t>2026年度
(基準年度) | 2,439 | 497</t>
  </si>
  <si>
    <t>役員1人あたり給与支給総額
(単位:万円/人) - -
(年平均上昇率+5.00%)</t>
  </si>
  <si>
    <t>2029年度
(基準年度+3年後) | 4,187(1.72倍)
(年平均上昇率+19.78%) | 580
(年平均上昇率+5.34%)</t>
  </si>
  <si>
    <t>-
(年平均上昇率+5.00%)</t>
  </si>
  <si>
    <t>678</t>
  </si>
  <si>
    <t>労働生産性
(単位:万円/人) | 678 | 852
(年平均上昇率+7.9%)</t>
  </si>
  <si>
    <t>852</t>
  </si>
  <si>
    <t>436</t>
  </si>
  <si>
    <t>従業員1人あたり給与支給総額
(単位:万円/人) | 436 | 499
(年平均上昇率+4.6%)</t>
  </si>
  <si>
    <t>役員1人あたり給与支給総額
(単位:万円/人) | - | -
(年平均上昇率+0%)</t>
  </si>
  <si>
    <t>22</t>
  </si>
  <si>
    <t>補助事業に係る従業員数
(単位:人) | 22 | 77</t>
  </si>
  <si>
    <t>77</t>
  </si>
  <si>
    <t>1,588</t>
  </si>
  <si>
    <t>労働生産性
(単位:万円/人) | 1,588万円/人 | 2,647万円/人
(年平均上昇率+18.6%)</t>
  </si>
  <si>
    <t>2,647</t>
  </si>
  <si>
    <t>従業員1人あたり給与支給総額
(単位:万円/人) | 408万円/人 | 472万円/人
(年平均上昇率+5.0%)</t>
  </si>
  <si>
    <t>役員1人あたり給与支給総額
(単位:万円/人) | (補助事業役員なし) | (補助事業役員なし)
(年平均上昇率ー%)</t>
  </si>
  <si>
    <t>補助事業に係る従業員数
(単位:人) | 99人 | 120人</t>
  </si>
  <si>
    <t>120</t>
  </si>
  <si>
    <t>1,074</t>
  </si>
  <si>
    <t>労働生産性 | 1,074万円/人 | 2,592万円/人
(年平均+34.2%) |  | 527万円/人 | 1,077万円/人
(年平均+26.9%)</t>
  </si>
  <si>
    <t>527</t>
  </si>
  <si>
    <t>539</t>
  </si>
  <si>
    <t>従業員1人あたり
給与支給総額 | 539万円/人 | 644万円/人
(年平均+6.1%) |  | 490万円/人 | 585万円/人
(年平均+6.1%)</t>
  </si>
  <si>
    <t>役員1人あたり
給与支給総額 | 1,650万円/人 | 1,972万円/人
(年平均+6.1%) |  | 100万円/人 | 150万円/人
(年平均+14.5%)</t>
  </si>
  <si>
    <t>1,972</t>
  </si>
  <si>
    <t>150</t>
  </si>
  <si>
    <t>補助事業に係る
従業員数 | 35人 | 36人 |  | 31人 | 34人</t>
  </si>
  <si>
    <t>36</t>
  </si>
  <si>
    <t>34</t>
  </si>
  <si>
    <t>2026年3月期
事業全体
(基準年度)</t>
  </si>
  <si>
    <t>123</t>
  </si>
  <si>
    <t>労働生産性
(単位:万円/人) | 123万円 | 1440万円
年平均 127%UP | 75万円 | 1464万円
年平均 170%UP | 550万円 | 1266万円
年平均 32%UP</t>
  </si>
  <si>
    <t>2029年3月期
事業全体
(基準年度+3年後)</t>
  </si>
  <si>
    <t>1440</t>
  </si>
  <si>
    <t>2026年3月期幹事企業
Plan・Do・See琉球</t>
  </si>
  <si>
    <t>75</t>
  </si>
  <si>
    <t>2029年3月期幹事企業
Plan・Do・See琉球</t>
  </si>
  <si>
    <t>1464</t>
  </si>
  <si>
    <t>2026年3月期参加企業
Plan・Do・See</t>
  </si>
  <si>
    <t>2029年3月期参加企業
Plan・Do・See</t>
  </si>
  <si>
    <t>1266</t>
  </si>
  <si>
    <t>352</t>
  </si>
  <si>
    <t>従業員1人あたり
給与支給総額
(単位:万円/人) | 352万円 | 436万円
年平均 7.4%UP | 335万円 | 402万円
年平均 6.3%UP | 500万円 | 679万円
年平均 11% UP</t>
  </si>
  <si>
    <t>335</t>
  </si>
  <si>
    <t>402</t>
  </si>
  <si>
    <t>500</t>
  </si>
  <si>
    <t>役員1人あたり
給与支給総額
(単位:万円/人) | 360万 | 1200万円
年平均 49%UP | 360万円 | 1200万円
年平均 49%UP | ー | ー</t>
  </si>
  <si>
    <t>1200</t>
  </si>
  <si>
    <t>78</t>
  </si>
  <si>
    <t>補助事業に係る
従業員数
(単位:人) | 78名 | 130名
年平均 19%UP | 70名 | 114名
年平均 18%UP | 8名 | 16名
年平均 26%UP</t>
  </si>
  <si>
    <t>8</t>
  </si>
  <si>
    <t>16</t>
  </si>
  <si>
    <t>1237</t>
  </si>
  <si>
    <t>PDF表目視確認 | 2026年度（基準年度）: 1237 | 2029年度（基準年度+3年後）: 1440</t>
  </si>
  <si>
    <t>基準年度:2026年6月期(2025年度)</t>
  </si>
  <si>
    <t>2338</t>
  </si>
  <si>
    <t>労働生産性
(単位:万円/人) | 2338 | 1974 | 3093
(年平均上昇率+9.8%) | 2475
(年平均上昇率+7.8%)</t>
  </si>
  <si>
    <t>1974</t>
  </si>
  <si>
    <t>最終年度:2029年度6月期(2028年度)</t>
  </si>
  <si>
    <t>3093</t>
  </si>
  <si>
    <t>2475</t>
  </si>
  <si>
    <t>従業員・役員 1人あたり給与支給総額
(単位:万円/人) | 従業員1人あたり 640
役員1人あたり - | 従業員1人あたり 247
役員1人あたり - | 従業員1人あたり 747
役員1人あたり -
(年平均上昇率+5.3%) | 従業員1人あたり 286
役員1人あたり -
(年平均上昇率+5.0%)</t>
  </si>
  <si>
    <t>747</t>
  </si>
  <si>
    <t>32</t>
  </si>
  <si>
    <t>補助事業に係る従業員数・役員数
(単位:人) | 従業員数 32 ・ 役員数 3 | 従業員数 6 ・ 役員数 1 | 従業員数 45 ・役員数3 | 従業員数 6 ・ 役員数 1</t>
  </si>
  <si>
    <t>6</t>
  </si>
  <si>
    <t>さいほく鉄工 | 2026年度（基準年度）: 2338 | 2029年度（基準年度+3年後）: 3093</t>
  </si>
  <si>
    <t>さいほく鉄工 | 2026年度（基準年度）: 640 | 2029年度（基準年度+3年後）: 747</t>
  </si>
  <si>
    <t>さいほく鉄工 | 2026年度（基準年度）: 32 | 2029年度（基準年度+3年後）: 45</t>
  </si>
  <si>
    <t>1,407</t>
  </si>
  <si>
    <t>労働生産性
(単位:万円/人) | 1,407 | 5,456
(年平均上昇率+57%)</t>
  </si>
  <si>
    <t>5,456</t>
  </si>
  <si>
    <t>428</t>
  </si>
  <si>
    <t>従業員1人あたり給与支給総額
(単位:万円/人) | 428 | 482
(年平均上昇率+4%)</t>
  </si>
  <si>
    <t>役員1人あたり給与支給総額
(単位:万円/人) | ー | ー
(年平均上昇率+4%)</t>
  </si>
  <si>
    <t>補助事業に係る従業員数
(単位:人) | 23 | 32</t>
  </si>
  <si>
    <t>2026年度
(基準年度) | 1,407 | 428</t>
  </si>
  <si>
    <t>役員1人あたり給与支給総額
(単位:万円/人) ー ー
(年平均上昇率+4%)</t>
  </si>
  <si>
    <t>2029年度
(基準年度+3年後) | 5,456
(年平均上昇率+57%) | (年平均上昇率+57%)
482
(年平均上昇率+4%)</t>
  </si>
  <si>
    <t>(年平均上昇率+4%)
ー
(年平均上昇率+4%)</t>
  </si>
  <si>
    <t>2024年度 [2025年3月期]
(基準年度)</t>
  </si>
  <si>
    <t>労働生産性
(単位:万円/人) | 1,376万円/人 | 4,166万円/人 (年平均上昇+44.7%)</t>
  </si>
  <si>
    <t>2027年度 [2028年3月期]
(基準年度+3年後)</t>
  </si>
  <si>
    <t>4,166</t>
  </si>
  <si>
    <t>661</t>
  </si>
  <si>
    <t>従業員1人あたり給与支給総額
(単位:万円/人) | 661万円/人 | 832万円/人 (年平均上昇率+8.0%)</t>
  </si>
  <si>
    <t>832</t>
  </si>
  <si>
    <t>3,407</t>
  </si>
  <si>
    <t>役員1人あたり給与支給総額
(単位:万円/人) | 3,407万円/人 | 4,292万円/人 (年平均上昇率+8.0%)</t>
  </si>
  <si>
    <t>4,292</t>
  </si>
  <si>
    <t>2</t>
  </si>
  <si>
    <t>補助事業に係る従業員数
(単位:人) | 2人 | 37人</t>
  </si>
  <si>
    <t>37</t>
  </si>
  <si>
    <t>887</t>
  </si>
  <si>
    <t>労働生産性
(単位:万円/人) | 887 | 1,224
(年平均上昇率+11.3%)</t>
  </si>
  <si>
    <t>1,224</t>
  </si>
  <si>
    <t>394</t>
  </si>
  <si>
    <t>従業員1人あたり給与支給総額
(単位:万円/人) | 394 | 454
(年平均上昇率+4.8%)</t>
  </si>
  <si>
    <t>454</t>
  </si>
  <si>
    <t>155</t>
  </si>
  <si>
    <t>補助事業に係る従業員数
(単位:人) | 155 | 170</t>
  </si>
  <si>
    <t>170</t>
  </si>
  <si>
    <t>2026年8月期
(基準年度)</t>
  </si>
  <si>
    <t>労働生産性
(単位:万円/人) | 1,616 | 2,255
(年平均上昇率+11.75%)</t>
  </si>
  <si>
    <t>2029年8月期
(基準年度+3年後)</t>
  </si>
  <si>
    <t>2,255</t>
  </si>
  <si>
    <t>従業員1人あたり給与支給総額
(単位:万円/人) | 357 | 440
(年平均上昇率+7.25%)</t>
  </si>
  <si>
    <t>補助事業に係る従業員数
(単位:人) | 30 | 80</t>
  </si>
  <si>
    <t>1,610</t>
  </si>
  <si>
    <t>労働生産性
(単位:万円/人) | 1,610万円/人 | 2,004万円/人
(年平均上昇率+7.6%)</t>
  </si>
  <si>
    <t>2,004</t>
  </si>
  <si>
    <t>従業員1人あたり給与支給総額
(単位:万円/人) | 577万円/人 | 664万円/人
(年平均上昇率+4.8%)</t>
  </si>
  <si>
    <t>664</t>
  </si>
  <si>
    <t>役員1人あたり給与支給総額
(単位:万円/人) | ー | ー
(年平均上昇率+4.0%)</t>
  </si>
  <si>
    <t>376</t>
  </si>
  <si>
    <t>補助事業に係る従業員数
(単位:人) | 376人 | 407人</t>
  </si>
  <si>
    <t>2026年度
(基準年度) | 1,610万円/人 | 577万円/人</t>
  </si>
  <si>
    <t>役員1人あたり給与支給総額
(単位:万円/人) ー ー
(年平均上昇率+4.0%)</t>
  </si>
  <si>
    <t>2029年度
(基準年度+3年後) | 2,004万円/人
(年平均上昇率+7.6%) | 664万円/人
(年平均上昇率+4.8%)</t>
  </si>
  <si>
    <t>ー
(年平均上昇率+4.0%)</t>
  </si>
  <si>
    <t>2,909</t>
  </si>
  <si>
    <t>労働生産性
(単位:万円/人) | 2,909 | 5,595
(年平均上昇率+24.36%)</t>
  </si>
  <si>
    <t>5,595</t>
  </si>
  <si>
    <t>従業員1人あたり給与支給総額
(単位:万円/人) | 500 | 551
(年平均上昇率+3.3%)</t>
  </si>
  <si>
    <t>補助事業に係る従業員数
(単位:人) | 25 | 65</t>
  </si>
  <si>
    <t>1,360</t>
  </si>
  <si>
    <t>労働生産性
(単位:万円/人) | 1,360万円/人 | 2,232万円/人
(3年間の平均上昇率+18.0%)</t>
  </si>
  <si>
    <t>2,232</t>
  </si>
  <si>
    <t>552</t>
  </si>
  <si>
    <t>従業員1人あたり給与支給総額
(単位:万円/人) | 552万円/人 | 639万円/人
(年平均上昇率+5.0%)</t>
  </si>
  <si>
    <t>639</t>
  </si>
  <si>
    <t>役員1人あたり給与支給総額
(単位:万円/人) | 対象なし | 対象なし</t>
  </si>
  <si>
    <t>補助事業に係る従業員数
(単位:人) | 540名 | 540名</t>
  </si>
  <si>
    <t>1,846</t>
  </si>
  <si>
    <t>労働生産性
(単位:万円/人) | 1,846 | 2,467(年平均上昇率+10.19%)</t>
  </si>
  <si>
    <t>2,467</t>
  </si>
  <si>
    <t>従業員1人あたり給与支給総額
(単位:万円/人) | 471 | 545(年平均上昇率+5.00%)</t>
  </si>
  <si>
    <t>役員1人あたり給与支給総額
(単位:万円/人) | ー | ー</t>
  </si>
  <si>
    <t>補助事業に係る従業員数
(単位:人) | 80 | 85</t>
  </si>
  <si>
    <t>85</t>
  </si>
  <si>
    <t>3,221</t>
  </si>
  <si>
    <t>労働生産性 3,221 2,604 （単位:万円/人） （年平均上昇率＋7.3％）</t>
  </si>
  <si>
    <t>2,604</t>
  </si>
  <si>
    <t>865</t>
  </si>
  <si>
    <t>従業員1人あたり給与支給総額 865 目標値 780 （単位:万円/人） （年平均上昇率＋3.51％）</t>
  </si>
  <si>
    <t>780</t>
  </si>
  <si>
    <t>役員１人あたり給与支給総額 ー ー （単位:万円/人） （年平均上昇率＋3.50％）</t>
  </si>
  <si>
    <t>238</t>
  </si>
  <si>
    <t>補助事業に係る従業員数 238 266 （単位:人）</t>
  </si>
  <si>
    <t>266</t>
  </si>
  <si>
    <t>2026年度
(基準年度) | (基準年度)
2,604 | 780</t>
  </si>
  <si>
    <t>役員1人あたり給与支給総額
(単位:万円/人) ー ー
(年平均上昇率+3.50%)</t>
  </si>
  <si>
    <t>2029年度
(基準年度+3年後) | (基準年3度,2+213年後)
(年平均上昇率+7.3%) | (年平均上昇率+7.3%)
865
(年平均上昇率+3.51%)</t>
  </si>
  <si>
    <t>ー
(年平均上昇率+3.50%)</t>
  </si>
  <si>
    <t>133.6</t>
  </si>
  <si>
    <t>労働生産性(万円/人) | 133.6 | 1809.8
(年平均上昇率+138.4%)</t>
  </si>
  <si>
    <t>1809.8</t>
  </si>
  <si>
    <t>従業員1人あたり
給与支給総額(万円/人) | 420 | 473
(年平均上昇率+4.04%)</t>
  </si>
  <si>
    <t>473</t>
  </si>
  <si>
    <t>役員1人あたり給与支給総額
(万円/人) | ― | ―
(年平均上昇率+3.5%)</t>
  </si>
  <si>
    <t>21</t>
  </si>
  <si>
    <t>補助事業にかかる従業員数
(単位:人) | 21 | 41</t>
  </si>
  <si>
    <t>41</t>
  </si>
  <si>
    <t>2026年度
(基準年度) | (基準年度)
133.6 | 420</t>
  </si>
  <si>
    <t>―</t>
  </si>
  <si>
    <t>役員1人あたり給与支給総額
(万円/人) ― ―
(年平均上昇率+3.5%)
補助事業にかかる</t>
  </si>
  <si>
    <t>2029年度
(基準年度+3年後) | (基準年度+3年後)
1809.8
(年平均上昇率+138.4%) | (年平均上昇率+138.4%)
473
(年平均上昇率+4.04%)</t>
  </si>
  <si>
    <t>(年平均上昇率+4.04%)
―
(年平均上昇率+3.5%)</t>
  </si>
  <si>
    <t>労働生産性
(単位:万円/人) | 639 | 1,052
(年平均上昇率+18.1%)</t>
  </si>
  <si>
    <t>1,052</t>
  </si>
  <si>
    <t>従業員1人あたり給与支給総額
(単位:万円/人) | 310 | 357
(年平均上昇率+4.8%)</t>
  </si>
  <si>
    <t>役員1人あたり給与支給総額
(単位:万円/人) | ー | ー
(年平均上昇率+11.14%)</t>
  </si>
  <si>
    <t>40</t>
  </si>
  <si>
    <t>補助事業に係る従業員数
(単位:人) | 40 | 64</t>
  </si>
  <si>
    <t>64</t>
  </si>
  <si>
    <t>2026年度
(基準年度) | 639 | 310</t>
  </si>
  <si>
    <t>役員1人あたり給与支給総額
(単位:万円/人) ー ー
(年平均上昇率+11.14%)</t>
  </si>
  <si>
    <t>2029年度
(基準年度+3年後) | 1,052
(年平均上昇率+18.1%) | 357
(年平均上昇率+4.8%)</t>
  </si>
  <si>
    <t>ー
(年平均上昇率+11.14%)</t>
  </si>
  <si>
    <t>1,089</t>
  </si>
  <si>
    <t>労働生産性
(単位:万円/人) | 1,089 | 2,386.3
(年平均上昇率+29.9)</t>
  </si>
  <si>
    <t>2,386.3</t>
  </si>
  <si>
    <t>720</t>
  </si>
  <si>
    <t>従業員1人あたり給与支給総額
(単位:万円/人) | 720 | 822.2
(年平均上昇率+4.52%)</t>
  </si>
  <si>
    <t>822.2</t>
  </si>
  <si>
    <t>役員1人あたり給与支給総額
(単位:万円/人) | - | -
(年平均上昇率+3.83%)</t>
  </si>
  <si>
    <t>補助事業に係る従業員数
(単位:人) | 6 | 53</t>
  </si>
  <si>
    <t>53</t>
  </si>
  <si>
    <t>846</t>
  </si>
  <si>
    <t>労働生産性
(単位:万円/人) | 846万円 | 2,065万円
(年平均上昇率+34.66%)</t>
  </si>
  <si>
    <t>2,065</t>
  </si>
  <si>
    <t>702</t>
  </si>
  <si>
    <t>従業員1人あたり給与支給総額
(単位:万円/人) | 702万円 | 790万円
(年平均上昇率+4.00%)</t>
  </si>
  <si>
    <t>790</t>
  </si>
  <si>
    <t>役員1人あたり給与支給総額
(単位:万円/人) | - | -
(年平均上昇率+3.57%)</t>
  </si>
  <si>
    <t>841</t>
  </si>
  <si>
    <t>補助事業に係る従業員数
(単位:人) | 841人 | 902人</t>
  </si>
  <si>
    <t>902</t>
  </si>
  <si>
    <t>698</t>
  </si>
  <si>
    <t>労働生産性 （単位：万円/人） 843 （年平均上昇率＋6.5％） 698 58億円 事業費</t>
  </si>
  <si>
    <t>843</t>
  </si>
  <si>
    <t>582</t>
  </si>
  <si>
    <t>目標値 従業員1人あたり給与支給総額 （単位：万円/人） 582 694 （年平均上昇率＋6.0％） (19億円) （補助額）</t>
  </si>
  <si>
    <t>694</t>
  </si>
  <si>
    <t>役員1人あたり給与支給総額 (単位：万円/人) ー ー</t>
  </si>
  <si>
    <t>1,600</t>
  </si>
  <si>
    <t>補助事業に係る従業員数 (単位：人) 1,600 1,700</t>
  </si>
  <si>
    <t>1,700</t>
  </si>
  <si>
    <t>1159</t>
  </si>
  <si>
    <t>労働生産性
(単位:万円/人) | 1159万円 | 1385万円
(年平均上昇率+6.14%)</t>
  </si>
  <si>
    <t>1385</t>
  </si>
  <si>
    <t>413</t>
  </si>
  <si>
    <t>従業員1人あたり給与支給総額
(単位:万円/人) | 413万円 | 502万円
(年平均上昇率+6.72%)</t>
  </si>
  <si>
    <t>502</t>
  </si>
  <si>
    <t>1874</t>
  </si>
  <si>
    <t>役員1人あたり給与支給総額
(単位:万円/人) | 1874万円 | 2170万円
(年平均上昇率+5%)</t>
  </si>
  <si>
    <t>2170</t>
  </si>
  <si>
    <t>補助事業に係る従業員数
(単位:人) | 75人 | 102人</t>
  </si>
  <si>
    <t>1097</t>
  </si>
  <si>
    <t>労働生産性
(単位:万円/人) | 1097万円 | 1943万円
(年平均上昇率+21.0%)</t>
  </si>
  <si>
    <t>1943</t>
  </si>
  <si>
    <t>521</t>
  </si>
  <si>
    <t>従業員1人あたり給与支給総額
(単位:万円/人) | 521万円 | 594万円
(年平均上昇率+4.51%)</t>
  </si>
  <si>
    <t>594</t>
  </si>
  <si>
    <t>役員1人あたり給与支給総額
(単位:万円/人) | - | -
(年平均上昇率+3.0%)</t>
  </si>
  <si>
    <t>89</t>
  </si>
  <si>
    <t>補助事業に係る従業員数
(単位:人) | 89人 | 95人</t>
  </si>
  <si>
    <t>2025年度（基準年度）</t>
  </si>
  <si>
    <t>PDF表目視確認 | 2025年度（基準年度）: 1097 | 2029年度（基準年度+3年後）: 1943</t>
  </si>
  <si>
    <t>PDF表目視確認 | 2025年度（基準年度）: 521 | 2029年度（基準年度+3年後）: 594</t>
  </si>
  <si>
    <t>PDF表目視確認 | 2025年度（基準年度）: 89 | 2029年度（基準年度+3年後）: 95</t>
  </si>
  <si>
    <t>2025年度
(基準年度) | 1097万円 | 521万円</t>
  </si>
  <si>
    <t>役員1人あたり給与支給総額
(単位:万円/人) - -
(年平均上昇率+3.0%)</t>
  </si>
  <si>
    <t>2029年度
(基準年度+3年後) | 1943万円
(年平均上昇率+21.0%) | 594万円
(年平均上昇率+4.51%)</t>
  </si>
  <si>
    <t>-
(年平均上昇率+3.0%)</t>
  </si>
  <si>
    <t>1,608</t>
  </si>
  <si>
    <t>労働生産性
(単位:万円/人) | 1,608 | 2,044
(年平均上昇率+8.34%)</t>
  </si>
  <si>
    <t>2028年度
(基準年度 + 3年後)</t>
  </si>
  <si>
    <t>2,044</t>
  </si>
  <si>
    <t>452</t>
  </si>
  <si>
    <t>従業員1人当たり給与支給総額
(単位:万円/人) | 452 | 523
(年平均上昇率+5.00%</t>
  </si>
  <si>
    <t>523</t>
  </si>
  <si>
    <t>13,602</t>
  </si>
  <si>
    <t>役員1人あたり給与支給総額 |  | 13,602</t>
  </si>
  <si>
    <t>101</t>
  </si>
  <si>
    <t>補助事業に係る従業員数
(単位:人) | 101 | 116</t>
  </si>
  <si>
    <t>116</t>
  </si>
  <si>
    <t>2,605</t>
  </si>
  <si>
    <t>労働生産性
(単位:万円/人) | 2,605万円 | 3,672万円
(年平均上昇率+12.1%)</t>
  </si>
  <si>
    <t>3,672</t>
  </si>
  <si>
    <t>532</t>
  </si>
  <si>
    <t>従業員1人あたり給与支給総額
(単位:万円/人) | 532万円 | 616万円
(年平均上昇率+5.0%)</t>
  </si>
  <si>
    <t>616</t>
  </si>
  <si>
    <t>19</t>
  </si>
  <si>
    <t>補助事業に係る従業員数
(単位:人) | 19人 | 27人</t>
  </si>
  <si>
    <t>27</t>
  </si>
  <si>
    <t>2026年度
(基準年度) | 2,605万円 | 532万円</t>
  </si>
  <si>
    <t>2029年度
(基準年度+3年後) | 3,672万円
(年平均上昇率+12.1%) | 616万円
(年平均上昇率+5.0%)</t>
  </si>
  <si>
    <t>2,917.9</t>
  </si>
  <si>
    <t>労働生産性
(単位:万円/人) | 2,917.9 | 4,070.1
(年平均上昇率+11.7%)</t>
  </si>
  <si>
    <t>4,070.1</t>
  </si>
  <si>
    <t>485.7</t>
  </si>
  <si>
    <t>従業員1人あたり給与支給総額
(単位:万円/人) | 485.7 | 562.2
(年平均上昇率+5.0%)</t>
  </si>
  <si>
    <t>562.2</t>
  </si>
  <si>
    <t>補助事業に係る従業員数
(単位:人) | 61 | 71</t>
  </si>
  <si>
    <t>1,868</t>
  </si>
  <si>
    <t>労働生産性
(万円/人) | 1,868 | 2,172
(年平均上昇率+5.2%)</t>
  </si>
  <si>
    <t>2,172</t>
  </si>
  <si>
    <t>455</t>
  </si>
  <si>
    <t>従業員1人あたり
給与支給総額(万円/人) | 455 | 51
5
(年平均上昇率+4.2%)</t>
  </si>
  <si>
    <t>515</t>
  </si>
  <si>
    <t>2025年9月期(基準年度)</t>
  </si>
  <si>
    <t>400.1</t>
  </si>
  <si>
    <t>労働生産性(万円/人) | 400.1万円/人 | 632.3万円/人
(年平均上昇率+16.48%)</t>
  </si>
  <si>
    <t>2028年9月期(基準年度+3年後)</t>
  </si>
  <si>
    <t>632.3</t>
  </si>
  <si>
    <t>256.2</t>
  </si>
  <si>
    <t>従業員1人あたり
給与支給総額(万円/人) | 256.2万円/人 | 346.4万円/人
(年平均上昇率+10.58%)</t>
  </si>
  <si>
    <t>346.4</t>
  </si>
  <si>
    <t>補助事業に係る従業員数(単位:人) | 76人 | 83人</t>
  </si>
  <si>
    <t>83</t>
  </si>
  <si>
    <t>759</t>
  </si>
  <si>
    <t>労働生産性
(単位:万円/人) | 759万円 | 935万円
(年平均上昇率+7.19%)</t>
  </si>
  <si>
    <t>935</t>
  </si>
  <si>
    <t>従業員1人あたり給与支給総額
(単位:万円/人) | 550万円 | 610万円
(年平均上昇率+3.51%)</t>
  </si>
  <si>
    <t>610</t>
  </si>
  <si>
    <t>役員1人あたり給与支給総額
(単位:万円/人) | --万円 | --万円
(年平均上昇率-%)</t>
  </si>
  <si>
    <t>補助事業に係る従業員数
(単位:人) | 1,030人 | 1,160人</t>
  </si>
  <si>
    <t>1,160</t>
  </si>
  <si>
    <t>2026年1月期
(基準年度)</t>
  </si>
  <si>
    <t>労働生産性
(単位:万円/人) | 500万円/人 | 800万円/人
(年平均上昇率+17.0%)</t>
  </si>
  <si>
    <t>2029年1月期
(基準年度+3年後)</t>
  </si>
  <si>
    <t>800</t>
  </si>
  <si>
    <t>362</t>
  </si>
  <si>
    <t>従業員1人あたり給与支給総額
(単位:万円/人) | 362万円/人 | 402万円/人
(年平均上昇率+3.2%)</t>
  </si>
  <si>
    <t>役員1人あたり給与支給総額
(単位:万円/人) | ― | ―
(年平均上昇率+3.2%)</t>
  </si>
  <si>
    <t>197</t>
  </si>
  <si>
    <t>補助事業に係る従業員数
(単位:人) | 197人 | 217人</t>
  </si>
  <si>
    <t>217</t>
  </si>
  <si>
    <t>1,037</t>
  </si>
  <si>
    <t>労働生産性(単位:万円/人) | 1,037 | 1,474(年平均上昇率+12.4%)</t>
  </si>
  <si>
    <t>1,474</t>
  </si>
  <si>
    <t>従業員1人あたり給与支給総額(単位:万円/人) | 621 | 742(年平均上昇率+6.1%)</t>
  </si>
  <si>
    <t>742</t>
  </si>
  <si>
    <t>役員1人あたり給与支給総額(単位:万円/人) | 1,375 | 1,525(年平均上昇率+3.5%)</t>
  </si>
  <si>
    <t>1,525</t>
  </si>
  <si>
    <t>補助事業に係る従業員数(単位:人) | 169 | 198</t>
  </si>
  <si>
    <t>2,661</t>
  </si>
  <si>
    <t>労働生産性
(単位:万円/人) | 2,661 | 3,095
(年平均上昇率+5.2%)</t>
  </si>
  <si>
    <t>3,095</t>
  </si>
  <si>
    <t>592</t>
  </si>
  <si>
    <t>従業員1人あたり給与支給総額
(単位:万円/人) | 592 | 667
(年平均上昇率+4%)</t>
  </si>
  <si>
    <t>667</t>
  </si>
  <si>
    <t>役員1人あたり給与支給総額
(単位:万円/人) | - | -
(年平均上昇率+2.6%)</t>
  </si>
  <si>
    <t>補助事業に係る従業員数
(単位:人) | 155 | 155</t>
  </si>
  <si>
    <t>785</t>
  </si>
  <si>
    <t>労働生産性
(単位:万円/人) | 785 | 1,176
(年平均上昇率+14.4%)</t>
  </si>
  <si>
    <t>1,176</t>
  </si>
  <si>
    <t>従業員1人あたり給与支給総額
(単位:万円/人) | 385 | 500
(年平均上昇率+9.07%)</t>
  </si>
  <si>
    <t>役員1人あたり給与支給総額
(単位:万円/人) | - | -
(年平均上昇率+6.58%)</t>
  </si>
  <si>
    <t>補助事業に係る従業員数
(単位:人) | 41 | 54</t>
  </si>
  <si>
    <t>2026年度
(基準年度) | 785 | 385</t>
  </si>
  <si>
    <t>役員1人あたり給与支給総額
(単位:万円/人) - -
(年平均上昇率+6.58%)</t>
  </si>
  <si>
    <t>2029年度
(基準年度+3年後) | 1,176
(年平均上昇率+14.4%) | (年平均上昇率+14.4%)
500
(年平均上昇率+9.07%)</t>
  </si>
  <si>
    <t>(年平均上昇率+9.07%)
-
(年平均上昇率+6.58%)</t>
  </si>
  <si>
    <t>17,623</t>
  </si>
  <si>
    <t>労働生産性
(単位:千円/人) | 17,623千円 | 58,032千円
(年平均上昇率+49%)</t>
  </si>
  <si>
    <t>58,032</t>
  </si>
  <si>
    <t>8,300</t>
  </si>
  <si>
    <t>従業員1人あたり給与支給総額
(単位:千円/人) | 8,300千円 | 9,883千円
(年平均上昇率+5.95%)</t>
  </si>
  <si>
    <t>9,883</t>
  </si>
  <si>
    <t>役員1人あたり給与支給総額
(単位:千円/人) | - | -
(年平均上昇率+3.70%)</t>
  </si>
  <si>
    <t>12</t>
  </si>
  <si>
    <t>補助事業に係る従業員数
(単位:人) | 12名 | 30名</t>
  </si>
  <si>
    <t>2026年度
(基準年度) | 17,623千円 | 8,300千円</t>
  </si>
  <si>
    <t>役員1人あたり給与支給総額
(単位:千円/人) - -
(年平均上昇率+3.70%)</t>
  </si>
  <si>
    <t>2029年度
(基準年度+3年後) | 58,032千円
(年平均上昇率+49%) | 9,883千円
(年平均上昇率+5.95%)</t>
  </si>
  <si>
    <t>-
(年平均上昇率+3.70%)</t>
  </si>
  <si>
    <t>2025年度(2026年5月期)
(基準年度)</t>
  </si>
  <si>
    <t>6,214</t>
  </si>
  <si>
    <t>労働生産性
(単位:千円/人) | 6,214 | 7,359
(年平均上昇率+5.79%)</t>
  </si>
  <si>
    <t>2028年度(2029年5月期)
(基準年度+3年後)</t>
  </si>
  <si>
    <t>7,359</t>
  </si>
  <si>
    <t>5,677</t>
  </si>
  <si>
    <t>従業員1人あたり給与支給総額
(単位:千円/人) | 5,677 | 6,614
(年平均上昇率+5.23%)</t>
  </si>
  <si>
    <t>6,614</t>
  </si>
  <si>
    <t>役員1人あたり給与支給総額
(単位:千円/人) | - | -
(年平均上昇率+5.00%)</t>
  </si>
  <si>
    <t>1,685</t>
  </si>
  <si>
    <t>補助事業に係る従業員数
(単位:人) | 1,685 | 1,985</t>
  </si>
  <si>
    <t>1,985</t>
  </si>
  <si>
    <t>3,262</t>
  </si>
  <si>
    <t>労働生産性
(単位:千円/人) | 3,262 | 898
(年平均上昇率-34.94%)</t>
  </si>
  <si>
    <t>4,496</t>
  </si>
  <si>
    <t>従業員1人あたり給与支給総額
(単位:千円/人) | 4,496 | 5,251
(年平均上昇率+5.31%)</t>
  </si>
  <si>
    <t>5,251</t>
  </si>
  <si>
    <t>139</t>
  </si>
  <si>
    <t>補助事業に係る従業員数
(単位:人) | 139 | 182</t>
  </si>
  <si>
    <t>182</t>
  </si>
  <si>
    <t>1,701</t>
  </si>
  <si>
    <t>労働生産性
(単位:万円/人) | 1,701万円/人 | 2,028万円/人
(年平均上昇率+6.0%)</t>
  </si>
  <si>
    <t>2,028</t>
  </si>
  <si>
    <t>728</t>
  </si>
  <si>
    <t>従業員1人あたり給与支給総額
(単位:万円/人) | 728万円/人 | 807万円/人
(年平均上昇率+3.5%)</t>
  </si>
  <si>
    <t>807</t>
  </si>
  <si>
    <t>96</t>
  </si>
  <si>
    <t>補助事業に係る従業員数
(単位:人) | 96人 | 110人</t>
  </si>
  <si>
    <t>2027年度
(基準年度) | 1,701万円/人 | 728万円/人</t>
  </si>
  <si>
    <t>2030年度
(基準年度+3年後) | 2,028万円/人
(年平均上昇率+6.0%) | 807万円/人
(年平均上昇率+3.5%)</t>
  </si>
  <si>
    <t>654</t>
  </si>
  <si>
    <t>労働生産性
(単位:万円/人) | 654 | 823
(年平均上昇率+7.93%)</t>
  </si>
  <si>
    <t>823</t>
  </si>
  <si>
    <t>446</t>
  </si>
  <si>
    <t>従業員1人あたり給与支給総額
(単位:万円/人) | 446 | 503
(年平均上昇率+4.07%)</t>
  </si>
  <si>
    <t>補助事業に係る従業員数
(単位:人) | 158 | 188</t>
  </si>
  <si>
    <t>188</t>
  </si>
  <si>
    <t>2027年3月期
(基準年度) | 654 | 446</t>
  </si>
  <si>
    <t>役員1人あたり給与支給総額
(単位:万円/人) - -
(年平均上昇率+0%)</t>
  </si>
  <si>
    <t>2030年3月期
(基準年度+3年後) | 823
(年平均上昇率+7.93%) | 503
(年平均上昇率+4.07%)</t>
  </si>
  <si>
    <t>-
(年平均上昇率+0%)</t>
  </si>
  <si>
    <t>1,001</t>
  </si>
  <si>
    <t>労働生産性
(単位:万円/人) | 1,001万円/人 | 1,414万円/人
(年平均上昇率+12.3%)</t>
  </si>
  <si>
    <t>1,414</t>
  </si>
  <si>
    <t>従業員1人あたり給与支給総額
(単位:万円/人) | 610万円/人 | 684万円
(年平均上昇率+3.9%)</t>
  </si>
  <si>
    <t>684</t>
  </si>
  <si>
    <t>183</t>
  </si>
  <si>
    <t>補助事業に係る従業員数
(単位:人) | 183人 | 186人</t>
  </si>
  <si>
    <t>186</t>
  </si>
  <si>
    <t>547</t>
  </si>
  <si>
    <t>労働生産性
(単位:万円/人) | 547 | 1,297
(年平均上昇率+33.3%)</t>
  </si>
  <si>
    <t>1,297</t>
  </si>
  <si>
    <t>214</t>
  </si>
  <si>
    <t>従業員1人あたり給与支給総額
(単位:万円/人) | 214 | 254
(年平均上昇率+5.9%)</t>
  </si>
  <si>
    <t>254</t>
  </si>
  <si>
    <t>1,361</t>
  </si>
  <si>
    <t>役員1人あたり給与支給総額
(単位:万円/人) | 1,361 | 1,616
(年平均上昇率+5.9%)</t>
  </si>
  <si>
    <t>115</t>
  </si>
  <si>
    <t>補助事業に係る従業員数
(単位:人) | 115 | 175</t>
  </si>
  <si>
    <t>175</t>
  </si>
  <si>
    <t>632</t>
  </si>
  <si>
    <t>労働生産性
(単位:万円/人) | 632 | 817
(年平均上昇率+8.9%)</t>
  </si>
  <si>
    <t>817</t>
  </si>
  <si>
    <t>418</t>
  </si>
  <si>
    <t>従業員1人あたり給与支給総額
(単位:万円/人) | 418 | 470
(年平均上昇率+4.0%)</t>
  </si>
  <si>
    <t>補助事業に係る従業員数
(単位:人) | 110 | 125</t>
  </si>
  <si>
    <t>125</t>
  </si>
  <si>
    <t>2025年度
(基準年度) | 632 | 418</t>
  </si>
  <si>
    <t>2028年度
(基準年度+3年後) | 817
(年平均上昇率+8.9%) | 470
(年平均上昇率+4.0%)</t>
  </si>
  <si>
    <t>2026年5月期(基準年度)</t>
  </si>
  <si>
    <t>1,184</t>
  </si>
  <si>
    <t>労働生産性 | 1,184万円/人 | 1,398万円/人
(年平均上昇率+5.70%) | 15,270万円/人 | 40,319万円/人
(年平均上昇率+38.22%)</t>
  </si>
  <si>
    <t>2029年5月期(基準年度+3年後)</t>
  </si>
  <si>
    <t>1,398</t>
  </si>
  <si>
    <t>15,270</t>
  </si>
  <si>
    <t>40,319</t>
  </si>
  <si>
    <t>721</t>
  </si>
  <si>
    <t>従業員1人あたり
給与支給総額 | 721万円/人 | 811万円/人
(年平均上昇率+4.0%) | 0万円/人 | 0万円/人</t>
  </si>
  <si>
    <t>811</t>
  </si>
  <si>
    <t>役員1人あたり
給与支給総額 | - | -
(年平均上昇率+4.0%) | - | -
(年平均上昇率+4.0%)</t>
  </si>
  <si>
    <t>補助事業に係る
従業員数 | 685人 | 730人 | 0人 | 0人</t>
  </si>
  <si>
    <t>657</t>
  </si>
  <si>
    <t>労働生産性
(単位:万円/人) | 657 | 793
(年平均上昇率+6.5%)</t>
  </si>
  <si>
    <t>793</t>
  </si>
  <si>
    <t>従業員1人あたり給与支給総額
(単位:万円/人) | 515 | 563
(年平均上昇率+3.0%)</t>
  </si>
  <si>
    <t>1390</t>
  </si>
  <si>
    <t>補助事業に係る従業員数
(単位:人) | 1390 | 1401</t>
  </si>
  <si>
    <t>1401</t>
  </si>
  <si>
    <t>2026年度
(基準年度) | 657 | 515</t>
  </si>
  <si>
    <t>2029年度
(基準年度+3年後) | 793
(年平均上昇率+6.5%) | (年平均上昇率+6.5%)
563
(年平均上昇率+3.0%)</t>
  </si>
  <si>
    <t>(年平均上昇率+3.0%)
-
(年平均上昇率+3.0%)</t>
  </si>
  <si>
    <t>1,340</t>
  </si>
  <si>
    <t>労働生産性
(単位:万円/人) | 1,340 | 1,587
(年平均上昇率+5.81%)</t>
  </si>
  <si>
    <t>1,587</t>
  </si>
  <si>
    <t>650</t>
  </si>
  <si>
    <t>従業員1人あたり給与支給総額
(単位:万円/人) | 650 | 763
(年平均上昇率+5.51%)</t>
  </si>
  <si>
    <t>763</t>
  </si>
  <si>
    <t>補助事業に係る従業員数
(単位:人) | 254 | 276</t>
  </si>
  <si>
    <t>276</t>
  </si>
  <si>
    <t>2026年度
(基準年度) | 1,340 | 650</t>
  </si>
  <si>
    <t>2029年度
(基準年度+3年後) | 1,587
(年平均上昇率+5.81%) | 763
(年平均上昇率+5.51%)</t>
  </si>
  <si>
    <t>1,291</t>
  </si>
  <si>
    <t>労働生産性
(単位:万円/人) | 1,291万円/人 | 1,855万円/人
(年平均上昇率+12.8%)</t>
  </si>
  <si>
    <t>1,855</t>
  </si>
  <si>
    <t>411</t>
  </si>
  <si>
    <t>従業員1人あたり給与支給総額
(単位:万円/人) | 411万円/人 | 470万円
(年平均上昇率+4.6%)</t>
  </si>
  <si>
    <t>補助事業に係る従業員数
(単位:人) | 60人 | 73人</t>
  </si>
  <si>
    <t>73</t>
  </si>
  <si>
    <t>425.5</t>
  </si>
  <si>
    <t>労働生産性
(単位:万円/人) | 425.5 | 618.6
(年平均上昇率+13.29%)</t>
  </si>
  <si>
    <t>618.6</t>
  </si>
  <si>
    <t>343.3</t>
  </si>
  <si>
    <t>従業員1人あたり給与支給総額
(単位:万円/人) | 343.3 | 409.3
(年平均上昇率+6.04%)</t>
  </si>
  <si>
    <t>409.3</t>
  </si>
  <si>
    <t>役員1人あたり給与支給総額
(単位:万円/人) | - | -
(年平均上昇率 -%)</t>
  </si>
  <si>
    <t>補助事業に係る従業員数
(単位:人) | 197 | 189</t>
  </si>
  <si>
    <t>189</t>
  </si>
  <si>
    <t>2028年度</t>
  </si>
  <si>
    <t>10,537</t>
  </si>
  <si>
    <t>労働生産性 10,537 5,326 （年平均上昇率＋25.5%) （単位：万円／人） 目標値</t>
  </si>
  <si>
    <t>5,326</t>
  </si>
  <si>
    <t>従業員1人あたり給与支給総額 653 597 （単位：万円／人） (年平均上昇率＋3.0%) ゜ 役員 1 人あたり給与支給総額 0 （単位：万円／人）</t>
  </si>
  <si>
    <t>692</t>
  </si>
  <si>
    <t>労働生産性
(単位:万円/人) | 692 | 1,173
(年平均上昇率+21.6%)</t>
  </si>
  <si>
    <t>1,173</t>
  </si>
  <si>
    <t>従業員1人あたり給与支給総額
(単位:万円/人) | 384 | 425
(年平均上昇率+3.4%)</t>
  </si>
  <si>
    <t>425</t>
  </si>
  <si>
    <t>補助事業に係る従業員数
(単位:人) | 12 | 71</t>
  </si>
  <si>
    <t>1</t>
  </si>
  <si>
    <t>| 常時使用する従業
員への報酬総額 | 常時使用する
従業員数 | 1人あたり給与 | 常時使用する従業
員への報酬総額 | 常時使用する
従業員数 | 1人あたり給与 |</t>
  </si>
  <si>
    <t>| 付加価値 | 常時使用する
従業員数 | 労働生産性
(万円/人) | 付加価値 | 常時使用する
従業員数 | 労働生産性
(万円/人) |</t>
  </si>
  <si>
    <t>PDF表目視確認 | 2025年度（基準年度）: 692 | 2028年度（基準年度+3年後）: 1173</t>
  </si>
  <si>
    <t>2028年度（基準年度+3年後）</t>
  </si>
  <si>
    <t>1173</t>
  </si>
  <si>
    <t>2027年度（2028年11月期）</t>
  </si>
  <si>
    <t>1,275</t>
  </si>
  <si>
    <t>1,275万円/人（年平均上昇率＋8.7％） 労働生産性（単位：万円/人） 993万円/人</t>
  </si>
  <si>
    <t>2024年度（2025年11月期）</t>
  </si>
  <si>
    <t>993</t>
  </si>
  <si>
    <t>目標値 従業員1人あたり給与支給総額（単位：万円/人） 457万円/人 508万円/人（年平均上昇率＋3.6％）</t>
  </si>
  <si>
    <t>役員１人あたり給与支給総額（単位：万円/人） - -</t>
  </si>
  <si>
    <t>補助事業に係る従業員数（単位：人） 32 110</t>
  </si>
  <si>
    <t>1573</t>
  </si>
  <si>
    <t>三恵工業 | 2026年度（基準年度）: 1573 | 2029年度（基準年度+3年後）: 1748</t>
  </si>
  <si>
    <t>1748</t>
  </si>
  <si>
    <t>三恵工業 | 2026年度（基準年度）: 541 | 2029年度（基準年度+3年後）: 591</t>
  </si>
  <si>
    <t>591</t>
  </si>
  <si>
    <t>311</t>
  </si>
  <si>
    <t>三恵工業 | 2026年度（基準年度）: 311 | 2029年度（基準年度+3年後）: 519</t>
  </si>
  <si>
    <t>3200</t>
  </si>
  <si>
    <t>GHD | 2026年度（基準年度）: 3200 | 2029年度（基準年度+3年後）: 5799</t>
  </si>
  <si>
    <t>5799</t>
  </si>
  <si>
    <t>718</t>
  </si>
  <si>
    <t>GHD | 2026年度（基準年度）: 718 | 2029年度（基準年度+3年後）: 785</t>
  </si>
  <si>
    <t>GHD | 2026年度（基準年度）: 23 | 2029年度（基準年度+3年後）: 23</t>
  </si>
  <si>
    <t>3,795</t>
  </si>
  <si>
    <t>労働生産性
(単位:万円/人) | 3,795 | 4,336
(年平均上昇率+4.5%)</t>
  </si>
  <si>
    <t>4,336</t>
  </si>
  <si>
    <t>481</t>
  </si>
  <si>
    <t>従業員1人あたり給与支給総額
(単位:万円/人) | 481 | 528
(年平均上昇率+3.1%)</t>
  </si>
  <si>
    <t>528</t>
  </si>
  <si>
    <t>役員1人あたり給与支給総額
(単位:万円/人) | ー | ー
(年平均上昇率+3.1%)</t>
  </si>
  <si>
    <t>184</t>
  </si>
  <si>
    <t>補助事業に係る従業員数
(単位:人) | 184 | 232</t>
  </si>
  <si>
    <t>2027年度(基準年度) | 3,795 | 481</t>
  </si>
  <si>
    <t>役員1人あたり給与支給総額
(単位:万円/人) ー ー
(年平均上昇率+3.1%)</t>
  </si>
  <si>
    <t>2030年度(基準年度+3年後) | 4,336
(年平均上昇率+4.5%) | 528
(年平均上昇率+3.1%)</t>
  </si>
  <si>
    <t>ー
(年平均上昇率+3.1%)</t>
  </si>
  <si>
    <t>2027年1月期(基準年度)</t>
  </si>
  <si>
    <t>4,600</t>
  </si>
  <si>
    <t>労働生産性(万円/人) | 4,600/ 1,491 | 5,993(年平均上昇率+9.2%)/ 2,148(年平均上昇率+12.9%)</t>
  </si>
  <si>
    <t>2030年1月期(基準年度+3年後)</t>
  </si>
  <si>
    <t>5,993</t>
  </si>
  <si>
    <t>735</t>
  </si>
  <si>
    <t>従業員1人あたり給与支給総額(万円/人) | 735/ 623 | 824(年平均上昇率+3.85%)/ 684(年平均上昇率+3.18%)</t>
  </si>
  <si>
    <t>824</t>
  </si>
  <si>
    <t>役員1人あたり給与支給総額(万円/人) | - | -(年平均上昇率+3.00%)/ -(年平均上昇率+3.00%)</t>
  </si>
  <si>
    <t>補助事業に係る従業員数(人) | 17/ 216 | 17(年平均上昇率+0.0%)/ 206(年平均上昇率-1.6%)</t>
  </si>
  <si>
    <t>4600</t>
  </si>
  <si>
    <t>PDF表目視確認 | 2027年度（基準年度）: 4600 | 2030年度（基準年度+3年後）: 5993</t>
  </si>
  <si>
    <t>5993</t>
  </si>
  <si>
    <t>2027年1月期(基準年度) | 4,600/ 1,491 | 735/ 623</t>
  </si>
  <si>
    <t>役員1人あたり給与支給総額(万円/人) - -(年平均上昇率+3.00%)/ -(年平均上昇率+3.00%)</t>
  </si>
  <si>
    <t>2030年1月期(基準年度+3年後) | 5,993(年平均上昇率+9.2%)/ 2,148(年平均上昇率+12.9%) | 824(年平均上昇率+3.85%)/ 684(年平均上昇率+3.18%)</t>
  </si>
  <si>
    <t>-(年平均上昇率+3.00%)/ -(年平均上昇率+3.00%)</t>
  </si>
  <si>
    <t>1,745</t>
  </si>
  <si>
    <t>労働生産性
(単位:万円/人) | 1,745 | 2,587
(年平均上昇率+14.1%)</t>
  </si>
  <si>
    <t>2,587</t>
  </si>
  <si>
    <t>従業員1人あたり給与支給総額
(単位:万円/人) | 486 | 531
(年平均上昇率+3.0%)</t>
  </si>
  <si>
    <t>164</t>
  </si>
  <si>
    <t>補助事業に係る従業員数
(単位:人) | 164 | 178</t>
  </si>
  <si>
    <t>178</t>
  </si>
  <si>
    <t>2025年度
(基準年度) | (基準年度)
1,745 | 486</t>
  </si>
  <si>
    <t>2028年度
(基準年度+3年後) | (基準年度+3年後)
2,587
(年平均上昇率+14.1%) | (年平均上昇率+14.1%)
531
(年平均上昇率+3.0%)</t>
  </si>
  <si>
    <t>1,130</t>
  </si>
  <si>
    <t>労働生産性
(単位:万円/人) | 1,130 | 2,606
(年平均上昇率+32.1%)</t>
  </si>
  <si>
    <t>2,606</t>
  </si>
  <si>
    <t>従業員1人あたり給与支給総額
(単位:万円/人) | 477 | 529
(年平均上昇率+3.5%)</t>
  </si>
  <si>
    <t>529</t>
  </si>
  <si>
    <t>役員1人あたり給与支給総額
(単位:万円/人) | ー | ー
(年平均上昇率+3.5%)</t>
  </si>
  <si>
    <t>補助事業に係る従業員数
(単位:人) | 16 | 38</t>
  </si>
  <si>
    <t>2026年度
(基準年度) | 1,130 | 477</t>
  </si>
  <si>
    <t>役員1人あたり給与支給総額
(単位:万円/人) ー ー
(年平均上昇率+3.5%)</t>
  </si>
  <si>
    <t>2029年度
(基準年度+3年後) | 2,606
(年平均上昇率+32.1%) | 529
(年平均上昇率+3.5%)</t>
  </si>
  <si>
    <t>ー
(年平均上昇率+3.5%)</t>
  </si>
  <si>
    <t>労働生産性
(単位:万円/人) | 2,917.9 | 3,469.6
(年平均上昇率5.9%)</t>
  </si>
  <si>
    <t>3,469.6</t>
  </si>
  <si>
    <t>613.7</t>
  </si>
  <si>
    <t>従業員1人あたり給与支給総額
(単位:万円/人) | 613.7 | 700.3
(年平均上昇率4.5%)</t>
  </si>
  <si>
    <t>700.3</t>
  </si>
  <si>
    <t>285</t>
  </si>
  <si>
    <t>補助事業に係る従業員数
(単位:人) | 285 | 325</t>
  </si>
  <si>
    <t>325</t>
  </si>
  <si>
    <t>1,308</t>
  </si>
  <si>
    <t>労働生産性
(単位:万円/人) | 1,308万円/人 | 1,423万円/人
(年平均上昇率+2.9%)</t>
  </si>
  <si>
    <t>1,423</t>
  </si>
  <si>
    <t>669.3</t>
  </si>
  <si>
    <t>従業員1人あたり給与支給総額
(単位:万円/人) | 669.3万円/人 | 731.5万円/人
(年平均上昇率+3.01%)</t>
  </si>
  <si>
    <t>731.5</t>
  </si>
  <si>
    <t>役員1人あたり給与支給総額
(単位:万円/人) | ー | ー
(年平均上昇率+5.00%)</t>
  </si>
  <si>
    <t>978</t>
  </si>
  <si>
    <t>補助事業に係る従業員数
(単位:人) | 978人 | 1,129人</t>
  </si>
  <si>
    <t>1,129</t>
  </si>
  <si>
    <t>2025年度
(基準年度) | 1,308万円/人 | 669.3万円/人</t>
  </si>
  <si>
    <t>役員1人あたり給与支給総額
(単位:万円/人) ー ー
(年平均上昇率+5.00%)</t>
  </si>
  <si>
    <t>2028年度
(基準年度+3年後) | 1,423万円/人
(年平均上昇率+2.9%) | 731.5万円/人
(年平均上昇率+3.01%)</t>
  </si>
  <si>
    <t>ー
(年平均上昇率+5.00%)</t>
  </si>
  <si>
    <t>10,001</t>
  </si>
  <si>
    <t>労働生産性
(単位:万円/人) | 10,001 | 11,690
(年平均上昇率+5.3%)</t>
  </si>
  <si>
    <t>11,690</t>
  </si>
  <si>
    <t>6,892</t>
  </si>
  <si>
    <t>従業員1人あたり給与支給総額
(単位:万円/人) | 6,892 | 7,980
(年平均上昇率+5.01%)</t>
  </si>
  <si>
    <t>7,980</t>
  </si>
  <si>
    <t>補助事業に係る従業員数
(単位:人) | 209 | 227</t>
  </si>
  <si>
    <t>2026年度
(基準年度) | 10,001 | 額
6,892</t>
  </si>
  <si>
    <t>2029年度
(基準年度+3年後) | 11,690
(年平均上昇率+5.3%) | 7,980
(年平均上昇率+5.01%)</t>
  </si>
  <si>
    <t>4,373</t>
  </si>
  <si>
    <t>労働生産性
(単位:万円/人) | 4,373 | 5,649
(年平均上昇率+8.91%)</t>
  </si>
  <si>
    <t>5,649</t>
  </si>
  <si>
    <t>従業員1人あたり給与支給総額
(単位:万円/人) | 655 | 734
(年平均上昇率+3.87%)</t>
  </si>
  <si>
    <t>734</t>
  </si>
  <si>
    <t>228</t>
  </si>
  <si>
    <t>補助事業に係る従業員数
(単位:人) | 228 | 291</t>
  </si>
  <si>
    <t>921.2</t>
  </si>
  <si>
    <t>労働生産性
(単位:万円/人) | 921.2 | 1229.5
(年平均上昇率+10%)</t>
  </si>
  <si>
    <t>1229.5</t>
  </si>
  <si>
    <t>477.4</t>
  </si>
  <si>
    <t>従業員1人あたり給与支給総額
(単位:万円/人) | 477.4 | 552.7
(年平均上昇率+5%)</t>
  </si>
  <si>
    <t>552.7</t>
  </si>
  <si>
    <t>役員1人あたり給与支給総額
(単位:万円/人) | - | (年平均上昇率+4%)</t>
  </si>
  <si>
    <t>補助事業に係る従業員数
(単位:人) | 123 | 130</t>
  </si>
  <si>
    <t>2025年度
(基準年度) | 921.2 | 477.4</t>
  </si>
  <si>
    <t>役員1人あたり給与支給総額
(単位:万円/人) - (年平均上昇率+4%)</t>
  </si>
  <si>
    <t>2028年度
(基準年度+3年後) | 1229.5
(年平均上昇率+10%) | 552.7
(年平均上昇率+5%)</t>
  </si>
  <si>
    <t>(年平均上昇率+4%)</t>
  </si>
  <si>
    <t>764</t>
  </si>
  <si>
    <t>労働生産性
(単位:万円/人) | 764 | 1,451
(年平均上昇率23.8%)</t>
  </si>
  <si>
    <t>1,451</t>
  </si>
  <si>
    <t>510</t>
  </si>
  <si>
    <t>従業員1人あたり給与支給総額
(単位:万円/人) | 510 | 590
(年平均上昇率4.99%)</t>
  </si>
  <si>
    <t>590</t>
  </si>
  <si>
    <t>137</t>
  </si>
  <si>
    <t>補助事業に係る従業員数
(単位:人) | 137 | 144</t>
  </si>
  <si>
    <t>144</t>
  </si>
  <si>
    <t>2026年度
(基準年度) | 764 | 510</t>
  </si>
  <si>
    <t>2029年度
(基準年度+3年後) | 1,451
(年平均上昇率23.8%) | 590
(年平均上昇率4.99%)</t>
  </si>
  <si>
    <t>858</t>
  </si>
  <si>
    <t>労働生産性
(単位:万円/人) | 成形: 858
金型:1379
(全体: 993) | 成形:991(年平均4.9%up)
金型:1851(年平均10.3%up)
(全体:1131 4.4%up)</t>
  </si>
  <si>
    <t>991</t>
  </si>
  <si>
    <t>従業員1人あたり給与支給総額
(単位:万円/人) | 成形:407
金型:478
(全体:426) | 成形:465(年平均4.5%up)
金型:546(年平均4.5%up)
(全体:478 3.9%up)</t>
  </si>
  <si>
    <t>465</t>
  </si>
  <si>
    <t>役員1人あたり給与支給総額
(単位:万円/人) | 0 | 0 (年平均 0%up)</t>
  </si>
  <si>
    <t>57</t>
  </si>
  <si>
    <t>補助事業に係る従業員数
(単位:人) | 57 | 153</t>
  </si>
  <si>
    <t>PDF表目視確認 | 2025年度（基準年度）: 858 | 2028年度（基準年度+3年後）: 991</t>
  </si>
  <si>
    <t>2,272.9</t>
  </si>
  <si>
    <t>労働生産性
(単位:万円/人) | 2,272.9万円/人 | 3,382.2万円/人
(年平均上昇率+14.2%)</t>
  </si>
  <si>
    <t>3,382.2</t>
  </si>
  <si>
    <t>526.5</t>
  </si>
  <si>
    <t>従業員1人あたり給与支給総額
(単位:万円/人) | 526.5万円/人 | 606.0万円/人
(年平均上昇率+4.8%)</t>
  </si>
  <si>
    <t>606.0</t>
  </si>
  <si>
    <t>役員1人あたり給与支給総額
(単位:万円/人) | - | -
(年平均上昇率+4.8%)</t>
  </si>
  <si>
    <t>補助事業に係る従業員数
(単位:人) | 144 | 153</t>
  </si>
  <si>
    <t>2025年度
(基準年度) | 2,272.9万円/人 | 526.5万円/人</t>
  </si>
  <si>
    <t>役員1人あたり給与支給総額
(単位:万円/人) - -
(年平均上昇率+4.8%)</t>
  </si>
  <si>
    <t>2028年度
(基準年度+3年後) | 3,382.2万円/人
(年平均上昇率+14.2%) | 606.0万円/人
(年平均上昇率+4.8%)</t>
  </si>
  <si>
    <t>-
(年平均上昇率+4.8%)</t>
  </si>
  <si>
    <t>620</t>
  </si>
  <si>
    <t>労働生産性
(単位:万円/人) | 620万円 | 788万円
(年平均上昇率+8.8%)</t>
  </si>
  <si>
    <t>788</t>
  </si>
  <si>
    <t>従業員1人あたり給与支給総額
(単位:万円/人) | 402万円 | 489万円
(年平均上昇率+6.72%)</t>
  </si>
  <si>
    <t>489</t>
  </si>
  <si>
    <t>役員1人あたり給与支給総額
(単位:万円/人) | ― | ―
(年平均上昇率+3.0%)</t>
  </si>
  <si>
    <t>補助事業に係る従業員数
(単位:人) | 210人 | 285人</t>
  </si>
  <si>
    <t>652</t>
  </si>
  <si>
    <t>労働生産性
(単位:万円/人) | 652 | 1,141
(年平均上昇率 21.3%)</t>
  </si>
  <si>
    <t>1,141</t>
  </si>
  <si>
    <t>435</t>
  </si>
  <si>
    <t>従業員1人あたり給与支給総額
(単位:万円/人) | 435 | 485
(年平均上昇率3.67%)</t>
  </si>
  <si>
    <t>485</t>
  </si>
  <si>
    <t>役員1人あたり給与支給総額
(単位:万円/人) | - | -
(年平均上昇率3.85%)</t>
  </si>
  <si>
    <t>補助事業に係る従業員数
(単位:人) | 166 | 181</t>
  </si>
  <si>
    <t>181</t>
  </si>
  <si>
    <t>2027年度
(基準年度) | 652 | 435</t>
  </si>
  <si>
    <t>役員1人あたり給与支給総額
(単位:万円/人) - -
(年平均上昇率3.85%)</t>
  </si>
  <si>
    <t>2030年度
(基準年度+3年後) | 1,141
(年平均上昇率 21.3%) | 485
(年平均上昇率 3.67%)</t>
  </si>
  <si>
    <t>-
(年平均上昇率3.85%)</t>
  </si>
  <si>
    <t>973</t>
  </si>
  <si>
    <t>労働生産性(単位:万円/人) | 973 | 1,200(年平均上昇率+7.22%)</t>
  </si>
  <si>
    <t>1,200</t>
  </si>
  <si>
    <t>従業員1人あたり給与支給総額(単位:万円/人) | 560 | 615(年平均上昇率+3.19%)</t>
  </si>
  <si>
    <t>615</t>
  </si>
  <si>
    <t>役員1人あたり給与支給総額(単位:万円/人) | - | - (年平均上昇率+3.00%)</t>
  </si>
  <si>
    <t>補助事業に係る従業員数(単位:人) | 420 | 429</t>
  </si>
  <si>
    <t>2026年度(基準年度) | 973 | 560</t>
  </si>
  <si>
    <t>役員1人あたり給与支給総額(単位:万円/人) - - (年平均上昇率+3.00%)</t>
  </si>
  <si>
    <t>2029年度(基準年度+3年後) | 1,200(年平均上昇率+7.22%) | 615(年平均上昇率+3.19%)</t>
  </si>
  <si>
    <t>- (年平均上昇率+3.00%)</t>
  </si>
  <si>
    <t>538</t>
  </si>
  <si>
    <t>労働生産性
(単位:万円/人) | 538 | 682
(年平均上昇率+8.25%)</t>
  </si>
  <si>
    <t>682</t>
  </si>
  <si>
    <t>534</t>
  </si>
  <si>
    <t>従業員1人あたり給与支給総額
(単位:万円/人) | 534 | 671
(年平均上昇率+7.89%)</t>
  </si>
  <si>
    <t>671</t>
  </si>
  <si>
    <t>109</t>
  </si>
  <si>
    <t>補助事業に係る従業員数
(単位:人) | 109 | 117</t>
  </si>
  <si>
    <t>117</t>
  </si>
  <si>
    <t>1,935</t>
  </si>
  <si>
    <t>労働生産性
(単位:万円/人) | 1,935万円/人 | 3,567万円/人
(年平均上昇率+22.6%)</t>
  </si>
  <si>
    <t>3,567</t>
  </si>
  <si>
    <t>374</t>
  </si>
  <si>
    <t>従業員1人あたり給与支給総額
(単位:万円/人) | 374万円/人 | 415万円
(年平均上昇率+3.53%)</t>
  </si>
  <si>
    <t>415</t>
  </si>
  <si>
    <t>15</t>
  </si>
  <si>
    <t>補助事業に係る従業員数
(単位:人) | 15人 | 33人</t>
  </si>
  <si>
    <t>1,177</t>
  </si>
  <si>
    <t>労働生産性
(単位:万円/人) | 1,177万円 | 1,712.5万円
(年平均上昇率+13.3%)</t>
  </si>
  <si>
    <t>1,712.5</t>
  </si>
  <si>
    <t>従業員1人あたり給与支給総額
(単位:万円/人) | 618万円 | 715万円
(年平均上昇率+5.0%)</t>
  </si>
  <si>
    <t>715</t>
  </si>
  <si>
    <t>補助事業に係る従業員数
(単位:人) | 117人 | 127人</t>
  </si>
  <si>
    <t>127</t>
  </si>
  <si>
    <t>2027年度
(基準年度) | 1,177万円 | 618万円</t>
  </si>
  <si>
    <t>2030年度
(基準年度+3年後) | 1,712.5万円
(年平均上昇率+13.3%) | 715万円
(年平均上昇率+5.0%)</t>
  </si>
  <si>
    <t>722</t>
  </si>
  <si>
    <t>労働生産性(単位:万円/人) | 722 | 2788 (年平均上昇率 +56.9%)</t>
  </si>
  <si>
    <t>2788</t>
  </si>
  <si>
    <t>24</t>
  </si>
  <si>
    <t>助事業に係る従業員数(単位:人) | 24 | 46</t>
  </si>
  <si>
    <t>サムテック | 2026年度（基準年度）: 623 | 2029年度（基準年度+3年後）: 691</t>
  </si>
  <si>
    <t>984</t>
  </si>
  <si>
    <t>労働生産性
(単位:万円/人) | 984万円/人 | 1,180万円/人
(年平均上昇率+6%)</t>
  </si>
  <si>
    <t>1,180</t>
  </si>
  <si>
    <t>従業員1人あたり給与支給総額
(単位:万円/人) | 413万円/人 | 478万円/人
(年平均上昇率+5%)</t>
  </si>
  <si>
    <t>478</t>
  </si>
  <si>
    <t>役員1人あたり給与支給総額
(単位:万円/人) | ― | ―
(年平均上昇率+5%)</t>
  </si>
  <si>
    <t>113</t>
  </si>
  <si>
    <t>補助事業に係る従業員数
(単位:人) | 113人 | 143人</t>
  </si>
  <si>
    <t>143</t>
  </si>
  <si>
    <t>2026年度
(基準年度) | 984万円/人 | 413万円/人</t>
  </si>
  <si>
    <t>役員1人あたり給与支給総額
(単位:万円/人) ― ―
(年平均上昇率+5%)</t>
  </si>
  <si>
    <t>2029年度
(基準年度+3年後) | 1,180万円/人
(年平均上昇率+6%) | 478万円/人
(年平均上昇率+5%)</t>
  </si>
  <si>
    <t>―
(年平均上昇率+5%)</t>
  </si>
  <si>
    <t>2026年度(2027/8期)
(基準年度)</t>
  </si>
  <si>
    <t>827</t>
  </si>
  <si>
    <t>労働生産性
(単位:万円/人) | 827 | 1,194
(年平均上昇率+13.0%)</t>
  </si>
  <si>
    <t>2029年度(2030/8期)
(基準年度+3年後)</t>
  </si>
  <si>
    <t>1,194</t>
  </si>
  <si>
    <t>従業員1人あたり給与支給総額
(単位:万円/人) | 433 | 501
(年平均上昇率+5.0%)</t>
  </si>
  <si>
    <t>863</t>
  </si>
  <si>
    <t>役員1人あたり給与支給総額
(単位:万円/人) | 863 | 999
(年平均上昇率+5.0%)</t>
  </si>
  <si>
    <t>195</t>
  </si>
  <si>
    <t>補助事業に係る従業員数
(単位:人) | 195 | 195</t>
  </si>
  <si>
    <t>724</t>
  </si>
  <si>
    <t>労働生産性
(単位:万円/人) | 724万円/人 | 943万円/人
(+6.5%)</t>
  </si>
  <si>
    <t>2030年度
(基準年度+4年後)</t>
  </si>
  <si>
    <t>943</t>
  </si>
  <si>
    <t>570</t>
  </si>
  <si>
    <t>従業員1人あたり給与支給総額
(単位:万円/人) | 570万円 | 642万円
(年平均上昇率+4%)</t>
  </si>
  <si>
    <t>役員1人あたり給与支給総額
(単位:万円/人) | ‐ | ‐
(年平均上昇率+4%)</t>
  </si>
  <si>
    <t>補助事業に係る従業員数
(単位:人) | 220 | 270</t>
  </si>
  <si>
    <t>2026年度
(基準年度) | 724万円/人 | 570万円</t>
  </si>
  <si>
    <t>‐</t>
  </si>
  <si>
    <t>役員1人あたり給与支給総額
(単位:万円/人) ‐ ‐
(年平均上昇率+4%)</t>
  </si>
  <si>
    <t>2030年度
(基準年度+4年後) | 943万円/人
(+6.5%) | 642万円
(年平均上昇率+4%)</t>
  </si>
  <si>
    <t>‐
(年平均上昇率+4%)</t>
  </si>
  <si>
    <t>労働生産性
(万円/人) | 393万円/人 | 1,656万円</t>
  </si>
  <si>
    <t>1,656</t>
  </si>
  <si>
    <t>448.6</t>
  </si>
  <si>
    <t>従業員1人あたり
給与支給総額(万円/人) | 448.6万円 | 501.2万円</t>
  </si>
  <si>
    <t>501.2</t>
  </si>
  <si>
    <t>1,254.2</t>
  </si>
  <si>
    <t>役員1人あたり
給与支給総額(万円/人) | 1,254.2万円 | 1,404万円</t>
  </si>
  <si>
    <t>1,404</t>
  </si>
  <si>
    <t>1,803</t>
  </si>
  <si>
    <t>労働生産性
(単位:万円/人) | 1,803万円/人 | 17,781万円/人
(年平均上昇率+114.4%)</t>
  </si>
  <si>
    <t>17,781</t>
  </si>
  <si>
    <t>708</t>
  </si>
  <si>
    <t>従業員1人あたり給与支給総額
(単位:万円/人) | 708万円/人 | 868万円/人
(年平均上昇率+7.0%)</t>
  </si>
  <si>
    <t>868</t>
  </si>
  <si>
    <t>1,395</t>
  </si>
  <si>
    <t>役員1人あたり給与支給総額
(単位:万円/人) | 1,395万円/人 | 1,709万円/人
(年平均上昇率+7.0%)</t>
  </si>
  <si>
    <t>1,709</t>
  </si>
  <si>
    <t>補助事業に係る従業員数
(単位:人) | 23人 | 26人</t>
  </si>
  <si>
    <t>767</t>
  </si>
  <si>
    <t>労働生産性
(単位:万円/人) | 767万円/人 | 1,008万円/人
(年平均上昇率:9.5%)</t>
  </si>
  <si>
    <t>従業員1人あたり給与支給総額
(単位:万円/人) | 415万円/人 | 494万円/人
(年平均上昇率:6%)</t>
  </si>
  <si>
    <t>494</t>
  </si>
  <si>
    <t>役員1人あたり給与支給総額
(単位:万円/人) | ー | ー
(年平均上昇率:6%)</t>
  </si>
  <si>
    <t>94</t>
  </si>
  <si>
    <t>補助事業に係る従業員数
(単位:人) | 94人 | 104人</t>
  </si>
  <si>
    <t>2026年度
(基準年度) | 767万円/人 | 415万円/人</t>
  </si>
  <si>
    <t>役員1人あたり給与支給総額
(単位:万円/人) ー ー
(年平均上昇率:6%)</t>
  </si>
  <si>
    <t>2029年度
(基準年度+3年後) | 1,008万円/人
(年平均上昇率:9.5%) | 494万円/人
(年平均上昇率:6%)</t>
  </si>
  <si>
    <t>ー
(年平均上昇率:6%)</t>
  </si>
  <si>
    <t>9308</t>
  </si>
  <si>
    <t>グローバル・テック | 2026年度（基準年度）: 9308 | 2029年度（基準年度+3年後）: 13803</t>
  </si>
  <si>
    <t>13803</t>
  </si>
  <si>
    <t>609</t>
  </si>
  <si>
    <t>グローバル・テック | 2026年度（基準年度）: 609 | 2029年度（基準年度+3年後）: 695</t>
  </si>
  <si>
    <t>695</t>
  </si>
  <si>
    <t>4139</t>
  </si>
  <si>
    <t>グローバル・テック | 2026年度（基準年度）: 4139 | 2029年度（基準年度+3年後）: 4723</t>
  </si>
  <si>
    <t>4723</t>
  </si>
  <si>
    <t>779</t>
  </si>
  <si>
    <t>従業員1⼈あたり給与⽀給総額 779万円 876万円（年平均上昇率＋4.0％）</t>
  </si>
  <si>
    <t>876</t>
  </si>
  <si>
    <t>6,244</t>
  </si>
  <si>
    <t>役員１⼈あたり給与⽀給総額 6,244万円 7,024万円（年平均上昇率＋4.0％）</t>
  </si>
  <si>
    <t>7,024</t>
  </si>
  <si>
    <t>1,124</t>
  </si>
  <si>
    <t>補助事業に係る従業員数 1,124⼈ 1,214人（年平均上昇率+2.6%） 設備投資の内容 半導体分野の需要拡大を受けて、既存⼯場にて新たな工場棟を新設する。 概要 ⼯場新設に伴い、③の投資によって開発した先端技術や②の投資によって蓄積された先端設備導⼊のノウハ</t>
  </si>
  <si>
    <t>3</t>
  </si>
  <si>
    <t>1,214</t>
  </si>
  <si>
    <t>56</t>
  </si>
  <si>
    <t>ウを活用し、高い労働生産性・付加価値創出を実現する。 当社主要顧客である半導体製造装置メーカーから、今後の受注増加を⾒込んでおり、現在の東京⼯場 鈴⾝事業所 ①新工場の建設 鈴⾝事業所の近隣で取得した用地に新⼯場を建設し、増産体制を整えていく方針。建設費は56億円 （千葉県船橋市）</t>
  </si>
  <si>
    <t>1889</t>
  </si>
  <si>
    <t>トーカロ | 2027年度（基準年度）: 1889 | 2030年度（基準年度+3年後）: 2191</t>
  </si>
  <si>
    <t>2191</t>
  </si>
  <si>
    <t>トーカロ | 2027年度（基準年度）: 779 | 2030年度（基準年度+3年後）: 876</t>
  </si>
  <si>
    <t>6244</t>
  </si>
  <si>
    <t>トーカロ | 2027年度（基準年度）: 6244 | 2030年度（基準年度+3年後）: 7024</t>
  </si>
  <si>
    <t>7024</t>
  </si>
  <si>
    <t>1124</t>
  </si>
  <si>
    <t>トーカロ | 2027年度（基準年度）: 1124 | 2030年度（基準年度+3年後）: 1214</t>
  </si>
  <si>
    <t>1214</t>
  </si>
  <si>
    <t>2,827</t>
  </si>
  <si>
    <t>労働生産性
(単位:万円/人) | 2,827万円 | 3,797万円
(年平均上昇率+10.3%)</t>
  </si>
  <si>
    <t>3,797</t>
  </si>
  <si>
    <t>従業員1人あたり給与支給総額
(単位:万円/人) | &lt;埼玉&gt;534万円 | &lt;埼玉&gt;592万円(年平均上昇率+3.51%)</t>
  </si>
  <si>
    <t>役員1人あたり給与支給総額
(単位:万円/人) | &lt;埼玉&gt;(役員なし) | &lt;埼玉&gt;(役員なし)</t>
  </si>
  <si>
    <t>200</t>
  </si>
  <si>
    <t>補助事業に係る従業員数
(単位:人) | 200人 | 236人</t>
  </si>
  <si>
    <t>2025年度
(基準年度) | 2,827万円 | &lt;埼玉&gt;534万円 | &lt;京都&gt;534万円</t>
  </si>
  <si>
    <t>&lt;埼玉&gt;(役員なし)</t>
  </si>
  <si>
    <t>役員1人あたり給与支給総額
(単位:万円/人) &lt;埼玉&gt;(役員なし) &lt;埼玉&gt;(役員なし)
&lt;京都&gt;ー &lt;京都&gt;ー(年平均上昇率+3.35%)</t>
  </si>
  <si>
    <t>2028年度
(基準年度+3年後) | 3,797万円
(年平均上昇率+10.3%) | &lt;埼玉&gt;592万円(年平均上昇率+3.51%) | &lt;京都&gt;592万円(年平均上昇率+3.51%)</t>
  </si>
  <si>
    <t>1,912</t>
  </si>
  <si>
    <t>労働生産性
(単位:万円/人) | 1,912万円 | 2,196万円
(年平均上昇率+4.7%)</t>
  </si>
  <si>
    <t>2,196</t>
  </si>
  <si>
    <t>従業員1人あたり給与支給総額
(単位:万円/人) | 634万円 | 713万円
(年平均上昇率+4.0%)</t>
  </si>
  <si>
    <t>713</t>
  </si>
  <si>
    <t>役員1人あたり給与支給総額
(単位:万円/人) | ー | ー
(年平均上昇率+X%)</t>
  </si>
  <si>
    <t>補助事業に係る従業員数
(単位:人) | 29人 | 87人</t>
  </si>
  <si>
    <t>-517</t>
  </si>
  <si>
    <t>労働生産性
(単位:万円/人) | -517 | 4,324
(年平均上昇額+1,614万円)</t>
  </si>
  <si>
    <t>4,324</t>
  </si>
  <si>
    <t>690</t>
  </si>
  <si>
    <t>従業員1人あたり給与支給総額
(単位:万円/人) | 690 | 757
(年平均上昇率+3.16%)</t>
  </si>
  <si>
    <t>757</t>
  </si>
  <si>
    <t>役員1人あたり給与支給総額
(単位:万円/人) | - | -
(年平均上昇率+3.48%)</t>
  </si>
  <si>
    <t>84</t>
  </si>
  <si>
    <t>補助事業に係る従業員数
(単位:人) | 84 | 132</t>
  </si>
  <si>
    <t>132</t>
  </si>
  <si>
    <t>2026年度
(基準年度) | -517 | 690</t>
  </si>
  <si>
    <t>役員1人あたり給与支給総額
(単位:万円/人) - -
(年平均上昇率+3.48%)</t>
  </si>
  <si>
    <t>2029年度
(基準年度+3年後) | 4,324
(年平均上昇額+1,614万円) | 757
(年平均上昇率+3.16%)</t>
  </si>
  <si>
    <t>-
(年平均上昇率+3.48%)</t>
  </si>
  <si>
    <t>762</t>
  </si>
  <si>
    <t>労働生産性
(単位:万円/人) | 762万円/人 | 1,327万円/人(年平均上昇率+15%)</t>
  </si>
  <si>
    <t>1,327</t>
  </si>
  <si>
    <t>従業員1人あたり給与支給総額
(単位:万円/人) | 618万円/人 | 716万円/人(年平均上昇率+5%)</t>
  </si>
  <si>
    <t>716</t>
  </si>
  <si>
    <t>役員1人あたり給与支給総額
(単位:万円/人) | 0万円/人 | 0万円/人(年平均上昇率+0%)</t>
  </si>
  <si>
    <t>126</t>
  </si>
  <si>
    <t>補助事業に係る従業員数
(単位:人) | 126人 | 144人</t>
  </si>
  <si>
    <t>PDF表目視確認 | 2025年度（基準年度）: 762 | 2028年度（基準年度+3年後）: 1327</t>
  </si>
  <si>
    <t>1327</t>
  </si>
  <si>
    <t>2026年度(2027年5月末決算)
(基準年度)</t>
  </si>
  <si>
    <t>1,156</t>
  </si>
  <si>
    <t>労働生産性
(単位:万円/人) | 1,156万円 | 1,941万円
(年平均上昇率+18.8%)</t>
  </si>
  <si>
    <t>2029年度(2030年5月末決算)
(基準年度+3年後)</t>
  </si>
  <si>
    <t>1,941</t>
  </si>
  <si>
    <t>522</t>
  </si>
  <si>
    <t>従業員1人あたり給与支給総額
(単位:万円/人) | 522万円 | 588万円
(年平均上昇率+4.03%)</t>
  </si>
  <si>
    <t>役員1人あたり給与支給総額
(単位:万円/人) | ー | ー
(年平均上昇率+4.01%)</t>
  </si>
  <si>
    <t>補助事業に係る従業員数
(単位:人) | 195 | 230</t>
  </si>
  <si>
    <t>230</t>
  </si>
  <si>
    <t>2026年度(2027年5月末決算)
(基準年度) | 1,156万円 | 522万円</t>
  </si>
  <si>
    <t>役員1人あたり給与支給総額
(単位:万円/人) ー ー
(年平均上昇率+4.01%)</t>
  </si>
  <si>
    <t>2029年度(2030年5月末決算)
(基準年度+3年後) | 1,941万円
(年平均上昇率+18.8%) | 588万円
(年平均上昇率 + 4.03%)</t>
  </si>
  <si>
    <t>ー
(年平均上昇率+4.01%)</t>
  </si>
  <si>
    <t>9,853</t>
  </si>
  <si>
    <t>労働生産性
(千円/人) | 9,853千円 | 24,107千円
(年平均上昇率+34.8%)</t>
  </si>
  <si>
    <t>24,107</t>
  </si>
  <si>
    <t>5,565</t>
  </si>
  <si>
    <t>従業員1人あたり
給与支給総額(千円/人) | 5,565千円
(千葉県5,060千円、東京都7,381千円) | 6,305千円
(千葉県5,741千円、東京都8,375千円)
(年平均上昇率+4.3%)</t>
  </si>
  <si>
    <t>6,305</t>
  </si>
  <si>
    <t>役員1人あたり
給与支給総額(千円/人) | ― | —
(年平均上昇率+4.3%)</t>
  </si>
  <si>
    <t>1,133</t>
  </si>
  <si>
    <t>労働生産性
(単位:万円/人) | 1,133万円/人 | 1,765万円/人
(年平均上昇率16.1%)</t>
  </si>
  <si>
    <t>1,765</t>
  </si>
  <si>
    <t>従業員1人あたり給与支給総額
(単位:万円/人) | 509万円/人 | 623万円/人
(年平均上昇率+7.0%)</t>
  </si>
  <si>
    <t>役員1人あたり給与支給総額
(単位:万円/人) | ー | ー
(年平均上昇率+5.98%)</t>
  </si>
  <si>
    <t>補助事業に係る従業員数
(単位:人) | 20人 | 20人</t>
  </si>
  <si>
    <t>2027年度
(基準年度) | 1,133万円/人 | 509万円/人</t>
  </si>
  <si>
    <t>役員1人あたり給与支給総額
(単位:万円/人) ー ー
(年平均上昇率+5.98%)</t>
  </si>
  <si>
    <t>2030年度
(基準年度+3年後) | 1,765万円/人
(年平均上昇率16.1%) | 623万円/人
(年平均上昇率+7.0%)</t>
  </si>
  <si>
    <t>ー
(年平均上昇率+5.98%)</t>
  </si>
  <si>
    <t>3,192</t>
  </si>
  <si>
    <t>労働生産性*
(単位:万円/人) | 3,192 | 3,275
(年平均上昇率+2.4%)</t>
  </si>
  <si>
    <t>3,275</t>
  </si>
  <si>
    <t>930</t>
  </si>
  <si>
    <t>従業員1人あたり給与支給総額
(単位:万円/人) | 930 | 1,017
(年平均上昇率+3.0%)</t>
  </si>
  <si>
    <t>1,017</t>
  </si>
  <si>
    <t>801</t>
  </si>
  <si>
    <t>補助事業に係る従業員数
(単位:人) | 801 | 868</t>
  </si>
  <si>
    <t>3192</t>
  </si>
  <si>
    <t>PDF表目視確認 | 2026年度（基準年度）: 3192 | 2029年度（基準年度+3年後）: 3275</t>
  </si>
  <si>
    <t>3275</t>
  </si>
  <si>
    <t>PDF表目視確認 | 2026年度（基準年度）: 930 | 2029年度（基準年度+3年後）: 1017</t>
  </si>
  <si>
    <t>1017</t>
  </si>
  <si>
    <t>PDF表目視確認 | 2026年度（基準年度）: 801 | 2029年度（基準年度+3年後）: 868</t>
  </si>
  <si>
    <t>2026年度
(基準年度) | 3,192 | 930</t>
  </si>
  <si>
    <t>2029年度
(基準年度+3年後) | 3,275
(年平均上昇率+2.4%) | 1,017
(年平均上昇率+3.0%)</t>
  </si>
  <si>
    <t>681.8</t>
  </si>
  <si>
    <t>労働生産性
(単位:万円/人) | 681.8 | 797.7
(年平均上昇率+5.37%)</t>
  </si>
  <si>
    <t>797.7</t>
  </si>
  <si>
    <t>547.3</t>
  </si>
  <si>
    <t>従業員1人あたり給与支給総額(愛知県)
(単位:万円/人) | 547.3 | 599.1
(年平均上昇率+3.06%)</t>
  </si>
  <si>
    <t>599.1</t>
  </si>
  <si>
    <t>518.6</t>
  </si>
  <si>
    <t>従業員1人あたり給与支給総額(北海道)
(単位:万円/人) | 518.6 | 567.5
(年平均上昇率+3.05%)</t>
  </si>
  <si>
    <t>567.5</t>
  </si>
  <si>
    <t>役員1人あたり給与支給総額
(単位:万円/人) | - | -
(年平均上昇率+3.13%)</t>
  </si>
  <si>
    <t>768</t>
  </si>
  <si>
    <t>補助事業に係る従業員数
(単位:人) | 768 | 796</t>
  </si>
  <si>
    <t>796</t>
  </si>
  <si>
    <t>2026年度
(基準年度) | 681.8 | 547.3 | 518.6</t>
  </si>
  <si>
    <t>役員1人あたり給与支給総額
(単位:万円/人) - -
(年平均上昇率+3.13%)</t>
  </si>
  <si>
    <t>2029年度
(基準年度+3年後) | 797.7
(年平均上昇率+5.37%) | 599.1
(年平均上昇率+3.06%) | 567.5
(年平均上昇率+3.05%)</t>
  </si>
  <si>
    <t>-
(年平均上昇率+3.13%)</t>
  </si>
  <si>
    <t>3,201.6</t>
  </si>
  <si>
    <t>労働生産性
(万円/人) | 3,201.6万円/人 | 4,634.1万円/人
(年平均上昇率+13.2%)</t>
  </si>
  <si>
    <t>4,634.1</t>
  </si>
  <si>
    <t>560.0</t>
  </si>
  <si>
    <t>従業員1人あたり
給与支給総額(万円/人) | 560.0万円/人 | 611.6万円/人
(年平均上昇率+2.98%)</t>
  </si>
  <si>
    <t>611.6</t>
  </si>
  <si>
    <t>2,239</t>
  </si>
  <si>
    <t>労働生産性
(単位:万円/人) | 2,239(万円/人) | 3,148(万円/人)
(年平均上昇率+12.0%)</t>
  </si>
  <si>
    <t>3,148</t>
  </si>
  <si>
    <t>617</t>
  </si>
  <si>
    <t>従業員1人あたり給与支給総額
(単位:万円/人) | 617(万円/人) | 702(万円/人)
(年平均上昇率+5.0%)</t>
  </si>
  <si>
    <t>補助事業に係る従業員数
(単位:人) | 285人 | 324人</t>
  </si>
  <si>
    <t>1,849</t>
  </si>
  <si>
    <t>労働生産性
(単位:万円/人) | 中部:1,849
SAN:1,725 | 中部:2,225(年平均上昇率 6.4%)
SAN:2,205(年平均上昇率 8.5%)</t>
  </si>
  <si>
    <t>2,225</t>
  </si>
  <si>
    <t>889</t>
  </si>
  <si>
    <t>従業員1人あたり給与支給総額
(単位:万円/人) | 中部:889
SAN:400 | 中部:981(年平均上昇率 3.33%)
SAN:441(年平均上昇率 3.33%)</t>
  </si>
  <si>
    <t>981</t>
  </si>
  <si>
    <t>役員1人あたり給与支給総額
(単位:万円/人) | 中部:384
SAN:500 | 中部:424(年平均上昇率 3.33%)
SAN:552(年平均上昇率 3.33%)</t>
  </si>
  <si>
    <t>補助事業に係る従業員数
(単位:人) | 中部:59
SAN:17 | 中部:78
SAN:20</t>
  </si>
  <si>
    <t>1849</t>
  </si>
  <si>
    <t>PDF表目視確認 | 2026年度（基準年度）: 1849 | 2029年度（基準年度+3年後）: 2225</t>
  </si>
  <si>
    <t>2225</t>
  </si>
  <si>
    <t>PDF表目視確認 | 2026年度（基準年度）: 589 | 2029年度（基準年度+3年後）: 680</t>
  </si>
  <si>
    <t>680</t>
  </si>
  <si>
    <t>PDF表目視確認 | 2026年度（基準年度）: 59 | 2029年度（基準年度+3年後）: 78</t>
  </si>
  <si>
    <t>1036</t>
  </si>
  <si>
    <t>労働生産性
(単位:万円/人) | 1036万円/人 | 1590万円/人
(年平均上昇率+15.3%) | 713万円/人 | 1043万円/人
(年平均上昇率+13.5%)</t>
  </si>
  <si>
    <t>1590</t>
  </si>
  <si>
    <t>1043</t>
  </si>
  <si>
    <t>従業員1人あたり給与支給総額
(単位:万円/人) | 325万円/人 | 371万円/人
(年平均上昇率+4.5%) | 345万円/人 | 394万円/人
(年平均上昇率+4.5%)</t>
  </si>
  <si>
    <t>371</t>
  </si>
  <si>
    <t>345</t>
  </si>
  <si>
    <t>364</t>
  </si>
  <si>
    <t>役員1人あたり給与支給総額
(単位:万円/人) | 364万円/人 | 409万円/人
(年平均上昇率+4.0%) | 276万円/人 | 310万円/人
(年平均上昇率+4.0%)</t>
  </si>
  <si>
    <t>409</t>
  </si>
  <si>
    <t>補助事業に係る従業員数(単位:人) | 126人 | 147人 | 77人 | 115人</t>
  </si>
  <si>
    <t>147</t>
  </si>
  <si>
    <t>⾼度な接遇スキルが必要となる仲居に依存しなくなるため、⼈材確保が 容易になる • 従業員数の１／２程の⼈数で対応が可 能となる 熱いものや冷たい料理など出来⽴ての 提供が可能となる • 下記業務を、 同⼀ス ペースにて実施することで、スタッフのマルチタスク化により、４⼈での 部屋⾷︓ オペレーションを可能にする １客室あたり、 仲居0.5⼈、ランナー 0.2⼈、デシャップ0.04⼈でのサービス提供となり、</t>
  </si>
  <si>
    <t>135</t>
  </si>
  <si>
    <t>PDF表目視確認 | 2026年度（基準年度）: 135 | 2029年度（基準年度+3年後）: 147</t>
  </si>
  <si>
    <t>693</t>
  </si>
  <si>
    <t>労働生産性
(単位:万円/人) | 693 | 1,185
(年平均上昇率+19.6%)</t>
  </si>
  <si>
    <t>1,185</t>
  </si>
  <si>
    <t>従業員1人あたり給与支給総額
(単位:万円/人) | 534 | 619
(年平均上昇率+5.1%)</t>
  </si>
  <si>
    <t>619</t>
  </si>
  <si>
    <t>1,624</t>
  </si>
  <si>
    <t>役員1人あたり給与支給総額
(単位:万円/人) | 1,624 | 1,880
(年平均上昇率+5.0%)</t>
  </si>
  <si>
    <t>1,880</t>
  </si>
  <si>
    <t>287</t>
  </si>
  <si>
    <t>補助事業に係る従業員数
(単位:人) | 287 | 385</t>
  </si>
  <si>
    <t>2027年5月期(基準年度)</t>
  </si>
  <si>
    <t>925</t>
  </si>
  <si>
    <t>労働生産性
(単位:万円/人) | 925 | 1,695
(年平均上昇率+22.4%)</t>
  </si>
  <si>
    <t>2030年5月期(基準年度+3年後)</t>
  </si>
  <si>
    <t>1,695</t>
  </si>
  <si>
    <t>従業員1人あたり給与支給総額
(単位:万円/人) | 385 | 446
(年平均上昇率+5.0%)</t>
  </si>
  <si>
    <t>1,041</t>
  </si>
  <si>
    <t>役員1人あたり給与支給総額
(単位:万円/人) | 1,041 | 1,205
(年平均上昇率+5.0%)</t>
  </si>
  <si>
    <t>1,205</t>
  </si>
  <si>
    <t>190</t>
  </si>
  <si>
    <t>補助事業に係る従業員数
(単位:人) | 190 | 208</t>
  </si>
  <si>
    <t>208</t>
  </si>
  <si>
    <t>1,392</t>
  </si>
  <si>
    <t>労働生産性
(単位:万円/人) | 1,39
2 | 1,957
(年平均上昇率+1 %)
2</t>
  </si>
  <si>
    <t>1,957</t>
  </si>
  <si>
    <t>従業員1人あたり給与支給総額
(単位:万円/人) | 520 | 603
(年平均上昇率+5.0%)</t>
  </si>
  <si>
    <t>補助事業に係る従業員数
(単位:人) | 104 | 117</t>
  </si>
  <si>
    <t>1392</t>
  </si>
  <si>
    <t>PDF表目視確認 | 2025年度（基準年度）: 1392 | 2028年度（基準年度+3年後）: 1957</t>
  </si>
  <si>
    <t>1957</t>
  </si>
  <si>
    <t>PDF表目視確認 | 2025年度（基準年度）: 520 | 2028年度（基準年度+3年後）: 603</t>
  </si>
  <si>
    <t>PDF表目視確認 | 2025年度（基準年度）: 104 | 2028年度（基準年度+3年後）: 117</t>
  </si>
  <si>
    <t>2025年度
(基準年度) | 1,39
2 | 520</t>
  </si>
  <si>
    <t>2028年度
(基準年度+3年後) | 1,957
(年平均上昇率+1 %)
2 | 2
603
(年平均上昇率+5.0%)</t>
  </si>
  <si>
    <t>2026年度(基
準年度)</t>
  </si>
  <si>
    <t>労働生産性
(万円/人) | 656 | 780
(年平均上昇率+ %)
5.9</t>
  </si>
  <si>
    <t>556</t>
  </si>
  <si>
    <t>従業員1人あたり
給与支給総額(万円/人) | 556 | 645
(年平均上昇率+5.1%)</t>
  </si>
  <si>
    <t>645</t>
  </si>
  <si>
    <t>1,355</t>
  </si>
  <si>
    <t>役員1人あたり
給与支給総額(万円/人) | 1,3
55 | 1,
804
(年平均上昇率+10.0%)</t>
  </si>
  <si>
    <t>1,804</t>
  </si>
  <si>
    <t>補助事業に係る従業員数
(単位:人) | 311 | 496</t>
  </si>
  <si>
    <t>496</t>
  </si>
  <si>
    <t>1013</t>
  </si>
  <si>
    <t>労働生産性
(単位:万円/人) | 1013 | 2045
(年平均上昇率+26.4%)</t>
  </si>
  <si>
    <t>2045</t>
  </si>
  <si>
    <t>従業員1人あたり給与支給総額
(単位:万円/人) | 433 | 531
(年平均上昇率+7.0%)</t>
  </si>
  <si>
    <t>1473</t>
  </si>
  <si>
    <t>役員1人あたり給与支給総額
(単位:万円/人) | 1473 | 1706
(年平均上昇率+5.0%)</t>
  </si>
  <si>
    <t>1706</t>
  </si>
  <si>
    <t>補助事業に係る従業員数
(単位:人) | 60 | 75</t>
  </si>
  <si>
    <t>2025年度(2026年10月期)
(基準年度)</t>
  </si>
  <si>
    <t>労働生産性
(単位:万円/人) | 671 万円/人 | 973 万円/人
(年平均上昇率+13.2%)</t>
  </si>
  <si>
    <t>2028年度(2029年10月期)
(基準年度+3年後)</t>
  </si>
  <si>
    <t>292</t>
  </si>
  <si>
    <t>従業員1人あたり給与支給総額
(単位:万円/人) | 292 万円/人 | 373 万円/人
(年平均上昇率+8.5%)</t>
  </si>
  <si>
    <t>1100</t>
  </si>
  <si>
    <t>役員1人あたり給与支給総額
(単位:万円/人) | 1100 万円/人 | 1290 万円/人
(年平均上昇率+5.5%)</t>
  </si>
  <si>
    <t>1290</t>
  </si>
  <si>
    <t>106</t>
  </si>
  <si>
    <t>補助事業に係る従業員数
(単位:人) | 106 人 | 127 人</t>
  </si>
  <si>
    <t>1,668</t>
  </si>
  <si>
    <t>労働生産性
(単位:万円/人) | 1,668 | 2,592
(年平均上昇率+15.8%)</t>
  </si>
  <si>
    <t>438</t>
  </si>
  <si>
    <t>従業員1人あたり給与支給総額
(単位:万円/人) | 438 | 536
(年平均上昇率+7.0%)</t>
  </si>
  <si>
    <t>役員1人あたり給与支給総額
(単位:万円/人) | 1,000 | 1,125
(年平均上昇率+4.0%)</t>
  </si>
  <si>
    <t>補助事業に係る従業員数
(単位:人) | 100人 | 140人</t>
  </si>
  <si>
    <t>140</t>
  </si>
  <si>
    <t>労働生産性
(単位:万円/人) | 753万円/人 | 8,748万円/人
(年平均上昇率+126.5%)</t>
  </si>
  <si>
    <t>8,748</t>
  </si>
  <si>
    <t>641</t>
  </si>
  <si>
    <t>従業員1人あたり給与支給総額
(単位:万円/人) | 641万円 | 742万円
(年平均上昇率+5.0%)</t>
  </si>
  <si>
    <t>役員1人あたり給与支給総額
(単位:万円/人) | 0 | 0</t>
  </si>
  <si>
    <t>補助事業に係る従業員数
(単位:人) | 110人 | 150人</t>
  </si>
  <si>
    <t>2,352</t>
  </si>
  <si>
    <t>労働生産性
(単位:万円/人) | 2,352 | 4,375
(年平均上昇率+23.0%)</t>
  </si>
  <si>
    <t>4,375</t>
  </si>
  <si>
    <t>従業員1人あたり給与支給総額
(単位:万円/人) | 661 | 766
(年平均上昇率+5.0%)</t>
  </si>
  <si>
    <t>766</t>
  </si>
  <si>
    <t>役員1人あたり給与支給総額
(単位:万円/人) | - | -
(年平均上昇率- %)</t>
  </si>
  <si>
    <t>補助事業に係る従業員数
(単位:人) | 384 | 384</t>
  </si>
  <si>
    <t>805</t>
  </si>
  <si>
    <t>労働生産性
(単位:万円/人) | 805万円 | - | - | - | 1,169万円
(CAGR+13.3%) | - | - | -</t>
  </si>
  <si>
    <t>従業員1人あたり給与支給総額
(単位:万円/人) | 569万円 | 560万円 | 645万円 | 765万円 | 650万円
(CAGR+4.5%) | 639万円
(CAGR+4.5%) | 736万円
(CAGR+4.5%) | 873万円
(CAGR+4.5%)</t>
  </si>
  <si>
    <t>765</t>
  </si>
  <si>
    <t>736</t>
  </si>
  <si>
    <t>役員1人あたり給与支給総額
(単位:万円/人) | 1,160万円 | 1,160万円 | - | - | 1,323万円
(CAGR+4.5%) | 1,323万円
(CAGR+4.5%) | - | -</t>
  </si>
  <si>
    <t>1,323</t>
  </si>
  <si>
    <t>168</t>
  </si>
  <si>
    <t>補助事業に係る従業員数
(単位:人) | 168人 | 156人 | 7人 | 5人 | 180人 | 168人 | 7人 | 5人</t>
  </si>
  <si>
    <t>156</t>
  </si>
  <si>
    <t>7</t>
  </si>
  <si>
    <t>5</t>
  </si>
  <si>
    <t>180</t>
  </si>
  <si>
    <t>1,157</t>
  </si>
  <si>
    <t>労働生産性
(単位:万円/人) | 1,157万円/人 | 1,519万円/人
(年平均上昇率+9.5%)</t>
  </si>
  <si>
    <t>1,519</t>
  </si>
  <si>
    <t>従業員1人あたり給与支給総額
(単位:万円/人) | 563万円 | 633
(年平均上昇率+4.0%)</t>
  </si>
  <si>
    <t>633</t>
  </si>
  <si>
    <t>役員1人あたり給与支給総額
(単位:万円/人) | - | -
(年平均上昇率+3.7%)</t>
  </si>
  <si>
    <t>79</t>
  </si>
  <si>
    <t>補助事業に係る従業員数
(単位:人) | 79人 | 89人</t>
  </si>
  <si>
    <t>2027年度
(基準年度) | 1,157万円/人 | 563万円</t>
  </si>
  <si>
    <t>役員1人あたり給与支給総額
(単位:万円/人) - -
(年平均上昇率+3.7%)</t>
  </si>
  <si>
    <t>2030年度
(基準年度+3年後) | 1,519万円/人
(年平均上昇率+9.5%) | 633 5
(年平均上昇率+4.0%)</t>
  </si>
  <si>
    <t>-
(年平均上昇率+3.7%)</t>
  </si>
  <si>
    <t>労働生産性
(単位:万円/人) | 564 | 894(年平均上昇率+16.6%)</t>
  </si>
  <si>
    <t>894</t>
  </si>
  <si>
    <t>434</t>
  </si>
  <si>
    <t>従業員1人あたり給与支給総額
(単位:万円/人) | 434 | 495(年平均上昇率+4.5%)</t>
  </si>
  <si>
    <t>1,645</t>
  </si>
  <si>
    <t>役員1人あたり給与支給総額
(単位:万円/人) | 1,645 | 1,877(年平均上昇率+4.5%)</t>
  </si>
  <si>
    <t>1,877</t>
  </si>
  <si>
    <t>422</t>
  </si>
  <si>
    <t>補助事業に係る従業員数
(単位:人) | 422 | 431(+9人)</t>
  </si>
  <si>
    <t>548</t>
  </si>
  <si>
    <t>労働生産性
(単位:万円/人) | 548 | 3,157
(年平均上昇率+79.2%)</t>
  </si>
  <si>
    <t>3,157</t>
  </si>
  <si>
    <t>従業員1人あたり給与支給総額
(単位:万円/人) | 451 | 537
(年平均上昇率+6.0%)</t>
  </si>
  <si>
    <t>補助事業に係る従業員数
(単位:人) | 30 | 44</t>
  </si>
  <si>
    <t>44</t>
  </si>
  <si>
    <t>労働生産性
(付加価値額÷(就業時間換算の従業員数+役員数)) | 1,406/1人 | 1,506/1人
(年平均上昇率:2.3%)</t>
  </si>
  <si>
    <t>1,506</t>
  </si>
  <si>
    <t>従業員1人当たり給与支給総額
(給与支給総額÷就業時間換算の従業員数) | 550 | 795
(年平均上昇率:13.1%)</t>
  </si>
  <si>
    <t>役員1人当たり給与支給総額
(給与支給総額(役員)÷役員数) | 750 | 1,700
(年平均上昇率:31.4%)</t>
  </si>
  <si>
    <t>常時使用する従業員数 | 15 | 40</t>
  </si>
  <si>
    <t>2026年度11月期
(基準年度)</t>
  </si>
  <si>
    <t>1,064</t>
  </si>
  <si>
    <t>労働生産性
(単位:万円/人) | 1,064 | 1,417
(年平均上昇率+10.0%)</t>
  </si>
  <si>
    <t>2029年度11月期
(基準年度+3年後)</t>
  </si>
  <si>
    <t>1,417</t>
  </si>
  <si>
    <t>372</t>
  </si>
  <si>
    <t>従業員1人あたり給与支給総額
(単位:万円/人) | 372 | 406
(年平均上昇率+3.0%)</t>
  </si>
  <si>
    <t>2,733</t>
  </si>
  <si>
    <t>役員1人あたり給与支給総額
(単位:万円/人) | 2,733 | 2,987
(年平均上昇率+3.0%)</t>
  </si>
  <si>
    <t>2,987</t>
  </si>
  <si>
    <t>補助事業に係る従業員数
(単位:人) | 130 | 164</t>
  </si>
  <si>
    <t>705</t>
  </si>
  <si>
    <t>労働生産性
(単位:万円/人) | 1, 万円/人
125 |  |  | 1, 万円/人
705
(年平均上昇率+1 %)
4.9 |  |</t>
  </si>
  <si>
    <t>従業員1人あたり
給与支給総額
(単位:万円/
人) | 45 万円/人
1 | 44 万円/人
9 | 493万円/人 | 52 万円/人
2
(年平均上昇
率+5.0%) | 519万円/人
(年平均上昇率
+5.0%) | 571万円/人
(年平均上昇率
+5.0%)</t>
  </si>
  <si>
    <t>493</t>
  </si>
  <si>
    <t>571</t>
  </si>
  <si>
    <t>役員1人あたり給与
支給総額
(単位:万円/人) | 0 | 0 | 0 | 0 |  |</t>
  </si>
  <si>
    <t>補助事業に係る
従業員数
(単位:人) | 72人 | 90人 | 4人 | 224人 | 102人 | 4人</t>
  </si>
  <si>
    <t>90</t>
  </si>
  <si>
    <t>224</t>
  </si>
  <si>
    <t>1125</t>
  </si>
  <si>
    <t>PDF表目視確認 | 2026年度（基準年度）: 1125 | 2029年度（基準年度+3年後）: 1705</t>
  </si>
  <si>
    <t>1705</t>
  </si>
  <si>
    <t>2,551</t>
  </si>
  <si>
    <t>労働生産性(単位:万円/人) | 2,551 | 3,845
(年平均上昇率+14.6%)</t>
  </si>
  <si>
    <t>2029年(基準年度+3年後)</t>
  </si>
  <si>
    <t>3,845</t>
  </si>
  <si>
    <t>従業員1人あたり給与支給総額
(単位:万円/人) | 580 | 715
(年平均上昇率+7.2%)</t>
  </si>
  <si>
    <t>役員1人あたり給与支給総額
(単位:万円/人) | 1,200 | 1,350
(年平均上昇率+4.0%)</t>
  </si>
  <si>
    <t>1,350</t>
  </si>
  <si>
    <t>補助事業に係る従業員数(単位:人) | 6 | 47</t>
  </si>
  <si>
    <t>内容 ③新アトラクション ■人手不足に対応し、労働生産性を高めるオペレーションの工夫 最新の映像及び照明技術を活用した、人に頼らないアトラクションの導入 「日本の故郷灯館」 • スタッフは配置せず、顧客自身がアトラクション施設を使用しながら体験していく工夫 • 日本の原風景を感じる灯りを巡るウォークスルー アトラクション ■集客力の向上</t>
  </si>
  <si>
    <t>670</t>
  </si>
  <si>
    <t>労働生産性
(単位:万円/人) | 670 | 1530
(年平均上昇率+ %)
31.7</t>
  </si>
  <si>
    <t>1530</t>
  </si>
  <si>
    <t>従業員1人あたり給与支給総額
(単位:万円/人) | 413 | 501
(年平均上昇率+6. %)
7</t>
  </si>
  <si>
    <t>1,314</t>
  </si>
  <si>
    <t>役員1人あたり給与支給総額
(単位:万円/人) | 1,314 | 1,828
(年平均上昇率+11.6%)</t>
  </si>
  <si>
    <t>1,828</t>
  </si>
  <si>
    <t>補助事業に係る従業員数
(単位:人) | 115 | 172</t>
  </si>
  <si>
    <t>172</t>
  </si>
  <si>
    <t>1,937</t>
  </si>
  <si>
    <t>労働生産性
(単位:万円/人) | 1,937 | 2,215
(年平均上昇率+4.6%)</t>
  </si>
  <si>
    <t>2,215</t>
  </si>
  <si>
    <t>830</t>
  </si>
  <si>
    <t>従業員1人あたり給与支給総額
(単位:万円/人) | 830 | 918
(年平均上昇率+3.4%)</t>
  </si>
  <si>
    <t>2,688</t>
  </si>
  <si>
    <t>役員1人あたり給与支給総額
(単位:万円/人) | 2,688 | 2,938
(年平均上昇率+3.0%)</t>
  </si>
  <si>
    <t>2,938</t>
  </si>
  <si>
    <t>318</t>
  </si>
  <si>
    <t>補助事業に係る従業員数
(単位:人) | 318 | 392</t>
  </si>
  <si>
    <t>392</t>
  </si>
  <si>
    <t>2,358</t>
  </si>
  <si>
    <t>労働生産性
(単位:万円/人) | 2,358万円/人 | 3,883万円/人
(年平均上昇率+18.1%)</t>
  </si>
  <si>
    <t>3,883</t>
  </si>
  <si>
    <t>643</t>
  </si>
  <si>
    <t>従業員1人あたり給与支給総額
(単位:万円/人) | 643万円/人 | 817万円/人
(年平均上昇率+8.3%)</t>
  </si>
  <si>
    <t>9,988</t>
  </si>
  <si>
    <t>役員1人あたり給与支給総額
(単位:万円/人) | 9,988万円/人 | 11,057万円/人
(年平均上昇率+3.4%)</t>
  </si>
  <si>
    <t>11,057</t>
  </si>
  <si>
    <t>93</t>
  </si>
  <si>
    <t>補助事業に係る従業員数
(単位:人) | 93人 | 101人</t>
  </si>
  <si>
    <t>460</t>
  </si>
  <si>
    <t>労働生産性
(単位:万円/人) | 460 | 1,432
(年平均上昇率+46.0%)</t>
  </si>
  <si>
    <t>1,432</t>
  </si>
  <si>
    <t>従業員1人あたり給与支給総額
(単位:万円/人) | 363 | 436
(年平均上昇率+6.3%)</t>
  </si>
  <si>
    <t>1,172</t>
  </si>
  <si>
    <t>役員1人あたり給与支給総額
(単位:万円/人) | 1,172 | 1,373
(年平均上昇率+5.4%)</t>
  </si>
  <si>
    <t>1,373</t>
  </si>
  <si>
    <t>103</t>
  </si>
  <si>
    <t>補助事業に係る従業員数
(単位:人) | 103 | 103</t>
  </si>
  <si>
    <t>2,791</t>
  </si>
  <si>
    <t>労働生産性 (単位:万円/人) | 2,791 | 3,609 (年平均上昇率+8.9%)</t>
  </si>
  <si>
    <t>3,609</t>
  </si>
  <si>
    <t>699</t>
  </si>
  <si>
    <t>従業員1人あたり給与支給総額 (単位:万円/人) | 699 | 767 (年平均上昇率+3.20%)</t>
  </si>
  <si>
    <t>4,662</t>
  </si>
  <si>
    <t>役員1人あたり給与支給総額 (単位:万円/人) | 4,662 | 5,397 (年平均上昇率+5.00%)</t>
  </si>
  <si>
    <t>5,397</t>
  </si>
  <si>
    <t>補助事業に係る従業員数 (単位:人) | 180 | 240</t>
  </si>
  <si>
    <t>16,835</t>
  </si>
  <si>
    <t>労働生産性
(単位:千円/人) | 16,835千円 | 32,798千円
(年平均上昇率
+24.9%) | 14,674千円 | 31.553千円
(年平均上昇率
+29.1%) | 10,210千円 | 18,009千円
(年平均上昇率
+20.8%)</t>
  </si>
  <si>
    <t>32,798</t>
  </si>
  <si>
    <t>14,674</t>
  </si>
  <si>
    <t>31.553</t>
  </si>
  <si>
    <t>10,210</t>
  </si>
  <si>
    <t>18,009</t>
  </si>
  <si>
    <t>7,097</t>
  </si>
  <si>
    <t>従業員1人あたり
給与支給総額
(単位:千円/人) | 7,097千円 | 8,215千円
(年平均上昇率
+5.0%) | 5,473千円 | 6,335千円
(年平均上昇率
+5.0%) | 5,174千円 | 5,990千円
(年平均上昇率
+5.0%)</t>
  </si>
  <si>
    <t>8,215</t>
  </si>
  <si>
    <t>5,473</t>
  </si>
  <si>
    <t>6,335</t>
  </si>
  <si>
    <t>5,174</t>
  </si>
  <si>
    <t>5,990</t>
  </si>
  <si>
    <t>役員1人あたり
給与支給総額
(単位:千円/人) | ー | ー
(年平均上昇率
+2.5%) | ー | ー
(年平均上昇率
+2.8%) | ー | ー
(年平均上昇率
+3.0%)</t>
  </si>
  <si>
    <t>補助事業にかかる従業員数
(単位:人)
就業時間換算 | 736 | 736 | 182 | 182 | 316 | 316</t>
  </si>
  <si>
    <t>2028年1月期
(基準年度)</t>
  </si>
  <si>
    <t>2,241</t>
  </si>
  <si>
    <t>労働生産性
(単位:万円/人) | 2,241万円 | 3,070万円
(年平均上昇率+11.1%)</t>
  </si>
  <si>
    <t>2031年1月期
(基準年度+3年後)</t>
  </si>
  <si>
    <t>3,070</t>
  </si>
  <si>
    <t>従業員1人あたり給与支給総額
(単位:万円/人) | 718万円 | 831万円
(年平均上昇率+5.0%)</t>
  </si>
  <si>
    <t>831</t>
  </si>
  <si>
    <t>350</t>
  </si>
  <si>
    <t>補助事業に係る従業員数
(単位:人) | 350人 | 380人</t>
  </si>
  <si>
    <t>380</t>
  </si>
  <si>
    <t>2028年1月期
(基準年度) | 2,241万円 | 718万円</t>
  </si>
  <si>
    <t>2031年1月期
(基準年度+3年後) | 3,070万円
(年平均上昇率+11.1%) | 831万円
(年平均上昇率+5.0%)</t>
  </si>
  <si>
    <t>1,385</t>
  </si>
  <si>
    <t>労働生産性
(単位:万円/人) | 1,385万円/人 | 476万円/人 | 3,010万円/人
(年平均上昇率+29.5%) | 569万円/人
(年平均上昇率+6.1%)</t>
  </si>
  <si>
    <t>476</t>
  </si>
  <si>
    <t>3,010</t>
  </si>
  <si>
    <t>676</t>
  </si>
  <si>
    <t>従業員1人あたり給与支給総額
(単位:万円/人) | 676万円/人 | 352万円/人 | 828万円/人
(年平均上昇率+7.0%) | 431万円/人
(年平均上昇率+7.0%)</t>
  </si>
  <si>
    <t>828</t>
  </si>
  <si>
    <t>1,874</t>
  </si>
  <si>
    <t>役員1人あたり給与支給総額
(単位:万円/人) | 1,874万円/人 | 493万円/人 | 2,169万円/人
(年平均上昇率+5.0%) | 571万円/人
(年平均上昇率+5.0%)</t>
  </si>
  <si>
    <t>2,169</t>
  </si>
  <si>
    <t>補助事業に係る従業員数
(単位:人) | 112人 | 38人 | 122人 | 56人</t>
  </si>
  <si>
    <t>122</t>
  </si>
  <si>
    <t>2036</t>
  </si>
  <si>
    <t>ベストアメニティ | 2027年度（基準年度）: 2036 | 2030年度（基準年度+3年後）: 3672</t>
  </si>
  <si>
    <t>3672</t>
  </si>
  <si>
    <t>ベストアメニティ | 2027年度（基準年度）: 410 | 2030年度（基準年度+3年後）: 516</t>
  </si>
  <si>
    <t>ベストアメニティ | 2027年度（基準年度）: 100 | 2030年度（基準年度+3年後）: 125</t>
  </si>
  <si>
    <t>416</t>
  </si>
  <si>
    <t>労働生産性
(単位:万円/人) | 416万円 | 660万円
(年平均上昇率+16.7%)</t>
  </si>
  <si>
    <t>660</t>
  </si>
  <si>
    <t>従業員1人あたり給与支給総額
(単位:万円/人) | 314万円 | 374万円
(年平均上昇率+6.0%)</t>
  </si>
  <si>
    <t>役員1人あたり給与支給総額
(単位:万円/人) | - | -
(年平均成長率+6.0%)</t>
  </si>
  <si>
    <t>補助事業に係る従業員数
(単位:人) | 685人 | 795人</t>
  </si>
  <si>
    <t>1,190</t>
  </si>
  <si>
    <t>労働生産性
(単位:万円/人) | 1,190万円/人 |  | 1,385万円/人
(年平均上昇率+5.2%) |</t>
  </si>
  <si>
    <t>従業員1人あたり給与支給総額
(単位:万円/人) | 502万円/人 | 567万円/人 | 589万円/人
(年平均上昇率+5.5%) | 666万円/人
(年平均上昇率+5.5%)</t>
  </si>
  <si>
    <t>666</t>
  </si>
  <si>
    <t>役員1人あたり給与支給総額
(単位:万円/人) | 716万円/人 | 716万円/人 | 828万円/人
(年平均上昇率+5.0%) | 828万円/人
(年平均上昇率+5.0%)</t>
  </si>
  <si>
    <t>829</t>
  </si>
  <si>
    <t>補助事業に係る従業員数
(単位:人) | 829人 | 341人 | 864人 | 341人</t>
  </si>
  <si>
    <t>341</t>
  </si>
  <si>
    <t>864</t>
  </si>
  <si>
    <t>2030年度</t>
  </si>
  <si>
    <t>5,771</t>
  </si>
  <si>
    <t>5,77 労働生産性 1 3,25 2 （単位:万円/人） (年平均上昇率21 %) .1 従業員1人あたり 35 1 29 給与支給総額 目標値 5 (年平均上昇率6 %) .0 （単位:万円/人） 役員１人あたり - 給与支給総額 - (年平均上昇率17 %) .0 （単位:万円/人）</t>
  </si>
  <si>
    <t>351</t>
  </si>
  <si>
    <t>2027年度</t>
  </si>
  <si>
    <t>3,252</t>
  </si>
  <si>
    <t>295</t>
  </si>
  <si>
    <t>補助事業に係る従業員数 62 72 （単位:人）</t>
  </si>
  <si>
    <t>河淳 | 2027年度（基準年度）: 295 | 2030年度（基準年度+3年後）: 351</t>
  </si>
  <si>
    <t>1,723</t>
  </si>
  <si>
    <t>労働生産性
(単位:万円/人) | 1,723万円/人 | 2,975万円/人
(年平均上昇率+20.0%)</t>
  </si>
  <si>
    <t>2,975</t>
  </si>
  <si>
    <t>従業員1人あたり給与支給総額
(単位:万円/人) | 469万円/人 | 560万円/人
(年平均上昇率+6.1%)</t>
  </si>
  <si>
    <t>161</t>
  </si>
  <si>
    <t>補助事業に係る従業員数
(単位:人) | 161人 | 167人</t>
  </si>
  <si>
    <t>167</t>
  </si>
  <si>
    <t>労働生産性
(単位:万円/人) | 523万円/人 | 1,019万円/人
(年平均上昇率+24.9%)</t>
  </si>
  <si>
    <t>1,019</t>
  </si>
  <si>
    <t>377</t>
  </si>
  <si>
    <t>従業員1人あたり給与支給総額
(単位:万円/人) | 377万円/人 | 462万円/人
(年平均上昇率+7.0%)</t>
  </si>
  <si>
    <t>462</t>
  </si>
  <si>
    <t>221</t>
  </si>
  <si>
    <t>補助事業に係る従業員数
(単位:人) | 221人 | 230人</t>
  </si>
  <si>
    <t>2027年度
(基準年度) | 523万円/人 | 377万円/人</t>
  </si>
  <si>
    <t>2030年度
(基準年度+3年後) | 1,019万円/人
(年平均上昇率+24.9%) | 9
462万円/人
(年平均上昇率+7.0%)</t>
  </si>
  <si>
    <t>2028年1月期(基準年度)</t>
  </si>
  <si>
    <t>658</t>
  </si>
  <si>
    <t>労働生産性 | 658万円/人 | 1,291万円/人(年平均上昇率+25.2%)</t>
  </si>
  <si>
    <t>2031年1月期(基準年度+3年後)</t>
  </si>
  <si>
    <t>344</t>
  </si>
  <si>
    <t>岡山:従業員1人あたり給与支給総額 | 344万円/人 | 422万円/人(年平均上昇率+7.0%)</t>
  </si>
  <si>
    <t>色麻:従業員1人あたり給与支給総額 | 344万円/人 | 422万円/人(年平均上昇率+7.0%)</t>
  </si>
  <si>
    <t>関西:従業員1人あたり給与支給総額 | 344万円/人 | 422万円/人(年平均上昇率+7.0%)</t>
  </si>
  <si>
    <t>伊賀:従業員1人あたり給与支給総額 | 344万円/人 | 422万円/人(年平均上昇率+7.0%)</t>
  </si>
  <si>
    <t>岡山:役員1人あたり給与支給総額 | ― | ―(年平均上昇率+-%)</t>
  </si>
  <si>
    <t>色麻:役員1人あたり給与支給総額 | ― | ―(年平均上昇率+-%)</t>
  </si>
  <si>
    <t>関西:役員1人あたり給与支給総額 | ― | ―(年平均上昇率+-%)</t>
  </si>
  <si>
    <t>伊賀:役員1人あたり給与支給総額 | ― | ―(年平均上昇率+-%)</t>
  </si>
  <si>
    <t>165</t>
  </si>
  <si>
    <t>岡山:補助事業に係る従業員数(役員含む) | 165人 | 180人</t>
  </si>
  <si>
    <t>176</t>
  </si>
  <si>
    <t>色麻:補助事業に係る従業員数(役員含む) | 176人 | 196人</t>
  </si>
  <si>
    <t>196</t>
  </si>
  <si>
    <t>関西:補助事業に係る従業員数(役員含む) | 45人 | 80人</t>
  </si>
  <si>
    <t>74</t>
  </si>
  <si>
    <t>伊賀:補助事業に係る従業員数(役員含む) | 74人 | 94人</t>
  </si>
  <si>
    <t>2028年1月期(基準年度) | 658万円/人 | 3484万円/人 | 344万円/人</t>
  </si>
  <si>
    <t>役員1人あたり給与支給総額 ― ―(年平均上昇率+-%)
色麻:役員1人あたり給与支給総額 ― ―(年平均上昇率+-%)
関西:役員1人あたり給与支給総額 ― ―(年平均上昇率+-%)
伊賀:役員1人あたり給与支給総額 ― ―(年平均上昇率+-%)
岡山:</t>
  </si>
  <si>
    <t>2031年1月期(基準年度+3年後) | 1,291万円/人(年平均上昇率+25.2%) | 1,4229
2
1万円/人(年平均上昇率+7.0%) | 422 2万円/人(年平均上昇率+7.0%)</t>
  </si>
  <si>
    <t>2 ―(年平均上昇率+-%)</t>
  </si>
  <si>
    <t>1,171</t>
  </si>
  <si>
    <t>労働生産性
(単位:万円/人) | 1,171 | 1,815
(年平均上昇率+15.7%)</t>
  </si>
  <si>
    <t>1,815</t>
  </si>
  <si>
    <t>745</t>
  </si>
  <si>
    <t>従業員1人あたり給与支給総額
(単位:万円/人) | 745 | 887
(年平均上昇率+6.0%)</t>
  </si>
  <si>
    <t>1,087</t>
  </si>
  <si>
    <t>役員1人あたり給与支給総額
(単位:万円/人) | 1,087 | 1,259
(年平均上昇率+5.0%)</t>
  </si>
  <si>
    <t>58</t>
  </si>
  <si>
    <t>補助事業に係る従業員数
(単位:人) | 58 | 94</t>
  </si>
  <si>
    <t>労働生産性
(単位:万円/人) | 723 | 1,704
(年平均上昇率+33.1%)</t>
  </si>
  <si>
    <t>1,704</t>
  </si>
  <si>
    <t>421</t>
  </si>
  <si>
    <t>従業員1人あたり給与支給総額
(単位:万円/人) | 421 | 516
(年平均上昇率+7.0%)</t>
  </si>
  <si>
    <t>役員1人あたり給与支給総額
(単位:万円/人) | - | -
(年平均上昇率+7.0%)</t>
  </si>
  <si>
    <t>補助事業に係る従業員数
(単位:人) | 160 | 190</t>
  </si>
  <si>
    <t>2026年度
(基準年度) | 723 | 421</t>
  </si>
  <si>
    <t>役員1人あたり給与支給総額
(単位:万円/人) - -
(年平均上昇率+7.0%)</t>
  </si>
  <si>
    <t>2029年度
(基準年度+3年後) | 1,704
(年平均上昇率+33.1%) | (年平均上昇率+33.1%)
516
(年平均上昇率+7.0%)</t>
  </si>
  <si>
    <t>(年平均上昇率+7.0%)
-
(年平均上昇率+7.0%)</t>
  </si>
  <si>
    <t>599</t>
  </si>
  <si>
    <t>労働生産性
(単位:万円/人) | 599万円/人 | 438万円/人 | 1,707万円/人
(年平均上昇率+41.8%) | 1,511万円/人
(年平均上昇率+51.1%)</t>
  </si>
  <si>
    <t>1,707</t>
  </si>
  <si>
    <t>1,511</t>
  </si>
  <si>
    <t>従業員1人あたり給与支給総額
(単位:万円/人) | 407万円/人 | 471万円/人 | 512万円/人
(年平均上昇率+8.0%) | 594万円/人
(年平均上昇率+8.0%)</t>
  </si>
  <si>
    <t>512</t>
  </si>
  <si>
    <t>979</t>
  </si>
  <si>
    <t>役員1人あたり給与支給総額
(単位:万円/人) | 979万円/人 | - | 1,133万円/人
(年平均上昇率+5.0%) | -</t>
  </si>
  <si>
    <t>補助事業に係る従業員数
(単位:人) | 104人 | 35人 | 106人 | 50人</t>
  </si>
  <si>
    <t>基準年度:2028年8月期(2027年度)</t>
  </si>
  <si>
    <t>714</t>
  </si>
  <si>
    <t>労働生産性
(単位:万円/人) | 714 | 7,234 | 1,222
(年平均上昇率+19.6%) | 32,635
(年平均上昇率+65.2%)</t>
  </si>
  <si>
    <t>7,234</t>
  </si>
  <si>
    <t>最終年度:2031年度8月期(2030年度)</t>
  </si>
  <si>
    <t>1,222</t>
  </si>
  <si>
    <t>32,635</t>
  </si>
  <si>
    <t>従業員・役員 1人あたり給与支給総額
(単位:万円/人) | 従業員1人あたり 456
役員1人あたり - | 従業員1人あたり 408
役員1人あたり - | 従業員1人あたり 543
(年平均上昇率+6.0%)
役員1人あたり -
(年平均上昇率+5.0%) | 従業員1人あたり 486
(年平均上昇率+6.0%)
役員1人あたり -
(年平均上昇率+5.0%)</t>
  </si>
  <si>
    <t>543</t>
  </si>
  <si>
    <t>365</t>
  </si>
  <si>
    <t>補助事業に係る従業員数・役員数
(単位:人) | 従業員数 365 ・ 役員数 4 | 従業員数 2 ・ 役員数 1 | 従業員数 368・ 役員数 4 | 従業員数 2 ・ 役員数 1</t>
  </si>
  <si>
    <t>368</t>
  </si>
  <si>
    <t>2028年度（基準年度）</t>
  </si>
  <si>
    <t>タカラ倉庫運輸サービス | 2028年度（基準年度）: 714 | 2031年度（基準年度+3年後）: 1222</t>
  </si>
  <si>
    <t>2031年度（基準年度+3年後）</t>
  </si>
  <si>
    <t>1222</t>
  </si>
  <si>
    <t>タカラ倉庫運輸サービス | 2028年度（基準年度）: 456 | 2031年度（基準年度+3年後）: 543</t>
  </si>
  <si>
    <t>タカラ倉庫運輸サービス | 2028年度（基準年度）: 365 | 2031年度（基準年度+3年後）: 368</t>
  </si>
  <si>
    <t>1,049</t>
  </si>
  <si>
    <t>労働生産性
(単位:万円/人) | 1,049万円 | 2,104万円
(年平均上昇率+26.1%)</t>
  </si>
  <si>
    <t>2,104</t>
  </si>
  <si>
    <t>従業員1人あたり給与支給総額
(単位:万円/人) | 489万円 | 590万円
(年平均上昇率+6.5%)</t>
  </si>
  <si>
    <t>役員1人あたり給与支給総額
(単位:万円/人) | - | -
(年平均上昇率+6.0)</t>
  </si>
  <si>
    <t>補助事業に係る従業員数
(単位:人) | 94人 | 100人</t>
  </si>
  <si>
    <t>2026年度
(基準年度) | 1,049万円 | 489万円</t>
  </si>
  <si>
    <t>役員1人あたり給与支給総額
(単位:万円/人) - -
(年平均上昇率+6.0)</t>
  </si>
  <si>
    <t>2029年度
(基準年度+3年後) | 2,104万円
(年平均上昇率+26.1%) | 590万円 1
(年平均上昇率+6.5%)</t>
  </si>
  <si>
    <t>-
(年平均上昇率+6.0)</t>
  </si>
  <si>
    <t>2028年度
(基準年度)</t>
  </si>
  <si>
    <t>1,426</t>
  </si>
  <si>
    <t>労働生産性
(単位:万円/人) | 1,426 | 3,192
(年平均上昇率+30.8%)</t>
  </si>
  <si>
    <t>2031年度
(基準年度+3年後)</t>
  </si>
  <si>
    <t>626</t>
  </si>
  <si>
    <t>従業員1人あたり給与支給総額
(単位:万円/人) | 626 | 746
(年平均上昇率+6.0%)</t>
  </si>
  <si>
    <t>192</t>
  </si>
  <si>
    <t>補助事業に係る従業員数
(単位:人) | 192 | 198</t>
  </si>
  <si>
    <t>2028年度
(基準年度) | 1,426 | 626</t>
  </si>
  <si>
    <t>役員1人あたり給与支給総額
(単位:万円/人) - -
(年平均上昇率+6.0%)</t>
  </si>
  <si>
    <t>2031年度
(基準年度+3年後) | 3,192
(年平均上昇率+30.8%) | 746
(年平均上昇率+6.0%)</t>
  </si>
  <si>
    <t>-
(年平均上昇率+6.0%)</t>
  </si>
  <si>
    <t>605</t>
  </si>
  <si>
    <t>労働生産性
(単位:万円/人) | 605 | 975
(年平均上昇率+17.2%)</t>
  </si>
  <si>
    <t>975</t>
  </si>
  <si>
    <t>従業員1人あたり給与支給総額
(単位:万円/人) | 357 | 442
(年平均上昇率+7.3%)</t>
  </si>
  <si>
    <t>442</t>
  </si>
  <si>
    <t>1,572</t>
  </si>
  <si>
    <t>役員1人あたり給与支給総額
(単位:万円/人) | 1,572 | 1,872
(年平均上昇率+6.0%)</t>
  </si>
  <si>
    <t>1,872</t>
  </si>
  <si>
    <t>補助事業に係る従業員数
(単位:人) | 318 | 336</t>
  </si>
  <si>
    <t>2026年度(2027/4月期)
(基準年度)</t>
  </si>
  <si>
    <t>1,076</t>
  </si>
  <si>
    <t>労働生産性
(単位:万円/人) | 1,076万円/人 | 2,024万円/人
(年平均上昇率+23.4%)</t>
  </si>
  <si>
    <t>2029年度(2030年4月期)
(基準年度+3年後)</t>
  </si>
  <si>
    <t>2,024</t>
  </si>
  <si>
    <t>従業員1人あたり給与支給総額
(単位:万円/人) | 526万円/人 | 626万円/人
(年平均上昇率+6.0%)</t>
  </si>
  <si>
    <t>補助事業に係る従業員数
(単位:人) | 74人 | 88人</t>
  </si>
  <si>
    <t>88</t>
  </si>
  <si>
    <t>2026年度(2027/4月期)
(基準年度) | 1,076万円/人 | 526万円/人</t>
  </si>
  <si>
    <t>2029年度(2030年4月期)
(基準年度+3年後) | 2,024万円/人
(年平均上昇率+23.4%) | 626万円/人
(年平均上昇率+6.0%)</t>
  </si>
  <si>
    <t>労働生産性
(単位:万円/人) | 830万円 | 1,946万円
(年平均上昇率+32.8%)</t>
  </si>
  <si>
    <t>1,946</t>
  </si>
  <si>
    <t>従業員1人あたり給与支給総額
(単位:万円/人) | 512万円 | 627万円
(年平均上昇率+7 %)
.0</t>
  </si>
  <si>
    <t>役員1人あたり給与支給総額
(単位:万円/人) | - | -
(年平均上昇率+5.5%)</t>
  </si>
  <si>
    <t>補助事業に係る従業員数
(単位:人) | 55人 | 60人</t>
  </si>
  <si>
    <t>PDF表目視確認 | 2026年度（基準年度）: 830 | 2029年度（基準年度+3年後）: 1136</t>
  </si>
  <si>
    <t>1136</t>
  </si>
  <si>
    <t>PDF表目視確認 | 2026年度（基準年度）: 512 | 2029年度（基準年度+3年後）: 627</t>
  </si>
  <si>
    <t>PDF表目視確認 | 2026年度（基準年度）: 55 | 2029年度（基準年度+3年後）: 60</t>
  </si>
  <si>
    <t>1,439</t>
  </si>
  <si>
    <t>労働生産性
(単位:万円/人) | 1,439万円/人 | 2,258万円/人
(年平均上昇率+16.2%)</t>
  </si>
  <si>
    <t>2,258</t>
  </si>
  <si>
    <t>従業員1人あたり給与支給総額
(単位:万円/人) | 424万円/人 | 508万円/人
(年平均上昇率+6.2%)</t>
  </si>
  <si>
    <t>役員1人あたり給与支給総額
(単位:万円/人) | - | -
(年平均上昇率+6.2%)</t>
  </si>
  <si>
    <t>補助事業に係る従業員数
(単位:人) | 75人 | 111人</t>
  </si>
  <si>
    <t>2027年度
(基準年度) | 1,439万円/人 | 424万円/人</t>
  </si>
  <si>
    <t>役員1人あたり給与支給総額
(単位:万円/人) - -
(年平均上昇率+6.2%)</t>
  </si>
  <si>
    <t>2030年度
(基準年度+3年後) | 2,258万円/人
(年平均上昇率+16.2%) | 508万円/人
(年平均上昇率+6.2%)</t>
  </si>
  <si>
    <t>-
(年平均上昇率+6.2%)</t>
  </si>
  <si>
    <t>2028年度(基準年度)</t>
  </si>
  <si>
    <t>1,264</t>
  </si>
  <si>
    <t>労働生産性(単位:百万円/人) | 4 万円/人
76 | 1,264万円/人
(年平均上昇率+38.4%)</t>
  </si>
  <si>
    <t>2031年度(基準年度+3年後)</t>
  </si>
  <si>
    <t>427</t>
  </si>
  <si>
    <t>従業員1人当たり給与支給総額(単位:百万円/人) | 万円/人
427 | 495万円/人
(年平均上昇率+5.0%)</t>
  </si>
  <si>
    <t>役員1人あたり給与支給額(単位:百万円/人) | - | -</t>
  </si>
  <si>
    <t>補助事業に係る従業員数(単位:人) | 140人 | 268人</t>
  </si>
  <si>
    <t>PDF表目視確認 | 2028年度（基準年度）: 476 | 2031年度（基準年度+3年後）: 1647</t>
  </si>
  <si>
    <t>1647</t>
  </si>
  <si>
    <t>PDF表目視確認 | 2028年度（基準年度）: 140 | 2031年度（基準年度+3年後）: 268</t>
  </si>
  <si>
    <t>1,088</t>
  </si>
  <si>
    <t>労働生産性
(単位:万円/人) | 1,088 | 2,888
(年平均上昇率+38.5%)</t>
  </si>
  <si>
    <t>2,888</t>
  </si>
  <si>
    <t>444</t>
  </si>
  <si>
    <t>従業員1人あたり給与支給総額
(単位:万円/人) | 444 | 559
(年平均上昇率+8.0%)</t>
  </si>
  <si>
    <t>559</t>
  </si>
  <si>
    <t>補助事業に係る従業員数(役員含む)
(単位:人) | 30 | 130</t>
  </si>
  <si>
    <t>2028年度
(基準年度) | 1,088 | 444</t>
  </si>
  <si>
    <t>2031年度
(基準年度+3年後) | 2,888
(年平均上昇率+38.5%) | 559
(年平均上昇率+8.0%)</t>
  </si>
  <si>
    <t>1,195</t>
  </si>
  <si>
    <t>労働生産性
(単位:万円/人) | 1,195 | 2,379
(年平均上昇率+25.8%)</t>
  </si>
  <si>
    <t>2,379</t>
  </si>
  <si>
    <t>従業員1人あたり給与支給総額
(単位:万円/人) | 493 | 596
(年平均上昇率+6.5%)</t>
  </si>
  <si>
    <t>596</t>
  </si>
  <si>
    <t>役員1人あたり給与支給総額
(単位:万円/人) | - | -
(年平均上昇率+6.5%)</t>
  </si>
  <si>
    <t>補助事業に係る従業員数
(単位:人) | 155 | 191</t>
  </si>
  <si>
    <t>2027年度
(基準年度) | 1,195 | 493</t>
  </si>
  <si>
    <t>役員1人あたり給与支給総額
(単位:万円/人) - -
(年平均上昇率+6.5%)</t>
  </si>
  <si>
    <t>2030年度
(基準年度+3年後) | 2,379
(年平均上昇率+25.8%) | 596
(年平均上昇率+6.5%)</t>
  </si>
  <si>
    <t>-
(年平均上昇率+6.5%)</t>
  </si>
  <si>
    <t>949</t>
  </si>
  <si>
    <t>労働生産性(単位:万円/人) | 949万円 | 2,294万円(年平均上昇率+34.2%)</t>
  </si>
  <si>
    <t>2,294</t>
  </si>
  <si>
    <t>404</t>
  </si>
  <si>
    <t>従業員1人あたり給与支給総額(単位:万円/人) | 404万円 | 482万円(年平均上昇率+6.0%)</t>
  </si>
  <si>
    <t>役員1人あたり給与支給総額(単位:万円/人) | - ※補助事業における該当者なし | - ※補助事業における該当者なし</t>
  </si>
  <si>
    <t>補助事業に係る従業員数(単位:人) | 7 | 27(年平均上昇率 +56.8%)</t>
  </si>
  <si>
    <t>7,685</t>
  </si>
  <si>
    <t>労働生産性
(単位:万円/人) | 7,685 | 24,892(年平均上昇率48.0%)</t>
  </si>
  <si>
    <t>24,892</t>
  </si>
  <si>
    <t>842</t>
  </si>
  <si>
    <t>従業員1人あたり給与支給総額
(単位:万円/人) | 842 | 1,054
(年平均上昇率+7.8%)</t>
  </si>
  <si>
    <t>1,054</t>
  </si>
  <si>
    <t>補助事業に係る従業員数
(単位:人) | 38 | 66</t>
  </si>
  <si>
    <t>66</t>
  </si>
  <si>
    <t>2027年度
(基準年度) | 7,685 | 842</t>
  </si>
  <si>
    <t>2030年度
(基準年度+3年後) | 24,892(年平均上昇率48.0%) | 1,054
(年平均上昇率+7.8%)</t>
  </si>
  <si>
    <t>3,220</t>
  </si>
  <si>
    <t>労働生産性
(単位:万円/人) | 3,220万円/人 | 14,857万円/人
(年平均上昇率+66.5%)</t>
  </si>
  <si>
    <t>14,857</t>
  </si>
  <si>
    <t>従業員1人あたり給与支給総額
(単位:万円/人) | 764万円/人 | 1,017万円/人
(年平均上昇率+10.0%)</t>
  </si>
  <si>
    <t>補助事業に係る従業員数
(単位:人) | 47人 | 60人</t>
  </si>
  <si>
    <t>2027年度
(基準年度) | 3,220万円/人 | 764万円/人</t>
  </si>
  <si>
    <t>2030年度
(基準年度+3年後) | 14,857万円/人
(年平均上昇率+66.5%) | 1,017万円/人
(年平均上昇率+10.0%)</t>
  </si>
  <si>
    <t>3,668664</t>
  </si>
  <si>
    <t>労働生産性（単位:万円/人） 3,668 / 664 6,529（年平均上昇率＋21.2％） /1,117 (同+18.9%) 目標値</t>
  </si>
  <si>
    <t>2030年度（基準年度＋３年後）</t>
  </si>
  <si>
    <t>6,529</t>
  </si>
  <si>
    <t>599456</t>
  </si>
  <si>
    <t>従業員1人あたり給与支給総額（単位:万円/人） 599 / 456 719（年平均上昇率＋6. ％） / 558 (同+7.0%) 3</t>
  </si>
  <si>
    <t>719</t>
  </si>
  <si>
    <t>役員１人あたり給与支給総額（単位:万円/人） ー ー</t>
  </si>
  <si>
    <t>9895</t>
  </si>
  <si>
    <t>補助事業に係る従業員数（単位:人） 98 / 95 101（年平均上昇率＋1.0%) / 98 (同＋1.0%) 左:高木製作所 / 右:高木運輸</t>
  </si>
  <si>
    <t>3668</t>
  </si>
  <si>
    <t>PDF表目視確認 | 2027年度（基準年度）: 3668 | 2030年度（基準年度+3年後）: 6529</t>
  </si>
  <si>
    <t>6529</t>
  </si>
  <si>
    <t>PDF表目視確認 | 2027年度（基準年度）: 599 | 2030年度（基準年度+3年後）: 719</t>
  </si>
  <si>
    <t>98</t>
  </si>
  <si>
    <t>PDF表目視確認 | 2027年度（基準年度）: 98 | 2030年度（基準年度+3年後）: 101</t>
  </si>
  <si>
    <t>630</t>
  </si>
  <si>
    <t>労働生産性
(単位:万円/人) | 630万円 | 1,208万円
(年平均上昇率+24.2%)</t>
  </si>
  <si>
    <t>1,208</t>
  </si>
  <si>
    <t>513</t>
  </si>
  <si>
    <t>従業員1人あたり給与支給総額
(単位:万円/人) | 513万円 | 602万円
(年平均上昇率+5.5%)</t>
  </si>
  <si>
    <t>602</t>
  </si>
  <si>
    <t>349</t>
  </si>
  <si>
    <t>補助事業に係る従業員数
(単位:人) | 349人 | 360人</t>
  </si>
  <si>
    <t>2028年度
(基準年度) | 630万円 | 513万円</t>
  </si>
  <si>
    <t>役員1人あたり給与支給総額
(単位:万円/人) - -
(年平均上昇率+5.5%)</t>
  </si>
  <si>
    <t>2031年度
(基準年度+3年後) | 1,208万円
(年平均上昇率+24.2%) | 602万円
(年平均上昇率+5.5%)</t>
  </si>
  <si>
    <t>-
(年平均上昇率+5.5%)</t>
  </si>
  <si>
    <t>1,310</t>
  </si>
  <si>
    <t>1,453万円/人 労働生産性 1,310万円/人 311万円/人 895万円/人 （単位：万円/人） （年平均上昇率＋13.5％） （年平均上昇率＋67.1％）</t>
  </si>
  <si>
    <t>1,453</t>
  </si>
  <si>
    <t>従業員1人あたり給与支給総額 538万円/人 51 万円/人 目標値 1 452万円/人 42 万円/人 9 （年平均上昇率＋6.0％） （年平均上昇率＋6.0％） （単位：万円/人）</t>
  </si>
  <si>
    <t>511</t>
  </si>
  <si>
    <t>役員１人あたり給与支給総額 - - - - （年平均上昇率＋4.5％） （年平均上昇率＋4.5％） （単位：万円/人）</t>
  </si>
  <si>
    <t>補助事業に係る従業員数 276人 人 23人 5 人 306 8 （単位：人） ＊ファインの事業実施場所は複数あるが「拠点別情報無し」のため上表には全社数値をまとめて記載。賃上対象となる役員・従業員は両社「全事業・全員」としている。</t>
  </si>
  <si>
    <t>895</t>
  </si>
  <si>
    <t>株式会社ファイン | 2028年度（基準年度）: 895 | 2031年度（基準年度+3年後）: 1310</t>
  </si>
  <si>
    <t>1310</t>
  </si>
  <si>
    <t>株式会社ファイン | 2028年度（基準年度）: 452 | 2031年度（基準年度+3年後）: 538</t>
  </si>
  <si>
    <t>株式会社ファイン | 2028年度（基準年度）: 276 | 2031年度（基準年度+3年後）: 306</t>
  </si>
  <si>
    <t>963</t>
  </si>
  <si>
    <t>労働生産性
(単位:万円/人) | 963万円 |  |  | 3,099万円
(年平均上昇率+47.6%) |  |</t>
  </si>
  <si>
    <t>3,099</t>
  </si>
  <si>
    <t>従業員1人あたり給与支給総額
(単位:万円/人) | 428万円 | 615万円 | 481万円 | 518万円
(年平均上昇率+6.6%) | 773万円
(年平均上昇率+7.9%) | 575万円
(年平均上昇率7.0%)</t>
  </si>
  <si>
    <t>役員1人あたり給与支給総額
(単位:万円/人) | 鳥取役員在籍なし | -
(7人) | -
(7人) | 鳥取役員在籍なし | -(7人)
(年平均上昇率
+5.95%) | -(7人)
(年平均上昇率+
5.95%)</t>
  </si>
  <si>
    <t>補助事業に係る従業員数
(単位:人) | 60人 | 24人 | 84人 | 84人 | 24人 | 108人</t>
  </si>
  <si>
    <t>108</t>
  </si>
  <si>
    <t>1,140</t>
  </si>
  <si>
    <t>労働生産性
(単位:万円/人) | 1,140 | 1,618
(年平均上昇率+12.4%)</t>
  </si>
  <si>
    <t>1,618</t>
  </si>
  <si>
    <t>従業員1人あたり給与支給総額
(単位:万円/人) | 407 | 542
(年平均上昇率+10.0%)</t>
  </si>
  <si>
    <t>542</t>
  </si>
  <si>
    <t>3,396</t>
  </si>
  <si>
    <t>役員1人あたり給与支給総額
(単位:万円/人) | 3,396 | 4,160
(年平均上昇率+7.0%)</t>
  </si>
  <si>
    <t>4,160</t>
  </si>
  <si>
    <t>補助事業に係る従業員数
(単位:人) | 36 | 42</t>
  </si>
  <si>
    <t>42</t>
  </si>
  <si>
    <t>484</t>
  </si>
  <si>
    <t>労働生産性
(単位:万円/人) | 484 | 758
(年平均上昇率+16.1%)</t>
  </si>
  <si>
    <t>758</t>
  </si>
  <si>
    <t>322</t>
  </si>
  <si>
    <t>従業員1人あたり給与支給総額
(単位:万円/人) | 322 | 373
(年平均上昇率+5.0%)</t>
  </si>
  <si>
    <t>役員1人あたり給与支給総額
(単位:万円/人) | - | -
(年平均上昇率+4.9%)</t>
  </si>
  <si>
    <t>補助事業に係る従業員数
(単位:人) | 380 | 500</t>
  </si>
  <si>
    <t>2024年と2030年との比較</t>
  </si>
  <si>
    <t>3,469</t>
  </si>
  <si>
    <t>労働生産性 3,469千円増 給与支給総額 779百万円増</t>
  </si>
  <si>
    <t>2027年度
(基準年度) | 484 | 322</t>
  </si>
  <si>
    <t>役員1人あたり給与支給総額
(単位:万円/人) - -
(年平均上昇率+4.9%)</t>
  </si>
  <si>
    <t>2030年度
(基準年度+3年後) | 758
(年平均上昇率+16.1%) | 373
(年平均上昇率+5.0%)</t>
  </si>
  <si>
    <t>-
(年平均上昇率+4.9%)</t>
  </si>
  <si>
    <t>1,982</t>
  </si>
  <si>
    <t>労働生産性
(単位:万円/人) | 1,982 | 2,807
(年平均上昇率+12.3%)</t>
  </si>
  <si>
    <t>2,807</t>
  </si>
  <si>
    <t>従業員1人あたり給与支給総額
(単位:万円/人) | 433 | 561
(年平均上昇率+9.0%)</t>
  </si>
  <si>
    <t>561</t>
  </si>
  <si>
    <t>683</t>
  </si>
  <si>
    <t>補助事業に係る従業員数
(単位:人) | 683 | 716</t>
  </si>
  <si>
    <t>2027年度
(基準年度) | 1,982 | 433</t>
  </si>
  <si>
    <t>2030年度
(基準年度+3年後) | 2,807
(年平均上昇率+12.3%) | 561
(年平均上昇率+9.0%)</t>
  </si>
  <si>
    <t>労働生産性(単位:万円/人) | 745 | 1,177(年平均上昇率+16.5%)</t>
  </si>
  <si>
    <t>従業員1人あたり給与支給総額(単位:万円/人) | 390 | 464(年平均上昇率+6.0%)</t>
  </si>
  <si>
    <t>464</t>
  </si>
  <si>
    <t>役員1人あたり給与支給総額(単位:万円/人) | - | -(年平均上昇率+5.0%)</t>
  </si>
  <si>
    <t>323</t>
  </si>
  <si>
    <t>補助事業に係る従業員数(単位:人) | 323 | 372</t>
  </si>
  <si>
    <t>2027年度(基準年度) | 745 | 390</t>
  </si>
  <si>
    <t>役員1人あたり給与支給総額(単位:万円/人) - -(年平均上昇率+5.0%)</t>
  </si>
  <si>
    <t>2030年度(基準年度+3年後) | 1,177(年平均上昇率+16.5%) | 464(年平均上昇率+6.0%)</t>
  </si>
  <si>
    <t>-(年平均上昇率+5.0%)</t>
  </si>
  <si>
    <t>労働生産性(単位:万円/人) | 719 | 1,284(年平均上昇率+21.3%)</t>
  </si>
  <si>
    <t>1,284</t>
  </si>
  <si>
    <t>従業員1人あたり給与支給総額(単位:万円/人) | 38
0 | 45 (年平均上昇率+6.0%)
3</t>
  </si>
  <si>
    <t>役員1人あたり給与支給総額(単位:万円/人) | - | (年平均上昇率+6.0%)
-</t>
  </si>
  <si>
    <t>補助事業に係る従業員数(単位:人) | 198 | 24
1</t>
  </si>
  <si>
    <t>241</t>
  </si>
  <si>
    <t>PDF表目視確認 | 2027年度（基準年度）: 719 | 2030年度（基準年度+3年後）: 1284</t>
  </si>
  <si>
    <t>1284</t>
  </si>
  <si>
    <t>PDF表目視確認 | 2027年度（基準年度）: 380 | 2030年度（基準年度+3年後）: 453</t>
  </si>
  <si>
    <t>453</t>
  </si>
  <si>
    <t>PDF表目視確認 | 2027年度（基準年度）: 198 | 2030年度（基準年度+3年後）: 241</t>
  </si>
  <si>
    <t>2027年度(基準年度) | 719 | 38
0</t>
  </si>
  <si>
    <t>役員1人あたり給与支給総額(単位:万円/人) - (年平均上昇率+6.0%)
-</t>
  </si>
  <si>
    <t>2030年度(基準年度+3年後) | 1,284(年平均上昇率+21.3%) | 45 (年平均上昇率+6.0%)
3</t>
  </si>
  <si>
    <t>(年平均上昇率+6.0%)
-</t>
  </si>
  <si>
    <t>2028年3月度
(基準年度)</t>
  </si>
  <si>
    <t>労働生産性
(単位:万円/人) | 1,304万円 | 2,715万円
(年平均上昇率+27.7%)</t>
  </si>
  <si>
    <t>2031年3月度
(基準年度+3年後)</t>
  </si>
  <si>
    <t>2,715</t>
  </si>
  <si>
    <t>従業員1人あたり給与支給総額
(単位:万円/人) | 626万円 | 767万円
(年平均上昇率+7.0%)</t>
  </si>
  <si>
    <t>役員1人あたり給与支給総額
(単位:万円/人) | - | -
(年平均上昇率5.0%)</t>
  </si>
  <si>
    <t>補助事業に係る従業員数
(単位:人) | 160 | 177</t>
  </si>
  <si>
    <t>177</t>
  </si>
  <si>
    <t>2028年3月度
(基準年度) | 1,304万円 | 626万円</t>
  </si>
  <si>
    <t>役員1人あたり給与支給総額
(単位:万円/人) - -
(年平均上昇率5.0%)</t>
  </si>
  <si>
    <t>2031年3月度
(基準年度+3年後) | 2,715万円
(年平均上昇率+27.7%) | 767万円
(年平均上昇率+7.0%)</t>
  </si>
  <si>
    <t>-
(年平均上昇率5.0%)</t>
  </si>
  <si>
    <t>労働生産性
(単位:万円/人) | 415 | 84
7
(年平均上昇率+26.8%)</t>
  </si>
  <si>
    <t>367</t>
  </si>
  <si>
    <t>従業員1人あたり給与支給総額
(単位:万円/人) | 367 | 431
(年平均上昇率+5.5%)</t>
  </si>
  <si>
    <t>補助事業に係る従業員数(単位:人) | 64 | 144</t>
  </si>
  <si>
    <t>2027年度
(基準年度) | 415 | 367</t>
  </si>
  <si>
    <t>2030年度
(基準年度+3年後) | 84
7
(年平均上昇率+26.8%) | 431
(年平均上昇率+5.5%)</t>
  </si>
  <si>
    <t>1,331</t>
  </si>
  <si>
    <t>労働生産性
(単位:万円/人) | 1,331 | 2,306
(年平均上昇率+20.1%)</t>
  </si>
  <si>
    <t>2,306</t>
  </si>
  <si>
    <t>従業員1人あたり給与支給総額
(単位:万円/人) | 472 | 566
(年平均上昇率+6. %)
3</t>
  </si>
  <si>
    <t>638</t>
  </si>
  <si>
    <t>補助事業に係る従業員数
(単位:人) | 63
8 | 74
2</t>
  </si>
  <si>
    <t>PDF表目視確認 | 2027年度（基準年度）: 472 | 2030年度（基準年度+3年後）: 566</t>
  </si>
  <si>
    <t>PDF表目視確認 | 2027年度（基準年度）: 638 | 2030年度（基準年度+3年後）: 742</t>
  </si>
  <si>
    <t>1,527 労働生産性 762 （年平均上昇率＋26.1％） （単位：万円/人）</t>
  </si>
  <si>
    <t>1,527</t>
  </si>
  <si>
    <t>従業員1人あたり給与支給総額 488 目標値 409 （年平均上昇率＋6.1％） （単位：万円/人）</t>
  </si>
  <si>
    <t>488</t>
  </si>
  <si>
    <t>役員１人あたり給与支給総額 - - （年平均上昇率＋6.1％） （単位：万円/人）</t>
  </si>
  <si>
    <t>補助事業に係る従業員数 170 205 （単位：人）</t>
  </si>
  <si>
    <t>205</t>
  </si>
  <si>
    <t>2027/7期
(基準年度) | 762 | 409</t>
  </si>
  <si>
    <t>役員1人あたり給与支給総額
(単位:万円/人) - -
(年平均上昇率+6.1%)</t>
  </si>
  <si>
    <t>2030/7期
(基準年度+3年後) | 1,527
(年平均上昇率+26.1%) | (年平均上昇率+26.1%)
488
(年平均上昇率+6.1%)</t>
  </si>
  <si>
    <t>(年平均上昇率+6.1%)
-
(年平均上昇率+6.1%)</t>
  </si>
  <si>
    <t>726</t>
  </si>
  <si>
    <t>労働生産性
(単位:万円/人) | 726 | 1,802
(年平均上昇率+35.4%)</t>
  </si>
  <si>
    <t>1,802</t>
  </si>
  <si>
    <t>従業員1人あたり給与支給総額
(単位:万円/人) | 626 | 777
(年平均上昇率+7.5%)</t>
  </si>
  <si>
    <t>777</t>
  </si>
  <si>
    <t>役員1人あたり給与支給総額
(単位:万円/人) | - | -
(年平均上昇率+7.5%)</t>
  </si>
  <si>
    <t>補助事業に係る従業員数
(単位:人) | 135 | 145
(増加人員+10名)</t>
  </si>
  <si>
    <t>2027年度
(基準年度) | 726 | 626</t>
  </si>
  <si>
    <t>役員1人あたり給与支給総額
(単位:万円/人) - -
(年平均上昇率+7.5%)</t>
  </si>
  <si>
    <t>2030年度
(基準年度+3年後) | 1,802
(年平均上昇率+35.4%) | 777 4
(年平均上昇率+7.5%)</t>
  </si>
  <si>
    <t>-
(年平均上昇率+7.5%)</t>
  </si>
  <si>
    <t>855</t>
  </si>
  <si>
    <t>労働生産性(万円/人) | 855 | 1,232(年平均上昇率+12.9%) | 1,232 | 4,771(年平均上昇率+57.1%)</t>
  </si>
  <si>
    <t>1,232</t>
  </si>
  <si>
    <t>4,771</t>
  </si>
  <si>
    <t>従業員1人あたり給与支給総額(万円/人) | 431 | 513(年平均上昇率+6.0%) | 529 | 630(年平均上昇率+6.0%)</t>
  </si>
  <si>
    <t>役員1人あたり給与支給総額(万円/人) | - | -(年平均上昇率+6.0%) | - | -(年平均上昇率+6.0%)</t>
  </si>
  <si>
    <t>補助事業に係る従業員数(人) | 21 | 25 | 8 | 13</t>
  </si>
  <si>
    <t>13</t>
  </si>
  <si>
    <t>モリシタ | 2027年度
(基準年度) | (基準年度)
855 | 431</t>
  </si>
  <si>
    <t>役員1人あたり給与支給総額(万円/人) - -(年平均上昇率+6.0%) - -(年平均上昇率+6.0%)</t>
  </si>
  <si>
    <t>モリシタ
2030年度
(基準年度+3年後) | (基準年度+3年後)
1,232(年平均上昇率+12.9%) | 513(年平均上昇率+6.0%)</t>
  </si>
  <si>
    <t>-(年平均上昇率+6.0%)</t>
  </si>
  <si>
    <t>8,619</t>
  </si>
  <si>
    <t>労働生産性
(単位:万円/人) | 8,619 | 24,301
(年平均上昇率+41.3%)</t>
  </si>
  <si>
    <t>24,301</t>
  </si>
  <si>
    <t>871</t>
  </si>
  <si>
    <t>従業員1人あたり給与支給総額(全事業所)
(単位:万円/人) | 871 | 1,046
(年平均上昇率+6.5%)</t>
  </si>
  <si>
    <t>1,046</t>
  </si>
  <si>
    <t>役員1人あたり給与支給総額(全事業所)
(単位:万円/人) | - | -</t>
  </si>
  <si>
    <t>244</t>
  </si>
  <si>
    <t>補助事業に係る従業員数(全事業所)
(単位:人) | 244 | 269</t>
  </si>
  <si>
    <t>労働生産性
単位:万円/人) | 344万円 | 523万円
(年平均上昇率+15.0%)</t>
  </si>
  <si>
    <t>事業に係る従業員数
(単位:人) | 330 | 336</t>
  </si>
  <si>
    <t>257</t>
  </si>
  <si>
    <t>高知食糧 | 2027年度（基準年度）: 257 | 2030年度（基準年度+3年後）: 307</t>
  </si>
  <si>
    <t>307</t>
  </si>
  <si>
    <t>労働生産性
(単位:万円/人) | 949 | 2496(年平均上昇率+38.0%)</t>
  </si>
  <si>
    <t>2496</t>
  </si>
  <si>
    <t>396</t>
  </si>
  <si>
    <t>従業員1人あたり給与支給総額
(単位:万円/人) | 396 | 486(年平均上昇率+7.0%)</t>
  </si>
  <si>
    <t>役員1人あたり給与支給総額
(単位:万円/人) | - | -(年平均上昇率+7.0%)</t>
  </si>
  <si>
    <t>補助事業に係る従業員数
(単位:人) | 78 | 90</t>
  </si>
  <si>
    <t>2027年度
(基準年度) | 949 | 396</t>
  </si>
  <si>
    <t>役員1人あたり給与支給総額
(単位:万円/人) - -(年平均上昇率+7.0%)</t>
  </si>
  <si>
    <t>2030年度
(基準年度+3年後) | 2496(年平均上昇率+38.0%) | 486(年平均上昇率+7.0%)</t>
  </si>
  <si>
    <t>-(年平均上昇率+7.0%)</t>
  </si>
  <si>
    <t>2027年4月度
(基準年度)</t>
  </si>
  <si>
    <t>956</t>
  </si>
  <si>
    <t>労働生産性
(単位:万円/人) | 956 | 2,159
(年平均上昇率+31.2%)</t>
  </si>
  <si>
    <t>2030年4月度
(基準年度+3年後)</t>
  </si>
  <si>
    <t>2,159</t>
  </si>
  <si>
    <t>従業員1人あたり給与支給総額
(単位:万円/人) | 349 | 425
(年平均上昇率+6.8%)</t>
  </si>
  <si>
    <t>補助事業に係る従業員数
(単位:人) | 44 | 98</t>
  </si>
  <si>
    <t>労働生産性 | 556万円/人 | 1,281万円/人 | 5,916万円/人 | 25,437万円/人 | 440万円/人 | 644万円/人 | 403万円/人 | 708万円/人</t>
  </si>
  <si>
    <t>1,281</t>
  </si>
  <si>
    <t>5,916</t>
  </si>
  <si>
    <t>25,437</t>
  </si>
  <si>
    <t>339</t>
  </si>
  <si>
    <t>従業員1人あたり給与支給総額 | 339万円/人 | 405万円/人
(年平均+6.0%) | 429万円/人 | 511万円/人
(年平均+6.0%) | 354万円/人 | 422万円/人
(年平均+6.0%) | 334万円/人 | 398万円/人
(年平均+6.0%)</t>
  </si>
  <si>
    <t>405</t>
  </si>
  <si>
    <t>354</t>
  </si>
  <si>
    <t>398</t>
  </si>
  <si>
    <t>役員1人あたり給与支給総額 | - | - | - | - | - | -
(年平均+6.0%) | - | -
(年平均+6.0%)</t>
  </si>
  <si>
    <t>補助事業の従業員数 | 368人 | 416人 | 10人* | 10人* | 63人 | 79人 | 295人 | 327人</t>
  </si>
  <si>
    <t>327</t>
  </si>
  <si>
    <t>労働生産性
(単位:万円/人) | 583万円/人 | 1049万円/人
(年平均上昇率
+21.1%) | 776万円/人 | 1661万円/人
(年平均上昇率
+28.8%) | 400万円/人 | 772万円/人
(年平均上昇率
+24.5%)</t>
  </si>
  <si>
    <t>1049</t>
  </si>
  <si>
    <t>776</t>
  </si>
  <si>
    <t>1661</t>
  </si>
  <si>
    <t>772</t>
  </si>
  <si>
    <t>従業員1人あたり給与支給総額
(単位:万円/人) | 568万円/人 | 712万円/人
(年平均上昇率
+7.8%) | 690万円/人 | 918万円/人
(年平均上昇率
+10.0%) | 475万円 | 632万円/人
(年平均上昇率
+10.0%)</t>
  </si>
  <si>
    <t>712</t>
  </si>
  <si>
    <t>475</t>
  </si>
  <si>
    <t>役員1人あたり給与支給総額
(単位:万円/人) | - | -
(年平均上昇率+5.0%) | - | -
(年平均上昇率+5.0%) | - | -</t>
  </si>
  <si>
    <t>補助事業に係る従業員数
(単位:人) | 30人 | 61人 | 13人 | 17人 | 17人 | 44人</t>
  </si>
  <si>
    <t>コンソーシアム合計 | 2026年度
(基準年度) | 583万円/人 | 568万円/人</t>
  </si>
  <si>
    <t>- (</t>
  </si>
  <si>
    <t>役員1人あたり給与支給総額
(単位:万円/人) - -
(年平均上昇率+5.0%) - -
(年平均上昇率+5.0%) - -</t>
  </si>
  <si>
    <t>2029年度
(基準年度+3年後) | 1049万円/人
(年平均上昇率
+21.1%) | 712万円/人
(年平均上昇率
+7.8%)</t>
  </si>
  <si>
    <t>1,072</t>
  </si>
  <si>
    <t>労働生産性
(単位:万円/人) | 1,072 | 1,44
6
(年平均上昇率+10.5%)</t>
  </si>
  <si>
    <t>1,446</t>
  </si>
  <si>
    <t>従業員1人あたり給与支給総額
(単位:万円/人) | 529 | 630
(年平均上昇率+6.0%)</t>
  </si>
  <si>
    <t>補助事業に係る従業員数
(単位:人) | 112 | 175</t>
  </si>
  <si>
    <t>2026年度
(基準年度) | 1,072 | 529</t>
  </si>
  <si>
    <t>2029年度
(基準年度+3年後) | 1,44
6
(年平均上昇率+10.5%) | 630
(年平均上昇率+6.0%)</t>
  </si>
  <si>
    <t>2026年度(2027/9期)
【基準年度】</t>
  </si>
  <si>
    <t>労働生産性
(単位:万円/人) | 563万円/人 | 1,685万円/人
(年平均上昇率+44.1%)</t>
  </si>
  <si>
    <t>2029年度(2030/9期)
【基準年度+3年後】</t>
  </si>
  <si>
    <t>従業員1人あたり給与支給総額
(単位:万円/人) | 350万円/人 | 415万円/人
(年平均上昇率+5.8%)</t>
  </si>
  <si>
    <t>補助事業に係る従業員数
(単位:人) | 125人 | 170人</t>
  </si>
  <si>
    <t>2026年度(2027/9期)
【基準年度】 | 563万円/人 | 350万円/人</t>
  </si>
  <si>
    <t>2029年度(2030/9期)
【基準年度+3年後】 | 1,685万円/人
(年平均上昇率+44.1%) | 415万円/人
(年平均上昇率+5.8%)</t>
  </si>
  <si>
    <t>労働生産性 1,199万円/人 66 万円/人 7 （単位:万円/人） （年平均上昇率＋21.6％）</t>
  </si>
  <si>
    <t>1,199</t>
  </si>
  <si>
    <t>従業員1人あたり給与支給総額 566万円/人 目標値 474万円/人 （年平均上昇率＋6.1％） （単位:万円/人）</t>
  </si>
  <si>
    <t>役員１人あたり給与支給総額 - - （年平均上昇率＋6.1％） （単位:万円/人）</t>
  </si>
  <si>
    <t>補助事業に係る従業員数 78人 125人 （単位:人）</t>
  </si>
  <si>
    <t>大幅に向上する。また、CAD/CAM連携により労働生産性も向上する。</t>
  </si>
  <si>
    <t>2028/8期
(基準年度) | 667万円/人 | 474万円/人</t>
  </si>
  <si>
    <t>2031/8期
(基準年度+3年後) | 1,199万円/人
(年平均上昇率+21.6%) | 566万円/人
(年平均上昇率+6.1%)</t>
  </si>
  <si>
    <t>-
(年平均上昇率+6.1%)</t>
  </si>
  <si>
    <t>856</t>
  </si>
  <si>
    <t>労働生産性
(単位:万円/人) | 856万円/人 | 1,636万円/人
(年平均上昇率+24.1%)</t>
  </si>
  <si>
    <t>1,636</t>
  </si>
  <si>
    <t>従業員1人あたり給与支給総額
(単位:万円/人) | 558万円/人 | 671万円/人
(年平均上昇率+6.3%)</t>
  </si>
  <si>
    <t>229</t>
  </si>
  <si>
    <t>補助事業に係る従業員数
(単位:人) | 229人 | 235人</t>
  </si>
  <si>
    <t>235</t>
  </si>
  <si>
    <t>労働生産性
(単位:万円/人) | 万円
908 | 1,5 万円
66
(年平均上昇率+ %)
19.9</t>
  </si>
  <si>
    <t>1,5</t>
  </si>
  <si>
    <t>従業員1人あたり給与支給総額
(単位:万円/人) | 4 万円
75 | 5 万円
74
(年平均上昇率+6.5%)</t>
  </si>
  <si>
    <t>役員1人あたり給与支給総額
(単位:万円/人) | - | -
(年平均上昇率+6 %)
.0</t>
  </si>
  <si>
    <t>437</t>
  </si>
  <si>
    <t>補助事業に係る従業員数
(単位:人) | 437人 | 460人</t>
  </si>
  <si>
    <t>PDF表目視確認 | 2026年度（基準年度）: 908 | 2029年度（基準年度+3年後）: 1556</t>
  </si>
  <si>
    <t>1556</t>
  </si>
  <si>
    <t>PDF表目視確認 | 2026年度（基準年度）: 475 | 2029年度（基準年度+3年後）: 574</t>
  </si>
  <si>
    <t>574</t>
  </si>
  <si>
    <t>PDF表目視確認 | 2026年度（基準年度）: 437 | 2029年度（基準年度+3年後）: 460</t>
  </si>
  <si>
    <t>2026年度(基準年度) | 万円
908 | 4 万円
75</t>
  </si>
  <si>
    <t>役員1人あたり給与支給総額
(単位:万円/人) - -
(年平均上昇率+6 %)
.0</t>
  </si>
  <si>
    <t>2029年度(基準年度+3年後) | 1,5 万円
66
(年平均上昇率+ %)
19.9 | 5 万円19.9
74
(年平均上昇率+6.5%)</t>
  </si>
  <si>
    <t>-
(年平均上昇率+6 %)
.0</t>
  </si>
  <si>
    <t>2,804</t>
  </si>
  <si>
    <t>労働生産性
(単位:万円/人) | 2,804万円/人 | 4,523万円/人
(年平均上昇率+17.2%) | 3,357万円/人 | 4,933万円/人
(年平均上昇率+13.7%) | 2,771万円/人 | 4,498万円/人
(年平均上昇率+17.5%)</t>
  </si>
  <si>
    <t>4,523</t>
  </si>
  <si>
    <t>3,357</t>
  </si>
  <si>
    <t>4,933</t>
  </si>
  <si>
    <t>2,771</t>
  </si>
  <si>
    <t>4,498</t>
  </si>
  <si>
    <t>従業員1人あたり給与
支給総額
(単位:万円/人) | 342万円/人 | 406万円/人
(年平均上昇率+5.9%) | 325万円/人 | 386万円/人
(年平均上昇率+5.9%) | 343万円/人 | 407万円/人
(年平均上昇率+5.9%)</t>
  </si>
  <si>
    <t>386</t>
  </si>
  <si>
    <t>役員1人あたり給与支
給総額
(単位:万円/人) | - | -
(年平均上昇率+5.9%) | - | -
(年平均上昇率+5.9%) | - | -
(年平均上昇率+5.9%)</t>
  </si>
  <si>
    <t>コンソーシアム全体 | 2027年度（基準年度）: 220 | 2030年度（基準年度+3年後）: 268</t>
  </si>
  <si>
    <t>コンソーシアム全体 | 2027年度
(基準年度) | 2,804万円/人 | 342万円/人</t>
  </si>
  <si>
    <t>役員1人あたり給与支
給総額
(単位:万円/人) - -
(年平均上昇率+5.9%) - -
(年平均上昇率+5.9%) - -
(年平均上昇率+5.9%)
補助事業に係る従業
員数
(単位:人) 220人 268人 10人 13人 210人 255人</t>
  </si>
  <si>
    <t>2030年度
(基準年度+3年後) | 4,523万円/人
(年平均上昇率+17.2%) | 406万円/人
(年平均上昇率+5.9%)</t>
  </si>
  <si>
    <t>-
(年平均上昇率+5.9%)</t>
  </si>
  <si>
    <t>ノーラエンジニアリング | 2027年度（基準年度）: 709 | 2030年度（基準年度+3年後）: 1308</t>
  </si>
  <si>
    <t>1308</t>
  </si>
  <si>
    <t>ノーラエンジニアリング | 2027年度（基準年度）: 510 | 2030年度（基準年度+3年後）: 620</t>
  </si>
  <si>
    <t>ノーラエンジニアリング | 2027年度（基準年度）: 126 | 2030年度（基準年度+3年後）: 162</t>
  </si>
  <si>
    <t>162</t>
  </si>
  <si>
    <t>689</t>
  </si>
  <si>
    <t>東北ノーラ | 2027年度（基準年度）: 689 | 2030年度（基準年度+3年後）: 1167</t>
  </si>
  <si>
    <t>1167</t>
  </si>
  <si>
    <t>355</t>
  </si>
  <si>
    <t>東北ノーラ | 2027年度（基準年度）: 355 | 2030年度（基準年度+3年後）: 423</t>
  </si>
  <si>
    <t>423</t>
  </si>
  <si>
    <t>東北ノーラ | 2027年度（基準年度）: 60 | 2030年度（基準年度+3年後）: 80</t>
  </si>
  <si>
    <t>884</t>
  </si>
  <si>
    <t>労働生産性
(単位:万円/人) | 884 | 1605
(年平均上昇率+22.0%)</t>
  </si>
  <si>
    <t>1605</t>
  </si>
  <si>
    <t>従業員1人あたり給与支給総額
(単位:万円/人) | 569 | 696
(年平均上昇率+6.9%)</t>
  </si>
  <si>
    <t>696</t>
  </si>
  <si>
    <t>2,789</t>
  </si>
  <si>
    <t>役員1人あたり給与支給総額
(単位:万円/人) | 2,789 | 3,276
(年平均上昇率+5.5%)</t>
  </si>
  <si>
    <t>3,276</t>
  </si>
  <si>
    <t>補助事業に係る従業員数
(単位:人) | 390 | 424</t>
  </si>
  <si>
    <t>-191</t>
  </si>
  <si>
    <t>労働生産性
(単位:万円/人) | -191 | 1,529</t>
  </si>
  <si>
    <t>1,529</t>
  </si>
  <si>
    <t>265</t>
  </si>
  <si>
    <t>従業員1人あたり給与支給総額
(単位:万円/人) | 265 | 324
(年平均上昇率+6.9%)</t>
  </si>
  <si>
    <t>役員1人あたり給与支給総額
(単位:万円/人) | - | -
(年平均上昇率+10.6%)</t>
  </si>
  <si>
    <t>補助事業に係る従業員数
(単位:人) | 35 | 59</t>
  </si>
  <si>
    <t>2026年度
(基準年度) | -191 | 265</t>
  </si>
  <si>
    <t>役員1人あたり給与支給総額
(単位:万円/人) - -
(年平均上昇率+10.6%)</t>
  </si>
  <si>
    <t>2029年度
(基準年度+3年後) | 1,529 | 324
(年平均上昇率+6.9%)</t>
  </si>
  <si>
    <t>-
(年平均上昇率+10.6%)</t>
  </si>
  <si>
    <t>1,371</t>
  </si>
  <si>
    <t>労働生産性
(単位:万円/人) | 1,371万円/人 |  |  |  | 3,475万円/人
(年平均上昇率+36.3%) |  |  |</t>
  </si>
  <si>
    <t>3,475</t>
  </si>
  <si>
    <t>従業員1人あたり給与支給総額
(単位:万円/人) | 708万円/
人 | 708万円/
人 | 631万円/
人 | 816万円/
人 | 872万円/人
(年平均上昇率+
7.2%) | 872万円/人
(+7.2%) | 777万円/人
(+7.2%) | 1,006万円/人
(+7.2%)</t>
  </si>
  <si>
    <t>816</t>
  </si>
  <si>
    <t>872</t>
  </si>
  <si>
    <t>1,006</t>
  </si>
  <si>
    <t>+7.2</t>
  </si>
  <si>
    <t>役員1人あたり給与支給総額
(単位:万円/人) | - | - | - | - | -
(年平均上昇率ー%) | -
(+7.2%) | -
(+7.2%) | -
(+7.2%)</t>
  </si>
  <si>
    <t>補助事業に係る従業員数
(単位:人) | 20人 | 158人 | 104人 | 5人 | 42人 | 167人 | 90人 | 5人</t>
  </si>
  <si>
    <t>チ生産に比して省人化・省力化が可能となり、労働生産性の向上に寄与する。 • B/C系列（大量生産ライン）では大容量の反応窯等を備えることで既存工場設備に比して20%程度生産効率が 向上する見込みである。</t>
  </si>
  <si>
    <t>2027年度
(基準年度) | 1,371万円/人 | 岡山 | 708万円/
人</t>
  </si>
  <si>
    <t>役員1人あたり給与支給総額
(単位:万円/人) - - - - -
(年平均上昇率ー%) -
(+7.2%) -
(+7.2%) -
(+7.2%)</t>
  </si>
  <si>
    <t>大阪 | 708万円/
人</t>
  </si>
  <si>
    <t>789</t>
  </si>
  <si>
    <t>労働生産性
(単位:万円/人) | 789 | 1,512
(年平均上昇率+24.2%)</t>
  </si>
  <si>
    <t>1,512</t>
  </si>
  <si>
    <t>従業員1人あたり給与支給総額
(単位:万円/人) | 548 | 659
(年平均上昇率+6.3%)</t>
  </si>
  <si>
    <t>役員1人あたり給与支給総額
(単位:万円/人) | - | -
(年平均上昇率+6.3%)</t>
  </si>
  <si>
    <t>124</t>
  </si>
  <si>
    <t>補助事業に係る従業員数
(単位:人) | 124 | 139
(+15名増加)</t>
  </si>
  <si>
    <t>2027年度
(基準年度) | 789 | 548</t>
  </si>
  <si>
    <t>役員1人あたり給与支給総額
(単位:万円/人) - -
(年平均上昇率+6.3%)</t>
  </si>
  <si>
    <t>2030年度
(基準年度+3年後) | 1,512
(年平均上昇率+24.2%) | 659
(年平均上昇率+6.3%)</t>
  </si>
  <si>
    <t>-
(年平均上昇率+6.3%)</t>
  </si>
  <si>
    <t>1,571</t>
  </si>
  <si>
    <t>労働生産性
(単位:万円/人) | 1,571 | 2,577
(年平均上昇率+17.9%)</t>
  </si>
  <si>
    <t>2,577</t>
  </si>
  <si>
    <t>従業員1人あたり給与支給総額
(単位:万円/人) | 780 | 915
(年平均上昇率+5.4%)</t>
  </si>
  <si>
    <t>915</t>
  </si>
  <si>
    <t>4,300</t>
  </si>
  <si>
    <t>役員1人あたり給与支給総額
(単位:万円/人) | 4,300 | 4,971
(年平均上昇率+5.0%)</t>
  </si>
  <si>
    <t>4,971</t>
  </si>
  <si>
    <t>補助事業に係る従業員数
(単位:人) | 270 | 273
(年平均上昇率+0.4%)</t>
  </si>
  <si>
    <t> 売上倍増・労働生産性の向上・持続的賃上げの実現  切削工具市場でのシェア拡大１％→1.8％へ  従業員満足度向上</t>
  </si>
  <si>
    <t>3,135</t>
  </si>
  <si>
    <t>労働生産性
(単位:万円/人) | 3,135 | 6,232
(年平均上昇率+25.7%)</t>
  </si>
  <si>
    <t>6,232</t>
  </si>
  <si>
    <t>従業員1人あたり給与支給総額
(単位:万円/人) | 446 | 593
(年平均上昇率+10.0%)</t>
  </si>
  <si>
    <t>593</t>
  </si>
  <si>
    <t>補助事業に係る従業員数
(単位:人) | 5 | 9</t>
  </si>
  <si>
    <t>9</t>
  </si>
  <si>
    <t>2027年度
(基準年度) | 3,135 | 446</t>
  </si>
  <si>
    <t>2030年度
(基準年度+3年後) | 6,232
(年平均上昇率+25.7%) | (年平均上昇率+25.7%)
593
(年平均上昇率+10.0%)</t>
  </si>
  <si>
    <t>(年平均上昇率+10.0%)
-
(年平均上昇率+5.0%)</t>
  </si>
  <si>
    <t>2027年度(2028年7月期)
(基準年度)</t>
  </si>
  <si>
    <t>825</t>
  </si>
  <si>
    <t>労働生産性
(単位:万円/人) | 825万円/人 | 1,276万円/人
(年平均上昇率+15.7%)</t>
  </si>
  <si>
    <t>2030年度(2031年7月期)
(基準年度+3年後)</t>
  </si>
  <si>
    <t>1,276</t>
  </si>
  <si>
    <t>従業員1人あたり給与支給総額
(単位:万円/人) | 558万円/人 | 669万円/人
(年平均上昇率+6.2%)</t>
  </si>
  <si>
    <t>669</t>
  </si>
  <si>
    <t>補助事業に係る従業員数
(単位:人) | 326人 | 337人</t>
  </si>
  <si>
    <t>337</t>
  </si>
  <si>
    <t>2027年度(2028年7月期)
(基準年度) | 825万円/人 | 558万円/人</t>
  </si>
  <si>
    <t>2030年度(2031年7月期)
(基準年度+3年後) | 1,276万円/人
(年平均上昇率+15.7%) | 669万円/人
(年平均上昇率+6.2%)</t>
  </si>
  <si>
    <t>労働生産性
(単位:万円/人) | 1,006万円 |  | 1,260万円(年平均上昇率+7.8%)</t>
  </si>
  <si>
    <t>1,260</t>
  </si>
  <si>
    <t>従業員1人あたり給与支給総額
(単位:万円/人) | 京都 | 788万円 | 926万円(年平均上昇率+5.5%)</t>
  </si>
  <si>
    <t>役員1人あたり給与支給総額
(単位:万円/人) | 京都 | - | -(年平均上昇率+5.3%)</t>
  </si>
  <si>
    <t>401</t>
  </si>
  <si>
    <t>補助事業に係る従業員数
(単位:人 役員除く) | 京都 | 401人 | 462人</t>
  </si>
  <si>
    <t>2027年度
(基準年度) | (基準年度)
1,006万円 | 京都 | 熊本</t>
  </si>
  <si>
    <t>京都</t>
  </si>
  <si>
    <t>役員1人あたり給与支給総額
(単位:万円/人) 京都 - -(年平均上昇率+5.3%)
熊本 - -</t>
  </si>
  <si>
    <t>788万円 | 709万円</t>
  </si>
  <si>
    <t>3,506</t>
  </si>
  <si>
    <t>－万円/人 3,50 万円/人 労働生産性 （単位:万円/人） 12,5 万円/人(3年間の年平均上昇率52.8％) 6 10</t>
  </si>
  <si>
    <t>12,53</t>
  </si>
  <si>
    <t>1,996</t>
  </si>
  <si>
    <t>目標値 －万円/人 1,99 万円/人 従業員1人あたり給与支給総 （単位:万円/人） 2,34 万円/人(3年間の年平均上昇率(cid:1)5.6％) 6 8</t>
  </si>
  <si>
    <t>2,343</t>
  </si>
  <si>
    <t>役員１人あたり給与支給総額 （単位:万円/人） －万円/人 －万円/人 －万円/人(3年間の年平均上昇率 －％)</t>
  </si>
  <si>
    <t>補助事業に係る従業員数 （単位:人） － 人 21 人 27 人</t>
  </si>
  <si>
    <t>3506</t>
  </si>
  <si>
    <t>INTLOOP | 2028年度（基準年度）: 3506 | 2031年度（基準年度+3年後）: 12510</t>
  </si>
  <si>
    <t>12510</t>
  </si>
  <si>
    <t>1996</t>
  </si>
  <si>
    <t>INTLOOP | 2028年度（基準年度）: 1996 | 2031年度（基準年度+3年後）: 2348</t>
  </si>
  <si>
    <t>2348</t>
  </si>
  <si>
    <t>INTLOOP | 2028年度（基準年度）: 21 | 2031年度（基準年度+3年後）: 27</t>
  </si>
  <si>
    <t>573</t>
  </si>
  <si>
    <t>労働生産性
(単位:万円/人) | 573万円/人 | 982万円/人
(年平均上昇率+19.6%)</t>
  </si>
  <si>
    <t>982</t>
  </si>
  <si>
    <t>従業員1人あたり給与支給総額
(単位:万円/人) | 420万円/人 | 500万円/人
(年平均上昇率+6.0%)</t>
  </si>
  <si>
    <t>補助事業に係る従業員数
(単位:人) | 427人 | 433人</t>
  </si>
  <si>
    <t>2026年度
(基準年度) | 573万円/人 | 420万円/人</t>
  </si>
  <si>
    <t>2029年度
(基準年度+3年後) | 982万円/人
(年平均上昇率+19.6%) | 500万円/人
(年平均上昇率+6.0%)</t>
  </si>
  <si>
    <t>955</t>
  </si>
  <si>
    <t>労働生産性
(単位:万円/人) | 955 | 2,845
(年平均上昇率+43.9%)</t>
  </si>
  <si>
    <t>2,845</t>
  </si>
  <si>
    <t>従業員1人あたり給与支給
総額(単位:万円/人) | 488 | 593
(年平均上昇率+6.7%)</t>
  </si>
  <si>
    <t>役員1人あたり給与支給総
額
(単位:万円/人) | - | -
(年平均上昇率+6.7%)</t>
  </si>
  <si>
    <t>補助事業に係る従業員数
(単位:人) | 55 | 60</t>
  </si>
  <si>
    <t>2027年度
(基準年度) | 955 | 488</t>
  </si>
  <si>
    <t>役員1人あたり給与支給総
額
(単位:万円/人) - -
(年平均上昇率+6.7%)</t>
  </si>
  <si>
    <t>2030年度
(基準年度+3年後) | 2,845
(年平均上昇率+43.9%) | 593
(年平均上昇率+6.7%)</t>
  </si>
  <si>
    <t>-
(年平均上昇率+6.7%)</t>
  </si>
  <si>
    <t>労働生産性
(単位:万円/人) | 87
2 | 3,390
(年平均上昇率+57.2%)</t>
  </si>
  <si>
    <t>3,390</t>
  </si>
  <si>
    <t>従業員1人当たり給与支給総額
(単位:万円/人) | 46
5 | 555
(年平均上昇率+6.1%)</t>
  </si>
  <si>
    <t>役員1人当たり給与支給総額
(単位:万円/人) | - | -
(年平均上昇率+6.1%)</t>
  </si>
  <si>
    <t>補助事業に係る従業員数
(単位:人) | 17 | 22</t>
  </si>
  <si>
    <t>2026年度
(基準年度) | 87
2 | 46
5</t>
  </si>
  <si>
    <t>役員1人当たり給与支給総額
(単位:万円/人) - -
(年平均上昇率+6.1%)</t>
  </si>
  <si>
    <t>2029年度
(基準年度+3年後) | 3,390
(年平均上昇率+57.2%) | 555
(年平均上昇率+6.1%)</t>
  </si>
  <si>
    <t>2,396</t>
  </si>
  <si>
    <t>2,396 労働生産性 1,27 5 （年平均上昇率＋23 ％） （単位：万円/人） .4</t>
  </si>
  <si>
    <t>748</t>
  </si>
  <si>
    <t>従業員1人あたり給与支給総額 748 目標値 628 （単位：万円/人） （年平均上昇率＋6 ％） .0</t>
  </si>
  <si>
    <t>628</t>
  </si>
  <si>
    <t>役員１人あたり給与支給総額 - - （年平均上昇率＋5.6％） （単位：万円/人）</t>
  </si>
  <si>
    <t>補助事業に係る従業員数 462 505 （単位：人）</t>
  </si>
  <si>
    <t>1275</t>
  </si>
  <si>
    <t>有楽製菓 | 2027年度（基準年度）: 1275 | 2030年度（基準年度+3年後）: 2396</t>
  </si>
  <si>
    <t>2396</t>
  </si>
  <si>
    <t>有楽製菓 | 2027年度（基準年度）: 628 | 2030年度（基準年度+3年後）: 748</t>
  </si>
  <si>
    <t>有楽製菓 | 2027年度（基準年度）: 462 | 2030年度（基準年度+3年後）: 505</t>
  </si>
  <si>
    <t>16,43813,128</t>
  </si>
  <si>
    <t>KOSEI GYXUS 労働生産性 GYXUS 光洲産業 グラデュオ 沖潮開発 合算 GYXUS 関東 16,438 △13,128 9,609 △3,516 110 6,751 799 基準年度（千円） 47,918 16,643 13,040 12,641 13,092 26,511 16,151 基準年度＋3年後（千円） 42.9% - 10.7% - 392.0% 57.8% 26.4% 年平均上昇率</t>
  </si>
  <si>
    <t>9,609</t>
  </si>
  <si>
    <t>47,918</t>
  </si>
  <si>
    <t>16,643</t>
  </si>
  <si>
    <t>13,040</t>
  </si>
  <si>
    <t>3,516</t>
  </si>
  <si>
    <t>6,751</t>
  </si>
  <si>
    <t>12,641</t>
  </si>
  <si>
    <t>13,092</t>
  </si>
  <si>
    <t>26,511</t>
  </si>
  <si>
    <t>16,151</t>
  </si>
  <si>
    <t>4,905</t>
  </si>
  <si>
    <t>KOSEI GYXUS 従業員1人あたり給与支給総額 GYXUS 光洲産業 グラデュオ 沖潮開発 合算 GYXUS 関東 4,905 4,200 4,893 4,200 4,200 4,655 4,494 基準年度（千円） 6,012 5,145 5,999 5,145 5,145 5,690 5,505 基準年度＋3年後（千円） 7.0% 7.0% 7.0% 7.0% 7.0% 7.0% 7.0% 年平均上昇率 目標値</t>
  </si>
  <si>
    <t>4,200</t>
  </si>
  <si>
    <t>4,893</t>
  </si>
  <si>
    <t>6,012</t>
  </si>
  <si>
    <t>5,145</t>
  </si>
  <si>
    <t>5,999</t>
  </si>
  <si>
    <t>4,655</t>
  </si>
  <si>
    <t>4,494</t>
  </si>
  <si>
    <t>5,690</t>
  </si>
  <si>
    <t>5,505</t>
  </si>
  <si>
    <t>KOSEI GYXUS 役員1人あたり給与支給総額 GYXUS 光洲産業 グラデュオ 沖潮開発 合算 GYXUS 関東 - - - - - - - 基準年度（千円） - - - - - - - 基準年度＋3年後（千円） 5.0% 5.0% 5.0% 5.0% 5.0% 5.0% 5.0% 年平均上昇率</t>
  </si>
  <si>
    <t>2.0</t>
  </si>
  <si>
    <t>KOSEI GYXUS 補助事業に係る従業員数 GYXUS 光洲産業 グラデュオ 沖潮開発 合算 GYXUS 関東 2.0 2.5 0.3 5.0 14.0 9.0 32.8 基準年度（人） 8.0 24.0 11.0 11.0 98.0 38.0 6.0 基準年度＋3年後（人）</t>
  </si>
  <si>
    <t>2.5</t>
  </si>
  <si>
    <t>14.0</t>
  </si>
  <si>
    <t>8.0</t>
  </si>
  <si>
    <t>24.0</t>
  </si>
  <si>
    <t>38.0</t>
  </si>
  <si>
    <t>0.3</t>
  </si>
  <si>
    <t>5.0</t>
  </si>
  <si>
    <t>9.0</t>
  </si>
  <si>
    <t>32.8</t>
  </si>
  <si>
    <t>11.0</t>
  </si>
  <si>
    <t>98.0</t>
  </si>
  <si>
    <t>6.0</t>
  </si>
  <si>
    <t>基準年度</t>
  </si>
  <si>
    <t>6751</t>
  </si>
  <si>
    <t>合算 | 基準年度: 6751 | 基準年度+3年後: 26511</t>
  </si>
  <si>
    <t>基準年度+3年後</t>
  </si>
  <si>
    <t>26511</t>
  </si>
  <si>
    <t>4655</t>
  </si>
  <si>
    <t>合算 | 基準年度: 4655 | 基準年度+3年後: 5690</t>
  </si>
  <si>
    <t>5690</t>
  </si>
  <si>
    <t>合算 | 基準年度: 32.8 | 基準年度+3年後: 98</t>
  </si>
  <si>
    <t>2027年10月期(基準年度)</t>
  </si>
  <si>
    <t>| 労働生産性
(単位:万円/人) | 1,260 | - | - | - | - | - | - | 696 | 2,011
CAGR+16.9% | - | - | - | - | - | - | 983
CAGR+12.2%</t>
  </si>
  <si>
    <t>2030年10月期(基準年度+3年後)</t>
  </si>
  <si>
    <t>2,011</t>
  </si>
  <si>
    <t>983</t>
  </si>
  <si>
    <t>952</t>
  </si>
  <si>
    <t>| 従業員1人あたり
給与支給総額
(単位:万円/人) | 952 | 944 | 970 | 964 | 925 | 921 | 761 | 604 | 1,101
CAGR+5.0% | 1,093
CAGR+5.0% | 1,123
CAGR+5.0% | 1,116
CAGR+5.0% | 1,071
CAGR+5.0% | 1,066
CAGR+5.0% | 881
CAGR+5.0% | 699
CAGR+5.0%</t>
  </si>
  <si>
    <t>944</t>
  </si>
  <si>
    <t>970</t>
  </si>
  <si>
    <t>964</t>
  </si>
  <si>
    <t>921</t>
  </si>
  <si>
    <t>761</t>
  </si>
  <si>
    <t>604</t>
  </si>
  <si>
    <t>1,101</t>
  </si>
  <si>
    <t>1,093</t>
  </si>
  <si>
    <t>1,123</t>
  </si>
  <si>
    <t>1,116</t>
  </si>
  <si>
    <t>1,071</t>
  </si>
  <si>
    <t>1,066</t>
  </si>
  <si>
    <t>5,013</t>
  </si>
  <si>
    <t>| 役員1人あたり
給与支給総額
(単位:万円/人) | 5,013 | - | 5,013 | - | - | - | - | 該当なし
※2 | 5,803
CAGR+5.0% | - | 5,803
CAGR+5.0% | - | - | - | - | 該当なし
※2</t>
  </si>
  <si>
    <t>5,803</t>
  </si>
  <si>
    <t>284</t>
  </si>
  <si>
    <t>| 補助事業に係る
従業員数
(単位:人) | 284 | 155 | 94 | 23 | 6 | 3 | 3 | 33 | 315
CAGR+3.5% | 170 | 104 | 26 | 7 | 4 | 4 | 40
CAGR+6.6%</t>
  </si>
  <si>
    <t>| 労働生産性 | 507万円/人 | 2,136万円/人
(CAGR+61.5%) | 6,132万円/人 | 6,132万円/人
(増減なし)</t>
  </si>
  <si>
    <t>2,136</t>
  </si>
  <si>
    <t>6,132</t>
  </si>
  <si>
    <t>| 従業員1人あたり
給与支給総額 | 334万円/人 | 398万円/人
(年平均+6.0%) | 650万円/人 | 774万円/人
(年平均+6.0%)</t>
  </si>
  <si>
    <t>774</t>
  </si>
  <si>
    <t>| 役員1人あたり
給与支給総額 | - | -
(年平均+6.0%) | - | -
(年平均+6.0%)</t>
  </si>
  <si>
    <t>| 補助事業に係る
従業員数 | 181人 | 198人
(+17人) | 1人 | 1人
(増減なし)</t>
  </si>
  <si>
    <t>2027年度 (2028年1月期)
(基準年度)</t>
  </si>
  <si>
    <t>労働生産性
(単位:万円/人) | 582 | 879
(年平均上昇率+14.7%)</t>
  </si>
  <si>
    <t>2030年度 (2031年1月期)
(基準年度+3年後)</t>
  </si>
  <si>
    <t>879</t>
  </si>
  <si>
    <t>従業員1人あたり給与支給総額
(単位:万円/人) | 380 | 520
(年平均上昇率+11. %)
1</t>
  </si>
  <si>
    <t>補助事業に係る従業員数
(単位:人) | 19
5 | 294</t>
  </si>
  <si>
    <t>PDF表目視確認 | 2027年度（基準年度）: 380 | 2030年度（基準年度+3年後）: 520</t>
  </si>
  <si>
    <t>PDF表目視確認 | 2027年度（基準年度）: 195 | 2030年度（基準年度+3年後）: 294</t>
  </si>
  <si>
    <t>3,624</t>
  </si>
  <si>
    <t>3,624 労働生産性 2,333 年平均上昇率＋1 % (万円/人) 5.8 目標値 従業員1人あたり 810 691 給与支給総額（万円/人） 年平均上昇率＋5.5% 役員1人あたり - - 給与支給総額（万円/人） 年平均上昇率＋5.5%</t>
  </si>
  <si>
    <t>2,333</t>
  </si>
  <si>
    <t>補助事業にかかる従業員数 198 182 （単位：人） 年平均上昇率＋2.8%</t>
  </si>
  <si>
    <t>2333</t>
  </si>
  <si>
    <t>川金コアテック | 2028年度（基準年度）: 2333 | 2031年度（基準年度+3年後）: 3624</t>
  </si>
  <si>
    <t>3624</t>
  </si>
  <si>
    <t>川金コアテック | 2028年度（基準年度）: 691 | 2031年度（基準年度+3年後）: 810</t>
  </si>
  <si>
    <t>川金コアテック | 2028年度（基準年度）: 182 | 2031年度（基準年度+3年後）: 198</t>
  </si>
  <si>
    <t>3,144</t>
  </si>
  <si>
    <t>労働生産性
(単位:万円/人) | 3,144 | 10,294
(年平均上昇率+48.5%)</t>
  </si>
  <si>
    <t>10,294</t>
  </si>
  <si>
    <t>従業員1人あたり給与支給総額
(単位:万円/人) | 497 | 592
(年平均上昇率+6.0%)</t>
  </si>
  <si>
    <t>82</t>
  </si>
  <si>
    <t>補助事業に係る従業員数
(単位:人) | 82 | 87</t>
  </si>
  <si>
    <t>3,654</t>
  </si>
  <si>
    <t>労働生産性
(単位:万円/人) | エックスサーバー:3,654万円
エックスサーバークラウド:3,070万円 | エックスサーバー:13,918万円(年平均上昇率+56.2%)
エックスサーバークラウド:5,436万円(年平均上昇率+21.0%)</t>
  </si>
  <si>
    <t>13,918</t>
  </si>
  <si>
    <t>従業員1人あたり給与支給総額
(単位:万円/人) | エックスサーバー:695万円
エックスサーバークラウド:727万円 | エックスサーバー:925万円(年平均上昇率+10.0%)
エックスサーバークラウド:968万円(年平均上昇率+10.0%)</t>
  </si>
  <si>
    <t>役員1人あたり給与支給総額
(単位:万円/人) | エックスサーバー: -
エックスサーバークラウド: - | エックスサーバー: -(年平均上昇率+10.2%)
エックスサーバークラウド: -(年平均上昇率+10.1%)</t>
  </si>
  <si>
    <t>補助事業に係る従業員数
(単位:人) | エックスサーバー:15人
エックスサーバークラウド:10人 | エックスサーバー:30人
エックスサーバークラウド:25人</t>
  </si>
  <si>
    <t>3654</t>
  </si>
  <si>
    <t>PDF表目視確認 | 2026年度（基準年度）: 3654 | 2029年度（基準年度+3年後）: 13918</t>
  </si>
  <si>
    <t>13918</t>
  </si>
  <si>
    <t>1,249</t>
  </si>
  <si>
    <t>労働生産性
(単位:万円/人) | 1,249 | 1,863
(年平均上昇率+14.3%)</t>
  </si>
  <si>
    <t>1,863</t>
  </si>
  <si>
    <t>従業員1人あたり給与支給総額
(単位:万円/人) | 639 | 751
(年平均上昇率+5.5%)</t>
  </si>
  <si>
    <t>751</t>
  </si>
  <si>
    <t>補助事業に係る従業員数
(単位:人) | 220 | 237</t>
  </si>
  <si>
    <t>2027年度
(基準年度) | 1,249 | 639</t>
  </si>
  <si>
    <t>2030年度
(基準年度+3年後) | 1,863
(年平均上昇率+14.3%) | 751
(年平均上昇率+5.5%)</t>
  </si>
  <si>
    <t>1,212</t>
  </si>
  <si>
    <t>労働生産性
(単位:万円/人) | 1,212 | 2,589
(年平均上昇率+28.8%)</t>
  </si>
  <si>
    <t>2,589</t>
  </si>
  <si>
    <t>従業員1人あたり給与支給総額
(単位:万円/人) | 562 | 669
(年平均上昇率+6.0%)</t>
  </si>
  <si>
    <t>補助事業に係る従業員数
(単位:人) | 111 | 135</t>
  </si>
  <si>
    <t>2027年度
(基準年度) | 1,212 | 562</t>
  </si>
  <si>
    <t>2030年度
(基準年度+3年後) | 2,589
(年平均上昇率+28.8%) | 669
(年平均上昇率+6.0%)</t>
  </si>
  <si>
    <t>2026年3月期
(基準年度)</t>
  </si>
  <si>
    <t>労働生産性
(単位:万円/人) | 699万円/人 | 1,653万円/人
(年平均上昇率 +33.2%)</t>
  </si>
  <si>
    <t>2029年3月期
(基準年度+3年後)</t>
  </si>
  <si>
    <t>従業員1人あたり給与支給総額
(単位:万円/人) | 440万円/人 | 516万円/人
(年平均上昇率 +5.5%)</t>
  </si>
  <si>
    <t>役員1人あたり給与支給総額
(単位:万円/人) | - | -
(年平均上昇率 +5.0%)</t>
  </si>
  <si>
    <t>補助事業に係る従業員数
(単位:人) | 240人 | 280人</t>
  </si>
  <si>
    <t>2026年3月期
(基準年度) | 699万円/人 | 440万円/人</t>
  </si>
  <si>
    <t>役員1人あたり給与支給総額
(単位:万円/人) - -
(年平均上昇率 +5.0%)</t>
  </si>
  <si>
    <t>2029年3月期
(基準年度+3年後) | 1,653万円/人
(年平均上昇率 +33.2%) | 516万円 /人 33.2
(年平均上昇率 +5.5%)</t>
  </si>
  <si>
    <t>-
(年平均上昇率 +5.0%)</t>
  </si>
  <si>
    <t>1,150</t>
  </si>
  <si>
    <t>労働生産性
(単位:万円/人) | 1,150万円/人 | 2,142万円
(年平均上昇率+23.0%)</t>
  </si>
  <si>
    <t>2,142</t>
  </si>
  <si>
    <t>従業員1人あたり給与支給総額
(単位:万円/人) | 530万円 | 634万円
(年平均上昇率+6.1%)</t>
  </si>
  <si>
    <t>1,885</t>
  </si>
  <si>
    <t>役員1人あたり給与支給総額
(単位:万円/人) | 1,885万円 | 2,183万円
(年平均上昇率+5.0%)</t>
  </si>
  <si>
    <t>2,183</t>
  </si>
  <si>
    <t>補助事業に係る従業員数
(単位:人) | 237人 | 274人</t>
  </si>
  <si>
    <t>2028年2月度
(基準年度)</t>
  </si>
  <si>
    <t>労働生産性
(単位:万円/人) | 1,415万円 | 3,340万円(年平均上昇率+33.1%)</t>
  </si>
  <si>
    <t>2031年2月度
(基準年度+3年後)</t>
  </si>
  <si>
    <t>3,340</t>
  </si>
  <si>
    <t>従業員1人あたり給与支給総額
(単位:万円/人) | 518万円 | 632万円(年平均上昇率+6.8%)</t>
  </si>
  <si>
    <t>役員1人あたり給与支給総額
(単位:万円/人) | - | -(年平均上昇率+4.6%)</t>
  </si>
  <si>
    <t>補助事業に係る従業員数
(単位:人) | 10 | 30</t>
  </si>
  <si>
    <t>2028年2月度
(基準年度) | 1,415万円 | 518万円</t>
  </si>
  <si>
    <t>役員1人あたり給与支給総額
(単位:万円/人) - -(年平均上昇率+4.6%)</t>
  </si>
  <si>
    <t>2031年2月度
(基準年度+3年後) | 3,340万円(年平均上昇率+33.1%) | 632万円(年平均上昇率+6.8%)</t>
  </si>
  <si>
    <t>-(年平均上昇率+4.6%)</t>
  </si>
  <si>
    <t>1,597</t>
  </si>
  <si>
    <t>労働生産性
(単位:万円/人) | 1,597万円 | 2,409万円
(年平均上昇率+14.7%)</t>
  </si>
  <si>
    <t>2,409</t>
  </si>
  <si>
    <t>従業員1人あたり給与支給総額
(単位:万円/人) | 694万円 | 811万円
(年平均上昇率+5.3%)</t>
  </si>
  <si>
    <t>役員1人あたり給与支給総額
(単位:万円/人) | - | -
(年平均上昇率+5.2%)</t>
  </si>
  <si>
    <t>補助事業に係る従業員数
(単位:人) | 126人 | 158人</t>
  </si>
  <si>
    <t>2027年度
(基準年度) | 1,597万円 | 694万円</t>
  </si>
  <si>
    <t>役員1人あたり給与支給総額
(単位:万円/人) - -
(年平均上昇率+5.2%)</t>
  </si>
  <si>
    <t>2030年度
(基準年度+3年後) | 2,409万円
(年平均上昇率+14.7%) | 14.7
811万円
(年平均上昇率+5.3%)</t>
  </si>
  <si>
    <t>-
(年平均上昇率+5.2%)</t>
  </si>
  <si>
    <t>2028年3月期
(基準年度)</t>
  </si>
  <si>
    <t>労働生産性
(単位:万円/人) | 552万円/人 | 2,422万円/人
(年平均上昇率+63.7%)</t>
  </si>
  <si>
    <t>2031年3月期
(基準年度+3年後)</t>
  </si>
  <si>
    <t>2,422</t>
  </si>
  <si>
    <t>458</t>
  </si>
  <si>
    <t>従業員1人あたり給与支給総額
(単位:万円/人) | 新工場
458万円/人
従業員 | で働く 569万円
だけでなく (年平均上昇率+7.5%)</t>
  </si>
  <si>
    <t>役員1人あたり給与支給総額
(単位:万円/人) | 全従業員
- 賃上げ | を対象に
-
を実施 (年平均上昇率+7.5%)</t>
  </si>
  <si>
    <t>補助事業に係る従業員数
(単位:人) | 110人 | 140人</t>
  </si>
  <si>
    <t>2028年3月期
(基準年度) | 552万円/人 | 新工場
458万円/人
従業員だ
全従業員</t>
  </si>
  <si>
    <t>全従業員
- 賃上げ</t>
  </si>
  <si>
    <t>役員1人あたり給与支給総額
(単位:万円/人) 全従業員
- 賃上げ を対象に
-
を実施 (年平均上昇率+7.5%)</t>
  </si>
  <si>
    <t>2031年3月期
(基準年度+3年後) | 2,422万円/人
(年平均上昇率+63.7%) | 場で働く 569万円
だけでなく (年平均上昇率+7.5%)
員を対象に</t>
  </si>
  <si>
    <t>員を対象に
-
げを実施 (年平均上昇率+7.5%)</t>
  </si>
  <si>
    <t>労働生産性
(単位:万円/人) | 695万円 | 1,461万円
(年平均上昇率+28.1%) |  |  |  |  |</t>
  </si>
  <si>
    <t>1,461</t>
  </si>
  <si>
    <t>従業員1人あたり給与支給総額
(単位:万円/人) | 475万円 | 548万円
(年平均上昇率+ |  | 548 | 万円 | 4.9%) |</t>
  </si>
  <si>
    <t>4.9</t>
  </si>
  <si>
    <t>4.8</t>
  </si>
  <si>
    <t>役員1人あたり給与支給総額
(単位:万円/人) | - | -
(年平均上昇率+ |  | - |  | 4.8%) |</t>
  </si>
  <si>
    <t>補助事業に係る従業員数
(単位:人) | 59人 | 80人 |  |  |  |  |</t>
  </si>
  <si>
    <t>2026年度
(基準年度) | 695万円 | 475万円</t>
  </si>
  <si>
    <t>役員1人あたり給与支給総額
(単位:万円/人) - -
(年平均上昇率+ - 4.8%)
(年平均上昇率+ 4.8% )</t>
  </si>
  <si>
    <t>2029年度
(基準年度+3年後) | 1,461万円
(年平均上昇率+28.1%) | 548万円
(年平均上昇率+4</t>
  </si>
  <si>
    <t>-
(年平均上昇率+4</t>
  </si>
  <si>
    <t>労働生産性
(単位:万円/人) | 539万円 | 713万円
(年平均上昇率+9.8%)</t>
  </si>
  <si>
    <t>従業員1人あたり給与支給総額
(単位:万円/人) | 339万円 | 437万円
(年平均上昇率+8.9%)</t>
  </si>
  <si>
    <t>補助事業に係る従業員数
(単位:人) | 490名 | 674名</t>
  </si>
  <si>
    <t>674</t>
  </si>
  <si>
    <t>822</t>
  </si>
  <si>
    <t>労働生産性
(単位:万円/人) | 822(山福:660、エクセル:14,035) | 1,587(山福:1,433、エクセル:15,166)
(年平均上昇率+24.5%)</t>
  </si>
  <si>
    <t>従業員1人あたり給与支給総額
(単位:万円/人) | 386(山福:386(宮城:521、大阪:450、宮崎:209)、エクセ
ル:n/a) | 470(山福:470(宮城:621、大阪:536、宮
崎:248)、エクセル:536)
(年平均上昇率+6.0%)</t>
  </si>
  <si>
    <t>1,603</t>
  </si>
  <si>
    <t>役員1人あたり給与支給総額
(単位:万円/人) | 1,603(山福:1,934(※)、エクセル:1,050(※))
(※拠点はいずれも大阪のみ) | 1,829(山福:2,207(※)、エクセル:1,199(※))
(※拠点はいずれも大阪のみ)
(年平均上昇率+4.5%)</t>
  </si>
  <si>
    <t>1,829</t>
  </si>
  <si>
    <t>補助事業に係る従業員数
(単位:人) | 324(山福:324(宮城:45、大阪:179、宮崎100)、エクセ
ル:n/a) | 355(山福:355(宮城:60、大阪:195、宮崎:100)、
エクセル:1)</t>
  </si>
  <si>
    <t>2027年6月期年度
(基準年度)</t>
  </si>
  <si>
    <t>1,401</t>
  </si>
  <si>
    <t>労働生産性
(単位:万円/人) | 1,401 | 3,079
(年平均上昇率+30.0%)</t>
  </si>
  <si>
    <t>3,079</t>
  </si>
  <si>
    <t>従業員1人あたり給与支給総額
(単位:万円/人) | 350 | 426
(年平均上昇率+6.8%)</t>
  </si>
  <si>
    <t>426</t>
  </si>
  <si>
    <t>補助事業に係る従業員数
(単位:人) | 115人 | 203人</t>
  </si>
  <si>
    <t>203</t>
  </si>
  <si>
    <t>1,548</t>
  </si>
  <si>
    <t>労働生産性
(単位:万円/人) | 1,548 | 2,949
(年平均上昇率+24.0%)</t>
  </si>
  <si>
    <t>2,949</t>
  </si>
  <si>
    <t>従業員1人あたり給与支給総額
(単位:万円/人) | 456 | 559
(年平均上昇率+7.0%)</t>
  </si>
  <si>
    <t>補助事業に係る従業員数
(単位:人) | 108 | 131</t>
  </si>
  <si>
    <t>131</t>
  </si>
  <si>
    <t>労働生産性
(単位:万円/人) | 560 | 1,055
(年平均上昇率+23.5%)</t>
  </si>
  <si>
    <t>1,055</t>
  </si>
  <si>
    <t>従業員1人あたり給与支給総額
(単位:万円/人) | 379 | 478
(年平均上昇率+8.0%)</t>
  </si>
  <si>
    <t>役員1人あたり給与支給総額
(単位:万円/人) | - | -
(年平均上昇率+8.0%)</t>
  </si>
  <si>
    <t>補助事業に係る従業員数
(単位:人) | 563 | 610
(増加+47人)</t>
  </si>
  <si>
    <t>2026年度
(基準年度) | 560 | 379</t>
  </si>
  <si>
    <t>役員1人あたり給与支給総額
(単位:万円/人) - -
(年平均上昇率+8.0%)</t>
  </si>
  <si>
    <t>2029年度
(基準年度+3年後) | 1,055
(年平均上昇率+23.5%) | 478
(年平均上昇率+8.0%)</t>
  </si>
  <si>
    <t>-
(年平均上昇率+8.0%)</t>
  </si>
  <si>
    <t>1,655</t>
  </si>
  <si>
    <t>労働生産性
(単位:万円/人) | 1,655万円/人 | 3,256万円/人
(年平均上昇率+25.3%)</t>
  </si>
  <si>
    <t>3,256</t>
  </si>
  <si>
    <t>760</t>
  </si>
  <si>
    <t>従業員1人あたり給与支給総額
(単位:万円/人) | 760万円/人 | 957万円/人
(年平均上昇率+8.0%)</t>
  </si>
  <si>
    <t>957</t>
  </si>
  <si>
    <t>補助事業に係る従業員数
(単位:人) | 324人 | 350人</t>
  </si>
  <si>
    <t>1,408</t>
  </si>
  <si>
    <t>労働生産性
(単位:万円/人) | 1,408 | 2,803
(年平均上昇率+25.8%)</t>
  </si>
  <si>
    <t>2,803</t>
  </si>
  <si>
    <t>従業員1人あたり給与支給総額
(単位:万円/人) | 465 | 570
(年平均上昇率+7.0%)</t>
  </si>
  <si>
    <t>補助事業に係る従業員数
(単位:人) | 110 | 150</t>
  </si>
  <si>
    <t>1,617</t>
  </si>
  <si>
    <t>労働生産性
(単位:万円/人) | 1,617(cid:1)万円/人 | 1,969(cid:1)万円/人
(年平均上昇率+6.8%)</t>
  </si>
  <si>
    <t>1,969</t>
  </si>
  <si>
    <t>従業員1人あたり給与支給総額
(単位:万円/人) | 510 万円/人 | 604(cid:1)万円/人
(年平均上昇率+5.8%)</t>
  </si>
  <si>
    <t>補助事業に係る従業員数
(単位:人) | 640 人 | 670 人</t>
  </si>
  <si>
    <t>4,384</t>
  </si>
  <si>
    <t>労働生産性 4,384万円 1,957万円/人 （単位:万円/人） （年平均上昇率＋30.8％）</t>
  </si>
  <si>
    <t>従業員1人あたり給与支給総額 721万円/人 目標値 588万円/人 （年平均上昇率＋7.0％） （単位:万円/人）</t>
  </si>
  <si>
    <t>役員１人あたり給与支給総額 - - （年平均上昇率＋8. ％） （単位:万円/人） 4</t>
  </si>
  <si>
    <t>補助事業に係る従業員数 318人 328人 （単位:人）</t>
  </si>
  <si>
    <t>328</t>
  </si>
  <si>
    <t>付加価値額は向上する上、より少ない作業者数でタンクの量産が可能となるため、労働生産性が向上する •</t>
  </si>
  <si>
    <t>1,082</t>
  </si>
  <si>
    <t>労働生産性
(単位:万円/人) | 1,082 | 1,825
(年平均上昇率+19.0%)</t>
  </si>
  <si>
    <t>1,825</t>
  </si>
  <si>
    <t>従業員1人あたり給与支給総額
(単位:万円/人) | 59
9 | 713
(年平均上昇率+6.0%)</t>
  </si>
  <si>
    <t>役員1人あたり給与支給総額
(単位:万円/人) | 71
9 | 832
(年平均上昇率+5.0%)</t>
  </si>
  <si>
    <t>86</t>
  </si>
  <si>
    <t>補助事業に係る従業員数
(単位:人) | 86 | 112
(年平均上昇率+9.2%)</t>
  </si>
  <si>
    <t>3,829</t>
  </si>
  <si>
    <t>労働生産性
(単位:万円/人) | 3,863万円/人 | 3,829万円/人
(年平均上昇率-0.3%)</t>
  </si>
  <si>
    <t>3,863</t>
  </si>
  <si>
    <t>1,233</t>
  </si>
  <si>
    <t>従業員1人あたり給与支給総額
(単位:万円/人) | 1,233万円/人 | 1,536万円/人
(年平均上昇率+7.6%)</t>
  </si>
  <si>
    <t>1,536</t>
  </si>
  <si>
    <t>役員1人あたり給与支給総額
(単位:万円/人) | 1,172万円/人 | 1,442万/人
(年平均上昇率+7.1%)</t>
  </si>
  <si>
    <t>1,442</t>
  </si>
  <si>
    <t>補助事業に係る従業員数
(単位:人) | 135人 | 155人</t>
  </si>
  <si>
    <t>2027年3月期(基準年度)</t>
  </si>
  <si>
    <t>労働生産性(単位:万円/人) | 577万円/人 |  |  | 947万円/人(CAGR+17.9%) |  |</t>
  </si>
  <si>
    <t>2030年3月期(基準年度+3年後)</t>
  </si>
  <si>
    <t>947</t>
  </si>
  <si>
    <t>従業員1人あたり給与支給総額
(単位:万円/人) | 349万円/人 | 336万円/人 | 375万円/人 | 433万円/人
(CAGR+7.5%) | 393万円/人
(CAGR+5.4%) | 454万円/人
(CAGR+6.6%)</t>
  </si>
  <si>
    <t>375</t>
  </si>
  <si>
    <t>役員1人あたり給与支給総額 | ー |  |  | ー(補助事業専任役員なし) |  |</t>
  </si>
  <si>
    <t>補助事業に係る従業員数
(単位:人) | 77人 | 88人 | 46人 | 125人 | 88人 | 64人</t>
  </si>
  <si>
    <t>5,828</t>
  </si>
  <si>
    <t>労働生産性
(単位:万円/人) | 5,828 | 9,849
(年平均上昇率+19.1%)</t>
  </si>
  <si>
    <t>9,849</t>
  </si>
  <si>
    <t>866</t>
  </si>
  <si>
    <t>従業員1人あたり給与支給総額
(単位:万円/人) | 866 | 1,076
(年平均上昇率+7.5%)</t>
  </si>
  <si>
    <t>219</t>
  </si>
  <si>
    <t>補助事業に係る従業員数
(単位:人) | 219 | 230</t>
  </si>
  <si>
    <t>2027年度(2028年3月期)
(基準年度)</t>
  </si>
  <si>
    <t>2,662</t>
  </si>
  <si>
    <t>労働生産性
(単位:万円/人) | 2,662 | 5,699
(年平均上昇率+28.9%)</t>
  </si>
  <si>
    <t>2030年度(2031年3月期)
(基準年度+3年後)</t>
  </si>
  <si>
    <t>5,699</t>
  </si>
  <si>
    <t>従業員1人あたり給与支給総額
(単位:万円/人) | 398 | 473
(年平均上昇率+6.0%)</t>
  </si>
  <si>
    <t>補助事業に係る従業員数
(単位:人) | 40 | 49</t>
  </si>
  <si>
    <t>49</t>
  </si>
  <si>
    <t>2027年度(2028年3月期)
(基準年度) | 2,662 | 398</t>
  </si>
  <si>
    <t>2030年度(2031年3月期)
(基準年度+3年後) | 5,699
(年平均上昇率+28.9%) | 473
(年平均上昇率+6.0%)</t>
  </si>
  <si>
    <t>2027年度(2028年8月期)
(基準年度)</t>
  </si>
  <si>
    <t>447</t>
  </si>
  <si>
    <t>労働生産性
(単位:万円/人) | 447万円 | 991万円
(年平均上昇率+30.4%)</t>
  </si>
  <si>
    <t>2030年度(2031年8月期)
(基準年度+3年後)</t>
  </si>
  <si>
    <t>320</t>
  </si>
  <si>
    <t>従業員1人あたり給与支給総額
(単位:万円/人) | 320万円 | 377万円
(年平均上昇率+5.6%)</t>
  </si>
  <si>
    <t>159</t>
  </si>
  <si>
    <t>補助事業に係る従業員数
(単位:人) | 159 | 253</t>
  </si>
  <si>
    <t>253</t>
  </si>
  <si>
    <t>2027年度(2028年8月期)
(基準年度) | 447万円 | 320万円</t>
  </si>
  <si>
    <t>2030年度(2031年8月期)
(基準年度+3年後) | 991万円
(年平均上昇率+30.4%) | 377万円
(年平均上昇率+5.6%)</t>
  </si>
  <si>
    <t>労働生産性
(単位:万円/人) | 1,332 | 2,935
(年平均上昇率+30.1%)</t>
  </si>
  <si>
    <t>2,935</t>
  </si>
  <si>
    <t>従業員1人あたり給与支給総額
(単位:万円/人) | 437 | 551
(年平均上昇率+8.0%)</t>
  </si>
  <si>
    <t>304</t>
  </si>
  <si>
    <t>補助事業に係る従業員数
(単位:人) | 304 | 321</t>
  </si>
  <si>
    <t>321</t>
  </si>
  <si>
    <t>労働生産性
(単位:万円/人) | 1,095万円/人 | 1,898万円/人
(年平均上昇率+20.1%)</t>
  </si>
  <si>
    <t>1,898</t>
  </si>
  <si>
    <t>従業員1人あたり給与支給総額
(単位:万円/人) | 655万円/人 | 769万円/人
(年平均上昇率+5.5%)</t>
  </si>
  <si>
    <t>769</t>
  </si>
  <si>
    <t>2,436</t>
  </si>
  <si>
    <t>役員1人あたり給与支給総額
(単位:万円/人) | 2,436万円/人 | 2,820万円/人
(年平均上昇率+5.0%)</t>
  </si>
  <si>
    <t>2,820</t>
  </si>
  <si>
    <t>282</t>
  </si>
  <si>
    <t>補助事業に係る従業員数
(単位:人) | 282人 | 349人</t>
  </si>
  <si>
    <t>1,568</t>
  </si>
  <si>
    <t>労働生産性
(単位:万円/人) | 1,568万円/人 | 2,355万円/人
(年平均上昇率+14.5%)</t>
  </si>
  <si>
    <t>2,355</t>
  </si>
  <si>
    <t>従業員1人あたり給与支給総額
(単位:万円/人) | 751万円/人 | 881万円/人
(年平均上昇率+5.5%)</t>
  </si>
  <si>
    <t>役員1人あたり給与支給総額
(単位:万円/人) | 680万円/人 | 787万円/人
(年平均上昇率+5.0%)</t>
  </si>
  <si>
    <t>787</t>
  </si>
  <si>
    <t>補助事業に係る従業員数
(単位:人) | 13人 | 18人</t>
  </si>
  <si>
    <t>2028年5月期(基準年度)</t>
  </si>
  <si>
    <t>3,128</t>
  </si>
  <si>
    <t>労働生産性(単位:万円/人) | 3,128 | 5,70 (年平均上昇率+22.2%)
5</t>
  </si>
  <si>
    <t>2031年5月期(基準年度+3年後)</t>
  </si>
  <si>
    <t>5,70</t>
  </si>
  <si>
    <t>302</t>
  </si>
  <si>
    <t>従業員1人あたり給与支給総額(単位:万円/人) | 302 | 374(年平均上昇率+7.4%)</t>
  </si>
  <si>
    <t>役員1人あたり給与支給総額(単位:万円/人) | - | (年平均上昇率+15.0%)
-</t>
  </si>
  <si>
    <t>補助事業に係る従業員数(単位:人) | 25 | 95</t>
  </si>
  <si>
    <t>3128</t>
  </si>
  <si>
    <t>PDF表目視確認 | 2028年度（基準年度）: 3128 | 2031年度（基準年度+3年後）: 5705</t>
  </si>
  <si>
    <t>5705</t>
  </si>
  <si>
    <t>PDF表目視確認 | 2028年度（基準年度）: 302 | 2031年度（基準年度+3年後）: 374</t>
  </si>
  <si>
    <t>PDF表目視確認 | 2028年度（基準年度）: 25 | 2031年度（基準年度+3年後）: 95</t>
  </si>
  <si>
    <t>2028年5月期(基準年度) | 3,128 | 302</t>
  </si>
  <si>
    <t>役員1人あたり給与支給総額(単位:万円/人) - (年平均上昇率+15.0%)
-</t>
  </si>
  <si>
    <t>2031年5月期(基準年度+3年後) | 5,70 (年平均上昇率+22.2%)
5 | 374(年平均上昇率+7.4%)</t>
  </si>
  <si>
    <t>(年平均上昇率+15.0%)
-</t>
  </si>
  <si>
    <t>2028年3月期(基準年度)</t>
  </si>
  <si>
    <t>労働生産性
(単位:万円/人) | 1,154万円 | 1,891万円
(年平均上昇率+17.9%) | 7,500万円 | 14,400万円
(年平均上昇率+24.3%)</t>
  </si>
  <si>
    <t>1,891</t>
  </si>
  <si>
    <t>7,500</t>
  </si>
  <si>
    <t>14,400</t>
  </si>
  <si>
    <t>従業員1人あたり給与支給総額
(単位:万円/人) | 605万円 | 711万円
(年平均上昇率+5.5%) | 605万円 | 711万円
(年平均上昇率+5.5%)</t>
  </si>
  <si>
    <t>711</t>
  </si>
  <si>
    <t>役員1人あたり給与支給総額
(単位:万円/人) | - | -
(年平均上昇率+5.5%) | - | -
(年平均上昇率+5.5%)</t>
  </si>
  <si>
    <t>補助事業に係る従業員数
(単位:人) | 230人 | 239人 | 1人 | 1人</t>
  </si>
  <si>
    <t>239</t>
  </si>
  <si>
    <t>KIDO PACKAGING株式会社 | 2028年3月期(基準年度) | 1,154万円 | 605万円</t>
  </si>
  <si>
    <t>役員1人あたり給与支給総額
(単位:万円/人) - -
(年平均上昇率+5.5%) - -
(年平均上昇率+5.5%)</t>
  </si>
  <si>
    <t>2031年3月期
(基準年度+3年後) | 1,891万円
(年平均上昇率+17.9%) | 711万円
(年平均上昇率+5.5%)</t>
  </si>
  <si>
    <t>1,728</t>
  </si>
  <si>
    <t>労働生産性
(単位:万円/人) | 1,728 | 1,822
(年平均上昇率+1.8%)</t>
  </si>
  <si>
    <t>1,822</t>
  </si>
  <si>
    <t>従業員1人あたり給与支給総額
(単位:万円/人) | 580 | 680
(年平均上昇率+5.5%)</t>
  </si>
  <si>
    <t>258</t>
  </si>
  <si>
    <t>補助事業に係る従業員数
(単位:人) | 258 | 742</t>
  </si>
  <si>
    <t>606</t>
  </si>
  <si>
    <t>労働生産性
(単位:万円/人) | 60
6 | 1,090
(年平均上昇率+21.6%)</t>
  </si>
  <si>
    <t>1,090</t>
  </si>
  <si>
    <t>従業員1人あたり給与支給総額
(単位:万円/人) | 500 | 598
(年平均上昇率+6.2%)</t>
  </si>
  <si>
    <t>598</t>
  </si>
  <si>
    <t>補助事業に係る従業員数
(単位:人) | 176 | 256</t>
  </si>
  <si>
    <t>2027年度
(基準年度) | 60
6 | 500</t>
  </si>
  <si>
    <t>2030年度
(基準年度+3年後) | 1,090
(年平均上昇率+21.6%) | 598
(年平均上昇率+6.2%)</t>
  </si>
  <si>
    <t>2028年5月期
(基準年度)</t>
  </si>
  <si>
    <t>労働生産性
(単位:万円/人) | 871 | 1,546
(年平均上昇率+21.1%)</t>
  </si>
  <si>
    <t>2031年5月期
(基準年度+3年後)</t>
  </si>
  <si>
    <t>1,546</t>
  </si>
  <si>
    <t>従業員1人あたり給与支給総額
(単位:万円/人) | 457 | 560
(年平均上昇率+7.0%)</t>
  </si>
  <si>
    <t>92</t>
  </si>
  <si>
    <t>補助事業に係る従業員数
(単位:人) | 92 | 110</t>
  </si>
  <si>
    <t>2028年5月期
(基準年度) | 871 | 457</t>
  </si>
  <si>
    <t>2031年5月期
(基準年度+3年後) | 1,546
(年平均上昇率+21.1%) | 560
(年平均上昇率+7.0%)</t>
  </si>
  <si>
    <t>2026年6月決算期
(基準年度)</t>
  </si>
  <si>
    <t>労働生産性
(単位:万円/人) | 658万円/人 | 3,206万円/人
(年平均上昇率+69.5%)</t>
  </si>
  <si>
    <t>2029年6月決算期
(基準年度+3年後)</t>
  </si>
  <si>
    <t>3,206</t>
  </si>
  <si>
    <t>480</t>
  </si>
  <si>
    <t>従業員1人あたり給与支給総額
(単位:万円/人) | 480万円/人 | 607万円/人
(年平均上昇率+8.1%)</t>
  </si>
  <si>
    <t>607</t>
  </si>
  <si>
    <t>役員1人あたり給与支給総額
(単位:万円/人) | - | -
(年平均上昇率+14.5%)</t>
  </si>
  <si>
    <t>0.4</t>
  </si>
  <si>
    <t>従業員数
(単位:人) | 0.4人 | 21人</t>
  </si>
  <si>
    <t>2026年6月決算期
(基準年度) | 658万円/人 | 480万円/人</t>
  </si>
  <si>
    <t>役員1人あたり給与支給総額
(単位:万円/人) - -
(年平均上昇率+14.5%)</t>
  </si>
  <si>
    <t>2029年6月決算期
(基準年度+3年後) | 3,206万円/人
(年平均上昇率+69.5%) | (年平均上昇率+69.5%)
607万円/人
(年平均上昇率+8.1%)</t>
  </si>
  <si>
    <t>(年平均上昇率+8.1%)
-
(年平均上昇率+14.5%)</t>
  </si>
  <si>
    <t>1,265</t>
  </si>
  <si>
    <t>労働生産性
(単位:万円/人) | 1,265 | 3,099
(年平均上昇率+34.8%)</t>
  </si>
  <si>
    <t>従業員1人あたり給与支給総額
(単位:万円/人) | 617 | 727
(年平均上昇率+5.6%)</t>
  </si>
  <si>
    <t>補助事業に係る従業員数
(単位:人) | 86 | 120</t>
  </si>
  <si>
    <t>2027年度
(基準年度) | 1,265 | 617</t>
  </si>
  <si>
    <t>2030年度
(基準年度+3年後) | 3,099
(年平均上昇率+34.8%) | 727
(年平均上昇率+5.6%)</t>
  </si>
  <si>
    <t>労働生産性 1,281 862 （単位︓万円/人） （年平均上昇率＋14.1％）</t>
  </si>
  <si>
    <t>従業員1人あたり給与支給総額 663 目標値 565 （単位︓万円/人） （年平均上昇率＋5.5％）</t>
  </si>
  <si>
    <t>565</t>
  </si>
  <si>
    <t>役員１人あたり給与支給総額 - - （単位︓万円/人） （年平均上昇率 +5.0％）</t>
  </si>
  <si>
    <t>補助事業に係る従業員数 753 780 （単位︓人）</t>
  </si>
  <si>
    <t>1,261</t>
  </si>
  <si>
    <t>シュゼット・ホールディングス 1,261 1,383（年平均上昇率＋3.1％） 労働生産性 スタジオ・シュゼット 884 1,194（年平均上昇率＋10.5％） （単位：万円/人） 2社合算 953 1,229（年平均上昇率+8.8） シュゼット・ホールディングス 523 606（年平均上昇率＋5.0％）</t>
  </si>
  <si>
    <t>953</t>
  </si>
  <si>
    <t>1,383</t>
  </si>
  <si>
    <t>従業員1人あたり給与支給総額 兵庫 339 392（年平均上昇率＋5.0％） スタジオ・シュゼット 400（年平均上昇率＋5. ％） （単位：万円/人） 横浜 345 0 2社合算 373 433（年平均上昇率＋5.1％） 目標値 シュゼット・ホールディングス - -</t>
  </si>
  <si>
    <t>役員１人あたり給与支給総額 兵庫 - - スタジオ・シュゼット （単位：万円/人） 横浜 - - 2社合算 - - シュゼット・ホールディングス 84 112（年平均上昇率＋10.1％）</t>
  </si>
  <si>
    <t>303</t>
  </si>
  <si>
    <t>補助事業に係る従業員数 兵庫 303 402（年平均上昇率＋9.9％） スタジオ・シュゼット （単位：人） 横浜 74 87（年平均上昇率＋5.5％） 2社合算 461 601（年平均上昇率＋9.2％）</t>
  </si>
  <si>
    <t>461</t>
  </si>
  <si>
    <t>1261</t>
  </si>
  <si>
    <t>PDF表目視確認 | 2027年度（基準年度）: 1261 | 2030年度（基準年度+3年後）: 1383</t>
  </si>
  <si>
    <t>1383</t>
  </si>
  <si>
    <t>PDF表目視確認 | 2027年度（基準年度）: 523 | 2030年度（基準年度+3年後）: 606</t>
  </si>
  <si>
    <t>None</t>
  </si>
  <si>
    <t>PDF表目視確認 | 2027年度（基準年度）: None | 2030年度（基準年度+3年後）: None</t>
  </si>
  <si>
    <t>PDF表目視確認 | 2027年度（基準年度）: 84 | 2030年度（基準年度+3年後）: 112</t>
  </si>
  <si>
    <t>基準年度(2028年度)</t>
  </si>
  <si>
    <t>15,513</t>
  </si>
  <si>
    <t>労働生産性
(単位:千円/人) | 15,513 | 29,768
(年平均上昇率+24.3%)</t>
  </si>
  <si>
    <t>事業化報告3年目(2031年度)</t>
  </si>
  <si>
    <t>29,768</t>
  </si>
  <si>
    <t>3,813</t>
  </si>
  <si>
    <t>従業員1人あたり給与支給総額
(単位:千円/人) | 3,813 | 4,606
(年平均上昇率+6.5%)</t>
  </si>
  <si>
    <t>4,606</t>
  </si>
  <si>
    <t>役員1人あたり給与支給総額
(単位:千円/人) | - | -
(年平均上昇率+6.5%)</t>
  </si>
  <si>
    <t>補助事業に係る従業員数
(単位:人) | 55 | 75</t>
  </si>
  <si>
    <t>基準年度(2028年度) | 15,513 | 3,813</t>
  </si>
  <si>
    <t>役員1人あたり給与支給総額
(単位:千円/人) - -
(年平均上昇率+6.5%)</t>
  </si>
  <si>
    <t>事業化報告3年目(2031年度) | 29,768
(年平均上昇率+24.3%) | 4,606 3
(年平均上昇率+6.5%)</t>
  </si>
  <si>
    <t>11,310</t>
  </si>
  <si>
    <t>労働生産性 14,98 4 11,3 10 （単位：千円/人） （年平均上昇率＋9.8％）</t>
  </si>
  <si>
    <t>14,984</t>
  </si>
  <si>
    <t>6,042</t>
  </si>
  <si>
    <t>従業員1人あたり給与支給総額 7,84 目標値 7 6,04 2 （年平均上昇率＋9.1％） （単位：千円/人）</t>
  </si>
  <si>
    <t>7,847</t>
  </si>
  <si>
    <t>役員１人あたり給与支給総額 - - （年平均上昇率＋4.5％） （単位：千円/人）</t>
  </si>
  <si>
    <t>補助事業に係る従業員数 159 164 （単位：人）</t>
  </si>
  <si>
    <t>基準年度 | 11,310 | 6,042</t>
  </si>
  <si>
    <t>役員1人あたり給与支給総額
(単位:千円/人) - -
(年平均上昇率+4.5%)</t>
  </si>
  <si>
    <t>事業化報告3年目 | 14,984
(年平均上昇率+9.8%) | 7,847
(年平均上昇率+9.1%)</t>
  </si>
  <si>
    <t>41,836</t>
  </si>
  <si>
    <t>労働生産性 41,836 31,158 （単位：千円/人） （年平均上昇率＋ ％） 10.3</t>
  </si>
  <si>
    <t>10.3</t>
  </si>
  <si>
    <t>31,158</t>
  </si>
  <si>
    <t>4,808</t>
  </si>
  <si>
    <t>従業員1人あたり給与支給総額 5 目標値 ,906 4,808 （単位：千円/人） （年平均上昇率＋7.1％）</t>
  </si>
  <si>
    <t>5906</t>
  </si>
  <si>
    <t>12,515</t>
  </si>
  <si>
    <t>役員１人あたり給与支給総額 14,613 1 2,515 （年平均上昇率＋5.3％） （単位：千円/人）</t>
  </si>
  <si>
    <t>14,613</t>
  </si>
  <si>
    <t>補助事業に係る従業員数 50 56 （単位：人）</t>
  </si>
  <si>
    <t>31158</t>
  </si>
  <si>
    <t>奥伊吹観光 | 基準年度: 31158 | 基準年度+3年後: 41836</t>
  </si>
  <si>
    <t>41836</t>
  </si>
  <si>
    <t>4808</t>
  </si>
  <si>
    <t>奥伊吹観光 | 基準年度: 4808 | 基準年度+3年後: 5906</t>
  </si>
  <si>
    <t>12515</t>
  </si>
  <si>
    <t>奥伊吹観光 | 基準年度: 12515 | 基準年度+3年後: 14613</t>
  </si>
  <si>
    <t>14613</t>
  </si>
  <si>
    <t>奥伊吹観光 | 基準年度: 50 | 基準年度+3年後: 56</t>
  </si>
  <si>
    <t>18,038</t>
  </si>
  <si>
    <t>44,423 労働生産性 18,038 （単位：千円/人） （年平均上昇率＋35.0％）</t>
  </si>
  <si>
    <t>44,423</t>
  </si>
  <si>
    <t>5,967</t>
  </si>
  <si>
    <t>7,758 従業員1人あたり給与支給総額 目標値 5,967 （単位：千円/人） （年平均上昇率＋9.1％）</t>
  </si>
  <si>
    <t>7,758</t>
  </si>
  <si>
    <t>役員１人あたり給与支給総額 - - （単位：千円/人） （年平均上昇率＋7.0％）</t>
  </si>
  <si>
    <t>補助事業に係る従業員数 60 7 6 （単位：人）</t>
  </si>
  <si>
    <t>基準年度 | 18,038 | 5,967</t>
  </si>
  <si>
    <t>役員1人あたり給与支給総額
(単位:千円/人) - -
(年平均上昇率+7.0%)</t>
  </si>
  <si>
    <t>事業化報告3年目 | 44,423
(年平均上昇率+35.0%) | 7,758
(年平均上昇率+9.1%)</t>
  </si>
  <si>
    <t>-
(年平均上昇率+7.0%)</t>
  </si>
  <si>
    <t>14,658</t>
  </si>
  <si>
    <t>労働生産性 28,579千円/人 14,658千円/人 （単位:千円/人） （年平均上昇率＋24.9％）</t>
  </si>
  <si>
    <t>28,579</t>
  </si>
  <si>
    <t>5,313</t>
  </si>
  <si>
    <t>従業員1人あたり給与支給総額 6,418千円/人 5,313千円/人 目標値 （年平均上昇率＋6.5％） （単位:千円/人）</t>
  </si>
  <si>
    <t>6,418</t>
  </si>
  <si>
    <t>役員１人あたり給与支給総額 - - （年平均上昇率＋5.0％） （単位:千円/人）</t>
  </si>
  <si>
    <t>補助事業に係る従業員数 176人 214人 （単位:人）</t>
  </si>
  <si>
    <t>基準年度 | 14,658千円/人 | 5,313千円/人</t>
  </si>
  <si>
    <t>役員1人あたり給与支給総額
(単位:千円/人) - -
(年平均上昇率+5.0%)</t>
  </si>
  <si>
    <t>事業化報告3年目 | 28,579千円/人
(年平均上昇率+24.9%) | 6,418千円/人
(年平均上昇率+6.5%)</t>
  </si>
  <si>
    <t>5,511</t>
  </si>
  <si>
    <t>労働生産性 13,782 5,511 （単位：千円/人） （年平均上昇率＋35.7％）</t>
  </si>
  <si>
    <t>13,782</t>
  </si>
  <si>
    <t>4,848</t>
  </si>
  <si>
    <t>従業員1人あたり給与支給総額 5,938 目標値 4,848 （年平均上昇率＋7 ％） （単位：千円/人） .0</t>
  </si>
  <si>
    <t>5,938</t>
  </si>
  <si>
    <t>役員１人あたり給与支給総額 ー ー （年平均上昇率＋ー％） （単位：千円/人）</t>
  </si>
  <si>
    <t>補助事業に係る従業員数 67 103 （単位：人）</t>
  </si>
  <si>
    <t>9,727</t>
  </si>
  <si>
    <t>労働生産性 46,613千円/人 9,727千円/人 （単位：千円/人） （年平均上昇率＋68.6％）</t>
  </si>
  <si>
    <t>46,613</t>
  </si>
  <si>
    <t>3,818</t>
  </si>
  <si>
    <t>従業員1人あたり給与支給総額 4,944千円/人 目標値 3,818千円/人 （年平均上昇率＋9.0％） （単位：千円/人）</t>
  </si>
  <si>
    <t>4,944</t>
  </si>
  <si>
    <t>役員１人あたり給与支給総額 - - （年平均上昇率-%） （単位：千円/人）</t>
  </si>
  <si>
    <t>11</t>
  </si>
  <si>
    <t>補助事業に係る従業員数 11人 39人 （単位：人）</t>
  </si>
  <si>
    <t>39</t>
  </si>
  <si>
    <t>6,886</t>
  </si>
  <si>
    <t>労働生産性 6,886 14,22 （年平均上昇率＋27. ％） 7 4 （単位：千円/人）</t>
  </si>
  <si>
    <t>14,227</t>
  </si>
  <si>
    <t>3,670</t>
  </si>
  <si>
    <t>従業員1人あたり給与支給総額 目標値 3,670 4,433（年平均上昇率＋6.5％） （単位：千円/人）</t>
  </si>
  <si>
    <t>4,433</t>
  </si>
  <si>
    <t>役員１人あたり給与支給総額 （年平均上昇率＋6.5％） - - （単位：千円/人）</t>
  </si>
  <si>
    <t>補助事業に係る従業員数 105 120 （単位：人）</t>
  </si>
  <si>
    <t>基準年度 | 6,886 | 3,670</t>
  </si>
  <si>
    <t>役員1人あたり給与支給総額
(単位:千円/人) - (年平均上昇率+6.5%)
-</t>
  </si>
  <si>
    <t>事業化報告3年目 | 14,22 (年平均上昇率+27. %)
7 4 | 4,433(年平均上昇率+6.5%)</t>
  </si>
  <si>
    <t>(年平均上昇率+6.5%)
-</t>
  </si>
  <si>
    <t>7,397</t>
  </si>
  <si>
    <t>労働生産性
(単位:千円/人) | 7,397 | 14,899
(年平均上昇率+26.3%)</t>
  </si>
  <si>
    <t>2030年度(事業化報告3年目)</t>
  </si>
  <si>
    <t>14,899</t>
  </si>
  <si>
    <t>4,704</t>
  </si>
  <si>
    <t>従業員1人あたり給与支給総額
(単位:千円/人) | 4,704 | 5,699
(年平均上昇率+6.6%)</t>
  </si>
  <si>
    <t>役員1人あたり給与支給総額
(単位:千円/人) | - | -
(年平均上昇率+6.6%)</t>
  </si>
  <si>
    <t>補助事業に係る従業員数
(単位:人) | 106 | 112</t>
  </si>
  <si>
    <t>2027年度(基準年度) | 7,397 | 4,704</t>
  </si>
  <si>
    <t>役員1人あたり給与支給総額
(単位:千円/人) - -
(年平均上昇率+6.6%)</t>
  </si>
  <si>
    <t>2030年度(事業化報告3年目) | 14,899
(年平均上昇率+26.3%) | 5,699
(年平均上昇率+6.6%)</t>
  </si>
  <si>
    <t>-
(年平均上昇率+6.6%)</t>
  </si>
  <si>
    <t>基準年度
(2028年3月期)</t>
  </si>
  <si>
    <t>11,873</t>
  </si>
  <si>
    <t>労働生産性
(単位:千円/人) | 11,873 | 23,050
(年平均上昇率+24.7%)</t>
  </si>
  <si>
    <t>事業化報告3年目
(2031年3月期)</t>
  </si>
  <si>
    <t>23,050</t>
  </si>
  <si>
    <t>7,292</t>
  </si>
  <si>
    <t>従業員1人あたり給与支給総額
(単位:千円/人) | 7,292 | 8,735
(年平均上昇率+6.2%)</t>
  </si>
  <si>
    <t>8,735</t>
  </si>
  <si>
    <t>役員1人あたり給与支給総額
(単位:千円/人) | - | -
(年平均上昇率+6.2%)</t>
  </si>
  <si>
    <t>補助事業に係る従業員数
(単位:人) | 250 | 272</t>
  </si>
  <si>
    <t>基準年度
(2028年3月期) | 11,873 | 7,292</t>
  </si>
  <si>
    <t>役員1人あたり給与支給総額
(単位:千円/人) - -
(年平均上昇率+6.2%)</t>
  </si>
  <si>
    <t>事業化報告3年目
(2031年3月期) | 23,050
(年平均上昇率+24.7%) | 8,735
(年平均上昇率+6.2%)</t>
  </si>
  <si>
    <t>6,025,906</t>
  </si>
  <si>
    <t>労働生産性
(単位:円/人) | 6,025,906円 | 15,331,462円
(年平均上昇率+36.5%)</t>
  </si>
  <si>
    <t>15,331,462</t>
  </si>
  <si>
    <t>3,740,890</t>
  </si>
  <si>
    <t>従業員1人あたり給与支給総額
(単位:円/人) | 3,740,890円 | 4,518,969円
(年平均上昇率+6.5%)</t>
  </si>
  <si>
    <t>4,518,969</t>
  </si>
  <si>
    <t>役員1人あたり給与支給総額
(単位:円/人) | - | -
(年平均上昇率+4.5%)</t>
  </si>
  <si>
    <t>補助事業に係る従業員数
(単位:人) | 90人 | 146人
(年平均上昇率+17.5%)</t>
  </si>
  <si>
    <t>146</t>
  </si>
  <si>
    <t>2026年度
(基準年度) | 6,025,906円 | 3,740,890円</t>
  </si>
  <si>
    <t>役員1人あたり給与支給総額
(単位:円/人) - -
(年平均上昇率+4.5%)</t>
  </si>
  <si>
    <t>2029年度
(基準年度+3年後) | 15,331,462円
(年平均上昇率+36.5%) | 4,518,969円
(年平均上昇率+6.5%)</t>
  </si>
  <si>
    <t>3,568</t>
  </si>
  <si>
    <t>労働生産性
(単位:万円/人) | 3,568 | 7,360
(年平均上昇率+27.3%)</t>
  </si>
  <si>
    <t>7,360</t>
  </si>
  <si>
    <t>738</t>
  </si>
  <si>
    <t>従業員1人あたり給与支給総額
(単位:万円/人) | 738 | 920
(年平均上昇率+7.6%)</t>
  </si>
  <si>
    <t>920</t>
  </si>
  <si>
    <t>補助事業に係る従業員数
(単位:人) | 11 | 62
(+51人)</t>
  </si>
  <si>
    <t>2027年6月期
(基準年度) | 3,568 | 738</t>
  </si>
  <si>
    <t>2030年6月期
(基準年度+3年後) | 7,360
(年平均上昇率+27.3%) | 920 .3
(年平均上昇率+7.6%)</t>
  </si>
  <si>
    <t>基準年度
(2027年度)</t>
  </si>
  <si>
    <t>11,314</t>
  </si>
  <si>
    <t>労働生産性
(単位:千円/人) | 11,314 | 45,711
(年平均上昇率+59.3%)</t>
  </si>
  <si>
    <t>事業化報告3年目
(2030年度)</t>
  </si>
  <si>
    <t>45,711</t>
  </si>
  <si>
    <t>4,238</t>
  </si>
  <si>
    <t>従業員1人あたり給与支給総額
(単位:千円/人) | 4,238 | 5,264
(年平均上昇率+7.5%)</t>
  </si>
  <si>
    <t>5,264</t>
  </si>
  <si>
    <t>役員1人あたり給与支給総額
(単位:千円/人) | - | -
(年平均上昇率+6.0%)</t>
  </si>
  <si>
    <t>補助事業に係る従業員数
(単位:人) | 48 | 62</t>
  </si>
  <si>
    <t>基準年度
(2027年度) | 11,314 | 4,238</t>
  </si>
  <si>
    <t>役員1人あたり給与支給総額
(単位:千円/人) - -
(年平均上昇率+6.0%)</t>
  </si>
  <si>
    <t>事業化報告3年目
(2030年度) | 45,711
(年平均上昇率+59.3%) | 5,264
(年平均上昇率+7.5%)</t>
  </si>
  <si>
    <t>12426</t>
  </si>
  <si>
    <t>労働生産性 26 105 , 12 426 , （単位：千円/人） （年平均上昇率＋28.1％）</t>
  </si>
  <si>
    <t>26105</t>
  </si>
  <si>
    <t>5675</t>
  </si>
  <si>
    <t>従業員1人あたり給与支給総額 6 95 目標値 , 3 5 675 , （単位：千円/人） （年平均上昇率＋7.0％）</t>
  </si>
  <si>
    <t>6953</t>
  </si>
  <si>
    <t>役員１人あたり給与支給総額 - - （年平均上昇率＋7.0％） （単位：千円/人）</t>
  </si>
  <si>
    <t>補助事業に係る従業員数 74 86 （単位：人）</t>
  </si>
  <si>
    <t>基準年度 | 12,426 | 5,675</t>
  </si>
  <si>
    <t>事業化報告3年目 | 26,105
(年平均上昇率+28.1%) | 6,953
(年平均上昇率+7.0%)</t>
  </si>
  <si>
    <t>10,686</t>
  </si>
  <si>
    <t>23,668 労働生産性 10,686 （年平均上昇率＋30. ％） (単位：千円/人) 4</t>
  </si>
  <si>
    <t>23,668</t>
  </si>
  <si>
    <t>4,681</t>
  </si>
  <si>
    <t>従業員1人あたり給与支給総額 5,734 4,681 目標値 （年平均上昇率＋7.0％） (単位：千円/人)</t>
  </si>
  <si>
    <t>5,734</t>
  </si>
  <si>
    <t>役員１人あたり給与支給総額 - - （年平均上昇率＋7.0％） (単位：千円/人)</t>
  </si>
  <si>
    <t>補助事業に係る従業員数 197 207 (単位：人)</t>
  </si>
  <si>
    <t>207</t>
  </si>
  <si>
    <t>基準年度 | 10,686 | 4,681</t>
  </si>
  <si>
    <t>事業化報告3年目 | 23,668
(年平均上昇率+30. %)
4 | 5,734 4
(年平均上昇率+7.0%)</t>
  </si>
  <si>
    <t>5,246,825</t>
  </si>
  <si>
    <t>労働生産性
(単位:円/人) | 5,246,825円 | 22,368,578円
(年平均上昇率+62.1%)</t>
  </si>
  <si>
    <t>22,368,578</t>
  </si>
  <si>
    <t>3,998,288</t>
  </si>
  <si>
    <t>従業員1人あたり給与支給総額
(単位:円/人) | 3,998,288円 | 4,694,730円
(年平均上昇率+5.5%)</t>
  </si>
  <si>
    <t>4,694,730</t>
  </si>
  <si>
    <t>補助事業に係る従業員数
(単位:人) | 32人 | 63人
(年平均上昇率+25.3%)</t>
  </si>
  <si>
    <t>2026年度
(基準年度) | 5,246,825円 | 3,998,288円</t>
  </si>
  <si>
    <t>2029年度
(基準年度+3年後) | 22,368,578円
(年平均上昇率+62.1%) | 4,694,730円
(年平均上昇率+5.5%)</t>
  </si>
  <si>
    <t>22,602</t>
  </si>
  <si>
    <t>べて圧倒的に高く、生産性を劇的に改善。 労働生産性 11,947 22,602 23.7% 標</t>
  </si>
  <si>
    <t>6,223</t>
  </si>
  <si>
    <t>値 住設機器通販事業の営業利益率 1.1% 従業員1人あたり給与支給総額 5,067 6,223 7.1%</t>
  </si>
  <si>
    <t>リゾート事業の営業利益率 36.6% 役員１人あたり給与支給総額 51.1% - - 補助事業に係る従業員数(※） 27 57 28.2% 次頁へ続く</t>
  </si>
  <si>
    <t>※ 従業員数：時間調整後</t>
  </si>
  <si>
    <t>11947</t>
  </si>
  <si>
    <t>リバイト | 2028年度（基準年度）: 11947 | 2031年度（基準年度+3年後）: 22602</t>
  </si>
  <si>
    <t>22602</t>
  </si>
  <si>
    <t>5067</t>
  </si>
  <si>
    <t>リバイト | 2028年度（基準年度）: 5067 | 2031年度（基準年度+3年後）: 6223</t>
  </si>
  <si>
    <t>6223</t>
  </si>
  <si>
    <t>リバイト | 2028年度（基準年度）: 27 | 2031年度（基準年度+3年後）: 57</t>
  </si>
  <si>
    <t>9,860</t>
  </si>
  <si>
    <t>労働生産性 15,912 9,860 （単位：千円/人） （年平均上昇率＋17.3％）</t>
  </si>
  <si>
    <t>15,912</t>
  </si>
  <si>
    <t>4,828</t>
  </si>
  <si>
    <t>従業員1人あたり給与支給総額 5,991 目標値 4,828 （年平均上昇率＋7.5％） （単位：千円/人）</t>
  </si>
  <si>
    <t>5,991</t>
  </si>
  <si>
    <t>役員１人あたり給与支給総額 - - （年平均上昇率＋4.９％） （単位：千円/人）</t>
  </si>
  <si>
    <t>補助事業に係る従業員数 70 93 （単位：人）</t>
  </si>
  <si>
    <t>基準年度 | 9,860 | 4,828</t>
  </si>
  <si>
    <t>役員1人あたり給与支給総額
(単位:千円/人) - -
(年平均上昇率+4.9%)</t>
  </si>
  <si>
    <t>事業化報告3年目 | 15,912
(年平均上昇率+17.3%) | 5,991
(年平均上昇率+7.5%)</t>
  </si>
  <si>
    <t>労働生産性
単位:万円/人) | 780万円 | 1,078万円
(年平均上昇率+11.4%)</t>
  </si>
  <si>
    <t>1,078</t>
  </si>
  <si>
    <t>事業に係る従業員数
(単位:人) | 57人 | 63人</t>
  </si>
  <si>
    <t>博多屋 | 2028年度（基準年度）: 262 | 2031年度（基準年度+3年後）: 321</t>
  </si>
  <si>
    <t>870</t>
  </si>
  <si>
    <t>博多屋 | 2028年度（基準年度）: 870 | 2031年度（基準年度+3年後）: 1056</t>
  </si>
  <si>
    <t>1056</t>
  </si>
  <si>
    <t>基準年度
2028年6月期</t>
  </si>
  <si>
    <t>6,539</t>
  </si>
  <si>
    <t>労働生産性
(単位:千円/人) | 6,539 | 21,814
(年平均上昇率+49.4%)</t>
  </si>
  <si>
    <t>事業化報告3年目
2031年6月期</t>
  </si>
  <si>
    <t>21,814</t>
  </si>
  <si>
    <t>4,682</t>
  </si>
  <si>
    <t>従業員1人あたり給与支給総額
(単位:千円/人) | 4,682 | 5,735
(年平均上昇率+7.0%)</t>
  </si>
  <si>
    <t>5,735</t>
  </si>
  <si>
    <t>17,310</t>
  </si>
  <si>
    <t>役員1人あたり給与支給総額
(単位:千円/人) | 17,310 | 20,211
(年平均上昇率+5.3%)</t>
  </si>
  <si>
    <t>20,211</t>
  </si>
  <si>
    <t>補助事業に係る従業員数
(単位:人) | 270 | 294</t>
  </si>
  <si>
    <t>6,647</t>
  </si>
  <si>
    <t>労働生産性 15,637 6,64 7 （単位：千円/人） （年平均上昇率＋33.0％）</t>
  </si>
  <si>
    <t>15,637</t>
  </si>
  <si>
    <t>3,874</t>
  </si>
  <si>
    <t>従業員1人あたり給与支給総額 4,746 目標値 3,874 （年平均上昇率＋7.0％） （単位：千円/人）</t>
  </si>
  <si>
    <t>4,746</t>
  </si>
  <si>
    <t>252</t>
  </si>
  <si>
    <t>補助事業に係る従業員数 252 274 （単位：人）</t>
  </si>
  <si>
    <t>基準年度 | 6,647 | 3,874</t>
  </si>
  <si>
    <t>事業化報告3年目 | 15,637
(年平均上昇率+33.0%) | 4,746
(年平均上昇率+7.0%)</t>
  </si>
  <si>
    <t>12,519</t>
  </si>
  <si>
    <t>労働生産性 28,886千円/人 12,519千円/人 （単位：千円/人） （年平均上昇率＋32.1％）</t>
  </si>
  <si>
    <t>28,886</t>
  </si>
  <si>
    <t>5,651</t>
  </si>
  <si>
    <t>従業員1人あたり給与支給総額 7,001千円/人 5,651千円/人 目標値 （年平均上昇率＋7.4％） （単位：千円/人）</t>
  </si>
  <si>
    <t>7,001</t>
  </si>
  <si>
    <t>役員１人あたり給与支給総額 - - （年平均上昇率＋6.6％） （単位：千円/人）</t>
  </si>
  <si>
    <t>補助事業に係る従業員数 209人 213人 （単位：人）</t>
  </si>
  <si>
    <t>4,760</t>
  </si>
  <si>
    <t>労働生産性 9,968千円/人 4,760千円/人 （単位：千円/人） （年平均上昇率＋27.9％）</t>
  </si>
  <si>
    <t>9,968</t>
  </si>
  <si>
    <t>3,838</t>
  </si>
  <si>
    <t>従業員1人あたり給与支給総額 4,754千円/人 3,838千円/人 目標値 （年平均上昇率＋7.4％） （単位：千円/人）</t>
  </si>
  <si>
    <t>4,754</t>
  </si>
  <si>
    <t>補助事業に係る従業員数 98人 100人 （単位：人）</t>
  </si>
  <si>
    <t>基準年度 | 12,519千円/人 | 5,651千円/人</t>
  </si>
  <si>
    <t>事業化報告3年目 | 28,886千円/人
(年平均上昇率+32.1%) | 7,001千円/人
(年平均上昇率+7.4%)</t>
  </si>
  <si>
    <t>基準年度(2026年度)</t>
  </si>
  <si>
    <t>9,669</t>
  </si>
  <si>
    <t>労働生産性
(単位:千円/人) | 9,669 | 17,259
(年平均上昇率+21.3%)</t>
  </si>
  <si>
    <t>事業化報告3年目(2029年度)</t>
  </si>
  <si>
    <t>17,259</t>
  </si>
  <si>
    <t>2,329</t>
  </si>
  <si>
    <t>従業員1人あたり給与支給総額
(単位:千円/人) | 2,329 | 2,837
(年平均上昇率+6.8%)</t>
  </si>
  <si>
    <t>2,837</t>
  </si>
  <si>
    <t>役員1人あたり給与支給総額
(単位:千円/人) | - | -
(年平均上昇率+6.8%)</t>
  </si>
  <si>
    <t>補助事業に係る従業員数
(単位:人) | 175 | 192</t>
  </si>
  <si>
    <t>基準年度(2026年度) | 9,669 | 2,329</t>
  </si>
  <si>
    <t>役員1人あたり給与支給総額
(単位:千円/人) - -
(年平均上昇率+6.8%)</t>
  </si>
  <si>
    <t>事業化報告3年目(2029年度) | 17,259
(年平均上昇率+21.3%) | 2,837 21.3
(年平均上昇率+6.8%)</t>
  </si>
  <si>
    <t>-
(年平均上昇率+6.8%)</t>
  </si>
  <si>
    <t>10,990</t>
  </si>
  <si>
    <t>22,26 労働生産性 8 10,990 （単位：千円/人） （年平均上昇率＋26.5％）</t>
  </si>
  <si>
    <t>22,268</t>
  </si>
  <si>
    <t>4,743</t>
  </si>
  <si>
    <t>5,810 従業員1人あたり給与支給総額 目標値 4,74 3 （年平均上昇率＋7.0％） （単位：千円/人）</t>
  </si>
  <si>
    <t>5,810</t>
  </si>
  <si>
    <t>補助事業に係る従業員数 123 168 （単位：人）</t>
  </si>
  <si>
    <t>基準年度 | 10,990 | 4,74
3</t>
  </si>
  <si>
    <t>事業化報告3年目 | 22,26
8
(年平均上昇率+26.5%) | 5,810
(年平均上昇率+7.0%)</t>
  </si>
  <si>
    <t>2,872</t>
  </si>
  <si>
    <t>5,843 労働生産性 2,872 （単位：千円/人） （年平均上昇率＋26.7％）</t>
  </si>
  <si>
    <t>5,843</t>
  </si>
  <si>
    <t>2,099 従業員1人あたり給与支給総額 目標値 1,723 （単位：千円/人） （年平均上昇率＋6.8％）</t>
  </si>
  <si>
    <t>2,099</t>
  </si>
  <si>
    <t>7,166</t>
  </si>
  <si>
    <t>8,415 役員１人あたり給与支給総額 7,166 （年平均上昇率＋5.5％） （単位：千円/人）</t>
  </si>
  <si>
    <t>8,415</t>
  </si>
  <si>
    <t>補助事業に係る従業員数 370 345（本社＋製造＋店舗の総人員） （増員の要因：製造体制強化＋新店舗出店) （単位：人）</t>
  </si>
  <si>
    <t>16,588</t>
  </si>
  <si>
    <t>労働生産性 42,499千円/人 16,588千円/人 （単位：千円/人） （年平均上昇率＋36.8％）</t>
  </si>
  <si>
    <t>42,499</t>
  </si>
  <si>
    <t>5,660</t>
  </si>
  <si>
    <t>従業員1人あたり給与支給総額 6,992千円/人 目標値 5,660千円/人 （年平均上昇率＋7.3％） （単位：千円/人）</t>
  </si>
  <si>
    <t>6,992</t>
  </si>
  <si>
    <t>役員１人あたり給与支給総額 - - （年平均上昇率＋7.3％） （単位：千円/人）</t>
  </si>
  <si>
    <t>補助事業に係る従業員数 58人 69人 （単位：人）</t>
  </si>
  <si>
    <t>69</t>
  </si>
  <si>
    <t>基準年度 | 16,588千円/人 | 5,660千円/人</t>
  </si>
  <si>
    <t>役員1人あたり給与支給総額
(単位:千円/人) - -
(年平均上昇率+7.3%)</t>
  </si>
  <si>
    <t>事業化報告3年目 | 42,499千円/人
(年平均上昇率+36.8%) | 6,992千円/人
(年平均上昇率+7.3%)</t>
  </si>
  <si>
    <t>-
(年平均上昇率+7.3%)</t>
  </si>
  <si>
    <t>基準年度
(2028年8月期)</t>
  </si>
  <si>
    <t>14,191</t>
  </si>
  <si>
    <t>労働生産性
(単位:千円/人) | 14,191 | 24,64
3
(年平均上昇率+20.2%)</t>
  </si>
  <si>
    <t>事業化報告3年目
(2031年8月期)</t>
  </si>
  <si>
    <t>24,643</t>
  </si>
  <si>
    <t>6,710</t>
  </si>
  <si>
    <t>従業員1人あたり給与支給総額
(単位:千円/人) | 6,710 | 8,111
(年平均上昇率+6.5%)</t>
  </si>
  <si>
    <t>8,111</t>
  </si>
  <si>
    <t>役員1人あたり給与支給総額
(単位:千円/人) | - | -</t>
  </si>
  <si>
    <t>154</t>
  </si>
  <si>
    <t>補助事業に係る従業員数
(単位:人) | 154 | 210</t>
  </si>
  <si>
    <t>9,492</t>
  </si>
  <si>
    <t>16,350 労働生産性 9,492 （単位：千円/人） （年平均上昇率＋19.9％）</t>
  </si>
  <si>
    <t>16,350</t>
  </si>
  <si>
    <t>4,941</t>
  </si>
  <si>
    <t>従業員1人あたり給与支給総額 5,94 目標値 8 4,941 （単位：千円/人） （年平均上昇率＋6.4％）</t>
  </si>
  <si>
    <t>5,948</t>
  </si>
  <si>
    <t>19,726</t>
  </si>
  <si>
    <t>役員１人あたり給与支給総額 23,642 19,726 （単位：千円/人） （年平均上昇率＋6.2％）</t>
  </si>
  <si>
    <t>23,642</t>
  </si>
  <si>
    <t>補助事業に係る従業員数 177 183 （単位：人）</t>
  </si>
  <si>
    <t>4,211</t>
  </si>
  <si>
    <t>労働生産性 11,494 4,211 （単位：千円/人） （年平均上昇率＋39.8％）</t>
  </si>
  <si>
    <t>11,494</t>
  </si>
  <si>
    <t>3,229</t>
  </si>
  <si>
    <t>従業員1人あたり給与支給総額 3,845 目標値 3,229 （年平均上昇率＋6.0％） （単位：千円/人）</t>
  </si>
  <si>
    <t>役員１人あたり給与支給総額 - - （年平均上昇率＋5.0％） （単位：千円/人）</t>
  </si>
  <si>
    <t>補助事業に係る従業員数 72 72 （単位：人）</t>
  </si>
  <si>
    <t>基準年度 | 4,211 | 3,229</t>
  </si>
  <si>
    <t>事業化報告3年目 | 11,494
(年平均上昇率+39.8%) | (年平均上昇率+39.8%)
3,845
(年平均上昇率+6.0%)</t>
  </si>
  <si>
    <t>(年平均上昇率+6.0%)
-
(年平均上昇率+5.0%)</t>
  </si>
  <si>
    <t>4,234</t>
  </si>
  <si>
    <t>労働生産性
(単位:千円/人) | 4,234 | 9,610
(年平均上昇率+31.4%)</t>
  </si>
  <si>
    <t>2030年5月期
(事業化報告3年目)</t>
  </si>
  <si>
    <t>9,610</t>
  </si>
  <si>
    <t>3,585</t>
  </si>
  <si>
    <t>従業員1人あたり給与支給総額
(単位:千円/人) | 3,585 | 4,270
(年平均上昇率+6.0%)</t>
  </si>
  <si>
    <t>4,270</t>
  </si>
  <si>
    <t>補助事業に係る従業員数
(単位:人) | 200 | 270</t>
  </si>
  <si>
    <t>2027年5月期
(基準年度) | 4,234 | 3,585</t>
  </si>
  <si>
    <t>2030年5月期
(事業化報告3年目) | 9,610
(年平均上昇率+31.4%) | (年平均上昇率+31.4%)
4,270
(年平均上昇率+6.0%)</t>
  </si>
  <si>
    <t>(年平均上昇率+6.0%)
-
(年平均上昇率+6.0%)</t>
  </si>
  <si>
    <t>7,087</t>
  </si>
  <si>
    <t>労働生産性 20,505千円/人 7,087千円/人 （単位：千円/人） （年平均上昇率＋42.5％）</t>
  </si>
  <si>
    <t>20,505</t>
  </si>
  <si>
    <t>4,979</t>
  </si>
  <si>
    <t>従業員1人あたり給与支給総額 5,973千円/人 目標値 4,979千円/人 （年平均上昇率＋6.3％） （単位：千円/人）</t>
  </si>
  <si>
    <t>5,973</t>
  </si>
  <si>
    <t>19,721</t>
  </si>
  <si>
    <t>役員１人あたり給与支給総額 23, 483千円/人 19,721千円/人 （年平均上昇率＋6.0％） （単位：千円/人）</t>
  </si>
  <si>
    <t>23,483</t>
  </si>
  <si>
    <t>補助事業に係る従業員数 128人 193人 （単位：人）</t>
  </si>
  <si>
    <t>14,378</t>
  </si>
  <si>
    <t>29,954千円 労働生産性 14,378千円 （単位：千円/人） （年平均上昇率＋27.7％）</t>
  </si>
  <si>
    <t>29,954</t>
  </si>
  <si>
    <t>6,413</t>
  </si>
  <si>
    <t>従業員1人あたり給与支給総額 7,96 千円 目標値 9 6,41 千円 3 （年平均上昇率＋7.5％） （単位：千円/人）</t>
  </si>
  <si>
    <t>7,969</t>
  </si>
  <si>
    <t>役員１人あたり給与支給総額 - - （年平均上昇率＋5.5％） （単位：千円/人）</t>
  </si>
  <si>
    <t>補助事業に係る従業員数 63人 115人 （単位：人）</t>
  </si>
  <si>
    <t>基準年度 | 14,378千円 | 6,41 千円
3</t>
  </si>
  <si>
    <t>役員1人あたり給与支給総額
(単位:千円/人) - -
(年平均上昇率+5.5%)</t>
  </si>
  <si>
    <t>事業化報告3年目 | 29,954千円
(年平均上昇率+27.7%) | 7,96 千円
9
(年平均上昇率+7.5%)</t>
  </si>
  <si>
    <t>21,403</t>
  </si>
  <si>
    <t>労働生産性 33,27 千円 5 21,40 千円 3 （年平均上昇率＋15.8％） （単位:千円/人）</t>
  </si>
  <si>
    <t>33,275</t>
  </si>
  <si>
    <t>7,512</t>
  </si>
  <si>
    <t>従業員1人あたり給与支給総額 10,02 千円 9 目標値 7,51 千円 2 （年平均上昇率＋10.1％） （単位:千円/人）</t>
  </si>
  <si>
    <t>10,029</t>
  </si>
  <si>
    <t>23,716</t>
  </si>
  <si>
    <t>役員１人あたり給与支給総額 31,56 千円 6 23,716千円 （年平均上昇率＋10.0％） （単位:千円/人）</t>
  </si>
  <si>
    <t>31,566</t>
  </si>
  <si>
    <t>補助事業に係る従業員数 104 140 （単位:人）</t>
  </si>
  <si>
    <t>12,516</t>
  </si>
  <si>
    <t>労働生産性 24,779 12,516 （単位：千円/人） （年平均上昇率＋25.6％）</t>
  </si>
  <si>
    <t>24,779</t>
  </si>
  <si>
    <t>5,613</t>
  </si>
  <si>
    <t>従業員1人あたり給与支給総額 7,136 目標値 5,61 3 （年平均上昇率＋8.3％） （単位：千円/人）</t>
  </si>
  <si>
    <t>7,136</t>
  </si>
  <si>
    <t>役員１人あたり給与支給総額 - - （年平均上昇率＋5.7％） （単位：千円/人）</t>
  </si>
  <si>
    <t>補助事業に係る従業員数 40 49 （単位：人）</t>
  </si>
  <si>
    <t>基準年度 | 12,516 | 5,613</t>
  </si>
  <si>
    <t>役員1人あたり給与支給総額
(単位:千円/人) - -
(年平均上昇率+5.7%)</t>
  </si>
  <si>
    <t>事業化報告3年目 | 24,779
(年平均上昇率+25.6%) | 7,136
(年平均上昇率+8.3%)</t>
  </si>
  <si>
    <t>-
(年平均上昇率+5.7%)</t>
  </si>
  <si>
    <t>29,819</t>
  </si>
  <si>
    <t>46,0 労働生産性 30 29,81 9 （単位:千円/人） （年平均上昇率＋1 ％） 5.6</t>
  </si>
  <si>
    <t>46,030</t>
  </si>
  <si>
    <t>6,506</t>
  </si>
  <si>
    <t>7,971 従業員1人あたり給与支給総額 目標値 6,50 6 （年平均上昇率＋7.0％） （単位:千円/人）</t>
  </si>
  <si>
    <t>7,971</t>
  </si>
  <si>
    <t>役員1人あたり給与支給総額 - - （単位:千円/人）</t>
  </si>
  <si>
    <t>補助事業に係る従業員数 16 46 （単位:人）</t>
  </si>
  <si>
    <t>2027年2月期
(基準年度)</t>
  </si>
  <si>
    <t>648</t>
  </si>
  <si>
    <t>労働生産性
(単位:万円/人) | 648 | 877
(年平均上昇率+10.6%)</t>
  </si>
  <si>
    <t>2030年2月期
(基準年度+3年後)</t>
  </si>
  <si>
    <t>従業員1人あたり給与支給総額
(単位:万円/人) | 455 | 573
(年平均上昇率+8.0%)</t>
  </si>
  <si>
    <t>役員1人あたり給与支給総額
(単位:万円/人) | 1,902 | 2,396
(年平均上昇率+8.0%)</t>
  </si>
  <si>
    <t>補助事業に係る従業員数
(単位:人) | 1,332 | 1,857</t>
  </si>
  <si>
    <t>1,857</t>
  </si>
  <si>
    <t>5,031</t>
  </si>
  <si>
    <t>労働生産性 11,248 5,03 1 （単位：千円/人） （年平均上昇率＋30.8％）</t>
  </si>
  <si>
    <t>11,248</t>
  </si>
  <si>
    <t>3,481</t>
  </si>
  <si>
    <t>従業員1人あたり給与支給総額 4,205 目標値 3,481 （年平均上昇率＋6.5％） （単位：千円/人）</t>
  </si>
  <si>
    <t>4,205</t>
  </si>
  <si>
    <t>役員１人あたり給与支給総額 - - （年平均上昇率＋6.5％） （単位：千円/人）</t>
  </si>
  <si>
    <t>補助事業に係る従業員数 123 13 2 （単位：人）</t>
  </si>
  <si>
    <t>基準年度 | 5,031 | 3,481</t>
  </si>
  <si>
    <t>事業化報告3年目 | 11,248
(年平均上昇率+30.8%) | 4,205
(年平均上昇率+6.5%)</t>
  </si>
  <si>
    <t>10,694</t>
  </si>
  <si>
    <t>労働生産性 10,694千円/人 16,855千円/人（年平均上昇率＋16.4％） （単位：千円/人）</t>
  </si>
  <si>
    <t>16,855</t>
  </si>
  <si>
    <t>3,878</t>
  </si>
  <si>
    <t>従業員1人あたり給与支給総額 目標値 3,878千円/人 4,685千円/人（年平均上昇率＋6.5％） （単位：千円/人）</t>
  </si>
  <si>
    <t>4,685</t>
  </si>
  <si>
    <t>11,109</t>
  </si>
  <si>
    <t>役員１人あたり給与支給総額 11,109千円/人 12,970千円/人（年平均上昇率＋5.3％） （単位：千円/人）</t>
  </si>
  <si>
    <t>12,970</t>
  </si>
  <si>
    <t>補助事業に係る従業員数 70人 75人 （単位：人）</t>
  </si>
  <si>
    <t>7,920</t>
  </si>
  <si>
    <t>労働生産性 13,621 7,920 （単位：千円/人） （年平均上昇率＋19.8％）</t>
  </si>
  <si>
    <t>13,621</t>
  </si>
  <si>
    <t>5,527</t>
  </si>
  <si>
    <t>従業員1人あたり給与支給総額 6,678 目標値 5,527 （年平均上昇率＋6.5％） （単位：千円/人）</t>
  </si>
  <si>
    <t>6,678</t>
  </si>
  <si>
    <t>275</t>
  </si>
  <si>
    <t>補助事業に係る従業員数 275 284 （単位：人）</t>
  </si>
  <si>
    <t>基準年度 | 7,920 | 5,527</t>
  </si>
  <si>
    <t>事業化報告3年目 | 13,621
(年平均上昇率+19.8%) | 6,678
(年平均上昇率+6.5%)</t>
  </si>
  <si>
    <t>16,910</t>
  </si>
  <si>
    <t>労働生産性 57,002千円/人 16,910千円/人 （単位：千円/人） （年平均上昇率＋49.9％）</t>
  </si>
  <si>
    <t>57,002</t>
  </si>
  <si>
    <t>4,738</t>
  </si>
  <si>
    <t>従業員1人あたり給与支給総額 5,820千円/人 目標値 4,738千円/人 （年平均上昇率＋7.1％） （単位：千円/人）</t>
  </si>
  <si>
    <t>5,820</t>
  </si>
  <si>
    <t>- 役員１人あたり給与支給総額 - （年平均上昇率＋5.5％） （単位：千円/人）</t>
  </si>
  <si>
    <t>補助事業に係る従業員数 35人（＋10人） 25人 （単位：人）</t>
  </si>
  <si>
    <t>16,910千円/人 | 4,738千円/人</t>
  </si>
  <si>
    <t>57,002千円/人
(年平均上昇率+49.9%) | (年平均上昇率+49.9%)
5,820千円/人
(年平均上昇率+7.1%)</t>
  </si>
  <si>
    <t>(年平均上昇率+7.1%)
-
(年平均上昇率+5.5%)</t>
  </si>
  <si>
    <t>10,225</t>
  </si>
  <si>
    <t>労働⽣産性 16,783千円/⼈ 10,225千円/⼈ （単位︓千円/⼈） （年平均上昇率＋18.0％）</t>
  </si>
  <si>
    <t>16,783</t>
  </si>
  <si>
    <t>4,103</t>
  </si>
  <si>
    <t>従業員1⼈あたり給与⽀給総額 5,026千円/⼈ 4,103千円/⼈ ⽬標値 （年平均上昇率＋7.0％） （単位︓千円/⼈）</t>
  </si>
  <si>
    <t>5,026</t>
  </si>
  <si>
    <t>役員１⼈あたり給与⽀給総額 - - （単位︓千円/⼈） （年平均上昇率＋5.0％）</t>
  </si>
  <si>
    <t>補助事業に係る従業員数 327⼈ 350⼈ （単位︓⼈）</t>
  </si>
  <si>
    <t>24,654</t>
  </si>
  <si>
    <t>24,654 労働生産性 8,056 （単位：千円/人） （年平均上昇率＋45. ％） 2</t>
  </si>
  <si>
    <t>8,056</t>
  </si>
  <si>
    <t>6,282</t>
  </si>
  <si>
    <t>目標値 6,28 従業員1人あたり給与支給総額 2 5,22 1 （年平均上昇率＋6. ％） （単位：千円/人） 4</t>
  </si>
  <si>
    <t>5,221</t>
  </si>
  <si>
    <t>役員１人あたり給与支給総額 - - （年平均上昇率＋6.0％） （単位：千円/人）</t>
  </si>
  <si>
    <t>補助事業に係る従業員数 136 142 （単位：人）</t>
  </si>
  <si>
    <t>142</t>
  </si>
  <si>
    <t>8056</t>
  </si>
  <si>
    <t>MHT | 基準年度: 8056 | 基準年度+3年後: 24654</t>
  </si>
  <si>
    <t>24654</t>
  </si>
  <si>
    <t>5221</t>
  </si>
  <si>
    <t>MHT | 基準年度: 5221 | 基準年度+3年後: 6282</t>
  </si>
  <si>
    <t>6282</t>
  </si>
  <si>
    <t>MHT | 基準年度: 136 | 基準年度+3年後: 142</t>
  </si>
  <si>
    <t>6,483</t>
  </si>
  <si>
    <t>労働生産性 １３，９５ 3 ６，４８３ （単位：千円/人） （年平均上昇率＋２９．１％）</t>
  </si>
  <si>
    <t>13,953</t>
  </si>
  <si>
    <t>4,500</t>
  </si>
  <si>
    <t>従業員1人あたり給与支給総額 ５，３ 目標値 60 ４，５００ （年平均上昇率＋６．０％） （単位：千円/人）</t>
  </si>
  <si>
    <t>5,360</t>
  </si>
  <si>
    <t>役員１人あたり給与支給総額 - - （年平均上昇率＋６．０％） （単位：千円/人）</t>
  </si>
  <si>
    <t>97</t>
  </si>
  <si>
    <t>補助事業に係る従業員数 ９７ １２７ （単位：人）</t>
  </si>
  <si>
    <t>PDF表目視確認 | 2028年度（基準年度）: 97 | 2031年度（基準年度+3年後）: 127</t>
  </si>
  <si>
    <t>基準年度 | 6,483 | 4,500</t>
  </si>
  <si>
    <t>事業化報告3年目 | 13,953
(年平均上昇率+29.1%) | 5,360
(年平均上昇率+6.0%)</t>
  </si>
  <si>
    <t>24,686</t>
  </si>
  <si>
    <t>労働生産性 60,67 6 24,686 （単位：千円/人） （年平均上昇率＋35.0％）</t>
  </si>
  <si>
    <t>60,676</t>
  </si>
  <si>
    <t>7,187</t>
  </si>
  <si>
    <t>従業員1人あたり給与支給総額 8,676 目標値 7,18 7 （年平均上昇率6. ％） （単位：千円/人） 5</t>
  </si>
  <si>
    <t>8,676</t>
  </si>
  <si>
    <t>役員１人あたり給与支給総額 - - （年平均上昇率6.4％） （単位：千円/人）</t>
  </si>
  <si>
    <t>補助事業に係る従業員数 117 134 （単位：人）</t>
  </si>
  <si>
    <t>134</t>
  </si>
  <si>
    <t>6,383</t>
  </si>
  <si>
    <t>労働生産性 8,567千円 6,383千円 （単位：千円/人） （年平均上昇率＋10.3％）</t>
  </si>
  <si>
    <t>8,567</t>
  </si>
  <si>
    <t>4,536</t>
  </si>
  <si>
    <t>従業員1人あたり給与支給総額 5,479千円 目標値 4,536千円 （年平均上昇率＋6.5％） （単位：千円/人）</t>
  </si>
  <si>
    <t>5,479</t>
  </si>
  <si>
    <t>697</t>
  </si>
  <si>
    <t>補助事業に係る従業員数 697人 750人 （単位：人）</t>
  </si>
  <si>
    <t>基準年度 | 6,383千円 | 4,536千円</t>
  </si>
  <si>
    <t>事業化報告3年目 | 8,567千円
(年平均上昇率+10.3%) | 5,479千円
(年平均上昇率+6.5%)</t>
  </si>
  <si>
    <t>9,544</t>
  </si>
  <si>
    <t>26,440千円 労働生産性 9,544千円 （年平均上昇率＋40 ％） （単位：千円/人） .4</t>
  </si>
  <si>
    <t>26,440</t>
  </si>
  <si>
    <t>6,106</t>
  </si>
  <si>
    <t>従業員1人あたり給与支給総額 7,375千円 目標値 6,106千円 （単位：千円/人） （年平均上昇率＋6.5％）</t>
  </si>
  <si>
    <t>7,375</t>
  </si>
  <si>
    <t>役員１人あたり給与支給総額 - - （単位：千円/人） （年平均上昇率＋6.5％）</t>
  </si>
  <si>
    <t>補助事業に係る従業員数 82人 88人 （単位：人）</t>
  </si>
  <si>
    <t>基準年度 | 9,544千円 | 6,106千円</t>
  </si>
  <si>
    <t>事業化報告3年目 | 26,440千円
(年平均上昇率+40.4%) | 7,375千円 .4
(年平均上昇率+6.5%)</t>
  </si>
  <si>
    <t>14,783</t>
  </si>
  <si>
    <t>労働生産性 21,274 14,783 （単位：千円/人） （年平均上昇率＋12.9％）</t>
  </si>
  <si>
    <t>21,274</t>
  </si>
  <si>
    <t>4,692</t>
  </si>
  <si>
    <t>従業員1人あたり給与支給総額 目標値 5,51 5 4,692 （年平均上昇率＋5.5％） （単位：千円/人）</t>
  </si>
  <si>
    <t>5,515</t>
  </si>
  <si>
    <t>役員１人あたり給与支給総額 - - （年平均上昇率＋0％） （単位：千円/人）</t>
  </si>
  <si>
    <t>補助事業に係る従業員数 54 84 （単位：人）</t>
  </si>
  <si>
    <t>14,812</t>
  </si>
  <si>
    <t>労働生産性 30,95 9 14,81 2 （単位：千円/人） （年平均上昇率＋27. ％） 9</t>
  </si>
  <si>
    <t>30,959</t>
  </si>
  <si>
    <t>3,705</t>
  </si>
  <si>
    <t>従業員1人あたり給与支給総額 4,475 目標値 3,705 （年平均上昇率＋6.5％） （単位：千円/人）</t>
  </si>
  <si>
    <t>4,475</t>
  </si>
  <si>
    <t>補助事業に係る従業員数 33 48 （単位：人）</t>
  </si>
  <si>
    <t>基準年度(2027年度ー2028年3月期)
小数点以下切り捨て | 14,783 | 4,692</t>
  </si>
  <si>
    <t>役員1人あたり給与支給総額
(単位:千円/人) - -
(年平均上昇率+0%)</t>
  </si>
  <si>
    <t>事業化報告3年目 | 21,274
(年平均上昇率+12.9%) | 5,515
(年平均上昇率+5.5%)</t>
  </si>
  <si>
    <t>66,170</t>
  </si>
  <si>
    <t>労働生産性（単位：千円/人） 66,170 125,750（年平均上昇率＋23. ％） 9</t>
  </si>
  <si>
    <t>125,750</t>
  </si>
  <si>
    <t>5,067</t>
  </si>
  <si>
    <t>目標値 従業員1人あたり給与支給総額（単位：千円/人） 5,067 6,383（年平均上昇率＋8.0％）</t>
  </si>
  <si>
    <t>役員１人あたり給与支給総額（単位：千円/人） （年平均上昇率＋6.50％） - -</t>
  </si>
  <si>
    <t>補助事業に係る従業員数（単位：人） 38 40</t>
  </si>
  <si>
    <t>基準年度 | 66,170 | 5,067</t>
  </si>
  <si>
    <t>役員1人あたり給与支給総額(単位:千円/人) - -(年平均上昇率+6.50%)</t>
  </si>
  <si>
    <t>事業化報告3年目 | 125,750(年平均上昇率+23.9%) | 6,383(年平均上昇率+8.0%9)</t>
  </si>
  <si>
    <t>-(年平均上昇率+6.50%)</t>
  </si>
  <si>
    <t>5,866</t>
  </si>
  <si>
    <t>労働生産性 16,506 5,866 （単位：千円/人） （年平均上昇率＋41.2％）</t>
  </si>
  <si>
    <t>16,506</t>
  </si>
  <si>
    <t>3,463</t>
  </si>
  <si>
    <t>従業員1人あたり給与支給総額 4,148 目標値 3,463 （年平均上昇率＋6.2％） （単位：千円/人）</t>
  </si>
  <si>
    <t>4,148</t>
  </si>
  <si>
    <t>役員１人あたり給与支給総額 - - （年平均上昇率＋6.2％） （単位：千円/人）</t>
  </si>
  <si>
    <t>補助事業に係る従業員数 58 91 （単位：人）</t>
  </si>
  <si>
    <t>基準年度 | 5,866 | 3,463</t>
  </si>
  <si>
    <t>事業化報告3年目 | 16,506
(年平均上昇率+41.2%) | (年平均上昇率+41.2%)
4,148
(年平均上昇率+6.2%)</t>
  </si>
  <si>
    <t>(年平均上昇率+6.2%)
-
(年平均上昇率+6.2%)</t>
  </si>
  <si>
    <t>10,345</t>
  </si>
  <si>
    <t>労働生産性 20,065 10,34 5 （単位：千円/人） （年平均上昇率＋24.7％）</t>
  </si>
  <si>
    <t>20,065</t>
  </si>
  <si>
    <t>3,869</t>
  </si>
  <si>
    <t>従業員1人あたり給与支給総額 4,674 目標値 3,869 （年平均上昇率＋6.5％） （単位：千円/人）</t>
  </si>
  <si>
    <t>4,674</t>
  </si>
  <si>
    <t>役員１人あたり給与支給総額 - - （年平均上昇率＋5.8％） （単位：千円/人）</t>
  </si>
  <si>
    <t>補助事業に係る従業員数 55 65 （単位：人）</t>
  </si>
  <si>
    <t>基準年度 | 10,345 | 3,869</t>
  </si>
  <si>
    <t>役員1人あたり給与支給総額
(単位:千円/人) - -
(年平均上昇率+5.8%)</t>
  </si>
  <si>
    <t>事業化報告3年目 | 20,065
(年平均上昇率+24.7%) | 4,674
(年平均上昇率+6.5%)</t>
  </si>
  <si>
    <t>-
(年平均上昇率+5.8%)</t>
  </si>
  <si>
    <t>9,956</t>
  </si>
  <si>
    <t>労働生産性 28,294 9,956 （単位：千円/人） （年平均上昇率＋41.6％）</t>
  </si>
  <si>
    <t>28,294</t>
  </si>
  <si>
    <t>6,046</t>
  </si>
  <si>
    <t>従業員1人あたり給与支給総額 7,305 目標値 6,046 （年平均上昇率＋6.5％） （単位：千円/人）</t>
  </si>
  <si>
    <t>7,305</t>
  </si>
  <si>
    <t>補助事業に係る従業員数 75 90 （単位：人）</t>
  </si>
  <si>
    <t>基準年度 | 9,956 | 6,046</t>
  </si>
  <si>
    <t>事業化報告3年目 | 28,294
(年平均上昇率+41.6%) | 7,305
(年平均上昇率+6.5%)</t>
  </si>
  <si>
    <t>9,341</t>
  </si>
  <si>
    <t>労働生産性（単位：千円/人） 9,341 16,690（年平均上昇率＋21.3％） 目標値</t>
  </si>
  <si>
    <t>16,690</t>
  </si>
  <si>
    <t>4,136</t>
  </si>
  <si>
    <t>従業員1人あたり給与支給総額（単位：千円/人） 4,136 5,067（年平均上昇率＋7.0％） (全社＝ 補助事業）</t>
  </si>
  <si>
    <t>役員１人あたり給与支給総額（単位：千円/人） （年平均上昇率＋5.3％） - -</t>
  </si>
  <si>
    <t>補助事業に係る従業員数（単位：人） 190 199</t>
  </si>
  <si>
    <t>199</t>
  </si>
  <si>
    <t>基準年度 | 9,341 | 4,136</t>
  </si>
  <si>
    <t>役員1人あたり給与支給総額(単位:千円/人) - -(年平均上昇率+5.3%)</t>
  </si>
  <si>
    <t>事業化報告3年目 | 16,690(年平均上昇率+21.3%) | 5,067(年平均上昇率+7.0%)</t>
  </si>
  <si>
    <t>-(年平均上昇率+5.3%)</t>
  </si>
  <si>
    <t>51,556</t>
  </si>
  <si>
    <t>労働生産性 162,123 51,556 （単位:千円/人） （年平均上昇率＋46.5％）</t>
  </si>
  <si>
    <t>162,123</t>
  </si>
  <si>
    <t>従業員1人あたり給与支給総額 4,630 目標値 2,640 （年平均上昇率＋20.6％） （単位:千円/人）</t>
  </si>
  <si>
    <t>4,630</t>
  </si>
  <si>
    <t>18,000</t>
  </si>
  <si>
    <t>役員１人あたり給与支給総額 60,000 18,000 （年平均上昇率＋49.4％） （単位:千円/人）</t>
  </si>
  <si>
    <t>60,000</t>
  </si>
  <si>
    <t>補助事業に係る従業員数 16 33 （単位:人）</t>
  </si>
  <si>
    <t>-1,881</t>
  </si>
  <si>
    <t>労働生産性
(単位:千円/人) | -1,881 | 25,21
2</t>
  </si>
  <si>
    <t>25,212</t>
  </si>
  <si>
    <t>8,089</t>
  </si>
  <si>
    <t>従業員1人あたり給与支給総額
(単位:千円/人) | 8,089 | 9,89 (年平均+6.9%)
3</t>
  </si>
  <si>
    <t>9,89</t>
  </si>
  <si>
    <t>役員1人あたり給与支給総額
(単位:千円/人) | - | (年平均+5.8%)
-</t>
  </si>
  <si>
    <t>補助事業に係る従業員数
(単位:人) | 47 | 138(年平均+43.2%)</t>
  </si>
  <si>
    <t>138</t>
  </si>
  <si>
    <t>1881</t>
  </si>
  <si>
    <t>PDF表目視確認 | 2027年度（基準年度）: 1881 | 2030年度（基準年度+3年後）: 2512</t>
  </si>
  <si>
    <t>2512</t>
  </si>
  <si>
    <t>8089</t>
  </si>
  <si>
    <t>PDF表目視確認 | 2027年度（基準年度）: 8089 | 2030年度（基準年度+3年後）: 9893</t>
  </si>
  <si>
    <t>9893</t>
  </si>
  <si>
    <t>PDF表目視確認 | 2027年度（基準年度）: 47 | 2030年度（基準年度+3年後）: 138</t>
  </si>
  <si>
    <t>9,008</t>
  </si>
  <si>
    <t>労働生産性 14,366千円/人 9,008千円/人 （単位：千円/人） （年平均上昇率＋16.8％）</t>
  </si>
  <si>
    <t>14,366</t>
  </si>
  <si>
    <t>6,037</t>
  </si>
  <si>
    <t>従業員1人あたり給与支給総額 7,089千円/人 6,037千円/人 目標値 （年平均上昇率＋5.5％） （単位：千円/人）</t>
  </si>
  <si>
    <t>7,089</t>
  </si>
  <si>
    <t>補助事業に係る従業員数 442人 451人 （単位：人）</t>
  </si>
  <si>
    <t>基準年度 | 9,008千円/人 | 6,037千円/人</t>
  </si>
  <si>
    <t>事業化報告3年目 | 14,366千円/人
(年平均上昇率+16.8%) | 7,089千円/人
(年平均上昇率+5.5%)</t>
  </si>
  <si>
    <t>9,985</t>
  </si>
  <si>
    <t>労働生産性 23,175 9,985 （単位：千円/人） （年平均上昇率＋32.4％）</t>
  </si>
  <si>
    <t>23,175</t>
  </si>
  <si>
    <t>4,748</t>
  </si>
  <si>
    <t>従業員1人あたり給与支給総額 5,998 目標値 4,748 （年平均上昇率＋8.1％） （単位：千円/人）</t>
  </si>
  <si>
    <t>5,998</t>
  </si>
  <si>
    <t>補助事業に係る従業員数 83 94 （単位：人）</t>
  </si>
  <si>
    <t>基準年度 | 9,985 | 4,748</t>
  </si>
  <si>
    <t>事業化報告3年目 | 23,175
(年平均上昇率+32.4%) | 5,998
(年平均上昇率+8.1%)</t>
  </si>
  <si>
    <t>5,804</t>
  </si>
  <si>
    <t>労働生産性
(単位:千円/人) | 5,804 | 10,024
(年平均上昇率+20.0%)</t>
  </si>
  <si>
    <t>10,024</t>
  </si>
  <si>
    <t>3,942</t>
  </si>
  <si>
    <t>従業員1人あたり給与支給総額
(単位:千円/人) | 3,942 | 4,619
(年平均上昇率+5.4%)</t>
  </si>
  <si>
    <t>4,619</t>
  </si>
  <si>
    <t>役員1人あたり給与支給総額
(単位:千円/人) | - | -
(年平均上昇率+7.0%)</t>
  </si>
  <si>
    <t>554</t>
  </si>
  <si>
    <t>補助事業に係る従業員数
(単位:人) | 554 | 599</t>
  </si>
  <si>
    <t>2027年度(基準年度) | 5,804 | 3,942</t>
  </si>
  <si>
    <t>2030年度(事業化報告3年目) | 10,024
(年平均上昇率+20.0%) | 4,619
(年平均上昇率+5.4%)</t>
  </si>
  <si>
    <t>5,394</t>
  </si>
  <si>
    <t>労働生産性 8,49 千円/人 2 5,394千円/人 （単位：千円/人） （年平均上昇率＋16.3％）</t>
  </si>
  <si>
    <t>8,492</t>
  </si>
  <si>
    <t>2,625</t>
  </si>
  <si>
    <t>従業員1人あたり給与支給総額 3,32 千円/人 目標値 9 2,62 千円/人 5 （年平均上昇率＋ . ％） （単位：千円/人） 8 2</t>
  </si>
  <si>
    <t>3,329</t>
  </si>
  <si>
    <t>役員１人あたり給与支給総額 - - （単位：千円/人）</t>
  </si>
  <si>
    <t>359</t>
  </si>
  <si>
    <t>補助事業に係る従業員数 359人 人 329 （単位：人）</t>
  </si>
  <si>
    <t>329</t>
  </si>
  <si>
    <t>労働生産性
(単位:万円/人) | 1,074万円/人 | 2,821万円/人
(年平均上昇率+38.0%)</t>
  </si>
  <si>
    <t>2,821</t>
  </si>
  <si>
    <t>445</t>
  </si>
  <si>
    <t>従業員1人あたり給与支給総額
(単位:万円/人) | 445万円/人 | 568万円/人
(年平均上昇率+8.5%)</t>
  </si>
  <si>
    <t>補助事業に係る従業員数
(単位:人) | 12人 | 18人</t>
  </si>
  <si>
    <t>2027年度
(基準年度) | 1,074万円/人 | 445万円/人</t>
  </si>
  <si>
    <t>2030年度
(基準年度+3年後) | 2,821万円/人
(年平均上昇率+38.0%) | 568万円/人8 0
(年平均上昇率+8.5%)</t>
  </si>
  <si>
    <t>15,758</t>
  </si>
  <si>
    <t>労働生産性
(単位:千円/人) | 15,758 | 22,484
(年平均上昇率+12.6%)</t>
  </si>
  <si>
    <t>22,484</t>
  </si>
  <si>
    <t>6,164</t>
  </si>
  <si>
    <t>従業員1人あたり給与支給総額
(単位:千円/人) | 6,164 | 7,445
(年平均上昇率+6.5%)</t>
  </si>
  <si>
    <t>7,445</t>
  </si>
  <si>
    <t>補助事業に係る従業員数
(単位:人) | 425 | 613</t>
  </si>
  <si>
    <t>613</t>
  </si>
  <si>
    <t>2027年度
(基準年度) | 15,758 | 6,164</t>
  </si>
  <si>
    <t>2030年度
(基準年度+3年後) | 22,484
(年平均上昇率+12.6%) | 7,445 6
(年平均上昇率+6.5%)</t>
  </si>
  <si>
    <t>労働生産性 千円/人 6,972 14,561 27.8% 従業員1人あたり 千円/人 5,031 6,163 7.0% 目標値 給与支給総額 役員１人あたり 千円/人 7.0% - - 給与支給総額 補助事業に係る</t>
  </si>
  <si>
    <t>人 240 261 2.8% 従業員数 新工場イメージ / レイアウト（図面）</t>
  </si>
  <si>
    <t>6972</t>
  </si>
  <si>
    <t>日電精密工業 | 基準年度: 6972 | 基準年度+3年後: 14561</t>
  </si>
  <si>
    <t>14561</t>
  </si>
  <si>
    <t>5031</t>
  </si>
  <si>
    <t>日電精密工業 | 基準年度: 5031 | 基準年度+3年後: 6163</t>
  </si>
  <si>
    <t>6163</t>
  </si>
  <si>
    <t>日電精密工業 | 基準年度: 240 | 基準年度+3年後: 261</t>
  </si>
  <si>
    <t>32,134</t>
  </si>
  <si>
    <t>労働生産性 32,134 15,160 （単位：千円/人） (年平均上昇率+28.5%）</t>
  </si>
  <si>
    <t>15,160</t>
  </si>
  <si>
    <t>7,891</t>
  </si>
  <si>
    <t>従業員1人あたり給与支給総額 7,891 目標値 6,264 （年平均上昇率＋8.0％） （単位：千円/人）</t>
  </si>
  <si>
    <t>6,264</t>
  </si>
  <si>
    <t>補助事業に係る従業員数 145 180 （単位：人）</t>
  </si>
  <si>
    <t>15160</t>
  </si>
  <si>
    <t>石坂産業 | 基準年度: 15160 | 基準年度+3年後: 32134</t>
  </si>
  <si>
    <t>32134</t>
  </si>
  <si>
    <t>6264</t>
  </si>
  <si>
    <t>石坂産業 | 基準年度: 6264 | 基準年度+3年後: 7891</t>
  </si>
  <si>
    <t>7891</t>
  </si>
  <si>
    <t>石坂産業 | 基準年度: 145 | 基準年度+3年後: 180</t>
  </si>
  <si>
    <t>基準年度 | 15,160 | 6,264</t>
  </si>
  <si>
    <t>事業化報告3年目 | 32,134
(年平均上昇率+28.5%) | 7,891
(年平均上昇率+8.0%)</t>
  </si>
  <si>
    <t>4,602</t>
  </si>
  <si>
    <t>労働生産性 | 4,60
2 | 9,03
9
(年平均上昇率+25.2%)</t>
  </si>
  <si>
    <t>9,039</t>
  </si>
  <si>
    <t>従業員数(人) |  |</t>
  </si>
  <si>
    <t>4602</t>
  </si>
  <si>
    <t>吉田海運ロジソリューションズ | 2027年度（基準年度）: 4602 | 2030年度（基準年度+3年後）: 9039</t>
  </si>
  <si>
    <t>9039</t>
  </si>
  <si>
    <t>3298</t>
  </si>
  <si>
    <t>吉田海運ロジソリューションズ | 2027年度（基準年度）: 3298 | 2030年度（基準年度+3年後）: 4040</t>
  </si>
  <si>
    <t>4040</t>
  </si>
  <si>
    <t>10000</t>
  </si>
  <si>
    <t>吉田海運ロジソリューションズ | 2027年度（基準年度）: 10000 | 2030年度（基準年度+3年後）: 12250</t>
  </si>
  <si>
    <t>12250</t>
  </si>
  <si>
    <t>687</t>
  </si>
  <si>
    <t>吉田海運ロジソリューションズ | 2027年度（基準年度）: 687 | 2030年度（基準年度+3年後）: 724</t>
  </si>
  <si>
    <t>36,767</t>
  </si>
  <si>
    <t>労働生産性 66,038 36,767 （単位：千円/人） （年平均上昇率＋21.6％）</t>
  </si>
  <si>
    <t>66,038</t>
  </si>
  <si>
    <t>5,470</t>
  </si>
  <si>
    <t>従業員1人あたり給与支給総額 5,470 目標値 4.342 （年平均上昇率＋8.0％） （単位：千円/人）</t>
  </si>
  <si>
    <t>4.342</t>
  </si>
  <si>
    <t>役員１人あたり給与支給総額 - - （年平均上昇率＋8.0％） （単位：千円/人）</t>
  </si>
  <si>
    <t>補助事業に係る従業員数(役員含まず） 35 100 （単位：人）</t>
  </si>
  <si>
    <t>36767</t>
  </si>
  <si>
    <t>PDF表目視確認 | 2028年度（基準年度）: 36767 | 2031年度（基準年度+3年後）: 66038</t>
  </si>
  <si>
    <t>66038</t>
  </si>
  <si>
    <t>4342</t>
  </si>
  <si>
    <t>PDF表目視確認 | 2028年度（基準年度）: 4342 | 2031年度（基準年度+3年後）: 5470</t>
  </si>
  <si>
    <t>5470</t>
  </si>
  <si>
    <t>PDF表目視確認 | 2028年度（基準年度）: 35 | 2031年度（基準年度+3年後）: 100</t>
  </si>
  <si>
    <t>基準年度 | 36,767 | 4.342</t>
  </si>
  <si>
    <t>役員1人あたり給与支給総額
(単位:千円/人) - -
(年平均上昇率+8.0%)</t>
  </si>
  <si>
    <t>事業化報告3年目 | 66,038
(年平均上昇率+21.6%) | 5,470
(年平均上昇率+8.0%)</t>
  </si>
  <si>
    <t>17,445</t>
  </si>
  <si>
    <t>32,75 千円/人 労働生産性 2 17,445千円/人 （単位:千円/人） （年平均上昇率＋23. ％） 4</t>
  </si>
  <si>
    <t>32,752</t>
  </si>
  <si>
    <t>5,242</t>
  </si>
  <si>
    <t>6,279千円/人 従業員1人あたり給与支給総額 目標値 5,242千円/人 （年平均上昇率＋6.2％） （単位:千円/人）</t>
  </si>
  <si>
    <t>6,279</t>
  </si>
  <si>
    <t>役員１人あたり給与支給総額 - - （年平均上昇率＋6.2％） （単位:千円/人）</t>
  </si>
  <si>
    <t>補助事業に係る従業員数 40名 60名（＋20名） （単位:人）</t>
  </si>
  <si>
    <t>基準年度 | 17,445千円/人 | 5,242千円/人</t>
  </si>
  <si>
    <t>事業化報告3年目 | 32,752千円/人
(年平均上昇率+23.4%) | 6,279千円/人 4
(年平均上昇率+6.2%)</t>
  </si>
  <si>
    <t>10,270</t>
  </si>
  <si>
    <t>労働生産性 19,298千円/人 10,270千円/人 （単位：千円/人） （年平均上昇率＋23.4％）</t>
  </si>
  <si>
    <t>19,298</t>
  </si>
  <si>
    <t>5,497</t>
  </si>
  <si>
    <t>従業員1人あたり給与支給総額 6,640千円/人 5,497千円/人 目標値 （年平均上昇率＋6.5％） （単位：千円/人）</t>
  </si>
  <si>
    <t>6,640</t>
  </si>
  <si>
    <t>595</t>
  </si>
  <si>
    <t>補助事業に係る従業員数 595人 631人 （単位：人）</t>
  </si>
  <si>
    <t>基準年度 | 10,270千円/人 | 5,497千円/人</t>
  </si>
  <si>
    <t>事業化報告3年目 | 19,298千円/人
(年平均上昇率+23.4%) | 6,640千円/人
(年平均上昇率+6.5%)</t>
  </si>
  <si>
    <t>10,647</t>
  </si>
  <si>
    <t>労働生産性 13,17 4 10,64 7 （年平均上昇率＋7. ％） （単位:千円/人） 4</t>
  </si>
  <si>
    <t>13,174</t>
  </si>
  <si>
    <t>3,728</t>
  </si>
  <si>
    <t>従業員1人あたり給与支給総額 4,60 9 目標値 3,72 8 （年平均上昇率＋7.3％） （単位:千円/人）</t>
  </si>
  <si>
    <t>4,609</t>
  </si>
  <si>
    <t>役員１人あたり給与支給総額 - - （年平均上昇率＋6.0％） （単位:千円/人）</t>
  </si>
  <si>
    <t>補助事業に係る従業員数 120 135 （単位:人）</t>
  </si>
  <si>
    <t>基準年度 | 10,647 | 3,728</t>
  </si>
  <si>
    <t>事業化報告3年目 | 13,174
(年平均上昇率+7.4%) | 4
4,609
(年平均上昇率+7.3%)</t>
  </si>
  <si>
    <t>労働生産性
(単位:万円/人) | 410 | 795
(年平均上昇率+24.7%)</t>
  </si>
  <si>
    <t>従業員1人あたり給与支給総額
(単位:万円/人) | 331 | 397
(年平均上昇率+6.2%)</t>
  </si>
  <si>
    <t>補助事業に係る従業員数
(単位:人) | 102 | 108</t>
  </si>
  <si>
    <t>4,766</t>
  </si>
  <si>
    <t>労働生産性 10,804千円/人 4,766千円/人 （単位：千円/人） （年平均上昇率＋31. ％） 4</t>
  </si>
  <si>
    <t>10,804</t>
  </si>
  <si>
    <t>4,007</t>
  </si>
  <si>
    <t>従業員1人あたり給与支給総額 4,694千円/人 目標値 4,007千円/人 （年平均上昇率＋5.4％） （単位：千円/人）</t>
  </si>
  <si>
    <t>4,694</t>
  </si>
  <si>
    <t>役員１人あたり給与支給総額 - - （年平均上昇率＋4. ％） （単位：千円/人） 6</t>
  </si>
  <si>
    <t>補助事業に係る従業員数 306人 393人 （単位：人）</t>
  </si>
  <si>
    <t>基準年度 | 4,766千円/人 | 4,007千円/人</t>
  </si>
  <si>
    <t>役員1人あたり給与支給総額
(単位:千円/人) - -
(年平均上昇率+4.6%)</t>
  </si>
  <si>
    <t>事業化報告3年目 | 10,804千円/人
(年平均上昇率+31.4%) | 4,694千円/人 4
(年平均上昇率+5.4%)</t>
  </si>
  <si>
    <t>-
(年平均上昇率+4.6%)</t>
  </si>
  <si>
    <t>14,945</t>
  </si>
  <si>
    <t>労働生産性 23,446 14,94 5 （単位：千円/人） （年平均上昇率＋16.2％）</t>
  </si>
  <si>
    <t>23,446</t>
  </si>
  <si>
    <t>7,029</t>
  </si>
  <si>
    <t>従業員1人あたり給与支給総額 8,424 目標値 7,029 （年平均上昇率＋6.2％） （単位：千円/人）</t>
  </si>
  <si>
    <t>8,424</t>
  </si>
  <si>
    <t>340</t>
  </si>
  <si>
    <t>補助事業に係る従業員数 340 330 （単位：人）</t>
  </si>
  <si>
    <t>基準年度 | 14,945 | 7,029</t>
  </si>
  <si>
    <t>事業化報告3年目 | 23,446
(年平均上昇率+16.2%) | 8,424
(年平均上昇率+6.2%)</t>
  </si>
  <si>
    <t>8,512</t>
  </si>
  <si>
    <t>労働生産性
(単位:千円/人) | 8,512千円/人 | 12,833千円/人
(年平均上昇率+14.7%)</t>
  </si>
  <si>
    <t>12,833</t>
  </si>
  <si>
    <t>5,629</t>
  </si>
  <si>
    <t>従業員1人あたり給与支給総額
(単位:千円/人) | 5,629千円/人 | 6,898千円/人
(年平均上昇率+7.0%)</t>
  </si>
  <si>
    <t>6,898</t>
  </si>
  <si>
    <t>役員1人あたり給与支給総額
(単位:千円/人) | - | -
(年平均上昇率+5.0%)</t>
  </si>
  <si>
    <t>補助事業に係る従業員数
(単位:人) | 150人 | 212人</t>
  </si>
  <si>
    <t>212</t>
  </si>
  <si>
    <t>2027年度
(基準年度) | 8,512千円/人 | 5,629千円/人</t>
  </si>
  <si>
    <t>2030年度
(基準年度+3年後) | 12,833千円/人
(年平均上昇率+14.7%) | 6,898千円/人4 7
(年平均上昇率+7.0%)</t>
  </si>
  <si>
    <t>労働生産性
(単位:万円/人) | 811 | 1,608
(年平均上昇率:25.6%</t>
  </si>
  <si>
    <t>従業員1人あたり給与支給総額
(単位:万円/人) | 457 | 552
(年平均上昇率:6.5%</t>
  </si>
  <si>
    <t>役員1人あたり給与支給総額
(単位:万円/人) | - | -
(年平均上昇率:5.0%</t>
  </si>
  <si>
    <t>補助事業に係る従業員数
(単位:人) | 205 | 227</t>
  </si>
  <si>
    <t>11,134</t>
  </si>
  <si>
    <t>労働生産性 48,228 11,134 （単位：千円/人） （年平均上昇率＋63 ％） .0</t>
  </si>
  <si>
    <t>48,228</t>
  </si>
  <si>
    <t>4,833</t>
  </si>
  <si>
    <t>従業員1人あたり給与支給総額 5,838 目標値 4,833 （年平均上昇率＋6.5％） （単位：千円/人）</t>
  </si>
  <si>
    <t>5,838</t>
  </si>
  <si>
    <t>補助事業に係る従業員数 11 23 （単位：人）</t>
  </si>
  <si>
    <t>基準年度 | 11,134 | 4,833</t>
  </si>
  <si>
    <t>事業化報告3年目 | 48,228
(年平均上昇率+63.0%) | 5,838 .0
(年平均上昇率+6.5%)</t>
  </si>
  <si>
    <t>1,997</t>
  </si>
  <si>
    <t>労働生産性(万円/人) | 1,997 万円/人 | 3,167 万円(年平均上昇率 +16.6%) |  |  |  |</t>
  </si>
  <si>
    <t>3,167</t>
  </si>
  <si>
    <t>従業員1人あたり給与支給総額(万円/人) | 780 万円/人 | 942 万円(年平均上昇率 +6.5%) |  |  |  |</t>
  </si>
  <si>
    <t>942</t>
  </si>
  <si>
    <t>役員1人あたり給与支給総額(万円/人) | - | - |  |  |  |</t>
  </si>
  <si>
    <t>補助事業に係る従業員数(人) | 801 人 | 890 人 |  |  |  |</t>
  </si>
  <si>
    <t>890</t>
  </si>
  <si>
    <t>9529</t>
  </si>
  <si>
    <t>労働生産性 19550 9529 （年平均上昇率＋27. ％） （単位：千円/人） 1</t>
  </si>
  <si>
    <t>19550</t>
  </si>
  <si>
    <t>3873</t>
  </si>
  <si>
    <t>従業員1人あたり給与支給総額 4687 目標値 3873 （年平均上昇率＋6. ％） （単位：千円/人） 6</t>
  </si>
  <si>
    <t>4687</t>
  </si>
  <si>
    <t>役員１人あたり給与支給総額 - - （年平均上昇率＋8.6％） （単位：千円/人）</t>
  </si>
  <si>
    <t>補助事業に係る従業員数 54 31 （単位：人）</t>
  </si>
  <si>
    <t>8,985</t>
  </si>
  <si>
    <t>労働生産性 17,343千円/人 8,985千円/人 （単位：千円/人） （年平均上昇率＋24.5％）</t>
  </si>
  <si>
    <t>17,343</t>
  </si>
  <si>
    <t>6,130</t>
  </si>
  <si>
    <t>従業員1人あたり給与支給総額 7,342千円/人 6,130千円/人 目標値 （年平均上昇率＋6.2％） （単位：千円/人）</t>
  </si>
  <si>
    <t>7,342</t>
  </si>
  <si>
    <t>11,143</t>
  </si>
  <si>
    <t>役員１人あたり給与支給総額 12,899千円/人 11,143千円/人 （年平均上昇率＋5.0％） （単位：千円/人）</t>
  </si>
  <si>
    <t>12,899</t>
  </si>
  <si>
    <t>補助事業に係る従業員数 280人 300人 （単位：人）</t>
  </si>
  <si>
    <t>300</t>
  </si>
  <si>
    <t>9,331</t>
  </si>
  <si>
    <t>労働生産性 23,183 9,331 （単位：千円/人） （年平均上昇率＋35.4％）</t>
  </si>
  <si>
    <t>23,183</t>
  </si>
  <si>
    <t>4,581</t>
  </si>
  <si>
    <t>従業員1人あたり給与支給総額 5,611 目標値 4,581 （年平均上昇率＋7.0％） （単位：千円/人）</t>
  </si>
  <si>
    <t>5,611</t>
  </si>
  <si>
    <t>役員１人あたり給与支給総額 ー ー （年平均上昇率ー％） （単位：千円/人）</t>
  </si>
  <si>
    <t>補助事業に係る従業員数 91 118 （単位：人）</t>
  </si>
  <si>
    <t>4,733</t>
  </si>
  <si>
    <t>労働生産性 8,839千円/人 4,733千円/人 （単位：千円/人） （年平均上昇率＋23.1％）</t>
  </si>
  <si>
    <t>8,839</t>
  </si>
  <si>
    <t>4,402</t>
  </si>
  <si>
    <t>従業員1人あたり給与支給総額 5,318千円/人 4,402千円/人 目標値 （年平均上昇率＋6.5％） （単位：千円/人）</t>
  </si>
  <si>
    <t>5,318</t>
  </si>
  <si>
    <t>補助事業に係る従業員数 114人 128人 （単位：人）</t>
  </si>
  <si>
    <t>基準年度 | 4,733千円/人 | 4,402千円/人</t>
  </si>
  <si>
    <t>事業化報告3年目 | 8,839千円/人
(年平均上昇率+23.1%) | 5,318千円/人
(年平均上昇率+6.5%)</t>
  </si>
  <si>
    <t>労働生産性
(単位:万円/人) | 3,059万円/人 | 3,736万円/人
(年平均上昇率+6.9%)</t>
  </si>
  <si>
    <t>2031年3月期
(事業化報告3年目)</t>
  </si>
  <si>
    <t>3,736</t>
  </si>
  <si>
    <t>従業員1人あたり給与支給総額
(単位:万円/人) | 652万円/人 | 787万円/人
(年平均上昇率+6.5%)</t>
  </si>
  <si>
    <t>補助事業に係る従業員数
(単位:人) | 548人 | 542人</t>
  </si>
  <si>
    <t>2028年3月期
(基準年度) | 3,059万円/人 | 652万円/人</t>
  </si>
  <si>
    <t>2031年3月期
(事業化報告3年目) | 3,736万円/人
(年平均上昇率+6.9%) | (年平均上昇率+6.9%)
787万円/人
(年平均上昇率+6.5%)</t>
  </si>
  <si>
    <t>(年平均上昇率+6.5%)
-
(年平均上昇率+6.5%)</t>
  </si>
  <si>
    <t>基準年度:2028年3月期(2027年度)</t>
  </si>
  <si>
    <t>6,499</t>
  </si>
  <si>
    <t>労働生産性
(単位:千円/人) | 6,499 | 15,439
(年平均上昇率+33.4%)</t>
  </si>
  <si>
    <t>事業化報告3年目:2031年3月期</t>
  </si>
  <si>
    <t>15,439</t>
  </si>
  <si>
    <t>3,743</t>
  </si>
  <si>
    <t>従業員1人あたり給与支給総額
(単位:千円/人) | 3,743 | 4,483
(年平均上昇率+6.2%)</t>
  </si>
  <si>
    <t>4,483</t>
  </si>
  <si>
    <t>役員1人あたり給与支給総額
(単位:千円/人) | - | -
(年平均上昇率+5.3%)</t>
  </si>
  <si>
    <t>補助事業に係る従業員数
(単位:人) | 180 | 232</t>
  </si>
  <si>
    <t>基準年度:2028年3月期(2027年度) | 6,499 | 3,743</t>
  </si>
  <si>
    <t>役員1人あたり給与支給総額
(単位:千円/人) - -
(年平均上昇率+5.3%)</t>
  </si>
  <si>
    <t>事業化報告3年目:2031年3月期 | 15,439
(年平均上昇率+33.4%) | 4,483
(年平均上昇率+6.2%)</t>
  </si>
  <si>
    <t>-
(年平均上昇率+5.3%)</t>
  </si>
  <si>
    <t>9,759</t>
  </si>
  <si>
    <t>労働生産性 18,400千円/人 9,759千円/人 （単位：千円/人） （年平均上昇率＋23.5％）</t>
  </si>
  <si>
    <t>18,400</t>
  </si>
  <si>
    <t>5,054</t>
  </si>
  <si>
    <t>従業員1人あたり給与支給総額 6,054千円/人 目標値 5,054千円/人 （単位：千円/人） （年平均上昇率＋6.2％）</t>
  </si>
  <si>
    <t>6,054</t>
  </si>
  <si>
    <t>31,024</t>
  </si>
  <si>
    <t>役員１人あたり給与支給総額 37,160千円/人 31,024千円/人 （単位：千円/人） （年平均上昇率＋6.2％）</t>
  </si>
  <si>
    <t>37,160</t>
  </si>
  <si>
    <t>補助事業に係る従業員数 287 297 （単位：人）</t>
  </si>
  <si>
    <t>297</t>
  </si>
  <si>
    <t>12,537</t>
  </si>
  <si>
    <t>労働生産性 17,774 12,537 （単位：千円/人） （年平均上昇率＋12.3％）</t>
  </si>
  <si>
    <t>17,774</t>
  </si>
  <si>
    <t>4,000</t>
  </si>
  <si>
    <t>従業員1人あたり給与支給総額 4,91 4 目標値 4,000 （年平均上昇率＋7.1％） （単位：千円/人）</t>
  </si>
  <si>
    <t>4,914</t>
  </si>
  <si>
    <t>6,000</t>
  </si>
  <si>
    <t>役員１人あたり給与支給総額 7,187 6,000 （年平均上昇率＋6.2％） （単位：千円/人）</t>
  </si>
  <si>
    <t>補助事業に係る従業員数 20 46 （単位：人）</t>
  </si>
  <si>
    <t>7,720</t>
  </si>
  <si>
    <t>労働生産性 12,314 7,720 （単位：千円/人） （年平均上昇率＋16.8％）</t>
  </si>
  <si>
    <t>12,314</t>
  </si>
  <si>
    <t>5,640</t>
  </si>
  <si>
    <t>従業員1人あたり給与支給総額 6,813 目標値 5,640 （年平均上昇率＋6.5％） （単位：千円/人）</t>
  </si>
  <si>
    <t>6,813</t>
  </si>
  <si>
    <t>役員１人あたり給与支給総額 0 0 （年平均上昇率＋0％） （単位：千円/人）</t>
  </si>
  <si>
    <t>補助事業に係る従業員数 60 178 （単位：人）</t>
  </si>
  <si>
    <t>6,833</t>
  </si>
  <si>
    <t>労働生産性 9,005 6,833 （単位：千円/人） （年平均上昇率＋9.6％）</t>
  </si>
  <si>
    <t>9,005</t>
  </si>
  <si>
    <t>4,009</t>
  </si>
  <si>
    <t>従業員1人あたり給与支給総額 4,842 目標値 4,00 9 （年平均上昇率＋6.5％） （単位：千円/人）</t>
  </si>
  <si>
    <t>4,842</t>
  </si>
  <si>
    <t>1,269</t>
  </si>
  <si>
    <t>補助事業に係る従業員数 1,269 1,269 （単位：人）</t>
  </si>
  <si>
    <t>基準年度 | 6,833 | 4,009</t>
  </si>
  <si>
    <t>事業化報告3年目 | 9,005
(年平均上昇率+9.6%) | 4,842
(年平均上昇率+6.5%)</t>
  </si>
  <si>
    <t>3,213</t>
  </si>
  <si>
    <t>労働生産性 9,837 3, 213 （単位：千円/人） （年平均上昇率＋4 . ％） 5 2</t>
  </si>
  <si>
    <t>9,837</t>
  </si>
  <si>
    <t>3,120</t>
  </si>
  <si>
    <t>従業員1人あたり給与支給総額 3,71 目標値 6 3,120 （年平均上昇率＋6.0％） （単位：千円/人）</t>
  </si>
  <si>
    <t>3,716</t>
  </si>
  <si>
    <t>12,580</t>
  </si>
  <si>
    <t>役員１人あたり給与支給総額 14,360 12, 580 （年平均上昇率＋4.5％） （単位：千円/人）</t>
  </si>
  <si>
    <t>14,360</t>
  </si>
  <si>
    <t>補助事業に係る従業員数 106 116 （単位：人）</t>
  </si>
  <si>
    <t>21,000</t>
  </si>
  <si>
    <t>労働生産性 46,797千円/人 21,000千円/人 （単位：千円/人） （年平均上昇率＋30.6％）</t>
  </si>
  <si>
    <t>46,797</t>
  </si>
  <si>
    <t>従業員1人あたり給与支給総額 5,185千円/人 目標値 4,000千円/人 （年平均上昇率＋9.0％） （単位：千円/人）</t>
  </si>
  <si>
    <t>5,185</t>
  </si>
  <si>
    <t>役員１人あたり給与支給総額 ー ー （年平均上昇率－％） （単位：千円/人）</t>
  </si>
  <si>
    <t>補助事業に係る従業員数 2人 58人 （単位：人）</t>
  </si>
  <si>
    <t>6,537</t>
  </si>
  <si>
    <t>14,093 労働生産性 6,537 （単位：千円/人） （年平均上昇率＋29.2％）</t>
  </si>
  <si>
    <t>14,093</t>
  </si>
  <si>
    <t>3,986</t>
  </si>
  <si>
    <t>5,022 従業員1人あたり給与支給総額 目標値 3,986 （年平均上昇率＋8.0％） （単位：千円/人）</t>
  </si>
  <si>
    <t>5,022</t>
  </si>
  <si>
    <t>補助事業に係る従業員数 60 120 （単位：人）</t>
  </si>
  <si>
    <t>基準年度 | 6,537 | 3,986</t>
  </si>
  <si>
    <t>事業化報告3年目 | 14,093
(年平均上昇率+29.2%) | 5,022
(年平均上昇率+8.0%)</t>
  </si>
  <si>
    <t>6,739</t>
  </si>
  <si>
    <t>労働生産性 17,566 6,739 （単位：千円/人） （年平均上昇率＋37.6％）</t>
  </si>
  <si>
    <t>17,566</t>
  </si>
  <si>
    <t>従業員1人あたり給与支給総額 5,808 4,808 目標値 （単位：千円/人） （年平均上昇率＋6.5％）</t>
  </si>
  <si>
    <t>5,808</t>
  </si>
  <si>
    <t>役員１人あたり給与支給総額 - - （単位：千円/人） （年平均上昇率＋6.0％）</t>
  </si>
  <si>
    <t>245</t>
  </si>
  <si>
    <t>補助事業に係る従業員数 245 270 （単位：人）</t>
  </si>
  <si>
    <t>基準年度 | 6,739 | 4,808</t>
  </si>
  <si>
    <t>事業化報告3年目 | 17,566
(年平均上昇率+37.6%) | 5,808
(年平均上昇率+6.5%)</t>
  </si>
  <si>
    <t>18,619</t>
  </si>
  <si>
    <t>労働生産性 61,91 7 18,619 （単位：千円/人） （年平均上昇率＋49.3％）</t>
  </si>
  <si>
    <t>61,917</t>
  </si>
  <si>
    <t>5,353</t>
  </si>
  <si>
    <t>従業員1人あたり給与支給総額 6,370 目標値 5,35 3 （年平均上昇率＋6.0％） （単位：千円/人）</t>
  </si>
  <si>
    <t>6,370</t>
  </si>
  <si>
    <t>役員１人あたり給与支給総額 - - （年平均上昇率＋6.3％） （単位：千円/人）</t>
  </si>
  <si>
    <t>補助事業に係る従業員数 31 37 （単位：人）</t>
  </si>
  <si>
    <t>基準年度 | 18,619 | 5,353</t>
  </si>
  <si>
    <t>役員1人あたり給与支給総額
(単位:千円/人) - -
(年平均上昇率+6.3%)</t>
  </si>
  <si>
    <t>事業化報告3年目 | 61,917
(年平均上昇率+49.3%) | 6,370
(年平均上昇率+6.0%)</t>
  </si>
  <si>
    <t>13,936</t>
  </si>
  <si>
    <t>労働生産性 20,656 13,936 （年平均上昇率＋ .0%） （単位：千円/人） 14</t>
  </si>
  <si>
    <t>20,656</t>
  </si>
  <si>
    <t>5,169</t>
  </si>
  <si>
    <t>従業員1人あたり給与支給総額 6,338 目標値 5,169 （単位：千円/人） （年平均上昇率＋7.0%）</t>
  </si>
  <si>
    <t>6,338</t>
  </si>
  <si>
    <t>役員１人あたり給与支給総額 - - （単位：千円/人） （年平均上昇率＋5. ％） 7</t>
  </si>
  <si>
    <t>補助事業に係る従業員数 195 210 （単位：人）</t>
  </si>
  <si>
    <t>基準年度 | 13,936 | 5,169</t>
  </si>
  <si>
    <t>事業化報告3年目 | 20,656
(年平均上昇率+14.0%) | 14
6,338
(年平均上昇率+7.0%)</t>
  </si>
  <si>
    <t>7,496</t>
  </si>
  <si>
    <t>労働生産性 9,76 千円／人 2 7,496千円／人 （単位：千円/人） （年平均上昇率＋9.2％）</t>
  </si>
  <si>
    <t>9,762</t>
  </si>
  <si>
    <t>3,830</t>
  </si>
  <si>
    <t>従業員1人あたり給与支給総額 4,700千円／人 目標値 3,8 千円／人 30 （年平均上昇率＋7.1％） （単位：千円/人）</t>
  </si>
  <si>
    <t>4,700</t>
  </si>
  <si>
    <t>補助事業に係る従業員数 47人 100人 （単位：人）</t>
  </si>
  <si>
    <t>基準年度 | 7,496千円/人 | 3,830千円/人</t>
  </si>
  <si>
    <t>事業化報告3年目 | 9,762千円/人
(年平均上昇率+9.2%) | 4,700千円/人
(年平均上昇率+7.1%)</t>
  </si>
  <si>
    <t>41,258</t>
  </si>
  <si>
    <t>|  | 労働生産性
(単位:万円/人) | 41,258千円/人 | 67,145千円/人
(年平均上昇率+17.6%)</t>
  </si>
  <si>
    <t>67,145</t>
  </si>
  <si>
    <t>3,819</t>
  </si>
  <si>
    <t>|  | 従業員1人あたり給与支給総額
(単位:万円/人) | 3,819千円/人 | 4,925千円/人
(年平均上昇率+8.8%)</t>
  </si>
  <si>
    <t>4,925</t>
  </si>
  <si>
    <t>|  | 役員1人あたり給与支給総額
(単位:万円/人) | - | -
(年平均上昇率0%)</t>
  </si>
  <si>
    <t>|  | 補助事業に係る従業員数
(単位:人) | 54人 | 120人</t>
  </si>
  <si>
    <t>2027年度
(基準年度) | 41,258千円/人 | 3,819千円/人</t>
  </si>
  <si>
    <t>役員1人あたり給与支給総額
(単位:万円/人) - -
(年平均上昇率0%)</t>
  </si>
  <si>
    <t>2030年度
(基準年度+3年後) | 67,145千円/人
(年平均上昇率+17.6%) | 4,925千円/人
(年平均上昇率+8.8%)</t>
  </si>
  <si>
    <t>-
(年平均上昇率0%)</t>
  </si>
  <si>
    <t>基準年度(2027年度)</t>
  </si>
  <si>
    <t>7,287</t>
  </si>
  <si>
    <t>労働生産性(単位:千円/人) | 7,287 | 22,699(年平均上昇率+46.0%)</t>
  </si>
  <si>
    <t>事業化報告3年目(2030年度)</t>
  </si>
  <si>
    <t>22,699</t>
  </si>
  <si>
    <t>5,025</t>
  </si>
  <si>
    <t>従業員1人あたり給与支給総額(単位:千円/人) | 5,025 | 6,070(年平均上昇率+6.5%)</t>
  </si>
  <si>
    <t>6,070</t>
  </si>
  <si>
    <t>役員1人あたり給与支給総額(単位:千円/人) | - | (年平均上昇率+5.7%)
-</t>
  </si>
  <si>
    <t>補助事業に係る従業員数(単位:人) | 156 | 196</t>
  </si>
  <si>
    <t>基準年度(2027年度) | 7,287 | 5,025</t>
  </si>
  <si>
    <t>役員1人あたり給与支給総額(単位:千円/人) - (年平均上昇率+5.7%)
-</t>
  </si>
  <si>
    <t>事業化報告3年目(2030年度) | 22,699(年平均上昇率+46.0%) | 6,070(年平均上昇率+6.5%)</t>
  </si>
  <si>
    <t>(年平均上昇率+5.7%)
-</t>
  </si>
  <si>
    <t>売上成長目標Box - 全381件</t>
  </si>
  <si>
    <t>本文の横一列読みを廃止し、PDF座標で売上成長目標Boxを分離。連結・単体併記は主系列を対象範囲に明記し、原文を保持しています。</t>
  </si>
  <si>
    <t>対象範囲</t>
  </si>
  <si>
    <t>基準年</t>
  </si>
  <si>
    <t>基準売上(億円)</t>
  </si>
  <si>
    <t>目標年</t>
  </si>
  <si>
    <t>目標売上(億円)</t>
  </si>
  <si>
    <t>増加額(億円)</t>
  </si>
  <si>
    <t>倍率</t>
  </si>
  <si>
    <t>検証状態</t>
  </si>
  <si>
    <t>抽出方法</t>
  </si>
  <si>
    <t>頁</t>
  </si>
  <si>
    <t>Box原文</t>
  </si>
  <si>
    <t>売上目標 - 年次縦持ち</t>
  </si>
  <si>
    <t>PDFに年次売上高が明記された案件を1案件×1年度で収録。主系列以外はBox原文で確認できます。</t>
  </si>
  <si>
    <t>売上高(億円)</t>
  </si>
  <si>
    <t>値の出所</t>
  </si>
  <si>
    <t>Box頁</t>
  </si>
  <si>
    <t>PDF明記</t>
  </si>
  <si>
    <t>PDF明記値から逆算</t>
  </si>
  <si>
    <t>PDF明記・連結</t>
  </si>
  <si>
    <t>PDF表・連結</t>
  </si>
  <si>
    <t>PDF明記・短期目標</t>
  </si>
  <si>
    <t>PDF明記・中期目標（開始年）</t>
  </si>
  <si>
    <t>PDF明記・合計</t>
  </si>
  <si>
    <t>文章原文 - Box分離版</t>
  </si>
  <si>
    <t>長期成長ビジョン、外発的動機、内発的動機は各Box内だけを収録。当社概要などはその他Boxとして別列・別シートに保持します。</t>
  </si>
  <si>
    <t>上段タイトル・要旨原文</t>
  </si>
  <si>
    <t>上段要旨Box</t>
  </si>
  <si>
    <t>長期成長ビジョンBox原文</t>
  </si>
  <si>
    <t>外発的動機Box原文</t>
  </si>
  <si>
    <t>内発的動機Box原文</t>
  </si>
  <si>
    <t>当社・会社概要Box原文</t>
  </si>
  <si>
    <t>売上成長目標Box原文</t>
  </si>
  <si>
    <t>その他Box一覧</t>
  </si>
  <si>
    <t>ビジョン全頁原文</t>
  </si>
  <si>
    <t>補助事業全頁原文</t>
  </si>
  <si>
    <t>1.長期成長ビジョン 株式会社岩崎電機製作所
当社（半導体製造装置向け部品製造業）は、半導体製造装置を販売するエンドユーザーからの強い要請
に基づき、6年度後に現在の1.55倍の売上高を達成（2023年度:168億円⇒2029年度:260億円）</t>
  </si>
  <si>
    <t>当社（半導体製造装置向け部品製造業）は、半導体製造装置を販売するエンドユーザーからの強い要請
に基づき、6年度後に現在の1.55倍の売上高を達成（2023年度:168億円⇒2029年度:260億円）
・現有の工場・設備類では顧客からの増産依頼に対応しきれない
・①新工場建築、②製造/検査ラインの導入、③システム導入により、顧客要望に応えられる体制を構築</t>
  </si>
  <si>
    <t>長期成長ビジョン（目指す姿・ビジネスモデル）
現在の姿
• 昭和49年の設立以来、兵庫県丹波篠山市で精密電子機
器等製造（①精密電子機器事業(整合器製造)、
②ハーネス事業、③制御盤事業を行う
長期成長ビジョン
• 生産能力拡大のための大規模投資を通じ、半導体製造装
置の市場成長に貢献
• 当社エンドユーザーの、半導体製造装置世界シェア拡大に
寄与
審査基準 ☑メガトレンドを踏まえ、5～10年後の社会に価値提供する自社のありたい姿（長期成長ビジョン）が具現化されている
との整合性 ☑その中において、高い売上高成長率及び売上高増加額が示されている</t>
  </si>
  <si>
    <t>外発的動機
（社会課題・顧客ﾆｰｽﾞの変化等のﾒｶﾞﾄﾚﾝﾄﾞ）
• 半導体は、５G・ビッグデータ・AI・IoT・自動運転・ロボティクス・ス
マートシティ・DX等のデジタル社会を支える重要基盤であり、安全
保障にも直結する死活的に重要な戦略技術
• 高精度な半導体には微細化、高密度化等が求められ、これらを達
成することにより情報の伝送・処理速度を向上しつつ、エネルギー効
率も改善されると期待されている
• 日本政府も、半導体関連産業を重要産業として位置付けている
⇒積極的な投資により、国内半導体製造関連事業者も
更なる競争力強化が求められる</t>
  </si>
  <si>
    <t>内発的動機
（経営者の原体験や動機等）
• 半導体製造装置向け部品の製造事業は、1988年に事業開始、
売上高は中核事業になった2013年度17億円、2017年度66億
円、2023年度105億円へと飛躍的に拡大している
• 当社は国内最大最先端半導体製造装置メーカーに向け、最先端
半導体プロセスのエッチング工程に求められる高周波電源装置
（整合器）を製造、/ この工程において、100％当社製の整合
器が搭載されている
⇒当社のエンドユーザーが掲げる半導体製造装置の生産
目標を達成するためには、当社自身の生産能力拡大が
必要不可欠</t>
  </si>
  <si>
    <t>【p.1／上段要旨】
当社（半導体製造装置向け部品製造業）は、半導体製造装置を販売するエンドユーザーからの強い要請
に基づき、6年度後に現在の1.55倍の売上高を達成（2023年度:168億円⇒2029年度:260億円）
【p.1／売上成長目標】
売上成長目標
• 2029年度までの会社全体の売上高成長率：55％
• 2029年度までの会社全体の売上高増加額：92億円
【p.2／上段要旨】
・現有の工場・設備類では顧客からの増産依頼に対応しきれない
・①新工場建築、②製造/検査ラインの導入、③システム導入により、顧客要望に応えられる体制を構築
【p.2／エンドユーザーから頂戴した増産計画に基づき、既存の工場では生産対応しきれないため、】
エンドユーザーから頂戴した増産計画に基づき、既存の工場では生産対応しきれないため、
新工場建築による製造面積増加、設備・システム導入を通じて増産体制を構築する</t>
  </si>
  <si>
    <t>【p.1】
1.長期成長ビジョン 株式会社岩崎電機製作所
当社（半導体製造装置向け部品製造業）は、半導体製造装置を販売するエンドユーザーからの強い要請
に基づき、6年度後に現在の1.55倍の売上高を達成（2023年度:168億円⇒2029年度:260億円）
長期成長ビジョン（目指す姿・ビジネスモデル） 外発的動機
（社会課題・顧客ﾆｰｽﾞの変化等のﾒｶﾞﾄﾚﾝﾄﾞ）
• 半導体は、５G・ビッグデータ・AI・IoT・自動運転・ロボティクス・ス
現在の姿
マートシティ・DX等のデジタル社会を支える重要基盤であり、安全
• 昭和49年の設立以来、兵庫県丹波篠山市で精密電子機
保障にも直結する死活的に重要な戦略技術
器等製造（①精密電子機器事業(整合器製造)、
②ハーネス事業、③制御盤事業を行う
• 高精度な半導体には微細化、高密度化等が求められ、これらを達
成することにより情報の伝送・処理速度を向上しつつ、エネルギー効
率も改善されると期待されている
• 日本政府も、半導体関連産業を重要産業として位置付けている
⇒積極的な投資により、国内半導体製造関連事業者も
更なる競争力強化が求められる
内発的動機
（経営者の原体験や動機等）
• 半導体製造装置向け部品の製造事業は、1988年に事業開始、
売上高は中核事業になった2013年度17億円、2017年度66億
長期成長ビジョン
円、2023年度105億円へと飛躍的に拡大している
• 生産能力拡大のための大規模投資を通じ、半導体製造装
置の市場成長に貢献
• 当社は国内最大最先端半導体製造装置メーカーに向け、最先端
• 当社エンドユーザーの、半導体製造装置世界シェア拡大に 半導体プロセスのエッチング工程に求められる高周波電源装置
寄与
（整合器）を製造、/ この工程において、100％当社製の整合
器が搭載されている
売上成長目標
⇒当社のエンドユーザーが掲げる半導体製造装置の生産
• 2029年度までの会社全体の売上高成長率：55％
目標を達成するためには、当社自身の生産能力拡大が
• 2029年度までの会社全体の売上高増加額：92億円
必要不可欠
審査基準 ☑メガトレンドを踏まえ、5～10年後の社会に価値提供する自社のありたい姿（長期成長ビジョン）が具現化されている
との整合性 ☑その中において、高い売上高成長率及び売上高増加額が示されている</t>
  </si>
  <si>
    <t>【p.2】
.補助事業の概要 株式会社岩崎電機製作所
2
・現有の工場・設備類では顧客からの増産依頼に対応しきれない
・①新工場建築、②製造/検査ラインの導入、③システム導入により、顧客要望に応えられる体制を構築
補助事業の エンドユーザーから頂戴した増産計画に基づき、既存の工場では生産対応しきれないため、 事業費 24億円
背景・目的 新工場建築による製造面積増加、設備・システム導入を通じて増産体制を構築する （補助額） （7.6億円）
取組 内容説明 / 課題解決・労働生産性向上 投資額
・複数に分かれている製造拠点（賃貸）を統合し、自社新工場を建設
⇒拠点統合により事務管理・倉庫管理等のコスト＋賃借料削減、効率性向上
①新工場建築 20.44億円
⇒倉庫/ 製造 / 検査と各工程毎に工場が分かれていたものを1か所に集約するこ
とで、運搬時間・費用・リスクを軽減
・製造ライン…現状8ライン＋新規4ライン＝計12ライン
②製造/検査
設備投資の ・検査ライン…現状10ライン＋新規6ライン＝計16ライン 3.69億円
ラインの導入
内容 ⇒製造ライン数が現状の約1.5倍に拡充
・倉庫管理システムの導入により、2事業部に分かれていたシステムを統一化 購買力
向上
・トルクシステム トルク回転自動検知により年間5,040時間工数削減見込み＝約3
③システム導入 0.15億円
名分
・自動検査システムの導入により、年間27,540時間工数削減見込み＝約14名分
⇒自動で検査項目の一部を行うことにより他の仕掛品の作業を行うことが可能
2026年度 2029年度
項目
（基準年度） （基準年度＋３年後）
労働生産性 1,168万円/人
862万円/人
（単位：万円/人） （年平均上昇率＋10.67％）
従業員1人あたり給与支給総額 509万円/人
目標値 439万円/人
（単位：万円/人） （年平均上昇率＋5％）
役員１人あたり給与支給総額 ー
ー
（単位：万円/人） （年平均上昇率＋5％）
補助事業に係る従業員数
270人 290人
（単位：人）</t>
  </si>
  <si>
    <t>株式会社プレジィール
1.長期成長ビジョン
売上高800億円、デパ地下、空港・駅ナカNo.1達成のため、成長市場への積極投資や事業運営の
省力化・合理化を推進し、コストや顧客ニーズなどの外部環境変化を克服する。</t>
  </si>
  <si>
    <t>売上高800億円、デパ地下、空港・駅ナカNo.1達成のため、成長市場への積極投資や事業運営の
省力化・合理化を推進し、コストや顧客ニーズなどの外部環境変化を克服する。
補助事業実施により労働生産性を年平均14.9％向上し、地域別最低賃金の上昇率を上回る年平均3.0％の
［背景・目的］コスト増加に伴うビジネスモデルの再構築、成長市場の取り込みを目的とした実施体
制の整備
［課題］生産規模拡大と経営効率の向上</t>
  </si>
  <si>
    <t>長期成長ビジョン（目指す姿・ビジネスモデル）
ミッション（当社が果たすべき使命）
「世界中に心あたたまる時間を創り出す」
ビジョン（当社が中長期的にあるべき姿）
「世界No.1の菓子を中心とした食品製造小売企業」の実現
• 2029年度 売上高800億円
• デパ地下、空港・駅ナカNo.1達成
バリュー（当社の行動指針）
１.「顧客の創造」 ２.「顧客第一主義」 ３.「全員経営」
４.「イノベーション」 ５.「自主独立の経営」
• 売上高目標達成、領域No.1ポジション獲得のため、成長市場へ
積極的な投資を行い、事業規模を拡大する。</t>
  </si>
  <si>
    <t>外発的動機
社会課題
• 少子高齢化に伴う労働人口減少、人件費高騰
• インフレ加速に伴う仕入・販売価格の上昇
• トラックドライバー時間外労働の上限規制適用に伴う物流コスト上
昇
⇒ コスト・価格の面で従来のビジネスモデルが成り立たなくなった
顧客ニーズの変化
• ポストコロナでのギフト需要・インバウンド需要の回復・拡大
• 品質・デザイン性に優れた日本製菓子の海外需要増加
⇒ 環境変化に伴う新たな成長ドライバの獲得が期待される</t>
  </si>
  <si>
    <t>内発的動機
• 当社ビジョンと最大生産能力のギャップの解消
⇒ 当社が所有する 2工場の最大生産能力は約 370億円であり、
世界No.1の菓子提供を目指す当社の足かせとなっている。
• 労働集約型経営から知識集約型経営への変革
⇒ 属人化の解消や合理化の推進により労働生産性の向上が必
要</t>
  </si>
  <si>
    <t>当社の概要
当社は製粉業を祖業とする1907年創業（1986年設立）の菓子製造小売事業者である。東京都千代田区に本社、愛知県海部郡、三重県
桑名市に生産拠点を有し、百貨店や、空港・駅ナカを中心に40以上の店舗を展開する。圧倒的な商品力、製販一貫の事業実施体制を背
景に直近3期は年率20％前後の売上成長を遂げる一方、生産規模や事業効率の面で課題があり、更なる成長へ向けて一歩踏み込んだ
取り組みが必要である。</t>
  </si>
  <si>
    <t>【p.1／上段要旨】
売上高800億円、デパ地下、空港・駅ナカNo.1達成のため、成長市場への積極投資や事業運営の
省力化・合理化を推進し、コストや顧客ニーズなどの外部環境変化を克服する。
【p.1／売上成長目標】
積極的な投資を行い、事業規模を拡大する。
売上成長目標
• 機械設備・システム投資により省力化・合理化を推進し、労働生産
性を向上する。
2023年9月期 2029年9月期 増加額 成長率
223億円 800億円 577億円 258.7％
【p.1／当社・会社の概要】
当社の概要
当社は製粉業を祖業とする1907年創業（1986年設立）の菓子製造小売事業者である。東京都千代田区に本社、愛知県海部郡、三重県
桑名市に生産拠点を有し、百貨店や、空港・駅ナカを中心に40以上の店舗を展開する。圧倒的な商品力、製販一貫の事業実施体制を背
景に直近3期は年率20％前後の売上成長を遂げる一方、生産規模や事業効率の面で課題があり、更なる成長へ向けて一歩踏み込んだ
取り組みが必要である。
【p.2／上段要旨】
補助事業実施により労働生産性を年平均14.9％向上し、地域別最低賃金の上昇率を上回る年平均3.0％の
【p.2／上段要旨】
［背景・目的］コスト増加に伴うビジネスモデルの再構築、成長市場の取り込みを目的とした実施体
制の整備
［課題］生産規模拡大と経営効率の向上
【p.2／経費項目 名称 効果 労働生産性】
経費項目 名称 効果 労働生産性
下記の機械設備、システム導入による
建物費 桑名工場増築 スペース拡充による生産規模拡大
労働生産性向上
成形機
焼成・成形・包装の品質向上
オーブン・焼成機 自動化・省力化に伴う
機械装置費 時間短縮
包装機・箱詰め 労働生産性向上
コスト削減
その他
情報一元管理
ERP
部門間連携強化
業務工数削減、生産・販売フロー見直しに
ソフトウェア費 資材所要量、在庫管理適正化
MES よる労働生産性向上
トレーサビリティ構築
POS トレーサビリティ構築
【p.2／2026年度 2029年度】
2026年度 2029年度
項目
（基準年度） （基準年度＋３年後）
労働生産性
1,236 1,870( 年平均上昇率＋14.8％)
（単位：万円 /人）
従業員1人あたり給与支給総額
336 369 (年平均上昇率＋3.0％)
（単位：万円 /人）
役員１人あたり給与支給総額
- - (年平均上昇率＋11.1％)
（単位：万円 /人）
補助事業に係る従業員数
840 1,132
（単位：人）
【p.2／まとめ】
まとめ
投資内容は、桑名工場の増築、各種機械設備・システムの導入である。生産面では工場増築と設備導入により生産ラインを従来の5本か
ら11本に増やすとともに、ERP、MES導入により生産プロセスの最適化・効率化に取り組み、最大生産能力を200億円から450億円に拡
大する。販売面では、2029年9月期に160店舗を目指しており、ERP、POS導入により管理業務の効率化と顧客情報収集によるマーケ
ティング強化に取り組む。</t>
  </si>
  <si>
    <t>【p.1】
株式会社プレジィール
1.長期成長ビジョン
売上高800億円、デパ地下、空港・駅ナカNo.1達成のため、成長市場への積極投資や事業運営の
省力化・合理化を推進し、コストや顧客ニーズなどの外部環境変化を克服する。
長期成長ビジョン（目指す姿・ビジネスモデル） 外発的動機
ミッション（当社が果たすべき使命）
社会課題
「世界中に心あたたまる時間を創り出す」 • 少子高齢化に伴う労働人口減少、人件費高騰
• インフレ加速に伴う仕入・販売価格の上昇
ビジョン（当社が中長期的にあるべき姿）
• トラックドライバー時間外労働の上限規制適用に伴う物流コスト上
「世界No.1の菓子を中心とした食品製造小売企業」の実現
昇
• 2029年度 売上高800億円
⇒ コスト・価格の面で従来のビジネスモデルが成り立たなくなった
• デパ地下、空港・駅ナカNo.1達成
顧客ニーズの変化
バリュー（当社の行動指針）
• ポストコロナでのギフト需要・インバウンド需要の回復・拡大
１.「顧客の創造」 ２.「顧客第一主義」 ３.「全員経営」
• 品質・デザイン性に優れた日本製菓子の海外需要増加
４.「イノベーション」 ５.「自主独立の経営」
⇒ 環境変化に伴う新たな成長ドライバの獲得が期待される
内発的動機
• 売上高目標達成、領域No.1ポジション獲得のため、成長市場へ
• 当社ビジョンと最大生産能力のギャップの解消
積極的な投資を行い、事業規模を拡大する。
⇒ 当社が所有する 2工場の最大生産能力は約 370億円であり、
•
売機上械成設長備目・シ標ステム投資により省力化・合理化を推進し、労働生産
世界No.1の菓子提供を目指す当社の足かせとなっている。
性を向上する。
2023年9月期 2029年9月期 増加額 成長率
• 労働集約型経営から知識集約型経営への変革
223億円 800億円 577億円 258.7％ ⇒ 属人化の解消や合理化の推進により労働生産性の向上が必
要
当社の概要
当社は製粉業を祖業とする1907年創業（1986年設立）の菓子製造小売事業者である。東京都千代田区に本社、愛知県海部郡、三重県
桑名市に生産拠点を有し、百貨店や、空港・駅ナカを中心に40以上の店舗を展開する。圧倒的な商品力、製販一貫の事業実施体制を背
景に直近3期は年率20％前後の売上成長を遂げる一方、生産規模や事業効率の面で課題があり、更なる成長へ向けて一歩踏み込んだ
取り組みが必要である。</t>
  </si>
  <si>
    <t>【p.2】
株式会社プレジィール
2.補助事業の概要
補助事業実施により労働生産性を年平均14.9％向上し、地域別最低賃金の上昇率を上回る年平均3.0％の
賃上げ目標を確実に達成する。
補助事業の ［背景・目的］コスト増加に伴うビジネスモデルの再構築、成長市場の取り込みを目的とした実施体 事業費 80億円
背景・目的 制の整備 （補助額） （25億円）
［課題］生産規模拡大と経営効率の向上
経費項目 名称 効果 労働生産性
下記の機械設備、システム導入による
建物費 桑名工場増築 スペース拡充による生産規模拡大
労働生産性向上
成形機
焼成・成形・包装の品質向上
オーブン・焼成機 自動化・省力化に伴う
機械装置費 時間短縮
設備投資の 包装機・箱詰め 労働生産性向上
コスト削減
内容 その他
情報一元管理
ERP
部門間連携強化
業務工数削減、生産・販売フロー見直しに
ソフトウェア費 資材所要量、在庫管理適正化
MES よる労働生産性向上
トレーサビリティ構築
POS トレーサビリティ構築
2026年度 2029年度
項目
（基準年度） （基準年度＋３年後）
労働生産性
1,236 1,870( 年平均上昇率＋14.8％)
（単位：万円/人）
目標値 従業員1人あたり給与支給総額
336 369 (年平均上昇率＋3.0％)
（単位：万円/人）
役員１人あたり給与支給総額
- - (年平均上昇率＋11.1％)
（単位：万円/人）
補助事業に係る従業員数
840 1,132
（単位：人）
まとめ
投資内容は、桑名工場の増築、各種機械設備・システムの導入である。生産面では工場増築と設備導入により生産ラインを従来の5本か
ら11本に増やすとともに、ERP、MES導入により生産プロセスの最適化・効率化に取り組み、最大生産能力を200億円から450億円に拡
大する。販売面では、2029年9月期に160店舗を目指しており、ERP、POS導入により管理業務の効率化と顧客情報収集によるマーケ
ティング強化に取り組む。</t>
  </si>
  <si>
    <t>マリンフード株式会社
1.長期成長ビジョン
国内代替食品業界ブランドトップの地位を盤石なものとし、海外進出への足掛かりとする。チーズ代替品「スティリーノ」の省力化増
産拠点を滋賀県長浜市に配置。利益向上、継続的賃上げで長浜市及び日本の経済発展にも寄与しアジア圏にも進出する。</t>
  </si>
  <si>
    <t>長期成長ビジョン（目指す姿・ビジネスモデル）
2038年の弊社売上目標1,000億円、経常利益目標160億円、純利
益目標100億円を達成すべく、長浜工場に大規模投資を行い、省
人化機械設備を導入し、40,000ｔ/年のチーズ及びチーズ代替品の
生産を可能にしたい。さらに、日本のみならずアジアへも代替市場
を開拓し持続可能な食文化を提供したい。
生産を内製化し安定した価格で収益を上げるビジネスモデルとして
代替チーズ市場規模拡大に貢献する。弊社独自のチーズ代替品ブ
ランド「スティリーノ」（商標第5130289号）、チーズに含まれる乳脂
肪を植物油脂に置き換えたチーズ代替素材。「コレステロール98％
オフ実現」「脂肪分カット」「冷めてもやわらかい食感」など独自の付
加価値がある。輸入に頼り高騰するチーズ市場において、原材料
を仕入れ製造を内製化しているスティリーノは為替相場や有事に左
右されにくく安定供給ができ持続的に成長性が見込まれる。
さらに、動物性原料一切不使用の「ヴィーガン」シリーズも開発。ア
レルギー28品目不使用で、健康志向の高まる市場の規模拡大に
寄与する。これらプラントベースフードは温室効果ガス削減や森林
破壊の低減など、持続可能な開発目標(SDGｓ)に貢献する食材で
ある。代替チーズ国内シェア80％の弊社が伸張する需要に応える
べく大型投資による省力・省人化で増産増益を叶え、更なる開発・
製造販売・雇用創出・賃上げにつなげ国内の経済発展へ寄与する。
今後はチーズ消費量が急増しているアジア圏、さらに北米への販
路拡大も目指す。
）、自動計量器を導入し省力・省人化で労働
して長期成長ビジョンに掲げる国内代替食品業
高騰により自社存続をかけて開発、商品化した植物油
続可能な発展(サスティナビリティ)、食物アレルギーにも対
られる供給が出来ておらず、追随する新規参入に先んじ
目指す。
賀県長浜市の工場脇スペースに増設）
自動倉庫（スティリーノ冷却システム）、自動計量器、ラ</t>
  </si>
  <si>
    <t>外発的動機
• コロナ禍、ウクライナ・イスラエル情勢、グローバルインフレにおいて 「健康
性」 「持続可能性」「経済性」が重視されるようになっている。
• 植物性代替食品(プラントベースフード)の台頭
• 輸入・国産チーズがダブル値上げ(2024.03月各メディア紹介)
• チーズ消費量増加(特に台湾、香港、中国本土、タイやインドネシアなどの東
南アジア圏)</t>
  </si>
  <si>
    <t>内発的動機
スティリーノの原木は本社豊中工場（5,400t/年）及び長浜工場（1,900t/年）で生
産している。最終製品への仕上げ工程は長浜工場及び泉大津工場で行ってい
るが長浜工場にて一貫生産をする事によって、飛躍的に品質の向上を図る。
何よりも一定した温度管理の下で最終商品まで生産できる事は品質向上に大
きく寄与する。そして運送費の大幅な削減を達成し、収益の抜本的な改善を図
りたい。
現在、製造が需要に追い付かない程、受注が逼迫しているため、長浜工場で
は24時間稼働を実施し対応しているが、十分な供給力を備えた新工場を建設
する必要がある。抜本的な課題は冷却設備の不足。さらに現行の平面冷蔵庫
では人力での積み替えの為、不均一な冷却となる場合があり歩留を悪化させ
ている。さらに原料計量を人力に頼っており、人手も時間も要している事から
ヒューマンエラーの可能性も排除できない。
また、労働負荷を解消し働きやすい環境を整え昨今の人材不足確保に繋げた
い。さらに、自動化機械設備を導入する事によって省人化を図り増産・増益を
実現し地域経済の発展にも寄与することで従業員の賃上げが実現可能となる。</t>
  </si>
  <si>
    <t>【p.1／売上成長目標】
売上成長目標
• 2038年までの会社全体の売上高成長率276％
• 2038年までの会社全体の売上高増加額638億円
※弊社2023年事業発展計画書P８より</t>
  </si>
  <si>
    <t>【p.1】
マリンフード株式会社
1.長期成長ビジョン
国内代替食品業界ブランドトップの地位を盤石なものとし、海外進出への足掛かりとする。チーズ代替品「スティリーノ」の省力化増
産拠点を滋賀県長浜市に配置。利益向上、継続的賃上げで長浜市及び日本の経済発展にも寄与しアジア圏にも進出する。
外発的動機
長期成長ビジョン（目指す姿・ビジネスモデル）
• コロナ禍、ウクライナ・イスラエル情勢、グローバルインフレにおいて 「健康
2038年の弊社売上目標1,000億円、経常利益目標160億円、純利 性」 「持続可能性」「経済性」が重視されるようになっている。
益目標100億円を達成すべく、長浜工場に大規模投資を行い、省 • 植物性代替食品(プラントベースフード)の台頭
人化機械設備を導入し、40,000ｔ/年のチーズ及びチーズ代替品の • 輸入・国産チーズがダブル値上げ(2024.03月各メディア紹介)
生産を可能にしたい。さらに、日本のみならずアジアへも代替市場 • チーズ消費量増加(特に台湾、香港、中国本土、タイやインドネシアなどの東
南アジア圏)
を開拓し持続可能な食文化を提供したい。
生産を内製化し安定した価格で収益を上げるビジネスモデルとして
内発的動機
代替チーズ市場規模拡大に貢献する。弊社独自のチーズ代替品ブ
スティリーノの原木は本社豊中工場（5,400t/年）及び長浜工場（1,900t/年）で生
ランド「スティリーノ」（商標第5130289号）、チーズに含まれる乳脂
産している。最終製品への仕上げ工程は長浜工場及び泉大津工場で行ってい
肪を植物油脂に置き換えたチーズ代替素材。「コレステロール98％
るが長浜工場にて一貫生産をする事によって、飛躍的に品質の向上を図る。
オフ実現」「脂肪分カット」「冷めてもやわらかい食感」など独自の付 何よりも一定した温度管理の下で最終商品まで生産できる事は品質向上に大
加価値がある。輸入に頼り高騰するチーズ市場において、原材料 きく寄与する。そして運送費の大幅な削減を達成し、収益の抜本的な改善を図
を仕入れ製造を内製化しているスティリーノは為替相場や有事に左 りたい。
右されにくく安定供給ができ持続的に成長性が見込まれる。 現在、製造が需要に追い付かない程、受注が逼迫しているため、長浜工場で
さらに、動物性原料一切不使用の「ヴィーガン」シリーズも開発。ア は24時間稼働を実施し対応しているが、十分な供給力を備えた新工場を建設
する必要がある。抜本的な課題は冷却設備の不足。さらに現行の平面冷蔵庫
レルギー28品目不使用で、健康志向の高まる市場の規模拡大に
では人力での積み替えの為、不均一な冷却となる場合があり歩留を悪化させ
寄与する。これらプラントベースフードは温室効果ガス削減や森林
ている。さらに原料計量を人力に頼っており、人手も時間も要している事から
破壊の低減など、持続可能な開発目標(SDGｓ)に貢献する食材で
ヒューマンエラーの可能性も排除できない。
ある。代替チーズ国内シェア80％の弊社が伸張する需要に応える
また、労働負荷を解消し働きやすい環境を整え昨今の人材不足確保に繋げた
べく大型投資による省力・省人化で増産増益を叶え、更なる開発・
い。さらに、自動化機械設備を導入する事によって省人化を図り増産・増益を
製造販売・雇用創出・賃上げにつなげ国内の経済発展へ寄与する。
実現し地域経済の発展にも寄与することで従業員の賃上げが実現可能となる。
今後はチーズ消費量が急増しているアジア圏、さらに北米への販
路拡大も目指す。
売上成長目標
• 2038年までの会社全体の売上高成長率276％
• 2038年までの会社全体の売上高増加額638億円
※弊社2023年事業発展計画書P８より</t>
  </si>
  <si>
    <t>【p.2】
マリンフード株式会社
2.補助事業の概要
長浜工場空地に第２プラントを増築し、スティリーノラインを集約し受注増加に応える一貫生産を行う。第１プラントにはベビーチーズラインを集約する。ライン増設、
自動倉庫（スティリーノ冷却システム）、自動計量器を導入し省力・省人化で労働生産性向上による増収増益を目指し賃上げを実現し長浜市の経済発展に
寄与する。マリンフードの基幹工場として長期成長ビジョンに掲げる国内代替食品業界トップブランドの地位を盤石なものとし、海外進出への足掛かりとする。
補助事業の • 原料チーズの高騰により自社存続をかけて開発、商品化した植物油脂使用の代替チーズ「スティリーノ」。健康志向
事業費 46億円
背景・目的 の高まり、持続可能な発展(サスティナビリティ)、食物アレルギーにも対応しリーディングカンパニーを目指す。拡大す
る市場に求められる供給が出来ておらず、追随する新規参入に先んじて専用工場を新設し省力化・効率化による （補助額） （14億円）
事業拡大を目指す。
• 建物費（滋賀県長浜市の工場脇スペースに増設）
• 機械装置(自動倉庫（スティリーノ冷却システム）、自動計量器、ライン増設)
設備投資の
ライン増設
内容
自動倉庫
（スティリーノ冷却システム）
• 次ページ以降に詳細を記載致します。
2026年度 2029年度
項目
（基準年度） （基準年度＋３年後）
労働生産性 1,973万円/人
1,776万円/人
（単位︓万円/人） （年平均上昇率＋9.1％）
従業員1人あたり給与支給総額 507万円/人
450万円/人
（単位︓万円/人） （年平均上昇率＋4.06％）
役員１人あたり給与支給総額 3,453万円/人
3,069万円/人
（単位︓万円/人） （年平均上昇率＋4.0％）
補助事業に係る従業員数
225人 298人
（単位︓人）</t>
  </si>
  <si>
    <t>株式会社正興電機製作所
1.⾧期成⾧ビジョン
当社は、「最良の製品・サービスを以て社会に貢献す」の社是のもと、情報と制御の独創技術で環境に優しく安全で快適な社会インフラ（基盤）の構築に
貢献。2021年に創立100周年を迎え、社会環境の大きな変化を新たな成⾧のチャンスと捉え、次の20年（2041年）に向け、成⾧目標・ありたい姿を描
くとともに、中期経営計画 SEIKO IC2026（2022～2026年）を策定し、事業の拡大に取り組んでいる。</t>
  </si>
  <si>
    <t>【外発的動機】
〇気候変動への意識の高まりと技術進化
社会からの再生可能エネルギーの導入拡大とCO2排出量削
減への取り組み意識の高まりによる、企業への要請。
再生可能エネルギーによる発電技術や蓄電技術の進展による
エネルギーの効率的利用や分散化など、次世代エネルギーイン
フラへの進化。
〇DXによるスマートインフラの進展
IoTやAIなどの最新技術を活用したインフラシステムのスマー
ト化が加速。自動化や省人化など生産効率の向上や、設備
の管理・運用の高度化。
〇高齢化社会や規制強化による労働力の減少
高齢化社会による設備の維持・管理技術の減少や、労働時
間に関する規制強化による労働力不足問題。</t>
  </si>
  <si>
    <t>【内発的動機】
・当社は、IT・OT・プロダクトとデジタル技術を併せ持つ数少な
い企業グループである。また、当社がこれまで展開してきた事
業は、現在、求められているサステナブル社会の実現に向け
た取り組みそのものである。
・この事業環境の大きな変化は、当社が成⾧するチャンスであ
り、高い成⾧目標を設定するとともに、次の成⾧に向けた
事業基盤の強化、積極的な投資を加速する。
・新たなチャレンジ、社員のモチベーションの向上を図るとともに、
職場環境の整備、働き方改革、健康経営や人財育成に
取り組む。併せて株主様への利益還元や社員への報酬の
充実を実現する。</t>
  </si>
  <si>
    <t>【p.1／〇⾧期経営ビジョン NEXT20 （2041年に向かって）】
〇⾧期経営ビジョン NEXT20 （2041年に向かって）
・連結売上高（2023～2041年）:1,000億円 増加額 729億円（369％）
〇中期経営計画 SEIKO IC2026（2022～2026年）
・連結売上高（2023～2026年）: 400億円 増加額 129億円（148%）
・単体売上高（2023～2026年）: 290億円 増加額 99億円（152%）
〇基本方針:企業活動・事業活動を通じた社会課題解決により、
サステナブルな社会の実現に貢献する
〇重点課題
①デジタルファースト （デジタル技術を活用した社会課題解決）
②脱炭素社会の実現 （カーボンニュートラルへの取り組み）
③One正興 (グループ総合力の発揮）</t>
  </si>
  <si>
    <t>【p.1】
株式会社正興電機製作所
1.⾧期成⾧ビジョン
当社は、「最良の製品・サービスを以て社会に貢献す」の社是のもと、情報と制御の独創技術で環境に優しく安全で快適な社会インフラ（基盤）の構築に
貢献。2021年に創立100周年を迎え、社会環境の大きな変化を新たな成⾧のチャンスと捉え、次の20年（2041年）に向け、成⾧目標・ありたい姿を描
くとともに、中期経営計画 SEIKO IC2026（2022～2026年）を策定し、事業の拡大に取り組んでいる。
⾧期成⾧ビジョン・中期経営計画について 【外発的動機】
当社を取り巻く事業環境は、社会情勢の変化やサステナブル社会の実現に向けた 〇気候変動への意識の高まりと技術進化
社会からの再生可能エネルギーの導入拡大とCO2排出量削
ニーズの高まり、デジタルトランスフォーメーション（以下:DX） 、グリーントランスフォー
減への取り組み意識の高まりによる、企業への要請。
メーション（以下:GX）をはじめとする技術革新など、大きく変化している。
再生可能エネルギーによる発電技術や蓄電技術の進展による
このような環境の変化は、これまでIT（情報技術）、OT（制御・運用技術）、
エネルギーの効率的利用や分散化など、次世代エネルギーイン
プロダクト（モノづくり）に最新のデジタル技術を融合し、電力システム・環境エネル
フラへの進化。
ギー・情報システムなど、社会インフラの構築を通じて事業活動を行っている当社が、
〇DXによるスマートインフラの進展
大きく成⾧するチャンスと捉え、⾧期成⾧ビジョンおよび中期経営計画（SEIKO
IoTやAIなどの最新技術を活用したインフラシステムのスマー
IC2026）のもと次の成⾧に向けた事業基盤の強化と新たな挑戦に取り組んでいる。
ト化が加速。自動化や省人化など生産効率の向上や、設備
の管理・運用の高度化。
〇高齢化社会や規制強化による労働力の減少
〇⾧期経営ビジョン NEXT20 （2041年に向かって）
高齢化社会による設備の維持・管理技術の減少や、労働時
・連結売上高（2023～2041年）:1,000億円 増加額 729億円（369％）
間に関する規制強化による労働力不足問題。
【内発的動機】
〇中期経営計画 SEIKO IC2026（2022～2026年）
・当社は、IT・OT・プロダクトとデジタル技術を併せ持つ数少な
・連結売上高（2023～2026年）: 400億円 増加額 129億円（148%）
い企業グループである。また、当社がこれまで展開してきた事
・単体売上高（2023～2026年）: 290億円 増加額 99億円（152%）
業は、現在、求められているサステナブル社会の実現に向け
た取り組みそのものである。
〇基本方針:企業活動・事業活動を通じた社会課題解決により、
・この事業環境の大きな変化は、当社が成⾧するチャンスであ
サステナブルな社会の実現に貢献する
り、高い成⾧目標を設定するとともに、次の成⾧に向けた
〇重点課題
事業基盤の強化、積極的な投資を加速する。
①デジタルファースト （デジタル技術を活用した社会課題解決）
・新たなチャレンジ、社員のモチベーションの向上を図るとともに、
②脱炭素社会の実現 （カーボンニュートラルへの取り組み） 職場環境の整備、働き方改革、健康経営や人財育成に
③One正興 (グループ総合力の発揮） 取り組む。併せて株主様への利益還元や社員への報酬の
充実を実現する。</t>
  </si>
  <si>
    <t>【p.2】
株式会社正興電機製作所
.補助事業の概要
2
当社の事業成⾧の柱である、DX・GXを加速させるとともに、オープンイノベーションを促進し、新たな事業・製品の創出による事業拡大を目的として、北九
州学術研究都市（以下:学研都市）に、最先端の製品・技術開発を行うための開発拠点を設立する。ここでは先ず、新たな蓄電システムの検証とこ
れを用いたエネルギー供給システムやロボットをはじめとするデジタル技術を活用した遠隔監視システムの開発を行う。
• DXとGXの分野では技術が目覚ましく進展しており、新製品や新ビジネスの迅速な開発が重要な課題と 事業費
なっている。そこで産学官の緊密な連携の環境として恵まれている学研都市に新たな研究開発棟を設立 （補助額）
し、オープンイノベーションを推進することでDXとGXを活用した持続可能な社会へ貢献する事業の拡大
を図る。
39億円
（12億円）
• 大容量で安全性の高いレドックスフロー電池を用いた蓄電システムの開発を行い、停電時の活用や地域へ
の供給を見据えたシステムの開発を行う。そのために遠隔地である当社古賀事業所の太陽光＋蓄電システ
補助事業の ムとの連携試験も実施する。
背景・目的 • 推進中の遠隔監視システムにAIやロボティクス技術を取り込むことで機能を発展させ、幅広いアプリケー
ションに適用できるプラットフォームの開発を行う。
• ひびきの新拠点は、太陽光発電や蓄電システムをはじめとする創エネ・蓄エネ設備や省エネ設備を採用し
た地産地消のゼロエネルギービルディング（ZEB）とする。また、ロボットやIoTを活用し、スマート化を
推進する、DX・GXのモデル事業所を目指す。
• 学研都市に存在する複数の大学や産学連携センター等との連携を深め、デジタル専門家やグローバルな人
財の発掘と優れたスキルを持つ人財の育成・確保に取り組む。
１．研究開発棟（仮称:R＆Dサイト）
鉄骨３階建て 延べ床面積2,500㎡ 就業人員 約50名
主要業務内容:産学官連携や地域企業との協業を通じて新事業開発拠点として新設する。
２．モノづくり棟（スマート工場）（仮称:Mサイト）
鉄骨２階建て（一部１階建て） 延べ床面積2,300㎡ 就業人員 約40名
設備投資の
主要業務内容:上記開発の際の試作や検証、および事業化した際のモノづくり現場とする。
内容
３．主要設備
①蓄電システム ・・・ PCS 250kW＋レドックスフロー電池 1MWh
②太陽光発電 ・・・ ひびきの新拠点:PV 280kW＋PCS 250kW、 古賀事業所: PV 400 kW＋PCS 250 kW
③設備遠隔監視、セキュリティシステム ・・・ 遠隔監視システム・巡回点検ロボットおよびそのテストフィールド
④研究開発・実証試験に関する設備 ・・・ 電力需給システム用ハードウエア
【p.3】
株式会社正興電機製作所
.補助事業の概要:新拠点および主要な導入設備のイメージ
2
研究開発棟（R&amp;Dサイト）とスマート工場（Mサイト）は、自社開発の太陽光発電設備とレドックスフロー電池を用いた電力需給制御システムを活
用。また、断熱性の高い材料や高効率空調システムによるエネルギー消費の抑制を通じて、ゼロエネルギービルディング（ZEB）を目指す。さらに、自
社のスマート保安システムを導入するなど、設備管理の効率化と運用の高度化を図り、環境保全とスマート化を実現するモデル事業所を構築する。
主要な導入設備
ひびきの新拠点 〇最新のセンサ、カメラ、ロボットの活用とIoT・AI技術により、
設備管理の省力化・運用の高度化を実現
住 所 : 北九州市若松区ひびきの北２-101
（遠隔設備監視システム、ロボット巡視点システムなど）
（北九州学術研究都市内）
面 積 : 9139.15㎡
当社内 現場側
土地購入: 2023年11月 巡視点検
サーバ CTセンサ 指針センサ
北九州学術研究都市の概要
監視側
2001年4月に「アジアに開かれた学術研究都市」として、「新たな産業 PoEハブ
（16ポート） 指針（親）センサ
事務所用PC
の創出・技術の高度化」を目指して、福岡県北九州市若松区にオープ
ンした研究開発・産学連携拠点。国内で唯一、理工系の国公私立大
IPカメラ（ﾒｰﾀ読取用）
学や研究機関、先進企業が同じキャンパスに集まり、先端的な科学技 屋内
IPカメラ（外観用）
術、特に「環境技術」と「情報技術」を中心に活発な教育研究活動を
展開。
設備投資 屋外
温度（親）センサ 温度（子）センサ
のイメージ
ひびきの新拠点（研究開発棟・モノづくり棟:ZEB）
〇太陽光発電と次世代電池を利用した次世代型蓄電システムと
電力需給制御システムによるエネルギーの最適運用
【新拠点】
電力系統
レドックスフロー電池＋PV
【古賀事業所】
リチウムイオン
電池＋PV
【p.4】
株式会社正興電機製作所
.補助事業の概要:ひびきの新拠点事業体制イメージ
2
ひびきの新拠点では、当社の新事業推進部門や電力、環境エネルギーおよびエレクトロニクス事業に携わる開発者と技術者を一堂に集め、全社の
技術力の統合とシナジーを生み出すための環境を整備する。また、学研都市における産学官の連携を積極的に推進し、イノベーションの創出を図
る。
ひびきの新拠点事業体制イメージ
北九州学術研究都市
産
・進出企業40社以上
・スマート保安ソリューション （技術開発拠点等）
（遠隔監視、操作支援、ロボット）
・電力需給調整技術
・エネルギー監視、制御技術
グ
・再エネ活用技術 開
学
ル
（太陽光、水力、バイオマス） 発
・水処理設備の制御、運用技術 ー
・
・北九州市立大学 環境技術研究所
など プ 連携・協業
技
の ・九州工業大学 次世代パワー
術
シ エレクトロニクス研究センター
者
ナ ・早稲田大学 情報生産システム
を
ジ
研究センター など
集 ー
約 効
官
果
・北九州産業学術推進機構
・共同研究開発センター
・技術開発交流センター
など
ONE SEIKOで研究・開発力を強化し、事業成⾧の加速を図る
【p.5】
株式会社正興電機製作所
.補助事業の概要:労働生産性と賃上げ目標
2
2029年には、労働生産性（一人当たりの営業利益）は、年平均5.45％を目標に設定。従業員1人当たりの給与支給総額は年平均４.35％、
役員1人当たりの給与支給総額は年平均5.00%を目標とし、事業の成⾧で得た利益を給与に反映する。
また、当社は人的資本経営を重点課題として“人財の多様化”、“人財育成”、“健康経営”の推進に取り組み。
2026年度 2029年度
項目
（基準年度） （基準年度＋３年後）
労働生産性 1,204
1,027
(万円)/人 （年平均上昇率＋5.45％）
従業員1人あたり ※1 717
目標値 631
給与支給総額（万円/人） （年平均上昇率＋4.35％）
役員1人あたり ※2 1,870
1,616
給与支給総額（万円/人） （年平均上昇率＋5.00％）
補助事業に係る従業員数
795 810
（単位:人）
※1 従業員には嘱託社員・パート・アルバイトを含む ※2 使用人兼務役員に対する使用人給与相当額は含まず
＜参考＞ 〇当社の人的資本経営への取り組み
＜健康経営＞
＜人財の多様性の確保＞ ＜人財育成＞
・ 社員及び全ての関係者が安全に就業できる
・ 中⾧期的な企業価値の向上のため、 ・ 個々の自律性を尊重した教育体制を導入 職場環境の整備、また社員とその家族の心と
多様な人財（年齢、性別、国籍、等）を し、様々な制度を活用しながら、人財育成・ 身体の健康増進を支援する健康経営を推進
積極的に採用 能力開発等に対する積極的な取り組みを （ワークライフバランス、男性育休の推進）
実施
・ 今後の事業戦略に必要な専門知識、技 ・ 「健康経営優良法人ホワイト500」に継続認定
術、経験などを有する人財について計画的 (バランススコアカード、1on1、エルダー制度、幹 ・ 2024年「健康経営銘柄」に選定
に採用 部候補育成制度、公的資格取得推進、等) ・ 2024年5月「くるみん」認定取得予定</t>
  </si>
  <si>
    <t>冬木工業株式会社
1.⾧期成⾧ビジョン
鉄構部門を保有する地域Ｎｏ１の総合建設会社として、地域の経済、ＳＸをリードする会社となる。</t>
  </si>
  <si>
    <t>⾧期成⾧ビジョン（目指す姿・ビジネスモデル）
• 新工場建設し、工場の大型化、20tクレーン、ロボット等最新設
備の導入、DXの推進等のハード面の投資を実施し、今まで取りこ
ぼしていた10t超鉄骨案件を獲得できるようにすること、生産性を
向上させることを、新事業の目的とする。2029年までに実現させる。
• 新事業が安定後は、人材ノウハウ技術をさらに充実させ、四面ボッ
クス生産設備の導入、地域の大学やベンチャー企業と連携しなが
ら研究所の設立、学会への発表など実施し、Sグレード認定を勝ち
取る準備を完了させ、申請をする。
• 顧客からのさまざまな幅広い顧客要望に応えられる企業となり、安
全安心の建設物、構築物を提供し続ける企業となる。地域建設
業界、鉄鋼業界をまとめるリーダーとなり、大型案件を一括で受注
できる協力体制を構築し、地域経済発展に貢献するリーダーとな
る。
• 建築部門と鉄構部門の2つを保有する企業として、製造面技術
面人材面の部門間の連携を高め、さらにQCD面の相乗効果を高
め、会社全体が成⾧する。
• 生産性向上や働き方改革、女性活躍、サステナビリティ等あらゆる
分野で、従来の建設業や中小企業のイメージを覆す取り組みを推
進する。</t>
  </si>
  <si>
    <t>外発的動機
• 10tまでの製造設備等Hグレード工場の限界、既存の工場では顧客
ニーズを満たすことができていない。工場の大型化、一本あたり10t超の
大型鉄骨製造案件の受注、最新設備導入は顧客からの要望でもある。
• 国の国土強靭化計画、社会インフラの老朽化と更新時期の到来、震
災等災害の多発、強靭な建造物が求められている。
• 東京都再開発、大型省人化物流施設建設、EC、AI等の電算セン
ター設立、インバウンド増のための宿泊施設建設など、中⾧期的に大型
で強靭な建設物・構築物市場は安定している。
• コロナ明けで溜まっていた大型案件建設、短期的市場は活性状態であ
る。インバウンドは継続的に増加、宿泊施設は不足している。省力化無
人化の物流倉庫、半導体製造施設、EC、ＡＩ用電算センターなどは
すでに設備投資ラッシュである。</t>
  </si>
  <si>
    <t>内発的動機
• 既存工場は老朽化し、狭く、生産効率も悪く、顧客要望に応えられなく
なりつつある。女性社員が増加したものの、女性に配慮したスペース、プ
ライベート空間の確保が難しくなっている。
• 10年勤続以上の人材は75名、人材は成⾧し経験が求められる高難
度で高い技術が必要な大型案件に十分に対応が可能となった。
• 工場の大型化、最新設備の導入、DXの推進等ハード面を整備すれば、
あらゆる顧客ニーズ対応が可能で、近い将来Sグレード工場認定が勝ち
取れる状況にある。
Sグレードとは鉄骨工場の認定グレード。（次スライドに説明）
• 財務は健全、資金力に問題は無い。大きな投資に耐えられる。
• 鉄構部門の強化により、建築部門が品質面、コスト面、納期面、営業
面で大きな相乗効果を得る。
• 創業97年、知名度、顧客評価高く、地域リーダーとして活躍する立場
になってきている。当社の成⾧と同時に会社理念である「四方よし」を大
きく実践することで、地域経済は活性化する。</t>
  </si>
  <si>
    <t>【p.1／売上成長目標】
売上成⾧目標
• 2029年までの会社全体の売上高成⾧率136％
• 2029年までの会社全体の売上高増加額65億円
【p.2／設備投資の内容】
（設備投資の内容を記載ください。）
①新工場、事務所建設費 4,849百万
②新工場製造機械導入費 1,750百万
③新工場太陽光パネル/大型蓄電池設置費 268百万
④工場の見える化システム構築費 49百万
（設備投資が課題を解決）
7,474坪の新工場を建設、20tクレーン、ロボット等の最新
高生産性で省人化可能な、大型で高重量、高難度の案件
会社となる。再生エネルギーの活用、IOTシステムを装備し工
化を実現し、低コストでリアルタイムで工場の稼働状況を管理
な工場を建設する。（労働生産性向上）
10t超の鉄骨製造が可能で、ロボット等の自動化設備の導
増加と低コスト製造が可能となる。IOTシステムを装備した新
工場の見える化が実現し、正確なデジタルデータを元に改善
【p.2／2026年度】
2026年度
項目
（基準年度）</t>
  </si>
  <si>
    <t>【p.1】
冬木工業株式会社
1.⾧期成⾧ビジョン
鉄構部門を保有する地域Ｎｏ１の総合建設会社として、地域の経済、ＳＸをリードする会社となる。
外発的動機
⾧期成⾧ビジョン（目指す姿・ビジネスモデル）
• 10tまでの製造設備等Hグレード工場の限界、既存の工場では顧客
ニーズを満たすことができていない。工場の大型化、一本あたり10t超の
大型鉄骨製造案件の受注、最新設備導入は顧客からの要望でもある。
• 新工場建設し、工場の大型化、20tクレーン、ロボット等最新設
• 国の国土強靭化計画、社会インフラの老朽化と更新時期の到来、震
備の導入、DXの推進等のハード面の投資を実施し、今まで取りこ
災等災害の多発、強靭な建造物が求められている。
ぼしていた10t超鉄骨案件を獲得できるようにすること、生産性を
• 東京都再開発、大型省人化物流施設建設、EC、AI等の電算セン
向上させることを、新事業の目的とする。2029年までに実現させる。
ター設立、インバウンド増のための宿泊施設建設など、中⾧期的に大型
• 新事業が安定後は、人材ノウハウ技術をさらに充実させ、四面ボッ
で強靭な建設物・構築物市場は安定している。
クス生産設備の導入、地域の大学やベンチャー企業と連携しなが
• コロナ明けで溜まっていた大型案件建設、短期的市場は活性状態であ
ら研究所の設立、学会への発表など実施し、Sグレード認定を勝ち
る。インバウンドは継続的に増加、宿泊施設は不足している。省力化無
取る準備を完了させ、申請をする。
人化の物流倉庫、半導体製造施設、EC、ＡＩ用電算センターなどは
• 顧客からのさまざまな幅広い顧客要望に応えられる企業となり、安
すでに設備投資ラッシュである。
全安心の建設物、構築物を提供し続ける企業となる。地域建設
業界、鉄鋼業界をまとめるリーダーとなり、大型案件を一括で受注
内発的動機
できる協力体制を構築し、地域経済発展に貢献するリーダーとな
• 既存工場は老朽化し、狭く、生産効率も悪く、顧客要望に応えられなく
る。
なりつつある。女性社員が増加したものの、女性に配慮したスペース、プ
• 建築部門と鉄構部門の2つを保有する企業として、製造面技術
ライベート空間の確保が難しくなっている。
面人材面の部門間の連携を高め、さらにQCD面の相乗効果を高
• 10年勤続以上の人材は75名、人材は成⾧し経験が求められる高難
め、会社全体が成⾧する。
度で高い技術が必要な大型案件に十分に対応が可能となった。
• 生産性向上や働き方改革、女性活躍、サステナビリティ等あらゆる
• 工場の大型化、最新設備の導入、DXの推進等ハード面を整備すれば、
分野で、従来の建設業や中小企業のイメージを覆す取り組みを推
あらゆる顧客ニーズ対応が可能で、近い将来Sグレード工場認定が勝ち
進する。
取れる状況にある。
Sグレードとは鉄骨工場の認定グレード。（次スライドに説明）
売上成⾧目標
• 財務は健全、資金力に問題は無い。大きな投資に耐えられる。
• 2029年までの会社全体の売上高成⾧率136％
• 鉄構部門の強化により、建築部門が品質面、コスト面、納期面、営業
• 2029年までの会社全体の売上高増加額65億円
面で大きな相乗効果を得る。
• 創業97年、知名度、顧客評価高く、地域リーダーとして活躍する立場
になってきている。当社の成⾧と同時に会社理念である「四方よし」を大
きく実践することで、地域経済は活性化する。</t>
  </si>
  <si>
    <t>【p.2】
冬木工業株式会社
2.補助事業の概要
１本10t超の重量物製造、ソフトとハードを兼ね備えた最新鋭工場を建設し、難度の高い大型案件の一括受
注できる会社となり、建築部門との相乗効果を高め、地域経済を牽引する企業となる。
• 倉賀野工場が老朽化し生産性向上の足かせとなっている。物流倉庫、電算センターなど10t超
補助事業の 事業費 69億円
の鉄骨が求められる市場が大きく伸⾧している。案件取りこぼしの発生、将来Ｓグレード認定取
背景・目的 （補助額） （22億円）
得には20tクレーンが必要なこと、などが背景にある。
（設備投資の内容を記載ください。）
①新工場、事務所建設費 4,849百万円
②新工場製造機械導入費 1,750百万円
③新工場太陽光パネル/大型蓄電池設置費 268百万円
④工場の見える化システム構築費 49百万円
（設備投資が課題を解決）
7,474坪の新工場を建設、20tクレーン、ロボット等の最新設備投資で、
設備投資の
高生産性で省人化可能な、大型で高重量、高難度の案件に対応する 写真等
内容
会社となる。再生エネルギーの活用、IOTシステムを装備し工場の見える
化を実現し、低コストでリアルタイムで工場の稼働状況を管理するスマート
な工場を建設する。（労働生産性向上）
10t超の鉄骨製造が可能で、ロボット等の自動化設備の導入で、売上
増加と低コスト製造が可能となる。IOTシステムを装備した新工場では、 （イメージ画像:大型クレーン日本ホイスト
工場の見える化が実現し、正確なデジタルデータを元に改善活動が実施 社のHPより）
でき、省力化や生産効率が高まる。
2026年度 2029年度
項目
（基準年度） （基準年度＋３年後）
労働生産性 1,492
912
（単位:万円/人） （年平均上昇率＋14.5％）
目標値 従業員1人あたり給与支給総額 522.5
471
（単位:万円/人） （年平均上昇率＋3.52％）
役員１人あたり給与支給総額 －
ー
（単位:万円/人） （年平均上昇率＋3.03％）
補助事業に係る従業員数
68 80
（単位:人）</t>
  </si>
  <si>
    <t>オーケー化成株式会社
1.⾧期成⾧ビジョン
環境への配慮と、質や心の満足を重視した消費への社会的移行が進む中、対応するマスターバッチ1（以下
MB）が不足。補助事業を通して量産化を対応し、 「あなたのうれしいを色でつくる」というビジョンを実現する</t>
  </si>
  <si>
    <t>⾧期成⾧ビジョン（目指す姿・ビジネスモデル）
■目指す姿
• 「あなたのうれしいを色でつくる」をビジョンに世界中の「人生」に寄
り添う企業を目指す
■ビジネスモデル
• 自動車、ゲーム業界を中心に以下の高付加価値MBの大ロットの
引合が増加しているが、現行設備では対応出来ず、補助事業を
通して量産化を実現する
① 意匠性MB2の量産・拡販
• 顧客が持つ「色」「意匠性」「質感」「素材」のイメージに対して、
カラーアドバイザー（次頁にて説明）がメーカーのデザイナーにサ
ンプルを調合・提案する事業に注力
• 実績が豊富で特許や多くの調合パターンを蓄積しているため、
幅広い提案が可能。その提案を求めて顧客が相談に来ることで、
さらにパターンの蓄積が進むというサイクルを実現
② 環境配慮型の素材に対応したMBの開発・拡販
• 他社より先行して、素材メーカーとの環境配慮型の素材に対応
したMBの共同開発に着手
• 環境負荷型の素材にも意匠性を付加するニーズが高く、当社
のノウハウを活用する</t>
  </si>
  <si>
    <t>外発的動機
② 大量消費・大量廃棄の時代から、質や心の満足を重視した消費
へ移行が進んでいる
• しかし、製品の色や意匠は画一的なものが多い
• そのような流れの中、高付加価値MBを強みとする当社へ引合が増
加したが、生産が追いつかずお断りすることもある
① 脱炭素社会への流れの中、環境に優しい新素材を活用したプラス
チックの引合が増加傾向にある
• しかし、環境配慮型素材に対応したMBは、当社を含め殆ど存在し
ておらず、メーカーからの引合に対して満足な回答が出来ていない</t>
  </si>
  <si>
    <t>内発的動機（経営者の動機）
① アメリカ在籍中に独自戦略が必要と感じ、他社が安価品の大量生
産に注力する中、高付加価値MBの開発・販売に注力
マーブル材等の高意匠性商品が爆発的に売れ、日本でも急激

に要望が増えている。新興国でも今後増加が見込まれており、
量産体制を構築したい
アメリカでは人件費が上がっても高付加価値商品が売れているた

め、意匠性のポテンシャルを感じた
② 新工場敷地の竹にプラスチックを練り込んだ製品を開発する中で、
プラスチックのリサイクル、アップサイクルの必要性があるため、当社技
術で貢献したい
EV化や金属の代替に伴い環境配慮のプラスチック需要が増える

ことにもポテンシャルを感じる</t>
  </si>
  <si>
    <t>【p.1／売上成長目標】
売上成⾧目標
• 2030年までの会社全体の売上高成⾧率198.0％
• 2030年までの会社全体の売上高増加額44.7億円
うち、補助事業における売上高増加額37.6億円
【p.2／2027年度】
2027年度
項目
（基準年度）</t>
  </si>
  <si>
    <t>【p.1】
オーケー化成株式会社
1.⾧期成⾧ビジョン
環境への配慮と、質や心の満足を重視した消費への社会的移行が進む中、対応するマスターバッチ1（以下
MB）が不足。補助事業を通して量産化を対応し、 「あなたのうれしいを色でつくる」というビジョンを実現する
⾧期成⾧ビジョン（目指す姿・ビジネスモデル） 外発的動機
② 大量消費・大量廃棄の時代から、質や心の満足を重視した消費
■目指す姿
へ移行が進んでいる
• 「あなたのうれしいを色でつくる」をビジョンに世界中の「人生」に寄
• しかし、製品の色や意匠は画一的なものが多い
り添う企業を目指す
• そのような流れの中、高付加価値MBを強みとする当社へ引合が増
加したが、生産が追いつかずお断りすることもある
■ビジネスモデル
• 自動車、ゲーム業界を中心に以下の高付加価値MBの大ロットの
① 脱炭素社会への流れの中、環境に優しい新素材を活用したプラス
引合が増加しているが、現行設備では対応出来ず、補助事業を
チックの引合が増加傾向にある
通して量産化を実現する
• しかし、環境配慮型素材に対応したMBは、当社を含め殆ど存在し
ておらず、メーカーからの引合に対して満足な回答が出来ていない
① 意匠性MB2の量産・拡販
• 顧客が持つ「色」「意匠性」「質感」「素材」のイメージに対して、
カラーアドバイザー（次頁にて説明）がメーカーのデザイナーにサ
内発的動機（経営者の動機）
ンプルを調合・提案する事業に注力
① アメリカ在籍中に独自戦略が必要と感じ、他社が安価品の大量生
• 実績が豊富で特許や多くの調合パターンを蓄積しているため、
産に注力する中、高付加価値MBの開発・販売に注力
幅広い提案が可能。その提案を求めて顧客が相談に来ることで、
マーブル材等の高意匠性商品が爆発的に売れ、日本でも急激
さらにパターンの蓄積が進むというサイクルを実現 
に要望が増えている。新興国でも今後増加が見込まれており、
量産体制を構築したい
② 環境配慮型の素材に対応したMBの開発・拡販
アメリカでは人件費が上がっても高付加価値商品が売れているた
• 他社より先行して、素材メーカーとの環境配慮型の素材に対応 
め、意匠性のポテンシャルを感じた
したMBの共同開発に着手
• 環境負荷型の素材にも意匠性を付加するニーズが高く、当社
② 新工場敷地の竹にプラスチックを練り込んだ製品を開発する中で、
のノウハウを活用する
プラスチックのリサイクル、アップサイクルの必要性があるため、当社技
売上成⾧目標
術で貢献したい
• 2030年までの会社全体の売上高成⾧率198.0％ EV化や金属の代替に伴い環境配慮のプラスチック需要が増える

• 2030年までの会社全体の売上高増加額44.7億円
ことにもポテンシャルを感じる
うち、補助事業における売上高増加額37.6億円</t>
  </si>
  <si>
    <t>【p.2】
オーケー化成株式会社
2.補助事業の概要
 環境配慮素材に対応したMBや、高意匠性MBの量産工場を建設する
 工場には安定生産のための自社開発した生産設備を導入し自動化比率を高める
• 高意匠MBや、GXの取り組みでバイオ原料への着色剤といった、高付加価値な着色剤への
補助事業の ニーズが高まっている 事業費 29億円
背景・目的 • しかし、当社の生産が追いつかずお断りしている状況のため、補助事業を通じて量産体制を （補助額） （9.6億円）
構築する
• 新工場建設・・・18.0億円
• 機械装置・・・10.8億円
• 土地購入費・・・0円（取得済）
• その他（ソフトウェア等）・・・27万円
• 三重県に高付加価値製品の工場を建設
設備投資の
量産化に最適な生産体制、品質評価体制を確立する
内容 •
高意匠MB量産のために独自設計した生産設備一式（押出機
•
等）と射出成型機を導入する
国内最大の生産拠点としてだけでなく、量産するための研究開発も
•
同時に行う事業推進の拠点となり複合的な役割を担う
見学ラインを設置することで顧客や周辺地域の住民を誘致する
•
自動化設備や食堂等を設置することで、現場環境を良好にする
•
2027年度 2030年度
項目
（基準年度） （基準年度＋３年後）
労働生産性 2,592
1,851
（単位:万円/人） （年平均上昇率+11.9％）
目標値 従業員1人あたり給与支給総額 551
472
（単位:万円/人） （年平均上昇率+5.3％）
役員１人あたり給与支給総額 0
0
（単位:万円/人） （年平均上昇率＋0％）
補助事業に係る従業員数
35 50
（単位:人）</t>
  </si>
  <si>
    <t>ヤマダイ株式会社
1.長期成長ビジョン
長年培ってきた独自の加工技術を用いた「高付加価値ノンフライカップ麺」で世界のカップ麺情勢を塗り替える</t>
  </si>
  <si>
    <t>長期成長ビジョン（目指す姿・ビジネスモデル）
• ＜顧客に届く価値を最大化する＞広告宣伝費や中間経費
を最小化し、商品原価率を最大限に高めた「高付加価値
カップ麺」を提供する（国産原料・独自製法ノンフライ麺の活
用等）
• ＜世界の固定概念を覆す＞外食ラーメン店の品質に匹敵す
る「ノンフライカップ麺」を、日本のみならず麺食文化を持つ海
外の国々に届け、世界中のカップ麺の概念を覆す。
• ＜食べたいものが食べられる世界に＞ SDGsの考えをベース
に、ビーガン・ハラルフレンドリー・アレルゲンフリー等に対応する
ことで、食に制限がある人にも「美味しさ」と「手軽さ」を両立し
たカップ麺を届け、人々の食生活を豊かにする。
• ＜カップ麺で地方創生＞日本各地のご当地麺をカップ麺で
再現し、各エリアで築き上げられてきた食文化を、世代・地域
を超えて愛される食文化へと昇華する。地元食材を活用する
だけではなく、地方行政、地元団体との協業により、カップ麺
をきっかけとした魅力発掘・観光誘客・地域活性化を施す。</t>
  </si>
  <si>
    <t>外発的動機
• 麺食文化を持ったアジア圏の経済発展、欧米を中心としたラーメン
人気の高まりにより、ラーメン関連市場が世界的に拡大している。
• 食に対する価値観やライフスタイルの多様化により、選択肢の拡張、
環境的に配慮した取り組み等、「誰一人取り残されない社会」に適
応した企業姿勢・企業価値が求められている。
• 日本各地で長年築き上げられた食文化が、ライフスタイルの変化や
後継者不足等により消失しつつある等地方社会の勢いが弱まって
いる一方、リモートワーク化・地方移住の動きが広がり、地方社会の
活性化が求められている。</t>
  </si>
  <si>
    <t>内発的動機
• ノンフライ麺技術の開発前、フライ麺を主事業としていた1990年代、
品質ではなく価格でしか商品価値を評価してもらえない経験をし、
自社の技術を確立し「美味しさ」「品質」で認められる商品をうみだ
すことで、人々の食生活を豊かにしたいという気持ちを強く抱いた。
• 茨城県の交通アクセスの不便な場所に本社を構えており、地域衰
退・地域格差を身をもって経験していることから、地域創生に貢献し
たいという気持ちを抱いた。</t>
  </si>
  <si>
    <t>【p.1／売上成長目標】
売上成長目標
• 2030年までの会社全体の売上高成長率42％
• 2030年までの会社全体の売上高増加額47億円</t>
  </si>
  <si>
    <t>【p.1】
ヤマダイ株式会社
1.長期成長ビジョン
長年培ってきた独自の加工技術を用いた「高付加価値ノンフライカップ麺」で世界のカップ麺情勢を塗り替える
長期成長ビジョン（目指す姿・ビジネスモデル） 外発的動機
• ＜顧客に届く価値を最大化する＞広告宣伝費や中間経費
• 麺食文化を持ったアジア圏の経済発展、欧米を中心としたラーメン
を最小化し、商品原価率を最大限に高めた「高付加価値
人気の高まりにより、ラーメン関連市場が世界的に拡大している。
カップ麺」を提供する（国産原料・独自製法ノンフライ麺の活
• 食に対する価値観やライフスタイルの多様化により、選択肢の拡張、
用等）
環境的に配慮した取り組み等、「誰一人取り残されない社会」に適
• ＜世界の固定概念を覆す＞外食ラーメン店の品質に匹敵す 応した企業姿勢・企業価値が求められている。
る「ノンフライカップ麺」を、日本のみならず麺食文化を持つ海 • 日本各地で長年築き上げられた食文化が、ライフスタイルの変化や
外の国々に届け、世界中のカップ麺の概念を覆す。 後継者不足等により消失しつつある等地方社会の勢いが弱まって
• ＜食べたいものが食べられる世界に＞ SDGsの考えをベース いる一方、リモートワーク化・地方移住の動きが広がり、地方社会の
に、ビーガン・ハラルフレンドリー・アレルゲンフリー等に対応する 活性化が求められている。
ことで、食に制限がある人にも「美味しさ」と「手軽さ」を両立し
たカップ麺を届け、人々の食生活を豊かにする。 内発的動機
• ＜カップ麺で地方創生＞日本各地のご当地麺をカップ麺で
再現し、各エリアで築き上げられてきた食文化を、世代・地域 • ノンフライ麺技術の開発前、フライ麺を主事業としていた1990年代、
を超えて愛される食文化へと昇華する。地元食材を活用する 品質ではなく価格でしか商品価値を評価してもらえない経験をし、
だけではなく、地方行政、地元団体との協業により、カップ麺 自社の技術を確立し「美味しさ」「品質」で認められる商品をうみだ
すことで、人々の食生活を豊かにしたいという気持ちを強く抱いた。
をきっかけとした魅力発掘・観光誘客・地域活性化を施す。
• 茨城県の交通アクセスの不便な場所に本社を構えており、地域衰
売上成長目標 退・地域格差を身をもって経験していることから、地域創生に貢献し
• 2030年までの会社全体の売上高成長率42％ たいという気持ちを抱いた。
• 2030年までの会社全体の売上高増加額47億円</t>
  </si>
  <si>
    <t>【p.2】
ヤマダイ株式会社
.補助事業の概要
2
最新鋭の設備導入により、商品の高い付加価値を維持しながら、大幅な省人・省力化を実現することで、「労
働生産性の向上」「従業員給与支給額の向上」「新規の雇用確保」につなげる。
補助事業の 多品種生産や高付加価値材料の使用により、顧客満足度を高める一方で、多くの人手を活用するため、低生産性の問題が 事業費 3 億円
4
ある。また、特定の人しか作業できない力仕事も課題となっている。補助事業における新工場投資では、省人・省力化を目的と
背景・目的 （補助額） （1 億円）
して、最新鋭の機械・ロボットを実装する。さらに、将来の賃金指標を公開することで、新規雇用の確保につなげたい。 1
＜ノンフライカップ麺専用工場建屋＞
長年培ったノウハウを集約し、作業動線を最適化することで、少人数での効率稼働が可能となる。
＜バラ具材自動投入装置＞
従来、高付加価値材料（レトルト具材・生タイプ具材等）の投入には、多くの人手が必須であったが、機械を利用することにより、省人・省
力化が可能となる。
＜資材用自動倉庫＞
「ブランド価値向上」「海外専用商品製造」「PB・留型品製造」等の目的で多品目展開すると、原材料品目が増加するが、多種多量の在
設備投資の 庫管理であっても、自動倉庫を導入することで、省人・省力化が可能となる。
内容 ＜自動搬送装置＞
原料資材を自動搬送することで、従来台車で搬送していた人員を削減できる。
＜外装フィルム不良検査装置＞
製品を包む透明フィルムの包装状態を目視検査するための人員を、機械化により削減できる。
＜パレタイザーロボット・ストレッチフィルム包装機＞
従来、パレット物流に対応するために、パレット積替えと、製品固定用フィルムの巻付に人手が必要であったが、機械化により省人化できる。
上記投資の実現により、既存工場に比べて大幅な省人化・省力化が可能となる。
2026年度 2029年度
項目
（基準年度） （基準年度＋３年後）
（単
労
位
働
：
生
万
産
円
性
/人）
1,169
（年平均上
1,
昇
48
率
9
＋8.4％）
目標値 従業員1人あたり給与支給総額 550
482
（単位：万円/人） （年平均上昇率＋4.5％）
役員１人あたり給与支給総額 -
-
（単位：万円/人） （年平均上昇率＋4.5％）
補助事業に係る従業員数
215 225
（単位：人）</t>
  </si>
  <si>
    <t>中外医薬生産株式会社
1.長期成長ビジョン
人生１００年時代のQOL向上のため、OTC医薬品の研究開発・製造までの一貫体制の構築により、OEM事
業基盤を強化なものとする</t>
  </si>
  <si>
    <t>長期成長ビジョン（目指す姿・ビジネスモデル）
• 当社は医薬品製造業としてOTC医薬品を通したセルフケア推進に
より人生１００年時代のQOL（Quality of life）向上を図る。
またOTC医薬品の活用による早期の治療促進により、持続可能
な社会保障制度の構築に貢献する。
• 時代に合ったOTC医薬品の開発（コロナ禍での解熱鎮痛剤・眼
精疲労薬・ストレス緩和薬、ポストコロナでの胃腸薬・総合感冒
薬・スキンケア医薬品）などを強化し、社会ニーズに合致した製品
開発により付加価値の向上を図る。
• 乳酸菌製剤の効能を活用した付加価値向上策⇒社会ニーズが
高まる安眠、ストレス緩和、スキンケア、整腸効果分野を強化する。
• 医薬品の薬機法ガイドライン（GLP、GMP、GQP）に沿った研究
から製造、品質保証までの医薬品供給の多機能一貫対応の体
制構築により、大手製薬メーカーとの営業基盤を強固なものとし、
付加価値の向上及び年平均５％の賃上げに繋げる。
• 地域未来牽引企業として、本事業により地域経済の活性化及び
地域内付加価値額の向上を図る。
• 東海地区での医薬品製造№１企業となり、将来は海外展開とし
て日本品質の医薬品の輸出・海外製造を図っていく。</t>
  </si>
  <si>
    <t>外発的動機
• 少子高齢化社会による人生１００年時代の対応。社会保障費
の増加による財政逼迫。
• 様々な健康ニーズの高まり、予防医薬ニーズの高まりによるヘルスケ
ア関連需要拡大
• ポストコロナによる社会活動の変化（対外活動の再開による医薬
品需要の増加）
• ドラッグストアチェーンの出店強化、M＆A等による大規模化
• 医療用医薬品の供給不足（OTC医薬品による補完）
• 内需型産業のため、将来的には日本国内の市場の縮小可能性</t>
  </si>
  <si>
    <t>内発的動機
• 製薬企業として１００年以上の歴史を有しており、社会的なヘル
スケアへの貢献を強化したい。
• 研究開発型に特化し、技術的な強みを強化。固形製剤、痔疾用
薬などの分野で一定の成果があるが、装置産業であることからさらな
る成長のために大規模投資が必要である。
• DX社会においても、人間の身体的なケアは必要であり、時代に合
わせた医薬品の開発で社会貢献を果たしたい。
• 医薬品は不特定多数の方が服用するので安全性・品質の担保が
絶対条件である。
• 少子化、物価高など課題のある地元経済へ貢献し、地域活性化
を図りたい。</t>
  </si>
  <si>
    <t>【p.1／売上成長目標】
売上成長目標
• 2030年に会社全体の売上高120億円、売上高成長率
170％、付加価値額52億円を達成する
• 従業員数154名増員し335名体制へ（中堅企業へ成長）
• 新規事業（補助事業）開始以降、毎年５％以上の賃上げ
を実施する
【p.2／2030年度】
2030年度
（基準年度＋3年後）</t>
  </si>
  <si>
    <t>【p.1】
中外医薬生産株式会社
1.長期成長ビジョン
人生１００年時代のQOL向上のため、OTC医薬品の研究開発・製造までの一貫体制の構築により、OEM事
業基盤を強化なものとする
長期成長ビジョン（目指す姿・ビジネスモデル）
外発的動機
• 当社は医薬品製造業としてOTC医薬品を通したセルフケア推進に • 少子高齢化社会による人生１００年時代の対応。社会保障費
より人生１００年時代のQOL（Quality of life）向上を図る。
の増加による財政逼迫。
またOTC医薬品の活用による早期の治療促進により、持続可能
• 様々な健康ニーズの高まり、予防医薬ニーズの高まりによるヘルスケ
な社会保障制度の構築に貢献する。
ア関連需要拡大
• 時代に合ったOTC医薬品の開発（コロナ禍での解熱鎮痛剤・眼 • ポストコロナによる社会活動の変化（対外活動の再開による医薬
精疲労薬・ストレス緩和薬、ポストコロナでの胃腸薬・総合感冒
品需要の増加）
薬・スキンケア医薬品）などを強化し、社会ニーズに合致した製品
• ドラッグストアチェーンの出店強化、M＆A等による大規模化
開発により付加価値の向上を図る。
• 医療用医薬品の供給不足（OTC医薬品による補完）
• 乳酸菌製剤の効能を活用した付加価値向上策⇒社会ニーズが • 内需型産業のため、将来的には日本国内の市場の縮小可能性
高まる安眠、ストレス緩和、スキンケア、整腸効果分野を強化する。
• 医薬品の薬機法ガイドライン（GLP、GMP、GQP）に沿った研究
から製造、品質保証までの医薬品供給の多機能一貫対応の体
制構築により、大手製薬メーカーとの営業基盤を強固なものとし、
内発的動機
付加価値の向上及び年平均５％の賃上げに繋げる。
• 製薬企業として１００年以上の歴史を有しており、社会的なヘル
• 地域未来牽引企業として、本事業により地域経済の活性化及び
スケアへの貢献を強化したい。
地域内付加価値額の向上を図る。
• 研究開発型に特化し、技術的な強みを強化。固形製剤、痔疾用
• 東海地区での医薬品製造№１企業となり、将来は海外展開とし
薬などの分野で一定の成果があるが、装置産業であることからさらな
て日本品質の医薬品の輸出・海外製造を図っていく。
る成長のために大規模投資が必要である。
売上成長目標 • DX社会においても、人間の身体的なケアは必要であり、時代に合
• 2030年に会社全体の売上高120億円、売上高成長率 わせた医薬品の開発で社会貢献を果たしたい。
170％、付加価値額52億円を達成する • 医薬品は不特定多数の方が服用するので安全性・品質の担保が
• 従業員数154名増員し335名体制へ（中堅企業へ成長） 絶対条件である。
• 新規事業（補助事業）開始以降、毎年５％以上の賃上げ • 少子化、物価高など課題のある地元経済へ貢献し、地域活性化
を実施する を図りたい。</t>
  </si>
  <si>
    <t>【p.2】
.補助事業の概要
2
中外医薬生産株式会社
OTC医薬品の工場建設による付加価値向上及び賃上げ取組
補助事業の • ステップとしてOTC医薬品の製造のため大型設備投資により生産効率を拡大すると共に、生 事業費 6 5 億円
背景・目的 産性中堅企業への向上の付加価値拡大を賃上げ実施に繋げる （補助額） （20億円）
＜新工場＞
土地：9,800㎡（工業地域）
• 当社みどりが丘工場の近隣地に、OTC医薬品固形製剤及び乳酸菌
製剤を中心とした新工場建設及び既存工場への設備増強で生産性
向上を図る。
建物：３階建（約8,000㎡）、鉄骨造り、高さ20m
設備投資の
（１階：物流スペース・倉庫、２階：製剤充填包装ライン・事務室、３
内容
階：製剤充填包装ライン）
設備機器：医薬品の製造機器（固形剤：打錠機、流動層造粒機、
混合機、撹拌造粒機、被膜機、錠剤検査機、充填包装機他）
＜既存工場＞
固形剤製剤製造機器（打錠機、流動層造粒機）、液剤包装機器
＜新工場完成予想図＞
⇒本投資により年間20億錠の製造販売数量を拡大する
2027年度 2030年度
項目
（基準年度） （基準年度＋3年後）
労働生産性 1,
020
877
（万円/人） （年平均上昇率＋ ％）
5.2
目標値
従業員1人あたり 61
8
526
給与支給総額（万円/人） （年平均上昇率＋5. ％）
5
役員1人あたり ―
―
給与支給総額（万円/人） （年平均上昇率＋8.4％）</t>
  </si>
  <si>
    <t>株式会社 シーエル
1.⾧期成⾧ビジョン
 2024年問題や燃料費高騰を筆頭に、運送業者と荷主はそれぞれの課題を抱えている
 弊社がその課題解決を行いながら、共に持続的な成⾧を続けていきたい</t>
  </si>
  <si>
    <t>⾧期成⾧ビジョン（目指す姿・ビジネスモデル）
3PL事業者として物流の効率化を提供することで、荷主の物流
コストの削減と運送業者の待遇を改善させる
→ 現場力の高い社員・パート職員により効率化の実現が可能
→ 独自の物流システムにより物流コストの削減が可能
関東から九州までの「太平洋ベルト物流網」を築く
→ 日本の中心地である関東圏まで物流網を築き、より多くの需要に
応える体制を整えていく
トラック保有台数を1,000台体制(現状:660台)とし、国内
全域に物流網を敷く
→ 将来的には、自社保有トラックを増やし、全国対応が可能な体制を整えていく</t>
  </si>
  <si>
    <t>外発的動機
• 2024年問題の影響を受け、物流品質の維持や事業継続が難し
い運送業者が出てくることが予想される。
• 人手不足や燃料費の高騰は、荷主にとって物流コストが増加し
事業収益を圧迫する大きな要因となる。
運送業者と荷主が抱えるそれぞれの課題を
同時に解決したい</t>
  </si>
  <si>
    <t>内発的動機
• 運送業を創業し、多品種少量物流の時代には、市場の売れ方に
合わせて生産から消費に至るまでモノの流れを管理する”ロジスティ
クス”が重要になると実感。
• そこで、弊社は「運送業」から「物流業」への進化を目指し、創業
以来、150社以上の企業の物流コストを削減してきた。
• これまでの実績を評価され、荷主からの需要が拡大しているため
更なる事業規模拡大を図っていきたいと考えている。
事業規模を拡大し、より多くの需要に応えたい</t>
  </si>
  <si>
    <t>【p.1／売上成長目標】
売上成⾧目標（2023年度比）
（単位:億円）
2023 2024 2025 2026 2027 2028 2029
単体 81 92 102 112 125 140 157
グループ合算 149 170 181 195 217 246 268
• 2029年までの売上高増加額76億円（単体）
• 2029年までの売上高増加額119億円（グループ全体）</t>
  </si>
  <si>
    <t>【p.1】
株式会社 シーエル
1.⾧期成⾧ビジョン
 2024年問題や燃料費高騰を筆頭に、運送業者と荷主はそれぞれの課題を抱えている
 弊社がその課題解決を行いながら、共に持続的な成⾧を続けていきたい
⾧期成⾧ビジョン（目指す姿・ビジネスモデル） 外発的動機
3PL事業者として物流の効率化を提供することで、荷主の物流 • 2024年問題の影響を受け、物流品質の維持や事業継続が難し
コストの削減と運送業者の待遇を改善させる い運送業者が出てくることが予想される。
→ 現場力の高い社員・パート職員により効率化の実現が可能 • 人手不足や燃料費の高騰は、荷主にとって物流コストが増加し
事業収益を圧迫する大きな要因となる。
→ 独自の物流システムにより物流コストの削減が可能
関東から九州までの「太平洋ベルト物流網」を築く 運送業者と荷主が抱えるそれぞれの課題を
→ 日本の中心地である関東圏まで物流網を築き、より多くの需要に 同時に解決したい
応える体制を整えていく
トラック保有台数を1,000台体制(現状:660台)とし、国内
全域に物流網を敷く 内発的動機
→ 将来的には、自社保有トラックを増やし、全国対応が可能な体制を整えていく • 運送業を創業し、多品種少量物流の時代には、市場の売れ方に
合わせて生産から消費に至るまでモノの流れを管理する”ロジスティ
クス”が重要になると実感。
売上成⾧目標（2023年度比） （単位:億円） • そこで、弊社は「運送業」から「物流業」への進化を目指し、創業
以来、150社以上の企業の物流コストを削減してきた。
2023 2024 2025 2026 2027 2028 2029
• これまでの実績を評価され、荷主からの需要が拡大しているため
単体 81 92 102 112 125 140 157 更なる事業規模拡大を図っていきたいと考えている。
グループ合算 149 170 181 195 217 246 268 事業規模を拡大し、より多くの需要に応えたい
• 2029年までの売上高増加額76億円（単体）
• 2029年までの売上高増加額119億円（グループ全体）</t>
  </si>
  <si>
    <t>【p.2】
株式会社 シーエル
2.補助事業の概要
 本センターは、当社の売上拡大のみならず、運送業者と荷主の課題を解決する設備投資となる
 売上拡大と共に従業員1人あたり給与支給総額は、年平均成⾧率5.24%を目標とした賃上げを行う
• 前述している運送業界や荷主の課題は、中⾧期的に解決をしていく必要がある。
補助事業の 事業費 21億円
• 3PL事業者として、運送業者と荷主の抱える課題を解決するために、新たな物流拠点を保有
背景・目的 （補助額） （6.3億円）
することで、課題解決にむけた当社の対応可能容量を増やしたい。
[設備投資概要]
本センター建設費
住所 :福岡県筑紫野市大字下見32:1-116他.4億円
延床坪数:2,820坪（9,320.90㎡）
開発工事費
フォークリフト購入費 : 2.3億円
物流管理システム導入費 : 0.3億円
: 0.5億円
総額
設備投資の
[投資効果] :19.5億円
内容
• 急激な業務増加による物流センター不足を解消。
• 近隣センターと連携し、共同配送を促進することで、当社が最も
得意とする多品種少量物流における競合他社との優位性を更に
発揮できる環境となる。
• 受発注から配送までを本センターで行うことで、荷主から発注先への
配送日数及び距離の削減(＝荷主の販売機会増加)が可能。
• 物流拠点の増加・分散により、国土交通省の推進するトラック待機
時間の削減を図ることができる。
項目 2026年度（基準年度） 2029年度（基準年度＋３年後）
労働生産性 261万円
216万円
（万円/人） （年平均上昇率＋6.4％）
従業員1人あたり 149万円
128万円
目標値 給与支給総額（万円/人） （年平均上昇率＋5.2％）
役員1人あたり -
-
給与支給総額（万円/人） （年平均上昇率＋5.2％）
補助事業に係る従業員数
750人 900人
（単位:人）</t>
  </si>
  <si>
    <t>1.長期成長ビジョン 株式会社ササキ
・人的資本経営、ダイバーシティ経営等を積極推進することで、今後の中小企業のモデル企業を目指す
・2030年度売上高110億円（2023年度比273％）を実現し、高生産性・ウェルビーイングを実現する</t>
  </si>
  <si>
    <t>長期成長ビジョン（目指す姿・ビジネスモデル）
新たな中小企業経営像（高生産性・ウェル
ビーイング）を確立するとともに、半導体・デ
目指す姿
ジタル産業戦略を担うサプライチェーンの一員
として社会的役割を果たす ※1
・半導体製造装置
顧客
・医療等産業機器
セグメント
・航空宇宙防衛・モビリティ
・万が一にもトラブルがあってはならない半導体製
提供価値
造装置の大電流ワイヤーハーネスの安定供給
商品・
・中距離高電圧の高信頼性ワイヤーハーネス
ビジネス
サービス
・工場への設置・メンテナンス
モデル
・サプライチェーン強靭化に寄与するため
大規模自動倉庫により安定供給を実現
・特殊加工技術の社内資格合格者のみが
提供方法
製造することで安定品質・供給を継続
・調達・製造・設置からアフターメンテナンスまで
ワンストップで対応</t>
  </si>
  <si>
    <t>外発的動機
• AI、データセンター、5G等の更なる普及とデジタル化の加速
• 半導体マーケットの急激な成長予測
• 戦争や大国の対立等地政学リスク、気候変動
• 経営環境の不確実性の高まり
• インフレーションと競争環境激化
• 社会・顧客からのサプライチェーン強靭化要請
• 資源不足の進展による調達競争激化
• 更なる技術力・競争力向上による付加価値向上
• 多様性ある労働力の確保
• 生産性と賃金向上の加速化
• 社員のウェルビーイング向上</t>
  </si>
  <si>
    <t>内発的動機
• 後世へのものづくりの継承
• 日本を支える産業に参画できる喜び
• 地方中小企業のモデル企業になるビジョン
• 社員や関わる人を幸せにする、というトップとしてのミッション
• 半導体・航空宇宙・モビリティ・医療等、重要社会基盤を支える顧客
• 当社を育ててくれた山梨県韮崎市・宮城県大和町への報恩
以上が経営責任者としての内発的動機になります。
日本を支える素晴らしいお客様に恵まれ、社会的にも意味と価値ある産業
の一員である喜び、高品質な製品への誇りを忘れず経営して参ります。
結果としての成長や社員への還元、そして我々を育ててくれた地域への恩返
しを何としても実現する所存です。</t>
  </si>
  <si>
    <t>【p.1／売上成長目標】
売上成長目標
• 2023年～2030年までの会社全体の売上高成長率13％
• 2030年までの会社全体の売上高増加額70億円</t>
  </si>
  <si>
    <t>【p.1】
1.長期成長ビジョン 株式会社ササキ
・人的資本経営、ダイバーシティ経営等を積極推進することで、今後の中小企業のモデル企業を目指す
・2030年度売上高110億円（2023年度比273％）を実現し、高生産性・ウェルビーイングを実現する
長期成長ビジョン（目指す姿・ビジネスモデル） 外発的動機
• AI、データセンター、5G等の更なる普及とデジタル化の加速
• 半導体マーケットの急激な成長予測
新たな中小企業経営像（高生産性・ウェル
ビーイング）を確立するとともに、半導体・デ • 戦争や大国の対立等地政学リスク、気候変動
目指す姿 ジタル産業戦略を担うサプライチェーンの一員 • 経営環境の不確実性の高まり
として社会的役割を果たす※1 • インフレーションと競争環境激化
• 社会・顧客からのサプライチェーン強靭化要請
• 資源不足の進展による調達競争激化
・半導体製造装置 • 更なる技術力・競争力向上による付加価値向上
顧客
・医療等産業機器 • 多様性ある労働力の確保
セグメント
・航空宇宙防衛・モビリティ • 生産性と賃金向上の加速化
• 社員のウェルビーイング向上
・万が一にもトラブルがあってはならない半導体製
提供価値
造装置の大電流ワイヤーハーネスの安定供給
商品・
・中距離高電圧の高信頼性ワイヤーハーネス
ビジネス
サービス ・工場への設置・メンテナンス 内発的動機
モデル
・サプライチェーン強靭化に寄与するため • 後世へのものづくりの継承
大規模自動倉庫により安定供給を実現 • 日本を支える産業に参画できる喜び
・特殊加工技術の社内資格合格者のみが • 地方中小企業のモデル企業になるビジョン
提供方法
製造することで安定品質・供給を継続 • 社員や関わる人を幸せにする、というトップとしてのミッション
・調達・製造・設置からアフターメンテナンスまで • 半導体・航空宇宙・モビリティ・医療等、重要社会基盤を支える顧客
ワンストップで対応
• 当社を育ててくれた山梨県韮崎市・宮城県大和町への報恩
以上が経営責任者としての内発的動機になります。
売上成長目標 日本を支える素晴らしいお客様に恵まれ、社会的にも意味と価値ある産業
• 2023年～2030年までの会社全体の売上高成長率13％ の一員である喜び、高品質な製品への誇りを忘れず経営して参ります。
• 2030年までの会社全体の売上高増加額70億円 結果としての成長や社員への還元、そして我々を育ててくれた地域への恩返
しを何としても実現する所存です。
※1：定量目標以外にも中期経営計画において、①誰もが憧れる会社をつくる、②いつも顧客に求められる存在になる、③関わるすべての人を幸せにする、という3点をビジョンとして設定</t>
  </si>
  <si>
    <t>【p.2】
株式会社ササキ
2.補助事業の概要
・中長期戦略として成長市場かつ当社が競争優位性を持つ半導体製造装置向けマーケットを強化
・大規模投資によって更なる参入障壁を構築するとともに、生産性を向上
補助事業の •中長期戦略として半導体製造装置向け高信頼性ワイヤーハーネスにリソースを投入する 事業費 39億円
背景・目的 •本戦略投資の結果として、安定的成長・賃上・生産性向上を実現する （補助額） （13億円）
・半導体製造装置向け高信頼性ワイヤーハーネス製造工場 ドラムローラーと
自動倉庫
┗新棟（第2棟）として鉄骨造2階建・8210.48㎡を増築 切断機
┗1F:ACワイヤーハーネス、2F:DCワイヤーハーネス
・自動倉庫と当社開発の専用システム
┗910パレット搭載の自動倉庫を予定
┗各ターミナルに使用部材を自動で搬出搬入可能
設備投資の
内容 ・独自開発ドラムローラー
┗ドラムローラー搭載(独自開発)パレットにより自動倉庫と一体化
┗1ドラム運搬5分22秒削減→平均35ドラム/日＝187分50秒/日削減
・在庫管理Dx
┗部材発注ロスの削減、部材在庫の過在庫、部材欠品の削減による
最適在庫と発注タイミングの明確化
┗2026年度には人による管理時間をほぼゼロにできる予定
20xx年度 20xx年度
項目
（基準年度） （基準年度＋３年後）
労働生産性 1,431
1,375
（単位：万円/人） （年平均上昇率＋1.3％）
従業員1人あたり給与支給総額 356
目標値 312
（単位：万円/人） （年平均上昇率＋4.5％）
役員１人あたり給与支給総額 -
-
（単位：万円/人） （年平均上昇率5.1％）
補助事業に係る従業員数
54 95
（単位：人）</t>
  </si>
  <si>
    <t>1.長期成長ビジョン/当社が目指すべき長期成長ビジョンと重点戦略 株式会社ミラプロ
・BORDERLESSとして壁をつくることなく、世界中のよいところから買い、求める顧客に製品を提供してきた
・2034年売上高1,000億円を目指し、グローバル基準で競争力を高め、最先端分野の発展に貢献する</t>
  </si>
  <si>
    <t>長期成長ビジョン（目指す姿・ビジネスモデル）
〈基本方針・売上高目標〉
ニッチな高度技術で最先端分野の発展に貢献し、設立50周年を迎える2034年に売上高1,000億円を実現する
※売上予測についてはP8グラフを参照
〈重点戦略〉
• 開発・設計と製造の直接部門のヒトの割合増加 • 48時間以内に見積回答できるスピード感の強化
売上増加とともに増員が必要な間接部門の人員の割合を減らし、 半導体製造装置の分野において、当社の競合は台湾や韓国の企業である。
売上高と利益率の増加に貢献する部門の人員の割合を増やす。 データ活用により、時差がある中でも、48時間以内に見積回答することで、
現在の間接部門の人数で売上高1,000億円を実現する体制を構築 グローバルな受注の機会を確実に捉えられる体制を構築
• 前後工程（開発・設計、保守・メンテ）への本格進出 • 迅速な投資判断・意思決定を可能にするデータ活用
スマイルカーブにおいて高付加価値となる開発・設計と保守・メンテに本格進出 世界の半導体分野のトッププレイヤーの投資判断は迅速であり、
これまで「部品の製造と組立・据付」を主としてきたが、データ活用により 当該分野の事業領域を持つ企業もそれに合わせた意思決定が必要となる
製品ライフサイクルの開発・設計から保守・メンテ、そして廃棄まで対応可能 収益状況や財務データを即時活用できる体制で経営判断を加速
〈実現するための取組内容〉
データによる一元管理とデータを即時活用するために基幹システムの導入（PLM,SCM,ERPなど）を実施することで付加価値を高めていく</t>
  </si>
  <si>
    <t>外発的動機
普及に伴う、高性能な半導体製造装置需要
ど業界トップ企業の意思決定の迅速さ
増加に伴う、医療機器類の需要
ける発電・蓄電に関する研究開発の進展
普及に伴い、高性能な半導体 当社取引先は業界トップ企
外発的動機 と製造装置の需要が増加 であり、投資の意思決定が迅
の詳細
〈トレンドへの対応〉 〈トレンドへの対応〉
当社の真空関連技術を活か 取引先の投資判断に迅速
し、半導体分野において、開発 追随するためデータ活用体制
から保守メンテまで一貫対応体 整備して経営判断・意思決
制を確立する のスピードと確度を高める
「奇蹟の創造」
「BORDERLESS」 「たゆまぬ努力」
「豊かさの追求」
年齢、性別、人種、国籍など 創業時に掲げた３つの理</t>
  </si>
  <si>
    <t>内発的動機
ESS」を掲げ事業推進・採用促進
」「たゆまぬ努力」「豊かさの追求」
長「売上高1,000億円の達成」と利益率向上
年齢、性別、人種、国籍など 創業時に掲げた３つの理
内発的動機
の壁を一切つくることなく事業を 根幹とし、市場の変化や顧
の詳細
推進、採用を促進し、国内外 ニーズを先取りし、社員の成
の事業所で多国籍な人材が自 技術の革新を通して、人々
分の能力を発揮し活躍できる 活・文化に貢献する企業集
環境を整えていく を目指す</t>
  </si>
  <si>
    <t>ン/当社の概要
電子基板組立を開始、1995年に異業種であ
ら真空分野をコアとして、半導体製造装置や液
業名：株式会社ミラプロ
在地：山梨県北杜市須玉町穴平1100番地
本金：9,750万円
資本金：9,750万円
会社概要
従業員：750名（23年3月）
・沿革
理 念：人々の生活・文化に貢献する企業集団を目指します。
創業時の3つの理念
奇蹟の創造 たゆまぬ努力 豊かさの追求
事業 真空 ユニット
事業・
半導体やフラットパネルディスプレイの
事業内容・ 事業内容
製造装置の（真空）部品製造・組立・据付
売上比率
売上比率 半導体・FPD製造装置分野：92%程度</t>
  </si>
  <si>
    <t>【p.1／当社・会社の概要】
ン/当社の概要
電子基板組立を開始、1995年に異業種であ
ら真空分野をコアとして、半導体製造装置や液
業名：株式会社ミラプロ
在地：山梨県北杜市須玉町穴平1100番地
本金：9,750万円
【p.1／企業名：株式会社ミラプロ】
企業名：株式会社ミラプロ
所在地：山梨県北杜市須玉町穴平1100番地
資本金：9,750万円
従業員：750名（23年3月）
理 念：人々の生活・文化に貢献する企業集団を目指します。
創業時の3つの理念
奇蹟の創造 たゆまぬ努力 豊かさの追求
【p.1／沿革】
沿革
1984年~ 創業、下請け時代（基板組立を開始）
1995年~ 真空部品メーカーへ
2002年~ 海外展開、医療分野への進出
2010年~ KAGRA参画、次世代事業を展開
2012年 津金洋之が代表取締役に就任
2018年~ 真空をコアとして更なる飛躍へ
【p.1／当社・会社の概要】
資本金：9,750万円
会社概要
従業員：750名（23年3月）
・沿革
理 念：人々の生活・文化に貢献する企業集団を目指します。
創業時の3つの理念
奇蹟の創造 たゆまぬ努力 豊かさの追求
事業 真空 ユニット
事業・
半導体やフラットパネルディスプレイの
事業内容・ 事業内容
製造装置の（真空）部品製造・組立・据付
売上比率
売上比率 半導体・FPD製造装置分野：92%程度
【p.2／「BORDERLESS」を掲げ事業推進・採用促進】
「BORDERLESS」を掲げ事業推進・採用促進
【p.2／「奇蹟の創造」「たゆまぬ努力」「豊かさの追求」】
「奇蹟の創造」「たゆまぬ努力」「豊かさの追求」
【p.2／設立50周年に向けた成長「売上高1,000億円の達成」と利益率向上】
設立50周年に向けた成長「売上高1,000億円の達成」と利益率向上
【p.3／高性能な 業界トップ企業の 高齢者の増加に伴う エネルギー分野の】
高性能な 業界トップ企業の 高齢者の増加に伴う エネルギー分野の
半導体製造装置需要 意思決定の迅速さ 医療機器類の需要増 発電・蓄電の発展
〈具体的内容〉 〈具体的内容〉 〈具体的内容〉 〈具体的内容〉
IoTやAI,5G通信技術などの 半導体分野・医療分野など 負担が少なく効果の高い最 環境負荷の少ないエネルギー
普及に伴い、高性能な半導体 当社取引先は業界トップ企業 新の医療機器やディスポーザ の発電や蓄電の研究開発が進
と製造装置の需要が増加 であり、投資の意思決定が迅速 ブル医療用品の需要が増加 んでいる
〈トレンドへの対応〉 〈トレンドへの対応〉 〈トレンドへの対応〉 〈トレンドへの対応〉
当社の真空関連技術を活か 取引先の投資判断に迅速に 技術の進歩に伴う製品ライ 当社の真空に関する知見や
し、半導体分野において、開発 追随するためデータ活用体制を フサイクルの短縮化に対応す 技術はエネルギー分野の発電・
から保守メンテまで一貫対応体 整備して経営判断・意思決定 るため製造データを一元管理 蓄電においても活躍しており、
制を確立する のスピードと確度を高める し、引き合いから製造までの 知見の効率的な提供で研究
時間を短縮化する 開発に貢献する
【p.3／「奇蹟の創造」】
「奇蹟の創造」
設立50周年
「BORDERLESS」 「たゆまぬ努力」
に向けた成長
「豊かさの追求」
年齢、性別、人種、国籍など 創業時に掲げた３つの理念を 設立50年を迎える2034年
の壁を一切つくることなく事業を 根幹とし、市場の変化や顧客の に売上高1,000億円を社員
推進、採用を促進し、国内外 ニーズを先取りし、社員の成長と 一丸となって目指している。
の事業所で多国籍な人材が自 技術の革新を通して、人々の生 各成長市場の拡大に追随
分の能力を発揮し活躍できる 活・文化に貢献する企業集団 するとともに、高付加価値化
環境を整えていく を目指す や省力化による利益率の向
上にも取り組んでいく</t>
  </si>
  <si>
    <t>【p.1】
1 長期成長ビジョン/当社の概要 株式会社ミラプロ
.
・1984年に電子基板組立を開始、1995年に異業種である真空部品メーカーへ転身し事業を拡大してきた
・2018年から真空分野をコアとして、半導体製造装置や液晶パネル、エネルギーや先端研究に貢献している
企業名：株式会社ミラプロ 沿革
所在地：山梨県北杜市須玉町穴平1100番地 1984年~ 創業、下請け時代（基板組立を開始）
資本金：9,750万円 1995年~ 真空部品メーカーへ
会社概要
従業員：750名（23年3月） 2002年~ 海外展開、医療分野への進出
・沿革
理 念：人々の生活・文化に貢献する企業集団を目指します。 2010年~ KAGRA参画、次世代事業を展開
創業時の3つの理念 2012年 津金洋之が代表取締役に就任
奇蹟の創造 たゆまぬ努力 豊かさの追求 2018年~ 真空をコアとして更なる飛躍へ
次世代事業開発
事業 真空 ユニット 医療機器
エネルギー・その他
事業・ 真空技術を活かし
半導体やフラットパネルディスプレイの 微細製品加工技術の
事業内容・ 事業内容 科学・エネルギー分野へ貢献
製造装置の（真空）部品製造・組立・据付 自動化装置の製造
売上比率 自社ブランド設備の開発
売上比率 半導体・FPD製造装置分野：92%程度 7%程度 1%程度
振動子検査 AI搭載
溶接ベローズ等 真空チャンバーの溶接 テーピング装置 検査システム KAGRAの真空ダクト
主な製品・
微細製品
主な技術 チラーの 加工技術の
自動化装置
設計・製造
温度環境の
構築のための
カスタマイズ 最先端超高 超電導フライホイール
成型ベローズ等 真空機器 蓄電システム
【p.2】
1.長期成長ビジョン/当社が目指すべき長期成長ビジョンと重点戦略 株式会社ミラプロ
・BORDERLESSとして壁をつくることなく、世界中のよいところから買い、求める顧客に製品を提供してきた
・2034年売上高1,000億円を目指し、グローバル基準で競争力を高め、最先端分野の発展に貢献する
長期成長ビジョン（目指す姿・ビジネスモデル）
〈基本方針・売上高目標〉
ニッチな高度技術で最先端分野の発展に貢献し、設立50周年を迎える2034年に売上高1,000億円を実現する
※売上予測についてはP8グラフを参照
〈重点戦略〉
• 開発・設計と製造の直接部門のヒトの割合増加 • 48時間以内に見積回答できるスピード感の強化
売上増加とともに増員が必要な間接部門の人員の割合を減らし、 半導体製造装置の分野において、当社の競合は台湾や韓国の企業である。
売上高と利益率の増加に貢献する部門の人員の割合を増やす。 データ活用により、時差がある中でも、48時間以内に見積回答することで、
現在の間接部門の人数で売上高1,000億円を実現する体制を構築 グローバルな受注の機会を確実に捉えられる体制を構築
• 前後工程（開発・設計、保守・メンテ）への本格進出 • 迅速な投資判断・意思決定を可能にするデータ活用
スマイルカーブにおいて高付加価値となる開発・設計と保守・メンテに本格進出 世界の半導体分野のトッププレイヤーの投資判断は迅速であり、
これまで「部品の製造と組立・据付」を主としてきたが、データ活用により 当該分野の事業領域を持つ企業もそれに合わせた意思決定が必要となる
製品ライフサイクルの開発・設計から保守・メンテ、そして廃棄まで対応可能 収益状況や財務データを即時活用できる体制で経営判断を加速
〈実現するための取組内容〉
データによる一元管理とデータを即時活用するために基幹システムの導入（PLM,SCM,ERPなど）を実施することで付加価値を高めていく
外発的動機 内発的動機
AIやIoT,5G通信技術の普及に伴う、高性能な半導体製造装置需要 「BORDERLESS」を掲げ事業推進・採用促進
半導体・医療など業界トップ企業の意思決定の迅速さ
「奇蹟の創造」「たゆまぬ努力」「豊かさの追求」
高齢者数の増加に伴う、医療機器類の需要
設立50周年に向けた成長「売上高1,000億円の達成」と利益率向上
エネルギー分野における発電・蓄電に関する研究開発の進展
【p.3】
1.長期成長ビジョン 株式会社ミラプロ
・半導体製造装置、医療、エネルギーのすべてにおいて、成長と変化が著しいため対応力が必要
・創業時に掲げた理念とBORDERLESSの考え方で成長を実現。設立50年にむけて新たな課題と向き合う
高性能な 業界トップ企業の 高齢者の増加に伴う エネルギー分野の
半導体製造装置需要 意思決定の迅速さ 医療機器類の需要増 発電・蓄電の発展
〈具体的内容〉 〈具体的内容〉 〈具体的内容〉 〈具体的内容〉
IoTやAI,5G通信技術などの 半導体分野・医療分野など 負担が少なく効果の高い最 環境負荷の少ないエネルギー
普及に伴い、高性能な半導体 当社取引先は業界トップ企業 新の医療機器やディスポーザ の発電や蓄電の研究開発が進
外発的動機 と製造装置の需要が増加 であり、投資の意思決定が迅速 ブル医療用品の需要が増加 んでいる
の詳細
〈トレンドへの対応〉 〈トレンドへの対応〉 〈トレンドへの対応〉 〈トレンドへの対応〉
当社の真空関連技術を活か 取引先の投資判断に迅速に 技術の進歩に伴う製品ライ 当社の真空に関する知見や
し、半導体分野において、開発 追随するためデータ活用体制を フサイクルの短縮化に対応す 技術はエネルギー分野の発電・
から保守メンテまで一貫対応体 整備して経営判断・意思決定 るため製造データを一元管理 蓄電においても活躍しており、
制を確立する のスピードと確度を高める し、引き合いから製造までの 知見の効率的な提供で研究
時間を短縮化する 開発に貢献する
「奇蹟の創造」
設立50周年
「BORDERLESS」 「たゆまぬ努力」
に向けた成長
「豊かさの追求」
年齢、性別、人種、国籍など 創業時に掲げた３つの理念を 設立50年を迎える2034年
内発的動機 の壁を一切つくることなく事業を 根幹とし、市場の変化や顧客の に売上高1,000億円を社員
の詳細 推進、採用を促進し、国内外 ニーズを先取りし、社員の成長と 一丸となって目指している。
の事業所で多国籍な人材が自 技術の革新を通して、人々の生 各成長市場の拡大に追随
分の能力を発揮し活躍できる 活・文化に貢献する企業集団 するとともに、高付加価値化
環境を整えていく を目指す や省力化による利益率の向
上にも取り組んでいく</t>
  </si>
  <si>
    <t>【p.4】
補助事業の概要 株式会社ミラプロ
2.
・新たな基幹システムの導入により全社的な生産性向上と直接部門への配置転換による利益率向上を見込む
・データ活用が進むことでスマイルカーブの高付加価値領域に本格参入が可能となり、更なる高収益を実現可能
• 設立50周年を迎える2034年に売上高1,000億円を目指している
補助事業の 事業費 億円
• 売上高増加に伴い、間接部門の人数増加率が高まり、利益を圧迫している 13
背景・目的 （補助額） （ 億円）
• 新たな基幹システムの導入により高付加価値の開発・設計や保守・メンテに本格参入可能 4.4
次の機能をもつ新たな基幹システムを全社的に導入する。基幹システム導入にあたりサーバーなどハードウェアも導入する。
■PLM（製品ライフサイクル管理）システム
・開発・設計から保守・メンテナンス、廃棄までの製品ライフサイクルの管理システム
・データを収集する仕組みを構築し、原価や工程の標準化が可能になる
・取引先からの引き合い・企画のスピードが向上するため、
グローバルスタンダードである48時間以内の見積依頼に持続的な対応が可能になる
・データ収集が困難であった保守・メンテナンスにおける各種処置や部品交換（適量仕入）が可能になる
設備投資の
■SCM（サプライチェーン管理）システム
内容
・部品発注、調達、生産、販売の実績管理はSCMが担う
・PLMシステムと組み合わせて活用することで予実管理を行い、
標準コストや標準生産時間と照らし合わせることで継続的な改善が可能になる
■ERP（経営資源計画：労務・財務）システム
・人件費の管理や財務会計情報の管理を行う管理システム
・各種データをリアルタイムで活用できるため、迅速な経営判断が可能になる
・各種データが標準化されているため、確度の高い情報から経営判断が可能になる
2024年度 2027年度
項目
（基準年度） （基準年度＋３年後）
労働生産性 1302
（単位：万円/人） 926 （年平均上昇率＋12.0％）
目標値 従業員
（
1
単
人
位
あ
：
た
万
り給
円
与
/人
支
）
給総額 449
（年平均上
5
昇
2
率
0
＋5.0％）
役員
（
１
単
人
位
あた
：
り
万
給
円
与
/
支
人
給
）
総額 1182
（年平均上
1
昇
36
率
8
＋5.0％）
補助事業に係る従業員数
（単位：人） 773 901</t>
  </si>
  <si>
    <t>1.長期成長ビジョン マイクロカット株式会社
社会的な意義が高い半導体製造の効率化を当社独自技術のめっき加工により実現し、将来的な売上高100
億円を目指すとともに、全社的な賃上げを強化により優秀な人材の確保を行い、持続的な企業成長を果たす。</t>
  </si>
  <si>
    <t>長期成長ビジョン（目指す姿・ビジネスモデル）
• 当社は経営方針として「世界最先端の標準化された加工技術を
確立し、お客様の発展に貢献できる製品づくりを行う」を掲げてお
り、現在では国内外において通信および光通信用金属部品メー
カーとして高い評価をいただいている。特に高機能光通信部品では
世界シェアNo.1となっている。
• 今後も、ものづくり集団として高付加価値商品への加工事業を通
じて世界に通用する企業となるべくざまざまな事業に大胆な投資に
よって進出するとともに、当社が掲げる「大家族主義」に則り、得ら
れた収益を賃上げにより従業員に還元することで優秀な人材の確
保を行い、企業の持続的な成長を生み出す好循環につなげたいと
考えている。
• しかし現状の事業はボラティリティが大きいため、安定した従業員
還元のためには経営の安定化を図る必要がある。
• 具体的には、製造装置の切削分野で既参入している半導体事
業への本格的な参入をシリコンウエハーへのUBM形成プロセス
（めっき加工）を通じて行い、将来的にはコアな技術分野への進
出など、半導体製造分野のマルチプレイヤーを目指す。
• 労働力減少社会においても優秀な人材確保を行うため将来的に
は平均年収1,000万円をベンチマークとしつつ、2030年までに地
域No.1水準の待遇を目指す。</t>
  </si>
  <si>
    <t>外発的動機
• 世界最先端のものづくりを国内で拡大していくためには優秀な人材
獲得が必要となる。人口減少社会、特に労働力人口が今後急減
していく中で引き続き優秀な人材を獲得するためには見合った待
遇を提供できる経営基盤が必要であると痛感している。
• カーボンニュートラルや脱炭素社会の実現にむけて、電気自動車や
風力発電などに用いられているパワー半導体の需要が世界的に高
まると同時に、経済安全保障上の戦略物資である半導体を国内
で効率的に生産する体制を構築することは日本にとっても喫緊の
課題であり、当社の技術力を活かして半導体国内生産をより効率
化していく社会的な意義が非常に高まっている。</t>
  </si>
  <si>
    <t>内発的動機
• 当社社長は過去に京都本社の同業種の鹿児島工場長であったが
同社の倒産を経験。同社から工場等の資産を買い取るとともに雇
用も引き継いでおり、ものづくりへの想いを継承するとともに経営者
として従業員の雇用を確保することの重大性を痛感した。この原
体験が現在の会社経営における礎となっている。
• 創業よりニッチ産業に特化したビジネスモデルであり、得意先も特
定の企業への依存度が高い傾向にあったため、得意先の業績に当
社の業績も左右され、事業のボラティリティが大きいという課題が
あり、安定した従業員還元を行えない環境。
• これまで半導体事業等、自社資源を活用した事業領域の拡大を
積極的に行っており、長期的な経営拡大、安定化を実現すること
によってさらなる従業員の雇用確保、収益還元の実現を経営方
針として掲げている。</t>
  </si>
  <si>
    <t>【p.1／売上成長目標】
長期売上成長目標
・ 2030年時点（カッコ内は対23/12期）
売上101億円
うち既存事業 32億円（＋9億円/＋36％）
うち補助事業 69億円（＋53億円/+349%）
【p.2／【パワー半導体製造工程におけるめっき処理】】
【パワー半導体製造工程におけるめっき処理】
製品 受入 プラズマ ＜新技術＞ 膜厚 完成品 完成品
受入 検査 処理 めっき処理 測定 検査 出荷
2025年度
項目</t>
  </si>
  <si>
    <t>【p.1】
1.長期成長ビジョン マイクロカット株式会社
社会的な意義が高い半導体製造の効率化を当社独自技術のめっき加工により実現し、将来的な売上高100
億円を目指すとともに、全社的な賃上げを強化により優秀な人材の確保を行い、持続的な企業成長を果たす。
長期成長ビジョン（目指す姿・ビジネスモデル）
外発的動機
• 当社は経営方針として「世界最先端の標準化された加工技術を
確立し、お客様の発展に貢献できる製品づくりを行う」を掲げてお • 世界最先端のものづくりを国内で拡大していくためには優秀な人材
り、現在では国内外において通信および光通信用金属部品メー 獲得が必要となる。人口減少社会、特に労働力人口が今後急減
カーとして高い評価をいただいている。特に高機能光通信部品では していく中で引き続き優秀な人材を獲得するためには見合った待
世界シェアNo.1となっている。 遇を提供できる経営基盤が必要であると痛感している。
• 今後も、ものづくり集団として高付加価値商品への加工事業を通 • カーボンニュートラルや脱炭素社会の実現にむけて、電気自動車や
じて世界に通用する企業となるべくざまざまな事業に大胆な投資に 風力発電などに用いられているパワー半導体の需要が世界的に高
よって進出するとともに、当社が掲げる「大家族主義」に則り、得ら まると同時に、経済安全保障上の戦略物資である半導体を国内
れた収益を賃上げにより従業員に還元することで優秀な人材の確 で効率的に生産する体制を構築することは日本にとっても喫緊の
保を行い、企業の持続的な成長を生み出す好循環につなげたいと 課題であり、当社の技術力を活かして半導体国内生産をより効率
考えている。 化していく社会的な意義が非常に高まっている。
• しかし現状の事業はボラティリティが大きいため、安定した従業員
還元のためには経営の安定化を図る必要がある。
内発的動機
• 具体的には、製造装置の切削分野で既参入している半導体事
業への本格的な参入をシリコンウエハーへのUBM形成プロセス
• 当社社長は過去に京都本社の同業種の鹿児島工場長であったが
（めっき加工）を通じて行い、将来的にはコアな技術分野への進
同社の倒産を経験。同社から工場等の資産を買い取るとともに雇
出など、半導体製造分野のマルチプレイヤーを目指す。
用も引き継いでおり、ものづくりへの想いを継承するとともに経営者
• 労働力減少社会においても優秀な人材確保を行うため将来的に
として従業員の雇用を確保することの重大性を痛感した。この原
は平均年収1,000万円をベンチマークとしつつ、2030年までに地
体験が現在の会社経営における礎となっている。
域No.1水準の待遇を目指す。
• 創業よりニッチ産業に特化したビジネスモデルであり、得意先も特
長期売上成長目標 定の企業への依存度が高い傾向にあったため、得意先の業績に当
社の業績も左右され、事業のボラティリティが大きいという課題が
・ 2030年時点（カッコ内は対23/12期）
あり、安定した従業員還元を行えない環境。
売上101億円
うち既存事業 32億円（＋9億円/＋36％） • これまで半導体事業等、自社資源を活用した事業領域の拡大を
積極的に行っており、長期的な経営拡大、安定化を実現すること
うち補助事業 69億円（＋53億円/+349%）
によってさらなる従業員の雇用確保、収益還元の実現を経営方
針として掲げている。</t>
  </si>
  <si>
    <t>【p.2】
.補助事業の概要 マイクロカット株式会社
2
社会的な意義が高い半導体製造の効率化を当社独自技術のめっき加工により実現するため、品質・生産性の
高い全自動設備の開発・導入を行う。 2025年3月までに補助事業を完了する予定である。
• 創業以来培ってきた当社の技術力を活かして、国内産業として重要性の高い半導体分野の発展 1 4.9 億円
補助事業の に貢献し、半導体事業におけるマルチプレーヤーを目指す 事業費 （ 4.9 億円）
背景・目的 • また、市場成長率が高い半導体事業を拡大することで、会社経営においても安定した事業成長と （補助額） ※2025年3月までに
従業員還元の拡大を目的とする 補助事業完了
• パワー半導体製造工程のうち、12インチのウエハーに新技術によるめっき加工
するためのライン設備を導入する。ウエハーのめっき処理において、自動装置とロ
ボットの組み合わせにより工程間の受け渡しも含めたすべての工程を自動化し
た、全自動めっきラインとなる。
• パワー半導体製造工程において初となる、12インチウエハー専用の全自動めっ
きラインの量産体制の構築を目指す。開発予定のめっきライン製造量は、他社
設備投資の における現行ラインの数倍程度の生産量を計画する。
内容 • 本補助事業によって、半導体メーカーの工数削減につながり、半導体製品製
造過程における設備投資コストの効率化、半導体製品の単価抑制、生産効
率向上に貢献する。
※導入予定の自動めっき装置（上記写真は参考）。今回のめっ
【パワー半導体製造工程におけるめっき処理】 きラインの導入は、2022年度に新設した工場に設けるため、建物
への投資は不要となる。
製品 受入 プラズマ ＜新技術＞ 膜厚 完成品 完成品 めっき排水処理についても、適正な排水処理・分析検査等が自動
受入 検査 処理 めっき処理 測定 検査 出荷 化されている。(写真提供：奥野製薬工業㈱)
2025年度 2028年度
項目
（基準年度） （基準年度＋３年後）
労働生産性 1,384
867
（万円/人） （年平均上昇率＋17％）
従業員1人あたり 601
目標値 505
給与支給総額（万円/人） （年平均上昇率＋6％）
役員１人あたり給与支給総額 2,871
2,410
（単位：万円/人） （年平均上昇率＋6％）
補助事業に係る従業員数
260 314
（単位：人）</t>
  </si>
  <si>
    <t>1 .長期成長ビジョン 大峰堂薬品工業株式会社
漢方薬の需要が高まる中、「OEM事業の国内シェア7割」というKGIを達成することより、より多くの
方々に創業123年の歴史の中で蓄積してきた技術をお届けし、日本を元気にしたいと考えています。</t>
  </si>
  <si>
    <t>長期成長ビジョン（目指す姿・ビジネスモデル）
漢方薬製造（OEM）において
国内シェア７割の「健康創造総合企業」へ
• 生産能力の拡大
現段階で漢方薬製造のOEMにおいて国内トップシェア（現状3
割）を占める当社が、更なる生産能力の拡大により、少しでも安価
に消費者へ漢方薬を提供する体制を強化することで、誰もが健康
な生活を送ることのできる社会の実現に貢献したい。
• 購買チャネルの拡大
漢方薬は薬品としてだけでなく、より一般消費者の生活に溶け込
む余地があると考えている。食品や美容品など、漢方薬の良さが
活きる業界に裾野を広げることで、消費者の潜在的ニーズに働き
かけ、漢方薬をもっと身近なものとして認知してもらいたい。最終
的には漢方薬を通してお客様の健康を総合的にサポートする「健
康創造総合企業」を目指す。</t>
  </si>
  <si>
    <t>外発的動機
• 漢方薬市場の伸長
医薬品全体の市場規模は過去10年間で17.1％伸長しているが、
その中でも漢方薬の市場規模は27.0％の高い伸長率となってお
り、医薬品市場全体から見ても、今後の需要および規模拡大の余地
が大きい（出典：厚生労働省薬事工業生産動態統計）。
• 物価・原材料費の高騰
2024年現在、日本の消費者物価指数は2020年に比べて、
6.9％の増加を記録している（出典：総務省統計局）。また、漢方薬
の原料である生薬の大半は海外からの輸入に依存しており、昨今
の円安等の影響で、仕入価格の上昇が続いている。製造コストの上
昇は最終的な販売価格の転嫁を招き、同時に当社の利益率悪化に
も繋がる。</t>
  </si>
  <si>
    <t>内発的動機
• 誰もが皆、夢を実現できる世の中にしたい
代表の辻は誰もが皆、自分自身の描いた夢を実現できる社会で
ありたいと考えており、夢実現のためには自身の健康維持が不可
欠であると考えている。親子間における子の健康管理が親の責務
であるならば、当社の役割はその健康維持に向けた商品を世の中
へ広く提供する事が社会的使命と捉えており、全社一丸となって漢
方薬を通じた社会貢献をしていきたい。
• 漢方薬の素晴らしさをもっと広めたい
昨今、生活習慣病やストレスに起因する現代病が増加している。
漢方薬は病気への対処だけでなく、根本的な体質改善にも適して
おり、現代人を救う有効な手段であると確信している。</t>
  </si>
  <si>
    <t>【p.1／売上成長目標】
売上成長目標
• 2035年までに全体の売上高 200億円（KGI）
• 2030年までに全体の売上高増加額 70億円（KPI）
※成長率 90％
• 2030年までに医療用漢方薬の売上高増加額 15億円
※成長率 37％
• 2030年までに一般用漢方薬の売上高増加額 50億円
※成長率 155％</t>
  </si>
  <si>
    <t>【p.1】
1 .長期成長ビジョン 大峰堂薬品工業株式会社
漢方薬の需要が高まる中、「OEM事業の国内シェア7割」というKGIを達成することより、より多くの
方々に創業123年の歴史の中で蓄積してきた技術をお届けし、日本を元気にしたいと考えています。
長期成長ビジョン（目指す姿・ビジネスモデル） 外発的動機
• 漢方薬市場の伸長
漢方薬製造（OEM）において
医薬品全体の市場規模は過去10年間で17.1％伸長しているが、
国内シェア７割の「健康創造総合企業」へ その中でも漢方薬の市場規模は27.0％の高い伸長率となってお
り、医薬品市場全体から見ても、今後の需要および規模拡大の余地
• 生産能力の拡大
が大きい（出典：厚生労働省薬事工業生産動態統計）。
現段階で漢方薬製造のOEMにおいて国内トップシェア（現状3
• 物価・原材料費の高騰
割）を占める当社が、更なる生産能力の拡大により、少しでも安価
2024年現在、日本の消費者物価指数は2020年に比べて、
に消費者へ漢方薬を提供する体制を強化することで、誰もが健康
6.9％の増加を記録している（出典：総務省統計局）。また、漢方薬
な生活を送ることのできる社会の実現に貢献したい。
の原料である生薬の大半は海外からの輸入に依存しており、昨今
• 購買チャネルの拡大
の円安等の影響で、仕入価格の上昇が続いている。製造コストの上
漢方薬は薬品としてだけでなく、より一般消費者の生活に溶け込
昇は最終的な販売価格の転嫁を招き、同時に当社の利益率悪化に
む余地があると考えている。食品や美容品など、漢方薬の良さが
も繋がる。
活きる業界に裾野を広げることで、消費者の潜在的ニーズに働き
かけ、漢方薬をもっと身近なものとして認知してもらいたい。最終
的には漢方薬を通してお客様の健康を総合的にサポートする「健
内発的動機
康創造総合企業」を目指す。
• 誰もが皆、夢を実現できる世の中にしたい
代表の辻は誰もが皆、自分自身の描いた夢を実現できる社会で
売上成長目標
ありたいと考えており、夢実現のためには自身の健康維持が不可
• 2035年までに全体の売上高 200億円（KGI） 欠であると考えている。親子間における子の健康管理が親の責務
• 2030年までに全体の売上高増加額 70億円（KPI） であるならば、当社の役割はその健康維持に向けた商品を世の中
※成長率 90％ へ広く提供する事が社会的使命と捉えており、全社一丸となって漢
• 2030年までに医療用漢方薬の売上高増加額 15億円 方薬を通じた社会貢献をしていきたい。
※成長率 37％ • 漢方薬の素晴らしさをもっと広めたい
昨今、生活習慣病やストレスに起因する現代病が増加している。
• 2030年までに一般用漢方薬の売上高増加額 50億円
漢方薬は病気への対処だけでなく、根本的な体質改善にも適して
※成長率 155％
おり、現代人を救う有効な手段であると確信している。</t>
  </si>
  <si>
    <t>【p.2】
.補助事業の概要 大峰堂薬品工業株式会社
２
今後も事業を拡大していくためには、単に人員や生産設備を増やすことだけはリスクが伴うため、
最新技術を取り入れたスマートファクトリーの建設を計画しています。
• 当社は現在、市場全体の成長を上回るペースで事業を拡大している。当社は漢方薬のユーザ
ビリティにおいて業界内でトップレベルの技術力があるが、現在の生産能力では受注量が限界
補助事業の 事業費 113 億円
に差し迫っている。
背景・目的 （補助額）
• 原材料費の高騰や昨今の人手不足に際し、今後継続的に事業を拡大するためには省力化投資
（36 億円）
による労働生産性の高い生産体制の構築が必要不可欠と考え、今回の投資に踏み切った。
【概要】
原材料費高騰の影響を受けても、最終的な販売価格に転嫁しなくて済むように効率的
な生産体制の構築のための新工場を新設する。
【労働生産性向上ポイント】
1. 各工場の役割分担の明確化
現在、当社が保有する3つの工場では、工場ごとの役割が複雑化している。各工場間
の生産状況によっては中間製品が次の工程に移れず、滞留するという現象が日常茶
飯事である。新工場の新設を機に、「大量生産の製品は第一・第二・新幸場」、「少量生
設備投資の 産の製品は本社工場」という役割に分担することで、各工場の生産力最大化が可能
内容 になる。
2. 夜間運転・連続生産
一部工程は自動化できる最新設備を導入し、ほとんど無人での運用が可能になり、
生産量拡大につながる。また、生産設備のスケールアップ及び台数の増加によって、
各設備ごとに製造する製品を振り分け、原料の切り替えに伴う洗浄・検査コストを軽
減できる。
3. ソフトウェアと連携した最先端の生産設備
SCADA（データ集積）システムと最先端の生産設備をつなぎ合わせることで（IoT
化）各生産ラインを一括管理ができ、効率的な運用が可能になる。また、生産データを
蓄積することにより、原料の最適な調合の発見や品質管理の厳格化が可能になる。
2027年度 2030年度
項目
（基準年度） （基準年度＋３年後）
労働生産性 1,334
1,210
（単位：万円/人） （年平均上昇率＋3.3％）
目標値 従業員1人あたり給与支給総額 588
519
（単位：万円/人） （年平均上昇率＋4.21％）
役員１人あたり給与支給総額 -
-
（単位：万円/人） （年平均上昇率＋4.00％）
補助事業に係る従業員数
280 308
（単位：人）</t>
  </si>
  <si>
    <t>株式会社菰下鎔断
1.⾧期成⾧ビジョン
「四方良し」の経営理念のもと、厚板2次・3次加工品への対応力を強化し、次世代エネルギー分野での技術発
展に貢献し、2028年度までに80億円以上の取引規模(売上高)の増加を見込む。
【経営理念】
近江商人の「三方良し」の精神に、モノづくりの会社として「作り手良し」を加えた「四方良し」を経営理念と定義し、「作り手」＝「生産部門」が「売り
手・買い手・世間良し」を意識したモノづくりに徹し、「お客様に喜ばれるモノづくりを通して、自らの品質や技量の向上に喜びを感じることができる企業」を
目指している。</t>
  </si>
  <si>
    <t>⾧期成⾧ビジョン（目指す姿・ビジネスモデル）
• ニーズのある次世代エネルギー分野での技術貢献を行うことでカー
ボンニュートラル社会の実現に貢献する。
１．社内一貫加工ノウハウを活かし、これまで行っていない精密鎔断
後の2次・3次加工品（厚板の製缶等）の提案型営業を強化し、
また当社の得意とする少量多品種の案件への対応力を高め取引の
獲得力向上を図る。
２．顧客からの要望に、生産性向上につながる高い品質で応え、新
たな雇用の促進、従業員の技術向上に結びつくチャレンジングな事業
を展開する。
３．給与・待遇はもちろん、地域や社会に貢献することによる「達成
感・成⾧感」により、従業員が充実した人生を過ごせる環境を作る。</t>
  </si>
  <si>
    <t>外発的動機
• 顧客の環境変化や、次世代エネルギーの実現に向けた対応製品
開発を率先して推進していかなければ、顧客及び日本の技術発展
に貢献できない。
• 洋上風力に関し、「洋上風力産業ビジョン」（2020年、官民協議
会）において、政府として2030年10GW、2040年30～45GW
の案件形成、2040年までに国内調達比率60％の目標が設定さ
れており、関連企業からの厚板2次・3次加工品のニーズや引き合
いが増えている。</t>
  </si>
  <si>
    <t>内発的動機
• ニーズのあるところで、付加価値の高いハイクォリティー製品の製造を
拡大し、事業の拡大、技術の向上や蓄積につなげていきたい。
• 経営理念から、製品だけでなくプロセスも革新し、顧客に喜ばれるモ
ノづくりにチャレンジし、従業員の更なる「達成感・成⾧感」につなげ
ていける事業の必要性を強く感じている。
• 日本における自動精密鎔断業のパイオニアとして、常に一歩先を見
る研究と技術開発で、わが国を代表する大手企業をはじめとした基
幹産業の発展に貢献してきた。</t>
  </si>
  <si>
    <t>【p.1／【経営理念】】
【経営理念】
近江商人の「三方良し」の精神に、モノづくりの会社として「作り手良し」を加えた「四方良し」を経営理念と定義し、「作り手」＝「生産部門」が「売り
手・買い手・世間良し」を意識したモノづくりに徹し、「お客様に喜ばれるモノづくりを通して、自らの品質や技量の向上に喜びを感じることができる企業」を
目指している。
【p.1／売上成長目標】
売上成⾧目標（対最新決算期）
• 2028年3月度までに会社全体の売上高成⾧率66％
（CAGR13.6％）
• 2028年3月度までに会社全体の売上高増加額約82億円
• 2028年3月度までに会社全体の売上高205億
【p.2／２次・３次加工工程】
２次・３次加工工程
ベンディングロール
２台導入
溶接装置
4台導入
費用:約2.0億円
ターニングロール
費用:約6.8億円
3台導入
風力用で最も実績がある、DIVI製設備を
費用:約0.6億円
導入。板厚130mmの高速製缶加工が
可能となり、品質と生産性が向上する。 大型製品の効率的な溶接が可能</t>
  </si>
  <si>
    <t>【p.1】
株式会社菰下鎔断
1.⾧期成⾧ビジョン
「四方良し」の経営理念のもと、厚板2次・3次加工品への対応力を強化し、次世代エネルギー分野での技術発
展に貢献し、2028年度までに80億円以上の取引規模(売上高)の増加を見込む。
【経営理念】
近江商人の「三方良し」の精神に、モノづくりの会社として「作り手良し」を加えた「四方良し」を経営理念と定義し、「作り手」＝「生産部門」が「売り
手・買い手・世間良し」を意識したモノづくりに徹し、「お客様に喜ばれるモノづくりを通して、自らの品質や技量の向上に喜びを感じることができる企業」を
目指している。
⾧期成⾧ビジョン（目指す姿・ビジネスモデル） 外発的動機
• 顧客の環境変化や、次世代エネルギーの実現に向けた対応製品
• ニーズのある次世代エネルギー分野での技術貢献を行うことでカー
開発を率先して推進していかなければ、顧客及び日本の技術発展
ボンニュートラル社会の実現に貢献する。
に貢献できない。
• 洋上風力に関し、「洋上風力産業ビジョン」（2020年、官民協議
１．社内一貫加工ノウハウを活かし、これまで行っていない精密鎔断
会）において、政府として2030年10GW、2040年30～45GW
後の2次・3次加工品（厚板の製缶等）の提案型営業を強化し、
の案件形成、2040年までに国内調達比率60％の目標が設定さ
また当社の得意とする少量多品種の案件への対応力を高め取引の
れており、関連企業からの厚板2次・3次加工品のニーズや引き合
獲得力向上を図る。
いが増えている。
２．顧客からの要望に、生産性向上につながる高い品質で応え、新
たな雇用の促進、従業員の技術向上に結びつくチャレンジングな事業
を展開する。
内発的動機
• ニーズのあるところで、付加価値の高いハイクォリティー製品の製造を
３．給与・待遇はもちろん、地域や社会に貢献することによる「達成
拡大し、事業の拡大、技術の向上や蓄積につなげていきたい。
感・成⾧感」により、従業員が充実した人生を過ごせる環境を作る。
• 経営理念から、製品だけでなくプロセスも革新し、顧客に喜ばれるモ
ノづくりにチャレンジし、従業員の更なる「達成感・成⾧感」につなげ
売上成⾧目標（対最新決算期）
ていける事業の必要性を強く感じている。
• 2028年3月度までに会社全体の売上高成⾧率66％
• 日本における自動精密鎔断業のパイオニアとして、常に一歩先を見
（CAGR13.6％）
る研究と技術開発で、わが国を代表する大手企業をはじめとした基
• 2028年3月度までに会社全体の売上高増加額約82億円
幹産業の発展に貢献してきた。
• 2028年3月度までに会社全体の売上高205億</t>
  </si>
  <si>
    <t>【p.2】
株式会社菰下鎔断
2.補助事業の概要
既存事業の高い鎔断技術と最先端の設備の導入で、厚板２次・３次加工の新規領域の事業を展開し、日本
の次世代エネルギー分野の技術革新を担う。
• 既存事業で培った精密鎔断の技術や品質向上のノウハウを活かし、新たに洋上風力発電や水素関連
億円
補助事業の 施設の部品の加工といった大型の厚板の２次・３次加工品を製造する新規領域の事業を展開。 事業費 16
背景・目的 • 厚板の製缶は現有設備では行えないため、最先端の設備であるDAVI社製ベンディングロールを中心と （補助額） （5. 1 億円）
した設備投資を行い、品質や生産性向上を通して事業の拡大を目指す。
生産性、納期、技術（品質）の向上を図り、ボトルネック解消のための積極的な投資
VR・AR溶接技能訓練システム
ホイスト式天井クレーン１台設置 （補助事業外で導入）
ちきり工場
費用:約1.0億円
既存部分 新設部分
２次・３次加工工程
増設
費用:約6.2億円 ベンディングロール
２台導入
溶接装置
設備投資の
4台導入
内容
本社工場
精密鎔断工程
パレットチェンジャー 費用:約2.0億円
８段ストッカー、 NCガス切断機
レーザー切断機２台 ２台導入 費用:約6.8億円 ターニングロール
3台導入
導入
風力用で最も実績がある、DIVI製設備を
（補助事業外で導入） 費用:約0.6億円 導入。板厚130mmの高速製缶加工が 費用:約0.6億円
工程の自動化、夜間の稼働を可能にすることで生産性が向上 可能となり、品質と生産性が向上する。 大型製品の効率的な溶接が可能
2025年3月度 2028年3月度
項目
（基準年度） （基準年度＋３年後）
労働生産性 1,962万円
1,427万円
（単位:万円/人） （年平均上昇率＋11.2％）
目標値
従業員1人あたり給与支給総額
537万円
659万円
（単位:万円/人） （年平均上昇率＋7.0％）
役員１人あたり給与支給総額 －
－
（単位:万円/人） （年平均上昇率＋4.6％）
補助事業に係る従業員数
201人 225人
（単位:人）
※ 前述のように全社と補助事業は一体であり、目標値も一体として算出している。</t>
  </si>
  <si>
    <t>1.長期成長ビジョン 株式会社向山工場
手作業からロボット等による自動生産へ。
ある程度規格化された鉄筋ユニット製品の普及を図り、鉄筋の工業製品化をリードする。
• 鉄筋工事は、いまだに手作業による組み立て作業が中心である。そのため、品質に課題があるだけでなく、現場労働力の不足に直面している。
• 現場労働力の不足が建設・土木工事全体のボトルネックとなっており、原材料費の高騰とあいまって、建設費高騰と工期長期化を引き起こしている。
• 解決には、鉄筋組立を工場内でロボット等を使って行い、完成した鉄筋ユニットを現場で据え付ける『工場自動組み立てユニット工法』が有効であるが、普
トップシェア棒鋼メーカーの当社が工
及していない。普及しないのは、規格化されていないため、自動化が難しいのが要因である。そこで、
場を新設して鉄筋加工業に進出し、その影響力によって規格化とユニット化を推進する。
鉄筋の工業製品化を実現する。</t>
  </si>
  <si>
    <t>• 鉄筋工事は、いまだに手作業による組み立て作業が中心である。そのため、品質に課題があるだけでなく、現場労働力の不足に直面している。
• 現場労働力の不足が建設・土木工事全体のボトルネックとなっており、原材料費の高騰とあいまって、建設費高騰と工期長期化を引き起こしている。
• 解決には、鉄筋組立を工場内でロボット等を使って行い、完成した鉄筋ユニットを現場で据え付ける『工場自動組み立てユニット工法』が有効であるが、普
トップシェア棒鋼メーカーの当社が工
及していない。普及しないのは、規格化されていないため、自動化が難しいのが要因である。そこで、
場を新設して鉄筋加工業に進出し、その影響力によって規格化とユニット化を推進する。
鉄筋の工業製品化を実現する。</t>
  </si>
  <si>
    <t>長期成長ビジョン（目指す姿・ビジネスモデル）
『鉄筋の工業製品化をリードする』
• 鉄筋工事は、いまだに手作業による組立が中心。
そのため、品質に課題がある上、建設現場の人手不足に直面。
• 鉄筋組立の自動化が進展しないのは、規格化されていないため。
全く規格化されたいないものを自動化するのは困難なためである。
• 棒鋼トップメーカーの当社がリードして規格化する。
鉄筋工事・加工会社の規模は棒鋼メーカーより１桁小さく、規格
化をリードできない。そこで、当社がリードして規格化を推進する。
• 高付加価値鉄筋加工センター（新工場）を立ち上げる。
上記実現のため、当社として初めて、鉄筋加工事業に進出する。
一般的な鉄筋加工工場は「切る」または「曲げる」の単能機を使っ
て加工するのに対し、新工場では自動化を推進し、生産性を上げ
る。さらに、ロボットによる溶接・組み立て設備も導入する。
• 製品を絞り、一歩一歩規格化を進める。
場所打ち杭用鉄筋籠のユニット製品（開発終盤）からスタートし、
徐々に製品を増やしていく。
• ゼネコン・設計事務所と連携して進める。
既存事業のコネクションを活かし、ゼネコン・設計事務所と連携する。
売上成長目標
• 2030年3月までの会社全体の売上高成長率48％
• 2030年3月までの会社全体の売上高増加額146億円</t>
  </si>
  <si>
    <t>外発的動機
• 建設現場の人手不足。
建設技能労働者の高齢化と減少により、鉄筋組立現場は慢性的な人
手不足である。これが、建設・土木工事全体のボトルネックとなっている。
原材料費の高騰も重なり、建設費が高騰し、必要な工事も滞っている。
• 鉄筋加工会社の権限拡大。
既存事業（棒鋼メーカー）の直接の顧客はゼネコンだが、鉄筋を支給さ
れて加工している鉄筋加工会社が棒鋼メーカーを選択する権限を持つよう
になっている。鉄筋加工会社は後継者問題と設備投資難により再編・大
型化の流れにある。当社親派の会社は小規模が多く、再編されるケースが
増えている。それは当社売上の減少を意味するため、放置できない。
• 資源価格に左右されない事業が欲しい。
既存事業は鉄スクラップ価格の影響を強く受ける。安定した事業が欲しい。</t>
  </si>
  <si>
    <t>内発的動機
• 鉄筋加工技術の自社開発と蓄積。
当社は、棒鋼メーカーでトップシェアである。それは、当社が鉄筋の加工方
法を含めた技術開発を行い、提供してきたからである（P18左下）。
• 最初の規格化ユニット製品が開発終盤である。
当社は場所打ち杭用鉄筋籠のユニット製品の開発を進めており、開発終
盤である。この製品化に関し、当社は現在鉄筋加工設備を持たないため、
外部の協力会社に任せるしかない。今、鉄筋加工設備を自社に導入す
れば、自社で製造でき、大きな利益を生む。千載一遇のチャンス。</t>
  </si>
  <si>
    <t>【p.1／上段要旨】
• 鉄筋工事は、いまだに手作業による組み立て作業が中心である。そのため、品質に課題があるだけでなく、現場労働力の不足に直面している。
• 現場労働力の不足が建設・土木工事全体のボトルネックとなっており、原材料費の高騰とあいまって、建設費高騰と工期長期化を引き起こしている。
• 解決には、鉄筋組立を工場内でロボット等を使って行い、完成した鉄筋ユニットを現場で据え付ける『工場自動組み立てユニット工法』が有効であるが、普
トップシェア棒鋼メーカーの当社が工
及していない。普及しないのは、規格化されていないため、自動化が難しいのが要因である。そこで、
場を新設して鉄筋加工業に進出し、その影響力によって規格化とユニット化を推進する。
鉄筋の工業製品化を実現する。
【p.1／売上成長目標】
売上成長目標
• 2030年3月までの会社全体の売上高成長率48％
• 2030年3月までの会社全体の売上高増加額146億円
【p.2／その他Box 1】
一般的な鉄筋加工工場にあるのは「切断機」と「曲げ機」の２種類である。自動機が普及しているものの「数本の鉄筋をセットした長さに切る」「セットした角度に
曲げる」程度の自動機能であり、機械への鉄筋のセットと搬出や、機械への情報入力は作業員が行っている（鉄筋は数本で30kgなどの重さになり、重労働）。
作業員は、絵符（鉄筋１品の加工形状を記した図）を元に加工を行うが、その絵符は、ゼネコンから入手した図面を元にベテランが時間をかけて作成している。
さらに、複数ある加工をどの機械でどの順番に行うかを手作業で決めている。そのため、例えば同じ材料を使う加工の間に別の材料を使う加工を行うなどしており、
材料交換や機械セットの時間を無駄に発生させている。空いている機械と忙しい機械ができてしまっている。
新工場では、これら全てにメスを入れる。切断機と曲げ機を接続した自動ラインやロボット等を導入する。絵符の作成や作業の振り分けなどをシステム化する。
さらに、一般的な機械では加工できない『高強度鉄筋』や『PC対応レベルの高精度加工』にも対応する。新設工場なので、全ての機械は最新鋭の新品である。
太陽光発電設備で、工場電力の大半を賄う（一般的な鉄筋加工工場では製造原価の数％が電気代）。
これらにより、他社ではできない加工（高強度鉄筋、PC、ユニット）ができるだけでなく、労働生産性の抜本的な向上が図られた最新鋭の工場となる。</t>
  </si>
  <si>
    <t>【p.1】
1.長期成長ビジョン 株式会社向山工場
手作業からロボット等による自動生産へ。
ある程度規格化された鉄筋ユニット製品の普及を図り、鉄筋の工業製品化をリードする。
• 鉄筋工事は、いまだに手作業による組み立て作業が中心である。そのため、品質に課題があるだけでなく、現場労働力の不足に直面している。
• 現場労働力の不足が建設・土木工事全体のボトルネックとなっており、原材料費の高騰とあいまって、建設費高騰と工期長期化を引き起こしている。
• 解決には、鉄筋組立を工場内でロボット等を使って行い、完成した鉄筋ユニットを現場で据え付ける『工場自動組み立てユニット工法』が有効であるが、普
トップシェア棒鋼メーカーの当社が工
及していない。普及しないのは、規格化されていないため、自動化が難しいのが要因である。そこで、
場を新設して鉄筋加工業に進出し、その影響力によって規格化とユニット化を推進する。
鉄筋の工業製品化を実現する。
長期成長ビジョン（目指す姿・ビジネスモデル）
外発的動機
『鉄筋の工業製品化をリードする』 • 建設現場の人手不足。
建設技能労働者の高齢化と減少により、鉄筋組立現場は慢性的な人
• 鉄筋工事は、いまだに手作業による組立が中心。
手不足である。これが、建設・土木工事全体のボトルネックとなっている。
そのため、品質に課題がある上、建設現場の人手不足に直面。
原材料費の高騰も重なり、建設費が高騰し、必要な工事も滞っている。
• 鉄筋組立の自動化が進展しないのは、規格化されていないため。
• 鉄筋加工会社の権限拡大。
全く規格化されたいないものを自動化するのは困難なためである。
既存事業（棒鋼メーカー）の直接の顧客はゼネコンだが、鉄筋を支給さ
• 棒鋼トップメーカーの当社がリードして規格化する。
れて加工している鉄筋加工会社が棒鋼メーカーを選択する権限を持つよう
鉄筋工事・加工会社の規模は棒鋼メーカーより１桁小さく、規格
になっている。鉄筋加工会社は後継者問題と設備投資難により再編・大
化をリードできない。そこで、当社がリードして規格化を推進する。
型化の流れにある。当社親派の会社は小規模が多く、再編されるケースが
• 高付加価値鉄筋加工センター（新工場）を立ち上げる。
増えている。それは当社売上の減少を意味するため、放置できない。
上記実現のため、当社として初めて、鉄筋加工事業に進出する。
• 資源価格に左右されない事業が欲しい。
一般的な鉄筋加工工場は「切る」または「曲げる」の単能機を使っ
既存事業は鉄スクラップ価格の影響を強く受ける。安定した事業が欲しい。
て加工するのに対し、新工場では自動化を推進し、生産性を上げ
る。さらに、ロボットによる溶接・組み立て設備も導入する。
内発的動機
• 製品を絞り、一歩一歩規格化を進める。
場所打ち杭用鉄筋籠のユニット製品（開発終盤）からスタートし、 • 鉄筋加工技術の自社開発と蓄積。
徐々に製品を増やしていく。 当社は、棒鋼メーカーでトップシェアである。それは、当社が鉄筋の加工方
• ゼネコン・設計事務所と連携して進める。 法を含めた技術開発を行い、提供してきたからである（P18左下）。
既存事業のコネクションを活かし、ゼネコン・設計事務所と連携する。 • 最初の規格化ユニット製品が開発終盤である。
当社は場所打ち杭用鉄筋籠のユニット製品の開発を進めており、開発終
売上成長目標
盤である。この製品化に関し、当社は現在鉄筋加工設備を持たないため、
• 2030年3月までの会社全体の売上高成長率48％ 外部の協力会社に任せるしかない。今、鉄筋加工設備を自社に導入す
• 2030年3月までの会社全体の売上高増加額146億円 れば、自社で製造でき、大きな利益を生む。千載一遇のチャンス。</t>
  </si>
  <si>
    <t>【p.2】
.補助事業の概要 株式会社向山工場
2
鉄筋の工業製品化をリードするため、棒鋼メーカーである当社が、
高付加価値鉄筋加工センターを新設する。電炉製鉄業から鉄筋加工業に垂直展開する。
一般的な鉄筋加工工場にあるのは「切断機」と「曲げ機」の２種類である。自動機が普及しているものの「数本の鉄筋をセットした長さに切る」「セットした角度に
曲げる」程度の自動機能であり、機械への鉄筋のセットと搬出や、機械への情報入力は作業員が行っている（鉄筋は数本で30kgなどの重さになり、重労働）。
作業員は、絵符（鉄筋１品の加工形状を記した図）を元に加工を行うが、その絵符は、ゼネコンから入手した図面を元にベテランが時間をかけて作成している。
さらに、複数ある加工をどの機械でどの順番に行うかを手作業で決めている。そのため、例えば同じ材料を使う加工の間に別の材料を使う加工を行うなどしており、
材料交換や機械セットの時間を無駄に発生させている。空いている機械と忙しい機械ができてしまっている。
新工場では、これら全てにメスを入れる。切断機と曲げ機を接続した自動ラインやロボット等を導入する。絵符の作成や作業の振り分けなどをシステム化する。
さらに、一般的な機械では加工できない『高強度鉄筋』や『PC対応レベルの高精度加工』にも対応する。新設工場なので、全ての機械は最新鋭の新品である。
太陽光発電設備で、工場電力の大半を賄う（一般的な鉄筋加工工場では製造原価の数％が電気代）。
これらにより、他社ではできない加工（高強度鉄筋、PC、ユニット）ができるだけでなく、労働生産性の抜本的な向上が図られた最新鋭の工場となる。
補助事業の • 鉄筋の工業製品化をリードする。そのために、新設する工場には最新鋭の設備と、独自仕様 事業費 4 億円
0
背景・目的 の生産管理システムを導入し、高い品質と高い生産性を両立する。 （補助額） （1 億円）
3
• 高付加価値鉄筋加工センター（工場）を新設する。
埼玉県羽生市に土地取得済。
• 工場建屋の新築（1階床面積：140m×39ｍ＝5,460㎡）
設備投資の • 鉄筋加工機械の新規導入
内容 切断機7台、曲げ機16台、高強度鉄筋フープ自動生産ライン（切断、
磨き、曲げ、溶接）、ロボット自動溶接機、エムケーパイリング機、など
• 太陽光発電設備（2200KWh/日 自家使用）
• 特別仕様の生産管理システム(P16)
2026年度 2029年度
項目
（基準年度） （基準年度＋３年後）
労働生産性 4,618
3,859
（単位：万円/人） （年平均上昇率＋6.2％）
目標値 従業員1人あたり給与支給総額 741
640
（単位：万円/人） （年平均上昇率＋5.0％）
役員１人あたり給与支給総額 －
－
（単位：万円/人） （年平均上昇率＋5.0％）
補助事業に係る従業員数
169 206
（単位：人）</t>
  </si>
  <si>
    <t>株式会社八芳園
1.長期成長ビジョン
当社がこれまで主力としてきたブライダル会場（バンケット会場）を活用したバンケットビジネスにおいて、3つの
バージョンアップを行い、付加価値の高いビジネスモデルを構築するとともに、世界の成長を日本に取り込みます。</t>
  </si>
  <si>
    <t>長期成長ビジョン（目指す姿・ビジネスモデル）
■目指す姿
世界の成長を日本に取り込む
■ビジョン
バンケットビジネスのバージョンアップによって、
ブライダルの八芳園から国際親善の八芳園へ
③
バンケットビジネスの つのバージョンアップ
① ブライダルのみならず、多用途活用できるバンケットへ
② 土日集中からの脱却。平日も稼働するバンケットへ
③ 労働集約型からの脱却。バンケットビジネスのDX
■ビジネスモデル・主要施策
① 国内外のMICE*の招致 売上単価UP
② 平日開催のMICEへの注力 売上高、労働生産性UP
③ 調理・配膳等の自動機械の導入 労働生産性UP
*MICEとは、企業等の会議(Meeting)、企業等の行う報奨・研修旅行（Incentive
Travel)、国際機関・団体や学会等が行う国際会議 (Convention)、展示会・見本市、
イベント(Exhibition/Event)等のビジネスイベントの総称</t>
  </si>
  <si>
    <t>外発的動機
①婚姻数の減少と結婚式の多様化
婚姻数は今後5年間で9.6％減少すると予測されている
画一的な式典が減少し、オリジナリティの高い演出のニーズが増加
②MICE市場の拡大
MICE市場は今後5年間で25%超の成長が予測されている
加えて、日本政府観光局等による積極的なMICE誘致が進んでいる
ブライダル市場の縮小への対応を迫られている中、
MICE市場が有望と想定される</t>
  </si>
  <si>
    <t>内発的動機
①持続的な成長と一段高い収益性の確保
婚礼市場が縮小する中、MICE市場を取り込むことで一段高い成長の
実現が期待できる。
2018年にシンガポールで数多くの日本文化のイベントを開催した際、
多くのステークホルダーとつながり、日本文化自体の高い価値を実感。
②バンケットの平日稼働率の低さ
ブライダルを主体とした現在の事業活動では、稼働が土日祝に集中して
おり、平日にバンケットが活用できていない。
③持続的な成長と一段高い収益性の確保
当社は、かねてよりバンケットビジネスが労働集約型であることに課題を
感じ、オペレーション分野のDXの方法を模索してきた。
ただし、自動機械・ロボット等の活用には建物の改修も伴うため、
大規模投資を伴うオペレーション変革の機会を探っていた。</t>
  </si>
  <si>
    <t>【p.1／売上成長目標】
売上成長目標
23/9期(実績) 26/9期(基準年*） 29/9期
全社売上高 85.7億円 114.0億円 140.0億円</t>
  </si>
  <si>
    <t>【p.1】
株式会社八芳園
1.長期成長ビジョン
当社がこれまで主力としてきたブライダル会場（バンケット会場）を活用したバンケットビジネスにおいて、3つの
バージョンアップを行い、付加価値の高いビジネスモデルを構築するとともに、世界の成長を日本に取り込みます。
長期成長ビジョン（目指す姿・ビジネスモデル） 外発的動機
①婚姻数の減少と結婚式の多様化
■目指す姿
婚姻数は今後5年間で9.6％減少すると予測されている
世界の成長を日本に取り込む
画一的な式典が減少し、オリジナリティの高い演出のニーズが増加
■ビジョン ②MICE市場の拡大
バンケットビジネスのバージョンアップによって、 MICE市場は今後5年間で25%超の成長が予測されている
加えて、日本政府観光局等による積極的なMICE誘致が進んでいる
ブライダルの八芳園から国際親善の八芳園へ
③
バンケットビジネスの つのバージョンアップ ブライダル市場の縮小への対応を迫られている中、
MICE市場が有望と想定される
① ブライダルのみならず、多用途活用できるバンケットへ
② 土日集中からの脱却。平日も稼働するバンケットへ
内発的動機
③ 労働集約型からの脱却。バンケットビジネスのDX ①持続的な成長と一段高い収益性の確保
婚礼市場が縮小する中、MICE市場を取り込むことで一段高い成長の
■ビジネスモデル・主要施策 実現が期待できる。
① 国内外のMICE*の招致 売上単価UP
2018年にシンガポールで数多くの日本文化のイベントを開催した際、
② 平日開催のMICEへの注力 売上高、労働生産性UP 多くのステークホルダーとつながり、日本文化自体の高い価値を実感。
③ 調理・配膳等の自動機械の導入 労働生産性UP
②バンケットの平日稼働率の低さ
ブライダルを主体とした現在の事業活動では、稼働が土日祝に集中して
*MICEとは、企業等の会議(Meeting)、企業等の行う報奨・研修旅行（Incentive
Travel)、国際機関・団体や学会等が行う国際会議 (Convention)、展示会・見本市、 おり、平日にバンケットが活用できていない。
イベント(Exhibition/Event)等のビジネスイベントの総称
③持続的な成長と一段高い収益性の確保
売上成長目標
当社は、かねてよりバンケットビジネスが労働集約型であることに課題を
23/9期(実績) 26/9期(基準年*） 29/9期 感じ、オペレーション分野のDXの方法を模索してきた。
全社売上高 85.7億円 114.0億円 140.0億円 ただし、自動機械・ロボット等の活用には建物の改修も伴うため、
大規模投資を伴うオペレーション変革の機会を探っていた。</t>
  </si>
  <si>
    <t>【p.2】
.補助事業の概要 株式会社八芳園
２
バンケットビジネスのバージョンアップのうち、①多用途活用と③DXに向けて、バンケット会場の拡張、演出・通信
機能の強化、自動化機器の導入を行い、ビジネスの高付加価値化と労働生産性向上を狙います。
補助事業の • 需要が増加している海外MICEに対応するためのバンケット会場数および大規模会場を確保 事業費 68 億円
背景・目的 • 海外MICEの獲得によりバンケット会場の平日稼働率を高める （補助額） （2 0 億円）
23/9期 29/9期（基準年度＋3年後）
現状認識 ブライダル：売上5,974百万円 組数1,494組 単価3,999千円 投資後の姿 ブライダル：売上7,500百万円 組数1,500組 単価5,000千円
MICE：売上1,872百万円 組数1,291組 単価1,450千円 MICE：売上5,500百万円 組数2,200組 単価2,500千円
バンケット会場の拡張 演出・通信機能の強化 調理・配膳の自動化
大型バンケットの増設。300㎡以上の大型バンケッ 最新の映像設備・音響設備を導入。WEBとのハイブ 自動調理機器、自動配膳機器の導入により現場
ト会場を4会場から6会場に増設し、さらに超大型 リッド開催を可能にする大型LEDパネルや通信設備 運営を効率化。併せて、ロボット活用を前提とした
会場を1つ新設する。⇒海外MICE水準へ を強化。⇒海外MICE水準へ 施設・厨房の設計を実施する。⇒現場のDX
設備投資
の内容
▶ 客数・単価の向上、組数の増加 ▶ 単価の向上 ▶ 労働生産性の向上
項目 26/9期（基準年度） 29/9期（基準年度＋3年後）
労働生産性(単位：万円/人） 999万円 1,234万円 （年平均上昇率7.3％）
目標値 従業員1人あたり給与支給総額（単位：万円/人） 429万円 504万円 （ 年平均上昇率 5. 6 ％）
役員1人あたり給与支給総額（単位：万円/人） 1,338万円 1,510万円（ 年平均上昇率 4.1％）
補助事業に係る従業員数*（単位：人） 420人 490人
*就業時間換算</t>
  </si>
  <si>
    <t>トーアス株式会社
1.長期成長ビジョン
医療用流動食と医療用ゼリー一般食品を含めたあらゆる”食の力”で、薬やサプリメントに頼らず日本人
の「不健康な期間」をなくすことを目指す。</t>
  </si>
  <si>
    <t>長期成長ビジョン（目指す姿・ビジネスモデル）
・当社は医療用流動食の受託製造および一般食品（ドライパッ
ク）の受託製造が主たる事業です。医療用流動食の受託製造は
業界内で安定した地位を築き上げました（国内シェアNO.1）が、
反面今後の市場拡大は鈍化が見込まれます。
・本事業は、医療用流動食と一般食品の中間に位置する、医療
用ゼリー市場に新たに参入することで、健康に向けた食の提供
の市場範囲を広げます。
・超高齢化が進む現代の日本において、健康寿命と平均寿命の
差、すなわち日常生活に制限のある「不健康な期間」が約10年あ
ると言われています。
当社は将来的に、医療用流動食と医療用ゼリー、一般食品を含
めたあらゆる”食の力”で、薬やサプリメントに頼らず日本人の
「不健康な期間」をなくすことを目指しています。</t>
  </si>
  <si>
    <t>外発的動機
• 当社のメイン事業の1つである医療用流動食（国内シェアNO.1）
の今後の市場増加は鈍化していきます。
• 長寿、高齢化社会の今後の課題はどの様に健康的な老後を過
ごす（不健康な期間をなくす）かです。
• 医療用ゼリーの市場は拡大しており、医薬品メーカーはOEM先
の生産力増強を必要としています。</t>
  </si>
  <si>
    <t>内発的動機
• 当社は加工食品製造業として変遷してきました。創業時ゆで小
豆製造からスタートし、ドライパック缶、ドライパックパウチと変
遷し、高い品質要求に対応することで信頼を得て、医療用流動
食を受託製造できるまでに成長いたしました。
• 健康に向けた食の提供の市場範囲を広げるべく医療用ゼリー
市場への参入を目指し、品質、生産効率を向上させた結果、今
回の医療用ゼリーの受託に至りました。</t>
  </si>
  <si>
    <t>【p.1／売上成長目標】
売上成長目標（2024年3月期との対比）
・2028年3月期までの会社全体の売上高成長率 77.6％
・2028年3月期までの会社全体の売上高増加額 8,428百万円
・2028年3月期本事業の売上高増加額 7,900百万円</t>
  </si>
  <si>
    <t>【p.1】
トーアス株式会社
1.長期成長ビジョン
医療用流動食と医療用ゼリー一般食品を含めたあらゆる”食の力”で、薬やサプリメントに頼らず日本人
の「不健康な期間」をなくすことを目指す。
長期成長ビジョン（目指す姿・ビジネスモデル） 外発的動機
• 当社のメイン事業の1つである医療用流動食（国内シェアNO.1）
・当社は医療用流動食の受託製造および一般食品（ドライパッ
の今後の市場増加は鈍化していきます。
ク）の受託製造が主たる事業です。医療用流動食の受託製造は
業界内で安定した地位を築き上げました（国内シェアNO.1）が、
• 長寿、高齢化社会の今後の課題はどの様に健康的な老後を過
反面今後の市場拡大は鈍化が見込まれます。
ごす（不健康な期間をなくす）かです。
・本事業は、医療用流動食と一般食品の中間に位置する、医療
用ゼリー市場に新たに参入することで、健康に向けた食の提供 • 医療用ゼリーの市場は拡大しており、医薬品メーカーはOEM先
の市場範囲を広げます。 の生産力増強を必要としています。
・超高齢化が進む現代の日本において、健康寿命と平均寿命の
差、すなわち日常生活に制限のある「不健康な期間」が約10年あ
ると言われています。
内発的動機
当社は将来的に、医療用流動食と医療用ゼリー、一般食品を含
めたあらゆる”食の力”で、薬やサプリメントに頼らず日本人の • 当社は加工食品製造業として変遷してきました。創業時ゆで小
「不健康な期間」をなくすことを目指しています。 豆製造からスタートし、ドライパック缶、ドライパックパウチと変
遷し、高い品質要求に対応することで信頼を得て、医療用流動
売上成長目標（2024年3月期との対比） 食を受託製造できるまでに成長いたしました。
・2028年3月期までの会社全体の売上高成長率 77.6％
・2028年3月期までの会社全体の売上高増加額 8,428百万円
• 健康に向けた食の提供の市場範囲を広げるべく医療用ゼリー
・2028年3月期本事業の売上高増加額 7,900百万円
市場への参入を目指し、品質、生産効率を向上させた結果、今
回の医療用ゼリーの受託に至りました。</t>
  </si>
  <si>
    <t>【p.2】
トーアス株式会社
.補助事業の概要
2
設備投資の概要と生産性向上ポイント
・医療用ゼリーの製造は通常、医薬品メーカーがOEMメーカーに委託しているが、医薬品メーカーの
求める品質レベルを持つ食品メーカーはほとんどおらず、昨今の需要の増加にキャパシティが追い
事業費 14億円
付いていない。このため、地域や新商品を制限して販売されている。
（補助額） （4.6億円）
補助事業の ・当社は、品質力だけでなく製造コストやキャパシティで競合に大きく差をつけている。
背景・目的 これを背景に、医薬品メーカー各社から当社への医療用ゼリー委託の要望が相次いでいた。
・現状の医療用流動食ラインでは医薬品メーカーの求める製造数量に対応できない
（キャパシティが不足する）このため、新たに医療用ゼリーラインを導入することにした。
補助事業（医療用ゼリー）の生産ラインは、既存事業の医療用流動食の生産ラインと
同一工場内に導入する。工程を工夫することで、一部工程について既存医療用流動食ラインと
共有化し省人化することができる。
①調合工程：ゼリーの中身をつくる
製造の依頼・相談
設備投資の ②充填工程：ゼリーをパウチに充填する
内容 ③殺菌工程：加熱して殺菌する
④包装工程：箱詰めする 医薬品メーカー
生産性向上ポイント・・・ボトルネックになりがちな充填工程と包装工程を工夫。
4社
他
・業界最速の充填機を採用し、充填を高速化
・最新の自動包装設備を採用し、一部工程を既存ラインと共有し包装を大幅に省人化
2024年度 2027年度
項目
（基準年度） （基準年度＋３年後）
労働生産性 1,505
541
（単位：万円/人） （年平均上昇率＋40.7％）
目標値 従業員1人あたり給与支給総額 477
400
（単位：万円/人） （年平均上昇率+6.03％）
役員1人あたり給与支給総額
0 ー
（単位：万円/人）
補助事業に係る従業員数
45 60
（単位：人）</t>
  </si>
  <si>
    <t>株式会社中西製作所
1.長期成長ビジョン
「食の安全・安心」へのこだわり、学校給食という厳しい基準の中で成長してきた自信、日本発の独自技術、
以上をもって、食品加工分野への展開と海外市場で羽ばたくための基盤づくりを行う。</t>
  </si>
  <si>
    <t>長期成長ビジョン（目指す姿・ビジネスモデル）
【目指す姿】
• 業務用厨房機器の総合メーカーとして、食中毒や異物混入問題
といった「食の安全・安心」という基本的課題に真摯に向き合い、
時代に合った効率的な製品の開発・製造を推し進める。
• 従来得意としてきた学校給食や病院給食を中心とした厨房機械
マーケットから、中食・惣菜製造工場といった食品加工機械マー
ケットへの市場拡大戦略を遂行し、売上と利益の拡大を目指す。
• 従業員を始めとした人材も重要な経営資源と捉え、人的資本の
価値を最大化するための組織的な取り組みも拡大していく。
【ビジネスモデル】
• 当社独自技術製品のラインナップを開発し、効率的な生産を行う
ことで選ばれるメーカーになる。
• 拡大中である食品加工分野への展開を進め、得意とする自動
化・省人化技術を生かして売上拡大を目指す。
• 食品加工分野で海外展開を目指し、海外向け製品の開発生産、
ショールーム設置等の営業力の強化を行う。</t>
  </si>
  <si>
    <t>外発的動機
• 学校給食センターは、少子化の進展により年々縮小傾向にある。
老人福祉施設数及び、セントラルキッチン化についても、近年ほぼ
頭打ちの状態。
• 労働人口減少で当社も採用に苦労している。飲食に関係する業
界は同じく採用難であり、自動化・省人化を実現する効率的な設
備ニーズは強い。
• コロナ以降、中食・惣菜市場は拡大を続けている。
• インバウンド、円安、物価上昇など海外市場拡大の勢いを感じる。</t>
  </si>
  <si>
    <t>内発的動機
• 我々の業界で用いられる調理技術というものは、古くは紀元前から
調理五法といわれる技術が基本となっており、技術革新が起きにく
いと言われてきた。しかし我々は全く新しい過熱水蒸気技術を開発
した。この技術を用いた調理機器と、永年培ってきた炊飯技術で海
外進出したいという気持ちが強まった。
• ５～10 年後の社会を想像して「未来の給食センター」という動画
を作成した際に、そこに描いたような自動化・省人化を突き詰めた
社会に貢献する企業でありたいと強く意識した。
• メーカーのプライドとして他社製品を仕入れ販売するのではなく、自
社製品の売上を増やしていきたい。</t>
  </si>
  <si>
    <t>【p.1／売上成長目標】
売上成長目標
• 2030年までに会社全体の売上高450億円を達成
• （2024年3月期比で成長率23％）
• （2024年3月期比で売上高増加額84億円）</t>
  </si>
  <si>
    <t>【p.1】
株式会社中西製作所
1.長期成長ビジョン
「食の安全・安心」へのこだわり、学校給食という厳しい基準の中で成長してきた自信、日本発の独自技術、
以上をもって、食品加工分野への展開と海外市場で羽ばたくための基盤づくりを行う。
長期成長ビジョン（目指す姿・ビジネスモデル） 外発的動機
【目指す姿】 • 学校給食センターは、少子化の進展により年々縮小傾向にある。
老人福祉施設数及び、セントラルキッチン化についても、近年ほぼ
• 業務用厨房機器の総合メーカーとして、食中毒や異物混入問題
頭打ちの状態。
といった「食の安全・安心」という基本的課題に真摯に向き合い、
時代に合った効率的な製品の開発・製造を推し進める。 • 労働人口減少で当社も採用に苦労している。飲食に関係する業
界は同じく採用難であり、自動化・省人化を実現する効率的な設
• 従来得意としてきた学校給食や病院給食を中心とした厨房機械
備ニーズは強い。
マーケットから、中食・惣菜製造工場といった食品加工機械マー
ケットへの市場拡大戦略を遂行し、売上と利益の拡大を目指す。 • コロナ以降、中食・惣菜市場は拡大を続けている。
• 従業員を始めとした人材も重要な経営資源と捉え、人的資本の • インバウンド、円安、物価上昇など海外市場拡大の勢いを感じる。
価値を最大化するための組織的な取り組みも拡大していく。
【ビジネスモデル】
• 当社独自技術製品のラインナップを開発し、効率的な生産を行う
内発的動機
ことで選ばれるメーカーになる。
• 我々の業界で用いられる調理技術というものは、古くは紀元前から
• 拡大中である食品加工分野への展開を進め、得意とする自動
調理五法といわれる技術が基本となっており、技術革新が起きにく
化・省人化技術を生かして売上拡大を目指す。
いと言われてきた。しかし我々は全く新しい過熱水蒸気技術を開発
• 食品加工分野で海外展開を目指し、海外向け製品の開発生産、
した。この技術を用いた調理機器と、永年培ってきた炊飯技術で海
ショールーム設置等の営業力の強化を行う。
外進出したいという気持ちが強まった。
• ５～10 年後の社会を想像して「未来の給食センター」という動画
売上成長目標
を作成した際に、そこに描いたような自動化・省人化を突き詰めた
• 2030年までに会社全体の売上高450億円を達成 社会に貢献する企業でありたいと強く意識した。
• （2024年3月期比で成長率23％） • メーカーのプライドとして他社製品を仕入れ販売するのではなく、自
• （2024年3月期比で売上高増加額84億円） 社製品の売上を増やしていきたい。</t>
  </si>
  <si>
    <t>【p.2】
株式会社中西製作所
.補助事業の概要
2
群馬工場、製品倉庫を増築し、人員共通化などで生産性を向上させる。
新製品開発の研究開発部門新設し商品ラインナップを拡充、ショールーム新設など新顧客開拓を強化する。
【背景】 • 奈良工場、三重物流センターの老朽化、生産性の低下 事業費 36億円
• 要求された性能に合わず受注に至らない（オーバースペック） （補助額） （ 億円）
補助事業の 5.4
• 海外顧客の製品見学の要望に応えられていない
背景・目的
【目的】 • 組立工の共通化、老朽化した機械設備を先端機械へ更新することによる生産性向上
• 海外向け、国内食品加工工場向け新製品を開発する
• 群馬工場の隣地（買収済み）に工場を増築
約9500㎡
• 新工場に炊飯ライン製造を移管。専用機械設備の購入
プレス機等の加工機6台、フォークリフト1台、クレーン2台
• 大型製品倉庫を併設し、高効率な自動倉庫を導入。
設備投資の 自動倉庫600棚 写真等
内容
• 新製品開発を目的とした研究開発室設置。検査機器等の購入
クリーンブース一式、菌検査設備一式、水素調理設備一式、
データトレース1台、テンシプレッサー1台、マルチ味度メーター1台
2025年度 2028年度
項目
（基準年度） （基準年度＋３年後）
労働生産性 2,071
875
（単位：万円/人） （年平均上昇率＋33.3％）
目標値 従業員1人あたり給与支給総額 621
536
（単位：万円/人） （年平均上昇率＋5％）
役員１人あたり給与支給総額 0
0
（単位：万円/人） (対象事業のみを管掌する役員は0人)
補助事業に係る従業員数
61 100
（単位：人）</t>
  </si>
  <si>
    <t>1.長期成長ビジョン 株式会社国際エキスプレス
当社は『21世紀デジタル時代における物流革命の先駆者へ』として、“未来経営”の更なる強化に向けて、
物流のDX化を強力に推し進める。（2024年売上高：104億円 ➤ 2030年売上高：248.6億円へ）</t>
  </si>
  <si>
    <t>長期成長ビジョン（目指す姿・ビジネスモデル）
『21世紀デジタル時代における物流革命の先駆者へ』
①当社は、10年後に向けた長期的な成長ビジョンとして、お客様のベ
ネフィットを第一とする企業を目指し、そして何よりもお客様より信頼さ
れる物流インフラ企業として最高のサービスを提供していくことで『21世
紀デジタル時代における物流革命の先駆者』となることを目指す。
➁社会に対し提供する価値として、物流インフラ企業として国内だけで
なく世界の物流と経済活動の安定化にも積極的に貢献する。
③グローバル化による企業環境や国際物流の変化にもスムーズかつ柔
軟に対応できる“未来経営”の更なる強化に向けて、物流のDX化を
強力に推し進め、物流情報システム、インフラ革新、グローバルロジス
ティックスの専門人材育成を継続的に推進する。
従来の3PL事業のDX化を推し進め、物流DXソリューション事
業としてパッケージ化することで、KGI達成に貢献する。
付加価値向上 競争力強化 顧客の利便性向上
EC物流 サービス提供料金 自社開発システムによる
ワンストップサービス の見直し WMS/API連携</t>
  </si>
  <si>
    <t>外発的動機
• 2010年から2022年の3PL事業（※）の市場規模は、越境EC
の拡大とともに年平均成長率（CAGR）9.1％の大幅な成長を
見せている。特に昨今日本の若者の間で韓国のファッションやコスメの
人気が急上昇しており、輸入量も大きく拡大している。
• 日韓間の物流に精通し、韓国企業との取引が多い当社にとっては大
きなチャンスが到来していると言える。
• 2024年問題の影響や人口減少の本格化と労働力不足を背景に、
「ミクロ物流コスト」の物流単価は上昇傾向にある。
• 今後、物流のアウトソーシング化がさらに進むとみられ、需要と供給
の関係性維持のためにも受け皿となりえる3PL事業のDX化を推
進した自動倉庫事業を実現していくことが大きな成長要因となると
見込まれる。</t>
  </si>
  <si>
    <t>内発的動機
• 人材育成後に退職する社員が多く、離職率が高い。人事採用に関
するコストや、仕分け・梱包作業に関する外注コストも増大している。
• これまで人海戦術による倉庫作業が定着していた為に、国内倉庫の
自動化が遅れている。
• 人為的なミスによる配送間違いや誤出荷が発生しており、作業品質
の担保が大きな課題となっている。
• 3PL事業のDX化は、先進的な取組みを通じて物流業界のゲーム
チェンジャーとなりうる可能性を秘めている。ピンチはチャンスと捉え、
DX化によって効率化と柔軟性を実現し、顧客満足度を向上させるこ
とで、これまでを超える大きな成長を目指す。</t>
  </si>
  <si>
    <t>【p.1／売上成長目標】
売上成長目標
• 2030年までに売上高248.6億円（売上高成長率239.0％、
売上高増加額144.6億円）を目標とする（KPI）
• 2034年までに会社全体の売上高300億円を達成（KGI）
【p.1／＜3PL事業とは＞】
＜3PL事業とは＞
企業の物流業務を外部業者が一括して受託・運営するアウトソーシングサービス。在庫管理、配送、
通関手続きなど多岐にわたる物流プロセスを効率化し、コスト削減と業務のスピードアップを図ることが
可能となる。荷主企業はこれにより、自社のコアビジネスに集中でき、競争力を強化できる。
【p.3／コンベヤを使用せず、着脱式ラックハンガークレーンとケース搬送AGVで荷物をス】
・コンベヤを使用せず、着脱式ラックハンガークレーンとケース搬送AGVで荷物をス
テーションまで移載/搬送が可能
・入庫から保管、ピッキング、ピース仕分け、保管、出庫までの工程を自動化
・自動で高速仕分け・検品レス
【p.3／1時間あたり最大1,000個の商品を包装】
・1時間あたり最大1,000個の商品を包装
・1商品サイズに合わせて自動で商品を梱包、送り状伝票も自動貼り付け可能
・操作性の高いタッチパネル搭載
【p.3／1時間あたり最大1,200個の商品を包装】
・1時間あたり最大1,200個の商品を包装
・ピッキング済みの商品を機械にセッティングするだけで最低2名から梱包作業可能
・シュリンクフイルムにより緩衝材が不要。送り状伝票も自動貼り付け可能。高さ
5cmの箱にも対応。
・操作性の高いタッチパネル搭載。
【p.3／商品サイズを自動測定し、最適な高さのケースを自動作成必要な資材は段ボー】
・商品サイズを自動測定し、最適な高さのケースを自動作成必要な資材は段ボー
ルシートとフィルムの2種類のみ。資材置場を大幅に集約可
・ケースに余分な空間がなくなり、輸送効率の向上に直結する
・シュリンクフイルムにより緩衝材が不要。送り状伝票も自動貼り付け可能。
【p.3／1枚物～冊子物まで多様なチラシの丁合が可能。】
・1枚物～冊子物まで多様なチラシの丁合が可能。
【p.4／その他Box 1】
•• 1省時ス間ペーあスたでり最も設大置15可0能0個なの最商新品型をの梱高包速ソーティングシステム
•• 衣モジ類ュやー雑ル貨のな組どみの合緩わ衝せ材でが自必由要自な在い商にレ品イのア梱ウ包ト可に対能応。
•• 製6,品00投0入ケーと同ス/時ｈにのバ仕ー分コーけド能を力読でみ物取流りセ、ン自タ動ーでの送能り力状をを向貼上付。
• 操作性の高いタッチパネル搭載。
【p.4／物流DXソリューション事業に対応した＜ワンストップ次世代倉庫＞】
物流DXソリューション事業に対応した＜ワンストップ次世代倉庫＞
港湾の保税倉庫内で、保税から国内貨物の輸送までワンストップで作業が
でき、顧客の利便性とコスト面で大きなアドバンテージを持っている。
横浜港から直接倉庫に持ち込める利点だけでなく、羽田空港からも近い。
越境EC事業（BtoC）と3PL事業（BtoBtoC）に対応したハイブリッド
倉庫。
【p.4／1時間あたり最大1500個の商品を梱包】
• 1時間あたり最大1500個の商品を梱包
• 衣類や雑貨などの緩衝材が必要ない商品の梱包に対応。
• 製品投入と同時にバーコードを読み取り、自動で送り状を貼付。
• 操作性の高いタッチパネル搭載。</t>
  </si>
  <si>
    <t>【p.1】
1.長期成長ビジョン 株式会社国際エキスプレス
当社は『21世紀デジタル時代における物流革命の先駆者へ』として、“未来経営”の更なる強化に向けて、
物流のDX化を強力に推し進める。（2024年売上高：104億円 ➤ 2030年売上高：248.6億円へ）
長期成長ビジョン（目指す姿・ビジネスモデル） 外発的動機
• 2010年から2022年の3PL事業（※）の市場規模は、越境EC
『21世紀デジタル時代における物流革命の先駆者へ』
の拡大とともに年平均成長率（CAGR）9.1％の大幅な成長を
見せている。特に昨今日本の若者の間で韓国のファッションやコスメの
①当社は、10年後に向けた長期的な成長ビジョンとして、お客様のベ
人気が急上昇しており、輸入量も大きく拡大している。
ネフィットを第一とする企業を目指し、そして何よりもお客様より信頼さ
• 日韓間の物流に精通し、韓国企業との取引が多い当社にとっては大
れる物流インフラ企業として最高のサービスを提供していくことで『21世
きなチャンスが到来していると言える。
紀デジタル時代における物流革命の先駆者』となることを目指す。
• 2024年問題の影響や人口減少の本格化と労働力不足を背景に、
「ミクロ物流コスト」の物流単価は上昇傾向にある。
➁社会に対し提供する価値として、物流インフラ企業として国内だけで
• 今後、物流のアウトソーシング化がさらに進むとみられ、需要と供給
なく世界の物流と経済活動の安定化にも積極的に貢献する。
の関係性維持のためにも受け皿となりえる3PL事業のDX化を推
進した自動倉庫事業を実現していくことが大きな成長要因となると
③グローバル化による企業環境や国際物流の変化にもスムーズかつ柔
見込まれる。
軟に対応できる“未来経営”の更なる強化に向けて、物流のDX化を
強力に推し進め、物流情報システム、インフラ革新、グローバルロジス
内発的動機
ティックスの専門人材育成を継続的に推進する。
• 人材育成後に退職する社員が多く、離職率が高い。人事採用に関
従来の3PL事業のDX化を推し進め、物流DXソリューション事 するコストや、仕分け・梱包作業に関する外注コストも増大している。
業としてパッケージ化することで、KGI達成に貢献する。 • これまで人海戦術による倉庫作業が定着していた為に、国内倉庫の
自動化が遅れている。
付加価値向上 競争力強化 顧客の利便性向上
• 人為的なミスによる配送間違いや誤出荷が発生しており、作業品質
の担保が大きな課題となっている。
EC物流 サービス提供料金 自社開発システムによる
• 3PL事業のDX化は、先進的な取組みを通じて物流業界のゲーム
ワンストップサービス の見直し WMS/API連携
チェンジャーとなりうる可能性を秘めている。ピンチはチャンスと捉え、
DX化によって効率化と柔軟性を実現し、顧客満足度を向上させるこ
売上成長目標 とで、これまでを超える大きな成長を目指す。
• 2030年までに売上高248.6億円（売上高成長率239.0％、
＜3PL事業とは＞
売上高増加額144.6億円）を目標とする（KPI）
企業の物流業務を外部業者が一括して受託・運営するアウトソーシングサービス。在庫管理、配送、
• 2034年までに会社全体の売上高300億円を達成（KGI）
通関手続きなど多岐にわたる物流プロセスを効率化し、コスト削減と業務のスピードアップを図ることが
可能となる。荷主企業はこれにより、自社のコアビジネスに集中でき、競争力を強化できる。</t>
  </si>
  <si>
    <t>【p.2】
.補助事業の概要 株式会社国際エキスプレス
2
自動倉庫システム・自動梱包機等の導入と新規に物流効率の高い自動倉庫の新築によって、自社の課題解決を
目指す。2030年3月期の労働生産性は＋10.5%、給与支給総額は＋6.1%を見込む。
• 倉庫の自動化の遅れによる取扱可能な物量のキャパシティ、作業スピード、作業品質の限界 事業費 億円
47
⇒マテハン機器の導入による自動倉庫化により解決を目指す （補助額） （1 億円）
6
補助事業の
背景・目的 IT×LT×IoTを駆使しソフトウェアとハードウェアを組み合わせた自動倉庫の導入により、航空輸送・海上輸送・3PL事業を
物流DXソリューション事業として一体的に運用する。本事業は、横浜倉庫、東京倉庫、博多倉庫の３拠点において業務の省力化を
図る事業である。各拠点における設備投資内容は、下記に記載のとおりである。
≪東京支店≫投資額：5.5億円 ≪横浜支店≫投資額：45.6億円 ≪博多支店≫投資額：0.7億円
【機械装置・システム導入】 【倉庫新築】 【機械装置・システム導入】
・自動倉庫システム ・物流効率の高い倉庫を実現する。 ・マテハンシステム
・クッション封筒 自動包装機 【機械装置・システム導入】
・シュリンク包装 自動包装機 ・自動倉庫システム-
・自動包装システム ・クッション封筒 自動包装機
・チラシ丁合機 ・シュリンク包装 自動包装機
設備投資の
・自動包装システム
内容
・チラシ丁合機
・袋包装 自動包装機
【導入効果】
東京支店・横浜支店における３PL業務の
作業効率は約4倍となる。
博多支店における輸入搬出業務での
作業効率は約2.5倍となる。
2027年3月期 2030年3月期
事業全体
（基準年度） （基準年度＋３年後）
労働生産性 1,547
1,155
（単位：万円/人） （年平均上昇率＋10.2％）
目標値 従業員1人あたり給与支給総額 53 634
1
（単位：万円/人） （年平均上昇率＋6.1％）
役員１人あたり給与支給総額 3,625
3,075
（単位：万円/人） （年平均上昇率＋5.6％）
補助事業に係る従業員数
227 281
（単位：人）
【p.3】
.補助事業の概要 株式会社国際エキスプレス
2
導入設備については、抜本的な省力化及び労働生産性の向上が見込まれる先進性の高い自動化設備を選定している。
省力化効果
導入場所 設備名称 イメージ画像 先進的特徴
（作業効率）
・東京支店 【Nano- ・コンベヤを使用せず、着脱式ラックハンガークレーンとケース搬送AGVで荷物をス 700~800
・横浜支店 Stream】 テーションまで移載/搬送が可能 ピース/h
-自動倉庫システム ・入庫から保管、ピッキング、ピース仕分け、保管、出庫までの工程を自動化
- ・自動で高速仕分け・検品レス
・東京支店 【メルパックライン】 ・1時間あたり最大1,000個の商品を包装 1,000
・横浜支店 -クッション封筒 自 ・1商品サイズに合わせて自動で商品を梱包、送り状伝票も自動貼り付け可能 パック/ｈ
動包装機- ・操作性の高いタッチパネル搭載
・東京支店 【シュリンクパックラ ・1時間あたり最大1,200個の商品を包装 1,200パック/
・横浜支店 イン】 -シュリンク ・ピッキング済みの商品を機械にセッティングするだけで最低2名から梱包作業可能 ｈ
包装 自動包装機 ・シュリンクフイルムにより緩衝材が不要。送り状伝票も自動貼り付け可能。高さ
- 5cmの箱にも対応。
・操作性の高いタッチパネル搭載。
【GeminiS・パッ ・商品サイズを自動測定し、最適な高さのケースを自動作成必要な資材は段ボー
・東京支店 ケージングシステム】 ルシートとフィルムの2種類のみ。資材置場を大幅に集約可 1,200
・横浜支店 - 自動包装システ ・ケースに余分な空間がなくなり、輸送効率の向上に直結する ケース/h
ム - ・シュリンクフイルムにより緩衝材が不要。送り状伝票も自動貼り付け可能。
・東京支店 【選択丁合機 | ・1枚物～冊子物まで多様なチラシの丁合が可能。 180
DM230-Si】 - チ セット/m
ラシ丁合機 -
【p.4】
.補助事業の概要 株式会社国際エキスプレス
2
導入設備については、抜本的な省力化及び労働生産性の向上が見込まれる先進性の高い自動化設備を選定している。
自動倉庫についても、効率のよりレイアウト設計により省力化を大幅に実現する。
省力化効果
導入場所 設備名称 イメージ画像 先進的特徴
（作業効率）
・・横博浜多支支店店 【【バidッ SクOパRッTクEラRイ】 •• 1省時ス間ペーあスたでり最も設大置15可0能0個なの最商新品型をの梱高包速ソーティングシステム 16,,500000パケーックス//hh
ン-マ】テ-ハ袋ン包シ装ステ自ム •• 衣モジ類ュやー雑ル貨のな組どみの合緩わ衝せ材でが自必由要自な在い商にレ品イのア梱ウ包ト可に対能応。
動- 包装機- •• 製6,品00投0入ケーと同ス/時ｈにのバ仕ー分コーけド能を力読でみ物取流りセ、ン自タ動ーでの送能り力状をを向貼上付。
• 操作性の高いタッチパネル搭載。
導入場所 設備名称 イメージ画像 先進的特徴 省力化効果
・横浜支店 自動倉庫新築 物流DXソリューション事業に対応した＜ワンストップ次世代倉庫＞ ・貨物の入口と出口を
横浜ゲートウェイ 別々に設置し、貨物効率
（仮称） 港湾の保税倉庫内で、保税から国内貨物の輸送までワンストップで作業が を向上
でき、顧客の利便性とコスト面で大きなアドバンテージを持っている。 ・貨物エレベーター２基と
垂直搬送機２基を設置し、
横浜港から直接倉庫に持ち込める利点だけでなく、羽田空港からも近い。
縦方向の移動もスムーズ
越境EC事業（BtoC）と3PL事業（BtoBtoC）に対応したハイブリッド
倉庫。
・横浜支店 【バックパックライ • 1時間あたり最大1500個の商品を梱包 1,500パック/h
ン】 -袋包装 自 • 衣類や雑貨などの緩衝材が必要ない商品の梱包に対応。
動包装機- • 製品投入と同時にバーコードを読み取り、自動で送り状を貼付。
• 操作性の高いタッチパネル搭載。
補助事業実施場所を含めた全国4拠点の倉庫においてマテハン機器を活用した
物流DXソリューション事業の開始することで、受注能力が大幅に向上する。</t>
  </si>
  <si>
    <t>株式会社かねふくめんたいパーク
1.長期成長ビジョン
当社は明太子業界を索引するかねふくグループの一員として、世界への明太子の安定供給を目指し、これからも
成長を続ける。そして、名実ともに世界トップの明太子製造企業になることを目指す。</t>
  </si>
  <si>
    <t>長期成長ビジョン（目指す姿・ビジネスモデル）
◼ 目指す姿
✓ グループ：
今後も世界トップの明太子メーカーとして明太子業界を牽引し、世
⚫
界の食卓に華やかさを添える企業として発展・成長していく
✓ 単体：
明太子の可能性を追求し、素材へのこだわりと明太子づくりへの情熱
⚫
を食を通して、世界中にお届けしたい
従業員が家庭と仕事の両立を図り、心身ともに健康な生活を送ること
⚫
ができる会社にする
◼ ビジネスモデル
✓ 名実ともに世界トップのメーカー
棒状の明太子だけでなく、粒状の明太バラコ製品の製造に注力
⚫
現在、明太子は海外では「スパイシーキャビア」の愛称で、海外での人
⚫
気がとても高まっている。中でも、明太バラコ製品は海外人気が非常
に高いため、今後は海外向けに販売量の増加に取り組み、かねふくブラ
ンドの主力商品化を目指す
✓ 持続的に事業が行える体制の構築
自然災害など予期せぬ問題が発生しても、サプライチェーンに安定した
⚫
供給を実施することが可能な体制を構築する
「粒だけの明太バラコ製品」の製造量を増加し、少子高齢化により、労
⚫
働力が減少しても安定した生産ができるように省力化に取り組む</t>
  </si>
  <si>
    <t>外発的動機
➀明太バラコ製品の需要拡大
10年ほど前からコンビニのおにぎり、パスタに明太子の人気が出
⚫
始め、粒状の明太子の価値が拡大。家庭用・量販用ともに手
軽に調味できるばらこ製品の需要が増加している
海外では棒状の明太子の皮が受け入れられない場合もあり、粒
⚫
状の明太バラコ製品の需要が高まっている
現状、引き合いは増加しているが、生産能力が不足し、
⚫
お断りしている状況
➁自然災害の増加への対応
近年、地震や豪雨などの自然災害が増加しており、安定供給の
⚫
ためのリスクヘッジが必要。（客先からの要求も発生している）
現状、茨城工場のみで明太バラコ製品は製造している
⚫</t>
  </si>
  <si>
    <t>内発的動機
➀社員の労働負担を軽減したい
明太子の製造は人手による丁寧な作業と熟練が必要であり、
⚫
生産量の増加は従業員への負担が大きく、明太子の機械化へ
の挑戦を続けてきたが、形のある明太子は衝撃に弱く困難
明太バラコ製品は機械化が可能で社員の労働負担を軽減
⚫
➁世界トップのメーカーとしての挑戦
現在は世界トップのメーカーであるが、国内への販売が主流と
⚫
なっているため、中長期的には日本の食文化を世界に届け、世
界の食卓に華やかさを添えたい
➂世界中の食卓に安定して製品を届けたい
現在、海外にも店舗を所有する大手企業にも、明太バラコ製品
⚫
を供給中。来る労働力不足や予期せぬ自然災害などの問題が
発生しても、持続的に製品を供給することが可能なサプライ
チェーンの構築を目指す</t>
  </si>
  <si>
    <t>【p.1／売上成長目標】
売上成長目標
2028年7月度までに ※対2023年7月度比
グループ全体の売上高成長率：128％
グループ全体の売上高増加額：+67億円
会社全体の売上高成長率：182％
会社全体の売上高増加額：+33.4億円
【p.2／設備投資の内容】
◼ 設備投資の内容
工場建設費 9億2000万円
機械設備費 4億8000万円 合計 14.0億円
◼ 愛知県の常滑工場に明太バラコを製造する工場を増設
2,400tの生産力を有し、量産化に最適な生産体制、
⚫
→現在の明太バラコの需要（引き合い）への対応可
機械化により、形のある明太子製造に比べ1/5の人員
⚫
→将来の労働人口の減少の対策として省力化を実現
労働負荷を低減し、快適な作業環境を構築することで
機械設備は保存性を高める低温殺菌装置、急速冷凍
⚫
設置し、品質が高い幅広い用途の製品が可能
→顧客の幅広い要望に対応可能</t>
  </si>
  <si>
    <t>【p.1】
株式会社かねふくめんたいパーク
1.長期成長ビジョン
当社は明太子業界を索引するかねふくグループの一員として、世界への明太子の安定供給を目指し、これからも
成長を続ける。そして、名実ともに世界トップの明太子製造企業になることを目指す。
長期成長ビジョン（目指す姿・ビジネスモデル） 外発的動機
➀明太バラコ製品の需要拡大
◼ 目指す姿
✓ グループ： ⚫ 10年ほど前からコンビニのおにぎり、パスタに明太子の人気が出
今後も世界トップの明太子メーカーとして明太子業界を牽引し、世 始め、粒状の明太子の価値が拡大。家庭用・量販用ともに手
⚫
界の食卓に華やかさを添える企業として発展・成長していく 軽に調味できるばらこ製品の需要が増加している
✓ 単体： 海外では棒状の明太子の皮が受け入れられない場合もあり、粒
⚫
⚫ 明太子の可能性を追求し、素材へのこだわりと明太子づくりへの情熱 状の明太バラコ製品の需要が高まっている
を食を通して、世界中にお届けしたい
現状、引き合いは増加しているが、生産能力が不足し、
⚫
従業員が家庭と仕事の両立を図り、心身ともに健康な生活を送ること
⚫ お断りしている状況
ができる会社にする
➁自然災害の増加への対応
近年、地震や豪雨などの自然災害が増加しており、安定供給の
◼ ビジネスモデル ⚫
ためのリスクヘッジが必要。（客先からの要求も発生している）
✓ 名実ともに世界トップのメーカー
現状、茨城工場のみで明太バラコ製品は製造している
棒状の明太子だけでなく、粒状の明太バラコ製品の製造に注力 ⚫
⚫
現在、明太子は海外では「スパイシーキャビア」の愛称で、海外での人
⚫
気がとても高まっている。中でも、明太バラコ製品は海外人気が非常 内発的動機
に高いため、今後は海外向けに販売量の増加に取り組み、かねふくブラ ➀社員の労働負担を軽減したい
ンドの主力商品化を目指す
明太子の製造は人手による丁寧な作業と熟練が必要であり、
⚫
✓ 持続的に事業が行える体制の構築
生産量の増加は従業員への負担が大きく、明太子の機械化へ
自然災害など予期せぬ問題が発生しても、サプライチェーンに安定した
⚫ の挑戦を続けてきたが、形のある明太子は衝撃に弱く困難
供給を実施することが可能な体制を構築する
明太バラコ製品は機械化が可能で社員の労働負担を軽減
「粒だけの明太バラコ製品」の製造量を増加し、少子高齢化により、労 ⚫
⚫
➁世界トップのメーカーとしての挑戦
働力が減少しても安定した生産ができるように省力化に取り組む
現在は世界トップのメーカーであるが、国内への販売が主流と
⚫
なっているため、中長期的には日本の食文化を世界に届け、世
売上成長目標
界の食卓に華やかさを添えたい
2028年7月度までに ※対2023年7月度比 ➂世界中の食卓に安定して製品を届けたい
グループ全体の売上高成長率：128％ 現在、海外にも店舗を所有する大手企業にも、明太バラコ製品
⚫
グループ全体の売上高増加額：+67億円
を供給中。来る労働力不足や予期せぬ自然災害などの問題が
会社全体の売上高成長率：182％
発生しても、持続的に製品を供給することが可能なサプライ
会社全体の売上高増加額：+33.4億円
チェーンの構築を目指す</t>
  </si>
  <si>
    <t>【p.2】
株式会社かねふくめんたいパーク
.補助事業の概要
2
明太バラコの需要への対応・将来の人手不足への対策のため、機械で製造可能な明太バラコを生産する施設
を増設する。これにより、生産性・収益力を向上し、従業員の賃上げ・持続的な雇用促進を目指す。
• 明太バラコ製品の需要が増加しているが、自社の生産設備が不足。補助事業を通じて、明太
補助事業の バラコの量産化体制を構築、既存工場のリスク分散（安定供給）も図る 事業費 1 2 億円
背景・目的 • 将来、人手不足が懸念される中、明太バラコ製造は、熟練した人手が必要な明太子製造に比 （補助額） （ 1.4 億円）
べ、機械化による省人化が可能。労働人口が減少しても持続的に事業を実施することが可能
◼ 設備投資の内容
工場建設費 9億2000万円
機械設備費 4億8000万円 合計 14.0億円
◼ 愛知県の常滑工場に明太バラコを製造する工場を増設
2,400tの生産力を有し、量産化に最適な生産体制、品質評価体制を確立
⚫
設備投資の
→現在の明太バラコの需要（引き合い）への対応可能
内容
機械化により、形のある明太子製造に比べ1/5の人員で製造可能
⚫
→将来の労働人口の減少の対策として省力化を実現。
労働負荷を低減し、快適な作業環境を構築することで定着につなげる
機械設備は保存性を高める低温殺菌装置、急速冷凍のトンネルフリーザーを
⚫
設置し、品質が高い幅広い用途の製品が可能
→顧客の幅広い要望に対応可能
2025年7月度 2028年7月度
項目
（基準年度） （基準年度＋３年後）
労働生産性 1,143
（単位：万円/人）
290
（年平均上昇率＋57.9％）
目標値 従業員1人あたり給与支給総額 272
236
（単位：万円/人） （年平均上昇率＋4.8％）
役員１人あたり給与支給総額 1,639
1,500
（単位：万円/人） （年平均上昇率＋3.0％）
補助事業に係る従業員数
63 104
（単位：人）</t>
  </si>
  <si>
    <t>信越理研株式会社
1.⾧期成⾧ビジョン
創造性の発揮、技術革新の展開、環境保全対策をもって「顧客の依頼にノーと言わない」を可能とし、グローバ
ルに社会の問題解決・持続可能性の実現に貢献し、自らも成⾧し続ける。</t>
  </si>
  <si>
    <t>⾧期成⾧ビジョン（目指す姿・ビジネスモデル）
１．独創性の発揮、技術革新の展開
（１）高硬度・高純度の特殊銀めっきに代表される技術力の維持、高度化
（２）脱炭素を背景に電動化が進むモビリティ分野への対応
（３）成⾧分野であるパワー半導体への参入
２．環境への配慮
（１）地域と共生する企業として排水管理の徹底継続
（２）脱炭素への対応（「CO2排出原単位の削減」など）
３．サステナビリティの観点
（１）新規技術の開発、同業他社との優位性確保
（２）地域社会への貢献
（３）従業員のエンゲージメント向上を目指す
4．リスク対応
（１）新規技術の開発 → 新分野開拓を常に考えて行く
（２）シリコンサイクルのマイナス影響最小限に → 新規技術の開発</t>
  </si>
  <si>
    <t>外発的動機
 脱炭素社会に向けて政府が2035年新車電動化を表明し、バッテリー、
インバータ等の需要拡大。また、進化する自動運転技術ではカメラモ
ジュール、センサ等の需要が拡大し、金属表面処理ニーズが高まっている。
 経済産業省「半導体戦略」(概略)では、2030 年までに、省エネ 50％
以上の次世代パワー半導体の実用化・普及拡大を進め、日本企業が世
界市場 シェア 4割（1.7 兆円）を獲得することを目指すとしている。パ
ワー半導体にも表面処理加工を施した部品が必要であり、需要拡大が
見込まれる。
 環境への配慮やステークホルダーとの関係など、企業に求められる非財務
分野への対応が必須である。</t>
  </si>
  <si>
    <t>内発的動機
 複雑化、高度化する顧客ニーズや、モビリティ分野の環境変化に対応す
るための生産体制の構築が必要。
 経営理念である“私たちは、全社員の知恵と工夫でお客様（顧客）に
「ありがとう」と言われる製品づくりを目指します”にある通り、常に新たな価
値提供を続けお客様に選ばれる企業でなければならないと考える。
 サステナビリティの観点は経営の根幹であり、サステナビリティやESGという
言葉が一般化する前から環境への配慮に力を入れおり、今後も当たり前
として環境への配慮を継続していかなければならない。加えて、ステークホ
ルダーとの共存共栄、賃金アップを実現し働く従業員のエンゲージメント
向上も必要不可欠と考える。
 新規技術の開発に注力し、新分野開拓を常に考えて行く。技術力をよ
り高めて行くことが最大のリスク対応。特に自動車分野以外への進出は
サプライチェーン上のリスク管理の観点からも必須と考える。</t>
  </si>
  <si>
    <t>【p.1／売上成長目標】
売上成⾧目標
• 2029年度 120億円(補助事業100億円+既存20億円)
• 2029年度 会社全体の売上高成⾧率245％
• 2029年度 会社全体の売上高増加額71億円</t>
  </si>
  <si>
    <t>【p.1】
信越理研株式会社
1.⾧期成⾧ビジョン
創造性の発揮、技術革新の展開、環境保全対策をもって「顧客の依頼にノーと言わない」を可能とし、グローバ
ルに社会の問題解決・持続可能性の実現に貢献し、自らも成⾧し続ける。
⾧期成⾧ビジョン（目指す姿・ビジネスモデル） 外発的動機
 脱炭素社会に向けて政府が2035年新車電動化を表明し、バッテリー、
１．独創性の発揮、技術革新の展開
インバータ等の需要拡大。また、進化する自動運転技術ではカメラモ
ジュール、センサ等の需要が拡大し、金属表面処理ニーズが高まっている。
（１）高硬度・高純度の特殊銀めっきに代表される技術力の維持、高度化
 経済産業省「半導体戦略」(概略)では、2030 年までに、省エネ 50％
（２）脱炭素を背景に電動化が進むモビリティ分野への対応 以上の次世代パワー半導体の実用化・普及拡大を進め、日本企業が世
界市場 シェア 4割（1.7 兆円）を獲得することを目指すとしている。パ
（３）成⾧分野であるパワー半導体への参入
ワー半導体にも表面処理加工を施した部品が必要であり、需要拡大が
２．環境への配慮
見込まれる。
 環境への配慮やステークホルダーとの関係など、企業に求められる非財務
（１）地域と共生する企業として排水管理の徹底継続
分野への対応が必須である。
（２）脱炭素への対応（「CO2排出原単位の削減」など）
３．サステナビリティの観点
（１）新規技術の開発、同業他社との優位性確保
内発的動機
（２）地域社会への貢献
 複雑化、高度化する顧客ニーズや、モビリティ分野の環境変化に対応す
（３）従業員のエンゲージメント向上を目指す
るための生産体制の構築が必要。
4．リスク対応  経営理念である“私たちは、全社員の知恵と工夫でお客様（顧客）に
「ありがとう」と言われる製品づくりを目指します”にある通り、常に新たな価
（１）新規技術の開発 → 新分野開拓を常に考えて行く 値提供を続けお客様に選ばれる企業でなければならないと考える。
 サステナビリティの観点は経営の根幹であり、サステナビリティやESGという
（２）シリコンサイクルのマイナス影響最小限に → 新規技術の開発
言葉が一般化する前から環境への配慮に力を入れおり、今後も当たり前
として環境への配慮を継続していかなければならない。加えて、ステークホ
売上成⾧目標
ルダーとの共存共栄、賃金アップを実現し働く従業員のエンゲージメント
• 2029年度 120億円(補助事業100億円+既存20億円) 向上も必要不可欠と考える。
• 2029年度 会社全体の売上高成⾧率245％  新規技術の開発に注力し、新分野開拓を常に考えて行く。技術力をよ
• 2029年度 会社全体の売上高増加額71億円 り高めて行くことが最大のリスク対応。特に自動車分野以外への進出は
サプライチェーン上のリスク管理の観点からも必須と考える。</t>
  </si>
  <si>
    <t>【p.2】
信越理研株式会社
2.補助事業の概要
事業費45億円による、金属表面処理需要拡大に伴うモビリティ分野生産体制強化及びパワー半導体向け金
めっきライン新設事業
補助事業の • 本件大規模投資により、補助事業の顧客フォーキャスト77億円(P13売上推移)実行し、付 事業費 44億円
加価値の大幅な増加を図り収益性、生産性の向上を目指します。
背景・目的 （補助額）（12億円）
• 顧客から増産要請を補助事業にて応え、技術力をもって更なる飛躍を図ります。
1.建物及びその附属設備
第3工場(鉄骨造3階建) 延床8,688㎡(2,896+2,896+2,896)
2.建物及びその附属設備
排水棟(鉄骨造平屋建) 延床660㎡ 1.2本体 2,201百万円(第3工場、排水棟)
1.2電気・機械設備 251百万円
排水棟装置 300百万円
設備投資の
内容
1.建物及びその附属設備（第３工場 西立面図） 2建物及びその附属設備（排水棟 北立面図）
建物及びその附属設備（キュービクル等） 建物及びその附属設備（空調等） 2.建物及びその附属設備 排水棟装置
【p.3】
信越理研株式会社
2.補助事業の概要
事業費45億円による、金属表面処理需要拡大に伴うモビリティ分野生産体制強化及びパワー半導体向け金
めっきライン新設事業
3.機械及び装置
電気めっきライン(ラック) 1ライン(本社) 160百万円
1ライン(第3工場) 339百万円
4.機械及び装置 電気めっきライン(フープ) 3ライン 383百万円
5.機械及び装置 パワー半導体向け金めっきライン 1ライン 693百万円
４.機械及び装置 電気めっきライン(フープ)
設備投資の
内容
3.機械及び装置 電気めっきライン(ラック) 5.機械及び装置 パワー半導体向け金めっきライン
【p.4】
信越理研株式会社
2.補助事業の概要
金属表面処理需要拡大に伴うモビリティ分野生産体制強化及びパワー半導体向け金めっきライン新設事業
6.太陽光発電設備 1式 36百万円
7.クリーンルーム 1式 123百万円
8.ベースプレート用アルマイト封孔処理装置 14百万円
増設不可能な既存本社工場床延4,464.65 ㎡、第二工場3,008.50
㎡であります。第3工場は1.16倍を有します。旺盛な需要に対応すること
は可能であります。労働生産性の向上につながり、年平均5.09％の賃上
げ目標の実現を可能とします。
設備投資の
内容
6.太陽光発電設備 7.クリーンルーム 8.ベースプレート用アルマイト
2026年度 2029年度
項目
（基準年度） （基準年度＋３年後）
労働生産性 1,722
873
（単位:万円/人） （年平均上昇率＋25.4％）
目標値 従業員1人あたり給与支給総額 585
504
（単位:万円/人） （年平均上昇率＋5.09％）
役員１人あたり給与支給総額 7,600
6,500
（単位:万円/人） （年平均上昇率＋5.35％）
補助事業に係る従業員数
129 145
（単位:人）</t>
  </si>
  <si>
    <t>クリエイトワン株式会社
1.長期成長ビジョン
当社は、美容業界での高利益製品であるヘアエクステに注目し、同時に多くの美容室が抱える店舗経営の課題に対処する支援サービスを提供し、
美容業界全体のイノベーション発展と成長を目指しています。その為にDX活用によるシステム開発と社屋建設を行うことで、さらなるサービス
の拡大を喚起し、美容室の離職率改善や給与水準向上など美容業界の課題を解決し、社会に感動を提供し、価値を創造し続けます。</t>
  </si>
  <si>
    <t>長期成長ビジョン
私たちは、DX活用システムと社屋建設を契機に、組織強化を図
り、社会に感動と、価値創造を提供し続けます。そして、美容
業界に、革新的なアプローチとサービス提供の変革を図り、コ
ンシューマーや美容店に喜びをお届けします。
• 業界の将来に対する懸念と課題への挑戦：
国内の美容業界は過当競争であり、収益性や生産性が低いとい
う現状があります。しかし、当社のヘアエクステは、高い収益
性と生産性を持つ製品であり、技術認定をもった美容店のみが
扱える希少性のある製品です。
このような中、当社はDXによる効率化と社屋建設による拠点
集約化を図り、要員を市場開拓に傾注し、美容室の占有率
0.04%から大きく拡大を図り、業界発展に貢献していきます。
• リーディングカンパニーへの道：
当社の強みは、独自のヘアエクステ製品の販売やデジタル広告
など美容室支援サービスの提供にあります。
当社の成長戦略は、高品質ヘアエクステ製品の販売に加え、美
容室への経営支援サービスを提供し、美容室の収益性向上と美
容師の給与水準UPの機会を作り、美容業界のイノベーション
を牽引していくことを挙げています。
今後、DX活用による次世代美容プラットフォームを中核拠点
となる新社屋から情報発信するなど新技術開発や循環型社会に
対応した製品リサイクルに注力し、業界や社会に対して影響力
を高め、リーディングカンパニーの地位を確立します。
長期成長ビジョン深掘り
1.具体的な施策：
(1)新製品開発のスケジュール：
・2024年：新しい高品質ヘアエクステ製品のリリース
・2025年：デジタルマーケティングツールの導入と運用開始
・2026年：エコフレンドリーな製品ラインの展開
(2)マーケティング戦略：
・SNSキャンペーンやインフルエンサーコラボレーションを活用したブランド認知度向上
・オンラインプラットフォームの充実と顧客体験の向上
(3)地域経済への貢献：
・地域美容室や美容師への経営支援プログラム（研修、コンサルティング）
・地域イベントやフェアの開催を通じた地域コミュニティとの連携強化
2.リスク管理計画：
(1)内部リスク対策：
・意思伝達やコミュケーション活性化のための社屋建設による本社拠点集約
・人材確保と育成プログラムの充実
・技術開発の遅れに対するバックアッププランの策定
(2)市場リスク対策：
・市場変化に柔軟に対応するための定期的な市場調査と顧客フィードバックの収集
・競争激化に対する差別化戦略として、独自技術と高品質サービスの強化
3.ステークホルダーとの協力：
(1)産学官連携：具体的な協力内容やプロジェクト、パートナー機関を詳細に記載
(2)他企業との連携：具体的な協業プロジェクトや提携先企業を明示
(3)地域経済への貢献：地域美容室や美容師への具体的な支援プログラム（研修、経営コンサルティングなど）
4.持続可能性の具現化：
(1)環境への配慮：再生可能エネルギーの利用、廃棄物削減プログラム
(2)社会的インパクトの評価方法：地域経済や美容師の職業満足度向上に関する具体的な評価指標と方法</t>
  </si>
  <si>
    <t>外発的動機
• 国内女性人口の減少に起因する美容業界の将来像：
美容業界は美容室、美容師共に増加しているものの、美容市場は
国内女性の減少にリンクする形で減少しています。
顧客減少に対処するために、顧客獲得の新たな戦略が必要です。
• 美容師の離職率の高さ：
美容師の離職率は高く、主な理由は低い給与水準にあります。
高収益商品やサービスの提供により、美容師の収益性と満足度向
上が喫緊の社会課題として解決が求められています。
• デジタルマーケティングの重要性：
若い女性のトレンドに影響される美容業界では、デジタルマーケ
ティングが必要不可欠です。</t>
  </si>
  <si>
    <t>内発的動機
• 美容業界を席巻する高品質で高生産性製品：
当社製品・サービスは特許と品質保証で高品質を保ち、カットな
どの施術の2 倍を越える高生産性を誇ります。有資格者向けに販
売し、国内市場占有率0.04%から、本補助事業で市場拡大を目指
します。
• 美容業界のイノベーション促進：
業界は小規模企業が多く、技術開発に限界があります。当社はこ
の課題に対し、品質管理方法の研究や次世代製品の開発を産学官
連携でリードし、業界全体の発展に貢献していきます。
• 組織力の更なる強化：
当社は飛躍的な成長を遂げたため、本社機能の2拠点分散や執務
スペース不足、慢性的リモートワークが生じており、意思伝達や
コミュケーション不足の状況となっています。</t>
  </si>
  <si>
    <t>【p.1／売上成長目標】
売上成長目標
2025年から2029年9月期までの全社売上高成長率 220％
2025年から2029年9月期までの全社売上高増加額 21億円
【p.4／新社屋建設計画地：】
新社屋建設計画地：
・次世代美容プラットフォームとして情報発信の中核拠点を目指す
・若者やファミリーが集う名古屋繁華街に立地（名古屋市中区栄地区）
・全国有数の再開発エリア(10拠点近い再開発計画進行中)</t>
  </si>
  <si>
    <t>【p.1】
クリエイトワン株式会社
1.長期成長ビジョン
当社は、美容業界での高利益製品であるヘアエクステに注目し、同時に多くの美容室が抱える店舗経営の課題に対処する支援サービスを提供し、
美容業界全体のイノベーション発展と成長を目指しています。その為にDX活用によるシステム開発と社屋建設を行うことで、さらなるサービス
の拡大を喚起し、美容室の離職率改善や給与水準向上など美容業界の課題を解決し、社会に感動を提供し、価値を創造し続けます。
長期成長ビジョン
外発的動機
私たちは、DX活用システムと社屋建設を契機に、組織強化を図 •国内女性人口の減少に起因する美容業界の将来像：
り、社会に感動と、価値創造を提供し続けます。そして、美容 美容業界は美容室、美容師共に増加しているものの、美容市場は
業界に、革新的なアプローチとサービス提供の変革を図り、コ 国内女性の減少にリンクする形で減少しています。
ンシューマーや美容店に喜びをお届けします。 顧客減少に対処するために、顧客獲得の新たな戦略が必要です。
•業界の将来に対する懸念と課題への挑戦： •美容師の離職率の高さ：
国内の美容業界は過当競争であり、収益性や生産性が低いとい 美容師の離職率は高く、主な理由は低い給与水準にあります。
う現状があります。しかし、当社のヘアエクステは、高い収益 高収益商品やサービスの提供により、美容師の収益性と満足度向
性と生産性を持つ製品であり、技術認定をもった美容店のみが 上が喫緊の社会課題として解決が求められています。
扱える希少性のある製品です。
•デジタルマーケティングの重要性：
このような中、当社はDXによる効率化と社屋建設による拠点
若い女性のトレンドに影響される美容業界では、デジタルマーケ
集約化を図り、要員を市場開拓に傾注し、美容室の占有率
ティングが必要不可欠です。
0.04%から大きく拡大を図り、業界発展に貢献していきます。
•リーディングカンパニーへの道： 内発的動機
当社の強みは、独自のヘアエクステ製品の販売やデジタル広告 •美容業界を席巻する高品質で高生産性製品：
など美容室支援サービスの提供にあります。
当社製品・サービスは特許と品質保証で高品質を保ち、カットな
当社の成長戦略は、高品質ヘアエクステ製品の販売に加え、美 どの施術の2 倍を越える高生産性を誇ります。有資格者向けに販
容室への経営支援サービスを提供し、美容室の収益性向上と美 売し、国内市場占有率0.04%から、本補助事業で市場拡大を目指
容師の給与水準UPの機会を作り、美容業界のイノベーション
します。
を牽引していくことを挙げています。
今後、DX活用による次世代美容プラットフォームを中核拠点 •美容業界のイノベーション促進：
となる新社屋から情報発信するなど新技術開発や循環型社会に 業界は小規模企業が多く、技術開発に限界があります。当社はこ
対応した製品リサイクルに注力し、業界や社会に対して影響力 の課題に対し、品質管理方法の研究や次世代製品の開発を産学官
を高め、リーディングカンパニーの地位を確立します。 連携でリードし、業界全体の発展に貢献していきます。
•組織力の更なる強化：
売上成長目標 当社は飛躍的な成長を遂げたため、本社機能の2拠点分散や執務
2025年から2029年9月期までの全社売上高成長率 220％ スペース不足、慢性的リモートワークが生じており、意思伝達や
2025年から2029年9月期までの全社売上高増加額 21億円 コミュケーション不足の状況となっています。
【p.2】
クリエイトワン株式会社
1.長期成長ビジョン
長期成長ビジョン深掘り
1.具体的な施策：
(1)新製品開発のスケジュール：
・2024年：新しい高品質ヘアエクステ製品のリリース
・2025年：デジタルマーケティングツールの導入と運用開始
・2026年：エコフレンドリーな製品ラインの展開
(2)マーケティング戦略：
・SNSキャンペーンやインフルエンサーコラボレーションを活用したブランド認知度向上
・オンラインプラットフォームの充実と顧客体験の向上
(3)地域経済への貢献：
・地域美容室や美容師への経営支援プログラム（研修、コンサルティング）
・地域イベントやフェアの開催を通じた地域コミュニティとの連携強化
2.リスク管理計画：
(1)内部リスク対策：
・意思伝達やコミュケーション活性化のための社屋建設による本社拠点集約
・人材確保と育成プログラムの充実
・技術開発の遅れに対するバックアッププランの策定
(2)市場リスク対策：
・市場変化に柔軟に対応するための定期的な市場調査と顧客フィードバックの収集
・競争激化に対する差別化戦略として、独自技術と高品質サービスの強化
3.ステークホルダーとの協力：
(1)産学官連携：具体的な協力内容やプロジェクト、パートナー機関を詳細に記載
(2)他企業との連携：具体的な協業プロジェクトや提携先企業を明示
(3)地域経済への貢献：地域美容室や美容師への具体的な支援プログラム（研修、経営コンサルティングなど）
4.持続可能性の具現化：
(1)環境への配慮：再生可能エネルギーの利用、廃棄物削減プログラム
(2)社会的インパクトの評価方法：地域経済や美容師の職業満足度向上に関する具体的な評価指標と方法</t>
  </si>
  <si>
    <t>【p.3】
クリエイトワン株式会社
2.補助事業の概要
補助事業は、ヘアエクステ市場拡大のための美容室支援システム開発と、それに伴う取扱商品および要員増加による保管・作業、執務
スペース確保のための社屋建設です。なお、資金調達は(株)商工組合中央金庫殿のアレンジャーでシンジケートローン組成を進めてい
ます。本事業の労働生産性・従業員1人あたりの給与支給総額は、それぞれ年平均上昇率目標を+22%、+5.5%とします。
補助事業 • ヘアエクステ市場拡大のための美容室支援システムの開発 事業費 12億円
背景・目的 • 取扱商品および要員増に伴う保管・作業、執務スペース確保のための社屋建設 （補助額） （0.74億円）
• DX・AI活用による美容室経営支援システム開発：
（目的）
美容室経営支援システムを開発し、人からDXに美容室支援システムを
移行し、美容室営業リソースを新規美容室開発に傾注し、既美容室売
上拡大＋新規美容室開発により、市場拡大を目指します。
（開発内容）
システム開発投資額：43百万円（補助額：14百万円）
美容業界市場調査データ、取扱美容室個別データ（売上、来客、
SNS）などデータ収集・蓄積、AI等による解析するシステムを開発。
設備投資 本解析結果を活用し、財務、求人、人材育成、SNS等PR戦略など取扱
の内容 美容室経営支援、売上向上を図るシステムを開発します。
• 取扱商品および要員増加に対応した社屋建設：
（目的）
取扱商品、要員増加に伴う商品保管スペースと執務スペース増床のた
めの社屋建設を目指します。
（建設内容）
建築投資額：1,287百万円（補助額：429百万円）
建築面積 ：1,800m2
スペース確保だけでなく、快適なワークスペースを目指します。
項目 2025年度（基準年度） 2028年度（基準年度＋３年後）
労働生産性（単位：万円/人） 1,135 2,087（年平均上昇率＋23％）
目標値
従業員1人あたり給与支給総額（単位：万円/人） 558 656（年平均上昇率＋5.5％）
役員１人あたり給与支給総額（単位：万円/人） ー ー
補助事業に係る従業員数（単位：人） 38 51
【p.4】
クリエイトワン株式会社
2.補助事業の概要
新社屋建設計画地：
・次世代美容プラットフォームとして情報発信の中核拠点を目指す
・若者やファミリーが集う名古屋繁華街に立地（名古屋市中区栄地区）
・全国有数の再開発エリア(10拠点近い再開発計画進行中)
設備投資
の内容
【参考】
新社屋完成予想パース
2026年2月竣工予定
現本社
100m
建設計画地</t>
  </si>
  <si>
    <t>株式会社フルヤ金属
1.長期成長ビジョン
独自技術で “デジタル社会・グリーン社会の進展” を支える</t>
  </si>
  <si>
    <t>長期成長ビジョン（目指す姿・ビジネスモデル）
• Platinum Group Metal (プラチナ系貴金属, 略称：PGM)
特にイリジウム、ルテニウムの世界一のメーカーとして科学技術の
発展に寄与し、社会の繁栄に貢献する
経済産業省認定グローバルニッチトップ(GNT)100選 ２度受賞
HDD向け SAW, LED基板向け 有機EL向け
ルテニウムターゲット イリジウムるつぼ 2020年 イリジウム燐光材
2014年
工業用貴金属製品の製造からリサイクルまで一貫した
“資源循環ビジネスモデル” を確立
• 電子材料・半導体・化学等の様々な産業分野に高機能PGM製品
を供給する “5本柱ビジネス” の更なる成長、新たな柱の創出
１．サーマル事業(温度センサー)
*5本柱
”補助事業”
２．電子産業用貴金属機材事業
３．先端薄膜素材（ターゲット材）事業
４．化成品事業
５．貴金属資源再生事業
• 独自技術でイノベーションを創出し、つねに次世代の産業ニーズを
捉え、グローバルな課題を解決
⇒デジタル社会の進展、グリーン社会の転換への貢献</t>
  </si>
  <si>
    <t>外発的動機
• 「デジタル社会のさらなる進展」 への貢献
⇒テレワーク、生成AIの導入加速
Ex.
・有機EL用イリジウム錯体／世界シェア 100%
・ハードディスク用ルテニウムターゲット材／世界シェア 70%
・酸化物単結晶製造用イリジウムルツボ／世界シェア 70％
用途：医療用PET装置向けシンチレータ結晶、
携帯電話用SAWフィルター向けLT単結晶等
・半導体製造向け温度センサー／世界シェア 40%
“補助事業”
• 「グリーン社会への転換」 への貢献
⇒脱炭素社会、循環型社会へ転換加速
Ex.
・水素製造用水電解（PEM）装置のイリジウム触媒開発</t>
  </si>
  <si>
    <t>内発的動機
• 最先端技術ニーズ ”お困りごと” の解決により科学技術の発展に寄与
• PGM（プラチナ系貴金属）のスペシャリストとして独自技術を開発:
50年超の事業活動で、希少かつ加工が極めて困難で、注目度も低かっ
たイリジウム、ルテニウムの加工技術を世界で初めて確立
⇒イリジウム、ルテニウムの用途開発に大きく貢献
• PGMの資源循環バリューチェーン:
“調達 ⇒ 高純度精製・加工 ⇒ 最先端分野への供給 ⇒ リサイクル”
資源循環のための技術を確立
⇒希少金属の資源安全保障に貢献</t>
  </si>
  <si>
    <t>【p.1／売上成長目標】
売上成長目標
• 2030年までの会社全体の売上高成長率243％
• 2030年までの会社全体の売上高増加額690億円（連結）</t>
  </si>
  <si>
    <t>【p.1】
株式会社フルヤ金属
1.長期成長ビジョン
独自技術で “デジタル社会・グリーン社会の進展” を支える
長期成長ビジョン（目指す姿・ビジネスモデル） 外発的動機
• 「デジタル社会のさらなる進展」 への貢献
• Platinum Group Metal (プラチナ系貴金属, 略称：PGM)
⇒テレワーク、生成AIの導入加速
特にイリジウム、ルテニウムの世界一のメーカーとして科学技術の
Ex.
発展に寄与し、社会の繁栄に貢献する
・有機EL用イリジウム錯体／世界シェア 100%
経済産業省認定グローバルニッチトップ(GNT)100選 ２度受賞
・ハードディスク用ルテニウムターゲット材／世界シェア 70%
HDD向け SAW, LED基板向け 有機EL向け
2014年 ルテニウムターゲット イリジウムるつぼ 2020年 イリジウム燐光材 ・酸化物単結晶製造用イリジウムルツボ／世界シェア 70％
用途：医療用PET装置向けシンチレータ結晶、
携帯電話用SAWフィルター向けLT単結晶等
・半導体製造向け温度センサー／世界シェア 40%
工業用貴金属製品の製造からリサイクルまで一貫した
“補助事業”
“資源循環ビジネスモデル” を確立
• 電子材料・半導体・化学等の様々な産業分野に高機能PGM製品 • 「グリーン社会への転換」 への貢献
を供給する “5本柱ビジネス” の更なる成長、新たな柱の創出 ⇒脱炭素社会、循環型社会へ転換加速
１．サーマル事業(温度センサー) Ex.
*5本柱
・水素製造用水電解（PEM）装置のイリジウム触媒開発
”補助事業”
２．電子産業用貴金属機材事業
内発的動機
３．先端薄膜素材（ターゲット材）事業
４．化成品事業 • 最先端技術ニーズ ”お困りごと” の解決により科学技術の発展に寄与
５．貴金属資源再生事業 • PGM（プラチナ系貴金属）のスペシャリストとして独自技術を開発:
50年超の事業活動で、希少かつ加工が極めて困難で、注目度も低かっ
• 独自技術でイノベーションを創出し、つねに次世代の産業ニーズを
たイリジウム、ルテニウムの加工技術を世界で初めて確立
捉え、グローバルな課題を解決
⇒イリジウム、ルテニウムの用途開発に大きく貢献
⇒デジタル社会の進展、グリーン社会の転換への貢献
• PGMの資源循環バリューチェーン:
“調達 ⇒ 高純度精製・加工 ⇒ 最先端分野への供給 ⇒ リサイクル”
売上成長目標
資源循環のための技術を確立
• 2030年までの会社全体の売上高成長率243％
⇒希少金属の資源安全保障に貢献
• 2030年までの会社全体の売上高増加額690億円（連結）</t>
  </si>
  <si>
    <t>【p.2】
株式会社フルヤ金属
.補助事業の概要
2
半導体需要に対応する新千歳工場建設の投資概要
• 生成AI等を背景に旺盛な半導体需要に対し、半導体製造の前処理工程に用いられる拡散 4 億円
補助事業の 事業費 1
炉、CVD炉の精密な温度測定に用いられる温度センサー及び石英製品の増産に伴う千歳工 （1 億円）
背景・目的 （補助額） 2
場の移転及び新工場建設を目的とする
• 建物：延床面積 725m2→約6,000m2 （現工場の約８倍）
• 附属設備：給排水設備、水素・酸素ガス配給設備、
新工場予定地
各種クリーンブース、空調
• 機械設備：石英加工設備、熱処理炉、レーザー加工機、自動洗浄機
石英加工製品
設備投資の
内容
各種熱電対製品 現 千歳工場
現工場のある千歳市内に移転
従来の約３倍の敷地面積に省エネ法を準拠し、環境にも配慮した
新工場を建設予定（土地面積：5,551m2→15,061m2）
2026年度 2029年度
項目
（基準年度） （基準年度＋３年後）
労働生産性 1,866
1,158
（単位：万円/人） （年平均上昇率＋17％）
目標値 従業員1人あたり給与支給総額 746
663
（単位：万円/人） （年平均上昇率＋4.0％）
役員１人あたり給与支給総額 -
-
（単位：万円/人） （年平均上昇率＋4.0％）
補助事業に係る従業員数
431 456
（単位：人）</t>
  </si>
  <si>
    <t>株式会社松岡
1.長期成長ビジョン
「海と未来と世界をつなぐ日本全国の食の社会インフラ」として、業界の地位向上及び持続可能な社会構築に
貢献し、設備能力で業界トップ5入りを狙う</t>
  </si>
  <si>
    <t>長期成長ビジョン（目指す姿・ビジネスモデル）
海と未来と世界をつなぐ日本全国の食の社会インフラ
■ 大規模冷蔵倉庫を東京、大阪、名古屋、福岡を中心に主要都
市に整備し、新鮮かつ安全・安心な冷蔵・冷凍食品を日本全国
に安定供給する
■ 環境に優しい冷蔵倉庫を提供することで、業界の省エネ化をリード
化し、持続可能な社会構築に貢献する
■ より魅力のある職場を目指し、事業拡大により得られる収益は人
財へも分配し、福利厚生・賃金アップを積極的に実施することで、
業界全体の地位向上を図る</t>
  </si>
  <si>
    <t>外発的動機
• 日本の食料自給率は38％であり、国内の食の供給は輸入に頼っ
ているところが大きい
• EC市場の拡大や冷凍・チルド食品需要の増加、食の安全性がよ
り重視されるなど、消費者の物流（特にコールドチェーン）に対する
ニーズは高くなってきている
• 冷凍食品・輸入品の多品種小ロット化によって一つ一つの品物が
嵩むようになった結果、保管効率が下がっており、冷蔵倉庫不足が
業界の課題
• 冷蔵倉庫の老朽化が進んでおり（90年代以前に建設された冷蔵
倉庫が業界の半数を占める）、老朽化により建替え等が必要にな
るが、投資ハードルは高く、冷蔵倉庫の供給能力に不安視</t>
  </si>
  <si>
    <t>内発的動機
• 「食の安心・安全を守る」が創業時からの会社信念であり、消費者
ニーズの変化に対応しつつも、安心・安全な食を日本全国に安定
的に供給することが会社の使命
• 専門性が必要とされる冷蔵倉庫の運営に実績を有し、全国主要
都市に大規模物流拠点を有していることが松岡の強みであり、この
強みを活かして事業成長を加速させる</t>
  </si>
  <si>
    <t>売上成長目標
• 2029年度の売上高は、2023年度の600億円から348億
円増（+58％）の948億円（売上高年平均成長率
7.9％）を目指す</t>
  </si>
  <si>
    <t>【p.1／売上成長目標】
売上成長目標
• 2029年度の売上高は、2023年度の600億円から348億
円増（+58％）の948億円（売上高年平均成長率
7.9％）を目指す
【p.2／続利用する前提の場合、労働生産性成長率は年平均8.7％となる。】
（※）派遣社員内製化による従業員数増加により、計算上の労働生産性成長率は年平均6.0%に留まるが、派遣社員を継
続利用する前提の場合、労働生産性成長率は年平均8.7％となる。</t>
  </si>
  <si>
    <t>【p.1】
株式会社松岡
1.長期成長ビジョン
「海と未来と世界をつなぐ日本全国の食の社会インフラ」として、業界の地位向上及び持続可能な社会構築に
貢献し、設備能力で業界トップ5入りを狙う
長期成長ビジョン（目指す姿・ビジネスモデル） 外発的動機
海と未来と世界をつなぐ日本全国の食の社会インフラ • 日本の食料自給率は38％であり、国内の食の供給は輸入に頼っ
ているところが大きい
■ 大規模冷蔵倉庫を東京、大阪、名古屋、福岡を中心に主要都
• EC市場の拡大や冷凍・チルド食品需要の増加、食の安全性がよ
市に整備し、新鮮かつ安全・安心な冷蔵・冷凍食品を日本全国
り重視されるなど、消費者の物流（特にコールドチェーン）に対する
に安定供給する
ニーズは高くなってきている
■ 環境に優しい冷蔵倉庫を提供することで、業界の省エネ化をリード • 冷凍食品・輸入品の多品種小ロット化によって一つ一つの品物が
化し、持続可能な社会構築に貢献する 嵩むようになった結果、保管効率が下がっており、冷蔵倉庫不足が
業界の課題
■ より魅力のある職場を目指し、事業拡大により得られる収益は人 • 冷蔵倉庫の老朽化が進んでおり（90年代以前に建設された冷蔵
財へも分配し、福利厚生・賃金アップを積極的に実施することで、
倉庫が業界の半数を占める）、老朽化により建替え等が必要にな
業界全体の地位向上を図る
るが、投資ハードルは高く、冷蔵倉庫の供給能力に不安視
内発的動機
売上成長目標
• 「食の安心・安全を守る」が創業時からの会社信念であり、消費者
• 2029年度の売上高は、2023年度の600億円から348億
ニーズの変化に対応しつつも、安心・安全な食を日本全国に安定
円増（+58％）の948億円（売上高年平均成長率
的に供給することが会社の使命
7.9％）を目指す
• 専門性が必要とされる冷蔵倉庫の運営に実績を有し、全国主要
都市に大規模物流拠点を有していることが松岡の強みであり、この
強みを活かして事業成長を加速させる</t>
  </si>
  <si>
    <t>【p.2】
株式会社松岡
2.補助事業の概要
大規模冷蔵倉庫を大阪堺市に建設することで、現状の庫腹圧迫が軽減されるのみならず、マーケットシェア拡大
が見込まれ、売上・利益増により大幅な労働生産性向上が可能となる
補助事業の • 冷蔵物流増により在庫量は年々増加しており、需要に対応しきれない場合があることに課題感 事業費 131億円
背景・目的 • さらなる市場成長を見込み、設備能力拡張によりマーケットシェア拡大を狙う （補助額） （42億円）
• 大阪堺市に大規模冷蔵倉庫（冷蔵トン：53,122トン）を新規建設
し、冷蔵倉庫設備能力を15%拡張する
• 特に需要が多いエリアでの倉庫建設であり、既存倉庫の庫腹圧迫が
軽減されると共に、冷蔵倉庫分野における業界シェア拡大が可能
• 以下3点の観点から労働生産性の大幅な向上を見込む
設備投資の
 倉庫運営の効率化に徹底配慮した倉庫建設により、売上
内容
20%増に対して人員は11%の増員で足りる
 シナジー効果により食品事業でも事業拡大を見込み、2029
年度には会社全体で営業利益の倍増を見込む
 事業拡大による利益は賃上げの原始とし、拡張後は毎年現状
の2倍近くとなる賃上げ7%を実施する
2026年度 2029年度
項目
（基準年度） （基準年度＋３年後）
労働生産性 1,550万円（※）
1,304万円
（単位：万円/人） （年平均上昇率＋6.0％）
従業員1人あたり給与支給総額 587万円
479万円
（単位：万円/人） （年平均上昇率＋7.0％）
目標値 役員１人あたり給与支給総額
- -
（単位：万円/人）
補助事業に係る従業員数
505人 545人
（単位：人）
（※）派遣社員内製化による従業員数増加により、計算上の労働生産性成長率は年平均6.0%に留まるが、派遣社員を継
続利用する前提の場合、労働生産性成長率は年平均8.7％となる。</t>
  </si>
  <si>
    <t>旭陽電気株式会社
1.長期成長ビジョン
電気を繋ぐ技術とものづくりで社会の進歩を支えることを使命に、技術の発展・社会の進歩に必要不可欠な存
在となり、世界中の技術発展に貢献すると共に、地域の経済発展・社会構築にも貢献する</t>
  </si>
  <si>
    <t>長期成長ビジョン（目指す姿・ビジネスモデル）
電気を繋ぐ技術とものづくりで、 社会の進歩を支える
① 電子部品の接続技術とEMSによる一貫製造を軸に世界中の技
術発展に貢献する
半導体製造装置でデジタル技術の発展に貢献
② 高い製造クオリティで技術の発展・社会の進歩になくてはならない
存在となる
日本の半導体サプライチェーン強化に貢献
③ 事業拡大によって地域雇用を継続的に創出し、地域の経済発
展・社会構築に貢献
継続的な雇用創出・賃上げにより地域活性化</t>
  </si>
  <si>
    <t>外発的動機
• 5G/6G、AI、IoTなどの技術革新によって半導体の需要拡大
• 特に今後はAI関連需要の急拡大が成長を牽引
• 2020年に50兆円だった世界の半導体市場規模は2030年には
2倍の100兆円になる見込み
• 世界の半導体装置市場は世界の主要半導体メーカーの巨額の
投資計画の相次ぐ稼働に伴い力強い成長が期待される
• 主な取引先である東京エレクトロンも市場成長に応じた増産を計
画</t>
  </si>
  <si>
    <t>内発的動機
• Al、lot、5Gをはじめとする最先端の技術が社会の進歩をもたらして
おり、製造業としてこのような社会の進歩を支える存在であることが
当社の使命
• 東京エレクトロンのコアパートナーとして、半導体製造装置に係る
EMS及び部品製造により日本の半導体サプライチェーンを下支え
しており、社会的意義が高い事業を行っている
• 半導体市場の成長は当社の大きな事業拡大機会となっており、日
本国内で継続投資を行うことで、地域社会の活性化に貢献するこ
とが可能</t>
  </si>
  <si>
    <t>【p.1／売上成長目標】
売上成長目標
• 29年3月期に現状の倍以上となる売上高140億円を実現
• 売上高増加額は80億円に及び、年平均成長率18%での
高い売上成長を目指す
• 営業利益についても直近最高益9.4億円（22年3月期）の
倍以上となる約22億円を見込む</t>
  </si>
  <si>
    <t>【p.1】
旭陽電気株式会社
1.長期成長ビジョン
電気を繋ぐ技術とものづくりで社会の進歩を支えることを使命に、技術の発展・社会の進歩に必要不可欠な存
在となり、世界中の技術発展に貢献すると共に、地域の経済発展・社会構築にも貢献する
長期成長ビジョン（目指す姿・ビジネスモデル） 外発的動機
電気を繋ぐ技術とものづくりで、 社会の進歩を支える • 5G/6G、AI、IoTなどの技術革新によって半導体の需要拡大
• 特に今後はAI関連需要の急拡大が成長を牽引
① 電子部品の接続技術とEMSによる一貫製造を軸に世界中の技
術発展に貢献する • 2020年に50兆円だった世界の半導体市場規模は2030年には
2倍の100兆円になる見込み
半導体製造装置でデジタル技術の発展に貢献
• 世界の半導体装置市場は世界の主要半導体メーカーの巨額の
投資計画の相次ぐ稼働に伴い力強い成長が期待される
② 高い製造クオリティで技術の発展・社会の進歩になくてはならない
• 主な取引先である東京エレクトロンも市場成長に応じた増産を計
存在となる
画
日本の半導体サプライチェーン強化に貢献
③ 事業拡大によって地域雇用を継続的に創出し、地域の経済発
内発的動機
展・社会構築に貢献
• Al、lot、5Gをはじめとする最先端の技術が社会の進歩をもたらして
継続的な雇用創出・賃上げにより地域活性化
おり、製造業としてこのような社会の進歩を支える存在であることが
当社の使命
売上成長目標
• 東京エレクトロンのコアパートナーとして、半導体製造装置に係る
• 29年3月期に現状の倍以上となる売上高140億円を実現 EMS及び部品製造により日本の半導体サプライチェーンを下支え
• 売上高増加額は80億円に及び、年平均成長率18%での しており、社会的意義が高い事業を行っている
高い売上成長を目指す • 半導体市場の成長は当社の大きな事業拡大機会となっており、日
• 営業利益についても直近最高益9.4億円（22年3月期）の
本国内で継続投資を行うことで、地域社会の活性化に貢献するこ
倍以上となる約22億円を見込む
とが可能</t>
  </si>
  <si>
    <t>【p.2】
旭陽電気株式会社
2.補助事業の概要
半導体製造装置メーカーの近接地に新工場を建設し生産能力を倍増することで売上拡大を図ると共に、生産
管理システムや自動倉庫等の導入により労働生産性の向上も同時に目指す
• 技術革新により半導体・半導体製造装置の需要拡大が見込まれ、主要取引先である東京
補助事業の 事業費 31億円
エレクトロンでも増産が予定されているが、現状の体制ではキャパシティ不足となる
背景・目的 （補助額） （3.2億円）
• 将来的な増産に確実に対応できるための体制を整備する必要がある
宮城における新工場設立と既存工場のクリーンルーム専用工場化
【具体的な投資内容】
① 既存宮城工場の近接地に新工場を建設
② 新工場に物流を集約した上で自動倉庫化する
③ 既存宮城工場はクリーンルーム専用工場にするための改装を実施
設備投資の
内容
【補助事業により見込まれる効果】
• 生産量倍増による売上の拡大（28年度までに132％増を見込む）
テクノヒルズ工業団地内
• 生産最適化による労働生産性の向上（1人当たり生産量増） 土地面積 1311.64坪
(4328.412㎡)
• 物流集約及び自動倉庫化による効率化及びコスト削減（現状から約
5％の原価低減を見込む）
2025年度（基準年度） 2028年度（基準年度＋３年後）
項目
宮城 山梨 宮城 山梨
労働生産性 1,296万円/人
653
（単位：万円/人） （年平均上昇率＋26％）
目標値 従業員1人あたり給与支給総額 457万円/人 457万円/人
384 384
（単位：万円/人） （年平均上昇率＋6％） （年平均上昇率＋6％）
役員１人あたり給与支給総額
n/a n/a n/a n/a
（単位：万円/人）
補助事業に係る従業員数
130人 173人 160人 191人
（単位：人）</t>
  </si>
  <si>
    <t>1. 長期成長ビジョン 土佐鶴酒造株式会社
「誇れる品質の酒を造れ」を社是に、250 年間磨き続けてきた酒造技術を生かし 100 年後の未来を創る</t>
  </si>
  <si>
    <t>長期成長ビジョン（目指す姿・ビジネスモデル）
【100 年ビジョン】
過疎化が進む地域の中核企業として、全国的にもその豊かさが知ら
れている自然環境を守りながら地域経済の成長に貢献する。
【10 年ビジョン】
高知県東部の観光拠点となり地域を活性化させる。
新工場に見学施設を設置し物販も行う。工場移転後跡地を安田町と
協働で利活用、いわゆる酒蔵ツーリズムを構築し、高知県の観光資
源として整備し県内外の観光客およびインバウンドの誘致につなげ
る。
【5 年ビジョン】
・国際競争力を強化することで成長拡大を持続していく。
輸出拡大が柱のひとつと考えており、独自の日本酒醸造技術を基軸
に、ゆずなどの地域特産品を活用する様々な商品群を投入する。
・消費者のニーズに対応すべく新商品 GVS の開発。販売拡大により当
社の売上成長拡大につなげる
GVS（ゴールド・バリュー・サケ）＝全国最多金賞受賞の技術を今回
初めて低価格帯商品に投入して醸すサケ（オリジナル呼称）</t>
  </si>
  <si>
    <t>外発的動機
・国際的なな人口減少、特に当社が本店を置く安田町では少
子高齢化が著しく、過疎化が進んでいる。
・清酒業界において消費者のニーズは、量的消費から個々に
味わいを楽しむような質的消費へと変貌しており、地酒ブ
ランドの吟醸酒（香りのある酒）が増加している。また酒
類全般では低アルコール、果実様香味、爽快感がトレン
ド。
・ボトリング工場跡地利用について、安田町から以前より相
談あり、高知県にも支援を働きかけている。</t>
  </si>
  <si>
    <t>内発的動機
・当社は創業 250 年であり、国と酒造組合中央会が主催す
る全国新酒鑑評会・金賞全国最多 49 回受賞しており、四
国でもトップクラスのシェアを持っている。しかし、販
売の主体は、長く燗酒に適した普通酒であり、吟醸造り
の良さを販売に活かしきれていない。醸造・精米・配送
については自社で完結できる設備が整っているが、ボト
リングラインが古く、ボトリング工場だけが他の工場と
1.6Km 程離れた場所にあり効率的な製造ができない。
・また輸出においても、海外では日本酒の需要は増加して
いるが、それぞれの輸出国でラベル表記や容量規制、嗜
好の違いがあり、その対応には小ロットで多種類の商品
を効率よく製造する必要がある。
本補助金を活用させていただき、ボトリング工場を建設
し、地域貢献とともに飛躍的に成長拡大したい。</t>
  </si>
  <si>
    <t>【p.1／売上成長目標】
売上成長目標
• 2029年までに会社全体の売上高成長率189％（2024年9月期
比）
• 2029年までに会社全体の売上高増加額10億円（2024年9月
期比）</t>
  </si>
  <si>
    <t>【p.1】
土佐鶴酒造株式会社
1. 長期成長ビジョン
「誇れる品質の酒を造れ」を社是に、250 年間磨き続けてきた酒造技術を生かし 100 年後の未来を創る
外発的動機
長期成長ビジョン（目指す姿・ビジネスモデル）
・国際的なな人口減少、特に当社が本店を置く安田町では少
【100 年ビジョン】 子高齢化が著しく、過疎化が進んでいる。
過疎化が進む地域の中核企業として、全国的にもその豊かさが知ら ・清酒業界において消費者のニーズは、量的消費から個々に
れている自然環境を守りながら地域経済の成長に貢献する。 味わいを楽しむような質的消費へと変貌しており、地酒ブ
【10 年ビジョン】 ランドの吟醸酒（香りのある酒）が増加している。また酒
高知県東部の観光拠点となり地域を活性化させる。 類全般では低アルコール、果実様香味、爽快感がトレン
新工場に見学施設を設置し物販も行う。工場移転後跡地を安田町と ド。
協働で利活用、いわゆる酒蔵ツーリズムを構築し、高知県の観光資 ・ボトリング工場跡地利用について、安田町から以前より相
源として整備し県内外の観光客およびインバウンドの誘致につなげ 談あり、高知県にも支援を働きかけている。
る。
内発的動機
【5 年ビジョン】
・当社は創業 250 年であり、国と酒造組合中央会が主催す
・国際競争力を強化することで成長拡大を持続していく。
る全国新酒鑑評会・金賞全国最多 49 回受賞しており、四
輸出拡大が柱のひとつと考えており、独自の日本酒醸造技術を基軸
国でもトップクラスのシェアを持っている。しかし、販
に、ゆずなどの地域特産品を活用する様々な商品群を投入する。
売の主体は、長く燗酒に適した普通酒であり、吟醸造り
・消費者のニーズに対応すべく新商品 GVS の開発。販売拡大により当
の良さを販売に活かしきれていない。醸造・精米・配送
社の売上成長拡大につなげる
については自社で完結できる設備が整っているが、ボト
GVS（ゴールド・バリュー・サケ）＝全国最多金賞受賞の技術を今回
リングラインが古く、ボトリング工場だけが他の工場と
初めて低価格帯商品に投入して醸すサケ（オリジナル呼称）
1.6Km 程離れた場所にあり効率的な製造ができない。
・また輸出においても、海外では日本酒の需要は増加して
売上成長目標 いるが、それぞれの輸出国でラベル表記や容量規制、嗜
• 2029年までに会社全体の売上高成長率189％（2024年9月期 好の違いがあり、その対応には小ロットで多種類の商品
比） を効率よく製造する必要がある。
• 2029年までに会社全体の売上高増加額10億円（2024年9月 本補助金を活用させていただき、ボトリング工場を建設
期比） し、地域貢献とともに飛躍的に成長拡大したい。</t>
  </si>
  <si>
    <t>【p.2】
土佐鶴酒造株式会社
2.補助事業の概要
補助事業の概要：北大野・新ボトリング工場＋小ロット多品種ボトリング設備＋サーボパレタイザー等の省力化設備
目標（2029 年度）：労働生産性・年平均 24％アップ、一人あたり給与総支給額 5％ＵＰ
補助事業の
・清酒冷酒市場での大幅なシェアアップを図るため、小ロット多品種の多彩な商品 事業費 12 . 7億円
背景・目的 を、効率よく迅速に製品化できる高性能のボトリング設備を導入する。併せて衛生 （3.7億円）
（補助 額 ）
度が高くコンパクトな新工場建物を建設して異物混入リスクを限界まで排除すると
ともに、パレタイザーなどの省人化設備を有効に使って省力化を推進する。１日あ
たりの製造種類数を倍増させ、プライベートブランドや季節商品、輸出等の幅広い
ニーズにタイムロスなく応えるとともに、実績のある「特定名称酒」だけでなく
GVS（ゴールド・バリュー・サケ）「吟醸香が高く、かつ価格を普通酒なみに抑えた
冷酒」を開発して量販市場に投入し、急拡大を続けるであろう GVS 市場でのシェア
アップを図る。その後も生産性と品質の両立を損なうことなく向上させ、売上と収
益と生産性を高める。
・工場建物（北大野ボトリング工場）
・工場付帯設備（電気設備） 給排水設備工事、廃水設備工事・電気設備工事・見学スペース工事など
設備投資の
・省力化設備 ライン上製品冷却設備・高性能タックラベラー・サーボパレタイザー・自動製函機
内容
・生産設備 充填機（シリコンチューブ式）・打栓巻締機・転倒検液機・各種ラベラー
2026 年度 2029 年度
項目
（基準年度） （基準年度＋３年後）
労働生産性 1,005
516
（単位：万円/人） （年平均上昇率＋24.9％）
目標値 従業員 1 人あたり給与支給総額 385
332
（単位：万円/人） （年平均上昇率＋5.0％）
役員１人あたり給与支給総額 709
623
（単位：万円/人） （年平均上昇率＋4.4％）
補助事業に係る従業員数
71 91
（単位：人）</t>
  </si>
  <si>
    <t>岸和田製鋼株式会社
1.長期成長ビジョン
経営ビジョン『成長戦略3.0』を掲げ、3つの柱「①生産体制強化」「②需要の最大化」「③働き方改革」に取組み中。
建設業界の需要に対応する為、大規模な設備投資を実施、生産体制を強化し、泉州地区№1企業としての地位を
確立、地域の雇用も創出・促進し、地域経済の活性化に貢献する。</t>
  </si>
  <si>
    <t>長期成長ビジョン（目指す姿・ビジネスモデル）
「鉄資源循環企業として社会と共生し、進化するリサイクル技術を常に取り入
れながら、環境保全・地域社会の貢献に取り組む。」
• 当社は鉄スクラップを主原料とし、建築・土木向けに使用される鉄鋼製品
を生産し、地域のインフラ整備やビル等建築を支えてきた。
• カーボンニュートラルという潮流変化を受けグリーン鋼材の活用に向けた
動きが活発化しており、電炉材への期待は高まっている。
• 設備の入れ替えを実施、修繕費や作業停止時間の削減を図り、生産能力
を向上させる。
• 鉄スクラップの可能性を追求し、高品質な製品を安定して供給することで、
地域経済の活性化に貢献する。</t>
  </si>
  <si>
    <t>外発的動機
• 鉄鋼業は鉄鉱石等を原料とする高炉法(国内3社のみ)と鉄スクラップ
を原料とする電炉法が存在し、当社は電炉法に該当する。CO2排出
量は高炉の4分の1にあたり、脱炭素の取組みとして電炉比率が高
まっていく見通し。
• 鉄鋼業界の需要先においても、各業界で2050年のカーボンニュート
ラル（以下CN）を目指す方向が示されている。また建設業界におい
ても、CNに向けた中長期の目標が示され、ゼネコンだけではなく施
主側においても電炉材の使用を掲げる動きがみられる。
• 鉄スクラップ循環サイクルの全体最適化を目指し、株式会社竹中工
務店が提唱する業界の垣根を超えた「サーキュラデザインビルド」®
にも参画し、取り組んでいる（注）。</t>
  </si>
  <si>
    <t>内発的動機
• 当社は1956年創立以来60年以上に渡り、鉄筋コンクリート用棒鋼の
製造事業を核に社会のインフラ整備に貢献してきた。
• 2001年鋼材を高効率で再生させる電気炉「ECOARC」を世界で初め
て導入し、高品質で安定した製品供給を行うとともに、省電力(従来よ
り20％削減)・環境保全(エコリーフ環境ラベル認定、太陽光発電設
置)の維持にも積極的に努めている。
• また、グループ会社である株式会社岸鋼加工で柱や梁の骨格として
建築物を支える高強度の「せん断補強筋（フープ筋）」を製造する等
付加価値の高い新事業にも取り組んでいる。</t>
  </si>
  <si>
    <t>【p.1／売上成長目標】
売上成長目標
売上高 21/3期266億円→30/3期581億円
出荷数量 21/3期443千㌧→30/3期596千㌧
2029年度までの売上高増加+315億円
•
2029年度までの出荷数量増加+153千㌧
•
経営理念
1. 鉄スクラップの可能性を追求する
2. 高品質の製品を安定して供給する
3. 安全は全ての作業に優先する
4. 全従業員で地球環境問題に取り組む
【p.1／(注)参考：サーキュラデザインビルド®】
(注)参考：サーキュラデザインビルド®
• 製鋼原料加工会社、電炉鉄鋼メーカー、ゼネコン5社が連携、建築に
おいて電炉材を活用した鉄スクラップ循環サイクルの全体最適に向
け、2023年12月から始動している。</t>
  </si>
  <si>
    <t>【p.1】
岸和田製鋼株式会社
1.長期成長ビジョン
経営ビジョン『成長戦略3.0』を掲げ、3つの柱「①生産体制強化」「②需要の最大化」「③働き方改革」に取組み中。
建設業界の需要に対応する為、大規模な設備投資を実施、生産体制を強化し、泉州地区№1企業としての地位を
確立、地域の雇用も創出・促進し、地域経済の活性化に貢献する。
外発的動機
長期成長ビジョン（目指す姿・ビジネスモデル）
• 鉄鋼業は鉄鉱石等を原料とする高炉法(国内3社のみ)と鉄スクラップ
「鉄資源循環企業として社会と共生し、進化するリサイクル技術を常に取り入
を原料とする電炉法が存在し、当社は電炉法に該当する。CO2排出
れながら、環境保全・地域社会の貢献に取り組む。」
量は高炉の4分の1にあたり、脱炭素の取組みとして電炉比率が高
• 当社は鉄スクラップを主原料とし、建築・土木向けに使用される鉄鋼製品 まっていく見通し。
を生産し、地域のインフラ整備やビル等建築を支えてきた。 • 鉄鋼業界の需要先においても、各業界で2050年のカーボンニュート
• カーボンニュートラルという潮流変化を受けグリーン鋼材の活用に向けた ラル（以下CN）を目指す方向が示されている。また建設業界におい
動きが活発化しており、電炉材への期待は高まっている。
ても、CNに向けた中長期の目標が示され、ゼネコンだけではなく施
• 設備の入れ替えを実施、修繕費や作業停止時間の削減を図り、生産能力
主側においても電炉材の使用を掲げる動きがみられる。
を向上させる。
• 鉄スクラップ循環サイクルの全体最適化を目指し、株式会社竹中工
• 鉄スクラップの可能性を追求し、高品質な製品を安定して供給することで、
務店が提唱する業界の垣根を超えた「サーキュラデザインビルド」®
地域経済の活性化に貢献する。
にも参画し、取り組んでいる（注）。
売上成長目標 内発的動機
売上高 21/3期266億円→30/3期581億円 • 当社は1956年創立以来60年以上に渡り、鉄筋コンクリート用棒鋼の
出荷数量 21/3期443千㌧→30/3期596千㌧ 製造事業を核に社会のインフラ整備に貢献してきた。
• 2029年度までの売上高増加+315億円 • 2001年鋼材を高効率で再生させる電気炉「ECOARC」を世界で初め
• 2029年度までの出荷数量増加+153千㌧ て導入し、高品質で安定した製品供給を行うとともに、省電力(従来よ
り20％削減)・環境保全(エコリーフ環境ラベル認定、太陽光発電設
置)の維持にも積極的に努めている。
経営理念
• また、グループ会社である株式会社岸鋼加工で柱や梁の骨格として
1. 鉄スクラップの可能性を追求する
建築物を支える高強度の「せん断補強筋（フープ筋）」を製造する等
2. 高品質の製品を安定して供給する
付加価値の高い新事業にも取り組んでいる。
3. 安全は全ての作業に優先する
4. 全従業員で地球環境問題に取り組む
(注)参考：サーキュラデザインビルド®
• 製鋼原料加工会社、電炉鉄鋼メーカー、ゼネコン5社が連携、建築に
おいて電炉材を活用した鉄スクラップ循環サイクルの全体最適に向
け、2023年12月から始動している。</t>
  </si>
  <si>
    <t>【p.2】
岸和田製鋼株式会社
2.補助事業の概要
製鋼工程のｽｸﾗｯﾌﾟ溶解時間短縮による効率化と環境対応(ｶｰﾎﾞﾝ削減)を行うとともに、圧延工程の圧延機ﾛｰﾙ交
換時間の短縮及び制御装置更新による圧延工程全体の合理化と安定操業により、波及効果が大きい鉄筋棒鋼太
物を中心に増産、拡販を実現する。
1997年10月圧延工場運用開始、2001年12月エコアーク炉（新型電気炉）運用開始以後
様々な改善により生産性向上を図ってきたが設備老朽化も否めない状況にある。また、建設 45億円
補助事業の 事業費
背景・目的
業界の最終ニーズに対応する為、丸棒フルサイズ約55万㌧の生産体制強化は不可欠。 （補助額）（2.3億円）
今後、更なる生産性向上、省力化、CＮ等の課題に対して、以下の投資を行う。
⑴電気炉への高効率酸素バーナ導入（約5億円）
【内 容】電気炉炉内に一般的なバーナーに比べ「長火炎」「火炎温度の維持」が可能な高効率酸素バーナを設置する。
【優位性】炉内の溶鋼上に存在する未溶解スクラップに対し超音速で噴出される火炎でスクラップ溶解に必要なエネルギーを
直接投入し溶解時間の短縮（生産性向上）、現在使用中のカーボン削減（ＣＮ）を図る。
⑵粗列圧延機の２Hiスタンド化更新（約45億円）
【内 容】全19基ある圧延機の内、№1～7の7機（97年製）をカンチレバータイプから2Hiタイプの圧延機へ更新する。
設備投資の 【優位性】カンチレバータイプ圧延機は、一定量を圧延後ロール交換を人的に行う必要があるが、2Hiタイプではロールの孔型を
内容 短時間で機械的に移動させるのみとなり、ロール交換時間の短縮（＝生産性向上）、省力化を図る。
⑶圧延制御装置更新（約4億円）
【内 容】製品製造を行う上で各々の機器を制御する制御装置（’88～’96年製）を現行最新機種（2020年製）に更新する。
【優位性】最新の制御装置への更新により、各機器コントローラの処置速度が向上。更に高速大容量の実績データ収集・解析が
可能となり、PDCAサイクルの迅速化により生産性向上を図る。また通信機能付帯により、トラブル発生時の各種デー
タをメーカが遠隔地から確認、遠隔操作が可能となり「原因特定⇒復旧の早期化」も可能となり保守性の向上、復旧時
間短縮による生産性向上を図る。
2026年度 27/3期 2029年度 30/3期
項目
（基準年度） （基準年度＋３年後）
労働生産性 1,904万円/人 2,795万円/人
（単位：万円/人） （年平均上昇率＋13.7％）
目標値 従業員1人あたり給与支給総額 649万円/人 730万円/人
（単位：万円/人） （年平均上昇率＋4.0％）
役員１人あたり給与支給総額 - -
（単位：万円/人） （年平均上昇率＋4.0％）
補助事業に係る従業員数 225人 240人
（単位：人）</t>
  </si>
  <si>
    <t>株式会社タケエイ
1.⾧期成⾧ビジョン
申請者㈱タケエイは、東証プライム市場上場（9247）のTREホールディングス㈱の中核会社です。
当社グループは、補助事業を含む大規模投資により、脱炭素型サーキュラーエコノミーへの貢献を図ります。</t>
  </si>
  <si>
    <t>⾧期成⾧ビジョン（目指す姿・ビジネスモデル）
• 当社グループは、「地球の環境保全に貢献する。」を企業理念とし、地
球規模での深刻な環境破壊や気候変動の影響に対して、高度循環
型社会ならびに脱炭素社会への貢献を図っています。
• ⾧期的（５～10年後）に目指す姿として、これまで再資源化の難し
かった廃棄物、使用済み製品等についても、技術的、採算的課題克
服に挑戦し、「静脈産業」と「動脈産業」の垣根を超えた総合環境企
業として我が国におけるサーキュラーエコノミーのリーディング・カンパニー
を目指します。
• より具体的には、地域の実情に応じた新たな環境複合事業を立ち上
げることで、新たな雇用を生み出すと共に、近隣自治体、地元企業と
も連携を図り、地域活性化にも寄与してまいります。</t>
  </si>
  <si>
    <t>外発的動機
• 1970年:高度成⾧に伴う大量生産、大量消費、大量廃棄の進
展、公害深刻化に伴う『廃棄物処理法制定』
• 不法投棄等の社会問題化に伴う度重なる法規制強化
• 2000年:資源循環型社会推進に向けた法整備（環境六法）
• 21世紀環境の世紀となり、顧客のリサイクルニーズの高次化へ
• 2012年:東日本大震災後、脱原発依存によるFIT制度の創設
• 温暖化の進展による異常気象、資源枯渇等、環境問題深刻化
• サーキュラーエコノミーを推進する廃棄物処理・再資有効利用、温
暖化対策などの環境ビジネス市場の急拡大</t>
  </si>
  <si>
    <t>内発的動機
• 1967年:産業廃棄物処理専業の草分けとして個人事業を創業
• 首都圏における建設廃棄物処理ニーズを捉え業容拡大
• 1977年:創業者（藤本 武）が現㈱タケエイを法人化
• 相次ぐ規制強化に対応した中間処理施設、最終処分場を整備
• 2003～2006年:顧客ニーズに応えた廃石膏ボードや混合廃棄
物の再資源化施設を首都圏に整備（設備投資の大型化）
• 2007年:成⾧資金調達の多様化に向け東証マザーズ市場上場
• 2021年:地球環境への“想い”を共にするリバーグループと経営統
合し、TREホールディングス㈱設立（2024年、第2次中計発表）</t>
  </si>
  <si>
    <t>【p.1／売上成長目標】
売上成⾧目標 ※2024年3月期決算比
•
2029年3月期までに㈱タケエイ単体の売上高成⾧率49％
•
2029年3月期までに㈱タケエイ単体の売上高増加額46億円
• 2029年3月期までにTREグループ連結の売上高成⾧率29％
• 2029年3月期までにTREグループ連結の売上高増加額271億円
【p.2／高度選別・再商品化施設 プラント主要設備】
高度選別・再商品化施設 プラント主要設備
破袋機
バリスティックセパレータ 磁選機
光学選別機 PS溶融成形機 圧縮梱包機
湿式 太陽光
ペレット押出機
洗浄粉砕機 比重選別機 発電設備
【p.2／2026年度】
2026年度
項目
（基準年度）</t>
  </si>
  <si>
    <t>【p.1】
株式会社タケエイ
1.⾧期成⾧ビジョン
申請者㈱タケエイは、東証プライム市場上場（9247）のTREホールディングス㈱の中核会社です。
当社グループは、補助事業を含む大規模投資により、脱炭素型サーキュラーエコノミーへの貢献を図ります。
⾧期成⾧ビジョン（目指す姿・ビジネスモデル） 外発的動機
• 1970年:高度成⾧に伴う大量生産、大量消費、大量廃棄の進
• 当社グループは、「地球の環境保全に貢献する。」を企業理念とし、地
展、公害深刻化に伴う『廃棄物処理法制定』
球規模での深刻な環境破壊や気候変動の影響に対して、高度循環
• 不法投棄等の社会問題化に伴う度重なる法規制強化
型社会ならびに脱炭素社会への貢献を図っています。
• 2000年:資源循環型社会推進に向けた法整備（環境六法）
• 21世紀環境の世紀となり、顧客のリサイクルニーズの高次化へ
• ⾧期的（５～10年後）に目指す姿として、これまで再資源化の難し
• 2012年:東日本大震災後、脱原発依存によるFIT制度の創設
かった廃棄物、使用済み製品等についても、技術的、採算的課題克
• 温暖化の進展による異常気象、資源枯渇等、環境問題深刻化
服に挑戦し、「静脈産業」と「動脈産業」の垣根を超えた総合環境企
• サーキュラーエコノミーを推進する廃棄物処理・再資有効利用、温
業として我が国におけるサーキュラーエコノミーのリーディング・カンパニー
暖化対策などの環境ビジネス市場の急拡大
を目指します。
• より具体的には、地域の実情に応じた新たな環境複合事業を立ち上
内発的動機
げることで、新たな雇用を生み出すと共に、近隣自治体、地元企業と
• 1967年:産業廃棄物処理専業の草分けとして個人事業を創業
も連携を図り、地域活性化にも寄与してまいります。
• 首都圏における建設廃棄物処理ニーズを捉え業容拡大
売上成⾧目標 ※2024年3月期決算比 • 1977年:創業者（藤本 武）が現㈱タケエイを法人化
• 相次ぐ規制強化に対応した中間処理施設、最終処分場を整備
• 2029年3月期までに㈱タケエイ単体の売上高成⾧率49％
• 2003～2006年:顧客ニーズに応えた廃石膏ボードや混合廃棄
• 2029年3月期までに㈱タケエイ単体の売上高増加額46億円 物の再資源化施設を首都圏に整備（設備投資の大型化）
• 2029年3月期までにTREグループ連結の売上高成⾧率29％ • 2007年:成⾧資金調達の多様化に向け東証マザーズ市場上場
• 2021年:地球環境への“想い”を共にするリバーグループと経営統
• 2029年3月期までにTREグループ連結の売上高増加額271億円
合し、TREホールディングス㈱設立（2024年、第2次中計発表）
申請会社㈱タケエイとリバー㈱（旧リバーホールディングス㈱）は、2021年10月1日に純粋共同持株会社として、
親会社TREホールディングス㈱を設立しました。(TREホールディングス㈱ 従業員数:64名(2024年度3月末現在 ))</t>
  </si>
  <si>
    <t>【p.2】
株式会社タケエイ
2.補助事業の概要
廃プラスチックの高度選別・再商品化施設の新設により「廃棄物を受入れて処分する産業」から
「廃棄物から資源を生み出す産業」へ転換し、サーキュラーエコノミーのリーディング・カンパニーを目指します。
補助事業の • 2022年4月1日施行の「プラスチック資源循環促進法」を背景に、当社の新規事業として 事業費 95億円
背景・目的 各市区町村で焼却処分している廃プラスチックを受入れ、高度選別・再商品化を行う （補助額） （19億円）
• 本投資は、当社の新規事業として市区町村で分別回収された廃プラス 高度選別・再商品化施設 プラント主要設備
チック（容器包装プラスチック、製品プラスチック等）を受入れ、高度選
別しこれを原料としたプラスチック製品（ミックスペレット、PSインゴット、
油化原料等）の再商品化施設を千葉県市原市に新設するもの
• プラント設備工事56億円、土木建築工事39億円の投資を計画
本プラント設備導入により、選別作業を手作業から自動化することに加え、 破袋機
バリスティックセパレータ 磁選機
事務管理のシステム化（ペーパーレス･バーコード管理等）にて、
より少ない人員投資でより多くの廃棄物を安定的かつ継続的に受入れる
設備投資の
• 一括回収ルートは、他のルートに比べて契約期間が⾧く（1年または3年）
内容
処理単価や廃棄物の集荷が安定する等のメリットがあり、廃棄物から資源
を生み出すビジネスモデルへの転換を図るうえで、本事業の取り組みは欠
光学選別機 PS溶融成形機 圧縮梱包機
かせない
• リサイクル原料は、化学・石油メーカ等の動脈産業でのグリーンケミカル
製品製造に必要不可欠である。当施設屋根上に太陽光発電設備を設置
し、発電した電力を選別・再商品化工程で使用すること等により、製造にお
いてカーボンニュートラルな施設運営を可能とし、付加価値を向上させるこ 湿式 太陽光
ペレット押出機
とで新しいサプライチェーンへの販路拡大も目論む 洗浄粉砕機 比重選別機 発電設備
2026年度 2029年度
項目
（基準年度） （基準年度＋３年後）
労働生産性 2,382
324
（単位:万円/人） （年平均上昇率＋94.5％）
目標値 従業員1人あたり給与支給総額 709
589
（単位:万円/人） （年平均上昇率＋6.37％）
役員１人あたり給与支給総額
- -
（単位:万円/人）
補助事業に係る従業員数
17 130
（単位:人）</t>
  </si>
  <si>
    <t>株式会社シロ
1.長期成長ビジョン
化粧品で培ってきたブランド力を存分に発揮し、瞬間風速的な観光客増ではなく、
定着型/循環型の地域創生モデルを完成させる。</t>
  </si>
  <si>
    <t>長期成長ビジョン（目指す姿・ビジネスモデル）
• 北海道砂川市を、「世界中の人々が訪れるまちへ」第2章︕
• 人口1.6万人の街に、SHIROが「みんなの工場」を2023年4月に
開設し、年間30万人が訪れる観光資源となった。
• その砂川市で「地域交流・観光・移住」のハブとなり得るホテルに再
生し、前出の施設と合わせ観光客を「面」で受け止める。
• 地域交流→市内唯一の宴会場の改装と価値再定義、60席程
度の大型レストラン、市内唯一の大型サウナ付き温浴施設の新規
設置、生産者と消費者をつなぐ地域マルシェの展開。
• 観光→客室リノベーション、温浴施設によるホテル力強化、ホテル
内にSHIROアウトレット店舗の実装による相互送客（みんなの工
場 ホテル）、高齢者向け賃貸施設との連携による家族集客。
• 移住→サービス付き高齢者向け住宅の新設</t>
  </si>
  <si>
    <t>外発的動機
• 砂川市は札幌市と旭川市のほぼ真ん中に位置しており、過去も今
も「通過する街」と呼ばれてきた。その理由は泊まりたい宿泊施設と
飲食店舗が少ないからだ。今回の補助事業の対象である砂川パー
クホテルは老朽化に伴い観光客からは敬遠されており、実態はほぼ
ビジネスユースである。また北海道のホテルとしては致命的に「温浴
施設」がないことが観光客の足を遠のけている。
• 日本にある多くの「サ高住」はマンションの焼き直しが多い。高齢者の
中には地に足をつけてゆったりとした施設を望む可能性も高い。かつ
ブランド力ある企業が行なうことで地域の垣根を越えられるのでは。</t>
  </si>
  <si>
    <t>内発的動機
• SHIROは令和5年4月に同市内に「みんなの工場」を新設。そこで
は化粧品製造工場、化粧品販売店、カフェ、子供の遊具施設、
書籍漫画展示などの総合施設であり、昨年は1年間で30万人の
SHIROファンが来場した。かつその内の25.1%は道外からの来場
であり、その全国からの集客力があれば今回の補助事業の成功可
能性は高いと考える。今はホテル機能が弱いため、砂川市へは「日
帰り」の観光が主体となっているが、今回の改装をきっかけに、顧客
に対して宿泊をセットにした滞在プランを提案することでSHIRO全
体のプレゼンスが上昇すると考える。</t>
  </si>
  <si>
    <t>【p.1／売上成長目標】
売上成長目標
• 2030年までに会社全体の売上高年平均成長率11％
（2024年と比較して）
• 2030年までに会社全体の売上高増加額159億円
（2024年と比較して）</t>
  </si>
  <si>
    <t>【p.1】
株式会社シロ
1.長期成長ビジョン
化粧品で培ってきたブランド力を存分に発揮し、瞬間風速的な観光客増ではなく、
定着型/循環型の地域創生モデルを完成させる。
長期成長ビジョン（目指す姿・ビジネスモデル）
外発的動機
• 北海道砂川市を、「世界中の人々が訪れるまちへ」第2章︕ • 砂川市は札幌市と旭川市のほぼ真ん中に位置しており、過去も今
• 人口1.6万人の街に、SHIROが「みんなの工場」を2023年4月に も「通過する街」と呼ばれてきた。その理由は泊まりたい宿泊施設と
開設し、年間30万人が訪れる観光資源となった。 飲食店舗が少ないからだ。今回の補助事業の対象である砂川パー
• その砂川市で「地域交流・観光・移住」のハブとなり得るホテルに再 クホテルは老朽化に伴い観光客からは敬遠されており、実態はほぼ
生し、前出の施設と合わせ観光客を「面」で受け止める。 ビジネスユースである。また北海道のホテルとしては致命的に「温浴
• 地域交流→市内唯一の宴会場の改装と価値再定義、60席程 施設」がないことが観光客の足を遠のけている。
度の大型レストラン、市内唯一の大型サウナ付き温浴施設の新規 • 日本にある多くの「サ高住」はマンションの焼き直しが多い。高齢者の
設置、生産者と消費者をつなぐ地域マルシェの展開。 中には地に足をつけてゆったりとした施設を望む可能性も高い。かつ
• 観光→客室リノベーション、温浴施設によるホテル力強化、ホテル ブランド力ある企業が行なうことで地域の垣根を越えられるのでは。
内にSHIROアウトレット店舗の実装による相互送客（みんなの工
場 ホテル）、高齢者向け賃貸施設との連携による家族集客。
• 移住→サービス付き高齢者向け住宅の新設 内発的動機
• SHIROは令和5年4月に同市内に「みんなの工場」を新設。そこで
は化粧品製造工場、化粧品販売店、カフェ、子供の遊具施設、
売上成長目標
書籍漫画展示などの総合施設であり、昨年は1年間で30万人の
• 2030年までに会社全体の売上高年平均成長率11％
SHIROファンが来場した。かつその内の25.1%は道外からの来場
（2024年と比較して）
であり、その全国からの集客力があれば今回の補助事業の成功可
• 2030年までに会社全体の売上高増加額159億円
能性は高いと考える。今はホテル機能が弱いため、砂川市へは「日
（2024年と比較して）
帰り」の観光が主体となっているが、今回の改装をきっかけに、顧客
に対して宿泊をセットにした滞在プランを提案することでSHIRO全
体のプレゼンスが上昇すると考える。
【p.2】
株式会社シロ
1.長期成長ビジョン
今回のホテルリニューアル事業は、地域創生に向けた継続的な取り組みの一環であり、
決して断片的な事業ではない。
「みんなのすながわプロジェクト」
生産量拡大を目的とするSHIROの新工場の
建設をきっかけに、2021年6月発足。
“誰も排除しないまちづくり”を指針として、計16回に
も及ぶワークショップや座談会を通し、市民をはじめ
とする参加いただいた皆様の声や想いを取り入れて
反映させていった。
「砂川にホテルを」「パークホテルを再生してほしい」
などの声からホテルの存在をより意識するように。
市民とのワークショップの模様</t>
  </si>
  <si>
    <t>【p.3】
株式会社シロ
2.補助事業の概要
単なる老朽化の改善にとどまることなく、大規模な事業投資によりホテル機能としての付加価値を増幅させ、
結果的に「生産性の向上」「雇用の促進」「賃金増加」を実現させる。
補助事業の • 1986年に竣工したホテルであり、老朽化が著しいこと 事業費 27億円
背景・目的 • ホテルとしての再生（集客と収益）を果たす上で必要なコンテンツが足りていないこと （補助額） （7.8億円）
• 北海道のホテルにおいてはマストな温浴施設の設置。
• 老朽化した客室や共用部分の改装
• レストランと宴会場の動線見直しによる労働生産性の向上
• 収益性の大幅改善につながるホテル内ショップの設置（SHIROアウトレット）
• 新たな価値により商圏外から集客を目指すサ高住の設置（人的リソースはホテル共用）
設備投資の
内容
20名定員のサウナ完備温浴施設 採光を改善したホテルエントランス 現駐車場に設置するサ高住
2027年度 2030年度
項目
（基準年度） （基準年度＋３年後）
労働生産性 1,336
795
（単位：万円/人） （年平均上昇率＋18.9％）
従業員1人あたり給与支給総額 575
目標値 463
（単位：万円/人） （年平均上昇率＋7.5％）
役員１人あたり給与支給総額 -
-
（単位：万円/人） （年平均上昇率 - ％）
補助事業に係る従業員数
23 70
（単位：人）</t>
  </si>
  <si>
    <t>株式会社ミダック
1.長期成長ビジョン：長期的なビジョン及び売上成長目標
静岡県を中心に産業廃棄物処理事業者として「収集〜最終処分」までを自社施設により一貫処理できる体制を構築。長期成長ビジョンとして業界
をリードする総合廃棄物処理企業を目指し大胆な投資や挑戦を行います。売上高成長目標として2030年までに売上高増加額+66億円、売上高平
均成長率+10.7%を目指します。
〜ミダックグループ10年ビジョン「Challenge 80th」を掲げています〜</t>
  </si>
  <si>
    <t>長期成長ビジョンについて
• 2032年の創業80周年に向け、「Challenge 80th」を掲げ当社は
「業界をリードする総合廃棄物処理企業」への進化を目指してい
ます。このビジョンを実現するため2032年までに、当社歴史上最
も大規模な投資計画を立てております。累計で200億円以上の資金
を投資することにより、革新的な技術と施設の開発に挑戦し、業
界の先端を行く企業へと変貌を遂げることを目標にしています。
• まずは、弊社の主要事業の一環として、静岡県浜松市に中部地方
最大級の水処理施設を建設する計画です（中間処理）。この施設
には総額35億円を投じ、地域社会における廃棄物処理の先進的な
拠点としての役割を果たすことを目指しています。
• 上記施設を建設することで、中間処理から最終処分までのプロセ
スを効率化し、新たなリサイクル可能資源の発見や、廃棄物処理
プロセス全体の効率化を図ります。また環境教育の場としても機
能する多角的な施設を目指しています。
• 当社は、地域社会と密接に連携しながら、環境に配慮したビジネ
スモデルの構築を進めていくことで、持続可能な社会の実現に貢
献していき、掲げている長期成長ビジョンの達成を目指します。
売長上期成成長長目ビ標ジ「ョCンhaのlle目ng標e8を0t達hの成売す上る成た長め目に標大」規模な投資を実行し、
下記売上高の目標を掲げ、事業推進を行なっていきます。
• 2024年と2030年の売上高の増加額は、+66億円
• 2024年~2030年の売上高平均成長率は「+10.7%」
• 2030年までに営業利益率50%以上を目指します</t>
  </si>
  <si>
    <t>外発的動機
• 当社グループは、1952年の創業以来、70年以上にわたり産業廃棄物処理
事業を軸に成長を遂げて参りました。この分野は「環境保護」や「資源
有効活用」といった社会的課題を直接支える重要な業界であり、国際的
なガイドラインに則り、SDGsと連携した適切な廃棄物管理の推進が求め
られています。 2015年の国連総会でSDGsが採択されたことを受け、多
くの大手企業が経営戦略にこれらの目標を取り入れ、持続可能なビジネ
スモデルへの転換を図っています。
• 産業廃棄物処理市場は4.7兆円を超える巨大なマーケットであり、社会に
とって高い価値を持つ取り組みです。当社施設は、資源の循環を支え、
持続可能な社会の構築に不可欠な役割を果たしております。今後も大胆
な投資計画を立て事業推進して参ります。</t>
  </si>
  <si>
    <t>内発的動機
• 1952年の創業時はゴミの回収、清掃事業を主とする事業を始め、1969年
に産業廃棄物処理事業者として業態を変更し現在まで事業拡大を図って
きました。現在では、静岡県を中心に廃棄物処理の①収集運搬、②中間
処理、③最終処分まで一貫処理することができる日本でも数少ない事業
体制を築くことができました。
• 弊社がこれまで培ってきた強みである「優秀な人材」「技術力」「信
用」を活かすことで2032年までに現在の売上高と比較して2倍以上を目指
し、業界を牽引する企業へと成長します。
• また人口減少が進む中で「人手不足の課題」を解決する「生産性の高い
事業への転換」が求められています。当社は、省人化・省力化が可能と
なる新施設（水処理施設）を建設し、中間処理から最終処分までのプロ
セスを効率化することで、永続的な経営を目指します。</t>
  </si>
  <si>
    <t>及び売上成長目標
て「収集〜最終処分」までを自
大胆な投資や挑戦を行います。
ープ10年ビジョン「Ch
自社施設により一貫処理できる体制を構築。長期成長ビジョンとして業界
す。売上高成長目標として2030年までに売上高増加額+66億円、売上高平
hallenge 80th」を掲げています〜</t>
  </si>
  <si>
    <t>【p.1／売上成長目標】
及び売上成長目標
て「収集〜最終処分」までを自
大胆な投資や挑戦を行います。
ープ10年ビジョン「Ch
【p.1／売上成長目標】
自社施設により一貫処理できる体制を構築。長期成長ビジョンとして業界
す。売上高成長目標として2030年までに売上高増加額+66億円、売上高平
hallenge 80th」を掲げています〜
【p.2／では処理能力が不足しており、生産性も低いため、効率の悪さが課題となっています。】
 廃棄物処理事業の「水処理（中間処理）」および「最終処分場」の需要が高まっている一方で、既存の施設
では処理能力が不足しており、生産性も低いため、効率の悪さが課題となっています。
【p.2／イメージ写真】
イメージ写真
【p.2／設備投資の内容】
ン、設備投資の内容＞
きる「生産ラインを構築」「大型の最新機械設備を
でも最大規模の産業廃棄物水処理施設を建設します
油水分離設備、フィルタープレス」等を中心に設備
する設備は大型となり、既存水処理施設の5倍以上
となります（例：廃液280㎥/1日、廃油120㎥/1日等
大限に発揮した機械設備であるため、操作もシンプ
で施設運営することが可能となります。
について/2030年度目標値＞
、大型の最新設備を導入することで既存水処理施設
ことができます。
りの労働生産性を18,063万円、1人あたり給与支</t>
  </si>
  <si>
    <t>【p.1】
株式会社ミダック
1.長期成長ビジョン：長期的なビジョン及び売上成長目標
静岡県を中心に産業廃棄物処理事業者として「収集〜最終処分」までを自社施設により一貫処理できる体制を構築。長期成長ビジョンとして業界
をリードする総合廃棄物処理企業を目指し大胆な投資や挑戦を行います。売上高成長目標として2030年までに売上高増加額+66億円、売上高平
均成長率+10.7%を目指します。
〜ミダックグループ10年ビジョン「Challenge 80th」を掲げています〜
長期成長ビジョンについて 外発的動機
• 2032年の創業80周年に向け、「Challenge 80th」を掲げ当社は • 当社グループは、1952年の創業以来、70年以上にわたり産業廃棄物処理
「業界をリードする総合廃棄物処理企業」への進化を目指してい 事業を軸に成長を遂げて参りました。この分野は「環境保護」や「資源
有効活用」といった社会的課題を直接支える重要な業界であり、国際的
ます。このビジョンを実現するため2032年までに、当社歴史上最
なガイドラインに則り、SDGsと連携した適切な廃棄物管理の推進が求め
も大規模な投資計画を立てております。累計で200億円以上の資金
られています。 2015年の国連総会でSDGsが採択されたことを受け、多
を投資することにより、革新的な技術と施設の開発に挑戦し、業
くの大手企業が経営戦略にこれらの目標を取り入れ、持続可能なビジネ
界の先端を行く企業へと変貌を遂げることを目標にしています。
スモデルへの転換を図っています。
• まずは、弊社の主要事業の一環として、静岡県浜松市に中部地方 • 産業廃棄物処理市場は4.7兆円を超える巨大なマーケットであり、社会に
最大級の水処理施設を建設する計画です（中間処理）。この施設 とって高い価値を持つ取り組みです。当社施設は、資源の循環を支え、
には総額35億円を投じ、地域社会における廃棄物処理の先進的な 持続可能な社会の構築に不可欠な役割を果たしております。今後も大胆
な投資計画を立て事業推進して参ります。
拠点としての役割を果たすことを目指しています。
※出所：環境省「環境産業の市場規模・雇用規模等に関する報告書の公表について」
• 上記施設を建設することで、中間処理から最終処分までのプロセ
内発的動機
スを効率化し、新たなリサイクル可能資源の発見や、廃棄物処理
プロセス全体の効率化を図ります。また環境教育の場としても機 • 1952年の創業時はゴミの回収、清掃事業を主とする事業を始め、1969年
に産業廃棄物処理事業者として業態を変更し現在まで事業拡大を図って
能する多角的な施設を目指しています。
きました。現在では、静岡県を中心に廃棄物処理の①収集運搬、②中間
• 当社は、地域社会と密接に連携しながら、環境に配慮したビジネ
処理、③最終処分まで一貫処理することができる日本でも数少ない事業
スモデルの構築を進めていくことで、持続可能な社会の実現に貢
体制を築くことができました。
献していき、掲げている長期成長ビジョンの達成を目指します。
• 弊社がこれまで培ってきた強みである「優秀な人材」「技術力」「信
売長上期成成長長目ビ標ジ「ョCンhaのlle目ng標e8を0t達hの成売す上る成た長め目に標大」規模な投資を実行し、 用」を活かすことで2032年までに現在の売上高と比較して2倍以上を目指
下記売上高の目標を掲げ、事業推進を行なっていきます。 し、業界を牽引する企業へと成長します。
• また人口減少が進む中で「人手不足の課題」を解決する「生産性の高い
• 2024年と2030年の売上高の増加額は、+66億円
事業への転換」が求められています。当社は、省人化・省力化が可能と
• 2024年~2030年の売上高平均成長率は「+10.7%」
なる新施設（水処理施設）を建設し、中間処理から最終処分までのプロ
• 2030年までに営業利益率50%以上を目指します
セスを効率化することで、永続的な経営を目指します。</t>
  </si>
  <si>
    <t>【p.2】
株式会社ミダック
2.補助事業の概要
本事業では静岡県浜松市に省人化・省力化を実現する大型の水処理施設を建設し、水処理施設から最終処分場までの一貫した処理プロセスを確立し、
効率化を図ります。最新設備を導入することで既存施設の5倍以上の処理が可能となり、「労働生産性、従業員1人あたり給与支給総額」の具体的目
標を設定して事業を推進します。
 廃棄物処理事業の「水処理（中間処理）」および「最終処分場」の需要が高まっている一方で、既存の施設
背景 事業費 27億円
目的 では処理能力が不足しており、生産性も低いため、効率の悪さが課題となっています。
（補助額） 2.1億円
＜工場の新設計画＞
イメージ写真
 「①廃酸・廃アルカリ、②廃油、③汚泥」を主体とした廃棄物を中間処理
する水処理施設を建設し、最終処分処理まで一貫した処理プロセスを確立
＜工場の生産ライン、設備投資の内容＞
 効率的に処理できる「生産ラインを構築」「大型の最新機械設備を導入」
した、中部地方でも最大規模の産業廃棄物水処理施設を建設します。
 右記載にある「油水分離設備、フィルタープレス」等を中心に設備投資を
設備投資 行います。導入する設備は大型となり、既存水処理施設の5倍以上を処理
の内容
することが可能となります（例：廃液280㎥/1日、廃油120㎥/1日等）。
 また効率性を最大限に発揮した機械設備であるため、操作もシンプルであ
り、最小の人数で施設運営することが可能となります。
＜労働生産生向上について/2030年度目標値＞
 上記記載の通り、大型の最新設備を導入することで既存水処理施設の5倍以
上の処理を行うことができます。
 従業員1人当たりの労働生産性を18,063万円、1人あたり給与支給総額を
563万円とする計画を策定しており、実現達成に向けて事業を推進します。
項目 2027年度（基準年度） 2030年度（基準年度＋３年後）
労働生産性（万円/人） 15,377万円/人 18,036万円（年平均上昇率＋5.5％）
目標値
従業員1人あたり給与支給総額（万円/人） 491万円/人 563万円（年平均上昇率＋4.67％）
補助事業に係る従業員数（人） 33人 50人</t>
  </si>
  <si>
    <t>高末株式会社
1.⻑期成⻑ビジョン
・時代に適応した⻑期成⻑ビジョンの必要性。
・流通段階をつなぐ「⾼付加価値物流」を実現。</t>
  </si>
  <si>
    <t>⻑期成⻑ビジョン（目指す姿・ビジネスモデル）
＜時代に適応した「⻑期成⻑ビジョンの３つの⽅針」＞
1. 企業の枠を超えた全体最適化による物流の⾼付加価値化
2. 働きやすい職場環境と従業員への還元
3. 地域社会への貢献による共存・共栄
●上記⽅針に基づき、本補助事業では、流通段階をつなぐ⾼付加価値物流の実
現を図るべく、その起点となる大規模物流センターの⽴上げに積極投資する。具
体的な実現手段は以下のとおりである。
【①⾼付加価値物流を実現する大規模物流センターへの積極投資】
・最新鋭マテハン(※1)を導⼊した⼤規模物流センターを愛知県北部に⽴上げ、⾼付
加価値物流への変革を推進する。技術と⼈材の融合により、効率的な物流プロセ
スに刷新し、⾃動化・省⼈化を図る。これにより、労働⼒不⾜の問題を解決し、物
流プロセス全体の効率と労働生産性を向上させ、流通段階を越えて顧客をつなげる
ことで差別化を図り、新たな荷主獲得による規模拡⼤を目指す。
【②タカスエロット便を活用したシナジーの極大化】
・上記物流センターで扱うペット関連市場商品等をベースカーゴ(※2)に、タカスエロット
便（中ロット便) とのシナジーを極⼤化し、持続可能な成⻑と発展を目指す。 東海
エリアでは営業範囲を拡⼤し、配達機能強化による取り扱い物量を拡⼤する。関東
エリアでは⾃社配送ネットワークを強化し、迅速かつ効率的な配送を実現してサービ
ス提供できる基盤を整備する。また、関東および関⻄エリアで協⼒会社との連携を強
化し、柔軟で効率的な輸送ネットワークを構築し、運営コストの最適化を目指す。
【③地域社会への貢献】
・東海エリアを中⼼に全国52拠点を持つ強みを活かし、地域社会に貢献する物流企
業としての役割を果たす。これにより、企業の社会的責任を果たし、地域社会と共
存・共栄を図る持続可能な収益基盤の強化を目指す。</t>
  </si>
  <si>
    <t>外発的動機
•
日本の⼈⼝動態の変化、少⼦⾼齢化、生産年齢⼈⼝の減少によ
る労働⼒不⾜への対応が必要であり、かつ緊急性が⾼まっている。
•
物流センター内作業の省⼒化・⾃動化を実現するに⾜るAI・IoT・ロ
ボティクス等の先進技術の進歩が顕著である。
•
競合他社の動向からデジタル化（AI・IoT・⾃動化）への積極投資
が多く⾒受けられる中、遅れをとると業務効率や競争⼒の衰退に繋
がる恐れがある。
•
出荷対応⼒の問題から在庫を分散させたくない等の多様化する顧
客ニーズへの対応には、従来のやり方を強化するとともに新たな取
組・⼿法が必要であると実感している。
•
持続可能な物流の実現を通して、社会的な課題解決ならびに地域
社会へ貢献することが歴史ある当社に求められていることを認識。</t>
  </si>
  <si>
    <t>内発的動機
•
労働⼒不⾜が深刻化する中、当社においても採用が困難になりつつ
ある現場の状況を踏まえ、労働⼒不⾜に対する抜本的な対策の必
要性を感じている。
•
⻑年投資を⾏ってこなかった反動として、既存拠点の⽼朽化に伴う
労働環境の悪化が顕在化していることを踏まえ、積極的な投資によ
る環境改善および最適再配置の必要性を感じている。
•
従業員から選ばれる働きやすい労働環境の整備の必要性。
•
既存拠点の賃貸物件では、契約上の制約から実現可能なことに限
りがあるため自社所有物件による永続的な拠点づくりの重要性。
•
顧客に⾒せられるモデルとなる物流センターづくりにより、次世代へ繋
ぐ持続可能な経営基盤を構築することが経営者としての責務である
との思いが強くなっている。</t>
  </si>
  <si>
    <t>【p.1／売上成長目標】
存・共栄を図る持続可能な収益基盤の強化を目指す。
売上成⻑目標（基準年度︓2027年2月期比較）
•
2030年2月期までに会社全体の売上⾼年平均成⻑率︓13.1％
•
2030年2月期までに会社全体の売上⾼増加額︓64.8億円</t>
  </si>
  <si>
    <t>【p.1】
高末株式会社
1.⻑期成⻑ビジョン
・時代に適応した⻑期成⻑ビジョンの必要性。
・流通段階をつなぐ「⾼付加価値物流」を実現。
⻑期成⻑ビジョン（目指す姿・ビジネスモデル） 外発的動機
•
＜時代に適応した「⻑期成⻑ビジョンの３つの⽅針」＞ 日本の⼈⼝動態の変化、少⼦⾼齢化、生産年齢⼈⼝の減少によ
1. 企業の枠を超えた全体最適化による物流の⾼付加価値化 る労働⼒不⾜への対応が必要であり、かつ緊急性が⾼まっている。
•
2. 働きやすい職場環境と従業員への還元 物流センター内作業の省⼒化・⾃動化を実現するに⾜るAI・IoT・ロ
3. 地域社会への貢献による共存・共栄 ボティクス等の先進技術の進歩が顕著である。
•
競合他社の動向からデジタル化（AI・IoT・⾃動化）への積極投資
●上記⽅針に基づき、本補助事業では、流通段階をつなぐ⾼付加価値物流の実
が多く⾒受けられる中、遅れをとると業務効率や競争⼒の衰退に繋
現を図るべく、その起点となる大規模物流センターの⽴上げに積極投資する。具
体的な実現手段は以下のとおりである。 がる恐れがある。
•
出荷対応⼒の問題から在庫を分散させたくない等の多様化する顧
【①⾼付加価値物流を実現する大規模物流センターへの積極投資】
客ニーズへの対応には、従来のやり方を強化するとともに新たな取
・最新鋭マテハン(※1)を導⼊した⼤規模物流センターを愛知県北部に⽴上げ、⾼付
組・⼿法が必要であると実感している。
加価値物流への変革を推進する。技術と⼈材の融合により、効率的な物流プロセ
•
スに刷新し、⾃動化・省⼈化を図る。これにより、労働⼒不⾜の問題を解決し、物 持続可能な物流の実現を通して、社会的な課題解決ならびに地域
流プロセス全体の効率と労働生産性を向上させ、流通段階を越えて顧客をつなげる 社会へ貢献することが歴史ある当社に求められていることを認識。
ことで差別化を図り、新たな荷主獲得による規模拡⼤を目指す。
【②タカスエロット便を活用したシナジーの極大化】
・上記物流センターで扱うペット関連市場商品等をベースカーゴ(※2)に、タカスエロット 内発的動機
便（中ロット便) とのシナジーを極⼤化し、持続可能な成⻑と発展を目指す。 東海 • 労働⼒不⾜が深刻化する中、当社においても採用が困難になりつつ
エリアでは営業範囲を拡⼤し、配達機能強化による取り扱い物量を拡⼤する。関東
ある現場の状況を踏まえ、労働⼒不⾜に対する抜本的な対策の必
エリアでは⾃社配送ネットワークを強化し、迅速かつ効率的な配送を実現してサービ
要性を感じている。
ス提供できる基盤を整備する。また、関東および関⻄エリアで協⼒会社との連携を強 •
⻑年投資を⾏ってこなかった反動として、既存拠点の⽼朽化に伴う
化し、柔軟で効率的な輸送ネットワークを構築し、運営コストの最適化を目指す。
労働環境の悪化が顕在化していることを踏まえ、積極的な投資によ
【③地域社会への貢献】 る環境改善および最適再配置の必要性を感じている。
・東海エリアを中⼼に全国52拠点を持つ強みを活かし、地域社会に貢献する物流企 •
従業員から選ばれる働きやすい労働環境の整備の必要性。
業としての役割を果たす。これにより、企業の社会的責任を果たし、地域社会と共 •
既存拠点の賃貸物件では、契約上の制約から実現可能なことに限
存・共栄を図る持続可能な収益基盤の強化を目指す。
りがあるため自社所有物件による永続的な拠点づくりの重要性。
•
売上成⻑目標（基準年度︓2027年2月期比較） 顧客に⾒せられるモデルとなる物流センターづくりにより、次世代へ繋
•
2030年2月期までに会社全体の売上⾼年平均成⻑率︓13.1％ ぐ持続可能な経営基盤を構築することが経営者としての責務である
•
2030年2月期までに会社全体の売上⾼増加額︓64.8億円 との思いが強くなっている。
※1 マテハンとは、「マテリアル・ハンドリング」の略であり、物流拠点内の全商品の運搬・保管・ピッキング・仕分け等を⾏う設備や機器を指す。
※2 ベースカーゴとは特定の輸送において、その収⼊の中⼼や基礎となる貨物を指す。</t>
  </si>
  <si>
    <t>【p.2】
高末株式会社
2.補助事業の概要
・⼤規模物流センターを建設し、これを起点に流通段階をつなげる「⾼付加価値物流」を実現。
・当該物流センターは省⼈化・⾃動化を可能とする最新鋭マテハンを導⼊し、⼤幅な労働生産性向上を実現。
•
当社物流サービスは、多くの労働⼒に⽀えられている。特に流通業や小売業向けの物流センター運営において、競合他社と⽐較して「バラ」
ピッキングが可能な独自のシステムと運用ノウハウが特徴であり強みであるが、一方で労働⼒に依存した従来型の⼿法に成⻑の限界を感じ
補助事業の ていた。近年では、労働時間規制の強化や生産年齢⼈⼝の減少など、労働⼒の確保が困難になる傾向に強い危機感を抱いている。
•
背景・目的 このため、労働⼒に依存した従来型の⼿法を刷新すべく、愛知県北部に大規模物流センターを⽴上げ、最新鋭マテハンを導入し、自動化・
省⼈化によって作業効率を大幅に向上させることで、労働⼒に依存しない物流センターの運営を可能とする。さらに、当該物流センターを起点
に、⻑期成⻑ビジョンとして描く流通段階の枠組みを越えた複数荷主を組み合わせた⾼付加価値物流を実現する。
•
設備投資内容は、①大規模物流センターの建設と②最新鋭マテハンの導入である。 【⼤規模物流センターイメージ図】
①大規模物流センターの建設︓愛知県春日井市に建設する。春日井市は名古屋市の近郊で
あり、東名⾼速道路や中央⾃動⾞道などにアクセスしやすいため、交通の便が良く、愛知県内外
への配送が容易であり、当社東海エリア北部拠点として最適である。当該物流センターは、約
23,373㎡の土地に、延べ18,688㎡の建物を建設する計画である。十分な敷地面積と倉庫、
荷捌き場、駐⾞スペースを確保可能であり物流拠点としての機能を⼗分に果たす。
設備投資の ②最新鋭マテハンの導入︓当社の差別化要因である「バラ」ピッキングのさらなる⾼度化を実現
内容 するため、“GTP（Goods To Person）”機能を有する最新鋭マテハンを導入する。従来の
ピッキング業務では、⼈が倉庫内を移動してカートに商品を集めた後、指示に基づいて仕分け作
【最新鋭マテハン（GTP機能等）】
業を⾏っていた。しかし、当該設備を導⼊することで、商品が作業者のもとへ⾃動的に移動し、店
別やカテゴリー別等に⾃動的に仕分けられるようになる。これにより、作業者は移動せずに固定位
置で作業ができるため、労働生産性の⼤幅な向上が図られる。当該物流センターでは、複数荷
主が当該設備を共同利用するスキームを提供することで、流通段階を越えた荷主の取り込み
を実現して⾼付加価値物流を実現する。
2026年度 2029年度
項目
（基準年度） （基準年度＋３年後）
労働生産性 799
262
（万円/⼈） （年平均上昇率＋45.0％）
事業費 75億円
目標値
従業員1⼈あたり 290 （補助額） （4.4億円）
247
給与支給総額（万円/⼈） （年平均上昇率＋5.4％）
補助事業に係る従業員数 250
51
（単位︓⼈） （年平均上昇率＋69.8%）</t>
  </si>
  <si>
    <t>1.長期成長ビジョン 株式会社ユニワールド
当社は、すべてのプロフェッショナルワーカー（職人）が仕事に対する「誇り」を感じ、「リスペクト」される社会の実
現を目指し、ワーカー用品の新しい社会的価値を創造することにより売上100億円超えを目指している。</t>
  </si>
  <si>
    <t>長期成長ビジョン（目指す姿・ビジネスモデル）
• 当社は、安全作業用品の総合メーカーとして、作業用手袋、セーフ
ティシューズ、ワークウェアなどを企画・販売。
• 長期的なビジョンとして、すべてのプロフェッショナルワーカー（職人）
が仕事に対する「誇り」を感じ、「リスペクト」される社会の実現を掲げ
ている。
• これまで培ってきた「発想力」を武器にワーカー用品の新しい価値を
創造し、社会的なインパクトを生み出しながら企業として成長してい
くことを目指す。</t>
  </si>
  <si>
    <t>外発的動機
• 当社商品のエンドユーザーは、建設・物流・製造業界など現場で働く
プロフェッショナルワーカー（職人）であるが、物流業界の2024年問
題をはじめ、慢性的な人手不足が大きな課題となっている。
• このような外部環境の中、ワーカーが身に着けるアイテムは、安価な消
耗品としての価値だけでなく、業界に対するイメージを刷新し、働く人
のモチベーションを引き出すデザイン性やブランドバリューを備えた商品
需要が増大している。</t>
  </si>
  <si>
    <t>内発的動機
• 当社が拠点を置く和歌山県有田市は、大手エネルギー会社の事業
撤退という地域課題を抱えている。地域経済牽引企業に認定されて
いる地元企業として地域経済を支えていくことが責務と認識している。
• 当社は1996年に軍手の販売から始まった会社であるが、当時はプロ
フェッショナルワーカーに対するいわゆる「3K（きつい・汚い・危険）」の
イメージが強く、また、ワーカーにとっても手袋等のアイテムは単なる消
耗品として消費する傾向が強かった。
• しかしながら、2013年に日本総代理として初めてPUMAセーフティ
シューズの取り扱いを開始して以降、ブランド力のあるアイテムを身に
纏うことによるワーカーのモチベーション増大効果をお客様から見聞きし、
「現場で働く人たちが仕事へのモチベーションを高め、プライドを持つた
めの支えになりたい」という想いを強く意識するようになった。</t>
  </si>
  <si>
    <t>【p.1／売上成長目標】
売上成長目標
• 2029年2月期までに全社売上高107.9億円を達成
（2024年2月期の売上高55.9億円に対し、5年間で52億
円の売上増）
• 2029年2月期までに当社事業戦略の柱であるPUMA. AT
WORK.で売上高51億円を達成
（2024年2月期のPUMA. AT WORK.売上高9億円に対
し、5年間で42億円の売上増。全社売上に占める割合は
47％となる。）
• その他商品販売についてもPUMA. AT WORK.との営業相
乗効果により、5年間で約10億円の売上増を達成
• 国内では今後10年内での売上高150億円を目標とするとと
もに、海外進出により更なる成長力の獲得を目指す。</t>
  </si>
  <si>
    <t>【p.1】
1.長期成長ビジョン 株式会社ユニワールド
当社は、すべてのプロフェッショナルワーカー（職人）が仕事に対する「誇り」を感じ、「リスペクト」される社会の実
現を目指し、ワーカー用品の新しい社会的価値を創造することにより売上100億円超えを目指している。
長期成長ビジョン（目指す姿・ビジネスモデル） 外発的動機
• 当社は、安全作業用品の総合メーカーとして、作業用手袋、セーフ • 当社商品のエンドユーザーは、建設・物流・製造業界など現場で働く
ティシューズ、ワークウェアなどを企画・販売。 プロフェッショナルワーカー（職人）であるが、物流業界の2024年問
題をはじめ、慢性的な人手不足が大きな課題となっている。
• 長期的なビジョンとして、すべてのプロフェッショナルワーカー（職人）
が仕事に対する「誇り」を感じ、「リスペクト」される社会の実現を掲げ • このような外部環境の中、ワーカーが身に着けるアイテムは、安価な消
ている。 耗品としての価値だけでなく、業界に対するイメージを刷新し、働く人
のモチベーションを引き出すデザイン性やブランドバリューを備えた商品
• これまで培ってきた「発想力」を武器にワーカー用品の新しい価値を
需要が増大している。
創造し、社会的なインパクトを生み出しながら企業として成長してい
くことを目指す。
売上成長目標 内発的動機
• 2029年2月期までに全社売上高107.9億円を達成 • 当社が拠点を置く和歌山県有田市は、大手エネルギー会社の事業
（2024年2月期の売上高55.9億円に対し、5年間で52億 撤退という地域課題を抱えている。地域経済牽引企業に認定されて
円の売上増） いる地元企業として地域経済を支えていくことが責務と認識している。
• 2029年2月期までに当社事業戦略の柱であるPUMA. AT • 当社は1996年に軍手の販売から始まった会社であるが、当時はプロ
WORK.で売上高51億円を達成
フェッショナルワーカーに対するいわゆる「3K（きつい・汚い・危険）」の
（2024年2月期のPUMA. AT WORK.売上高9億円に対
イメージが強く、また、ワーカーにとっても手袋等のアイテムは単なる消
し、5年間で42億円の売上増。全社売上に占める割合は
耗品として消費する傾向が強かった。
47％となる。）
• しかしながら、2013年に日本総代理として初めてPUMAセーフティ
• その他商品販売についてもPUMA. AT WORK.との営業相
シューズの取り扱いを開始して以降、ブランド力のあるアイテムを身に
乗効果により、5年間で約10億円の売上増を達成
纏うことによるワーカーのモチベーション増大効果をお客様から見聞きし、
• 国内では今後10年内での売上高150億円を目標とするとと 「現場で働く人たちが仕事へのモチベーションを高め、プライドを持つた
もに、海外進出により更なる成長力の獲得を目指す。 めの支えになりたい」という想いを強く意識するようになった。</t>
  </si>
  <si>
    <t>【p.2】
.補助事業の概要 株式会社ユニワールド
2
既存物流センターに隣接する土地に新たな建物を建設し、現在の2倍の保管能力を有する一大物流センターを
建設。在庫の集約化及び庫内を循環するコンベアの導入などにより、物流全体の省力化と効率化を図る。
• 当社は、PUMA. AT WORK.を柱に現在50億円台の売上高を100億円超に成長させる計画を策定しているが、既存
の物流センターは在庫・出荷能力が限界に達し、新商品発売時の出荷量に対応できず、顧客への案内送付や問い合
わせ対応に多大な事務作業が発生しており、課題となっている。
補助事業の 事業費 億円
17
• 更なる売上増に対応するためには外部物流会社に在庫保管・出荷機能を委託せざるを得ず、その場合、物流コストの
背景・目的 （補助額） （ 億円）
負担増が懸念される。 5.7
• 当社収益計画を実現可能なものにするためには、物流センターの増設を実行し、在庫の集約化と出荷効率の改善を
図っていくことが急務である。
• 既存の物流センターに隣接する自社所有地に2階建ての建物を増設、既存建物の改修も行
うことで、一体の物流センターとして現在の約2倍の保管能力を有する物流拠点となる。
【既存物流センター】
– 1階部分は箱（ケース）単位で商品を保管するケースエリア、2階部分は即時に出荷でき 延床面積：1,957坪/平屋
るように1ピース単位で商品を保管するバラエリアとする計画 保管パレット数：5,205PL
• 現在、複数の倉庫に分散して在庫されている状況であるが、本増設により在庫を一か所に集
約することで無駄な倉庫間の在庫移動をなくし物流の最適化図ることができる。
設備投資の • 省力化及び出荷効率（時間あたり出荷数）改善を目的に、庫内全体にコンベア及び自動
仕分けシステムを導入する。
内容
– 出荷指示に従って商品をピッキング後、コンベアに商品を載せると自動で運送会社別の出
荷エリアまで商品を搬送することができ、出荷効率の上昇を見込める。
– 現在はピッカーがピッキング作業のすき間に破材（使い終わった段ボール箱等）を回収し
ているため、出荷効率の悪化要因となっているが、本設備投資では破材回収用のコンベア
【増設予定地】
を新たに設置し、回収の省力化も図る。
延床面積2,018坪/2階建
• 上記建設・改修費およびコンベア導入費の他、在庫保管に必要となるラック及びフォークリフト
保管パレット数：5,550PL
購入、仕入から受注・出荷指示までを行う基幹システムに対する設備投資を予定。
2027/2月期 2030/2月期
項目
（基準年度） （基準年度＋３年後）
労働生産性 1,788万円
1,226万円
（単位：万円/人） （年平均上昇率＋13.4％）
目標値
従業員1人あたり給与支給総額
369万円
433万円
（単位：万円/人） （年平均上昇率＋5.5％）
役員１人あたり給与支給総額 1,428万円
1,259万円
（単位：万円/人） （年平均上昇率＋4.3％）
補助事業に係る従業員数
115.5人 133.4人
（単位：人）※就業時間ベース</t>
  </si>
  <si>
    <t>1.長期成長ビジョン 株式会社ただおザウルス
本事業では、脱炭素社会・循環型社会の統合的な実現に向けて、大手素材メーカーと提携し、地域を牽引す
るフロントランナーになり、持続的な賃上げを含む地域雇用と更なる事業成長を実現します。</t>
  </si>
  <si>
    <t>長期成長ビジョン（目指す姿・ビジネスモデル）
• 目指す姿
脱炭素社会・循環型社会の統合的な実現に向けて、地域を牽引するフロ
ントランナーとなり、持続的な賃上げを含む地域雇用の拡充と更なる事業成
長を両立させます。
• 現状
当社は、廃棄物の再資源化率80%と全国の平均再資源化率53%を
大きく上回り、循環型社会の実現に寄与しているが、中間処理の選別作業
に人手がかかり、更なる労働生産性の向上には作業工程の自動化が課題と
なっております。
また、RPF燃料※1製造設備を導入していない為、脱炭素社会の実現に寄
与する再資源化まで踏み込めていない状況にあります。
• 補助事業
補助事業では、県内最大の廃プラ混合廃棄物処理施設を防府市に新設
し、県内初となる光学式選別機および圧縮梱包機を導入することで大幅な
省力化を実現します。
また、素材メーカーと業務提携し、廃棄物の受入れ要請に対応し、物量を
確保することで、フラフ・RPF燃料※1を量産し、脱炭素社会に寄与する再資
源化を行うと共に廃棄物の再資源化率の更なる向上を実現します。</t>
  </si>
  <si>
    <t>外発的動機
• 国内の産業廃棄物の最終処分場の残余年数は14.7年（首都圏5.2
年）で、中間処理の選別能力を高度化し、可能な限りの再資源化が必
要となっている。
• 脱炭素化に向けて省資源型新エネボイラー（非化石燃料）の普及によ
り、フラフ・RPF燃料の需要が増加している。
• 高付加価値のフラフ燃料、RPF、RDFを製造するためのサーマルリサイクル
技術、光学式選別等、選別機械の技術が発展している。 ※2</t>
  </si>
  <si>
    <t>内発的動機
• 当社は、廃棄物の中間処理業者として、取扱廃棄物の数は県内トップク
ラスで、廃棄物の再資源化を得意とする。
（当社の再資源化率 80％、参考：全国の平均再資源化率 53.0％）
• 再資源化ノウハウをさらに強化することで、脱炭素社会・循環型社会の統
合的な実現に向けて、地域を牽引するフロントランナーになりたいと考えて
いる。
• 労働生産性の向上を図るには、中間処理の選別作業をはじめ、作業工
程の抜本的な見直しが必要と認識している。</t>
  </si>
  <si>
    <t>【p.1／売上成長目標】
売上成長目標
補助事業（全社）の成長目標（2023/7期-2029/7期対比）
・ 売上高 2,266百万円（売上高増加額 +1,671百万円）
・ 売上高成長率 280.8％</t>
  </si>
  <si>
    <t>【p.1】
1.長期成長ビジョン 株式会社ただおザウルス
本事業では、脱炭素社会・循環型社会の統合的な実現に向けて、大手素材メーカーと提携し、地域を牽引す
るフロントランナーになり、持続的な賃上げを含む地域雇用と更なる事業成長を実現します。
長期成長ビジョン（目指す姿・ビジネスモデル） 外発的動機
• 目指す姿
脱炭素社会・循環型社会の統合的な実現に向けて、地域を牽引するフロ • 国内の産業廃棄物の最終処分場の残余年数は14.7年（首都圏5.2
ントランナーとなり、持続的な賃上げを含む地域雇用の拡充と更なる事業成 年）で、中間処理の選別能力を高度化し、可能な限りの再資源化が必
長を両立させます。 要となっている。
• 現状 • 脱炭素化に向けて省資源型新エネボイラー（非化石燃料）の普及によ
当社は、廃棄物の再資源化率80%と全国の平均再資源化率53%を り、フラフ・RPF燃料の需要が増加している。
大きく上回り、循環型社会の実現に寄与しているが、中間処理の選別作業
に人手がかかり、更なる労働生産性の向上には作業工程の自動化が課題と • 高付加価値のフラフ燃料、RPF、RDFを製造するためのサーマルリサイクル
なっております。 技術、光学式選別等、選別機械の技術が発展している。 ※2
また、RPF燃料※1製造設備を導入していない為、脱炭素社会の実現に寄
与する再資源化まで踏み込めていない状況にあります。
• 補助事業
補助事業では、県内最大の廃プラ混合廃棄物処理施設を防府市に新設 内発的動機
し、県内初となる光学式選別機および圧縮梱包機を導入することで大幅な
省力化を実現します。
また、素材メーカーと業務提携し、廃棄物の受入れ要請に対応し、物量を • 当社は、廃棄物の中間処理業者として、取扱廃棄物の数は県内トップク
確保することで、フラフ・RPF燃料※1を量産し、脱炭素社会に寄与する再資 ラスで、廃棄物の再資源化を得意とする。
源化を行うと共に廃棄物の再資源化率の更なる向上を実現します。 （当社の再資源化率 80％、参考：全国の平均再資源化率 53.0％）
• 再資源化ノウハウをさらに強化することで、脱炭素社会・循環型社会の統
売上成長目標
合的な実現に向けて、地域を牽引するフロントランナーになりたいと考えて
補助事業（全社）の成長目標（2023/7期-2029/7期対比） いる。
・ 売上高 2,266百万円（売上高増加額 +1,671百万円）
・ 売上高成長率 280.8％ • 労働生産性の向上を図るには、中間処理の選別作業をはじめ、作業工
程の抜本的な見直しが必要と認識している。
※1 RPF燃料、フラフ燃料：廃プラスチックを中心とした、紙くず、繊維くず、木くずを原料とする固形燃料（フラフ燃料はRPFと異なり製造時に熱を加えないため、環境負荷がより低い燃料）
※2 光学式選別等の技術発展により、従来の固形燃料に適さない埋め立て処分される廃プラ混合廃棄物も塩化ビニルや塩類を限りなく除外可能となり、従来とは異なる高付加価値のフラフ燃料、RPFの製造が可能となっている。</t>
  </si>
  <si>
    <t>【p.2】
.補助事業の概要
2
補助事業を通じて、長期ビジョンに掲げる脱炭素社会・循環型社会の統合的な実現に向け、地域を牽引する
フロントランナーとなり、持続的な賃上げを含む地域雇用の拡充と更なる事業成長の両立への基盤を構築します。
補助事業の 補助事業を通じて、既存事業にて持つ強みの最大化（再資源化率の更なる向上）と弱みの 事業費 1 億円
5
背景・目的 最小化（選別工程の省力化）を実現させ、更なる事業の成長を目指します。 （補助額） （4. 億円）
7
設備投資内容
• 防府市の事業用地に県内初となる最新設備を導入した、 選
別
廃プラ混合廃棄物処理場を新設し、労働生産性の向上を図る 効
率
化
生産性向上につながる点
設備投資の
内容
• 同工場は、産業廃棄物の中間処理で最も人手が必要となる、選
別、破砕・圧縮作業に県内初となる光学式選別機等の最新設備
を導入し、大幅な省力化を実現する
• また、フラフ・RPF燃料製造設備を導入することで、廃棄物を限りな
く再資源化し、付加価値額の増加を図る
2026年7月期 2029年7月期
項目
（基準年度） （基準年度＋３年後）
労働生産性 1,415
918
（単位：万円/人） （年平均上昇率＋15.5％）
目標値
従業員1人あたり給与支給総額 356
29
1
（単位：万円/人） （年平均上昇率＋7.0％）
役員１人あたり給与支給総額 3,05
2,640 8
（単位：万円/人） （年平均上昇率＋5.0％）
補助事業に係る従業員数
29 87
（単位：人）
R
PF
燃
料
製
造
※
株式会社ただおザウルス
1
※１ 出所：産廃事業で着目したのは「中間処理」 効率重視の選別機マニュアル、㈱御池鐵工所HPより</t>
  </si>
  <si>
    <t>株式会社浜屋
1.長期成長ビジョン
「まだ使えるのに、ゴミにしてしまうのはもったいない」という思いが循環経済と弊社事業を支える大切な概念であり、
事業を通じて循環経済の確立に貢献する企業として成長を目指す。
• これまで培ってきた国内外のネットワークを最大限に活かし、様々な利用シーンから発生する不要になった回収品等について、適切にリユースやリサ
イクルに結び付けていくことは、循環経済の確立において重要と考えている。
• 中堅企業として、雇用創出や社会課題解決、循環経済確立への貢献などを通じて企業価値向上を目指したい。</t>
  </si>
  <si>
    <t>• これまで培ってきた国内外のネットワークを最大限に活かし、様々な利用シーンから発生する不要になった回収品等について、適切にリユースやリサ
イクルに結び付けていくことは、循環経済の確立において重要と考えている。
• 中堅企業として、雇用創出や社会課題解決、循環経済確立への貢献などを通じて企業価値向上を目指したい。</t>
  </si>
  <si>
    <t>長期成長ビジョン（目指す姿・ビジネスモデル）
【目指す姿】
• 本業を通じて循環経済確立に貢献し、雇用創出や社会課題解
決に積極的に取組み、社会に求められ続ける企業として成長する。
【企業としての在り方】
• 循環型社会の実現に向けた社会課題（廃棄物問題、国際的な
資源制約リスク、脱炭素等環境配慮要請等）解決を通して自
社ならびに関わる人たちの持続的な成長を実現する。
• 企業成長の鍵となる人材に対し、人材育成や賃上げを実施。社
員一人一人が活躍できる働きがいのある事業活動を推進する。</t>
  </si>
  <si>
    <t>外発的動機
①取引先等からの需要の拡大
• 家庭用品から金属資源まで多種多様な品目のリユース・リサイクル
に携わってきた。業務提携や取引先からの要請等により、今後更な
る品目数や量の受入に対応していく体制を作っていくことが課題と
なっている。
②サステナビリティなどに対する社会の意識の高まり
• 大量生産・大量消費の流れから、SDGs等の浸透が進み廃棄物
の削減や資源の再利用等循環経済への転換に向けた政策や取
組みが進んでいる。</t>
  </si>
  <si>
    <t>内発的動機
①賃上げ（ベースアップ）の実現契機
• 浜屋のロゴ（右）は「WIN-WIN」（浜屋に関わる人、みんなに満
足を）の企業理念を象徴している。
• 利益の状況により賞与等での支払のみならず、ベースアップを中心と
した賃上げを実現したいと考えている。
②リユース・リサイクル事業における可能性の追求
• 他社との連携等新たなビジネスモデルの展開を進め、リユース・リサイ
クルの可能性を拡大していきたい。またその中で、循環型社会実現
への貢献等社会的使命を果たしたいという強い思いがある。</t>
  </si>
  <si>
    <t>【p.1／上段要旨】
• これまで培ってきた国内外のネットワークを最大限に活かし、様々な利用シーンから発生する不要になった回収品等について、適切にリユースやリサ
イクルに結び付けていくことは、循環経済の確立において重要と考えている。
• 中堅企業として、雇用創出や社会課題解決、循環経済確立への貢献などを通じて企業価値向上を目指したい。
【p.1／売上成長目標】
売上成長目標
• 2028年度（2029/9月期）までに会社全体の年平均売上
高成長率10.8％
• 2028年度（2029/9月期）までに会社全体の売上高増加
額80億円
※上記は補助事業完了後3ヵ年における成長率及び額を記載。
【p.2／を行いながらも生産性を大きく向上させることが可能となる。また、大幅な賃上げも実現する。】
• 大型倉庫に拠点及びバックオフィスを集約。これにより、回収品受入→査定→仕分け→流通の流れをワンストップで行い、多品種で大量の受入
を行いながらも生産性を大きく向上させることが可能となる。また、大幅な賃上げも実現する。
【p.2／回収品 査定】
回収品 査定
保管
受入 仕分け</t>
  </si>
  <si>
    <t>【p.1】
株式会社浜屋
1.長期成長ビジョン
「まだ使えるのに、ゴミにしてしまうのはもったいない」という思いが循環経済と弊社事業を支える大切な概念であり、
事業を通じて循環経済の確立に貢献する企業として成長を目指す。
• これまで培ってきた国内外のネットワークを最大限に活かし、様々な利用シーンから発生する不要になった回収品等について、適切にリユースやリサ
イクルに結び付けていくことは、循環経済の確立において重要と考えている。
• 中堅企業として、雇用創出や社会課題解決、循環経済確立への貢献などを通じて企業価値向上を目指したい。
長期成長ビジョン（目指す姿・ビジネスモデル） 外発的動機
①取引先等からの需要の拡大
• 家庭用品から金属資源まで多種多様な品目のリユース・リサイクル
【目指す姿】
• 本業を通じて循環経済確立に貢献し、雇用創出や社会課題解 に携わってきた。業務提携や取引先からの要請等により、今後更な
る品目数や量の受入に対応していく体制を作っていくことが課題と
決に積極的に取組み、社会に求められ続ける企業として成長する。
なっている。
【企業としての在り方】
• 循環型社会の実現に向けた社会課題（廃棄物問題、国際的な ②サステナビリティなどに対する社会の意識の高まり
• 大量生産・大量消費の流れから、SDGs等の浸透が進み廃棄物
資源制約リスク、脱炭素等環境配慮要請等）解決を通して自
の削減や資源の再利用等循環経済への転換に向けた政策や取
社ならびに関わる人たちの持続的な成長を実現する。
組みが進んでいる。
• 企業成長の鍵となる人材に対し、人材育成や賃上げを実施。社
内発的動機
員一人一人が活躍できる働きがいのある事業活動を推進する。
①賃上げ（ベースアップ）の実現契機
• 浜屋のロゴ（右）は「WIN-WIN」（浜屋に関わる人、みんなに満
足を）の企業理念を象徴している。
• 利益の状況により賞与等での支払のみならず、ベースアップを中心と
売上成長目標
した賃上げを実現したいと考えている。
• 2028年度（2029/9月期）までに会社全体の年平均売上
高成長率10.8％
②リユース・リサイクル事業における可能性の追求
• 2028年度（2029/9月期）までに会社全体の売上高増加
• 他社との連携等新たなビジネスモデルの展開を進め、リユース・リサイ
額80億円
クルの可能性を拡大していきたい。またその中で、循環型社会実現
※上記は補助事業完了後3ヵ年における成長率及び額を記載。
への貢献等社会的使命を果たしたいという強い思いがある。</t>
  </si>
  <si>
    <t>【p.2】
株式会社浜屋
2.補助事業の概要
大型倉庫に点在する拠点とバックオフィスを集約し規模を拡大することで、首都圏での回収品受入体制を強化。
これまで以上に多品種で大容量の受入を効果的に行い、循環経済の確立に貢献する。
• 大型倉庫に拠点及びバックオフィスを集約。これにより、回収品受入→査定→仕分け→流通の流れをワンストップで行い、多品種で大量の受入
を行いながらも生産性を大きく向上させることが可能となる。また、大幅な賃上げも実現する。
• 拠点集約を行って多品種で大量の回収品を一括して処理可能な倉庫を建設する。新規雇用
補助事業の 事業費 15億円
含め人員増加するため、バックオフィス業務も集約。効率化を進めて業務量増加につなげる。
背景・目的 （補助額） （4.3億円）
• 敷地面積約3,600坪に受入及仕分け、流通のための倉庫を建設。
（鉄骨造2階建て・延床面積3,207㎡） 建物完成イメージ
• 点在する拠点をバックオフィスも含めて集約化し、まずは首都圏で多品種で大
量の受入が可能な倉庫を新設する。
• 上記により、大手企業との取引を含めた業務拡大に対応できる体制とする。
• 販売チャネルは隣接のリユースセンターを拠点に、オークションやECを活用し売
設備投資の 上拡大を見込む。
写真等
内容
 以下の流れを新拠点で効率的に実施
受入～販売の流れ
本件補助事業
回収品 査定 販売
保管
受入 仕分け （オークション・EC
等）
2025年度(2026/9月期) 2028年度(2029/9月期）
項目
（基準年度） （基準年度＋３年後）
労働生産性 965万円/人
31万円/人（※１）
（単位：万円/人） （年平均上昇率＋214.8％）
従業員1人あたり給与支給総額 739万円/人
目標値 603万円/人
（単位：万円/人） （年平均上昇率＋7.0％）
役員１人あたり給与支給総額 1,838万円/人
1,500万円/人
（単位：万円/人） （年平均上昇率＋7.0％）
補助事業に係る従業員数
87人 112人
（単位：人）
（※１）：基準年度は事業立上げ時であり、補助事業に係る社員の人件費や費用が先行して発生することから低い数値となっている。</t>
  </si>
  <si>
    <t>1.⾧期成⾧ビジョン
株式会社アロン社
株式会社アロン社 ⾧期成⾧ビジョン</t>
  </si>
  <si>
    <t>⾧期成⾧ビジョン（目指す姿・ビジネスモデル）
当社は、腐食性を持つ薬品を用いて金属加工を行う「金属エッチング
業界」において日本屈指の技術力を有し、60年間以上 事業を展開
している。昨年も、カシオ:G-SHOCKの40周年を記念する、ただ１
本だけ生産された腕時計 「G-D001」 に当社独自の技術を用いた
重要部品が搭載され、世界を驚愕させる一助となった。今までも、そし
てこれからも、技術面において他社を常に凌駕していくことで業界全体
を牽引し、社会に高い付加価値を提供し続けることを目指す。
当社のビジネスモデルは、「難易度の高いニッチな需要に応えること」が
肝となっている。同業他社が技術的に実現不可能な製品を通じ、顧
客に存在していなかった新たな価値を提供することで、最大限の利益
を獲得し、従業員に還元する。同時に、その利益を最新設備や人材
に投資し、さらに技術開発力を高める。この三方良しの好循環により、
業界で唯一無二の地位を築いてきた。
当社にしか具現化できない唯一の技術力があってこそ実現する製品が
多く、当社の顧客は、それにより付加価値の高い製品を世に出し、世
界と戦っている。当社を起点に、顧客が、斬新で高品質なモノづくりを
行い、日本の製造業全体としての高付加価値創出を実現することで、
世界をリードする高度な技術を日本から提供することを志向している。
特に、当社の主力製品が搭載される「高精度な産業用ロボット」は、
日本のお家芸の一つであり、少なくとも今後5～10年は大幅な需要
増が見込まれるため、当社の技術力のさらなる向上とともに生産力を
強化し、事業拡大を可能にする体制を実現する。また、生産拠点の
集約と新たな設備投資を通して生産性向上・省人化を実現し、より
利益率を高めることを目指す。</t>
  </si>
  <si>
    <t>外発的動機
• 現在、全世界的に省人化やDX化が進められ、当社の主力製品
が搭載される高精度な産業用ロボットや自動運転技術の需要が
高まっている。今後5～10年が市場の拡大期であり、この機を逃さ
ず市場での存在感を、より高めることが求められている。
• 一方で、労働力人口の減少により採用難が続いており、2023年
から賃金引き上げを開始している。賃金引き上げの原資となる利益
の獲得・より少ない人員で生産可能な省人化への取り組みが中⾧
期的に不可欠である。</t>
  </si>
  <si>
    <t>内発的動機
私が当社に入社した1993年当時、当社は岩手県に生産拠点を移
した直後であり、大規模な設備投資による多大な借り入れと、減価償
却費の発生によって債務超過であった。
会社の立て直しが急務となる中、「岩手県でモノづくりを続けることの意
味」を改めて考え、人件費の安い海外との競争を強いられる量産志向
ではなく、技術面での優位性を確保し高い付加価値を提供する研究
開発志向への転換を図った。以降、「最高の集団が、最高の場所で、
最高の生産性により、最高のモノづくりを行い、最高の付加価値を
提供する」を掲げ、オンリーワンのモノづくりにより財務を改善してきた。
上記の転換が実を結び、当社は業界での地位を確立するに至った。
今後も、社員とともに成⾧を続け、高い付加価値を提供し続けていく。</t>
  </si>
  <si>
    <t>売上成⾧目標
・2030年度までの平均売上高成⾧率10%
・2030年度までの売上高増加額16億円</t>
  </si>
  <si>
    <t>【p.1／売上成長目標】
売上成⾧目標
・2030年度までの平均売上高成⾧率10%
・2030年度までの売上高増加額16億円
【p.2／現在、当社は、岩手県一関市内に、2か所の生産拠点を有しているが、花泉工場と一関工場の】
現在、当社は、岩手県一関市内に、2か所の生産拠点を有しているが、花泉工場と一関工場の
それぞれで生産管理や薬品処理の部署を有するなど、拠点が分かれていることが、労働生産性向
上の妨げの要因になっている。また、花泉の第１工場は1985年に創業されたもので老朽化が著し
いこと、さらに、花泉工場で主に生産しているガラスベースエッチング製品の需要が、メタルエッチング
製品に置き換わることによる生産量の著しい減少を踏まえ、一関工場敷地内に新たなる工場を新
設し、花泉工場の機能を集約させつつ、生産性向上のための設備投資を大規模に行うことを決
定した。工場の新設・生産設備の刷新に加え、需要の増加が見込まれるメタルエッチング製品に対
する生産能力の拡大と技術力の向上を図り、より高付加価値の製品を提供する体制を実現する。
補助事業終了後も、既存の一関各工場への設備投資を続行し、生産性の向上を継続させ、
年平均16%の生産性向上、年平均5%の賃上げを目標とする。</t>
  </si>
  <si>
    <t>【p.1】
1.⾧期成⾧ビジョン
株式会社アロン社
株式会社アロン社 ⾧期成⾧ビジョン
⾧期成⾧ビジョン（目指す姿・ビジネスモデル） 売上成⾧目標
・2030年度までの平均売上高成⾧率10%
当社は、腐食性を持つ薬品を用いて金属加工を行う「金属エッチング
・2030年度までの売上高増加額16億円
業界」において日本屈指の技術力を有し、60年間以上 事業を展開
している。昨年も、カシオ:G-SHOCKの40周年を記念する、ただ１
本だけ生産された腕時計 「G-D001」 に当社独自の技術を用いた 外発的動機
重要部品が搭載され、世界を驚愕させる一助となった。今までも、そし • 現在、全世界的に省人化やDX化が進められ、当社の主力製品
てこれからも、技術面において他社を常に凌駕していくことで業界全体 が搭載される高精度な産業用ロボットや自動運転技術の需要が
を牽引し、社会に高い付加価値を提供し続けることを目指す。 高まっている。今後5～10年が市場の拡大期であり、この機を逃さ
ず市場での存在感を、より高めることが求められている。
当社のビジネスモデルは、「難易度の高いニッチな需要に応えること」が
肝となっている。同業他社が技術的に実現不可能な製品を通じ、顧 • 一方で、労働力人口の減少により採用難が続いており、2023年
客に存在していなかった新たな価値を提供することで、最大限の利益 から賃金引き上げを開始している。賃金引き上げの原資となる利益
を獲得し、従業員に還元する。同時に、その利益を最新設備や人材 の獲得・より少ない人員で生産可能な省人化への取り組みが中⾧
に投資し、さらに技術開発力を高める。この三方良しの好循環により、 期的に不可欠である。
業界で唯一無二の地位を築いてきた。
内発的動機
当社にしか具現化できない唯一の技術力があってこそ実現する製品が
私が当社に入社した1993年当時、当社は岩手県に生産拠点を移
多く、当社の顧客は、それにより付加価値の高い製品を世に出し、世
した直後であり、大規模な設備投資による多大な借り入れと、減価償
界と戦っている。当社を起点に、顧客が、斬新で高品質なモノづくりを
却費の発生によって債務超過であった。
行い、日本の製造業全体としての高付加価値創出を実現することで、
会社の立て直しが急務となる中、「岩手県でモノづくりを続けることの意
世界をリードする高度な技術を日本から提供することを志向している。
味」を改めて考え、人件費の安い海外との競争を強いられる量産志向
ではなく、技術面での優位性を確保し高い付加価値を提供する研究
特に、当社の主力製品が搭載される「高精度な産業用ロボット」は、
開発志向への転換を図った。以降、「最高の集団が、最高の場所で、
日本のお家芸の一つであり、少なくとも今後5～10年は大幅な需要
最高の生産性により、最高のモノづくりを行い、最高の付加価値を
増が見込まれるため、当社の技術力のさらなる向上とともに生産力を
提供する」を掲げ、オンリーワンのモノづくりにより財務を改善してきた。
強化し、事業拡大を可能にする体制を実現する。また、生産拠点の
上記の転換が実を結び、当社は業界での地位を確立するに至った。
集約と新たな設備投資を通して生産性向上・省人化を実現し、より
今後も、社員とともに成⾧を続け、高い付加価値を提供し続けていく。
利益率を高めることを目指す。</t>
  </si>
  <si>
    <t>【p.2】
2.補助事業の概要
株式会社アロン社
補助事業（工場の集約及び設備投資）の概要
現在、当社は、岩手県一関市内に、2か所の生産拠点を有しているが、花泉工場と一関工場の
それぞれで生産管理や薬品処理の部署を有するなど、拠点が分かれていることが、労働生産性向
上の妨げの要因になっている。また、花泉の第１工場は1985年に創業されたもので老朽化が著し
いこと、さらに、花泉工場で主に生産しているガラスベースエッチング製品の需要が、メタルエッチング
補助事業の 製品に置き換わることによる生産量の著しい減少を踏まえ、一関工場敷地内に新たなる工場を新 税抜事業費 18億円
背景・目的 設し、花泉工場の機能を集約させつつ、生産性向上のための設備投資を大規模に行うことを決 （補助額） （6.0億円）
定した。工場の新設・生産設備の刷新に加え、需要の増加が見込まれるメタルエッチング製品に対
する生産能力の拡大と技術力の向上を図り、より高付加価値の製品を提供する体制を実現する。
補助事業終了後も、既存の一関各工場への設備投資を続行し、生産性の向上を継続させ、
年平均16%の生産性向上、年平均5%の賃上げを目標とする。
現在の一関工場
現在の花泉工場
補助事業により、敷地内に
補助事業完了後、一関
新工場を建設する。
工場に機能を集約する。
主にメタルエッチング製品・
主にガラスベースエッチング
拡散接合製品を生産して
製品を生産している。
いる。
2027年度 2030年度
項目
（基準年度） （基準年度＋３年後）
労働生産性 1,531.3万円/人
981.0万円/人
（単位：万円/人） （年平均上昇率＋約16％）
目標値 従業員1人あたり給与支給総額 395.3万円/人
341.5万円/人
（単位：万円/人） （年平均上昇率＋5％）
役員１人あたり給与支給総額 －
－
（単位：万円/人） （年平均上昇率+5％）
補助事業に係る従業員数
111人 111人
（単位：人）</t>
  </si>
  <si>
    <t>小林酒造株式会社
1.長期成長ビジョン
・酒類の国内市場規模は2010年以降減少傾向にあるが、唯一、「ジャパニーズウイスキー」は国内販売、海外輸出ともに拡大している。
・当社は栃木県の企業として、地域資源を存分に活かし、高収益事業であるジャパニーズウイスキーの生産体制拡大に取組み、地域の魅力発信とともに、
世界から愛される酒造メーカーへ成長し、地域雇用の創出、賃上げ、地域内発注、地域外販売の拡大に取組み、地域経済を牽引する存在となる。</t>
  </si>
  <si>
    <t>長期成長ビジョン（目指す姿・ビジネスモデル）
• 『ウイスキー事業への投資加速により、世界から愛される高付加
価値なお酒を製造する酒造メーカーになる』
【内容】
• 当社が保有する経営資源（人材、技術力、鳳凰美田ブランド、
販売チャネル、輸出体制、地域関係者との人脈、連携体制な
ど）を最大限活かし、当社オリジナルのジャパニーズウイスキーの
生産体制拡大とともに、商品価値を高め、売上目標を実現する。
• 本事業では栃木県栃木市に、ジャパニーズウイスキーを熟成する
樽の貯蔵用倉庫建設と生産設備を拡充する。
• 2025年には栃木県日光市に「日光ウィスキー・スピリッツ蒸留
所（以下、日光蒸留所）」建設用地を取得し、2036年までに
日光蒸留所を完成させ、生産、貯蔵能力の拡充により、長期成
長ビジョンの実現を果たす。
• 「日光蒸留所」は多くの観光客が訪れる栃木県日光市に立地す
ることから、観光資源としても開放する。そして、大手鉄道グルー
プやホテル等と連携し、地道にインバウンド等へ当社ウイスキーの
魅力を発信することで、グローバルニッチトップを目指す。</t>
  </si>
  <si>
    <t>外発的動機
• 酒類の国内消費量は1999年のピークを境に減少傾向。
要因は人口減少、若者の酒離れ、酒文化の変化。
• 一方、酒類の海外輸出は日本酒、ウイスキーを中心に拡大傾向。
要因はクールジャパン機構による海外PRによる和食ブームやインバ
ウンドの増加、TPPやFTA等の締結が追い風となった。
• 「ウイスキー」は国内販売、海外輸出ともに拡大傾向。
• 特に、製造後3年以上樽で熟成することで商品価値が高まる「ジャ
パニーズウイスキー」は世界の5大ウィスキーとして世界からも高く評
価されていることから、プレミアム化が進み、輸出単価も上昇。
• 栃木県日光市は世界遺産や多くの観光名所も多く、インバウンドが
盛んな地域。近年は相次いで外資系ホテルが進出している。</t>
  </si>
  <si>
    <t>内発的動機
• 当社は栃木県の企業として栃木県の自然、歴史、文化を理解し、
お酒を通じて地域資源の魅力発信と日々、新たな価値を創出する
ため、インバウンドや地域ブランド促進に関する国の補助事業にも積
極的に取組んでいる。
• 当社は日光の二社一寺との関係が深く、二社一寺（日光東照宮、
日光山輪王寺、日光二荒山神社）が所有する御神水やミズナラ
材をジャパニーズウイスキーの仕込み水や貯蔵樽に使用できるため
他社にはない優位性がある。既に、日光市、大手鉄道グループ、ホ
テル等との連携体制も構築できているため、当社が製造するジャパ
ニーズウイスキーを日光ブランドとしてインバウンド等へプロモーション、
販売できる体制・環境も十分整っている。
• 当社は上記に加え、当社の着実な努力によって築き上げた鳳凰美
田ブランド、酒造技術、流通チャネル等をジャパニーズウイスキー事
業に活かすことで大幅な売上拡大、利益率向上ができると考え、本
ビジョンを掲げるに至った。</t>
  </si>
  <si>
    <t>【p.1／売上成長目標】
売上成長目標
• 2033年までの会社全体の売上高成長率＋275％
• 2033年までの会社全体の売上高増加額33億円
＜参考＞
●売上高 2023年9月決算：12億円
2033年9月決算：45億円</t>
  </si>
  <si>
    <t>【p.1】
小林酒造株式会社
1.長期成長ビジョン
・酒類の国内市場規模は2010年以降減少傾向にあるが、唯一、「ジャパニーズウイスキー」は国内販売、海外輸出ともに拡大している。
・当社は栃木県の企業として、地域資源を存分に活かし、高収益事業であるジャパニーズウイスキーの生産体制拡大に取組み、地域の魅力発信とともに、
世界から愛される酒造メーカーへ成長し、地域雇用の創出、賃上げ、地域内発注、地域外販売の拡大に取組み、地域経済を牽引する存在となる。
長期成長ビジョン（目指す姿・ビジネスモデル） 外発的動機
• 酒類の国内消費量は1999年のピークを境に減少傾向。
• 『ウイスキー事業への投資加速により、世界から愛される高付加
要因は人口減少、若者の酒離れ、酒文化の変化。
価値なお酒を製造する酒造メーカーになる』
• 一方、酒類の海外輸出は日本酒、ウイスキーを中心に拡大傾向。
要因はクールジャパン機構による海外PRによる和食ブームやインバ
【内容】
ウンドの増加、TPPやFTA等の締結が追い風となった。
• 当社が保有する経営資源（人材、技術力、鳳凰美田ブランド、
• 「ウイスキー」は国内販売、海外輸出ともに拡大傾向。
販売チャネル、輸出体制、地域関係者との人脈、連携体制な
• 特に、製造後3年以上樽で熟成することで商品価値が高まる「ジャ
ど）を最大限活かし、当社オリジナルのジャパニーズウイスキーの
パニーズウイスキー」は世界の5大ウィスキーとして世界からも高く評
生産体制拡大とともに、商品価値を高め、売上目標を実現する。
価されていることから、プレミアム化が進み、輸出単価も上昇。
• 本事業では栃木県栃木市に、ジャパニーズウイスキーを熟成する
• 栃木県日光市は世界遺産や多くの観光名所も多く、インバウンドが
樽の貯蔵用倉庫建設と生産設備を拡充する。
盛んな地域。近年は相次いで外資系ホテルが進出している。
• 2025年には栃木県日光市に「日光ウィスキー・スピリッツ蒸留
所（以下、日光蒸留所）」建設用地を取得し、2036年までに
日光蒸留所を完成させ、生産、貯蔵能力の拡充により、長期成 内発的動機
長ビジョンの実現を果たす。 • 当社は栃木県の企業として栃木県の自然、歴史、文化を理解し、
• 「日光蒸留所」は多くの観光客が訪れる栃木県日光市に立地す お酒を通じて地域資源の魅力発信と日々、新たな価値を創出する
ることから、観光資源としても開放する。そして、大手鉄道グルー ため、インバウンドや地域ブランド促進に関する国の補助事業にも積
プやホテル等と連携し、地道にインバウンド等へ当社ウイスキーの 極的に取組んでいる。
魅力を発信することで、グローバルニッチトップを目指す。 • 当社は日光の二社一寺との関係が深く、二社一寺（日光東照宮、
日光山輪王寺、日光二荒山神社）が所有する御神水やミズナラ
材をジャパニーズウイスキーの仕込み水や貯蔵樽に使用できるため
売上成長目標 他社にはない優位性がある。既に、日光市、大手鉄道グループ、ホ
• 2033年までの会社全体の売上高成長率＋275％ テル等との連携体制も構築できているため、当社が製造するジャパ
• 2033年までの会社全体の売上高増加額33億円 ニーズウイスキーを日光ブランドとしてインバウンド等へプロモーション、
販売できる体制・環境も十分整っている。
＜参考＞
• 当社は上記に加え、当社の着実な努力によって築き上げた鳳凰美
●売上高 2023年9月決算：12億円
田ブランド、酒造技術、流通チャネル等をジャパニーズウイスキー事
2033年9月決算：45億円
業に活かすことで大幅な売上拡大、利益率向上ができると考え、本
ビジョンを掲げるに至った。</t>
  </si>
  <si>
    <t>【p.2】
小林酒造株式会社
.補助事業の概要
2
・ウイスキーの生産体制拡充に向け樽の貯蔵倉庫建設と生産設備を導入。専用設備は麦芽投入後、麦芽粉砕→糖化→醗酵→蒸留まで、ﾎﾟﾝﾌﾟ、搬
送コンベアにて自動生産を実現。ウイスキーの冷却が必要な工程では予め設定した温度に自動冷却・管理できる装置や貯蔵倉庫内に温度管理セン
サーを設置することで品質管理を強化。人手不足に対応した新たな生産モデルの構築により、環境変化に強い体制を構築し、事業を実現する。
• 日本酒の国内市場は縮小傾向。成長分野（ウィスキー）への投資により事業拡大を実現する。 事業費 億円
補助事業の 12.6
• 生産、樽の貯蔵体制（ハード面）が課題。本事業により抜本的な労働生産性向上を実現する。 （補助額）（4.2億円）
背景・目的
倉庫・工場内のイメージ
１．ウイスキー貯蔵樽倉庫建設
事業費894,349,500円(税込)・補助額271,015,000円
・年間約230個の樽の貯蔵が必要となるため、専用の貯蔵倉庫を建設
・倉庫内の温度や在庫は専用システムで管理、価値を創造する。
※2年目までは製造したウイスキの半分は熟成せずニューポットで販売。よって2年目まで
は年間230個の樽の貯蔵が必要。3年目以降は全て熟成するため460個となる。
２．ウイスキー生産設備拡充
設備投資の 事業費491,650,500円(税込)・補助額148,985,000円
内容 ①原料処理設備、受入・搬送コンベア：28,600,000円(税込)
②糖化設備、排出ポンプ他：94,600,000円(税込)
③麦汁冷却熱交換、麦汁・湯タンク、ポンプ：43,615,000円(税込)
④発酵タンク、タンク外装断熱×6：46,200,000円(税込)
⑤制御盤：67,650,000円(税込)
⑥冷却設備：94,600,000万円(税込)
⑦排水処理設備37,400,000万円(税込)
⑥運搬・設置費：78,985,500円(税込)
2025年度 2028年度
項目
（基準年度） （基準年度＋３年後）
労働生産性 12,438
7,406
（単位：万円/人） （年平均上昇率＋19％）
目標値 従業員1人あたり給与支給総額
343
410
（単位：万円/人） （年平均上昇率＋6.0％）
役員１人あたり給与支給総額 1,335
1,095
（単位：万円/人） （年平均上昇率＋6.8％）
補助事業に係る従業員数
4 10
（単位：人）</t>
  </si>
  <si>
    <t>1.長期成長ビジョン 株式会社 遠藤写真工芸所
売上拡大と労働生産性向上及び雇用創出のための南草津新工場を建設する。日本の文化「アルバム(※)」を
京都から世界へ発信する。
(※)本計画書では「アルバム」には卒業アルバム、フォトアルバムとフォトブックなどを含む。</t>
  </si>
  <si>
    <t>長期成長ビジョン（目指す姿・ビジネスモデル）
当社は、京都で創業111年の老舗アルバムメーカーである。当社のアルバムは京都の
伝統と美を詰め込んでおり、四季折々のイベント行事、風景や文化をアルバムに収め
た美術品でもある。この日本の文化を世界にも発信することで、文化の伝承者となり、
2031年頃全国アルバム制作では、売上高トップ企業になる。
提供する価値
◼ 社会的視点
• 地域の雇用を創出する。地域の取引を増加させる。
• 日本の文化を継承する。
• 日本の印刷技術力・デジタル対応能力を活かした、ITPグループ海外子会社
拠点への輸出事業を増やし、国際競争力向上に貢献する。
• 印刷技術力、デジタル情報処理・媒体サービスの高度化を牽引する。
• フルフィルメントサービス事業を構築して、効率的な物流・配送を実現する。
◼ 顧客の視点
• 海外からMade in Japan品質アルバムにおいて特別な記念を残したいという
需要が高まっている。具体的には、ヨーロッパ、アメリカ、シンガポール等の日本
人学校や美術学校。
• 次世代技術(AR,VR,AI等)の開発・実装、DX化の推進。
• 小ロット向け設備とAIを活用して、フォトアルバム等への対応を可能にする。
◼ 従業員の視点
• スキルレス設備の導入で若手に活躍の場を提供する。
• 生産拠点の集約を実現する。また、最新設備の稼働で技術力、労働生産性
を上げることで時間効率を高め、従業員の賃金アップにつなげる。
◼ 独自能力の視点
• DX化と、物流を含めた印刷物の全工程一貫生産を推進する。
• DX化を担う(株)ITPの未来研究所と現場を直結し、R&amp;Dスピードを上げる。
• AI活用で、目視からAI検査に変える。精度向上、コスト削減。省エネに繋がる。</t>
  </si>
  <si>
    <t>外発的動機
印刷業界は厳しい経営環境にあり、競争力を強化する必要性がある。
日本においては少子化による印刷物の需要が減少している。
１．アルバム事業
• 既存の卒業アルバム事業は、季節による繁閑の差が大きく、現在の設備能力
では成長軌道に乗せられないため本事業を活用して海外展開を計画する。
➢ アルバム世界市場は2024年～2032年CAGR 4.7%、成長市場である。
➢ 日本のフォトアルバムは海外で需要が高まっている。
２．商業印刷事業
• 当社のターゲットとなる業界は自動車メーカーとハウスメーカーである。両業界は
成長市場であり、活発な販促活動を行っている。
➢ 自動車業界は2027年までのCAGRは6.39％と高い水準である。
➢ 戸建て住宅の需要が高まっており2024年～2030年までのCAGRは
4.1％と成長しており、海外（北米）でも人気が高い。
３．倉庫事業
• 大手百貨店のECサイト事業支援(フルフィルメントサービス事業)に対応。
• 印刷物の保管、アセンブリ、出荷作業のニーズがある。</t>
  </si>
  <si>
    <t>内発的動機
◼ ITPグループの製造拠点が京都府、滋賀県、大阪府に分散しており、非効率な状
況にあることが問題である。
➢ ㈱ITPが滋賀県草津市から取得した土地(6,000坪)を活用して、
新たに南草津新工場(2,700坪)を建設する。
➢ 分散している製造拠点を南草津に統合し、生産効率の向上を図り、従業員の
賃金アップを行う。
◼ ITPグループ全体のグローバル成長ビジョンに沿った取り組みを実施する。
◼ 単なるデジタルプリントではなく、AR/VR/AI技術を実装した「アルバム事業」や、
「フルフィルメントサービス事業」等のDXサービスを提供する。
◼ 本事業を成功させ、グループ内の再編・統合やグループ内スタートアップ事業等を進
める。
◼ 最新デジタル、スキルレス設備、省人＆省エネ化設備を導入し、新たな従業員の
雇用と従業員の高齢化にも対応したスマートファクトリー化を一気に加速させる。</t>
  </si>
  <si>
    <t>【p.1／売上成長目標】
売上成長目標：2024年から2029年の5年間
• 2029年までに会社全体の売上高成長率53.8％CAGR
• 2029年までに会社全体の売上高増加額55.3億円</t>
  </si>
  <si>
    <t>【p.1】
1.長期成長ビジョン 株式会社 遠藤写真工芸所
売上拡大と労働生産性向上及び雇用創出のための南草津新工場を建設する。日本の文化「アルバム(※)」を
京都から世界へ発信する。
(※)本計画書では「アルバム」には卒業アルバム、フォトアルバムとフォトブックなどを含む。
長期成長ビジョン（目指す姿・ビジネスモデル） 外発的動機
印刷業界は厳しい経営環境にあり、競争力を強化する必要性がある。
当社は、京都で創業111年の老舗アルバムメーカーである。当社のアルバムは京都の
日本においては少子化による印刷物の需要が減少している。
伝統と美を詰め込んでおり、四季折々のイベント行事、風景や文化をアルバムに収め
た美術品でもある。この日本の文化を世界にも発信することで、文化の伝承者となり、 １．アルバム事業
2031年頃全国アルバム制作では、売上高トップ企業になる。 • 既存の卒業アルバム事業は、季節による繁閑の差が大きく、現在の設備能力
では成長軌道に乗せられないため本事業を活用して海外展開を計画する。
提供する価値 ➢ アルバム世界市場は2024年～2032年CAGR 4.7%、成長市場である。
◼ 社会的視点 ➢ 日本のフォトアルバムは海外で需要が高まっている。
• 地域の雇用を創出する。地域の取引を増加させる。 ２．商業印刷事業
• 日本の文化を継承する。 • 当社のターゲットとなる業界は自動車メーカーとハウスメーカーである。両業界は
• 日本の印刷技術力・デジタル対応能力を活かした、ITPグループ海外子会社 成長市場であり、活発な販促活動を行っている。
拠点への輸出事業を増やし、国際競争力向上に貢献する。
➢ 自動車業界は2027年までのCAGRは6.39％と高い水準である。
• 印刷技術力、デジタル情報処理・媒体サービスの高度化を牽引する。 ➢ 戸建て住宅の需要が高まっており2024年～2030年までのCAGRは
• フルフィルメントサービス事業を構築して、効率的な物流・配送を実現する。 4.1％と成長しており、海外（北米）でも人気が高い。
◼ 顧客の視点
３．倉庫事業
• 海外からMade in Japan品質アルバムにおいて特別な記念を残したいという
• 大手百貨店のECサイト事業支援(フルフィルメントサービス事業)に対応。
需要が高まっている。具体的には、ヨーロッパ、アメリカ、シンガポール等の日本
• 印刷物の保管、アセンブリ、出荷作業のニーズがある。
人学校や美術学校。
• 次世代技術(AR,VR,AI等)の開発・実装、DX化の推進。
内発的動機
• 小ロット向け設備とAIを活用して、フォトアルバム等への対応を可能にする。
◼ ITPグループの製造拠点が京都府、滋賀県、大阪府に分散しており、非効率な状
◼ 従業員の視点
況にあることが問題である。
• スキルレス設備の導入で若手に活躍の場を提供する。
➢ ㈱ITPが滋賀県草津市から取得した土地(6,000坪)を活用して、
• 生産拠点の集約を実現する。また、最新設備の稼働で技術力、労働生産性
新たに南草津新工場(2,700坪)を建設する。
を上げることで時間効率を高め、従業員の賃金アップにつなげる。
➢ 分散している製造拠点を南草津に統合し、生産効率の向上を図り、従業員の
◼ 独自能力の視点
賃金アップを行う。
• DX化と、物流を含めた印刷物の全工程一貫生産を推進する。
◼ ITPグループ全体のグローバル成長ビジョンに沿った取り組みを実施する。
• DX化を担う(株)ITPの未来研究所と現場を直結し、R&amp;Dスピードを上げる。
◼ 単なるデジタルプリントではなく、AR/VR/AI技術を実装した「アルバム事業」や、
• AI活用で、目視からAI検査に変える。精度向上、コスト削減。省エネに繋がる。
「フルフィルメントサービス事業」等のDXサービスを提供する。
売上成長目標：2024年から2029年の5年間 ◼ 本事業を成功させ、グループ内の再編・統合やグループ内スタートアップ事業等を進
める。
• 2029年までに会社全体の売上高成長率53.8％CAGR
◼ 最新デジタル、スキルレス設備、省人＆省エネ化設備を導入し、新たな従業員の
• 2029年までに会社全体の売上高増加額55.3億円
雇用と従業員の高齢化にも対応したスマートファクトリー化を一気に加速させる。</t>
  </si>
  <si>
    <t>【p.2】
.補助事業の概要 株式会社 遠藤写真工芸所
2
南草津新工場を竣工し、ITPグループの製造拠点を集約及び最新設備を導入することで、
労働生産性の向上により、雇用の創出を実現する。
補助事業の • 日本の文化であるアルバムを京都から世界へ発信するため、物流を含めた工場を新設する。 事業費 3 8 億円
背景・目的 • 強み(ヒト、カネ、情報)を活かすため、課題である設備を更新・新規導入し、一貫生産による品質管理の （補助額） （10億円）
強化、生産性向上、輸送コスト削減、省エネで安定した製品づくり、検査装置によるロスを削減をする。
◼ 主要な設備投資内容 ◼ 工夫による生産性向上
(1)建物費 【アルバム事業】
• 建物建設予定 約5,200㎡ • 印刷・製本工程での手作業を自動化・省人化し、多能工化による生産性の
向上を実現する。
(2)機械装置費(詳細は次頁)
• 小ロットアルバム・フォトアルバムの低コスト・短期提供を実現する。
【アルバム事業】
• オンライン入稿システムとAI顔認証・モバイルアルバムシステムの組み合わせで
• 自動製本機(合紙丁合機、自動クルミ機)
品質とスピードを上げ、コストを削減する。
• 小ロット合紙丁合機
• スキルレス設備により、ベテラン以外の従業員も対応できるようにする。
• ３Dスキャナー
設備投資の • サーバー及び関連備品(海外アルバムデータの格納および受渡用) • PP(ポリプロピレン)加工専用室および設備機器を導入し、外注に依存していた
工程を内製化する。
内容 【商業印刷事業】
【商業印刷事業】
• ４色片面/２色両面兼用LED-UVオフセット印刷機
• 南草津新工場を新設し、自社内で工程が完結する。
【倉庫事業】
• 工場集約（ワンフロア）により次工程への運搬が容易になり生産性及び
• フルフィルメントサービス事業用移動ラック、業務用冷蔵庫
生産効率が向上する。
(3)ソフトウェア費 【倉庫事業】
• オンライン入稿システム • 倉庫事業を新事業に立上げる。
• AI顔認証自動補正システム・モバイルアルバムシステム • フルフィルメントサービスを開始する。
• ECサイト物流システム(ECサイト構築費) • フルフィルメントサービス事業用に移動ラックを導入し、スペースを有効活用する。
• フルフィルメントサービス事業で新たに食品の取扱いを始める。
2026年度 2029年度
項目
（基準年度） （基準年度＋３年後）
労働生産性 1,4
403 20
（単位：万円/人） （年平均上昇率＋52.2％）
従業員1人あたり給与支給総額 536
目標値 40
（単位：万円/人） 8 （年平均上昇率＋9.6％）
役員１人あたり給与支給総額 460.0
400
（単位：万円/人） （年平均上昇率＋4.8％）
補助事業に係る従業員数 152
76
（単位：人） （年平均上昇率＋26.0％）</t>
  </si>
  <si>
    <t>株式会社ヨシノ自動車
1.長期成長ビジョン
「共に走ることで、できることがきっとある」
経営理念である”共走”のもと、2024年問題における輸送能力不足の改善や地域の物流連携に寄与する
• 2024年問題と呼ばれるトラックドライバーの時間外労働規制による輸送能力の低下が日本の物流業界にとって大きな問題となっている。
• 将来的な輸送能力低下に向けた対応として弊社だけではなく、物流に関わる事業者【川上のVOLVOトラック(車輛メーカー)から販売会社及び運送会社、川
下の地元運送業者まで】が連携して課題に立ち向かう必要がある。
• 60年余りトラック販売・整備業界に携わり、確固たる信用と顧客基盤を有している弊社の役割として物流トラック稼働率向上のために整備時間短縮等の体
制整備、人員不足による整備遅れの解消、地域の物流連携を目指していきたい。</t>
  </si>
  <si>
    <t>長期成長ビジョン（目指す姿・ビジネスモデル）
• 経営理念である「共走」のもと、販売会社、運送会社、一人ひとりのドライ
バーが信頼関係のもとに結びつき、知恵を出し合い、利益を分け合いなが
ら共に走っていけるあり方をみつける。
〈上記ビジョン達成のための具体的行動〉
• 最新の省人化・省力化設備を導入することで迅速な修理・整備体制を
確立する。→整備時間短縮により車輛の稼働率を上げることで輸送能
力向上に貢献する
• 働く人に優しい環境、事故防止につながる設備を導入し、安定的な雇用
を実現する。→安定的な人員確保及び定着を行うことで車輛故障によ
る輸送能力不足の解消に貢献する
• 木更津は房総半島の物流手段の維持確保に重要な立地であり、競合
が少ないブルーオーシャンのマーケットである。→配送トラックに欠かせない
大規模整備拠点を設けることで地域物流インフラの維持に貢献する</t>
  </si>
  <si>
    <t>外発的動機
① 2024年問題への対応
2024年度には輸送能力が約14％不足し、将来的に2030年度には約
34％不足する※と推計されている。ドライバーの拘束時間を短縮するという
意味でも円滑な修理・整備の手続きを進められる拠点が運送業界より求め
られている。
② 千葉県の物流問題
今後の人口減少と千葉県の地理的要因を勘案すると、房総半島への物流
手段の維持確保は地域の重要な課題と言え、今回の補助事業(木更津
市での整備拠点新設)が大きく貢献できると考えている。</t>
  </si>
  <si>
    <t>内発的動機
① 整備工場の拡大
本社整備工場が手狭になってきており、お客様の修理・整備の受付を
お断りせざるを得ない状況になっている。アフターサービスの観点から
新規車輛販売がこれ以上拡大出来なくなりつつある。
② 労働環境の改善
採用において、求職者は労働環境を重視する傾向にある。最新設備
を保有する木更津整備工場を新設することで新規採用の強化、採
用後の離職率の低下を図る。</t>
  </si>
  <si>
    <t>【p.1／下の地元運送業者まで】が連携して課題に立ち向かう必要がある。】
• 2024年問題と呼ばれるトラックドライバーの時間外労働規制による輸送能力の低下が日本の物流業界にとって大きな問題となっている。
• 将来的な輸送能力低下に向けた対応として弊社だけではなく、物流に関わる事業者【川上のVOLVOトラック(車輛メーカー)から販売会社及び運送会社、川
下の地元運送業者まで】が連携して課題に立ち向かう必要がある。
• 60年余りトラック販売・整備業界に携わり、確固たる信用と顧客基盤を有している弊社の役割として物流トラック稼働率向上のために整備時間短縮等の体
制整備、人員不足による整備遅れの解消、地域の物流連携を目指していきたい。
【p.1／売上成長目標】
売上成長目標
• 2029年度までに会社全体の売上高年平均成長率10％
• 2029年度までに会社全体の売上高増加額約47億円</t>
  </si>
  <si>
    <t>【p.1】
株式会社ヨシノ自動車
1.長期成長ビジョン
「共に走ることで、できることがきっとある」
経営理念である”共走”のもと、2024年問題における輸送能力不足の改善や地域の物流連携に寄与する
• 2024年問題と呼ばれるトラックドライバーの時間外労働規制による輸送能力の低下が日本の物流業界にとって大きな問題となっている。
• 将来的な輸送能力低下に向けた対応として弊社だけではなく、物流に関わる事業者【川上のVOLVOトラック(車輛メーカー)から販売会社及び運送会社、川
下の地元運送業者まで】が連携して課題に立ち向かう必要がある。
• 60年余りトラック販売・整備業界に携わり、確固たる信用と顧客基盤を有している弊社の役割として物流トラック稼働率向上のために整備時間短縮等の体
制整備、人員不足による整備遅れの解消、地域の物流連携を目指していきたい。
長期成長ビジョン（目指す姿・ビジネスモデル） 外発的動機
① 2024年問題への対応
• 経営理念である「共走」のもと、販売会社、運送会社、一人ひとりのドライ
2024年度には輸送能力が約14％不足し、将来的に2030年度には約
バーが信頼関係のもとに結びつき、知恵を出し合い、利益を分け合いなが
34％不足する※と推計されている。ドライバーの拘束時間を短縮するという
ら共に走っていけるあり方をみつける。
意味でも円滑な修理・整備の手続きを進められる拠点が運送業界より求め
られている。
〈上記ビジョン達成のための具体的行動〉
② 千葉県の物流問題
• 最新の省人化・省力化設備を導入することで迅速な修理・整備体制を
今後の人口減少と千葉県の地理的要因を勘案すると、房総半島への物流
確立する。→整備時間短縮により車輛の稼働率を上げることで輸送能
手段の維持確保は地域の重要な課題と言え、今回の補助事業(木更津
力向上に貢献する
市での整備拠点新設)が大きく貢献できると考えている。
• 働く人に優しい環境、事故防止につながる設備を導入し、安定的な雇用
を実現する。→安定的な人員確保及び定着を行うことで車輛故障によ
内発的動機
る輸送能力不足の解消に貢献する
• 木更津は房総半島の物流手段の維持確保に重要な立地であり、競合 ① 整備工場の拡大
が少ないブルーオーシャンのマーケットである。→配送トラックに欠かせない 本社整備工場が手狭になってきており、お客様の修理・整備の受付を
大規模整備拠点を設けることで地域物流インフラの維持に貢献する お断りせざるを得ない状況になっている。アフターサービスの観点から
新規車輛販売がこれ以上拡大出来なくなりつつある。
② 労働環境の改善
売上成長目標
採用において、求職者は労働環境を重視する傾向にある。最新設備
• 2029年度までに会社全体の売上高年平均成長率10％
を保有する木更津整備工場を新設することで新規採用の強化、採
• 2029年度までに会社全体の売上高増加額約47億円
用後の離職率の低下を図る。
出典※： 国土交通省 物流の適正化・生産性向上に向けた荷主事業者・物流事業者の取組に関するガイドライン（2023.6.2）</t>
  </si>
  <si>
    <t>【p.2】
株式会社ヨシノ自動車
.補助事業の概要
2
関東圏にもアクセスができ、房総半島の物流維持確保に重要な木更津市に整備工場を新設、先進的な設備を導入すること
で物流トラックの稼働率向上や人員不足による整備遅れが解消され、2024年問題における輸送能力不足の改善に寄与する
補助事業の • 先進的な設備を導入した整備工場を新設することで、アフターサービスの充実や人材確保を図る 事業費 2 億円
6
背景・目的 • アフターサービスの観点から拡大に限界があった車輌の販売台数を伸長させる。 （補助額） （7.3億円）
• 事業費21.8億円のうち、建物20億円(約2800㎡)、機械設備1.8億円(リフト等)へ投資
• 従来より手狭であった本社整備工場に追加して、木更津市に新たに整備工場を新設し2拠点にする計画
• 本社整備工場は短時間で終わる3ヶ月点検等に特化し、木更津整備工場は数日かかる修理や架装に特化
する
• 導入する設備は整備レーンにはスライドの伸縮自動化や全自動画像処理、架装レーンには自動シャーリング
マシンや自動穴あけ機を導入することで従来よりも格段に作業スピードが短縮化され生産性が向上する
工場イメージ模型
設備投資の 整備部
内容 本社整備工場 木更津整備工場
①車検
点検
②一般整備 短時間作業
修理・修繕
長時間作業
部品取り付け
③架装 板金
塗装
2026年度 2029年度
項目
（基準年度） （基準年度＋３年後）
労働生産性 3,561万円/人
1,406万円/人
（単位：万円/人） （年平均上昇率＋36.3％）
目標値 従業員1人あたり給与支給総額 560万円/人 655万円/人
（単位：万円/人） （年平均上昇率＋5.4％）
役員１人あたり給与支給総額
※補助事業を専任する執行役員の給与は従業員給与に含まれており、役員報酬としては計上されていない
（単位：万円/人）
補助事業に係る従業員数
10 65
（単位：人）</t>
  </si>
  <si>
    <t>1.⾧期成⾧ビジョン 株式会社コンメックス
当社グループの開発力を活かし、各業界の自動化ニーズを具現化することで、SIer業界のトップ企業を目指す</t>
  </si>
  <si>
    <t>⾧期成⾧ビジョン（目指す姿・ビジネスモデル）
 目指す姿
• 各業界における自動化ニーズを具現化することで、SIer業界の
トップ企業を目指す
 ビジネスモデル
• 収益の柱
①ロボットハンド、②FAシステム、③自動車部品、④画像処理

• 差別化ポイント
グループ一体となった開発力

- グループ内に製造部門を有しているため、現場のニーズを忖
度なく開発部門に伝達することが可能。これを活かして、現
場ニーズに即したFAシステムやロボットツールを顧客に提案
グループ内の補完関係

- ロボットハンド、FAシステム、画像処理の技術は相互補完性
が高く、顧客の多様なニーズに柔軟に対応が可能</t>
  </si>
  <si>
    <t>外発的動機
• 日本国内の労働人口が減少する中で、企業にとっての重要な課
題は労働生産性の向上
• このような状況下で、各業界において工場の自動化ニーズが高ま
るなか、製造業は勿論、食品、医薬品、化粧品などの三品業界か
らもFA化への需要が急増
• 当社は、今後もグループ全体のFA化技術を活用し、このメガトレ
ンドを捉えていくことに注力
• 業界の年平均成⾧率（CAGR）は以下の通り
 ロボットハンド : +11.4%
 FA : +8.8%
 自動車ｴｱﾊﾞｯｸﾞ用部品 : +12.0%</t>
  </si>
  <si>
    <t>内発的動機
• 現在、経済環境の急速な変化に伴い、顧客の要望も多様化。以
前は、当社からの営業活動が多かったものの、現在は顧客からの問
い合わせや持ち込みが増加しており、顧客のFA化ニーズが顕著に
増加
• 当社グループは、前述のような新たな業界からの要望に対しても、ト
ライ＆エラーの精神を大切にし、積極的な開発を継続。その結果、
大手企業を凌駕する開発力を誇り、当社の製品売上の70%が
オリジナル商品という成果を上げている
• 今後もこのような強固な開発力を活かし、引き続き地域社会の課
題解決・発展に貢献する</t>
  </si>
  <si>
    <t>【p.1／売上成長目標】
売上成⾧目標
• コンメックス（2023年→2029年）
会社全体の売上高成⾧率 :＋250％

会社全体の売上高 :＋30億円

• 連結（2023年→2029年）
会社全体の売上高成⾧率 :＋201％

会社全体の売上高 :＋84億円

【p.2／設備投資の内容】
 設備投資の内容
 ロボットハンド製造工場を移転・拡大するとともに、設備導入に
- 生産効率の改善:新型研磨機や焼入炉、協働ロボット、
- 生産能力の増強:最新の工作機械を導入
 設備投資による効果
【売上の増加】
 敷地・延床が約2倍となり、生産キャパシティの問題が解決。増
【生産性の向上による利益の増加】
 キャパシティの増加のほか、余裕のある敷地を活かした効率的
 各種自動化設備の導入によって人的工数を削減
 これまで外注していた一部の表面処理工程についても、焼入炉
【従業員に対する賃上げや労働環境改善】
 人手不足の中、人的工数を抑えつつも増産が可能となるため
 過密で老朽化した既存工場に比べて従業員の安全性や労働</t>
  </si>
  <si>
    <t>【p.1】
1.⾧期成⾧ビジョン 株式会社コンメックス
当社グループの開発力を活かし、各業界の自動化ニーズを具現化することで、SIer業界のトップ企業を目指す
⾧期成⾧ビジョン（目指す姿・ビジネスモデル） 外発的動機
 目指す姿 • 日本国内の労働人口が減少する中で、企業にとっての重要な課
題は労働生産性の向上
• 各業界における自動化ニーズを具現化することで、SIer業界の
• このような状況下で、各業界において工場の自動化ニーズが高ま
トップ企業を目指す
るなか、製造業は勿論、食品、医薬品、化粧品などの三品業界か
 ビジネスモデル
らもFA化への需要が急増
• 収益の柱 • 当社は、今後もグループ全体のFA化技術を活用し、このメガトレ
①ロボットハンド、②FAシステム、③自動車部品、④画像処理 ンドを捉えていくことに注力

• 差別化ポイント • 業界の年平均成⾧率（CAGR）は以下の通り
 ロボットハンド :+11.4%
グループ一体となった開発力

 FA : +8.8%
- グループ内に製造部門を有しているため、現場のニーズを忖
 自動車ｴｱﾊﾞｯｸﾞ用部品:+12.0%
度なく開発部門に伝達することが可能。これを活かして、現
場ニーズに即したFAシステムやロボットツールを顧客に提案
内発的動機
グループ内の補完関係

• 現在、経済環境の急速な変化に伴い、顧客の要望も多様化。以
- ロボットハンド、FAシステム、画像処理の技術は相互補完性
前は、当社からの営業活動が多かったものの、現在は顧客からの問
が高く、顧客の多様なニーズに柔軟に対応が可能
い合わせや持ち込みが増加しており、顧客のFA化ニーズが顕著に
売上成⾧目標 増加
• コンメックス（2023年→2029年） • 当社グループは、前述のような新たな業界からの要望に対しても、ト
会社全体の売上高成⾧率 :＋250％
 ライ＆エラーの精神を大切にし、積極的な開発を継続。その結果、
会社全体の売上高 :＋30億円
 大手企業を凌駕する開発力を誇り、当社の製品売上の70%が
• 連結（2023年→2029年） オリジナル商品という成果を上げている
会社全体の売上高成⾧率 :＋201％
 • 今後もこのような強固な開発力を活かし、引き続き地域社会の課
会社全体の売上高 :＋84億円

題解決・発展に貢献する
（出所）Robotic Grippers Market CAGR, size, share, trends, growth, value, key players analysis | StratisticsMRC report (strategymrc.com)
ファクトリー＆産業オートメーション市場-規模、成長、分析(mordorintelligence.com)
自動車用エアバッグの市場規模とシェア分析-産業調査レポート-成長トレンド(mordorintelligence.com)</t>
  </si>
  <si>
    <t>【p.2】
2.補助事業の概要 株式会社コンメックス
工場の新設による生産キャパシティの増加などによる収益力の強化を通して、社会課題である人手不足の解決に貢献
 背景:ロボット市場の拡大に伴う引き合いは増加傾向にあるものの、既存工場の生産能力は上限に
補助事業の 達しており、現状では増産が困難 事業費 28億円
背景・目的  目的:本事業は、工場の新設による生産キャパシティの増加、最新設備の導入による生産効率の向 （補助額） （2.9億円）
上などによる収益力の強化を通して、社会課題である人手不足の解決に貢献を目的とするもの
 設備投資の内容 新工場イメージ図
 ロボットハンド製造工場を移転・拡大するとともに、設備導入により下記効果を企図
- 生産効率の改善:新型研磨機や焼入炉、協働ロボット、AMR、自動倉庫を導入
- 生産能力の増強:最新の工作機械を導入
 設備投資による効果
【売上の増加】
設備投資の  敷地・延床が約2倍となり、生産キャパシティの問題が解決。増加するニーズへの対応が可能となる
内容 【生産性の向上による利益の増加】
 キャパシティの増加のほか、余裕のある敷地を活かした効率的な動線の構築により、生産性を向上
 各種自動化設備の導入によって人的工数を削減
 これまで外注していた一部の表面処理工程についても、焼入炉の導入により内製化。部材の梱包や輸送に伴う労力や費用を削減
【従業員に対する賃上げや労働環境改善】
 人手不足の中、人的工数を抑えつつも増産が可能となるため、増加した利益を従業員の賃上げに充てることが可能となる
 過密で老朽化した既存工場に比べて従業員の安全性や労働環境が改善。離職率の更なる低下やウェルビーイングの向上が期待できる
コンメックス 近藤製作所
項目 2027年度（基準年度） 2030年度（3年後） 2027年度（基準年度） 2030年度（3年後）
2,814万円/人 2,356万円/人
労働生産性 1,337万円/人 1,148万円/人
(年平均＋28.1％) (年平均＋27.1％)
従業員1人あたり 642万円/人 691万円/人
555万円/人 597万円/人
目標値 給与支給総額 (年平均＋5.0％) (年平均＋5.0％)
役員1人あたり 1,653万円/人 1,336万円/人
1,428万円/人 1,154万円/人
給与支給総額 (年平均＋5.0％) (年平均＋5.0％)
補助事業に係る
72人 72人 18人 18人
従業員数</t>
  </si>
  <si>
    <t>株式会社永井運送
1.長期成長ビジョン
物流を取り巻く環境は、産業構造の多様化、情報化の高度進展、顧客ニーズの多様化など、著しく変化してい
る。環境に適合し時代の波を乗り切るためには、多様化するニーズを的確に把握し、柔軟に対応していく必要が
ある。</t>
  </si>
  <si>
    <t>長期成長ビジョン（目指す姿・ビジネスモデル）
【持続的成長】
多様化するニーズを的確に把握し、時代の変化や高度な要求に柔
軟に対応できる対応力を強化する。また、機械化や自動化を推進し
効率化を図る。生産性の向上によって得た利益の一部は、賃金アッ
プとして従業員に還元する。また、利益の一部は追加投資資金として
活用する。労働生産性が高く、高付加価値のサービス提供により利
益を獲得し、賃金アップと追加投資により、更なる生産性を上げるとい
う好循環を創出し、持続的成長を目指す。
【地域経済の活性化】
倉庫の新設等により、地域の雇用を創出する。また、地域社会に
根差した中小企業に対して、ニーズに合致した質の高い物流サービス
を提供し、物流業務を最適化することにより、取引先の生産性向上
や競争力強化にも貢献する。
【環境問題への対応】
環境への負荷を最小限に抑えるため、CO2排出削減や再生可能
エネルギーの活用に向けて取り組み、持続可能な輸送手段の採用を
促進する。</t>
  </si>
  <si>
    <t>外発的動機
• 物流業界の「2024年問題」
ドライバーの労働時間の制限により、人手不足や物流コストの増
加、サービス低下などが懸念されるため、労働環境や労働条件の
改善等に積極的に取り組む必要がある。
• 燃料の高騰、価格競争の激化
顧客のあらゆるニーズに対応し、他社と差別化された付加価値の
高いサービスを提供することにより、競争力強化を図る必要がある。
• 環境問題
物流業界においても、CO２の排出量削減が求められており、燃
料効率の改善や再生可能エネルギーの利用、輸送効率の向上
などに積極的に取り組む必要がある。</t>
  </si>
  <si>
    <t>内発的動機
• 弊社は、一人一人が持っている人間性や相手を思いやる利他の心
を高め、「人間力」を磨き上げてお客様の物流を担う体制を整えて
きた。お客様の様々なご要望を形にし、「困ったときは永井運送」と
いう評価をいただけるまでに対応力を日々磨き上げてきた。
• 熊本県では、世界最大手の台湾の半導体企業TSMCの工場誘
致に伴い半導体関連企業の進出が相次いでおり、活性化の期待
が高まっている。そうした中で、半導体製品の倉庫が不足しているの
で、取り扱って欲しいとの声をいただく機会が多くなった。半導体製
品にはクリーンルームが不可欠である。弊社は、クリーンルームを備え
た倉庫業の経験はなく、様々なリスクも考えたが、こういう時こそ対
応力を発揮するチャンスだと思い新規倉庫の建設と稼働に取り組む
ことにした。
• 運送業における価格面のみでの競争は、業績悪化を招きかねない
ことから、特殊な製品を扱う倉庫や高度な倉庫サービスを提供する
ことにより、顧客を獲得し、運送と一体的に請け負うことで会社全
体の業績アップを図る。</t>
  </si>
  <si>
    <t>【p.1／売上成長目標】
売上成長目標
• 2033年度までに会社全体の売上高成長率68.5％
• 2033年度までに会社全体の売上高増加額25億円
【p.2／設備投資の内容】
【設備投資の内容】
宇城市松橋町に鉄骨造２階建の倉庫棟（延べ床面積
事務所棟（延べ床面積943㎡）を建設。2025年９月完
10月稼働予定。
【設備投資の効果等】
熊本県内では、半導体関連企業の進出が相次いでおり、
需要が急激に増えているが、クリーンルームを備えた倉庫は圧
ている。今後も高まる需要に応えるために、クリーンルームを備
設し、弊社のノウハウを活用した効率的な倉庫サービスや物
供する。活況を呈している半導体関連企業をターゲットとして
ニーズに合致していること、付加価値の高いサービスを提供す
先駆けて取り組むことで差別化も図られること等から、弊社に
働生産性向上に繋がる革新的取組みである。また、取引先
にも寄与するものであり、半導体業界の活況を支える事業で</t>
  </si>
  <si>
    <t>【p.1】
株式会社永井運送
1.長期成長ビジョン
物流を取り巻く環境は、産業構造の多様化、情報化の高度進展、顧客ニーズの多様化など、著しく変化してい
る。環境に適合し時代の波を乗り切るためには、多様化するニーズを的確に把握し、柔軟に対応していく必要が
ある。
外発的動機
長期成長ビジョン（目指す姿・ビジネスモデル） • 物流業界の「2024年問題」
ドライバーの労働時間の制限により、人手不足や物流コストの増
【持続的成長】
加、サービス低下などが懸念されるため、労働環境や労働条件の
多様化するニーズを的確に把握し、時代の変化や高度な要求に柔
改善等に積極的に取り組む必要がある。
軟に対応できる対応力を強化する。また、機械化や自動化を推進し
• 燃料の高騰、価格競争の激化
効率化を図る。生産性の向上によって得た利益の一部は、賃金アッ
顧客のあらゆるニーズに対応し、他社と差別化された付加価値の
プとして従業員に還元する。また、利益の一部は追加投資資金として
高いサービスを提供することにより、競争力強化を図る必要がある。
活用する。労働生産性が高く、高付加価値のサービス提供により利
• 環境問題
益を獲得し、賃金アップと追加投資により、更なる生産性を上げるとい
物流業界においても、CO２の排出量削減が求められており、燃
う好循環を創出し、持続的成長を目指す。
料効率の改善や再生可能エネルギーの利用、輸送効率の向上
などに積極的に取り組む必要がある。
【地域経済の活性化】
倉庫の新設等により、地域の雇用を創出する。また、地域社会に
内発的動機
根差した中小企業に対して、ニーズに合致した質の高い物流サービス
• 弊社は、一人一人が持っている人間性や相手を思いやる利他の心
を提供し、物流業務を最適化することにより、取引先の生産性向上
を高め、「人間力」を磨き上げてお客様の物流を担う体制を整えて
や競争力強化にも貢献する。
きた。お客様の様々なご要望を形にし、「困ったときは永井運送」と
いう評価をいただけるまでに対応力を日々磨き上げてきた。
【環境問題への対応】
• 熊本県では、世界最大手の台湾の半導体企業TSMCの工場誘
環境への負荷を最小限に抑えるため、CO2排出削減や再生可能
致に伴い半導体関連企業の進出が相次いでおり、活性化の期待
エネルギーの活用に向けて取り組み、持続可能な輸送手段の採用を
が高まっている。そうした中で、半導体製品の倉庫が不足しているの
促進する。
で、取り扱って欲しいとの声をいただく機会が多くなった。半導体製
品にはクリーンルームが不可欠である。弊社は、クリーンルームを備え
た倉庫業の経験はなく、様々なリスクも考えたが、こういう時こそ対
売上成長目標
応力を発揮するチャンスだと思い新規倉庫の建設と稼働に取り組む
• 2033年度までに会社全体の売上高成長率68.5％
ことにした。
• 2033年度までに会社全体の売上高増加額25億円
• 運送業における価格面のみでの競争は、業績悪化を招きかねない
ことから、特殊な製品を扱う倉庫や高度な倉庫サービスを提供する
ことにより、顧客を獲得し、運送と一体的に請け負うことで会社全
体の業績アップを図る。</t>
  </si>
  <si>
    <t>【p.2】
.補助事業の概要 株式会社永井運送
2
倉庫業者は、多様化するニーズの対応と高度な専門性が求められている。補助事業では、大規模なクリーン
ルーム倉庫を新設し、熊本県で急激に高まった半導体製品の倉庫需要に応える。
熊本県では世界最大手の半導体企業TSMCの進出に伴い、半導体製造が急激に活性化してい
補助事業の るが、半導体製品の保管に不可欠である高度な空気洗浄が確保されたクリーンルーム倉庫が不 事業費
2 億円
2
背景・目的 足している。今後も高い需要が見込まれるクリーンルームを備えた倉庫を新たに立ち上げ、物流全 （補助額）
（ 億円）
2.1
般を請け負うことにより、会社全体の業績アップを図る。
【設備投資の内容】
宇城市松橋町に鉄骨造２階建の倉庫棟（延べ床面積9,781㎡）及び
事務所棟（延べ床面積943㎡）を建設。2025年９月完成、 2025年
10月稼働予定。
【設備投資の効果等】
熊本県内では、半導体関連企業の進出が相次いでおり、それに伴う倉庫
需要が急激に増えているが、クリーンルームを備えた倉庫は圧倒的に不足し
設備投資の
ている。今後も高まる需要に応えるために、クリーンルームを備えた倉庫を新
内容
写真等
設し、弊社のノウハウを活用した効率的な倉庫サービスや物流サービスを提
供する。活況を呈している半導体関連企業をターゲットとしていること、顧客
ニーズに合致していること、付加価値の高いサービスを提供すること、他社に
先駆けて取り組むことで差別化も図られること等から、弊社にとって大幅に労
働生産性向上に繋がる革新的取組みである。また、取引先のコスト削減等
にも寄与するものであり、半導体業界の活況を支える事業である。
なお、当該倉庫の他にも、２棟の倉庫を新設する計画である。
2025年度（26年３月期） 2028年度（29年３月期）
項目
（基準年度） （基準年度＋３年後）
労働生産性 987
（単位：万円/人）
625
（年平均上昇率＋16.5％）
目標値 従業員1人あたり給与支給総額
451
569
（単位：万円/人） （年平均上昇率＋8.1％）
役員１人あたり給与支給総額 1,357
1,077
（単位：万円/人） （年平均上昇率＋8.00％）
補助事業に係る従業員数
210 215
（単位：人）</t>
  </si>
  <si>
    <t>1.長期成長ビジョン まねき食品株式会社
大規模成長投資で老舗に生産性革命をもたらし、ローカル企業からグローカル企業に飛躍する</t>
  </si>
  <si>
    <t>長期成長ビジョン（目指す姿・ビジネスモデル）
創業136年の知見と最新フードテックを武器に
当社が主体となって駅弁文化の成長と発展に貢献し、
日本の伝統を後世に継承する
✓ 幕の内駅弁のパイオニアとして、地方の駅弁事業、雇用、
生産者、地域の味、日本の伝統を守る
✓ 海外マーケットを切り拓き、日本の駅弁・駅ナカの価値を海
外に発信。プレミアム冷凍市場における当社独自のポジ
ションとブランドを確立する
✓ 関西No.1、全国No.2の駅弁事業者へと成長を遂げ、
全社員の大幅且つ持続的な賃上げを実現。
社員が誇りと働きがいを感じられる成長型企業へ変容する
＊主要駅弁事業者：崎陽軒250億円、荻野屋/ひろしま駅弁60億円、淡路屋50億円
✓ 省力化設備への積極投資を推進し、製造現場の抜本的な
労働生産性改善を追求。冷凍事業比率を高めることで、
日中の計画生産にシフトし、働きやすい勤務環境を整える</t>
  </si>
  <si>
    <t>外発的動機
• エキナカ商業施設の販売商品多様化、新幹線のワゴン販売終了、鉄
日本の
伝統事業 道の高速化による車中食機会の減。駅弁事業者にとっては苦難の時代
の衰退 • 老舗駅弁事業者の後継者難と地方の過疎化の進行
少子 • 少子高齢化による人口減少で、内需縮小は不可避
高齢化 • 生産年齢人口の減少により、人材採用は中小企業の永続的な課題
女性の • 女性の社会進出により、共働き世帯の増加傾向は続き、家事の時短
社会進出 ニーズが拡大
旺盛な • 2024年の訪日外国人旅行者数は過去最高を見込み、2030年
訪日需要 には5千万人突破と推定
国際的 • 万博、IR開業等、関西で大型イベントが続き、訪日客へ日本の弁
イベント 当文化のPRチャンスが続く
進化する • 「冷凍食品＝美味しくない」の印象を覆す、冷凍技術の革新的進化
フードテック • 冷蔵庫、冷凍庫に次ぐ第三の鮮度保持技術「ZEROCO(ゼロコ)」</t>
  </si>
  <si>
    <t>内発的動機
• 2015年ミラノ万博において、弁当盛り付けのエキシビジョンを実施。
観客の熱心な眼差しに、日本食の付加価値及び「BENTO」の海外
展開の可能性を再認識
成長志向 • 内需縮小が不可避な中、非日常食としての駅弁の位置付け、内需
に頼るビジネスモデルに対し、経営者としてリスクを感じざるを得ない
• 業績見通しの明るい今を最大の好機と捉え、不測の経営リスクに備
えてビジネスモデルの変革に取り組みたい
働き方 • 深夜・早朝中心の生産体制を日中生産に変更し、労働環境の抜本
改革 的改善を図りたい
機会損失 • 自社の生産能力が限界に到達し、機会損失が発生
• コロナ禍、震災、リーマンショック等、外部環境急変で苦しんだ記憶
苦い経験 • 日本で初めて台湾に常設駅弁店を出店するも3年弱で撤退。海
外の現地人材に食材調達、調理、販売を任せる難しさを実感。</t>
  </si>
  <si>
    <t>【p.1／売上成長目標】
売上成長目標
内需＋外需の獲得により、
2030年8月までに売上高100億円超を達成する。
（輸出額は5年で6億、10年で20億を目指す）
※直近2023年8月期の全社売上高は47億8,900万円
※売上高目標100億円は、社員感謝イベントにて社員に発表済み
✓ 2030年8月期までに会社全体の売上高成長率120％
✓ 2030年8月期までに会社全体の売上高増加額60億円</t>
  </si>
  <si>
    <t>【p.1】
1.長期成長ビジョン まねき食品株式会社
大規模成長投資で老舗に生産性革命をもたらし、ローカル企業からグローカル企業に飛躍する
長期成長ビジョン（目指す姿・ビジネスモデル） 外発的動機
創業136年の知見と最新フードテックを武器に 日本の • エキナカ商業施設の販売商品多様化、新幹線のワゴン販売終了、鉄
伝統事業 道の高速化による車中食機会の減。駅弁事業者にとっては苦難の時代
当社が主体となって駅弁文化の成長と発展に貢献し、
の衰退 • 老舗駅弁事業者の後継者難と地方の過疎化の進行
日本の伝統を後世に継承する
少子 • 少子高齢化による人口減少で、内需縮小は不可避
高齢化 • 生産年齢人口の減少により、人材採用は中小企業の永続的な課題
✓ 幕の内駅弁のパイオニアとして、地方の駅弁事業、雇用、
女性の • 女性の社会進出により、共働き世帯の増加傾向は続き、家事の時短
生産者、地域の味、日本の伝統を守る 社会進出 ニーズが拡大
✓ 海外マーケットを切り拓き、日本の駅弁・駅ナカの価値を海 旺盛な • 2024年の訪日外国人旅行者数は過去最高を見込み、2030年
外に発信。プレミアム冷凍市場における当社独自のポジ 訪日需要 には5千万人突破と推定
ションとブランドを確立する 国際的 • 万博、IR開業等、関西で大型イベントが続き、訪日客へ日本の弁
イベント 当文化のPRチャンスが続く
✓ 関西No.1、全国No.2の駅弁事業者へと成長を遂げ、
進化する • 「冷凍食品＝美味しくない」の印象を覆す、冷凍技術の革新的進化
全社員の大幅且つ持続的な賃上げを実現。
フードテック • 冷蔵庫、冷凍庫に次ぐ第三の鮮度保持技術「ZEROCO(ゼロコ)」
社員が誇りと働きがいを感じられる成長型企業へ変容する
＊主要駅弁事業者：崎陽軒250億円、荻野屋/ひろしま駅弁60億円、淡路屋50億円 内発的動機
✓ 省力化設備への積極投資を推進し、製造現場の抜本的な • 2015年ミラノ万博において、弁当盛り付けのエキシビジョンを実施。
労働生産性改善を追求。冷凍事業比率を高めることで、 観客の熱心な眼差しに、日本食の付加価値及び「BENTO」の海外
日中の計画生産にシフトし、働きやすい勤務環境を整える 展開の可能性を再認識
成長志向 • 内需縮小が不可避な中、非日常食としての駅弁の位置付け、内需
に頼るビジネスモデルに対し、経営者としてリスクを感じざるを得ない
売上成長目標
• 業績見通しの明るい今を最大の好機と捉え、不測の経営リスクに備
内需＋外需の獲得により、 えてビジネスモデルの変革に取り組みたい
2030年8月までに売上高100億円超を達成する。 働き方 • 深夜・早朝中心の生産体制を日中生産に変更し、労働環境の抜本
改革 的改善を図りたい
（輸出額は5年で6億、10年で20億を目指す）
※直近2023年8月期の全社売上高は47億8,900万円 機会損失 • 自社の生産能力が限界に到達し、機会損失が発生
※売上高目標100億円は、社員感謝イベントにて社員に発表済み
• コロナ禍、震災、リーマンショック等、外部環境急変で苦しんだ記憶
✓ 2030年8月期までに会社全体の売上高成長率120％
苦い経験 • 日本で初めて台湾に常設駅弁店を出店するも3年弱で撤退。海
✓ 2030年8月期までに会社全体の売上高増加額60億円
外の現地人材に食材調達、調理、販売を任せる難しさを実感。</t>
  </si>
  <si>
    <t>【p.2】
.補助事業の概要 まねき食品株式会社
2
抜本的な生産性改善と特殊冷凍・冷却能力への大規模投資
省人化・省力化設備の導入による「生産能力の大幅増強」、特殊冷凍・冷却技術の導入による「当社最 事業費 3 3 億円
大の弱点の克服」を図り、積極的な事業拡大と受注活動に舵を切る （補助額） （ 9.3 億円）
補助事業の ⁻ 当社工場の生産能力が目の前の顕在需要に全く追いついておらず、機会損失が発生し続けている
⁻ 調理済み食品の国内市場、海外市場は堅調な成長が見込まれている。
背景・目的
⁻ 世界的には人口の大幅増加が見込まれる一方、今後30年で国内人口は3千万人減少することが見込まれ、内需縮小は避けられない
⁻ 主力商品の常温弁当には「消費期限半日」「商圏は工場から2時間圏内限定」の制約があり、周辺人口減少による将来の行き詰まりが見込まれる
⁻ 上記制約により、食材や売れ残り商品のフードロスが発生しやすい。また、工場は出荷当日の深夜～早朝稼働となり、日中勤務と比べて人材確保が難しい
生産能力増強(1.5倍)と特殊冷凍能力増強(10倍以上)、特殊冷却能力に大規模投資を行う
• 現工場は50年以上前の受注規模に合わせて設計されており、これ以上の生産性改善は難しいため、
より広く、使いやすい生産スペースを求めて新工場を建設、移転する。
• 省人・省力化を実現出来、且つ生産能力の高い食品製造設備の導入を行う。
• 現有の特殊冷凍設備は生産能力が1,000食/日と、プレミアム冷凍市場に本格進出するには圧倒
的に能力不足のため、1万食/日の冷凍弁当を生産可能な特殊冷凍設備を導入する。
設備投資の 新工場のイメージパース
• 食材や加工品の鮮度を非常に高い水準で長期間保つことが出来る特殊冷却庫を導入する。
内容
今回の大規模投資は当社の課題を解決し、事業拡大を図る大きな一歩となる
• 当社の商圏は姫路近郊から全国、海外へと拡大し、見込顧客は現在の何十倍にも増加する。この
市場に対し、当社のこれまでの成功パターンを横展開し、着実に事業拡大を図っていく。
• 省力化設備導入の効果により、平均1万食/日を生産する場合、年間6,577万円のコスト削減効果が見込
まれる。それにプラスして、受注拡大による売上高増と利益の増加も見込め、労働生産性の向上につながる。
2027年８月期 2030年８月期
項目
（基準年度） （基準年度＋３年後）
全社員を対象に
労働生産性 1,497万円/人
577万円/人 年平均上昇率
（単位：万円/人） （年平均上昇率＋37.4％）
5.1%の賃上げを
目標値 従業員1人あたり給与支給総額 388万円/人 実施
334万円/人
（単位：万円/人） （年平均上昇率＋5.1％）
役員を対象に
役員１人あたり給与支給総額 1,058万円/人
848万円/人 年平均上昇率
（単位：万円/人） （年平均上昇率＋7.65％）
7.65%の賃上げを
補助事業に係る従業員数
193人 201人 実施
（単位：人）</t>
  </si>
  <si>
    <t>総武機械株式会社
1.長期成長ビジョン
ものづくりを通して人々の生活を満たし、経済的な豊かさをもたらすことが当社の目指すビジョンである。
2050年カーボンニュートラルの実現に向けて新型のラミネーター類を開発することで世の中に貢献する。
大型化するラミネーター類を製造するための新工場を建設することで、2030年までに売上高を2.5倍以上に伸ばす。</t>
  </si>
  <si>
    <t>長期成長ビジョン（目指す姿・ビジネスモデル）
• 当社は印刷機、紙及びプラスチック加工機の設計・製造・販売を
行っている。中でも、顧客の要望に応じた「特注品」の製造が得意
である。従来の主力顧客である食品包装材メーカーに加えて、最
近は、リチウムイオン電池や全固体電池などの次世代蓄電池の外
装材を作るための大型の貼合加工機（ラミネーター類）の受注が
増えている。
• 急速に拡大する次世代蓄電池向けの市場においては、技術革新
の速度が速いことから、周辺メーカーは、使用する機器や装置に対
して、高い柔軟性を求める傾向がある。当社は特注品の製造ノウ
ハウがあることから、蓄電池向けの製造機についてもオーダーメイド
の柔軟な設計と製造が可能である。
• 次世代蓄電池は2050年カーボンニュートラル実現の鍵を握ってい
る。次世代蓄電池を製造するために不可欠な外装材を生産する
ための装置を提供することで、これからのデジタル社会、電化社会
における国民生活・経済活動の進化に寄与したい。
• 新工場を建設することで、新たな装置の提供を実現する。</t>
  </si>
  <si>
    <t>外発的動機
• 2050年カーボンニュートラルの実現は、我々の子供や孫世代に豊
かな地球環境を残すために達成しなければならない。自社の技術が
生かせるのであればリスクを取ってでもチャレンジしたい。
• 次世代蓄電池の市場は拡大している。一時的な需要の低減はあ
るものの、今後、2050年に向けてさらに拡大することが見込まれて
いる。当社が培ってきた技術で拡大する市場の一部を獲得できるの
であれば、当社の成長につながる。また、協力会社の収益アップにも
つながり、地元で働く人々に恩恵をもたらすことができる。
• 当社が製造する装置は、次世代蓄電池市場向けだけでなく、食品
包装材市場や建材市場等でも求められるものである。
• このチャレンジは、従来品のブラッシュアップにつながる。
• 顧客から外装材を作るための装置を提供してほしいと直々に頼まれ
ており、顧客の課題を解決することがビジネスチャンスにつながる。</t>
  </si>
  <si>
    <t>内発的動機
• ものづくりを通して、人々の生活が満たされ、経済的に豊かになるこ
とを日ごろから願っている。
• 当社が食品包装資材メーカー向けの機械を製造し始めたのは、自
社の技術で人々の食生活を豊かにしたいと考えてのことである。
• 日本のものづくりの技術は高いと考えているが、中国や韓国などの競
合メーカーの競争力の高さは肌で感じている。特に、次世代蓄電池
市場に関しては、海外メーカーにキャッチアップされている現状を何と
かしたいと考えてきた。外装材を作る装置を提供することは日本の
競争力向上に寄与できるチャンスであると考えている。</t>
  </si>
  <si>
    <t>【p.1／売上成長目標】
売上成長目標
• 2030年までに会社全体の売上高成長率157.1％（2023
年5月期21.39億円→2030年5月期55億円）
• 2030年までに会社全体の売上高増加額33.61億円（同
上）
※2024年5月期の決算は確定していないため、2023年5月
期の数値を参照した。</t>
  </si>
  <si>
    <t>【p.1】
総武機械株式会社
1.長期成長ビジョン
ものづくりを通して人々の生活を満たし、経済的な豊かさをもたらすことが当社の目指すビジョンである。
2050年カーボンニュートラルの実現に向けて新型のラミネーター類を開発することで世の中に貢献する。
大型化するラミネーター類を製造するための新工場を建設することで、2030年までに売上高を2.5倍以上に伸ばす。
長期成長ビジョン（目指す姿・ビジネスモデル） 外発的動機
• 2050年カーボンニュートラルの実現は、我々の子供や孫世代に豊
• 当社は印刷機、紙及びプラスチック加工機の設計・製造・販売を
かな地球環境を残すために達成しなければならない。自社の技術が
行っている。中でも、顧客の要望に応じた「特注品」の製造が得意
生かせるのであればリスクを取ってでもチャレンジしたい。
である。従来の主力顧客である食品包装材メーカーに加えて、最
• 次世代蓄電池の市場は拡大している。一時的な需要の低減はあ
近は、リチウムイオン電池や全固体電池などの次世代蓄電池の外
るものの、今後、2050年に向けてさらに拡大することが見込まれて
装材を作るための大型の貼合加工機（ラミネーター類）の受注が
いる。当社が培ってきた技術で拡大する市場の一部を獲得できるの
増えている。
であれば、当社の成長につながる。また、協力会社の収益アップにも
• 急速に拡大する次世代蓄電池向けの市場においては、技術革新
つながり、地元で働く人々に恩恵をもたらすことができる。
の速度が速いことから、周辺メーカーは、使用する機器や装置に対
• 当社が製造する装置は、次世代蓄電池市場向けだけでなく、食品
して、高い柔軟性を求める傾向がある。当社は特注品の製造ノウ
包装材市場や建材市場等でも求められるものである。
ハウがあることから、蓄電池向けの製造機についてもオーダーメイド
• このチャレンジは、従来品のブラッシュアップにつながる。
の柔軟な設計と製造が可能である。
• 顧客から外装材を作るための装置を提供してほしいと直々に頼まれ
• 次世代蓄電池は2050年カーボンニュートラル実現の鍵を握ってい
ており、顧客の課題を解決することがビジネスチャンスにつながる。
る。次世代蓄電池を製造するために不可欠な外装材を生産する
ための装置を提供することで、これからのデジタル社会、電化社会
における国民生活・経済活動の進化に寄与したい。
内発的動機
• 新工場を建設することで、新たな装置の提供を実現する。
• ものづくりを通して、人々の生活が満たされ、経済的に豊かになるこ
売上成長目標 とを日ごろから願っている。
• 2030年までに会社全体の売上高成長率157.1％（2023 • 当社が食品包装資材メーカー向けの機械を製造し始めたのは、自
年5月期21.39億円→2030年5月期55億円） 社の技術で人々の食生活を豊かにしたいと考えてのことである。
• 2030年までに会社全体の売上高増加額33.61億円（同 • 日本のものづくりの技術は高いと考えているが、中国や韓国などの競
上） 合メーカーの競争力の高さは肌で感じている。特に、次世代蓄電池
※2024年5月期の決算は確定していないため、2023年5月 市場に関しては、海外メーカーにキャッチアップされている現状を何と
期の数値を参照した。 かしたいと考えてきた。外装材を作る装置を提供することは日本の
競争力向上に寄与できるチャンスであると考えている。</t>
  </si>
  <si>
    <t>【p.2】
総武機械株式会社
.補助事業の概要
2
生産面の課題である、①製造する機械（装置）の大型化への対応、②内製化率の向上、③品質水準の向上という３点
を解決するために、現本社工場から2.8㎞離れた場所に新工場を建設する。新工場には、長さ60ｍの組立ラインを２本備える
ことで生産性を高める。結果、労働生産性は、2.3倍になる（補助事業における基準年度⇒基準年度＋3年後）。
• 次世代蓄電池向け外装材を作る装置が大型化しており、対応する組立工場が必要である。
補助事業の 事業費 億円
20
• 装置の部品の内製化率が低くコスト増になっており、部品製造の内製化率を高める必要がある。
背景・目的 （補助額） （ 億円）
• 次世代蓄電池向け顧客が求める品質水準が高く、それに応える必要がある。 5.7
【工場を上から見た図【】
• 現本社工場から2.82㎞の距離にある場所に、延べ床面積3,480㎡の組
立工場を新たに建設する。現本社工場と新工場は国道126号線で結ば
れており、移動時間は車で５分程度と移動が容易である（部品を積んだ
り降ろしたりする時間は含まない）。
• 新工場には、組立ラインを２本設ける。組立ライン一本の大きさは、長さ
長さ60メー
トルの組立
60ｍ、幅15ｍ、高さ11ｍ（クレーンまでの高さは8ｍ）である。
ラインを2
• 吊り上げ荷重10ｔのクレーンを各ラインに３基ずつ、計６基設置すること
本設ける
設備投資の で、製造する装置の大型化に対応すると同時に、組立のスピードアップを
図る。
内容
• 新工場に併設して、塗装場を建設する。塗装場は延床面積210㎡であ
る。組立ラインと塗装場が隣接することで、無駄な移動はなくなる。
• 現本社工場は部品の製造工場とする。部品製造の内製化を進めることで
外注費の削減を図る。製造した部品を組立ラインに運ぶ必要があるが、距
【工場を横から見た図【】
離は2.8㎞であり、現在の第二工場と比較して（本社工場と第二工場は
20㎞離れている）、運搬にかかる時間を大幅に短縮できる。
• 用地には余裕があり、将来の工場拡張の余地を残している。
2027年5月期 2030年5月期
項目
（基準年度） （基準年度＋３年後）
労働生産性
12,158千円／人
28,189千円／人
目標値 （単位：千円/人） （年平均上昇率＋32.4％）
（補助事業） 従業員1人あたり給与支給総額 6,456千円／人 7,473千円／人
（単位：千円/人） （年平均上昇率＋5.0％）
役員１人あたり給与支給総額 19,348千円／人
16,713千円／人
（単位：千円/人） （年平均上昇率＋5.0％）
補助事業に係る従業員数
28人 47人
（単位：人）</t>
  </si>
  <si>
    <t>1.長期成長ビジョン 菅野包装資材株式会社
我社は、複雑化・多様化する社会問題やお客様のニーズを成長の機会と捉え、イノベーションを契機とする将来
目指す姿を定めました。これによりステークホルダーに届ける価値を通じて持続的成長を目指していきます。</t>
  </si>
  <si>
    <t>1.長期成長ビジョン
我社は、複雑化・多様化する社会問題やお客様のニーズを
目指す姿を定めました。これによりステークホルダーに届ける
長期成長ビジョン（目指す姿・ビジネスモデル）
社会では環境問題や人手不足が起き、お客様には複雑化・多様化する
ニーズがあり、我社も様々な課題を抱えています。我社は、こうした不確実
性を成長の機会と捉え、イノベーションを契機とする将来目指す姿を定めま
した。社会に、お客様に、そして社員に価値を届けていくことで、それぞれの
課題解決と発展に寄与し我社も持続的成長が遂げられると考えます。
が目指す姿
GX Innovation 180
環境配慮と生産性向上を実現し
お客様のニーズに応え
社員が生き生きと働く企業
社会への価値 お客様への価値 社員への価値
環境問題への対応 環境配慮型製造 賃上げ
地域雇用の増加 高い品質 職場環境改善
地域経済の発展 高い生産能力 多様な人材の活躍</t>
  </si>
  <si>
    <t>外発的動機
• マイクロプラスチックによる海洋汚染、CO2排出による地球温暖化など環境
に対する社会の問題意識が年々増大している
• 加工性やコストでプラスチックに代わる素材はなく、その機能性から包装材と
しての顧客ニーズは増している
• 機能性包装材料、環境配慮型材料へのニーズが高まっている
• 原材料価格、エネルギーコストが上昇し、収益を圧迫している
• 人手不足が進む中で、設備投資により省人化・省力化を図り、多様な人
材を雇用できる職場づくりが求められている
• 従来のグラビア印刷の概念を覆す革新的な印刷機やインキ、ロスの少ない
ラミネート機、高速レーザー搭載のスリット機が登場してきた</t>
  </si>
  <si>
    <t>内発的動機
• 製造過程で発生するVOC※、CO2は環境負荷が大きく、脱炭素化へ世
界が向かう中で、我社も社会の一員として対策していかなければならない
• グラビア印刷の現場では、従業員は重い版や製品を運び、インキにまみれ
ながら、有機溶剤を含んだ空気の中で作業をしている
• 高品質を求められる日本の市場ではグラビア印刷が主流で、その工程は
50年以上変わっておらず、選択肢がなかった
• 印刷工場の３Kのイメージから脱却し多様な人材が働ける職場にしたい
• 作業の標準化・自動化により属人化を排除し、誰でもできる工程にする
• 増加する受注量に対して生産効率が悪く、生産能力が限界にきている
• 社員が生き生きと働ける企業、地域に認められる企業になりたい</t>
  </si>
  <si>
    <t>【p.1／売上成長目標】
売上成長目標（2023年6月期 対比）
168.5％
2030年までの会社全体の売上高成長率
73.2億円
2030年までの会社全体の売上高増加額
【p.2／Before】
Before
非効率なライン 生産能力限界 人材不足
充填事業は検品、梱包作業は人手によるところが多くある。また既存工
場の建物の制約からラインの配置が非効率で、生産能力にも限界がある。
【p.2／Before】
Before
人力作業 労働環境問題 VOC・CO2排出 火災リスク
フィルム印刷におけるグラビア印刷※は高い印刷品質である一方、VOCやCO2
の排出や火災のリスクなど環境負荷が大きく、従業員にとっても重労働でインキ
汚れも常態的にあるなど労働環境に課題がある。
※グラビア印刷とは、版の凹んだ部分にインキを付着させて、印刷物に押しあてる印刷方法
【p.2／After】
After
効率的なライン ラインの増設 ラインの掛持ち 自動化による省人化
既存ラインの移設により直線的なライン配置とし、作業効率の改善を図
り、検品・梱包の自動化により省人化を進める。そのうえでラインを増設
し生産能力を増強する。
【p.2／After】
After
省力化 クリーンな VOCフリー 安全安心
労働環境 脱炭素化
EBオフセット印刷 はフィルム印刷において革新的な方式であり、高い印刷品質と生
※
産能力を実現しながら、VOCフリー・CO２削減など環境負荷を大幅低減できる。
さらに従業員の労働環境を改善することができ、塗料を扱う仕事の「危険」「きつい」
「汚い」という業界の課題を改善し人材確保や退職防止に繋がる。
※オフセット印刷とは、版につけたインクをローラーに転写、それをローラーに移して紙に印刷する方式
【p.3／新工場建設】
・新工場建設
用地 ：加西インター産業団地…約18,757㎡（5,674坪）／建築面積…13,288㎡（4,026坪）【２階建】
構造 ：重量鉄骨造（予定）
用地の造成工事は今年6月に完了。今回導入する設備の配置を検討し、敷地面積や建築面積を想定。併せて設計を依頼する。
工場には後述する新型印刷・ラミネート機の導入により、従来のようなVOC対策設備や排気ダクトの設置が不要で、においやファ
ンの音もしない。加西市の玄関口にある工場として環境配慮をテーマにし、地域に先進的なイメージを提供できる外観を検討している。
【p.4／GXコンバーティング事業】
・GXコンバーティング事業
当事業の目的は、包装資材の製造工程をGXに対応した環境配慮型に転換し、高い付加価値の受注を獲得し生産能力を引き上げることにある。
導入する設備は、軟包装印刷において革新的なEBオフセット印刷機をはじめとして、いずれもこの目的に適うものである。
解決し得る課題・・・VOC、CO2排出などの環境負荷を低減でき、低エネルギー化、版や廃プラスチックの削減など省資源化を図れる。溶剤不要、
版の入れ替えもロボットで行えるなど労働環境を改善することができ、多様な人材が働ける職場になる。
労働生産性向上に繋がる点・・・最新鋭の設備により高速化・ロボットによる自動化・工程の削減など効率化を図ることで、高付加価値の案件
を受注することに繋がり、収益性を引き上げ労働生産性は向上に繋がる。
【p.6／OEM充填事業】
・OEM充填事業
選別→計量→充填→包装→梱包→パレタイズまでの一連の作業をラインを構築し自動化。現状は数社のペットフードの充填作業を請け負って
おり、増産対応の要請がある。また他社の引き合い多く、生産効率の改善とラインの増設により生産能力を増強し、事業の横展開を図る。
・解決し得る課題・・・設備動線の改善、ボトルネック工程の自動化により生産効率を大幅に引き上げられる。4基のラインを新設し生産能
力を増強することで、既存取引先の囲い込みと新規先への事業の横展開ができる。
・労働生産性向上に繋がる点・・・最新の高精度・高速設備の導入により収益性は増し、生産効率の改善からも労働生産性は向上する。</t>
  </si>
  <si>
    <t>【p.1】
1.長期成長ビジョン 菅野包装資材株式会社
我社は、複雑化・多様化する社会問題やお客様のニーズを成長の機会と捉え、イノベーションを契機とする将来
目指す姿を定めました。これによりステークホルダーに届ける価値を通じて持続的成長を目指していきます。
長期成長ビジョン（目指す姿・ビジネスモデル）
外発的動機
社会では環境問題や人手不足が起き、お客様には複雑化・多様化する
ニーズがあり、我社も様々な課題を抱えています。我社は、こうした不確実 • マイクロプラスチックによる海洋汚染、CO2排出による地球温暖化など環境
性を成長の機会と捉え、イノベーションを契機とする将来目指す姿を定めま に対する社会の問題意識が年々増大している
した。社会に、お客様に、そして社員に価値を届けていくことで、それぞれの • 加工性やコストでプラスチックに代わる素材はなく、その機能性から包装材と
課題解決と発展に寄与し我社も持続的成長が遂げられると考えます。 しての顧客ニーズは増している
• 機能性包装材料、環境配慮型材料へのニーズが高まっている
• 原材料価格、エネルギーコストが上昇し、収益を圧迫している
が目指す姿
• 人手不足が進む中で、設備投資により省人化・省力化を図り、多様な人
材を雇用できる職場づくりが求められている
GX Innovation 180
• 従来のグラビア印刷の概念を覆す革新的な印刷機やインキ、ロスの少ない
環境配慮と生産性向上を実現し ラミネート機、高速レーザー搭載のスリット機が登場してきた
お客様のニーズに応え
社員が生き生きと働く企業
内発的動機
社会への価値 お客様への価値 社員への価値
• 製造過程で発生するVOC※、CO2は環境負荷が大きく、脱炭素化へ世
界が向かう中で、我社も社会の一員として対策していかなければならない
環境問題への対応 環境配慮型製造 賃上げ
• グラビア印刷の現場では、従業員は重い版や製品を運び、インキにまみれ
地域雇用の増加 高い品質 職場環境改善
ながら、有機溶剤を含んだ空気の中で作業をしている
地域経済の発展 高い生産能力 多様な人材の活躍
• 高品質を求められる日本の市場ではグラビア印刷が主流で、その工程は
50年以上変わっておらず、選択肢がなかった
• 印刷工場の３Kのイメージから脱却し多様な人材が働ける職場にしたい
売上成長目標（2023年6月期 対比） • 作業の標準化・自動化により属人化を排除し、誰でもできる工程にする
168.5％ • 増加する受注量に対して生産効率が悪く、生産能力が限界にきている
2030年までの会社全体の売上高成長率
• 社員が生き生きと働ける企業、地域に認められる企業になりたい
73.2億円
2030年までの会社全体の売上高増加額
※VOCは、塗料や接着剤に含まれる塗料や接着剤のこと。光化学オキシダントやSPM、PM2.5の大気汚染物質の原因の１つ</t>
  </si>
  <si>
    <t>【p.2】
.補助事業の概要 菅野包装資材株式会社
2
補助事業では、加西インター産業団地に工場を新築し、EBオフセット印刷を軸にしたGXコンバーティング事業を
新設します。さらに増産要請、引き合いの多いOEM充填事業を移設・増設し生産能力を引き上げます。
GXコンバーティング事業では、脱炭素化をはじめとする環境問題への対応を背景とし、省力化や労働環境の
改善を目的として環境に配慮した印刷・ラミネート工程を構築する。OEM充填事業ではメーカーからの増産要
補助事業の 請他社からの引き合いを背景とし、製造効率の改善と生産能力の増強を目的として生産ラインを新工場に移 事業費
48億円
設しラインを増設する。設備を設置する工場は安全に対するメーカーの基準が上がっていることを受けて食品安
背景・目的 （補助額）
（16億円）
全システム（FSSC22000）認証を取得する予定である。これらの事業により得られた付加価値を基に、賃
上げを継続的に行っていく。
GXコンバーティング事業…環境負荷の大きいフィルム製造工程を環境配慮型に転換 OEM充填事業…効率化・自動化による生産性と生産能力向上
Before Before
人力作業 労働環境問題 VOC・CO2排出 火災リスク
非効率なライン 生産能力限界 人材不足
フィルム印刷におけるグラビア印刷※は高い印刷品質である一方、VOCやCO2
充填事業は検品、梱包作業は人手によるところが多くある。また既存工
の排出や火災のリスクなど環境負荷が大きく、従業員にとっても重労働でインキ
場の建物の制約からラインの配置が非効率で、生産能力にも限界がある。
汚れも常態的にあるなど労働環境に課題がある。
※グラビア印刷とは、版の凹んだ部分にインキを付着させて、印刷物に押しあてる印刷方法
新設 改善・増設
After After
省力化 クリーンな VOCフリー 安全安心
労働環境 脱炭素化
効率的なライン ラインの増設 ラインの掛持ち 自動化による省人化
EBオフセット印刷※はフィルム印刷において革新的な方式であり、高い印刷品質と生
産能力を実現しながら、VOCフリー・CO２削減など環境負荷を大幅低減できる。 既存ラインの移設により直線的なライン配置とし、作業効率の改善を図
さらに従業員の労働環境を改善することができ、塗料を扱う仕事の「危険」「きつい」 り、検品・梱包の自動化により省人化を進める。そのうえでラインを増設
「汚い」という業界の課題を改善し人材確保や退職防止に繋がる。 し生産能力を増強する。
※オフセット印刷とは、版につけたインクをローラーに転写、それをローラーに移して紙に印刷する方式 出典：イラストは自社作成
【p.3】
.補助事業の概要 菅野包装資材株式会社
2
新工場建設のため加西インター産業団地に用地を取得しています。現在計画中の工場の総面積は13,288㎡。
環境配慮型をテーマにし、地域に先進的なイメージを提供できる工場の建設を検討しています。
・新工場建設
用地 ：加西インター産業団地…約18,757㎡（5,674坪）／建築面積…13,288㎡（4,026坪）【２階建】
構造 ：重量鉄骨造（予定）
用地の造成工事は今年6月に完了。今回導入する設備の配置を検討し、敷地面積や建築面積を想定。併せて設計を依頼する。
工場には後述する新型印刷・ラミネート機の導入により、従来のようなVOC対策設備や排気ダクトの設置が不要で、においやファ
ンの音もしない。加西市の玄関口にある工場として環境配慮をテーマにし、地域に先進的なイメージを提供できる外観を検討している。
工場計画概要
加西市は兵庫県の南部、播州平野の中央にあり、市の中心部を中国縦貫道路が走って 加西インター産業団地
いる。今回工場を建設する産業団地は、その加西インターチェンジ付近にあり、東西へのア
クセスが良く、物流の利便性は非常に高い。またBCPの観点から、加西市は地震等の災
害の少ない地域で、周辺に大きな河川がなく水害のリスクもないことから新工場建設を決
建設予定地
定した。
設備投資の 工場建設の目的
内容① • GX（グリーントランスフォーメーション）に対応できる製造工程の構築
• 充填事業の自動化と効率改善による生産能力増強
新工場建設 • 食品安全管理マネジメント規格FSSC22000の取得
• 将来的に太陽光発電設備を設置し自家消費することでCO2削減に繋げる
【工場の立地】
工場建設で解決する課題
GXコンバーティング事業
• 既存工場内には新たな設備を配置するスペースがないため、新工場を建設する
• インキ・接着剤等に使用する溶剤に含まれるVOC対策設備、対策費が課題である
• 印刷・ラミネート工程で排出しているCO2、VOC等のGHGを大幅に削減したい
• 印刷工場の３Kのイメージから脱却し、多様な人材が働ける職場にしたい
OEM充填事業
• 既存工場の設備配置、動線が悪く、作業効率を上げられない 【工場イメージ】
• 既存工場内に新たな設備を配置するスペースがない
• 現在は大手ペットフードメーカー製品の充填・商品化作業を請負っているが、対応しきれ
なければ海外に生産が移行するリスクがある
出典：地図はGoogleマップ加工、工場イメージは自社作成
【p.4】
.補助事業の概要 菅野包装資材株式会社
2
GXコンバーティング事業の主力設備であるEBオフセット印刷機は、軟包装印刷の常識を覆す革新的な設備です。
高品質を実現しながら、「環境性能」「生産性」「コスト削減」いずれにおいても従来の方式を上回ります。
・GXコンバーティング事業
当事業の目的は、包装資材の製造工程をGXに対応した環境配慮型に転換し、高い付加価値の受注を獲得し生産能力を引き上げることにある。
導入する設備は、軟包装印刷において革新的なEBオフセット印刷機をはじめとして、いずれもこの目的に適うものである。
解決し得る課題・・・VOC、CO2排出などの環境負荷を低減でき、低エネルギー化、版や廃プラスチックの削減など省資源化を図れる。溶剤不要、
版の入れ替えもロボットで行えるなど労働環境を改善することができ、多様な人材が働ける職場になる。
労働生産性向上に繋がる点・・・最新鋭の設備により高速化・ロボットによる自動化・工程の削減など効率化を図ることで、高付加価値の案件
を受注することに繋がり、収益性を引き上げ労働生産性は向上に繋がる。
①EBオフセットC1Evolution COMEXI社（スペイン）
従来のグラビア印刷と異なり、電子線（EB）照射でインキを硬化させるため乾
燥工程が不要。版交換もロボットで完全自動化でき、作業者の負担も無く、
セットアップ時間が短縮できるため、生産性が1.5倍になる。
設備投資の
• EBインキ使用により無溶剤でVOC排出完全ゼロを実現*1
内容②
• グラビア印刷に比べてCO2排出量が約80％減*2
• 乾燥工程が不要で大幅にエネルギー削減を実現（ガス利用ゼロ）
GX
• 溶剤不要のため消防法外で作業場が労働者にとって安全で綺麗
コンバーティング
• 版はアルミ製で100％リサイクル可能で安価で資源の無駄がない
事業
• 自社製版が可能で、版の保管が不要となる
• ロボット化による版交換完全自動化で負担軽減・効率性向上
• 印刷速度がグラビア印刷機より最大約1.2倍高速(300m/min）
*EBオフセット印刷用水なしインキを使用した軟包装資材の環境性能
*1 VOC使用量比較 *2 CO2排出量比較
タブレットにより遠隔で機械操作が可能 グラビア印刷のような版の保管は不要
版交換はロボットが自動で行う 版はアルミでロールに巻き付けて印刷
出典：岩崎電気株式会社 テクニカルレポート
出典：特長・・・代理店カタログ、写真・・・Comexi社ホームページ
SDGｓ達成に貢献できる電子線(EB)印刷より
【p.5】
.補助事業の概要 菅野包装資材株式会社
2
フィルムを貼り合わせるノンソルベントラミネート機は、無溶剤で環境対応や高速化を実現した新型機です。仕上げ処
理のためのフィルムを切断するスリッター機は、高速レーザーを搭載することで高精度と高速加工を実現します。
②ノンソルベントラミネート機 岡崎機械工業㈱（予定）
ラミネートとは、フィルム、紙、アルミ箔など複数の素材を接着剤で貼り合わせる加工。単一の素
材では得られない性能を向上させるため食品向けでは不可欠となっている。様々な加工方法が
あるが、ノンソルベントラミネートは、無溶剤接着剤を粘度を下げた状態で基盤に塗り、貼り合わ
せるもので以下の特長がある。
• 無溶剤のためVOC完全ゼロで環境対応
• 乾燥工程がないため高速加工が可能（ドライラミネーターの1.2倍高速化）
• アキュームレーターを搭載でき、廃プラスチックを削減できる（巻シワロス80％減）
↑巻出装置、巻取装置と併用し、フィルムを蓄積させておく事で新旧の紙継の作業時間を稼ぐ装置
ノンソルベントラミネート機
設備投資の ③スリッター機（高速レーザー搭載） コムネット㈱（予定）
内容② スリッター機とは、シート状の包装材ロールを巻き出しながら決められた幅にカット、ハーフカットな
どの加工を行う設備。導入予定設備は高速CO２レーザー機を搭載しており、さらに幅広い加
GX 工が可能。
コンバーティング
事業 • 世界No1の精度と高速加工で生産性が大幅に200％向上する
• 高速レーザー加工をしている会社はほとんどなく差別化できる スリッター機 レーザー機
• 高速レーザーにより多様かつ複雑なノッチ加工ができる
④オフライン巻替え機 ㈱東伸 東京計器㈱製検品機搭載（予定）
品質検査のためEB印刷やノンソルベントラミネート時に発生した工程不良を巻替えながら、現
物をカメラで検査して不具合の除去を行います。
検品機
• 検査機は最新鋭で従来に比べて小さな不良を検出し、さらに8か所同時に検出が可能
• 巻替え機は最新鋭で従来機と比べ1.3倍高速化し作業者の負担軽減 オフライン巻替え機
• 業界最小のコンパクト設計で省スペースで設置が可能
• 従来機より幅広いテンション設定で薄いフィルムも巻シワロスが少ない
出典：設備の写真・・各社ホームページより
【p.6】
.補助事業の概要 菅野包装資材株式会社
2
OEM充填事業は、増産対応の要請に応え、事業を横展開していくために現状の課題を解決し生産能力を増
強することを目的とします。ラインには省力化、高速化が図れる設備を配置していきます。
・OEM充填事業
選別→計量→充填→包装→梱包→パレタイズまでの一連の作業をラインを構築し自動化。現状は数社のペットフードの充填作業を請け負って
おり、増産対応の要請がある。また他社の引き合い多く、生産効率の改善とラインの増設により生産能力を増強し、事業の横展開を図る。
・解決し得る課題・・・設備動線の改善、ボトルネック工程の自動化により生産効率を大幅に引き上げられる。4基のラインを新設し生産能
力を増強することで、既存取引先の囲い込みと新規先への事業の横展開ができる。
・労働生産性向上に繋がる点・・・最新の高精度・高速設備の導入により収益性は増し、生産効率の改善からも労働生産性は向上する。
現状の問題
• 建物に合わせてラインを構築したため非効率な流れとなっている
• 増産要請に対して既存工場には空きスペースがない
• 検品作業は人の目に頼るところが大きい
・設備投資の • 包装までの工程は自動化できているが、梱包とパレタイズは人手がかかっている
充填ライン 上面
内容③ 計画
• ５ラインは既存工場から移設し、配置は直線ラインに改善、検品、梱包を自動化
• ４ラインを増設し、計９ラインを構築する
OEM • 多用途光選別機を導入し、人による検品作業の負担を軽減する
充填事業 • 梱包とパレタイズを自動化し省力化を図る
横面
導入設備（各ライン内の主要設備）
①多用途ベルト式光選別機 ㈱サタケ（予定）
現状の検品作業は、ベルトコンベア上を流れる製品を1人が付きっきりで目視にて検
品している。集中力と忍耐を要し、作業者の負担は大きく、不良品が混入するリスク
は避けられない。
今回導入を予定している光選別機は近赤外線や可視光線、X線のカメラにより製
品の中から着色物・異物などの不良品を選別し、圧縮空気で除去する装置。カメラ
の種類により成分、変色、内部不良を判定することができ、人による目視での検品よ
光選別機ベルトゥーザ・スペクトラの仕組み
りも優れている。処理能力は毎時最大５トン。
出典：㈱サタケ ホームページより
【p.7】
.補助事業の概要 菅野包装資材株式会社
2
包装機は最新の高速機を導入します。梱包とパレタイズも自動化し、さらなる省人化を図ります。
以上の補助事業による労働生産性の向上と給与支給総額の上昇は間違いありません。
②計量機（組み合わせはかり） 大和製衡㈱（予定）
計量システムの革新技術により超高速・高精度の計量を実現している。操作性や
堅牢性にも優れている。10連モデルで最高75計量/分、14連モデルで最高140計
量/分の高速運転が可能。
組み合わせはかりデータウェイの作動写真
計量機
出典：大和製衡㈱ ホームページより
③縦ピロー包装機
・設備投資の 既設機では小袋充填の分包しかできないが、本設備では大袋の分包充填が可能と
内容③ なり、充填請負の幅が広がる。1分間で最大200袋を包装し、高い剛性により機械
の振動が少なく高速での包装が可能となっている。既設機では最大160回転/分だ
が、本機は最大200回転/分となり生産能力向上が図れる。
OEM
充填事業
縦ピロー包装機
④ケーサー、パレシステム 縦ピロー包装機の仕組み
出典：㈱川島製作所ホームページより
コンベアから流れてくる製品を箱詰めするにあたり、現状3名かかっている。ケーサーを
導入することで、製品をハンドリングし、指定パターン通りに段ボールに箱詰めを自動
で行うことができ、段ボールセットの1名となり省人化できる。
さらにパレシステムの導入により、箱積みまで自動化でき、さらに省人化できる。約
2kg～10kgの段ボールを3～5ケース/分(サイズによる)箱積みしており重労働であ
るが、ロボットによるパレタイズにより負担軽減及び省人化となる。
Before After
2027年6月期 2030年6月期
項目
（基準年度） （基準年度＋３年後）
169 万円/人
労働生産性 1,16 2 万円/人 4
（年平均上昇率＋13. 4％）
5 万円/人
目標値 従業員1人あたり給与支給総額 469万円/人 60
（年平均上昇率＋6.0 ％）
6
-
役員１人あたり給与支給総額 -
（年平均上昇率＋6. ％）
5
補助事業に係る従業員数 277人 305人</t>
  </si>
  <si>
    <t>川﨑工業株式会社
1.長期成長ビジョン
新しいことにチャレンジするための土壌をつくり、次世代自動車（以下：電動車 ）部品の供給能力を
（※１）
持つ企業へと変容していく。</t>
  </si>
  <si>
    <t>長期成長ビジョン（目指す姿・ビジネスモデル）
• 至誠通天「誠を尽くせば願いは必ず天に通じる」を社是とし、新たな
挑戦により自らを進化させて、常に社会に貢献できる企業であり続け
ることが当社の使命である。これまでに築いてきた文化を大切にしつつ、
大変革期に対応するために新工法の開発や技術革新によりアルミ
製品製造技術を常に進化させる。そして、新工場建設により顧客
企業からの品質要求や大量生産能力を拡充しながら、柔軟かつ提
案力のある企業へと成長していく。
• 現在当社の強みを発揮している自動車部品関連分野で、今後の
著しい成長が期待されている電動車用の『３種の神器（※２）』
関連の部品を皮切りに、スーパーダイカスト法などの新技術を使っ
た大型部品や、シャシーなどの一体成型技術を磨くことにより、成
長し続ける。更に既存事業についても新工場で培ったノウハウを従
来工場に展開することで効率化・省力化を推進する。
• 地域経済を牽引する企業として地域の企業との連携を深めるととも
に、従業員の幸福度を高めて地域の人々が働きたいと思える企業
を目指す。</t>
  </si>
  <si>
    <t>外発的動機
• 自動車業界ではCASEと呼ばれる大変革期にあり、ガソリン車などの化石燃
料を動力源とする自動車から電動車へのシフトが急速に進んでいる。世界的
な自動車市場は伸びているものの環境維持の機運が高まっていることもあり、
今後、化石燃料のみで動く自動車の比率は徐々に減少することが予測され
ている。一方、当社製品の約90%は化石燃料で動く自動車に取り付けられ
る吸気用部品や排気用部品である。社会に貢献し続ける自動車部品メー
カーとして存続するには、電動車用の部品にシフトしていく必要がある。
• 当社顧客の自動車メーカーが提唱しているマルチパスウェイ（P.6参照）
では、地域事情に合わせて様々な電動車を供給していく方針であり、航続距
離と燃費向上のため１gでも軽い部品が求められている。そのため鉄の1/3
の比重のアルミ部品の需要は増大しており、HEV（※１）を中心に2030年
までのアルミ部品の需要は伸び続けることが期待できる。自動車メーカーから
は電動車部品についても当社の量産能力に期待されており、要望に応え続
けるためにも変革の必要性を感じている。</t>
  </si>
  <si>
    <t>内発的動機
• 当社は創業後、車載用ジャッキの製造で経営基盤を確立し、顧客である自
動車メーカーからの開発要望を取り入れて精密な自動車用アルミ部品の製
造事業者へと変容してきた。現在は内燃機関関連の量産部品の供給に特
化しているが、社会に貢献し続けるためには、電動車用部品を始めとした新
たなチャレンジに取り組める環境を整える必要がある。
• 電動車への移行が進むことにより、当社従来製品が減少することは明らか
であり、従業員が雇用継続に不安を感じている。将来の成長が期待できる電
動車用高付加価値部品の開発や工場の自動化に加え、特定の自動車メー
カー系列への依存体質からの脱却にもチャレンジすることで不安を解消すると
同時に安心して働くことができる環境を整え、従業員のモチベーションと定着
率も高め、地域社会への貢献を果たしたいと考えている。</t>
  </si>
  <si>
    <t>【p.1／売上成長目標】
売上成長目標
• 2030年3月期までの会社全体の売上高成長率65.5％
（直近期と比較した成長率）
• 2030年3月期までの会社全体の売上高増加額76.8億円
2023年8月期実績売上高117.3億円
2030年3月期目標売上高194.1億円
2040年3月期目標売上高230.0億円 を達成する。</t>
  </si>
  <si>
    <t>【p.1】
川﨑工業株式会社
1.長期成長ビジョン
新しいことにチャレンジするための土壌をつくり、次世代自動車（以下：電動車 ）部品の供給能力を
（※１）
持つ企業へと変容していく。
長期成長ビジョン（目指す姿・ビジネスモデル） 外発的動機
• 自動車業界ではCASEと呼ばれる大変革期にあり、ガソリン車などの化石燃
• 至誠通天「誠を尽くせば願いは必ず天に通じる」を社是とし、新たな
料を動力源とする自動車から電動車へのシフトが急速に進んでいる。世界的
挑戦により自らを進化させて、常に社会に貢献できる企業であり続け
な自動車市場は伸びているものの環境維持の機運が高まっていることもあり、
ることが当社の使命である。これまでに築いてきた文化を大切にしつつ、 今後、化石燃料のみで動く自動車の比率は徐々に減少することが予測され
大変革期に対応するために新工法の開発や技術革新によりアルミ ている。一方、当社製品の約90%は化石燃料で動く自動車に取り付けられ
製品製造技術を常に進化させる。そして、新工場建設により顧客 る吸気用部品や排気用部品である。社会に貢献し続ける自動車部品メー
企業からの品質要求や大量生産能力を拡充しながら、柔軟かつ提 カーとして存続するには、電動車用の部品にシフトしていく必要がある。
• 当社顧客の自動車メーカーが提唱しているマルチパスウェイ（P.6参照）
案力のある企業へと成長していく。
では、地域事情に合わせて様々な電動車を供給していく方針であり、航続距
• 現在当社の強みを発揮している自動車部品関連分野で、今後の
離と燃費向上のため１gでも軽い部品が求められている。そのため鉄の1/3
著しい成長が期待されている電動車用の『３種の神器（※２）』
の比重のアルミ部品の需要は増大しており、HEV（※１）を中心に2030年
関連の部品を皮切りに、スーパーダイカスト法などの新技術を使っ までのアルミ部品の需要は伸び続けることが期待できる。自動車メーカーから
た大型部品や、シャシーなどの一体成型技術を磨くことにより、成 は電動車部品についても当社の量産能力に期待されており、要望に応え続
長し続ける。更に既存事業についても新工場で培ったノウハウを従 けるためにも変革の必要性を感じている。
来工場に展開することで効率化・省力化を推進する。
• 地域経済を牽引する企業として地域の企業との連携を深めるととも 内発的動機
に、従業員の幸福度を高めて地域の人々が働きたいと思える企業 • 当社は創業後、車載用ジャッキの製造で経営基盤を確立し、顧客である自
を目指す。 動車メーカーからの開発要望を取り入れて精密な自動車用アルミ部品の製
造事業者へと変容してきた。現在は内燃機関関連の量産部品の供給に特
売上成長目標
化しているが、社会に貢献し続けるためには、電動車用部品を始めとした新
• 2030年3月期までの会社全体の売上高成長率65.5％ たなチャレンジに取り組める環境を整える必要がある。
（直近期と比較した成長率） • 電動車への移行が進むことにより、当社従来製品が減少することは明らか
• 2030年3月期までの会社全体の売上高増加額76.8億円 であり、従業員が雇用継続に不安を感じている。将来の成長が期待できる電
動車用高付加価値部品の開発や工場の自動化に加え、特定の自動車メー
カー系列への依存体質からの脱却にもチャレンジすることで不安を解消すると
2023年8月期実績売上高117.3億円
同時に安心して働くことができる環境を整え、従業員のモチベーションと定着
2030年3月期目標売上高194.1億円
率も高め、地域社会への貢献を果たしたいと考えている。
2040年3月期目標売上高230.0億円 を達成する。
（※１）電動車 ：ハイブリッド車（HEV）、プラグインハイブリッド車（PHEV）、電気自動車（BEV）、燃料電池車（FCEV、水素電池車含む）などモーター駆動の自動車全般を指す。
（※２）3種の神器：電動車に搭載される 『モーター』、『バッテリー』、『パワーコントロールユニット（PCU）』 を指す。</t>
  </si>
  <si>
    <t>【p.2】
川﨑工業株式会社
.補助事業の概要
2
“地域と共に成長する新工場” アルミダイカスト新技術を活用し、
クリーンで効率的な電動車部品の生産設備への投資。
・ 電動車部品事業に特化した新工場の設置
補助事業の 事業費 5 4 億円
・ 製造環境を管理してコンタミの混入を抑制したクリーンルームの整備
背景・目的 （補助額） （16億円）
・ 部品の一体化（モジュール化）のため、従来設備と比較して大型の生産設備の導入
• 補助事業で導入する建物・設備等
建物及び建物附属設備
機械装置費
（機械装置費の内訳）350ｔダイカストマシン ４台
800ｔダイカストマシン 1台
切削ライン ４ライン
ダイカストマシン冷却設備
設備投資の
金型整備設備
内容
排水処理設備
合計5,014百万円を投資する
• 設備投資によりクリーン環境など製造環境の管理が容易になり、今後
の製造・販売を強化する計画の電動車用部品の製造拠点ができ、
従来製品と区分した対応が可能となる。管理が異なる製品を一か所に
まとめられることから労働生産性の向上につながる。 新工場イメージ
2026年度 2029年度
項目
（基準年度） （基準年度＋３年後）
労働生産性 1400
（単位：万円/人）
908
（年平均上昇率＋15.5％）
目標値 従業員1人あたり給与支給総額 535.5
（単位：万円/人）
469
（年平均上昇率＋4.5％）
役員１人あたり給与支給総額 1381.9
1210.8
（単位：万円/人） （年平均上昇率＋4.5％）
補助事業に係る従業員数（担当役員含む）
（単位：人）
102 237</t>
  </si>
  <si>
    <t>日華化学株式会社
1.長期成長ビジョン
2030年に向け、中期経営計画「INNOVATION25」を策定（2023年）公表し、推進している
「界面カガクのチカラで様々な社会課題を解決し、より豊かな暮らしや輝く未来に貢献する」
１）「気候変動問題」などの社会課題や、「より健康的な生活」や「超スマート社会の進展」などの顧客ニーズの変化に対応する
２）80年以上培った技術力とグローバルネットワークで、「環境」・「健康/衛生」・「先端材料」の分野での成長を図る
３）2030年までに、売上年平均成長率(CAGR)5%、売上高増加額200億円の高い目標を設定している</t>
  </si>
  <si>
    <t>長期成長ビジョン（目指す姿・ビジネスモデル）
• 2030年のありたい姿「売上高700億円／経常利益10%」
• 事業セグメント別売上高構成比（2023年→2030年）
日華グループ連結売上</t>
  </si>
  <si>
    <t>外発的動機
• 「気候変動問題への世界的対応」、「人はより健康により衛生的
に」「サーキュラーエコノミーの台頭、超スマート社会へ進展加速」、な
ど、人々の意識や社会課題は着実に変化が進んでいる
• 人材の流動性が全国的に高まっており、優秀な人財の獲得と育
成・定着が大きな経営課題になっている
• デジタルトランスフォーメーションの急速な進化により、最新技術の導
入や働き方改革、生産性向上が企業の持続的成長に欠かせない
ものとなっている</t>
  </si>
  <si>
    <t>内発的動機
• 当社基幹事業である「化学品事業」における市場環境の激化
• 特に屋台骨である「繊維化学品」から次の柱の育成が急務
• 新規事業を全社的に推し進め事業構造の大転換を図っている
• 企業価値・魅力を高め続け、人的資本の能力を最大限発揮する
パーパス・ビジョン｜会社概要｜日華化学株式会社 (nicca.co.jp)</t>
  </si>
  <si>
    <t>ン｜会社概要｜日華化学株式会社 (nicca.co.jp)</t>
  </si>
  <si>
    <t>【p.1／その他Box 1】
１）「気候変動問題」などの社会課題や、「より健康的な生活」や「超スマート社会の進展」などの顧客ニーズの変化に対応する
２）80年以上培った技術力とグローバルネットワークで、「環境」・「健康/衛生」・「先端材料」の分野での成長を図る
３）2030年までに、売上年平均成長率(CAGR)5%、売上高増加額200億円の高い目標を設定している
【p.1／売上成長目標】
売上成長目標
• 2030年までの売上高増加額200億円（CAGR5%）
• 化学品事業：450億円（＋88億円／2030年）
• 化粧品事業：250億円（＋110億円／2030年）
• 化粧品事業国内売上高比率：85%（直近実績）
【p.1／当社・会社の概要】
ン｜会社概要｜日華化学株式会社 (nicca.co.jp)
【p.2／１）化粧品事業の成長に向け、新たに「生産、商品開発、営業支援」の先進拠点を設置する。】
１）化粧品事業の成長に向け、新たに「生産、商品開発、営業支援」の先進拠点を設置する。
２）労働生産性の向上を図り、従業員の給与増額と、新たな雇用を確保することで、地域、日本の活性化に貢献する。</t>
  </si>
  <si>
    <t>【p.1】
日華化学株式会社
1.長期成長ビジョン
2030年に向け、中期経営計画「INNOVATION25」を策定（2023年）公表し、推進している
「界面カガクのチカラで様々な社会課題を解決し、より豊かな暮らしや輝く未来に貢献する」
１）「気候変動問題」などの社会課題や、「より健康的な生活」や「超スマート社会の進展」などの顧客ニーズの変化に対応する
２）80年以上培った技術力とグローバルネットワークで、「環境」・「健康/衛生」・「先端材料」の分野での成長を図る
３）2030年までに、売上年平均成長率(CAGR)5%、売上高増加額200億円の高い目標を設定している
長期成長ビジョン（目指す姿・ビジネスモデル） 外発的動機
• 「気候変動問題への世界的対応」、「人はより健康により衛生的
• 2030年のありたい姿「売上高700億円／経常利益10%」
に」「サーキュラーエコノミーの台頭、超スマート社会へ進展加速」、な
• 事業セグメント別売上高構成比（2023年→2030年）
ど、人々の意識や社会課題は着実に変化が進んでいる
• 人材の流動性が全国的に高まっており、優秀な人財の獲得と育
成・定着が大きな経営課題になっている
• デジタルトランスフォーメーションの急速な進化により、最新技術の導
入や働き方改革、生産性向上が企業の持続的成長に欠かせない
ものとなっている
内発的動機
• 当社基幹事業である「化学品事業」における市場環境の激化
• 特に屋台骨である「繊維化学品」から次の柱の育成が急務
売上成長目標 • 新規事業を全社的に推し進め事業構造の大転換を図っている
• 2030年までの売上高増加額200億円（CAGR5%） • 企業価値・魅力を高め続け、人的資本の能力を最大限発揮する
• 化学品事業：450億円（＋88億円／2030年）
• 化粧品事業：250億円（＋110億円／2030年）
• 化粧品事業国内売上高比率：85%（直近実績）
パーパス・ビジョン｜会社概要｜日華化学株式会社 (nicca.co.jp)
日華グループ連結売上</t>
  </si>
  <si>
    <t>【p.2】
.補助事業の概要 日華化学株式会社
(cid:21)
化粧品事業の成長基盤として、時代の要請に応える「福井スマートファクトリー」を設立する
１）化粧品事業の成長に向け、新たに「生産、商品開発、営業支援」の先進拠点を設置する。
２）労働生産性の向上を図り、従業員の給与増額と、新たな雇用を確保することで、地域、日本の活性化に貢献する。
補助事業の • 事業拡大にともない、生産キャパシティーの拡大のため新たに化粧品工場を設立し、 事業費 1 億円
(cid:25)(cid:25)
背景・目的 商品開発機能強化、販売体制強化を行う。 （補助額） （50億円）
●自社ブランド製品とODM*製品の生産マザー工場とする
福井スマートファクトリー完成イメージ
・デジタル化、自動化、省人化による効率化追求により生産性向上を図る。
・24時間稼働により生産キャパシティーアップと生産性向上を図る。
・製造加工費の大幅な低減を図りコスト競争力を高める。
・太陽光発電装置設置、ヒートポンプによる未使用エネルギーの再利用等で
設備投資の カーボンニュートラルを推進する。
内容
●技術、商品開発力（毛髪科学研究所）の強化を図る。
・商品開発のための現場試作の設備機器、スペースを設置する。
●販売力強化の支援をおこなう場とする
・美容師およびODM依​ 頼先の方々への研修施設を設置する。
＊ODM：Original Design Manufacturing
・顧客、地域に開かれた商品紹介の展示ブースを設置する。 商品の企画から製造までを他社に委託する 製造方法および企業
2026年度 2029年度
項目
（基準年度） （基準年度＋３年後）
労働生産性 1,337万円
898万円
（単位：万円/人） （年平均上昇率＋14.1％）
目標値 従業員1人あたり給与支給総額 623万円
562万円
（単位：万円/人） （年平均上昇率＋3.5％）
役員１人あたり給与支給総額
― ―
（単位：万円/人）
補助事業に係る従業員数
342人 357人
（単位：人）</t>
  </si>
  <si>
    <t>新生電子株式会社
1.⾧期成⾧ビジョン
本事業を起爆剤に会社の変革を行い、さらなる社会貢献企業へと進化する。</t>
  </si>
  <si>
    <t>⾧期成⾧ビジョン（目指す姿・ビジネスモデル）
日本・世界の社会課題解決に直結する製品・部品の生産能
力・技術を追求し、モノづくりで世界と未来に貢献する
ーーーーーーーーーーーーーーーーーーーーーーーーーーーーーーーーーー
・弊社の事業は日本の基幹産業（自動車・産業機器・医療等）を支える電
子部品の製造業であり、地球温暖化、少子高齢化、医療費高騰、人手不
足、災害時の水不足など、日本・世界の社会課題解決に直結している。
・EV/HV関連技術、自動化/省人化関連技術をさらに追及することで、
カーボンニュートラルや企業の労働生産性向上、 省力化、人手不足・災害
時の水不足の解消など、世界と未来に貢献する企業へと進化し、持続的な
社会の実現に寄与する。
・また、前頁の理念にある「従業員の幸せ」とは従業員の成⾧、自己実現、正
当な報酬などあらゆる側面で測られるが、まずは本事業により賃上げを行い、
従業員の幸せに向けた第一歩とする。
・会社が積極果敢に投資を行うことで、成⾧に積極的に取り組む文化を形成
し、全従業員が常に成⾧することを望む風土を実現することが、従業員自身
の成⾧、自己実現ひいては全従業員の幸せに繋がると考える。
新生電子の成⾧目標
◆2030年3月期（2029年度）
売上300億円
営業利益45億円（営業利益率15%）</t>
  </si>
  <si>
    <t>外発的動機
コロナ禍を経て、自動車・産業機器市場は世界的に大きな転換期
・世界的なEV/HVシフト
・CASE技術の高まり（コネクテッド/自動運転/シェアリング/電動化）
・産業機器市場が国内外ともに成⾧
・大手企業の国内生産回帰
・自動化/省人化設備の導入を支援する政府政策
・ EV/HV車の導入を支援する政府政策
・社会課題に対する問題意識の高まり
・環境負荷の低い製品開発需要
・少子高齢化、人口減少によりカーナビ・デジタルカメラ向け電子部品等の主
要商品の出荷量減少
・スマホ普及等による携帯電話の国内生産の減少
・中国、台湾、韓国など海外製の安価な模倣品・類似品の台頭
・パチンコ市場の縮小
・ニーズの多様化に伴う、多品種少量生産の対応</t>
  </si>
  <si>
    <t>内発的動機
成⾧の壁にぶつかっており、存続を懸けた大きな変革が必要
・10年前の売上200億円をピークに、以降売上が伸び悩んでいる。
・コロナ禍から2023年3月期（前期）の業績は回復したものの、売上160
億円とピーク時の8割未満。
・リーマンショック～2018年頃まで会社は迷走状態に入り、業績は大きく低
迷。賞与はおろか昇給も行えず、減給措置の実行などから、会社全体の士
気が下がり、ほとんどの事業拠点が赤字化。このようなことは二度と起こさない
強い意志で経営を行っている。
・今後、海外を含めて外部環境は激変する。EV/HVの対応、先端技術、
半導体、自動化/省人化などあらゆるテクノロジーが発展していく中で、こ
の流れに乗れなければ衰退しかないと考えている。
・まさに企業変革の時だと強く意識しており、今を最大の好機と捉え、大胆
な投資により積極的かつ抜本的に変革を推進していきたい。</t>
  </si>
  <si>
    <t>【p.1／＜補助事業＞】
＜補助事業＞
明和工場への大規模投資
協働ロボット/AGV/自動倉庫など最新鋭の設備投資
による、省人化を追求したモデル（次世代）工場の
実現
【p.1／①】
①
＜ 補助事業実施中（後）に実現したいこと＞
明和工場以外の国内工場4か所（宮崎県・兵庫
県・三重県松阪市・⾧崎県）へ省人化ノウハウを転
用する。
⇒採用が難しくなっている地方において、生産性向上
による人手不足解消と各地で賃上げを行う
【p.1／②】
②
＜ 補助事業実施中に実現したいこと＞
関東への新工場設立に向けた試験工場的立ち位置
⇒明和工場のノウハウを活用して、関東に新たな工場
を設立し、さらなる業績拡大、雇用創出を行う。
【p.1／③】
③
＜ 補助事業実施中に実現したいこと＞
海外工場（上海・インドネシア）へ省人化ノウハウを
転用する。
⇒さらなる生産性向上と業績拡大を実現する。
【p.3／2026年度】
2026年度
項目
（基準年度）
【p.4／＜投資内容＞】
＜投資内容＞
生産能力を3倍に増強
• 協働ロボット5台
マテハン工程の自動化・省人化
• AGV
材料運搬の自動化
• 自動倉庫システム
部材保管・移動、入出荷管理の自動化
• 自動塗布機
絶縁材の塗布を自動化する。
• 自動挿入機省人化ロボット
挿入工程の自動化
• 検査自動化機
検査工程の自動化を行う。
【p.4／＜投資内容＞】
＜投資内容＞
従来工場の4倍の生産能力を実現
• 協働ロボット
マテハン工程の自動化・省人化
• AGV
材料・仕掛品・商品の移動自動化
• 搬送コンベア
搬送の自動化を行う
• 自動倉庫システム
部材保管・移動、入出荷管理の自動化
• 樹脂材料自動供給
樹脂材料の自動共有による生産性向上
• 自動はんだ付け組立ライン
はんだ付け・部品組み立ての自動化
• 3D自動測定器
測定の自動化・省人化
• 太陽光発電設備
自家消費型太陽光発電設備</t>
  </si>
  <si>
    <t>【p.1】
新生電子株式会社
1.⾧期成⾧ビジョン
最新鋭の工場設立により会得した省人化ノウハウを既存事業に展開。
経営理念の達成に向け、さらなる社会貢献企業へと進化する。
＜補助事業＞ ビジョン 経営理念
明和工場への大規模投資
◆ ◆
協働ロボット/AGV/自動倉庫など最新鋭の設備投資 ２ 社 モ
による、省人化を追求したモデル（次世代）工場の ０ 業 ノ
実現 の づ
３
発 く
０
展 り
①
＜ 補助事業実施中（後）に実現したいこと＞
③ 年 を で
明和工場以外の国内工場4か所（宮崎県・兵庫
通 世
3
県・三重県松阪市・⾧崎県）へ省人化ノウハウを転 じ 界
③ 用する。 月 て と
⇒採用が難しくなっている地方において、生産性向上 期 従 未
による人手不足解消と各地で賃上げを行う 業 来
員 に
売
が 貢
② ② 上 幸 献
＜ 補助事業実施中に実現したいこと＞
せ す
① 関東への新工場設立に向けた試験工場的立ち位置 ３
に る
⇒明和工場のノウハウを活用して、関東に新たな工場 ０
な
を設立し、さらなる業績拡大、雇用創出を行う。
① ０ る
億 場
①
で
円
あ
①
③
の
＜ 補助事業実施中に実現したいこと＞ り
海外工場（上海・インドネシア）へ省人化ノウハウを 達 続
転用する。 成 け
⇒さらなる生産性向上と業績拡大を実現する。 る
【p.2】
新生電子株式会社
1.⾧期成⾧ビジョン
本事業を起爆剤に会社の変革を行い、さらなる社会貢献企業へと進化する。
⾧期成⾧ビジョン（目指す姿・ビジネスモデル） 外発的動機
コロナ禍を経て、自動車・産業機器市場は世界的に大きな転換期
日本・世界の社会課題解決に直結する製品・部品の生産能
・世界的なEV/HVシフト
力・技術を追求し、モノづくりで世界と未来に貢献する
・CASE技術の高まり（コネクテッド/自動運転/シェアリング/電動化）
・産業機器市場が国内外ともに成⾧
ーーーーーーーーーーーーーーーーーーーーーーーーーーーーーーーーーー
・大手企業の国内生産回帰
・弊社の事業は日本の基幹産業（自動車・産業機器・医療等）を支える電 ・自動化/省人化設備の導入を支援する政府政策
子部品の製造業であり、地球温暖化、少子高齢化、医療費高騰、人手不 ・ EV/HV車の導入を支援する政府政策
足、災害時の水不足など、日本・世界の社会課題解決に直結している。 ・社会課題に対する問題意識の高まり
・環境負荷の低い製品開発需要
・EV/HV関連技術、自動化/省人化関連技術をさらに追及することで、 ・少子高齢化、人口減少によりカーナビ・デジタルカメラ向け電子部品等の主
カーボンニュートラルや企業の労働生産性向上、 省力化、人手不足・災害 要商品の出荷量減少
時の水不足の解消など、世界と未来に貢献する企業へと進化し、持続的な ・スマホ普及等による携帯電話の国内生産の減少
社会の実現に寄与する。 ・中国、台湾、韓国など海外製の安価な模倣品・類似品の台頭
・パチンコ市場の縮小
・ニーズの多様化に伴う、多品種少量生産の対応
・また、前頁の理念にある「従業員の幸せ」とは従業員の成⾧、自己実現、正
当な報酬などあらゆる側面で測られるが、まずは本事業により賃上げを行い、
内発的動機
従業員の幸せに向けた第一歩とする。
成⾧の壁にぶつかっており、存続を懸けた大きな変革が必要
・会社が積極果敢に投資を行うことで、成⾧に積極的に取り組む文化を形成 ・10年前の売上200億円をピークに、以降売上が伸び悩んでいる。
・コロナ禍から2023年3月期（前期）の業績は回復したものの、売上160
し、全従業員が常に成⾧することを望む風土を実現することが、従業員自身
億円とピーク時の8割未満。
の成⾧、自己実現ひいては全従業員の幸せに繋がると考える。
・リーマンショック～2018年頃まで会社は迷走状態に入り、業績は大きく低
迷。賞与はおろか昇給も行えず、減給措置の実行などから、会社全体の士
気が下がり、ほとんどの事業拠点が赤字化。このようなことは二度と起こさない
新生電子の成⾧目標 強い意志で経営を行っている。
・今後、海外を含めて外部環境は激変する。EV/HVの対応、先端技術、
◆2030年3月期（2029年度）
半導体、自動化/省人化などあらゆるテクノロジーが発展していく中で、こ
売上300億円
の流れに乗れなければ衰退しかないと考えている。
営業利益45億円（営業利益率15%） ・まさに企業変革の時だと強く意識しており、今を最大の好機と捉え、大胆
な投資により積極的かつ抜本的に変革を推進していきたい。</t>
  </si>
  <si>
    <t>【p.3】
新生電子株式会社
2.補助事業の概要
既存の明和工場への設備投資・新工場の設立を行い、売上300億円に向けた基幹工場とする。
・EV/HV関連技術、自動化/省人化関連技術の発展に伴い、当社への引合も増加しているもの
補助事業の の、設備やスペースの問題で機械損失が発生している。 事業費 23億円
背景・目的 ・本工場でEV/HV向け車載電子部品、自動化/省力化関連電子部品、水循環器等新たな （補助額） （7.6億円）
領域など今後成⾧が見込まれる製品を製造し、売上300億円にむけた足掛かりとする。
①明和工場の生産能力増強（6倍）
・当社の弱点である生産能力不足による機械損失を改善する。
・FA向け設備の組立スペースを確保し、省人化/自動化設備部品の加工～組
立まで一貫した生産体制を確立する。
②最新技術の開発・追求による生産性・付加価値の向上
・既存の工場では対応できない一貫生産（電子部品の搭載機能等）を取り
入れた最新鋭の工場とし、カーボンニュートラル、水不足解消に貢献する。
・省人化・自動化ラインを構築し、生産性・付加価値向上を図る
設備投資の
③省人化のモデル工場とし、他国内5拠点へと展開する
内容
・社内で初めて協働ロボットを15台導入。AGV（自動搬送機）、搬送コンベア、
自動倉庫システムを導入し、あらゆる工程を自動化した高生産な新工場。
・最新設備による安全で働きやすい職場の実現。
・本工場をモデルに他地域へ横展開し、他の地域での雇用創出やさらなる社会
貢献企業に成⾧する。
・労働生産性の大幅改善による賃上げ原資の確保が可能
④自家発電型太陽光発電設備を設置し、生産時のCO2排出量フリーを目指
した環境に配慮した次世代工場とする。
2026年度 2029年度
項目
（基準年度） （基準年度＋３年後）
労働生産性 1,611万円
701万円
（単位:万円/人） （年平均上昇率＋32.0％）
目標値 従業員1人あたり給与支給総額 541万円
467万円
（単位:万円/人） （年平均上昇率＋5.0％）
役員１人あたり給与支給総額 1,354万円
1,169万円
（単位:万円/人） （年平均上昇率＋5.0％）
補助事業に係る従業員数
128人 166人
（単位:人）
【p.4】
新生電子株式会社
２.先進性・成⾧性／製品・生産方式等の優位性確保
既存の明和工場への設備投資・新工場の設立を行い、売上300億円に向けた基幹工場とする。
既存明和工場への投資内容 明和新工場への投資内容 投資効果・実現したいこと
＜投資内容＞ ＜投資内容＞
• 協働ロボットをはじめとした最新鋭の自
生産能力を3倍に増強 従来工場の4倍の生産能力を実現
動化・省力化設備を導入し、自社で最
• 協働ロボット5台 • 協働ロボット
大級の生産性を追求する
マテハン工程の自動化・省人化 マテハン工程の自動化・省人化
• メガトレンドが押し寄せるHV/EV自動車
• AGV • AGV
関連、産業機器関連の少量多品種生
材料運搬の自動化 材料・仕掛品・商品の移動自動化
産に対応できる圧倒的な生産能力・自
• 自動倉庫システム • 搬送コンベア
動化/省人化による短納期、コスト競
部材保管・移動、入出荷管理の自動化 搬送の自動化を行う
争力により差別化を図る。
• 自動塗布機 • 自動倉庫システム
• 顧客の最先端の要望を実現し続けてき
絶縁材の塗布を自動化する。 部材保管・移動、入出荷管理の自動化
たことで培った高い技術力を活かして、
• 自動挿入機省人化ロボット • 樹脂材料自動供給
高度な品質管理を実現する。
挿入工程の自動化 樹脂材料の自動共有による生産性向上
• 安全で働きやすい工場環境を実現し、
• 検査自動化機 • 自動はんだ付け組立ライン
女性や高齢者の雇用創出、活躍できる
検査工程の自動化を行う。 はんだ付け・部品組み立ての自動化
会社にする。
• 3D自動測定器
• 自家発電型太陽光発電設備を設置し、
測定の自動化・省人化
生産時のCO2排出量フリーを目指した
• 太陽光発電設備
環境に配慮した次世代工場とする。
自家消費型太陽光発電設備
AGV 協働ロボット 搬送コンベア 自動倉庫システム 自家消費型太陽光発電設備</t>
  </si>
  <si>
    <t>共栄フード株式会社
1.長期成長ビジョン
世界No.1パン粉企業を長期ビジョンとし、国内外のパン粉需要の増加に応える。国内シェア40%の目標達成、輸出促進のため、
生産能力増強及び生産性向上により、2029年までに売上高300.4億円（2023年比+104.7%）を目指す。</t>
  </si>
  <si>
    <t>長期成長ビジョン（目指す姿・ビジネスモデル）
～The PANKO Company～
目
名実ともに世界No.1パン粉企業になる
指
す ◼ 世界の食卓に当社のパン粉は欠かせないものにする
姿 ◼ 食品ロス削減へ貢献する
◼ 生産能力の強化
国内外のパン粉需要の増加により、引き合いが増
⚫
加しているが、現行設備では生産能力が不足。
工場を増設することにより、国内外の需要へ応え、
世界の食卓にパン粉を届ける
ビ
ジ
◼ 収益基盤の強化
ネ
補助事業により群馬県に新工場を建設し、最適
ス ⚫
モ 物流体制や生産体制を構築し、収益基盤をさら
デ に強化し、国内シェアを40%にする
ル
◼ 海外事業の強化（輸出促進）
海外のパン粉市場はCAGR4.7%で推移。既存
⚫
の引き合いだけでなく、海外への新たな販路拡大
を視野に積極的に営業を実施</t>
  </si>
  <si>
    <t>外発的動機
◼ パン粉需要の増加
国内
⚫
- 国内競合他社は事業撤退や縮小が進んでおり、当社への引き合
いが増加
世界
⚫
- ユネスコで和食が無形文化財として登録され、日本生まれの食材
であるパン粉を使用した食品需要が世界で高まっている
- Oxford大辞典でも日本式パン粉を「PANKO」として英単語が採
用されている。
- 世界的なサスティナビリティの促進により、食品ロス削減への関心が
高まっており、再生パン粉の引き合いが増加
◼ 人手不足
2030年までに生産年齢人口が約700万人減少すると予測されており、
⚫
人手不足に対応した安定生産の構築が必要である</t>
  </si>
  <si>
    <t>内発的動機
◼ 当社の存在意義：「パン粉で食卓をにぎやかにすること」
日本の食文化を海外にも届け、世界中の食卓にパン粉を届けたい
⚫
経営者の思い
◼ 会社の発展と社員の成長により、会社も社員も豊かにしたい
従業員は重要なステークホルダーであり、収益向上と待遇改善の循環
⚫
により、会社と社員の持続的な成長を目指したい
工場の自動化により、従業員の労働負担を軽減し、長期雇用を促し
⚫
たい
◼ 食を通じて社会貢献がしたい
「パン粉をつくることは、世界の食文化を豊かにすること」を企業理念とし
⚫
ており、食を通じた社会に貢献より、企業として果たすべき責任を全うし
たい</t>
  </si>
  <si>
    <t>売上成長目標
2029年までの長期的な目標
⚫
✓ 売上高：300.4億円
✓ 2023年比, +104.7%, +153.7億円</t>
  </si>
  <si>
    <t>【p.1／売上成長目標】
売上成長目標
2029年までの長期的な目標
⚫
✓ 売上高：300.4億円
✓ 2023年比, +104.7%, +153.7億円</t>
  </si>
  <si>
    <t>【p.1】
共栄フード株式会社
1.長期成長ビジョン
世界No.1パン粉企業を長期ビジョンとし、国内外のパン粉需要の増加に応える。国内シェア40%の目標達成、輸出促進のため、
生産能力増強及び生産性向上により、2029年までに売上高300.4億円（2023年比+104.7%）を目指す。
長期成長ビジョン（目指す姿・ビジネスモデル） 外発的動機
◼ パン粉需要の増加
～The PANKO Company～
目 国内
名実ともに世界No.1パン粉企業になる ⚫
指 - 国内競合他社は事業撤退や縮小が進んでおり、当社への引き合
す ◼ 世界の食卓に当社のパン粉は欠かせないものにする
いが増加
姿 ◼ 食品ロス削減へ貢献する
世界
⚫
- ユネスコで和食が無形文化財として登録され、日本生まれの食材
◼ 生産能力の強化
であるパン粉を使用した食品需要が世界で高まっている
国内外のパン粉需要の増加により、引き合いが増
⚫ - Oxford大辞典でも日本式パン粉を「PANKO」として英単語が採
加しているが、現行設備では生産能力が不足。 用されている。
工場を増設することにより、国内外の需要へ応え、 - 世界的なサスティナビリティの促進により、食品ロス削減への関心が
世界の食卓にパン粉を届ける 高まっており、再生パン粉の引き合いが増加
ビ
◼ 人手不足
ジ
◼ 収益基盤の強化 ⚫ 2030年までに生産年齢人口が約700万人減少すると予測されており、
ネ
人手不足に対応した安定生産の構築が必要である
ス ⚫ 補助事業により群馬県に新工場を建設し、最適
モ 物流体制や生産体制を構築し、収益基盤をさら 内発的動機
デ に強化し、国内シェアを40%にする ◼ 当社の存在意義：「パン粉で食卓をにぎやかにすること」
ル
日本の食文化を海外にも届け、世界中の食卓にパン粉を届けたい
⚫
◼ 海外事業の強化（輸出促進）
海外のパン粉市場はCAGR4.7%で推移。既存 経営者の思い
⚫
の引き合いだけでなく、海外への新たな販路拡大 ◼ 会社の発展と社員の成長により、会社も社員も豊かにしたい
従業員は重要なステークホルダーであり、収益向上と待遇改善の循環
を視野に積極的に営業を実施 ⚫
により、会社と社員の持続的な成長を目指したい
工場の自動化により、従業員の労働負担を軽減し、長期雇用を促し
⚫
たい
売上成長目標
◼ 食を通じて社会貢献がしたい
2029年までの長期的な目標
⚫ 「パン粉をつくることは、世界の食文化を豊かにすること」を企業理念とし
⚫
✓ 売上高：300.4億円 ており、食を通じた社会に貢献より、企業として果たすべき責任を全うし
✓ 2023年比, +104.7%, +153.7億円 たい</t>
  </si>
  <si>
    <t>【p.2】
.補助事業の概要 共栄フード株式会社
2
国内外のパン粉需要の増加に伴い、生産能力の増加が急務となっており、新東日本工場を建設する。
新工場は自動化により人手不足にも対応し、労働生産性向上・年平均4.8%の賃上げを実現する。
◼ 既存工場のみでは国内外の需要に生産量能力が不足するため、群馬県に新工場を建設
補助事業の ◼ 慢性的な人手不足に対応するために、生産性や業務効率の向上が急務になっており、 事業費 ◼ 9 8 億円
背景・目的 （補助額） (30億円）
製造ラインを自動化することで生産能力増強、生産性向上を行う。
◼ 建物費：53.0億円
新工場の模式図
費用内訳 ◼ 機械装置費：37.3億円
◼ 専門家経費：0.3億円
補
助 ◼ 生産量の増加により、国内外のパン粉需要の増加に対応可能
事 NE工場の生産能力：23,300t （焼成パン粉：14,300t, 再生パン粉：9,000t）
⚫
業 ◼ 製造ラインの自動化による労働生産性の向上
の 自動化に作業者の肉体的負担の低減、省人化
⚫
内 効果 ◼ 開発機能を付随し、開発～製造にかかるタイムロスを削減し、顧客ニーズへの対応を実施
容 →顧客満足度の向上
◼ 東日本の営業所拠点の集約
◼ 賃上げ：+4.8%※2026年10月期比
2026年10月期 2029年10月期
項目
（基準年度） （基準年度＋３年後）
労働生産性 1,750
679
（単位：万円/人） （年平均上昇率＋37.1％）
目標値 従業員1人あたり給与支給総額 410
356
（単位：万円/人） （年平均上昇率＋4.8％）
役員１人あたり給与支給総額
- -
（単位：万円/人）
補助事業に係る従業員数
112 270
（単位：人）</t>
  </si>
  <si>
    <t>株式会社ロッキー
1.⾧期成⾧ビジョン
セントラルキッチンを活用した効率的な生産体制でドミナント戦略を推進。最新技術を積極的に導入し、
熊本県内の消費者の満足度向上はもちろん、全てのステークホルダーに利益を還元できる企業に成⾧する。</t>
  </si>
  <si>
    <t>⾧期成⾧ビジョン
〈目指す姿〉
• 競合他社が出店できないエリアでも果敢に出店し、県内どの地域
でも高い顧客満足度を達成できる企業
• 従業員・取引先・地域、全てのステークホルダーに利益を還元し、
社会的責任を果たす企業
• 常に食品ロス削減に努め、地球環境に配慮した経営を実現でき
る企業
• AI等の最新技術を率先して活用し、事実に基づいた科学的な
手法で業務に取り組む企業
• 災害時も食の供給拠点となり、地域貢献ができる企業
〈ビジネスモデル〉
• セントラルキッチンにおける生鮮食品を一括生産、デジタル技術を
活用した発注・会計、OTC医薬品や化粧品といった高粗利カテゴ
リ商品の販売を通じた粗利ミックスを通じ、良質な商品を低価格で
提供する</t>
  </si>
  <si>
    <t>外発的動機
• 幹線道路沿いには大型店舗の出店が相次ぐ一方、過疎地や競合
企業が撤退したエリア等、買い物の便が悪い地域があり、消費者の
購買環境・購買体験の差が拡大している
• 生産年齢人口の減少により、従業員の採用が困難になっている
• 中小企業においても企業コンプライアンスが重要視されるようになっ
ている
• デジタル技術の活用有無が、労働生産性に大きな影響を及ぼすよ
うになった
• 企業の社会的責任が重要視されるようになり、単に利益を出せば
良いという価値観は衰退している
• 食の安全性に対する消費者の意識がますます高まっている</t>
  </si>
  <si>
    <t>内発的動機
• ウォルマート等米国小売業の事例分析を通じ、わが国の小売業に
おけるオペレーションの合理化が立ち遅れていると痛感した
• 非合理なオペレーションによる中間コストが売価に反映され、「わが
国の消費者は損をしているのではないか」というもどかしさがある
• 少子高齢化・生産年齢人口減を背景に採用活動は年々困難に
なっており、DXを通じた生産性向上が当社の成⾧・衰退を分かつ
キー・ファクターになると認識している
• 地球環境に配慮し、ステークホルダーに対しても誠実な、高い倫理
観に基づいた商売こそが生き残りの絶対条件と考えている
• 熊本地震や熊本豪雨の経験を通し、災害に強い企業である必要
性を痛感しており、レジリエンスの強化、サプライチェーン全体の強靭
化が必要と考えている</t>
  </si>
  <si>
    <t>【p.1／売上成長目標】
売上成⾧目標（基準年度比）
• 2028年度年までのコンソーシアム全体の売上高年平均成⾧
率12.4％
• 2028年度までのコンソーシアム全体の売上高増加額9,192
百万円
【p.4／〈顧客ニーズ〉】
〈顧客ニーズ〉
近場で生活必需品を揃えたい。商圏人口が少ない過疎地や、市街地で
も採算が取れず他社スーパーが撤退したエリア等、買い物の便の改善が待
たれている。
【p.4／〈現在の課題〉】
〈現在の課題〉
現在は、熊本市南区の加工場で牛肉と豚肉の加工、上益城の加工場で
鶏肉、惣菜、青果、鮮魚の加工を行っている。現在の店舗数で生産キャ
パシティが限界に近づいており、新規出店が困難である。また、熊本市南
区の加工場からTCへの輸送コストが発生している。
【p.4／〈投資内容〉】
〈投資内容〉
上益城の工場を増設し、生産ライン増設に必要なスペースを確保する。
上益城に生産拠点を集約し、熊本市南区加工場は閉鎖する。また、補助
実施期間中に3店舗を建設し、売上増を図る。
【p.4／〈顧客ニーズ〉】
〈顧客ニーズ〉
共働き世帯の増加、単身世帯・夫婦のみ世帯の増加により、時短ニーズ
が高まっている。自宅での調理を省ける商品の需要が高い。
【p.4／〈現在の課題〉】
〈現在の課題〉
手動式のスライサーや、手作業による加工が主となっており、作業効率が悪
い。このことが、消費者の時短ニーズに沿った、加工度の高い商品（味付
け肉、餃子、焼肉セット等）の開発・販売にあたってボトルネックとなってい
る。
【p.4／〈投資内容〉】
〈投資内容〉
半自動ミンチライン、高速スライサー、餃子・ハンバーグ成形機等を導入し、
時短ニーズに対応する。
【p.5／〈顧客ニーズ〉】
〈顧客ニーズ〉
前述した時短ニーズの高まりとともに、1世帯あたり人数の減少に伴いセルフ
ユース商品の需要が増加している。
【p.5／〈現在の課題〉】
〈現在の課題〉
炊飯の生産キャパシティが不足しており、セルフユース商品である弁当・お
にぎりの供給が十分ではない。また、寿司やフライ、菓子といった自宅では
調理しづらいセグメントのメニュー開発が十分ではない。
【p.5／〈投資内容〉】
〈投資内容〉
炊飯ラインの新設による供給力の増強、オートフライヤー、スイーツ製造設
備の導入により、顧客ニーズに対応する商品の開発・販売を強化する。
【p.5／〈顧客ニーズ〉】
〈顧客ニーズ〉
短時間で必要な買い物を済ませたい（ショートタイムショッピング・ワンストッ
プショッピング）。
【p.5／〈現在の課題〉】
〈現在の課題〉
当社は日用雑貨の取り扱いも豊富でワンストップショッピングのニーズには対
応できている。一方、レジは自動釣銭機は導入しているもののピークタイム
は混雑し、待ち時間が発生している。
【p.6／〈顧客ニーズ〉】
〈顧客ニーズ〉
開店から閉店前まで、いつ来店しても欲しい商品を購入したい。
【p.6／〈現在の課題〉】
〈現在の課題〉
常温品はAIの需要予測による自動発注システムを導入しているが、生鮮
品は従業員が売れ数を見ながら手動発注している。時間がかかるうえ、発
注精度が従業員のスキルに依存しており、欠品による売り逃しや期限切
迫による値引き販売、期限切れによる廃棄が発生している。
⇒営業中に需要予測を変更できないアウトパックの弱点
【p.6／〈投資内容〉】
〈投資内容〉
生鮮EDIシステムを導入し、AIによる需要予測機能を活用した自動発注
を実現する。
⇒アウトパックの弱みを克服
【p.6／〈顧客ニーズ〉】
〈顧客ニーズ〉
鮮度の良い商品を購入したい（品質重視）/見切り品をお買い得に購
入したい（価格重視）/フードロスをなくしたい（社会的価値重視）
【p.6／〈現在の課題〉】
〈現在の課題〉
期限チェックは従業員の目視で行っており、時間がかかるうえ、定刻にチェッ
クができていないケースや見落としがある。適切な値下げ販売の機会を逸
することで、廃棄ロスが発生している。また、期限チェックのモレにより気づか
ないうちに期限が切迫しており、過剰な値引き販売（定価→半額など）
をせざるをえないケースもある。
【p.6／〈投資内容〉】
〈投資内容〉
消費期限データ付きJANコードシステムと専用の包装機を導入し、値下
げが必要な商品の在庫数・値下げ額を自動表示できるようにする。</t>
  </si>
  <si>
    <t>【p.1】
株式会社ロッキー
1.⾧期成⾧ビジョン
セントラルキッチンを活用した効率的な生産体制でドミナント戦略を推進。最新技術を積極的に導入し、
熊本県内の消費者の満足度向上はもちろん、全てのステークホルダーに利益を還元できる企業に成⾧する。
⾧期成⾧ビジョン 外発的動機
• 幹線道路沿いには大型店舗の出店が相次ぐ一方、過疎地や競合
〈目指す姿〉
企業が撤退したエリア等、買い物の便が悪い地域があり、消費者の
• 競合他社が出店できないエリアでも果敢に出店し、県内どの地域 購買環境・購買体験の差が拡大している
でも高い顧客満足度を達成できる企業 • 生産年齢人口の減少により、従業員の採用が困難になっている
• 従業員・取引先・地域、全てのステークホルダーに利益を還元し、 • 中小企業においても企業コンプライアンスが重要視されるようになっ
社会的責任を果たす企業 ている
• 常に食品ロス削減に努め、地球環境に配慮した経営を実現でき • デジタル技術の活用有無が、労働生産性に大きな影響を及ぼすよ
る企業 うになった
• AI等の最新技術を率先して活用し、事実に基づいた科学的な • 企業の社会的責任が重要視されるようになり、単に利益を出せば
手法で業務に取り組む企業 良いという価値観は衰退している
• 災害時も食の供給拠点となり、地域貢献ができる企業 • 食の安全性に対する消費者の意識がますます高まっている
〈ビジネスモデル〉
内発的動機
• セントラルキッチンにおける生鮮食品を一括生産、デジタル技術を
• ウォルマート等米国小売業の事例分析を通じ、わが国の小売業に
活用した発注・会計、OTC医薬品や化粧品といった高粗利カテゴ
おけるオペレーションの合理化が立ち遅れていると痛感した
リ商品の販売を通じた粗利ミックスを通じ、良質な商品を低価格で
• 非合理なオペレーションによる中間コストが売価に反映され、「わが
提供する
国の消費者は損をしているのではないか」というもどかしさがある
• 少子高齢化・生産年齢人口減を背景に採用活動は年々困難に
売上成⾧目標（基準年度比） なっており、DXを通じた生産性向上が当社の成⾧・衰退を分かつ
• 2028年度年までのコンソーシアム全体の売上高年平均成⾧ キー・ファクターになると認識している
率12.4％ • 地球環境に配慮し、ステークホルダーに対しても誠実な、高い倫理
• 2028年度までのコンソーシアム全体の売上高増加額9,192 観に基づいた商売こそが生き残りの絶対条件と考えている
百万円 • 熊本地震や熊本豪雨の経験を通し、災害に強い企業である必要
性を痛感しており、レジリエンスの強化、サプライチェーン全体の強靭
化が必要と考えている</t>
  </si>
  <si>
    <t>【p.2】
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A • 現在限界に近づいている生鮮食品の生産キャパシティーを拡充し、新規出店を可能とする
生産キャパシティ増加 • 生産拠点が益城町と熊本市南区に分散していることで生じている運送コストを削減する
補助事業の
B • 共働き世帯の増加など、ライフスタイルの変容に応じた品揃えを実現する
事業費
29億円
惣菜の商品力強化 • 当社店舗にしかない商品を開発・販売し、競合他社との差別化を実現する （9.4億円）
背景・目的 （補助額）
※コンソーシアム全体
C • 仕入業務および受発注業務の生産性向上（省人化推進）
の投資額
データドリブン経営 • 消費期限管理の精度向上による廃棄ロス削減
の加速 • 店舗における人時生産性向上（人手不足への対応）
コンソーシアムベース
2025年度 2028年度
項目
（基準年度） （基準年度＋3年後）
労働生産性 741
431
（万円/人） （＋19.7％）
従業員1人あたり
280
給与支給総額 242
（＋5.0％）
（万円/人）
補助事業に係る 627
572
従業員数（人） （＋3.1％）
目標値
(株)ロッキー (株)アールミート (株)ザ.キッチン
2025年度 2028年度 2025年度 2028年度 2025年度 2028年度
項目
（基準年度） （基準年度＋3年後） （基準年度） （基準年度＋3年後） （基準年度） （基準年度＋3年後）
労働生産性 869 568 499
470 251 279
（万円/人） （＋22.8％） （+31.2％） （+21.4％）
各社別
従業員1人あたり
317 269 268
給与支給総額 274 232 231
（＋5.0％） （+5.0％） （+5.0％）
（万円/人）
補助事業に係る
474 508 50 60 52 67
従業員数（人）
【p.3】
株式会社ロッキー
2.補助事業の概要
セントラルキッチン増設により新店舗展開を可能とするとともに、惣菜の商品力強化（スイーツ製造など）を行い
集客力を高め、最新機器導入による省人化を図り、より筋肉質な経営を目指す
補助事業の狙い
A.生産キャパシティ増加 B.惣菜の商品力強化 C.データドリブン経営の加速
市場成⾧率が高い惣菜カテゴリにおいて十 デジタル機器を活用し、物流や店舗内業
現状の店舗数で生鮮食品の生産キャパシ
背
分な工夫ができておらず、市場シェアが獲 務の効率化を進めているものの改善余地
ティは限界。新規出店が難しい状況
景
得できていない はある状況
• 上益城の農産物加工場増設による供 • カートレジ導入
対
給力向上 • 炊飯ライン・スイーツ製造設備等の導 • 生鮮品のEDI（受発注システム）導入
応
• 精肉加工ラインの増設・省力化装置の 入 • 消費期限データ付きJANコードシステム導
策
導入 入
 機会損失減少による客単価上昇
効  新規出店が可能となる  他店との差別化による客数の増加  値下げ販売の機会損失・廃棄ロス削減
果  生産性の上昇  客単価の上昇  待ち時間短縮による顧客満足度上昇
 販促機能による客単価上昇
売上UP↑ コストDOWN↓
【p.4】
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現在
取組み①:上益城の加工場増設による供給力向上・生産拠点集約
熊本市南区の加工場 上益城の加工場
〈顧客ニーズ〉
近場で生活必需品を揃えたい。商圏人口が少ない過疎地や、市街地で
も採算が取れず他社スーパーが撤退したエリア等、買い物の便の改善が待
たれている。
設備投資後
〈現在の課題〉
閉鎖 増築
現在は、熊本市南区の加工場で牛肉と豚肉の加工、上益城の加工場で
鶏肉、惣菜、青果、鮮魚の加工を行っている。現在の店舗数で生産キャ
パシティが限界に近づいており、新規出店が困難である。また、熊本市南 〈効果〉
区の加工場からTCへの輸送コストが発生している。 上益城の加工場の増設
Ａ
（生鮮食品製造能力がアップ、生鮮食品加工の拠点を集約）
生
設 産 〈投資内容〉 改善点 現在 設備投資後
備 キ 上益城の工場を増設し、生産ライン増設に必要なスペースを確保する。
供給可能な店舗数 28店舗 40店舗
投 ャ 上益城に生産拠点を集約し、熊本市南区加工場は閉鎖する。また、補助
資 パ 実施期間中に3店舗を建設し、売上増を図る。 TC輸送費 3,000万円/年 0円/年
の シ
内 テ 取組み②:精肉加工ラインの増設・省力化装置の導入
容 ィ
〈効果〉
増 〈顧客ニーズ〉
加 共働き世帯の増加、単身世帯・夫婦のみ世帯の増加により、時短ニーズ これまで十分に提供できなかった加工度の高い商品を重点的に販
売することで、部門売上を増加させる。また、加工度の高い商品は高
が高まっている。自宅での調理を省ける商品の需要が高い。
付加価値で粗利率も高く、部門全体の粗利率も改善する。
〈現在の課題〉
手動式のスライサーや、手作業による加工が主となっており、作業効率が悪
い。このことが、消費者の時短ニーズに沿った、加工度の高い商品（味付 改善点 現在 設備投資後
け肉、餃子、焼肉セット等）の開発・販売にあたってボトルネックとなってい
精肉部門年間売上 98,000千円 122,500千円
る。
（1店舗あたり） 25％up
〈投資内容〉
半自動ミンチライン、高速スライサー、餃子・ハンバーグ成形機等を導入し、 精肉部門粗利率 22.9％ 26.3％
時短ニーズに対応する。
【p.5】
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取組み③:炊飯ライン・スイーツ製造設備等の導入
〈顧客ニーズ〉 〈効果〉
Ｂ 前述した時短ニーズの高まりとともに、1世帯あたり人数の減少に伴いセルフ 弁当・スイーツといったセルフユース商品、寿司や土用丑の日のう
惣 ユース商品の需要が増加している。 な重等のイベント関連商品、自宅での調理が難しい揚げ物の売
菜 上増により、部門売上を増加させる。特に自社開発のスイーツは、
の 〈現在の課題〉 他社にない差別化商品として来店動機を高められる。
商
炊飯の生産キャパシティが不足しており、セルフユース商品である弁当・お
品
にぎりの供給が十分ではない。また、寿司やフライ、菓子といった自宅では
改善点 現在 設備投資後
力
調理しづらいセグメントのメニュー開発が十分ではない。
強
化 惣菜部門年間売上 50,580千円 61,000千円
〈投資内容〉
（1店舗あたり） 21％up
炊飯ラインの新設による供給力の増強、オートフライヤー、スイーツ製造設
設
備の導入により、顧客ニーズに対応する商品の開発・販売を強化する。
備
投
資
取組み④:カートレジ導入
の
内 Ｃ 〈顧客ニーズ〉 〈効果〉
容
短時間で必要な買い物を済ませたい（ショートタイムショッピング・ワンストッ レジ対応に係る人時数を削減し、販促機能を通じてカートレジ利
デ
ー プショッピング）。 用者の客単価を増加させる。
タ
ド 〈現在の課題〉 改善点 現在 設備投資後
リ 当社は日用雑貨の取り扱いも豊富でワンストップショッピングのニーズには対
ブ 応できている。一方、レジは自動釣銭機は導入しているもののピークタイム レジ対応時間 36人時/日 30人時/日※1
ン は混雑し、待ち時間が発生している。 （1店舗あたり）
経
営 客単価 ― 15％up※2
〈投資内容〉
の （カートレジ利用者）
カートレジシステムを導入し、セルフスキャンに
加
よりレジの待ち時間を短縮する。また、同シス
速
テムの販促機能（チラシ内容の表示やクーポ ※1:カートレジ利用率20％として試算した
※2:実証実験や他社の導入実績を調査し、最低限見込まれる上昇値
ン発行）を活用可能とする。
【p.6】
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取組み⑤:生鮮品のEDI（受発注システム）導入
〈効果〉
〈顧客ニーズ〉
発注に係る業務時間を短縮するとともに、欠品による売り逃しや
開店から閉店前まで、いつ来店しても欲しい商品を購入したい。
値引き販売を削減し、生鮮3部門の売上を増加させる。
〈現在の課題〉 改善点 現在 設備投資後
常温品はAIの需要予測による自動発注システムを導入しているが、生鮮
品は従業員が売れ数を見ながら手動発注している。時間がかかるうえ、発 発注業務時間 4人時/ 1人時/日
注精度が従業員のスキルに依存しており、欠品による売り逃しや期限切 （1店舗あたり） 日 発注数の確認のみ
迫による値引き販売、期限切れによる廃棄が発生している。
Ｃ ⇒営業中に需要予測を変更できないアウトパックの弱点
生鮮3部門売上 ― 8％up※
青果・精肉・鮮魚 〈内訳〉
デ 〈投資内容〉 欠品による売り逃し削減:+4％
ー 生鮮EDIシステムを導入し、AIによる需要予測機能を活用した自動発注 値引き販売の削減:+3％
設 タ 廃棄の削減:+1％
を実現する。
備 ド
⇒アウトパックの弱みを克服 ※取組み⑥の効果と併せた目標
投 リ
資 ブ
の ン
内 経 取組み⑥:消費期限データ付きJANコードシステム導入
〈効果〉
容 営 〈顧客ニーズ〉
期限チェックに係る業務時間を短縮するとともに、期限切れによる
の
鮮度の良い商品を購入したい（品質重視）/見切り品をお買い得に購
廃棄ロスを減少させ、生鮮3部門の売上を増加させる。
加
入したい（価格重視）/フードロスをなくしたい（社会的価値重視）
速
改善点 現在 設備投資後
〈現在の課題〉
期限チェックは従業員の目視で行っており、時間がかかるうえ、定刻にチェッ 期限チェック 4人時/日 1人時/日
クができていないケースや見落としがある。適切な値下げ販売の機会を逸 業務時間 値下げシール貼付のみ
することで、廃棄ロスが発生している。また、期限チェックのモレにより気づか （1店舗あたり）
ないうちに期限が切迫しており、過剰な値引き販売（定価→半額など）
生鮮3部門売上 ― 8％up※
をせざるをえないケースもある。
青果・精肉・鮮魚 〈内訳〉
欠品による売り逃し削減:+4％値
〈投資内容〉
引き販売の削減:+3％
消費期限データ付きJANコードシステムと専用の包装機を導入し、値下 廃棄の削減:+1％
げが必要な商品の在庫数・値下げ額を自動表示できるようにする。 ※取組み⑤の効果と併せた目標</t>
  </si>
  <si>
    <t>株式会社小松電業所
1.⾧期成⾧ビジョン
建機業界は年9.0％で堅調に成⾧する見込みであり、建機メーカーからは生産能力を超える引合いを多く
いただいている。本補助事業で生産能力と生産性を飛躍的に向上、賃上げにつなげビジョンを実現させる。</t>
  </si>
  <si>
    <t>2029年の⾧期成⾧ビジョン
１．建機業界のメガサプライヤーとして提供価値を拡大する。
・工場新設により生産能力増強・品質向上を実現し、既存顧
客の増産に応えつつ新規顧客を開拓する。サプライヤーの生産
余力がない状況のため、当社の成⾧が国内グローバル建機メー
カーの成⾧につながる。
・設計段階から顧客に提案することで付加価値向上を図る。
２．新たなチャレンジをして社会に貢献する。
・自動化、省人化、DX化、環境負荷低減等、最先端技術で
工場のスマート化を推進する。
・本補助事業で建設する新小山工場については、リスクをとって
大規模投資を行い、自動化技術、DXノウハウを投入して飛躍
的に生産性を向上させ、国内中堅中小企業の「ものづくりのモ
デル工場」となることを目指す。
３．皆が協力し合い互いに成⾧できる職場を創る。
・多様な働き方ができ全社員が互いに協力して高め合える職場
をつくる。社員一人一人が挑戦をして成⾧し、積極的な設備投
資で会社も成⾧を遂げることで、業界平均を大幅に超える毎年
のベースアップ、残業時間削減と休日増加を行う。
・健康企業認定を取得済であり、外部講師を活用した社員研
修やサークル活動の充実などにも取り組んでいる。
・これらにより、物心両面でやりがいをもって働ける会社にする。</t>
  </si>
  <si>
    <t>外発的動機 ※建機=建設機械
• 世界の建機業界では、CAGR約9.0％と堅調な成⾧が見込まれる一方で、
脱炭素化、自動運転化など⾧期的には脅威となる変化も想定される。また、
労働力不足が課題となる中、これまで以上に生産性、収益体質強化の必要
性が高まっている。
• 顧客からは安定供給と高品質が求められ、その水準は年々厳しくなっている。
また、増産要望があるが現在は生産余力がなく受けられない状態である。
• 設備投資を行うことで、生産能力を増強しつつ生産性向上・省人化・高品質
化を実現し、売上拡大・収益体質強化と社員へのさらなる還元を目指す。同
業他社を分析した結果、売上拡大が収益体質強化につながる傾向にある。</t>
  </si>
  <si>
    <t>内発的動機 （代表取締役 塚林幸作）
&lt;顧客に対して&gt;
・私が入社した2001年は建機市場が低迷から脱し始めていた時期でした。大き
な成⾧はなかった当社に対して高成⾧を遂げた同業他社は、リスクをとってでも
顧客とその先の社会の要望に応えて信頼を得て、業績拡大に結びつけていまし
た。強い衝撃と危機感を抱き、その後は当社でも顧客の要望にできる限り応え続
け、2006年にはコマツ様の要望に応えて栃木県小山市に工場を建設しました。
・今後も、本補助事業等により、顧客の要望に応えて困り事を解決し、社会の
発展へ貢献することが企業の成⾧のためには不可欠であると強く思っています。
&lt;従業員に対して&gt;
・私はオーナー一族の後継者として仕事をしてきましたが、オーナー家の生まれであ
るだけで高い地位・処遇を受けることに負い目を感じることもありました。その後、
せっかくのこの立場を活かして社員の人生と社会を豊かにすることこそが私の使命で
あると考えるようになりました。社員に物心両面で幸せな生活を送ってもらうため、
代表取締役就任直後から社員の報酬を毎年増加させています。
・本事業は次世代の経営を担う社員の自律的な動きを中心に企画実行されてい
ます。建機業界のメガサプライヤーになるビジョン実現に向けた取り組みで生産
性を向上させ、社員のよりよい生活の原資にしていきたいと強く考えています。</t>
  </si>
  <si>
    <t>【p.1／売上成長目標】
2029年度の売上成⾧目標
• 当社単体 246億円 (2023年度比＋59％、+91億円)
• グループ全体 346億円 (2023年度比＋52％、+118億円)
【p.2／2026年度】
2026年度
項目
（基準年度）</t>
  </si>
  <si>
    <t>【p.1】
株式会社小松電業所
1.⾧期成⾧ビジョン
建機業界は年9.0％で堅調に成⾧する見込みであり、建機メーカーからは生産能力を超える引合いを多く
いただいている。本補助事業で生産能力と生産性を飛躍的に向上、賃上げにつなげビジョンを実現させる。
2029年の⾧期成⾧ビジョン 外発的動機 ※建機=建設機械
• 世界の建機業界では、CAGR約9.0％と堅調な成⾧が見込まれる一方で、
１．建機業界のメガサプライヤーとして提供価値を拡大する。
脱炭素化、自動運転化など⾧期的には脅威となる変化も想定される。また、
・工場新設により生産能力増強・品質向上を実現し、既存顧
労働力不足が課題となる中、これまで以上に生産性、収益体質強化の必要
客の増産に応えつつ新規顧客を開拓する。サプライヤーの生産
性が高まっている。
余力がない状況のため、当社の成⾧が国内グローバル建機メー
• 顧客からは安定供給と高品質が求められ、その水準は年々厳しくなっている。
カーの成⾧につながる。
また、増産要望があるが現在は生産余力がなく受けられない状態である。
・設計段階から顧客に提案することで付加価値向上を図る。
• 設備投資を行うことで、生産能力を増強しつつ生産性向上・省人化・高品質
２．新たなチャレンジをして社会に貢献する。 化を実現し、売上拡大・収益体質強化と社員へのさらなる還元を目指す。同
・自動化、省人化、DX化、環境負荷低減等、最先端技術で 業他社を分析した結果、売上拡大が収益体質強化につながる傾向にある。
工場のスマート化を推進する。
・本補助事業で建設する新小山工場については、リスクをとって 内発的動機 （代表取締役 塚林幸作）
大規模投資を行い、自動化技術、DXノウハウを投入して飛躍 &lt;顧客に対して&gt;
的に生産性を向上させ、国内中堅中小企業の「ものづくりのモ ・私が入社した2001年は建機市場が低迷から脱し始めていた時期でした。大き
デル工場」となることを目指す。 な成⾧はなかった当社に対して高成⾧を遂げた同業他社は、リスクをとってでも
顧客とその先の社会の要望に応えて信頼を得て、業績拡大に結びつけていまし
３．皆が協力し合い互いに成⾧できる職場を創る。
た。強い衝撃と危機感を抱き、その後は当社でも顧客の要望にできる限り応え続
・多様な働き方ができ全社員が互いに協力して高め合える職場
け、2006年にはコマツ様の要望に応えて栃木県小山市に工場を建設しました。
をつくる。社員一人一人が挑戦をして成⾧し、積極的な設備投
・今後も、本補助事業等により、顧客の要望に応えて困り事を解決し、社会の
資で会社も成⾧を遂げることで、業界平均を大幅に超える毎年
発展へ貢献することが企業の成⾧のためには不可欠であると強く思っています。
のベースアップ、残業時間削減と休日増加を行う。
&lt;従業員に対して&gt;
・健康企業認定を取得済であり、外部講師を活用した社員研
・私はオーナー一族の後継者として仕事をしてきましたが、オーナー家の生まれであ
修やサークル活動の充実などにも取り組んでいる。
るだけで高い地位・処遇を受けることに負い目を感じることもありました。その後、
・これらにより、物心両面でやりがいをもって働ける会社にする。
せっかくのこの立場を活かして社員の人生と社会を豊かにすることこそが私の使命で
あると考えるようになりました。社員に物心両面で幸せな生活を送ってもらうため、
2029年度の売上成⾧目標
代表取締役就任直後から社員の報酬を毎年増加させています。
• 当社単体 246億円 (2023年度比＋59％、+91億円) ・本事業は次世代の経営を担う社員の自律的な動きを中心に企画実行されてい
• グループ全体 346億円 (2023年度比＋52％、+118億円) ます。建機業界のメガサプライヤーになるビジョン実現に向けた取り組みで生産
性を向上させ、社員のよりよい生活の原資にしていきたいと強く考えています。</t>
  </si>
  <si>
    <t>【p.2】
株式会社小松電業所
2.補助事業の概要
自動化・省人化・DX化を進めた新工場建設により生産能力と生産性を飛躍的に向上させ、市場成⾧の一方で
サプライヤーの生産余力不足に苦慮している国内建機メーカーの増産要望に応えると共に全社で賃上げを行う。
• 建機市場は少なくとも2040年まで成⾧が続く見込みであり、主要顧客のコマツ・竹内製作所は
今後も増産計画である。当社の売上高はここ数年過去最高水準であるが、生産余力がなく顧
事業費 43億円
客の増産要望に応え事業成⾧することが難しい。業界的にもサプライヤーの生産余力がなく、
補助事業の （補助額） （14億円）
国内建機メーカーが苦慮している。また、業界的な採用難から人手不足も起き始めている。
背景・目的
• そこで、自動化・省人化・DX化・省エネ化を進めた新工場を建設して顧客の増産要望に応え、
国内のグローバル建機メーカーの成⾧に寄与する。また、工場間の案件（製造品目）割振りの
最適化などシナジー効果も生み労働生産性を飛躍的に向上させ全社で賃上げを実現させる。
塗装ライン
• 補助事業での売上高が102億円・175%増加するのに対し、17名の省人化と生産性向上によ
り従業員の増加は59%・58名に抑えられる。
• 板金・塗装・組立を一貫生産できる自動化・省人化・DX化・省エネ化を進めた新工場を建設し、
建屋（①）、塗装ライン（①～④）、自動搬送システム（⑤）で下記投資と効果を実現する。
• ①小型部品に特化した最新塗装ライン建設による18%の生産性向上:新工場は小
設備投資の 型部品に特化し塗装能力も向上させることで、生産性が大幅に向上する。
内容 • ②現品票の高耐久化・DX化による20%の生産性向上:現在は塗装ラインにおいて 自動搬送システム
現品票の貼り換え・手入力を行っているが、高耐久化・DX化によりこれらが削減される。
• ③多品種少量の建機部品では国内初の塗装自動化による2名の省人化:多品種
少量の建機部品塗装において国内で自動化している所はない。自動化に成功した当社
中国工場のノウハウを活用し、上塗り塗装をロボットにより自動化して2名省人化する。
自動塗装ロボット
• ④ハイブリッド型乾燥炉導入によるガス43%・電気10%の省エネ化
• ⑤自動搬送システムによる8名の省人化:フォークリフトから自動搬送に置換え。 ※下2つの画像はノードソン株式会社、株式会社ホリゾンのHPが出典
2026年度 2029年度
項目
（基準年度） （基準年度＋３年後）
目標値 労働生産性（万円/人） 725 1,639（年平均上昇率＋31.2％）
従業員1人あたり給与支給総額（万円/人） 495 566（年平均上昇率＋4.6％）
補助事業に係る従業員数（単位:人） 99 157
※補助事業に係る役員は0人</t>
  </si>
  <si>
    <t>アオイ電子株式会社
1.⾧期成⾧ビジョン
パワー半導体や先端半導体パッケージ（FOLP・チップレット)などの高付加価値製品への
本格的移行により2029年度までに売上高の倍増を目指す。</t>
  </si>
  <si>
    <t>⾧期成⾧ビジョン（目指す姿・ビジネスモデル）
• 純国産OSATとして、これまで小型（軽薄短小）パッケージを中
心とし、ハイコンポーネンツ青森（2013年完全子会社化）を合
わせ業容を拡大してきたが、海外とのコスト競争の激化により今後
の大きな発展性は望めないと判断している。
• 今後、需要拡大が望めるﾊﾟﾜｰ系ﾊﾟｯｹｰｼﾞの生産能力を拡大し、
特に産業・車載・家電製品向けの中小容量分野への進出を目指
す。
• 更に先端パッケージ（FOLP※）によるﾊﾟﾜｰモジュールの上市に向
けて工場の整備を進める。新工場の建設（改造含む）および製
造装置導入を進める。
• 併せてチップレットの2027年度上市に向けて研究開発を加速し、
FOLPと合わせて当社グループの柱とする計画である。
※プリント基板上に単体の高集積度半導体を表面実装する時に小さな占有
面積で済ませられる半導体部品のパッケージの一形態（Fan-out-wefer-
Level-package）</t>
  </si>
  <si>
    <t>外発的動機
• これまでの半導体事業の柱であった小型ﾊﾟｯｹｰｼﾞ（アナログ・電源
系）には海外勢の進出も盛んであり、価格競争も熾烈を極めてい
る。更なる原価低減と受注増を目指すとともに、今後EV車の増加
に伴い採用増が見込まれるﾊﾟﾜｰ半導体の組立とテスト能力の拡
大に取り組みたい。
• また、ﾊﾟﾜｰモジュール（FOLP)の市場要請が旺盛なことから開発を
加速させたい。</t>
  </si>
  <si>
    <t>内発的動機
• 2022年度後半からの半導体不況（産業機器、民生、通信市場
向け）が⾧期化し、中国における国産化の動きも加わり、業績が
低迷した。これを契機に従来ﾊﾟｯｹｰｼﾞからの転換（高付加価値製
品へウェイトをシフトする）が必須となった。
• 更に、研究開発中のFOLPに量産化のめどが立ち、工場の新設に
取り組む。今後は、チップレットへの展開を模索する環境が整ったと
判断している。</t>
  </si>
  <si>
    <t>【p.1／売上成長目標】
売上成⾧目標
• 2029年度までに会社全体の売上高成⾧率102％（単体）
• 2029年度までに会社全体の売上高増加額379億円（〃）
【p.2／設備投資の内容】
（設備投資の内容）
量産FAB立ち上げのため、以下の投資を実施
１. 建屋の購入（シャープ三重事業所第１工場）、
クリーンルームの増床および既存装置の移設
２. 生産装置の購入
３. 車載品品質保証体制の構築
（設備投資による課題解決、労働生産性の向上につなが
１. 現有のレガシーパッケージに新たな分野のパワー半
取り込むことで、売上拡大を図る。
２. 車載品向けの品質保証体制を更新することにより
を獲得する。
３. 自動化ラインの構築により人材不足の課題を解決
【p.2／2026年度】
2026年度
項目
（基準年度）</t>
  </si>
  <si>
    <t>【p.1】
アオイ電子株式会社
1.⾧期成⾧ビジョン
パワー半導体や先端半導体パッケージ（FOLP・チップレット)などの高付加価値製品への
本格的移行により2029年度までに売上高の倍増を目指す。
⾧期成⾧ビジョン（目指す姿・ビジネスモデル）
外発的動機
• 純国産OSATとして、これまで小型（軽薄短小）パッケージを中 • これまでの半導体事業の柱であった小型ﾊﾟｯｹｰｼﾞ（アナログ・電源
心とし、ハイコンポーネンツ青森（2013年完全子会社化）を合 系）には海外勢の進出も盛んであり、価格競争も熾烈を極めてい
わせ業容を拡大してきたが、海外とのコスト競争の激化により今後 る。更なる原価低減と受注増を目指すとともに、今後EV車の増加
の大きな発展性は望めないと判断している。 に伴い採用増が見込まれるﾊﾟﾜｰ半導体の組立とテスト能力の拡
大に取り組みたい。
• 今後、需要拡大が望めるﾊﾟﾜｰ系ﾊﾟｯｹｰｼﾞの生産能力を拡大し、
特に産業・車載・家電製品向けの中小容量分野への進出を目指 • また、ﾊﾟﾜｰモジュール（FOLP)の市場要請が旺盛なことから開発を
す。 加速させたい。
• 更に先端パッケージ（FOLP※）によるﾊﾟﾜｰモジュールの上市に向
けて工場の整備を進める。新工場の建設（改造含む）および製
造装置導入を進める。
内発的動機
• 併せてチップレットの2027年度上市に向けて研究開発を加速し、
• 2022年度後半からの半導体不況（産業機器、民生、通信市場
FOLPと合わせて当社グループの柱とする計画である。
向け）が⾧期化し、中国における国産化の動きも加わり、業績が
低迷した。これを契機に従来ﾊﾟｯｹｰｼﾞからの転換（高付加価値製
※プリント基板上に単体の高集積度半導体を表面実装する時に小さな占有
品へウェイトをシフトする）が必須となった。
面積で済ませられる半導体部品のパッケージの一形態（Fan-out-wefer-
Level-package）
• 更に、研究開発中のFOLPに量産化のめどが立ち、工場の新設に
売上成⾧目標 取り組む。今後は、チップレットへの展開を模索する環境が整ったと
判断している。
• 2029年度までに会社全体の売上高成⾧率102％（単体）
• 2029年度までに会社全体の売上高増加額379億円（〃）</t>
  </si>
  <si>
    <t>【p.2】
アオイ電子株式会社
2.補助事業の概要
パワー系／車載系半導体の量産体制確立のための設備投資を段階的にすすめ
自動化・省人化により労働生産性の向上を図るとともに創出された利益を従業員に還元する。
• 既存パッケージ(小型)に加えて、大きな成⾧が見込めるパワー半導体パッケージングの量産受注
補助事業の につなげたい。量産受注のためにはクリーンルームの新設および設備の導入が必要である。 事業費 254億円
背景・目的 • パワー半導体の性能を向上させ、エネルギーの無駄を減らし環境負荷を低減させることによりGX （補助額） （50億円）
の推進に寄与する。
（設備投資の内容）
建屋購入（シャープ三重事業所第１工場）
量産FAB立ち上げのため、以下の投資を実施
１. 建屋の購入（シャープ三重事業所第１工場）、
クリーンルームの増床および既存装置の移設
２. 生産装置の購入
３. 車載品品質保証体制の構築
設備投資の 主な投資装置
内容 （設備投資による課題解決、労働生産性の向上につながる点）
１. 現有のレガシーパッケージに新たな分野のパワー半導体製品を ダイボンダー ワイヤボンダー
取り込むことで、売上拡大を図る。
２. 車載品向けの品質保証体制を更新することにより、新たな受注
を獲得する。
３. 自動化ラインの構築により人材不足の課題を解決する。
キャノンマシナリー㈱HPより ㈱カイジョーHPより
2026年度 2029年度
項目
（基準年度） （基準年度＋３年後）
労働生産性 1,196万円
812万円
（単位:万円/人） （年平均上昇率＋14％）
目標値 従業員1人あたり給与支給総額 535万円
490万円
（単位:万円/人） （年平均上昇率＋3.0％）
役員１人あたり給与支給総額
― ―
（単位:万円/人）
補助事業に係る従業員数
732 795
（単位:人）</t>
  </si>
  <si>
    <t>株式会社ｂｕｄ梱包出荷サポート
.長期成長ビジョン
1
・地域物流の中心的存在を担うべく、先端設備等への投資を行い、市場シェア拡大を目指す
・作業工程の自動化により継続的な賃上げを可能とする事業体制を構築する</t>
  </si>
  <si>
    <t>長期成長ビジョン（目指す姿・ビジネスモデル）
〈基本方針〉
• 地域物流の中心的存在を担うべく、先端設備等への積極的な投資を行い、
市場シェアの拡大を図る
• 従業員の待遇改善に向けた業務効率化を推進する
• 物流の効率化に貢献し、社会課題解決および地域事業者への経済的波及
効果を実現する
〈基本戦略〉
• シェア拡大に向け2029年10月期に出荷個数1,000万個超を目指す
現在の倉庫はすでに満床のため新倉庫の建設を行う。さらにピッキング等の工程
自動化を実現可能な自動倉庫システムを導入することで2029年10月期に出
荷個数1,000万個超を目指す。これにより市場シェアを約1％まで成長させる。
• 自動化体制の構築により業務効率化を図り従業員の継続的な待遇改善を
実現
人手作業が課題となっているピッキング工程等の自動化を図ることができる自動
倉庫システムを導入する。これにより28.3％の省人化を実現し利益率を向上さ
せることで賃上げ等を積極的に実施する。
• サービス品質の向上による優位性の強化
工程の自動化を推進することで誤出荷を限りなくゼロに近づけ、サービス品質の強
化、安定化を目指す。</t>
  </si>
  <si>
    <t>外発的動機
・気候変動
・テクノロジーの破壊的変化
・人口動態の変化
・運送業界の2024年問題
・EC市場の急速な成長・物価高騰</t>
  </si>
  <si>
    <t>内発的動機
・物流業界への貢献
・作業工程にかかる課題
・社会課題への貢献従業員の待遇改善および新規雇用に
よる地域貢献</t>
  </si>
  <si>
    <t>【p.1／売上成長目標】
売上成長目標
■2029年10月期に出荷個数1,000万個を突破
■2029年10月期に会社全体の売上高55億円・営業利益4.3億円超
■2029年10月期売上高成長率+258.7％ （2023年度実績値と比較）
■3PL国内市場シェア約1％を獲得（2023年度は0.04％）</t>
  </si>
  <si>
    <t>【p.1】
株式会社ｂｕｄ梱包出荷サポート
.長期成長ビジョン
1
・地域物流の中心的存在を担うべく、先端設備等への投資を行い、市場シェア拡大を目指す
・作業工程の自動化により継続的な賃上げを可能とする事業体制を構築する
長期成長ビジョン（目指す姿・ビジネスモデル）
〈基本方針〉
• 地域物流の中心的存在を担うべく、先端設備等への積極的な投資を行い、
市場シェアの拡大を図る
• 従業員の待遇改善に向けた業務効率化を推進する
外発的動機
• 物流の効率化に貢献し、社会課題解決および地域事業者への経済的波及
効果を実現する
〈基本戦略〉 ・気候変動
・テクノロジーの破壊的変化
• シェア拡大に向け2029年10月期に出荷個数1,000万個超を目指す ・人口動態の変化
現在の倉庫はすでに満床のため新倉庫の建設を行う。さらにピッキング等の工程
・運送業界の2024年問題
自動化を実現可能な自動倉庫システムを導入することで2029年10月期に出
・EC市場の急速な成長・物価高騰
荷個数1,000万個超を目指す。これにより市場シェアを約1％まで成長させる。
• 自動化体制の構築により業務効率化を図り従業員の継続的な待遇改善を
実現
人手作業が課題となっているピッキング工程等の自動化を図ることができる自動
倉庫システムを導入する。これにより28.3％の省人化を実現し利益率を向上さ
せることで賃上げ等を積極的に実施する。 内発的動機
• サービス品質の向上による優位性の強化
工程の自動化を推進することで誤出荷を限りなくゼロに近づけ、サービス品質の強
・物流業界への貢献
化、安定化を目指す。
・作業工程にかかる課題
・社会課題への貢献従業員の待遇改善および新規雇用に
売上成長目標
よる地域貢献
■2029年10月期に出荷個数1,000万個を突破
■2029年10月期に会社全体の売上高55億円・営業利益4.3億円超
■2029年10月期売上高成長率+258.7％ （2023年度実績値と比較）
■3PL国内市場シェア約1％を獲得（2023年度は0.04％）</t>
  </si>
  <si>
    <t>【p.2】
株式会社ｂｕｄ梱包出荷サポート
.補助事業の概要
2
・新倉庫の建設および自動倉庫システムの導入により課題の解決を図る
・労働生産性の年率平均上昇率＋15.6％を実現する
※従業員数は就業時間換算により算出
・地域物流の中心的存在を担うべく、先端設備等への積極的な投資を行い、市場シェアの拡大を図る
補助事業の 事業費 2 億円
・従業員の待遇改善に向けた業務効率化を推進する 6
背景・目的 （補助額） （ . 億円）
・物流の効率化に貢献し、社会課題解決および地域事業者への経済的波及効果を実現する 8 0
①新倉庫の建設
・投資額：17.24億円（延べ床面積7,500㎡（2,269坪）となる予定）
・投資による課題解決：自動倉庫システム導入および出荷増に向けた倉庫能力強化
に、新倉庫の建設が不可欠。
②自動倉庫システム
・詳細および投資額：ハードウェア（枠組み部分）5.23億円、システム 2,800万円、
設備投資の
Nano Sorter 4,700万円、連携用コンベア 7,000万円
内容
・投資による課題解決：ロボット技術を用いたシャトル・リフト・ステーションにより柔軟性/
拡張性を追求した自動倉庫システム。ピッキングや入庫の自動化を実現。またコンベア
を自動倉庫システムおよび既存の自動梱包機と連携することで自動化体制を構築する。
また、Nano Sorterは倉庫の間口機能のほかピッキング時および梱包後の仕分けを自
動化。
※ハードウェアは㈱ROMS製とRENATUS ROBOTICS㈱製で検討中。どちらか一方
に絞るか、両社を組み合わせるか入念に検討を行っている状況。
2026年度 2029年度
項目
（基準年度） （基準年度＋３年後）
労働生産性 1,556万円/人
1,008万円/人
（単位：万円/人） （年平均上昇率＋15.6％）
目標値 従業員1人あたり給与支給総額 331万円/人
286万円/人
（単位：万円/人） （年平均上昇率＋5.0％）
役員１人あたり給与支給総額 ー
ー
（単位：万円/人） （年平均上昇率＋5.0％）
補助事業に係る従業員数
48人 51人
（単位：人）</t>
  </si>
  <si>
    <t>株式会社しばた工芸
1.長期成長ビジョン
サイン業界の人手不足、大廃業時代を背景に、自社の得意分野と立地の良さを生かして大きく成長を狙う。
安心・安全なサインを小ロット、短納期で提供する仕組みを構築し、顧客からも社会からも必要とされる企業になる</t>
  </si>
  <si>
    <t>長期成長ビジョン（目指す姿・ビジネスモデル）
「不易を知らざれば基立ち難く、流行を知らざれば風新たならず」
当社は、不易流行の精神を持って「いい仕事をしよう」を旗印に、新しい技術・
伝達方法も積極的に取り入れ、先進的なものづくりに挑戦しています。
大切にしている不易の価値観は「仕事に手を抜かない」ことです。今回の
事業で流行となる最新の設備、新しい技術を取入れ、「今できる最高の仕事」
をする事によってお客様・社会からいつまでも必要とされる会社になりたい
と願っています。
大廃業時代とも言われる今日、サイン業界でも後継者・人材不足・設備の
高額化により、多くの貴重な技術、雇用が失われつつあります。この状況を
改善するために、自社の強みを活かして先進的な生産プロセスを導入し、商
流を再構築することで、当社のみならず業界全体の成長を促進し、ひいては
社会全体にも貢献することを目指します。
また、今回の事業を通して、溶接・精密板金・塗装といったコア技術に更
に磨きをかけて、親和性の高いデジタルサイネージ、建築装飾板金、さらに
は WEB 広告などの関連業界の大きな市場にもチャレンジしてまいります。
今回の売上目標７0 億はその第一歩です。</t>
  </si>
  <si>
    <t>外発的動機
■ 安全性・環境に対する社会的欲求
地球温暖化による想定外の激甚災害が毎年のように起きている。
屋外に設置するサインには、より高い安全性が求められている。
また、環境負荷の少ない製造方法・資材を積極的に採用する。
■ 人手不足・高齢化に対する改善策
属人的になりやすいモノづくりの現場を最新設備を導入して再現性を
高め、情報共有を行い標準化したい。
構造的にムダ・ムラの多い業界であり、ファウンドリ事業を確立する
ことで他社との分業・協業を推し進め効率的な高収益体質を目指す。
■ デジタルサイネージ等の新市場への挑戦
現在のビジネスモデルでは高い成長が望めなくなり、当社がさらに大きく成長
するために、関連するより大きな市場に積極的にチャレンジする必要がある。</t>
  </si>
  <si>
    <t>内発的動機
創業以来、幾度となく当社がもっと成長できる機会があった。し
かし 目先の仕事に追われ、また時に工場敷地の問題、資金の問題、
人材の問題などで機会を捉えることができなかった。
社会変容による不安が、サイン業界にも重く立ちこめ萎縮してい
る 今だからこそ、チャンスがある。また、地の利を十分生かせる
環境にあり、長年磨いてきた技能と鍛えてきた人材がいる。まさ
に天地人が揃った今が、当社が飛躍できるチャンスではないかと
捉えている</t>
  </si>
  <si>
    <t>【p.1／売上成長目標】
売上成長目標
2031年 2月期に、会社全体の売上高 70 億円
［2029 年 2 月期に、会社全体の売上高 50 億円］
補助事業完了後 5 年間で売上高増加額 45 億円、
売上高成長率 280% 以上
【p.2／2025年度 2028 年度】
2025年度 2028 年度
項 目
（基準年度） （基準年度 +３年後）</t>
  </si>
  <si>
    <t>【p.1】
株式会社しばた工芸
1.長期成長ビジョン
サイン業界の人手不足、大廃業時代を背景に、自社の得意分野と立地の良さを生かして大きく成長を狙う。
安心・安全なサインを小ロット、短納期で提供する仕組みを構築し、顧客からも社会からも必要とされる企業になる。
長期成長ビジョン（目指す姿・ビジネスモデル）
外発的動機
「不易を知らざれば基立ち難く、流行を知らざれば風新たならず」
■ 安全性・環境に対する社会的欲求
当社は、不易流行の精神を持って「いい仕事をしよう」を旗印に、新しい技術・ 地球温暖化による想定外の激甚災害が毎年のように起きている。
伝達方法も積極的に取り入れ、先進的なものづくりに挑戦しています。 屋外に設置するサインには、より高い安全性が求められている。
また、環境負荷の少ない製造方法・資材を積極的に採用する。
大切にしている不易の価値観は「仕事に手を抜かない」ことです。今回の
事業で流行となる最新の設備、新しい技術を取入れ、「今できる最高の仕事」 ■ 人手不足・高齢化に対する改善策
をする事によってお客様・社会からいつまでも必要とされる会社になりたい 属人的になりやすいモノづくりの現場を最新設備を導入して再現性を
と願っています。 高め、情報共有を行い標準化したい。
構造的にムダ・ムラの多い業界であり、ファウンドリ事業を確立する
大廃業時代とも言われる今日、サイン業界でも後継者・人材不足・設備の
ことで他社との分業・協業を推し進め効率的な高収益体質を目指す。
高額化により、多くの貴重な技術、雇用が失われつつあります。この状況を
改善するために、自社の強みを活かして先進的な生産プロセスを導入し、商 ■ デジタルサイネージ等の新市場への挑戦
流を再構築することで、当社のみならず業界全体の成長を促進し、ひいては 現在のビジネスモデルでは高い成長が望めなくなり、当社がさらに大きく成長
社会全体にも貢献することを目指します。 するために、関連するより大きな市場に積極的にチャレンジする必要がある。
また、今回の事業を通して、溶接・精密板金・塗装といったコア技術に更
に磨きをかけて、親和性の高いデジタルサイネージ、建築装飾板金、さらに
内発的動機
は WEB 広告などの関連業界の大きな市場にもチャレンジしてまいります。
今回の売上目標７0 億はその第一歩です。 創業以来、幾度となく当社がもっと成長できる機会があった。し
かし 目先の仕事に追われ、また時に工場敷地の問題、資金の問題、
売上成長目標
人材の問題などで機会を捉えることができなかった。
2031年 2月期に、会社全体の売上高 70 億円
社会変容による不安が、サイン業界にも重く立ちこめ萎縮してい
［2029 年 2 月期に、会社全体の売上高 50 億円］ る 今だからこそ、チャンスがある。また、地の利を十分生かせる
環境にあり、長年磨いてきた技能と鍛えてきた人材がいる。まさ
補助事業完了後 5 年間で売上高増加額 45 億円、
に天地人が揃った今が、当社が飛躍できるチャンスではないかと
売上高成長率 280% 以上
捉えている</t>
  </si>
  <si>
    <t>【p.2】
株式会社しばた工芸
2.補助事業の概要
省力化施設を新設することで、一気通貫した生産体制を構築するとともに、加工設備の再構成を行うことで、
サインの種類に応じた専用工場化とオペレーションの省力化を図る。
大廃業時代とも言われる今日、サイン業界でも後継者・人材不足・設備の高額化により、多くの貴
重な技術、雇用が失われつつある。最新の設備を導入したサイン業界の製造工場を首都圏に作るこ
補助事業の 事業費 15億円
とで自社の大きな成長を目指し、ひいては業界の発展に貢献する。
背景・目的 （補助額）
サインに関連する各種法令適合の条件はますます厳しくなっており、資格・ノウハウ・高額な設備が必要 ( 4.8億円 )
になっている。小規模・小人数業者では到底対応できず、それらの受け皿となるサイン工場が必要である。
【設備投資内容】
• サイン製造工場の新設 ( 溶接・板金・塗装 )及び既存工場の改修工事
• 板金ブランク加工複合機 (レーザー・タレパン・V 溝加工 ) の導入
• 金属・樹脂加工設備 (ZUND、レーザー溶接、CNCベンディングマシン、シャーリング 他 )
• 資材・在庫管理システム
【労働生産性向上の内容】
• 板金ブランク加工複合機 (レーザー・タレパン・V 溝加工 ) の導入により、大幅な省力化、
設備投資の
製造スピードアップに伴う製造コスト削減と納期短縮を行う。
内容 • 資材の投入から加工・塗装・仕上げ・出荷までを直線に配置することで
製作物の移動が容易になり、スムーズな生産体制を構築する。
• 上記直線工程と並行に、各種加工機で構成する加工ブースと、塗装・乾燥ブースを併設することで、
組立効率と塗装効率を向上させ、サイン製作の回転率を向上させる。
• 大型サインのスピードアップに対応するため、既存工場を軽量サイン、表示面仕上の専用工場
および資材管理倉庫として改修し、効率化。（軽量サイン・表示面仕上は大型サインのパーツとなる） 建設予定の工場配置計画
2025年度 2028 年度
項 目
（基準年度） （基準年度+３年後）
労働生産性
1,166 2,043（年平均上昇率 +20.5%）
（単位：万円／人）
従業員 1 人当たり給与支給総額 栃木県 583 677（年平均上昇率+5.1%）
目標値
（単位：万円／人） 東京都 684 795（年平均上昇率 +5.1%）
役員 1 人当たり給与支給総額 栃木県 - - （年平均上昇率+4%）
（単位：万円／人） 東京都
補助事業に係る従業員数 栃木県 71 95
（単位：人） 東京都 5 5</t>
  </si>
  <si>
    <t>1.長期成長ビジョン 株式会社共同物流サービス
地域の活性化、及び地元経済の牽引役としての役割を果たすため、食品流通のインフラに不可欠な
冷凍倉庫とその附帯サービスを提供し、総合物流サービス企業としての機能強化を図る。</t>
  </si>
  <si>
    <t>長期成長ビジョン（目指す姿・ビジネスモデル）
(1)「課題解決型物流サービス」の提供
現状の「物流・情報処理に問題を抱えている会社」に対し、単なる商品保
管・配送といった個別機能の提供ではなく、物流の枠を超えた「課題解決型
サービスの提供」を行うことにより、地域経済の活性化を支援する企業を目
指す。
(2)物流コンサルティングにより顧客の課題を解決
「物流コンサルティング」に力を入れ、さまざまな物流問題を抱える企業に
対して的確なソリューションを提供する。
(3)「高品質・高い生産性」の実績と経験を活かす。
長年培ってきた最先端コールドチェーン分野での実績と経験を生かし、地
域経済の発展に貢献する。
(4)低温物流分野の物流機能強化
近年需要性が高まっている低温物流分野にて物流機能を強化し、
コールドチェーンを最適化・青森県水産業の高付加価値化を支援する。
②将来の投資のための適正利益を確保し続ける。
③長期ビジョンを実現できる人材を確保する。
⇒一定水準以上の昇給の維持・労働環境の整備
3)青森県水産業の課題解決に貢献する。
(3)青森県水産業の課題解決に貢献する。
※長期ビジョンの実現と地元水産業の高付加価値化を実現するために、
セミ超低温倉庫（-35℃）を建設し、付帯サービスを提供すると共に、
「目指す会社の姿」を実現する。</t>
  </si>
  <si>
    <t>外発的動機
(1)現状の物流に課題を抱えている企業が多い
生産性が悪い・物流コストが上昇し続ける等の課題に対し、具体的な解決策を
持っていない会社が多い。
(2)青森県の水産業漁獲高の減少
従来型水産業の水揚げ高減少が続いている。
地元水産業、及びその関連会社の業績が悪化している。
(3)「捕る漁業から育てる漁業」への転換
地元（青森県）の企業が、漁業先進地域である北欧の最先端養殖技術
を取り入れ、サーモンの養殖事業を強力に推進している。
また、青森県も政策として、サーモンの一大産地化を目指している。
(4)冷凍食品のニーズが拡大
近年、中食のニーズが増加し、調理済みの惣菜・冷凍食品の需要が増加
している。
(5)地域コールドチェーンの課題
地域の冷凍倉庫は老朽化が進み、新設する計画がない。さらに青森県には
セミ超低温倉庫（-35℃）もない。（全国の30％が築40年を超える老朽倉庫）
(6)2024年問題の課題
青森県は都市部より遠隔にあるため、トラック輸送に課題がある。
（ドライバーの労働時間・拘束時間の法的制限強化等）</t>
  </si>
  <si>
    <t>内発的動機
(1)目指す会社の姿
①地域に必要とされ、地域に貢献する会社
②社員が幸せになれる（従業員満足が高い）会社を目指す。
(2)実現させるために
①一定規模以上の事業規模（物流機能・サービス）を目指す。
②将来の投資のための適正利益を確保し続ける。
③長期ビジョンを実現できる人材を確保する。
⇒一定水準以上の昇給の維持・労働環境の整備
(3)青森県水産業の課題解決に貢献する。
※長期ビジョンの実現と地元水産業の高付加価値化を実現するために、
セミ超低温倉庫（-35℃）を建設し、付帯サービスを提供すると共に、
「目指す会社の姿」を実現する。</t>
  </si>
  <si>
    <t>【p.1／売上成長目標】
売上成長目標
• 2029年度までに、会社全体の売上高 １００億円/年
売上高成長率9.6％/年
2023年度売上実績 → 57.8億円/年
（対2023年度比42億円増）
【p.2／◆背景】
◆背景
(1)従来型水産業の水揚高（量）が減少する中、青森県の今後の方針として、養殖業を推進していく計画がある。
(2)一方、鮮度維持のために必要な-35℃の冷凍倉庫が青森県にはない。
(3)-35℃で保管できる冷凍倉庫の不足、またコールドチェーンの再構築を必要としている。
(詳細14ページ参照)
◆目的
青森県の水産業が抱える課題の解決により、水産業の経済を活性化させ、地域の企業を発展させる。
(詳細15～17ページ参照)
◆課題
建築費の高騰により、顧客が許容できる範囲の料金を実現することが困難なため、本補助金の採択がなければ本事業は成
立しない。
【p.2／設備投資の内容】
• 設備投資の内容 （詳細18ページ参照）
(1)設置場所 ：青森県八戸市長苗代 八戸総合卸センター内
(2)土地 ：9,379㎡（2,837坪）
(3)建物 ：セミ超低温倉庫（-35℃） ２層
(4)延床面積 ：5,014㎡（1,517坪）
(5)機械設備 ：移動式パレットラック、
在庫管理（ＷＭＳ）システム、
ハンディ・音声物流システム、
トラック予約受付システム 等
・労働生産性向上 （詳細19～20ページ参照）
(1)作業効率が向上する機械設備・システムを導入し、生産性を向上させる。
(2)サーモン養殖業者は現在、超低温倉庫(-45℃)に保管するため、関東まで商品
をトラック輸送している。当社が新冷凍倉庫を建設することにより、長距離輸送が
減少する。また海外への輸出入は八戸港の利用が可能となる。
【効果】
構内作業時間削減目標 延べ8,000時間/年（従来比28％削減）
配送ドライバー荷待ち時間削減目標 延べ 429時間/年（従来比93％削減）
【p.3／【補助事業に関わる従業員及び役員の判定が困難である理由】】
補助事業に関わる従業員、及び役員の判定が困難であることにより、補助事業の範囲を「事業者全体」として申請します。
【補助事業に関わる従業員及び役員の判定が困難である理由】
(1)従業員の部署異動が年１回、その他必要に応じて都度発生する。
(2)各部署の日々の物量・作業量の変動により、他部門より応援要員の移動を日々行っている。
(3)役員は会社全体を管理監督している。
「事業者全体」を補助事業とし、従業員数・付加価値額・労働生産性等の各数値を計算します。</t>
  </si>
  <si>
    <t>【p.1】
1.長期成長ビジョン 株式会社共同物流サービス
地域の活性化、及び地元経済の牽引役としての役割を果たすため、食品流通のインフラに不可欠な
冷凍倉庫とその附帯サービスを提供し、総合物流サービス企業としての機能強化を図る。
外発的動機
長期成長ビジョン（目指す姿・ビジネスモデル）
(1)現状の物流に課題を抱えている企業が多い
生産性が悪い・物流コストが上昇し続ける等の課題に対し、具体的な解決策を
持っていない会社が多い。
(1)「課題解決型物流サービス」の提供 (2)青森県の水産業漁獲高の減少
現状の「物流・情報処理に問題を抱えている会社」に対し、単なる商品保 従来型水産業の水揚げ高減少が続いている。
地元水産業、及びその関連会社の業績が悪化している。
管・配送といった個別機能の提供ではなく、物流の枠を超えた「課題解決型
(3)「捕る漁業から育てる漁業」への転換
サービスの提供」を行うことにより、地域経済の活性化を支援する企業を目
地元（青森県）の企業が、漁業先進地域である北欧の最先端養殖技術
指す。
を取り入れ、サーモンの養殖事業を強力に推進している。
(2)物流コンサルティングにより顧客の課題を解決 また、青森県も政策として、サーモンの一大産地化を目指している。
(4)冷凍食品のニーズが拡大
「物流コンサルティング」に力を入れ、さまざまな物流問題を抱える企業に
近年、中食のニーズが増加し、調理済みの惣菜・冷凍食品の需要が増加
対して的確なソリューションを提供する。
している。
(5)地域コールドチェーンの課題
(3)「高品質・高い生産性」の実績と経験を活かす。
地域の冷凍倉庫は老朽化が進み、新設する計画がない。さらに青森県には
長年培ってきた最先端コールドチェーン分野での実績と経験を生かし、地
セミ超低温倉庫（-35℃）もない。（全国の30％が築40年を超える老朽倉庫）
域経済の発展に貢献する。
(6)2024年問題の課題
青森県は都市部より遠隔にあるため、トラック輸送に課題がある。
(4)低温物流分野の物流機能強化
（ドライバーの労働時間・拘束時間の法的制限強化等）
近年需要性が高まっている低温物流分野にて物流機能を強化し、
コールドチェーンを最適化・青森県水産業の高付加価値化を支援する。 内発的動機
(1)目指す会社の姿
①地域に必要とされ、地域に貢献する会社
②社員が幸せになれる（従業員満足が高い）会社を目指す。
(2)実現させるために
売上成長目標
①一定規模以上の事業規模（物流機能・サービス）を目指す。
• 2029年度までに、会社全体の売上高 １００億円/年
②将来の投資のための適正利益を確保し続ける。
売上高成長率9.6％/年
③長期ビジョンを実現できる人材を確保する。
⇒一定水準以上の昇給の維持・労働環境の整備
2023年度売上実績 → 57.8億円/年
(3)青森県水産業の課題解決に貢献する。
（対2023年度比42億円増）
※長期ビジョンの実現と地元水産業の高付加価値化を実現するために、
セミ超低温倉庫（-35℃）を建設し、付帯サービスを提供すると共に、
「目指す会社の姿」を実現する。</t>
  </si>
  <si>
    <t>【p.2】
.補助事業の概要 株式会社共同物流サービス
2
青森県の水産物の付加価値を上げるため、セミ超低温倉庫（-35℃）を建設し、養殖業を含めた水産業の
課題解決を図り、水産業経済を活性化させる。
◆背景 事業費
(1)従来型水産業の水揚高（量）が減少する中、青森県の今後の方針として、養殖業を推進していく計画がある。 （補助額）
(2)一方、鮮度維持のために必要な-35℃の冷凍倉庫が青森県にはない。
34億円
(3)-35℃で保管できる冷凍倉庫の不足、またコールドチェーンの再構築を必要としている。
（11億円）
(詳細14ページ参照)
補助事業の
◆目的
背景・目的
青森県の水産業が抱える課題の解決により、水産業の経済を活性化させ、地域の企業を発展させる。
(詳細15～17ページ参照)
◆課題
建築費の高騰により、顧客が許容できる範囲の料金を実現することが困難なため、本補助金の採択がなければ本事業は成
立しない。
倉庫正面図
• 設備投資の内容 （詳細18ページ参照）
(1)設置場所 ：青森県八戸市長苗代 八戸総合卸センター内
(2)土地 ：9,379㎡（2,837坪）
(3)建物 ：セミ超低温倉庫（-35℃） ２層
(4)延床面積 ：5,014㎡（1,517坪）
(5)機械設備 ：移動式パレットラック、
在庫管理（ＷＭＳ）システム、
ハンディ・音声物流システム、
設備投資の
トラック予約受付システム 等 倉庫横面図
内容
・労働生産性向上 （詳細19～20ページ参照）
(1)作業効率が向上する機械設備・システムを導入し、生産性を向上させる。
(2)サーモン養殖業者は現在、超低温倉庫(-45℃)に保管するため、関東まで商品
をトラック輸送している。当社が新冷凍倉庫を建設することにより、長距離輸送が
減少する。また海外への輸出入は八戸港の利用が可能となる。
【効果】
構内作業時間削減目標 延べ8,000時間/年（従来比28％削減）
配送ドライバー荷待ち時間削減目標 延べ 429時間/年（従来比93％削減）
【p.3】
.補助事業の概要
2
株式会社共同物流サービス
補助事業に関わる従業員、及び役員の判定が困難であることにより、補助事業の範囲を「事業者全体」として申請します。
【補助事業に関わる従業員及び役員の判定が困難である理由】
(1)従業員の部署異動が年１回、その他必要に応じて都度発生する。
(2)各部署の日々の物量・作業量の変動により、他部門より応援要員の移動を日々行っている。
(3)役員は会社全体を管理監督している。
「事業者全体」を補助事業とし、従業員数・付加価値額・労働生産性等の各数値を計算します。
2026年度 2029年度
項目
（基準年度） （基準年度＋３年後）
労働生産性 544万円/人
420万円/人
（単位：万円/人） （年平均上昇率＋9.0％）
315万円/人 360万円/人
（年平均上昇率＋4.5％）
従業員1人あたり給与支給総額
目標値
（単位：万円/人） 内訳 内訳
社員 ：276人 486万円/人 社員 ：345人 555万円/人
パート：465人 214万円/人 パート：582人 244万円/人
役員１人あたり給与支給総額 847万円/人
753万円/人
（単位：万円/人） （年平均上昇率＋4.0％）
補助事業に係る従業員数
741人 927人
（単位：人）</t>
  </si>
  <si>
    <t>三笠産業株式会社
1.⾧期成⾧ビジョン
大規模工場新設により、日本の食生活の安定維持貢献、海外含めた販売拡大、環境対応、地域雇用の拡
大を目指す</t>
  </si>
  <si>
    <t>⾧期成⾧ビジョン（目指す姿・ビジネスモデル）
次の100年 日本から世界の人々に貢献するグローバル企業へ
•国内の調味料マーケットに対しては、多種多様な容器を安定的に
提供し、食生活を支え続ける
•国内で磨いたキャップの技術を活かし、海外へも拡販する
•環境対応製品を提案・供給する
•製造工程における環境負荷低減を図る
•調味料向け以外の新規分野も参入を拡大し、社会貢献および事
業の継続安定を図る
･就労環境を改善し、地域の雇用に貢献する</t>
  </si>
  <si>
    <t>外発的動機
•単身世帯の増加による調味料の小容量化
•人口減少による労働力人口の減少
•ガラスびんの減少、PETボトル化
•国内外のSDGｓ・食品安全意識の高まり
•海外企業から大規模案件引き合い（既存工場では導入不可）
•本社工場所在地域は、全国でも専業主婦率が高い</t>
  </si>
  <si>
    <t>内発的動機
•規模を継続拡大し、従業員の幸福を実現したい
•当社製品は世界で通用することが実証されつつある（東南アジアで
は当社製品が浸透しはじめている）
•人材確保が難しい（特に工場の交替勤務者など）
•工場の老朽化・古さ・規模の小ささ・分散が生産・人材確保・物流
のネックになっている
•調味料向けキャップにおいて国内シェア3割程度のシェア
•日本の食品流通・各家庭での生活を支えており、社会の要請に応じ
た包材を供給し続けなければならないという使命感</t>
  </si>
  <si>
    <t>【p.1／売上成長目標】
売上成⾧目標
• 2029年までに会社全体の売上高成⾧率7.5％
• 2029年までに会社全体の売上高増加額
単体 65億円増 連結 75億円増
• 2032年度 200億円企業を目指す
2023年度 単体売上高 120億円 連結売上高 125億円
2029年度 単体売上高 185億円 連結売上高 200億円
2032年度 単体売上高 200億円 連結売上高 230億円
【p.2／2026年度】
2026年度
項目
（基準年度）</t>
  </si>
  <si>
    <t>【p.1】
三笠産業株式会社
1.⾧期成⾧ビジョン
大規模工場新設により、日本の食生活の安定維持貢献、海外含めた販売拡大、環境対応、地域雇用の拡
大を目指す
⾧期成⾧ビジョン（目指す姿・ビジネスモデル） 外発的動機
•単身世帯の増加による調味料の小容量化
次の100年 日本から世界の人々に貢献するグローバル企業へ
•人口減少による労働力人口の減少
•国内の調味料マーケットに対しては、多種多様な容器を安定的に
•ガラスびんの減少、PETボトル化
提供し、食生活を支え続ける
•国内外のSDGｓ・食品安全意識の高まり
•国内で磨いたキャップの技術を活かし、海外へも拡販する
•海外企業から大規模案件引き合い（既存工場では導入不可）
•環境対応製品を提案・供給する
•本社工場所在地域は、全国でも専業主婦率が高い
•製造工程における環境負荷低減を図る
•調味料向け以外の新規分野も参入を拡大し、社会貢献および事
業の継続安定を図る
･就労環境を改善し、地域の雇用に貢献する
内発的動機
•規模を継続拡大し、従業員の幸福を実現したい
•当社製品は世界で通用することが実証されつつある（東南アジアで
は当社製品が浸透しはじめている）
•人材確保が難しい（特に工場の交替勤務者など）
売上成⾧目標 •工場の老朽化・古さ・規模の小ささ・分散が生産・人材確保・物流
• 2029年までに会社全体の売上高成⾧率7.5％ のネックになっている
• 2029年までに会社全体の売上高増加額 •調味料向けキャップにおいて国内シェア3割程度のシェア
単体 65億円増 連結 75億円増 •日本の食品流通・各家庭での生活を支えており、社会の要請に応じ
• 2032年度 200億円企業を目指す た包材を供給し続けなければならないという使命感
2023年度 単体売上高 120億円 連結売上高 125億円
2029年度 単体売上高 185億円 連結売上高 200億円
2032年度 単体売上高 200億円 連結売上高 230億円</t>
  </si>
  <si>
    <t>【p.2】
三笠産業株式会社
2.補助事業の概要
大規模スマート工場の建設により、既存事業の効率化・新事業展開・海外拡販による売上高・利益の拡大を
実現し、付加価値額、労働生産性の向上と給与支給総額の向上を行う
【補助事業の背景】
工場老朽化、拡大余力不足、単純労働に頼る生産方式、人材不足、環境負荷低減に対応
補助事業の 事業費 事業費(cid:1) 122億円
【補助事業の目的】
背景・目的 （補助額）（補助額(cid:1) 34億円）
①省力化推進による既存事業の維持拡大と労働生産性向上、働きたいと思える職場環境整備
②⾧期にわたる持続的成⾧の基盤づくり、従業員業務の高付加価値化と給与支給総額向上
• 大規模工場・倉庫
→ 老朽化刷新。自然災害に強く、環境負荷低下も図る
→ 大口引き合い対応・規模拡大（現奈良3拠点合計の2倍程度受入可）
→ 日々外部輸送・保管しているものを内部保管し、輸送の無駄を排除
• 製函・梱包・構内移送・倉庫保管・出庫の自動化
→ 工場作業者のおよそ6割の時間を占める単純作業を自動化
設備投資の → 空いた時間をより付加価値の高い業務に充てる（リスキリング含む）
内容 → 既存従業員数でより多く生産し、労働生産性向上
2024年3月時点での新工場イメージ案
• 材料搬送・冷却水・エア搬送等のインフラ効率化
FSSC22000認証取得予定
→ 少人数で大規模生産に耐えうる機器構成
• 特別高圧電力と太陽光発電、ガス発電・ジェネリンク併用による省エネ・BCP対応
→ 電力供給効率の良い特別高圧電力および太陽光発電で環境負荷低減
→ ガス発電の熱を空調、冷却水に利用。停電時の最低限の発電を確保・地域貢献
• 近隣に配慮した配置構成（騒音対策、車両動線等）
2026年度 2029年度
項目
（基準年度） （基準年度＋３年後）
労働生産性 2,999
891
（単位:万円/人） （年平均上昇率＋49.9％）
目標値 従業員1人あたり給与支給総額 468
382
（単位:万円/人） （年平均上昇率＋7.0％）
役員１人あたり給与支給総額 1,650
1,450
（単位:万円/人） （年平均上昇率＋4.4％）
補助事業に係る従業員数
130 153
（単位:人）</t>
  </si>
  <si>
    <t>1.長期成長ビジョン 四国医療サービス株式会社
補助事業により、医療や福祉の現場を中心としたサービス展開における食品提供機能を更に強化し、病院・介
護施設が抱える課題解決に貢献することで、持続的な賃上げと事業成長を実現します。</t>
  </si>
  <si>
    <t>長期成長ビジョン(目指す姿・ビジネスモデル)
【目指す姿】
• 当社は社是である「信義・礼節」と経営理念である「全従業員とその家
族の恒久的な生活の安定をはかり以って社会に貢献する」を目指す姿と
捉えており、医療や福祉の現場を中心としたサービス展開を通じて、持続
的な賃上げと事業成長を実践し、社会から信頼される企業となります。
【現状】
• シンセイフード事業部は病院・介護施設給食等のオペレーション効率化
に資する半調理品・完全調理品(完調品)の製造を担っています。
• 当該事業は需要の拡大に合わせて増収基調で推移しているものの主力
の松山工場は人手に依存した工程(カット、検品等)が多くあり、生産能
力が上限に迫っている状況にあります。引続き旺盛な需要に応えていくに
は最新設備導入による省力化・自動化が課題となっております。
【補助事業】
• 補助事業では、新工場建設により、動線の改善、食材受入・保管ス
ペースの拡張、オーブン・真空冷却機・異物混入センサー導入による省
力化、二次加熱～出荷工程の一部自動化等により、労働生産性の大
幅向上と当社ビジネスモデルの更なる強化を実現し、賃上げと事業成長
に繋げていきます。</t>
  </si>
  <si>
    <t>外発的動機
• 病院・介護施設における給食業務は、人手不足により、従来の院内(施
設内)調理による運営維持が困難となり、業務のアウトソーシングや、調
理方法簡略化(調理済製品の利用等)への動きが進んでいる。
• 食品メーカーの工場においては、人手不足への対応策として最新の設備
や機械の導入による省力化・自動化への投資が進んでおり、労働生産性
向上への大きな効果が得られている。
• 当社主力のリネン事業は、市場が成熟傾向にある一方、食品事業の市
場は拡大傾向にあり、将来性が見込める。</t>
  </si>
  <si>
    <t>内発的動機
• 当社のシンセイフード事業部は、病院や介護施設向け給食受託事業を
30年超に亘り提供しており、当該業界の顧客ニーズを踏まえた長期保管
可能な冷蔵・冷凍製品を独自の技術で開発する能力を有している。
• 当社の病院や介護施設向けの実績が評価され、病院や介護施設を納
入先とする大手食品メーカーからのOEM製造需要が高まり、毎期受注量
が増加している。
• シンセイフード事業部の主力である松山工場の生産能力が上限に迫って
おり、OEM製造等の受注増加に対応していくには人手に依存した工程か
ら脱却し、労働生産性を抜本的に改善することが必要と認識している。</t>
  </si>
  <si>
    <t>【p.1／売上成長目標】
売上成長目標
全社の成長目標(2023/12期-2028/12期対比)
• 売上高 15,413百万円(売上高増加額 +3,880百万円)
• 売上高成長率 133.6%
補助事業の成長目標(2023/12期-2028/12期対比)
• 売上高 7,994百万円(売上高増加額 +3,580百万円)</t>
  </si>
  <si>
    <t>【p.1】
1.長期成長ビジョン 四国医療サービス株式会社
補助事業により、医療や福祉の現場を中心としたサービス展開における食品提供機能を更に強化し、病院・介
護施設が抱える課題解決に貢献することで、持続的な賃上げと事業成長を実現します。
長期成長ビジョン(目指す姿・ビジネスモデル) 外発的動機
【目指す姿】
• 病院・介護施設における給食業務は、人手不足により、従来の院内(施
• 当社は社是である「信義・礼節」と経営理念である「全従業員とその家
設内)調理による運営維持が困難となり、業務のアウトソーシングや、調
族の恒久的な生活の安定をはかり以って社会に貢献する」を目指す姿と
理方法簡略化(調理済製品の利用等)への動きが進んでいる。
捉えており、医療や福祉の現場を中心としたサービス展開を通じて、持続
的な賃上げと事業成長を実践し、社会から信頼される企業となります。
• 食品メーカーの工場においては、人手不足への対応策として最新の設備
や機械の導入による省力化・自動化への投資が進んでおり、労働生産性
【現状】
向上への大きな効果が得られている。
• シンセイフード事業部は病院・介護施設給食等のオペレーション効率化
に資する半調理品・完全調理品(完調品)の製造を担っています。
• 当社主力のリネン事業は、市場が成熟傾向にある一方、食品事業の市
• 当該事業は需要の拡大に合わせて増収基調で推移しているものの主力 場は拡大傾向にあり、将来性が見込める。
の松山工場は人手に依存した工程(カット、検品等)が多くあり、生産能
力が上限に迫っている状況にあります。引続き旺盛な需要に応えていくに
は最新設備導入による省力化・自動化が課題となっております。
内発的動機
【補助事業】
• 補助事業では、新工場建設により、動線の改善、食材受入・保管ス
• 当社のシンセイフード事業部は、病院や介護施設向け給食受託事業を
ペースの拡張、オーブン・真空冷却機・異物混入センサー導入による省
30年超に亘り提供しており、当該業界の顧客ニーズを踏まえた長期保管
力化、二次加熱～出荷工程の一部自動化等により、労働生産性の大
可能な冷蔵・冷凍製品を独自の技術で開発する能力を有している。
幅向上と当社ビジネスモデルの更なる強化を実現し、賃上げと事業成長
に繋げていきます。
• 当社の病院や介護施設向けの実績が評価され、病院や介護施設を納
売上成長目標 入先とする大手食品メーカーからのOEM製造需要が高まり、毎期受注量
全社の成長目標(2023/12期-2028/12期対比) が増加している。
• 売上高 15,413百万円(売上高増加額 +3,880百万円)
• 売上高成長率 133.6% • シンセイフード事業部の主力である松山工場の生産能力が上限に迫って
補助事業の成長目標(2023/12期-2028/12期対比)
おり、OEM製造等の受注増加に対応していくには人手に依存した工程か
• 売上高 7,994百万円(売上高増加額 +3,580百万円) ら脱却し、労働生産性を抜本的に改善することが必要と認識している。</t>
  </si>
  <si>
    <t>【p.2】
四国医療サービス株式会社
.補助事業の概要
2
本事業にて労働生産性を抜本的に改善し、病院・介護施設給食のオペレーション効率化という業界課題の解
決に食品の半調理・完全調理製品の供給を通じて貢献することで、持続的な賃上げと事業成長を実現します。
補助事業の 既存の松山工場は人手に依存した製造工程を中心に複数の課題を抱えており、市場の需要に 事業費 4 億円
5
背景・目的 応えきれていない為、省力化・自動化投資による労働生産性の改善を通じて事業成長を目指す (補助額) (13億円)
設備投資の概要
工場外観イメージ図
• 本社工場の近隣地に食品製造の新工場を建設
• 新工場建設に合わせた動線の見直しに加えて、受入・保管場所の拡充、
工場内に製造工程の省力化・自動化が可能となる最新設備の導入
設備投資の効果
• 建物
設備投資の
動線の見直しを通じた運搬・作業時間の削減やスペースの拡大による運搬
内容
機械導入にて効率化が可能となる
• 生産工程
真空冷却器等の導入による作業時間の削減、AIセンサーによる検品工程
の省力化、トンネルフリーザー導入による格納工程の自動化が可能となる
• 冷凍/冷蔵庫
保管場所の拡張によりレンタル保管料の削減や、外部の保管所への運搬作
業等の削減が可能となる
2026年度(基準年度) 2029年度(基準年度＋３年後)
項目
愛媛県 高知県 愛媛県 高知県
労働生産性 541
(単位：万円/人)
294
(年平均上昇率＋22.6％)
目標値 従業員1人あたり給与支給総額 330 305
277 256
(単位：万円/人) (年平均上昇率＋6.0％) (年平均上昇率＋6.0％)
役員１人あたり給与支給総額 2,000
1,500 0 0
(単位：万円/人) (年平均上昇率＋10.1％)
補助事業に係る従業員数
450 67 499 67
(単位：人)</t>
  </si>
  <si>
    <t>ヤマトミシン製造株式会社
1.長期成長ビジョン
「世界に冠たる製造立国日本」を支える製造会社として、「日本で雇用し、納税し、輸出して外貨を稼ぐ」という
使命を実践し、社会に貢献することを長期成長ビジョンとする。</t>
  </si>
  <si>
    <t>長期成長ビジョン（目指す姿・ビジネスモデル）
“Yamato Way”により、価格競争に巻き込まれない持続的成長
を実現し、世界の人々により着心地の良い衣料品を提供することで、
工業用ミシン製造会社としての使命を果たし、社会に貢献する。
具体的には、以下の取り組みを推進する
1. "Yamato Way"のコンセプトである"Made in Japan" is
cheaper than "Made in China“（ミシンの価格を下げられま
せんが、貴社の生産する衣料品の原価を下げる事ができます。）
に基づき、ROIに優れた差別化商品の開発とトヨタ生産方式・経
営管理方式の導入を両輪として推進する。
2. 衣料品生産における品質向上、原価低減、人手不足軽減に寄
与し、世界の人々により着心地の良い衣料品を提供する。
3. 新工場の設立、既存工場の集約を通じてトヨタ生産方式の深
化・極化を図ることで、生産性と付加価値を高め、メイド・イン・
ジャパンの高付加価値製品を提供していく。</t>
  </si>
  <si>
    <t>外発的動機
• グローバリゼーションによる価格競争の激化、中国企業によるコピー
商品の出現、日本の部品産業の空洞化など、日本の工業用ミシン
産業は深刻な課題に直面している。
• 工業用ミシンに求められる超精密加工技術は、日本の工業技術の
基盤であり、この技術力を維持・発展させることは、日本国の精密
加工の技術基盤を維持することにつながる。
• 日本の工業用ミシン産業が競争力を維持し、アパレル業界の発展
を支援するためには、抜本的な経営戦略の立案と実行が急務であ
る。</t>
  </si>
  <si>
    <t>内発的動機
• 当社は、縫製工場のニーズに応えるべく、画期的な差別化商品を
開発してきた。しかし、その結果、少量多品種生産となり、バブル崩
壊後は大量の非流動在庫を抱えることとなった。
• 顧客からの工程で使用するミシン機種の指定を頂いた強みを生かし
つつ、在庫問題を解決するため、当社はトヨタ生産方式の導入に
着手した。
• トヨタ生産方式の導入により、生産リードタイムを80日→3.5日に
短縮、工数を35％削減するなど、生産性と収益性を大幅に改善
することができた。
• バブル崩壊以降、輸入デフレによる物価下落もあって、定期昇給の
みの賃上げに甘んじてきたが、近年の物価上昇も鑑み、妥当な賃
上げが必要だと考えた。その為には、生産性の向上が必須であるた
め、スマート工場の建設を行ない製造の構造改革を断行することが
必要となった。</t>
  </si>
  <si>
    <t>【p.1／売上成長目標】
売上成長目標
• 2030年までの会社全体の売上高成長率56％
• 2030年までの会社全体の売上高増加額37億円</t>
  </si>
  <si>
    <t>【p.1】
ヤマトミシン製造株式会社
1.長期成長ビジョン
「世界に冠たる製造立国日本」を支える製造会社として、「日本で雇用し、納税し、輸出して外貨を稼ぐ」という
使命を実践し、社会に貢献することを長期成長ビジョンとする。
長期成長ビジョン（目指す姿・ビジネスモデル） 外発的動機
• グローバリゼーションによる価格競争の激化、中国企業によるコピー
“Yamato Way”により、価格競争に巻き込まれない持続的成長
商品の出現、日本の部品産業の空洞化など、日本の工業用ミシン
を実現し、世界の人々により着心地の良い衣料品を提供することで、
産業は深刻な課題に直面している。
工業用ミシン製造会社としての使命を果たし、社会に貢献する。
• 工業用ミシンに求められる超精密加工技術は、日本の工業技術の
具体的には、以下の取り組みを推進する
基盤であり、この技術力を維持・発展させることは、日本国の精密
1. "Yamato Way"のコンセプトである"Made in Japan" is 加工の技術基盤を維持することにつながる。
cheaper than "Made in China“（ミシンの価格を下げられま • 日本の工業用ミシン産業が競争力を維持し、アパレル業界の発展
せんが、貴社の生産する衣料品の原価を下げる事ができます。） を支援するためには、抜本的な経営戦略の立案と実行が急務であ
に基づき、ROIに優れた差別化商品の開発とトヨタ生産方式・経 る。
営管理方式の導入を両輪として推進する。
2. 衣料品生産における品質向上、原価低減、人手不足軽減に寄
与し、世界の人々により着心地の良い衣料品を提供する。 内発的動機
3. 新工場の設立、既存工場の集約を通じてトヨタ生産方式の深 • 当社は、縫製工場のニーズに応えるべく、画期的な差別化商品を
化・極化を図ることで、生産性と付加価値を高め、メイド・イン・ 開発してきた。しかし、その結果、少量多品種生産となり、バブル崩
ジャパンの高付加価値製品を提供していく。 壊後は大量の非流動在庫を抱えることとなった。
• 顧客からの工程で使用するミシン機種の指定を頂いた強みを生かし
つつ、在庫問題を解決するため、当社はトヨタ生産方式の導入に
着手した。
• トヨタ生産方式の導入により、生産リードタイムを80日→3.5日に
短縮、工数を35％削減するなど、生産性と収益性を大幅に改善
売上成長目標
することができた。
• 2030年までの会社全体の売上高成長率56％
• 2030年までの会社全体の売上高増加額37億円 • バブル崩壊以降、輸入デフレによる物価下落もあって、定期昇給の
みの賃上げに甘んじてきたが、近年の物価上昇も鑑み、妥当な賃
上げが必要だと考えた。その為には、生産性の向上が必須であるた
め、スマート工場の建設を行ない製造の構造改革を断行することが
必要となった。</t>
  </si>
  <si>
    <t>【p.2】
ヤマトミシン製造株式会社
.補助事業の概要
2
国際競争力のある「メイド・イン・ジャパン製品」を生み出せる新スマート工場を建設し、ハイエンド製品を開発・生
産し、成長性を確保する。労働生産性・付加価値を高め、賃上げにより従業員の生活の質の向上を図る。
世界初・工業用ミシン/自動機の新スマート工場の稼働により以下の目的を達成する
• 改善・改革の深化による無駄の排除と生産性向上
• 多品種少量の世界初差別化商品の短納期・フレキシブルな生産
• 徹底したロボットの導入による自動化・省人化 億円
補助事業の 事業費 19
• 新規設備投資、改善・改革、統合・集約などにより省人化を図り、 （ 億円）
背景・目的 （補助額） 4
原価を低減、生産性を上げ、日本品質を作り込み、付加価値の向上を図る
• 余剰人員で、人手不足に対応し、かつ、企業の戦略立案・改善・改革に携わる頭脳部分に ※別途、土地取得費 6億円
配転・増員・強化し、さらなる成長に繋げる
• 人材育成により、仕事のやり方の転換を図り、付加価値を向上、賃上げできる強い利益体
質にする
建物・設備
• 統合スマート工場建屋の建設
• バケット自動倉庫
• 無人搬送システムの導入
• ブッシュ接着組み立てロボット（自社開発予定）の導入
設備投資の • マスキング廃止省人化装置（自社開発予定）の導入
内容
システム・ソフトウェア
• PMS（Production Monitoring System）の導入
• IT化の推進（営業DXを推進する支援システムである（YSFA: Yamato
Sales Force Automation）の拡張と工場との連結、実需連動型後補充
生産システムの効果向上）
• 3次元CADシステムと5軸工作機械を繋ぐソフトの導入
2026年度 2029年度
項目
（基準年度） （基準年度＋３年後）
労働生産性 1,918
1,295
（単位：万円/人） （年平均上昇率＋14.0％）
目標値 従業員1人あたり給与支給総額 618
503
（単位：万円/人） （年平均上昇率＋7.1％）
役員１人あたり給与支給総額 -
-
（単位：万円/人） （年平均上昇率＋4.2％）
補助事業に係る従業員数
105 112
（単位：人）</t>
  </si>
  <si>
    <t>株式会社越後屋
1.長期成長ビジョン
「丁寧な和食」を誰もが手軽にいつでもどこでも味わえるようにすること、「和食」文化を次世代に継承し、世界に
広めること。そのために、全国での店舗数拡大を目指している</t>
  </si>
  <si>
    <t>長期成長ビジョン（目指す姿・ビジネスモデル）
「日本の食文化を取り戻し、進化させたい」
• シンプルな和食を、素材からこだわり、手をかけて繊細な味付けをほどこ
して提供するお店を全国各地に構え、誰もが手軽にいつでもどこでも味
わえるファーストフードに進化させることにより、和食文化を次世代に継
承していきたい。
• インバウンド需要がますます高まる中、訪日外国人に本物の和食を手
軽に味わえる場を提供し、ユネスコ無形文化遺産にも登録された「和
食」文化を世界に広めたい。
• 健康に良い焼き魚中心のメニューを、長期保存可能な干物を活用し
て提供することで、フードロス削減及び水産資源の保護にも貢献したい。
（＝SDGｓの目標12「つくる責任つかう責任」、14「海の豊かさを守
ろう」）</t>
  </si>
  <si>
    <t>外発的動機
• 「和食」について、健康に良い、栄養バランスがよいというポジティブなイ
メージが浸透している一方、調理が難しい、手間がかかるという声も多
い(*1)
• 昆布、かつお節、煮干しから出汁をとる家庭が減っている(*1)
• 「和食」及び「和食文化」について教わったり、受け継ぐ経験が減ってお
り、７割以上が「ない」と回答(*1)
• 食用魚介類の消費量は年々減少(*3)
• 家で魚を調理する人が減っている(*2)
• 「和食」はユネスコ無形文化遺産に登録。訪日外国人が日本滞在に
際し期待していたことの１位（84.1%）は「日本食を食べること」であ
り(*4)、非常に関心が高い。また、海外における日本食レストランは
2023年で約18.7万店で、対2021年比2割増、2013年比3.4倍
の伸び(*6)</t>
  </si>
  <si>
    <t>内発的動機
• 開業当初からビジネス街を中心に店舗を出しているが、ビジネス街では、
「安くて美味しいもの」を出すと喜ばれる。そしてリピート客が増えることで
繁盛する。そのため、コストパフォーマンスの良い美味しい食事を提供す
ることに力を注いできたが、そのなかでも、干物の定食のランチが行列の
絶えない人気だった。
• 味噌汁は出汁をとり、ご飯は厳選した米を使い、こまめに炊飯して常に
炊き立てを提供する。美味しいご飯を食べてもらうための当たり前のこと
でお客様に美味しいと驚かれ、感動してもらえた経験が原点。
• 「丁寧な和食」を取り戻し、手軽にいつでもどこでも味わえるようにしてお
客様に喜んでいただきたい、という想いで店舗数拡大を目指している。</t>
  </si>
  <si>
    <t>【p.1／売上成長目標】
ろう」）
売上成長目標
2040年10月期までに、会社全体（FC店舗を含む）で：
• 売上高1,000億円、店舗数800店
（売上高成長率2741%、売上増加額965億円）
他の外食チェーンの店舗数
(​2024/3月時点)
：大戸屋308店、吉野家1,229店
【p.2／設備投資の内容】
【設備投資の内容】
現在伸びている都心型の「しんぱち食堂」と、これまでのトラ
「和めし処」の新店舗を出店する
• 内外装工事費
• 厨房機器（独自開発の炭火焼き台含む）
• 外国語対応のテーブルオーダーシステム
• 自動精算機
【設備投資による課題の解決・労働生産性向上】
• テーブルオーダーシステムと自動精算機により、スタッフ
なり、労働生産性が向上する
【工夫点】
• テーブルオーダーは外国語（複数言語）対応とし、増
員の中で対応できるようにする
• 新しいエリアに直営で出店することで、当該エリアでのブ</t>
  </si>
  <si>
    <t>【p.1】
株式会社越後屋
1.長期成長ビジョン
「丁寧な和食」を誰もが手軽にいつでもどこでも味わえるようにすること、「和食」文化を次世代に継承し、世界に
広めること。そのために、全国での店舗数拡大を目指している
長期成長ビジョン（目指す姿・ビジネスモデル）
外発的動機
「日本の食文化を取り戻し、進化させたい」 • 「和食」について、健康に良い、栄養バランスがよいというポジティブなイ
メージが浸透している一方、調理が難しい、手間がかかるという声も多
• シンプルな和食を、素材からこだわり、手をかけて繊細な味付けをほどこ
い(*1)
して提供するお店を全国各地に構え、誰もが手軽にいつでもどこでも味
• 昆布、かつお節、煮干しから出汁をとる家庭が減っている(*1)
わえるファーストフードに進化させることにより、和食文化を次世代に継
• 「和食」及び「和食文化」について教わったり、受け継ぐ経験が減ってお
承していきたい。
り、７割以上が「ない」と回答(*1)
• インバウンド需要がますます高まる中、訪日外国人に本物の和食を手
• 食用魚介類の消費量は年々減少(*3)
軽に味わえる場を提供し、ユネスコ無形文化遺産にも登録された「和
• 家で魚を調理する人が減っている(*2)
食」文化を世界に広めたい。
• 「和食」はユネスコ無形文化遺産に登録。訪日外国人が日本滞在に
• 健康に良い焼き魚中心のメニューを、長期保存可能な干物を活用し
際し期待していたことの１位（84.1%）は「日本食を食べること」であ
て提供することで、フードロス削減及び水産資源の保護にも貢献したい。
り(*4)、非常に関心が高い。また、海外における日本食レストランは
（＝SDGｓの目標12「つくる責任つかう責任」、14「海の豊かさを守
2023年で約18.7万店で、対2021年比2割増、2013年比3.4倍
ろう」）
の伸び(*6)
売上成長目標
2040年10月期までに、会社全体（FC店舗を含む）で：
内発的動機
• 売上高1,000億円、店舗数800店
• 開業当初からビジネス街を中心に店舗を出しているが、ビジネス街では、
（売上高成長率2741%、売上増加額965億円）
「安くて美味しいもの」を出すと喜ばれる。そしてリピート客が増えることで
繁盛する。そのため、コストパフォーマンスの良い美味しい食事を提供す
ることに力を注いできたが、そのなかでも、干物の定食のランチが行列の
絶えない人気だった。
• 味噌汁は出汁をとり、ご飯は厳選した米を使い、こまめに炊飯して常に
炊き立てを提供する。美味しいご飯を食べてもらうための当たり前のこと
でお客様に美味しいと驚かれ、感動してもらえた経験が原点。
他の外食チェーンの店舗数 • 「丁寧な和食」を取り戻し、手軽にいつでもどこでも味わえるようにしてお
(​2024/3月時点)
客様に喜んでいただきたい、という想いで店舗数拡大を目指している。
：大戸屋308店、吉野家1,229店</t>
  </si>
  <si>
    <t>【p.2】
株式会社越後屋
2.補助事業の概要
成長目標に向けて、補助事業により新規出店スピードを早めて、地域の雇用を拡大する。新規店舗ではテーブル
オーダーや自動精算機を導入して生産性向上を図ることで、持続的な賃上げを実現する
• 企業の成長目標達成に向け、新規出店のスピードを速めていき、雇用も増やしたい
補助事業の 事業費
• 出店スピードを早めるには人材確保も課題であり、少ない人員でも運営できる仕組みが必要である 25億円
背景・目的 （補助額）
• 効率的な店舗運営を実現し、持続的な賃上げを実現したい （8.4億円）
自動精算機イメージ
【設備投資の内容】
現在伸びている都心型の「しんぱち食堂」と、これまでのトライアルで道筋が見えたロードサイド型の
「和めし処」の新店舗を出店する
• 内外装工事費
• 厨房機器（独自開発の炭火焼き台含む）
• 外国語対応のテーブルオーダーシステム
• 自動精算機
設備投資の
【設備投資による課題の解決・労働生産性向上】
内容
• テーブルオーダーシステムと自動精算機により、スタッフ数を最小限にした店舗運営が可能と
なり、労働生産性が向上する
【工夫点】
• テーブルオーダーは外国語（複数言語）対応とし、増加するインバウンド需要も限られた人
員の中で対応できるようにする
• 新しいエリアに直営で出店することで、当該エリアでのブランド確立・知名度向上や、エリア特
性のデータ収集等を、スピード感をもっておこない、今後のさらなる事業拡大につなげる。
2026年10月期（基準年度） 2029年10月期（基準年度＋３年後）
項目
全体 東京 神奈川 大阪 千葉 埼玉 福岡 京都 全体 東京 神奈川 大阪 千葉 埼玉 福岡 京都
労働生産性 651 - - - - - - - 951 - - - - - - -
（単位：万円/人） （年平均上昇率＋13.5％）
従業員1人あたり給与支給総額 443 472 393 540 273 272 397 397 518 549 457 625 316 315 459 459
目標値
（単位：万円/人） （全体の年平均上昇率＋5.1％）
役員１人あたり給与支給総額 0 0 0 0 0 0 0 0 0 0 0 0 0 0 0 0
（単位：万円/人）
補助事業に係る従業員数 388 260 46 23 25 14 10 10 440 310 48 23 25 14 10 10
（単位：人）</t>
  </si>
  <si>
    <t>中央観光株式会社
1 ．長期成長ビジョン
99m■
2030年単体売上1 0 0 億へ！ 1軒の旅館事業から、今後、鐘山苑をセントラル棟とし、富士山周辺エリアにて、複数価格ラインで「高付加機
■
能に特化したコンパクト鐘山苑」を多展開。多言語の観光プラットフォーム（体験施設プラットフォーム、観光サイト、宿泊予約サイト） の展開
と併せ、「旅館」から「リゾー ト＆レジャー事業」へ変革。転出超過が続く、富士吉田市へのUターン•Iターンに寄与し地域経済再生
長期成長ビジョン（目掴す姿・ビジネスモデル）</t>
  </si>
  <si>
    <t>長期成長ビジョン（目掴す姿・ビジネスモデル）
目指すビジョン：「旅館」から「リゾー ト＆レジャー事業」へ変革。1店
■
舗の旅館事業から、今後、複数価格ラインで「高付加機能に特化した
コンパクト鐘山苑」を多展開。また、多言語の観光プラットフォーム
（体験施設プラットフォーム、観光サイト、宿泊予約サイト）を提供す
る。
■現状課題：高コスト体質と稼働率の限界
・ 当社の大規模旅館であるホテル鐘山苑は富土吉田の宿泊数シェアの約
30％を占める（年間10万人の宿泊数を獲得している）
• 他方、大規模旅館であり、高コス日本質であるため、高稼働率を前提と
したコスト構造であり、コロナ禍などのクライシスが発生した場合のリスクが
高い
■
アプローチ：
・ 既存施設のリソースを活かせる富士山エリア内で、複数価格ラインで「高
付加機能に特化したコンパクト鐘山苑」を当事業で新設。中期的に多
展開。（直営・FC想定※まずは直営から）
・ 事業領域をレジャ ーまで拡張し、地域の文化・レジャ ー体験を集めたプ
ラットフォームシステム、地域観光サイト、地域宿泊予約サイトを構築展
開(1 0 0社超参画し進行中）
・ 当補助事業では、需要の高い）＼イエンド・インバウンド向け施設から展開
• 機能を高付加機能に絞った低コストの施設、先端設備（AIやロボッ
ト）による付帯工数の削減により高収益を実現
・ 地域観光の担い手として、質の高い観光客増加、単価向上、ブランド向
上により、当社・地域経済の発展に寄与する</t>
  </si>
  <si>
    <t>外発的動機
・ コロナ福はり、団体から少人 数化の加速化、低単価施設の成長性鈍化
が進む。また、円安や新興国の所得向上によるインバウンド需要の増加し
,
ている事（コロナ禍の収束により国内／—― インバウンドの観光需要の復活
（当社宿泊数のうち3, 4割を外国人観光客が占める状態）し、過
去昂大の稼働率・単価となっている事
・ 観光業セグメントは、メガトレンドとして、国内人口減少による旅行減と、
インバウンE旅行者の増加 が見込まれる
- 2030年のインバウンド旅行者政府目標値6千万人
(CAGR13.4％と高成長）
— 国内人口減少により国内宿泊者市場は低成長
(2030年ま でのcagr-1.1%)
• 国内ブライダル需要の減少による、市場縮小が見込まれる事</t>
  </si>
  <si>
    <t>内発的動機
・ コロナ禍において、宿泊事 業・ブライダル・外食を運営する当社は、大打撃
を受けた。一方、当社施設の高単価（広く、お部屋に露天風呂がついて
いる）な部屋は、稼働減少が少なく（全体で約40％を維持）、売上を
維持する事が できた。現在でも、蕗天風呂付の高単価な部屋から埋まり、
高稼働 が続く。お客様の予約状況・予約できないと言うお声からも成長
機会と捉え、宿泊施設の展開に至る
• 鐘山苑ゲストが、外遊しない事から アンケー げ：実施。体験・アクテイビティ
などへの要望があるものの、情報不足で利用 できていない事から、情報発
信・宿泊からレジャー全般領域への拡張の位濫づけ で、多言語の観光サ
イト・体験プラットフォームを展開
• 河口湖の流入数と比較調査を進めていたところ、インバウンドにおいては、
川上である、現地情報メディアの情報量が重要となっていると把握。川上
から顧客獲得を狙う
• 寮の保有が雇用の安定化・質の向上につながっており、 人手不足の観点</t>
  </si>
  <si>
    <t>売上成長目標（2023/7月期比）
• 2030年までの会社全体の売上高成長率231%
• 2030年までの会社全体の売上高増加額50億円</t>
  </si>
  <si>
    <t>【p.1／売上成長目標】
売上成長目標（2023/7月期比）
• 2030年までの会社全体の売上高成長率231%
• 2030年までの会社全体の売上高増加額50億円</t>
  </si>
  <si>
    <t>【p.1】
中央観光株式会社
1 ．長期成長ビジョン
99m■
2030年単体売上1 0 0 億へ！ 1軒の旅館事業から、今後、鐘山苑をセントラル棟とし、富士山周辺エリアにて、複数価格ラインで「高付加機
■
能に特化したコンパクト鐘山苑」を多展開。多言語の観光プラットフォーム（体験施設プラットフォーム、観光サイト、宿泊予約サイト） の展開
と併せ、「旅館」から「リゾー ト＆レジャー事業」へ変革。転出超過が続く、富士吉田市へのUターン•Iターンに寄与し地域経済再生
長期成長ビジョン（目掴す姿・ビジネスモデル）
外発的動機
■
目指すビジョン：「旅館」から「リゾー ト＆レジャー事業」へ変革。1店 ・ コロナ福はり、団体から少人数化の加速化、低単価施設の成長性鈍化
舗の旅館事業から、今後、複数価格ラインで「高付加機能に特化した が進む。また、円安や新興国の所得向 , 上によるインバウンド需要の増加し
コンパクト鐘山苑」を多展開。また、多言語の観光プラットフォーム ている事（コロナ禍の収束により国内／—― インバウンドの観光需要の復活
（当社宿泊数のうち3, 4割を外国人観光客が占める状態）し、過
（体験施設プラットフォーム、観光サイト、宿泊予約サイト）を提供す
去昂大の稼働率・単価となっている事
る。
・ 観光業セグメントは、メガトレンドとして、国内人口減少による旅行減と、
インバウンE旅行者の増加が見込まれる
■現状課題：高コスト体質と稼働率の限界
- 2030年のインバウンド旅行者政府目標値6千万人
・ 当社の大規模旅館であるホテル鐘山苑は富土吉田の宿泊数シェアの約
(CAGR13.4％と高成長）
30％を占める（年間10万人の宿泊数を獲得している） — 国内人口減少により国内宿泊者市場は低成長
• 他方、大規模旅館であり、高コス日本質であるため、高稼働率を前提と (2030年までのcagr-1.1%)
したコスト構造であり、コロナ禍などのクライシスが発生した場合のリスクが • 国内ブライダル需要の減少による、市場縮小が見込まれる事
高い
■
アプローチ： 内発的動機
・ 既存施設のリソースを活かせる富士山エリア内で、複数価格ラインで「高 ・ コロナ禍において、宿泊事 業・ブライダル・外食を運営する当社は、大打撃
付加機能に特化したコンパクト鐘山苑」を当事業で新設。中期的に多 を受けた。一方、当社施設の高単価（広く、お部屋に露天風呂がついて
いる）な部屋は、稼働減少が少なく（全体で約40％を維持）、売上を
展開。（直営・FC想定※まずは直営から）
維持する事ができた。現在でも、蕗天風呂付の高単価な部屋から埋まり、
・ 事業領域をレジャーまで拡張し、地域の文化・レジャー体験を集めたプ
高稼働が続く。お客様の予約状況・予約できないと言うお声からも成長
ラットフォームシステム、地域観光サイト、地域宿泊予約サイトを構築展
機会と捉え、宿泊施設の展開に至る
開(1 0 0社超参画し進行中）
• 鐘山苑ゲストが、外遊しない事から アンケー げ：実施。体験・アクテイビティ
・ 当補助事業では、需要の高い）＼イエンド・インバウンド向け施設から展開
などへの要望があるものの、情報不足で利用 できていない事から、情報発
• 機能を高付加機能に絞った低コストの施設、先端設備（AIやロボッ 信・宿泊からレジャー全般領域への拡張の位濫づけで、多言語の観光サ
ト）による付帯工数の削減により高収益を実現 イト・体験プラットフォームを展開
・ 地域観光の担い手として、質の高い観光客増加、単価向上、ブランド向 • 河口湖の流入数と比較調査を進めていたところ、インバウンドにおいては、
上により、当社・地域経済の発展に寄与する 川上である、現地情報メディアの情報量が重要となっていると把握。川上
から顧客獲得を狙う
売上成長目標（2023/7月期比）
• 寮の保有が雇用の安定化・質の向上につながっており、人手不足の観点
• 2030年までの会社全体の売上高成長率231%
から新たに、寮を増設（転出超過が続き人の確保が困難化のため）
• 2030年までの会社全体の売上高増加額50億円</t>
  </si>
  <si>
    <t>【p.2】
中央観光株式会社
2 ．補助事業の概要
99m■
・ 労働生産性は29/7月期時点で1,376万円（年平均15％増）、従業員 1人当たり給与支給総額は同年492万円（年平均5.5％増）を狙う
／
・ 固定費を抑えた高単価施設、かつ、付帯工数のDX ロボティクス化と、主体工数の人による高付加価値化による生産性向上を実現
・ 多言語観光プラットフォームにより、JII上である海外顧客へ直接誘客し、体験プラットフォーム活用により、旅行価値を高めていただ＜
補助事業の ・既存宿泊施設は高稼働率で機会損失が発生。新モデルでの新設により更なる成長が可能 事業費 26億円
背景・目的 ・長期的に国内需要減少、人手不足となるため、構造転換と生産性向上が必須 （補助額） (6.8億円）
·,_ --------------------------------------------------------· .一-------------------------------------------------------�
■ 6 棟3 部屋（計18部屋）の和モダン施設建築 (21億円）
•富土山が見え、温泉をホテル鐘山苑から運送し、設備の付加価値を高め、当
社従業員がホスピタリティ領i或こ集中する作りとし、高単価の宿泊機能に特化
・既存の強みである、社内リソースを活用し、直予約・清掃の内製化により生産
性向上を図る
■ 社内ナレッジ共有のチャットAI導入 (1千万円）
・派遣数、新規採用数も毎年多いため、情報共有や教育コストが高い。このた
め、チャットAIによる過去の膨大なナレッジをすぐに確認できるようにする事で、
情報確認時間やその回答時間を削減し、生産性を高める
設備投資の ■ 自動チェックインの導入 (1千万円）
内容 ・チェックインを機械化によりチェックインエ数削減
■ 清掃ロボットの導入 (1千万円）
•清掃を一部ロボッHヒする事で清掃工数の短縮
■ 厨房設備の導入(2千万円）
•コンベクション等の昂新厨房機器を潟入し調理工数短縮
■ 多言語観光プラットフォーム（構築済み）
・地i或D体験施設を利用できるプラットフォーム・地域観光サイト・宿泊施設予
約サイト・地元特産品を宿泊施設にお届けする越境ECなど、多言語観光プ
ラットフォームを構築
-----. --------------------------------------------------------------·--
--
2026/7月期 2029/7月期
項目
（基準年度） （基準年度十 3 年後）
労働生産性 1,376
897
（単位：万円／人） （年平均上昇率＋15.3%)
従業員1人あたり給与支給総額 486
目標値 414
（単位：万円L人） （年平均上昇率＋5.5%)
|
役員 1人あたり給与支給総額 644
546
（単位：万円／人） （年平均上昇率＋5.7%)
|
補助事業に係る従業員数
198 220 20
（単位：人）</t>
  </si>
  <si>
    <t>株式会社 スギノマシン
1.長期成長ビジョン
スギノマシンにしかできない独自の「超技術」に磨きをかけ、富山（ローカル）から世界（グローバル）に発信し、
ニッチな市場における必要不可欠な存在（リーダー）となる（＝グローカルニッチリーダー）</t>
  </si>
  <si>
    <t>長期成長ビジョン（目指す姿・ビジネスモデル）
グローカルニッチリーダー
① スギノマシンにしかできない独自の「超技術」に磨きをかけ、
自ら考え、自ら造り、自ら販売・サービスすることで
「お客様の要望のさらに一歩先」を実現
顧客が必要とするアウトプットを超技術により実現
② 日本の一地方（富山）で造り込み、世界で戦う。
世界中のものづくりで必要不可欠な存在に
データドリブン経営によりビジネスモデルを強化
① 社会に貢献すると共に、社員の幸福と企業の永久発展を目指す
継続的な雇用創出・賃上げにより日本と地域の
経済に貢献</t>
  </si>
  <si>
    <t>外発的動機
• 日本の工作機械業界は技術と生産量で世界有数となっており、
約3割は輸出（米国や中国が主要な輸出先）
• 世界市場では中国が最大の生産・消費国
• 業界的には景気変動に伴う設備投資需要変動による影響を
受けやすい構造
• 新興国の経済成長や技術進歩（半導体・自動車等）が
市場成長を牽引し、年平均5％での市場拡大が見込まれる
• 近年は航空宇宙や電子機器分野への需要も高まり、
ハイエンド製品の需要が増加傾向</t>
  </si>
  <si>
    <t>内発的動機
• 「自ら考え、自ら造り、自ら販売・サービスする」が創業からのポリシー。
技術でお客様の期待に応えたいという思いが当社の原点であり、
未知の領域へチャレンジする原動力となってきた
• 創業商品からの技術連鎖により、6つの「超技術（切る、削る、
洗う、磨く、砕く、解す）」を発展させ続け、情熱と創意工夫で
「お客様の希望のさらに一歩先」を実現してきたことが最大の強み
• 日本で作り世界で稼ぐビジネスを体現している
（生産額の99％は日本、売上の約半分は海外）
• 世の中に必要とされるものを日本の一地方から世界へサプライする
ことで、日本経済の活性化に貢献する</t>
  </si>
  <si>
    <t>【p.1／売上成長目標】
売上成長目標
• 2029年に現状の約170％となる売上高365億円を目指す
（年平均成長率9%）
• 営業利益も現状の倍以上となる69億円を見込む</t>
  </si>
  <si>
    <t>【p.1】
株式会社 スギノマシン
1.長期成長ビジョン
スギノマシンにしかできない独自の「超技術」に磨きをかけ、富山（ローカル）から世界（グローバル）に発信し、
ニッチな市場における必要不可欠な存在（リーダー）となる（＝グローカルニッチリーダー）
長期成長ビジョン（目指す姿・ビジネスモデル） 外発的動機
グローカルニッチリーダー • 日本の工作機械業界は技術と生産量で世界有数となっており、
約3割は輸出（米国や中国が主要な輸出先）
① スギノマシンにしかできない独自の「超技術」に磨きをかけ、 • 世界市場では中国が最大の生産・消費国
自ら考え、自ら造り、自ら販売・サービスすることで
• 業界的には景気変動に伴う設備投資需要変動による影響を
「お客様の要望のさらに一歩先」を実現
受けやすい構造
顧客が必要とするアウトプットを超技術により実現 • 新興国の経済成長や技術進歩（半導体・自動車等）が
市場成長を牽引し、年平均5％での市場拡大が見込まれる
② 日本の一地方（富山）で造り込み、世界で戦う。
• 近年は航空宇宙や電子機器分野への需要も高まり、
世界中のものづくりで必要不可欠な存在に
ハイエンド製品の需要が増加傾向
データドリブン経営によりビジネスモデルを強化
内発的動機
① 社会に貢献すると共に、社員の幸福と企業の永久発展を目指す
継続的な雇用創出・賃上げにより日本と地域の • 「自ら考え、自ら造り、自ら販売・サービスする」が創業からのポリシー。
経済に貢献 技術でお客様の期待に応えたいという思いが当社の原点であり、
未知の領域へチャレンジする原動力となってきた
• 創業商品からの技術連鎖により、6つの「超技術（切る、削る、
洗う、磨く、砕く、解す）」を発展させ続け、情熱と創意工夫で
「お客様の希望のさらに一歩先」を実現してきたことが最大の強み
売上成長目標
• 日本で作り世界で稼ぐビジネスを体現している
• 2029年に現状の約170％となる売上高365億円を目指す
（生産額の99％は日本、売上の約半分は海外）
（年平均成長率9%）
• 営業利益も現状の倍以上となる69億円を見込む • 世の中に必要とされるものを日本の一地方から世界へサプライする
ことで、日本経済の活性化に貢献する</t>
  </si>
  <si>
    <t>【p.2】
株式会社 スギノマシン
２.補助事業の概要
グループ全体でシステムの刷新と共通化を進めることで、営業情報・生産情報・在庫情報の見える化が実現し、
データドリブン経営の推進による全社的な売上増加・労働生産性向上が見込まれる
• 営業情報や顧客情報が属人化し、組織的な営業が実施できていない
補助事業の 事業費 17億円
• 生産管理システムや在庫管理システムなど、グループ全体で統一されておらず、在庫情報が
背景・目的 （補助額） （5.6億円）
海外子会社と共有されていないなど、売上の最大化やコスト最小化の障害となっている
データドリブン経営の推進による販売力強化
【具体的な投資内容】
①システム
• グループ全体で共通のシステムを導入し、国内外でデータを一元化
• 基幹システム（SAP）更新を含めた各種管理システムの一体再開発
②機械装置
設備投資の
• 自動化対応に向けた機械装置の置き換え、導入
内容
【補助事業により見込まれる効果】
• 数字に基づくデータドリブン経営の実現
• 生産管理や在庫管理の適正化による労働生産性の向上（現状から約5％の原価低減を見込む）
• データに基づくマーケティングや組織的な営業推進による売上向上（成長分野への注力と併せて全社で売上約68%増を見込む）
2026年度 2029年度
項目
（基準年度） （基準年度＋３年後）
労働生産性 1,538
1,030
（単位：万円/人） （年平均上昇率＋14.3％）
従業員1人あたり給与支給総額 727
目標値 635
（単位：万円/人） （年平均上昇率＋4.6％）
役員１人あたり給与支給総額 1,687
1,500
（単位：万円/人） （年平均上昇率＋4.0％）
補助事業に係る従業員数
1,099 1,125
（単位：人）</t>
  </si>
  <si>
    <t>1.長期成長ビジョン 株式会社ダイセイ
当社は、1960年にデパート等のビルメンテナンスを行う会社として創業。その後、衛生管理(ゴミ収集、産廃処理)、貸駐車場(コインパーキング)、物流
(配送代行・ＤＭ発送代行等)などを行って来た。最近では、「空き家管理事業」も行うなど時代と共に変化する顧客ニーズに一早く対応して来た。今後
は、環境面等の社会的ニーズと、物流面等の人手不足に対応し地域の生産性向上を下支えする総合サービス業として成長・発展する。</t>
  </si>
  <si>
    <t>長期成長ビジョン（目指す姿・ビジネスモデル）
現状・リスク・機会 あるべき姿
・少子高齢化、環境 ・地域の人手不足、生
への配慮等の時代 産性向上に応える
・人手不足、企業の ・様々な外注したい困り
生産性向上ニーズ ギャップを埋める対策 ごとニーズに応える
・旧式の設備・物流 ・全社的な事業推進と管理 ・循環型社会に貢献
拠点という課題 ・抜本的な物流拠点の整備 ・社会ニーズに対応し地
・部門間の連携不足 ・設備導入、人的生産性向上 域の価値創造を図る
＜主な地域の人手不足への貢献、循環型社会への取組＞
・地域の社会的課題解決、事業者の困ったことを支援する事業を進化させる。
・革新的物流、環境衛生面の２つの新事業を創設すると共に、労働集約的
サービス業の全社的な改革で総合サービス業をめざす。
・高知県にある食品加工会社の人手不足を解消するため、オペレーションから
出荷までのピッキングを障害者なども雇用しながら、効率的に行う。
・高知市の一般廃棄物処理基本計画におけるゴミ減量目標の一翼を担う活
動を推進し、行政と足並みを揃え、家庭ごみのリサイクル・リユースを推進する。</t>
  </si>
  <si>
    <t>外発的動機
• 2024年問題を受け、物流コストは大幅に上がっていると同時に慢性の
人手不足を高知県の食品加工会社は問題として抱えている。
• 障害者の法定雇用率は年々アップしている。一方、障害者の雇用の定
着率にも問題があり、低所得や過酷労働などが課題となっている。
• 2015年のパリ協定では2013年比で温室効果ガス排出量を26%削
減すると目標が掲げられている。また、国は20５0年に温室効果ガスの
排出量を実質ゼロにするカーボンニュートラルの目標を掲げている。
• 高知市では一般廃棄物処理基本計画で2013年度比0.11%の削
減目標を掲げている。
• 売却・賃貸用等の使用目的のない空き家は、高知県内に約５万戸。
空き家率は12.9％で全国ワースト2位。</t>
  </si>
  <si>
    <t>内発的動機
・自社の強みである、人の動員力で清掃・廃棄物事業等から、配送代行
など人手のかかるサービス提供分野を拡大。しかし、事業部門単位で全
社の経営資源として組織横断的に人財を活かしきれていない。
・社会的ニーズに対応し、新たな価値創造に努めて来た。ごみ回収、廃棄
物回収等では、リサイクル・リユースの必要性を実感した。しかし、分別す
るスペースが無い、破砕・圧縮・ペレット製造などの設備も必要
・事業者の「困ったこと」への対応を進化し事業を拡大してきた。人手が必
要な負担のかかる専門的サービスが必要と感じた。しかし、荷捌き・ピッキ
ング・商品保管スペースが無く、作業機器整備も必要。</t>
  </si>
  <si>
    <t>【p.1／売上成長目標】
売上成長目標 2031年30億円企業をめざす
• 2031年までに会社全体の売上高成長率166％
• 2031年までに会社全体の売上高増加額12億円
2023年 2031年 増加額 成長率
売上高 1,806,877 3,000,000 1,193,123 166.0%
営業利益 89,941 346,000 256,059 384.7%
給与支給総額 743,845 1,100,000 356,155 147.9%
減価償却費 34,351 93,500 59,149 272.2%
付加価値額 868,137 1,539,500 671,363 177.3%
【p.2／事務所・作業場が点在 高知市中心部の住宅地に立地】
事務所・作業場が点在 高知市中心部の住宅地に立地</t>
  </si>
  <si>
    <t>【p.1】
1.長期成長ビジョン 株式会社ダイセイ
当社は、1960年にデパート等のビルメンテナンスを行う会社として創業。その後、衛生管理(ゴミ収集、産廃処理)、貸駐車場(コインパーキング)、物流
(配送代行・ＤＭ発送代行等)などを行って来た。最近では、「空き家管理事業」も行うなど時代と共に変化する顧客ニーズに一早く対応して来た。今後
は、環境面等の社会的ニーズと、物流面等の人手不足に対応し地域の生産性向上を下支えする総合サービス業として成長・発展する。
外発的動機
長期成長ビジョン（目指す姿・ビジネスモデル）
• 2024年問題を受け、物流コストは大幅に上がっていると同時に慢性の
現状・リスク・機会 あるべき姿 人手不足を高知県の食品加工会社は問題として抱えている。
・少子高齢化、環境 ・地域の人手不足、生 • 障害者の法定雇用率は年々アップしている。一方、障害者の雇用の定
への配慮等の時代 産性向上に応える
着率にも問題があり、低所得や過酷労働などが課題となっている。
・人手不足、企業の ・様々な外注したい困り
生産性向上ニーズ ギャップを埋める対策 ごとニーズに応える • 2015年のパリ協定では2013年比で温室効果ガス排出量を26%削
・旧式の設備・物流 ・全社的な事業推進と管理 ・循環型社会に貢献 減すると目標が掲げられている。また、国は20５0年に温室効果ガスの
拠点という課題 ・抜本的な物流拠点の整備 ・社会ニーズに対応し地 排出量を実質ゼロにするカーボンニュートラルの目標を掲げている。
・部門間の連携不足 ・設備導入、人的生産性向上 域の価値創造を図る • 高知市では一般廃棄物処理基本計画で2013年度比0.11%の削
減目標を掲げている。
＜主な地域の人手不足への貢献、循環型社会への取組＞
• 売却・賃貸用等の使用目的のない空き家は、高知県内に約５万戸。
・地域の社会的課題解決、事業者の困ったことを支援する事業を進化させる。
空き家率は12.9％で全国ワースト2位。
・革新的物流、環境衛生面の２つの新事業を創設すると共に、労働集約的
サービス業の全社的な改革で総合サービス業をめざす。
社会的課題に対応して
・高知県にある食品加工会社の人手不足を解消するため、オペレーションから
きたが、これ以上はハー
出荷までのピッキングを障害者なども雇用しながら、効率的に行う。
ド面で限界。部門間の
・高知市の一般廃棄物処理基本計画におけるゴミ減量目標の一翼を担う活
非効率も浮き彫りに
動を推進し、行政と足並みを揃え、家庭ごみのリサイクル・リユースを推進する。 なってきた。
売上成長目標 2031年30億円企業をめざす
内発的動機
• 2031年までに会社全体の売上高成長率166％
・自社の強みである、人の動員力で清掃・廃棄物事業等から、配送代行
• 2031年までに会社全体の売上高増加額12億円
など人手のかかるサービス提供分野を拡大。しかし、事業部門単位で全
2023年 2031年 増加額 成長率 社の経営資源として組織横断的に人財を活かしきれていない。
売上高 1,806,877 3,000,000 1,193,123 166.0% ・社会的ニーズに対応し、新たな価値創造に努めて来た。ごみ回収、廃棄
物回収等では、リサイクル・リユースの必要性を実感した。しかし、分別す
営業利益 89,941 346,000 256,059 384.7%
るスペースが無い、破砕・圧縮・ペレット製造などの設備も必要
給与支給総額 743,845 1,100,000 356,155 147.9%
・事業者の「困ったこと」への対応を進化し事業を拡大してきた。人手が必
減価償却費 34,351 93,500 59,149 272.2%
要な負担のかかる専門的サービスが必要と感じた。しかし、荷捌き・ピッキ
付加価値額 868,137 1,539,500 671,363 177.3%
ング・商品保管スペースが無く、作業機器整備も必要。</t>
  </si>
  <si>
    <t>【p.2】
補助事業の概要 株式会社ダイセイ
2.
本事業は、清掃、ゴミ回収、廃棄物処理、物流代行、空き家管理等、多角的経営を実施する当社が、本社も含めて事業全般の拠点を整備するもので
ある。出荷システムサービス、リサイクル・リユースの新事業進出の他、清掃、ゴミ回収など労働集約的な事業も含め会社全体での生産性を高める。今まで
事業部毎に活動していたものを統合し、地域事業者の人出不足にも貢献し、災害にも強く、地域を支える総合サービス業として革新的に進化させる。
お客様の困りごとに対応すべく様々な事業分野を展開してきた。現在の本社・事業所は周辺に商業施設・住宅
補助事業の 事業費 1 億円
等も広がり、ゴミ処理、廃棄物処理を行う事業としては適地では無い。また震災区域であり、自然災害時には一 2
背景・目的 （補助額） （4.0億円）
早く復興支援しなければならない事業分野である。加えて、清掃・ゴミ回収他、人手不足が深刻な事業分野が
多く、リサイクル推進等社会的使命も高い。これら課題を解決し地域社会の生産性向上、環境社会推進等を
通じ、収益拡大を図ることが本補助事業の目的である。
• 本社含めた拠点建物建設、設備導入の投資である。
• 今まで事業毎の管理から統合管理し生産性向上を図ると共に、清掃、廃
棄物回収、配送、リフォーム等、総合サービスの提供で収益向上。
• 新事業を実施する。主な具体的な内容はゴミ回収・廃棄物処理等→リサイ
クル・リユース事業、物流代行→出荷システムサービス。
設備投資の • 出荷システムは、入荷・保管後、受注分をピッキングし、送り状を印刷・貼付
し配送する。大手物流会社のＥＣフル代行システムの地域版。地元の食品
内容
製造業等は量販店等への配送ついでに納品可能。地域特化型の高付加
価値サービスで問合せが殺到しているが、一定の広さ、効率的レイアウトが必
要で拠点整備して対応する。
• 家庭ごみは廃棄にまわってきた分を最終処分場にまわしているものの中から、
リサイクル・リユースにまわすため、ストックする場所が求められる。家庭ごみの
収集は年2500件。社会的背景をもとにリサイクル・リユースを推進する。
項目
2026年７月期 2029年7月期
（基準年度） （基準年度＋３年後）
労働生産性 424万円/人
280万円/人
（単位：万円/人） （年平均上昇率＋14.8％）
従業員1人あたり給与支給総額 293万円/人
目標値 232万円/人 事務所・作業場が点在 高知市中心部の住宅地に立地
（単位：万円/人） （年平均上昇率＋8.2％）
役員１人あたり給与支給総額 1,676万円/人
1,342万円/人
（単位：万円/人） （年平均上昇率＋7.70％）
補助事業に係る従業員数
306 315
（単位：人）</t>
  </si>
  <si>
    <t>1.長期成長ビジョン ハマダコンフェクト株式会社
『おいしい栄養で、すべての人を幸せにする』という当社の志を実現するために「栄養菓子」を低価格で提供できる
省人化された高効率生産体制を実現し、2029年度を目途に売上202億円、営業利益23億円を目指す。</t>
  </si>
  <si>
    <t>長期成長ビジョン（目指す姿・ビジネスモデル）
『おいしい栄養で、すべての人を幸せにする』という志を実現するために
下記の4つの観点で長期成長ビジョンを描いている。
1. 社会価値
• 健康寿命という社会課題や老若男女の様々な世代の栄養課題
を抱える現代社会において、低価格で、様々なおいしさで、身近
なチャネルで、第一想起される栄養菓子を創出し続ける企業を目
指す。
2. 経済価値
• 栄養菓子市場の新カテゴリーを提唱、認知評価され、カテゴリー
シェアNo.1を獲得できている状態を目指す。特にウエハース群は、
ダントツNo.1を目指す。
3. 顧客価値
• 世代を超えたすべての人の幸せ＝「健康」に生涯寄り添い続け、
健康生活の実現に欠かせない存在へ。栄養課題を持つ高齢者、
若年女性、子どもの低栄養を“栄養菓子”で解消し、生涯に渡っ
て支える“低価格+美味しい”お菓子を提供し続けていく。
• 最終的には、栄養菓子カテゴリーにおける1人当り生涯シェア
（LTV）No.１を目指す。
4. 従業員価値
• 自分達がなりたい姿の実現に向けてみんなで変革、成長する会
社を目指し、みんなが幸福を感じられる会社（従業員幸福度ス
コア70％のポジティブ回答）を実現する。</t>
  </si>
  <si>
    <t>外発的動機
• 現代において人は様々なタイミングで低栄養のリスクにさらされている。
主には①高齢者の低栄養（加齢や卵胞ホルモンの低下等による
低栄養）、②若年女性の低栄養（不規則な生活や無理なダイ
エット等による低栄養）、③子どもの低栄養（経済格差等によって
引き起こされる低栄養）等 があり、様々な年代において栄養課
*1
題を抱えるリスクがある。
• これらの栄養課題を当社の「おいしく安価」な「栄養菓子」を供給す
ることで解決することを目指す。</t>
  </si>
  <si>
    <t>内発的動機
• 当社は歴史的に大手企業のOEM、PBの製造を主力としてきたこと
もあり、経験効果による工程作業の効率化が実現できており、各種
商品で原材料を共有する等により範囲の経済性も活用できていた。
• このようなコストリーダーシップ戦略の特徴を当社は有している。
• 当社の強みを活かすことで、現状より更に社会貢献できる会社にな
れると考えた。</t>
  </si>
  <si>
    <t>【p.1／売上成長目標】
売上成長目標
• 2029年度までの会社全体の売上高成長率35％
• 2029年度までの会社全体の売上高増加額52億円</t>
  </si>
  <si>
    <t>【p.1】
1.長期成長ビジョン ハマダコンフェクト株式会社
『おいしい栄養で、すべての人を幸せにする』という当社の志を実現するために「栄養菓子」を低価格で提供できる
省人化された高効率生産体制を実現し、2029年度を目途に売上202億円、営業利益23億円を目指す。
長期成長ビジョン（目指す姿・ビジネスモデル） 外発的動機
『おいしい栄養で、すべての人を幸せにする』という志を実現するために • 現代において人は様々なタイミングで低栄養のリスクにさらされている。
主には①高齢者の低栄養（加齢や卵胞ホルモンの低下等による
下記の4つの観点で長期成長ビジョンを描いている。
低栄養）、②若年女性の低栄養（不規則な生活や無理なダイ
1. 社会価値
エット等による低栄養）、③子どもの低栄養（経済格差等によって
• 健康寿命という社会課題や老若男女の様々な世代の栄養課題
引き起こされる低栄養）等 があり、様々な年代において栄養課
を抱える現代社会において、低価格で、様々なおいしさで、身近 *1
題を抱えるリスクがある。
なチャネルで、第一想起される栄養菓子を創出し続ける企業を目
指す。 • これらの栄養課題を当社の「おいしく安価」な「栄養菓子」を供給す
ることで解決することを目指す。
2. 経済価値
• 栄養菓子市場の新カテゴリーを提唱、認知評価され、カテゴリー
シェアNo.1を獲得できている状態を目指す。特にウエハース群は、
ダントツNo.1を目指す。
3. 顧客価値
• 世代を超えたすべての人の幸せ＝「健康」に生涯寄り添い続け、
内発的動機
健康生活の実現に欠かせない存在へ。栄養課題を持つ高齢者、
• 当社は歴史的に大手企業のOEM、PBの製造を主力としてきたこと
若年女性、子どもの低栄養を“栄養菓子”で解消し、生涯に渡っ
もあり、経験効果による工程作業の効率化が実現できており、各種
て支える“低価格+美味しい”お菓子を提供し続けていく。
商品で原材料を共有する等により範囲の経済性も活用できていた。
• 最終的には、栄養菓子カテゴリーにおける1人当り生涯シェア
• このようなコストリーダーシップ戦略の特徴を当社は有している。
（LTV）No.１を目指す。
• 当社の強みを活かすことで、現状より更に社会貢献できる会社にな
4. 従業員価値
れると考えた。
• 自分達がなりたい姿の実現に向けてみんなで変革、成長する会
社を目指し、みんなが幸福を感じられる会社（従業員幸福度ス
コア70％のポジティブ回答）を実現する。
売上成長目標
• 2029年度までの会社全体の売上高成長率35％
• 2029年度までの会社全体の売上高増加額52億円
*1：公益財団法人日本栄養士会【「保険医療ビジョン2035」に関する提案・意見】より。</t>
  </si>
  <si>
    <t>【p.2】
ハマダコンフェクト株式会社
.補助事業の概要
2
当社加古川工場の隣接地に新工場を建設し、高度に自動化された生産設備を導入することで、高い労働生
産性を実現し、当社のコストリーダーシップ戦略を加速する。
補助事業の • 成長著しい「栄養菓子」の市場に対して、生産能力が足りなくなってきている。また当社のコスト 事業費 1 億円
86
背景・目的 リーダーシップ戦略推進のためにも生産性の良い設備への置き換えは必須となっている。 （補助額） （ 億円）
28
【新工場】
①設備の概要 1階
• 当社加古川工場の隣接地に自動倉庫を含む新工場を建設し、生産
ラインの増強を図る。
②現在抱えている課題
• 当社の姫路工場は老朽化が進み、導入している生産ラインも人手中
心で労働生産性の低いものである。当社は徹底した自動化生産ライン
設備投資の
の導入でコストリーダーシップ戦略の実現を図っており、労働生産性の低
内容
い工場の改革が必須である。
③課題解決・労働生産性向上 2階
• 労働生産性の低い姫路工場を閉鎖し、新たに高度に自動化した生産
ラインを導入した新工場を建設することで、会社全体としての労働生産
性の向上を図る。また既に高度自動化を進めている既存加古川工場
の隣接地に建設することで、材料や倉庫設備の共用が可能となり、範
囲の経済の効果がより強く得られ、当社のコストリーダーシップ戦略を加
速できる。
2026年度 2029年度
項目
（基準年度） （基準年度＋３年後）
労働生産性 1,531万円/人
1,145万円/人
（単位：万円/人） （年平均上昇率＋10.2％）
目標値 従業員1人あたり給与支給総額 560万円/人
470万円/人
（単位：万円/人） （年平均上昇率＋6.0％）
役員１人あたり給与支給総額 -
-
（単位：万円/人） （年平均上昇率＋6.0％）
補助事業に係る従業員数
363人 370人
（単位：人）
【p.3】
.補助事業の概要 ハマダコンフェクト株式会社
2
当社加古川工場の隣接地に新工場を建設し、高度に自動化された生産設備を導入することで、高い労働生
産性を実現し、当社のコストリーダーシップ戦略を加速する。
【既存栄養菓子生産ライン：2ライン、新商品栄養菓子ライン：1ライン】
①設備の概要
• 当社の主力商品であるクッキー、ウエハースの栄養菓子について、既存加古川工場と同程度の高度に自動化された生産ライン
を2ライン設置し、増え続ける需要に対応する。
• また栄養菓子市場の更なる拡大のためチョコレートを使用した新商品の生産ラインを1ライン追加する。
②現在抱えている課題
• 既存設備による主力商品の生産能力がフル生産状態に近づいてきており、増え続ける需要に対応しきれない状況になっている。
• 更なる成長のために、既存商品に加え、新たな商品の開発生産が必要である。
③課題解決・労働生産性向上
• 既存商品の生産ラインの増強により、増え続ける需要に対応可能となる。また、コストリーダーシップ戦略を採用している当社にお
設備投資の いては、導入する設備の高度自動化は必須であり、高い労働生産性が見込める。
内容 • 新商品についても高度に自動化された生産ラインを設置することで、コストリーダーシップ戦略のもとでの生産が可能であり、高い
労働生産性を見込める。
【既存OEM商品ライン：1ライン】
①設備の概要
• 当社はOEM生産を受託しており、バンダイのキャラパキ等のキャラクターチョコレートの増産対応のために、高度に自動化された生
産ラインを設置する。
②現在抱えている課題
• 既存姫路工場にてOEM商品の生産を行っているが、設備が古く人手中心の作業になってしまい労働生産性が低くなっている。
③課題解決・労働生産性向上
• OEM商品の生産を新工場で実施し、高度に自動化された生産ラインで生産することで労働生産性向上を実現する。
【p.4】
.補助事業の概要 ハマダコンフェクト株式会社
2
当社加古川工場の隣接地に新工場を建設し、高度に自動化された生産設備を導入することで、高い労働生
産性を実現し、当社のコストリーダーシップ戦略を加速する。
・下記では当社の主要商品である既存栄養菓子製造ラインのイメージ写真を添付している。
【ウエハース生産ライン】
オーブン（ウエハースを焼 カッター（ウエハースを必
自動搬送設備
成） 要な大きさにカット） ロボットによる箱詰め
（製品を自動倉庫へ）
設備投資の
【クッキー生産ライン】
内容
クッキー成型 焼成後のクッキーの 自動搬送設備
ロボットによる包装
（オーブンでの焼き上げ前） 機械による整列 （製品を自動倉庫へ）</t>
  </si>
  <si>
    <t>1.長期成長ビジョン 平和食品工業株式会社
これまでの国内向け主体の商品開発に加え、海外販路拡大に向けビジネスモデルの変革を実行していく
日本発祥のレトルト食品を主軸に、世界中の豊かで健康的な食生活に貢献します
• コロナ禍で感じた社会課題やニーズの変化を踏まえて、お客様への感謝と更なる貢献・成長を続ける
• 大手企業には真似できない、バラエティ＆ニッチな商品開発で国内外での市場シェア拡大をめざす
• 計画の一歩目として2032年までに「売上高135億円（2025年比＋72億円）」を実現する
経営理念
平和食品工業㈱は、従業員一人ひとりが健康な身体と健全な生活態度を保持し、仕入先様、お得意先様、地域社会、従業員同士、その家族など、
食に関わるすべての人々に感謝の気持を持って接します。</t>
  </si>
  <si>
    <t>• コロナ禍で感じた社会課題やニーズの変化を踏まえて、お客様への感謝と更なる貢献・成長を続ける
• 大手企業には真似できない、バラエティ＆ニッチな商品開発で国内外での市場シェア拡大をめざす
• 計画の一歩目として2032年までに「売上高135億円（2025年比＋72億円）」を実現する</t>
  </si>
  <si>
    <t>長期成長ビジョン（目指す姿・ビジネスモデル）
日本発祥のレトルト食品を主軸に、
世界中の豊かで健康的な食生活に貢献します
• 個性的で多様な商品を市場に投入
⇒極小ロットでも今後の成長の種となるようなシーズの発掘
⇒レシピ開発力の強化
• 食料品商社や食品メーカーのニーズに応える
⇒大ロット受注による安定生産の確保
• 海外向け商品の開発とビジネスモデルの確立
⇒間接輸出拡大と直接輸出の土台作り
⇒レシピ開発力の強化
⇒大規模賃上げの実現
バラエティ＆ニッチ戦略でレトルト・スープ事業の
国内外での市場シェア拡大をめざす</t>
  </si>
  <si>
    <t>外発的動機① 国内
• ライフスタイルの変化により顧客ニーズは多様化。単身世帯増・高齢化に伴
い、単価の高い商品や少容量商品（バラエティ＆ニッチ）を好む傾向に。
• これまではPB商品主体であったが、現代表になってNB商品に注力し、積極
的に市場投入。想像を超える反響があり、自社ブランド化の糸口が見えた。
外発的動機② 海外
• 海外マーケットは急速に拡大。農林水産省は食品輸出拡大に向けた戦略
会議を重ね、最重要課題は「海外市場で求められるスペック（量・価格・
品質・規格）の産品を専門的・継続的に生産・輸出し、あらゆる形で商流
を開拓する体制の整備」としている。一方で、当社ではこれまで海外向け商
品開発はごく一部に留まる。100億企業への成長や大規模賃上げを敢行
する上で、海外需要の獲得は早期に着手する必要があると痛感した。</t>
  </si>
  <si>
    <t>内発的動機
• 2019年に長年超えることのできなかった売上50億円の壁を突破したことで、
社員一同に商品力への自信、もっとやれるという意欲が芽生えた。
• 2021年に現代表が就任したことで、これまでの現状維持路線では業界で
の生き残りは難しく、成長路線へ舵を切ろうと決断。一方で、現状の生産
体制・設備では、100億円企業への成長は不可能。仕入して売れば売上
は伸ばせるが、食品製造メーカーとして生産体制を整え、社員一同に芽生
えた商品力の自信を商品開発に活かし、責任あるモノづくりを行った上で達
成することに意味があると考えた。</t>
  </si>
  <si>
    <t>【p.1／上段要旨】
• コロナ禍で感じた社会課題やニーズの変化を踏まえて、お客様への感謝と更なる貢献・成長を続ける
• 大手企業には真似できない、バラエティ＆ニッチな商品開発で国内外での市場シェア拡大をめざす
• 計画の一歩目として2032年までに「売上高135億円（2025年比＋72億円）」を実現する
【p.1／経営理念】
経営理念
平和食品工業㈱は、従業員一人ひとりが健康な身体と健全な生活態度を保持し、仕入先様、お得意先様、地域社会、従業員同士、その家族など、
食に関わるすべての人々に感謝の気持を持って接します。
【p.1／売上成長目標】
売上成長目標（2025年→2032年）
• 2032年までの会社全体の売上高成長率212％
• 2032年までの会社全体の売上高増加額72億円
【p.2／ニーズの多い極小～大ロットの生産を可能とする大規模投資を実施】
• ニーズの多い極小～大ロットの生産を可能とする大規模投資を実施
• 高い労働生産性と静岡県における直近５年間の最低賃金の年平均上昇率2.8％を上回る5.5％の賃上げを実現</t>
  </si>
  <si>
    <t>【p.1】
1.長期成長ビジョン 平和食品工業株式会社
これまでの国内向け主体の商品開発に加え、海外販路拡大に向けビジネスモデルの変革を実行していく
日本発祥のレトルト食品を主軸に、世界中の豊かで健康的な食生活に貢献します
• コロナ禍で感じた社会課題やニーズの変化を踏まえて、お客様への感謝と更なる貢献・成長を続ける
• 大手企業には真似できない、バラエティ＆ニッチな商品開発で国内外での市場シェア拡大をめざす
• 計画の一歩目として2032年までに「売上高135億円（2025年比＋72億円）」を実現する
経営理念
平和食品工業㈱は、従業員一人ひとりが健康な身体と健全な生活態度を保持し、仕入先様、お得意先様、地域社会、従業員同士、その家族など、
食に関わるすべての人々に感謝の気持を持って接します。
長期成長ビジョン（目指す姿・ビジネスモデル） 外発的動機① 国内
• ライフスタイルの変化により顧客ニーズは多様化。単身世帯増・高齢化に伴
日本発祥のレトルト食品を主軸に、
い、単価の高い商品や少容量商品（バラエティ＆ニッチ）を好む傾向に。
世界中の豊かで健康的な食生活に貢献します • これまではPB商品主体であったが、現代表になってNB商品に注力し、積極
• 個性的で多様な商品を市場に投入 的に市場投入。想像を超える反響があり、自社ブランド化の糸口が見えた。
⇒極小ロットでも今後の成長の種となるようなシーズの発掘 外発的動機② 海外
⇒レシピ開発力の強化 • 海外マーケットは急速に拡大。農林水産省は食品輸出拡大に向けた戦略
• 食料品商社や食品メーカーのニーズに応える 会議を重ね、最重要課題は「海外市場で求められるスペック（量・価格・
⇒大ロット受注による安定生産の確保 品質・規格）の産品を専門的・継続的に生産・輸出し、あらゆる形で商流
• 海外向け商品の開発とビジネスモデルの確立 を開拓する体制の整備」としている。一方で、当社ではこれまで海外向け商
⇒間接輸出拡大と直接輸出の土台作り 品開発はごく一部に留まる。100億企業への成長や大規模賃上げを敢行
⇒レシピ開発力の強化 する上で、海外需要の獲得は早期に着手する必要があると痛感した。
⇒大規模賃上げの実現
内発的動機
• 2019年に長年超えることのできなかった売上50億円の壁を突破したことで、
バラエティ＆ニッチ戦略でレトルト・スープ事業の
社員一同に商品力への自信、もっとやれるという意欲が芽生えた。
国内外での市場シェア拡大をめざす
• 2021年に現代表が就任したことで、これまでの現状維持路線では業界で
の生き残りは難しく、成長路線へ舵を切ろうと決断。一方で、現状の生産
売上成長目標（2025年→2032年）
体制・設備では、100億円企業への成長は不可能。仕入して売れば売上
• 2032年までの会社全体の売上高成長率212％
は伸ばせるが、食品製造メーカーとして生産体制を整え、社員一同に芽生
• 2032年までの会社全体の売上高増加額72億円 えた商品力の自信を商品開発に活かし、責任あるモノづくりを行った上で達
成することに意味があると考えた。</t>
  </si>
  <si>
    <t>【p.2】
.補助事業の概要 平和食品工業株式会社
2
静岡県御殿場市にて工場を新設し、バラエティ＆ニッチなレトルト・スープ製造体制を確立
国内外需要を獲得し自社の成長と地方における持続的な賃上げを実現
• ニーズの多い極小～大ロットの生産を可能とする大規模投資を実施
• 高い労働生産性と静岡県における直近５年間の最低賃金の年平均上昇率2.8％を上回る5.5％の賃上げを実現
補助事業の 小回りが効きレシピ開発力の強みを持つ平和食品工業だからできる国内外のニーズに合った 事業費 10 億円
背景・目的 商品開発を実施し、世界中の豊かで健康的な食生活に貢献します （補助額） （1 .7 億円）
【設備投資内容】
• 建物費：静岡県御殿場市にレトルト・スープ製造工場を建設
※食品安全マネジメントシステムに関する国際規格(FSSC22000)取得予定
• 主な機械装置費：
■ニーダー（仕込釜）：大型のニーダーを導入することで、仕込効率を大幅に改善
■自動洗浄ユニット：人員効率化と洗浄作業の効率化を実現
設備投資の ■フリーザートンネル：フリーザートンネルを新設し、冷却工程の効率化を実現 ■工場完成イメージ
内容
■コンベアライン：充填～梱包まで手作業を自動化することで大幅な生産性向上を実現
【投資による期待効果】
・製造効率の改善 ・生産スピードの向上 ・安全性（品質）の向上
・製造キャパシティの拡大 ・原料保管コストの削減 ・人員効率化の実現
・海外需要の獲得 ・極小～大ロットの幅広い受注の獲得
■ニーダー（仕込釜）■フリーザートンネル
2027年度 2030年度
項目
（基準年度） （基準年度＋３年後）
労働生産性 2,699
1,892
（単位：万円/人） （年平均上昇率＋12.6％）
目標値 従業員
（
1
単
人
位
あ
：
た
万
り給
円
与
/人
支
）
給総額 483
（年平均上
5
昇
6
率
7
＋5.5％）
役員１人あたり給与支給総額 2,170
（単位：万円/人）
1,902
（年平均上昇率＋4.5％）
補助事業に係る従業員数
55 80
（単位：人）</t>
  </si>
  <si>
    <t>浦島観光ホテル株式会社
1.長期成長ビジョン
地域経済を担うフラッグシップホテルへ：高付加価値化・生産性改善を図る適切な投資によって誘客課題を解決
し、各地域の観光を代表するフラッグシップホテルとして、交流人口の拡大を通じた地域経済の活性化を実現する</t>
  </si>
  <si>
    <t>長期成長ビジョン（目指す姿/ビジネスモデル）
地域観光を代表するフラッグシップホテルとして、個
社としての成長と共に、地域全体の経済成長を牽引
する</t>
  </si>
  <si>
    <t>ハード面での
外発的動機*
老朽施設/ 設
らず、宴会場な
置されているた
ソフト面での
外発的動機*
従業員の待遇
約している。ま
への支障も生</t>
  </si>
  <si>
    <t>置されているた
内発的動機
順次、老朽施
バウンドといった
同様、宴会場
員の工数も増
ソフト面での
への支障も生
内発的動機
従業員の賃上
採用難に直面
調整も実施せ
上であり、業務</t>
  </si>
  <si>
    <t>売上成長目標
• 23年度→29年度迄のコンソーシアム全体の売上成長
＋47％
• 23年度→29年度迄の会社全体の売上高増加額
＋26.3億円
23年度 売上 29年度 売上 成長率
浦島観光ホテル 35.3億円 49.3億円 +40%
丸峰観光ホテル 7.6億円 14.6億円 +92%
みちのりホテルズ 12.7億円 18.0億円 +42%
コンソーシアム
55.6億円 82.0億円 ＋47％
全体</t>
  </si>
  <si>
    <t>【p.1／売上成長目標】
売上成長目標
• 23年度→29年度迄のコンソーシアム全体の売上成長
＋47％
• 23年度→29年度迄の会社全体の売上高増加額
＋26.3億円
23年度 売上 29年度 売上 成長率
浦島観光ホテル 35.3億円 49.3億円 +40%
丸峰観光ホテル 7.6億円 14.6億円 +92%
みちのりホテルズ 12.7億円 18.0億円 +42%
コンソーシアム
55.6億円 82.0億円 ＋47％
全体</t>
  </si>
  <si>
    <t>【p.1】
浦島観光ホテル株式会社
1.長期成長ビジョン
地域経済を担うフラッグシップホテルへ：高付加価値化・生産性改善を図る適切な投資によって誘客課題を解決
し、各地域の観光を代表するフラッグシップホテルとして、交流人口の拡大を通じた地域経済の活性化を実現する
長期成長ビジョン（目指す姿/ビジネスモデル） ハード面での誘客課題
外発的動機*
地域観光を代表するフラッグシップホテルとして、個
老朽施設/ 設備の更新・改修・修繕が進まないうえに、個人旅行者の増加にもかかわ
社としての成長と共に、地域全体の経済成長を牽引
らず、宴会場など団体客向けの設備が残っている。地域としても老朽施設/ 廃屋が残
する
置されているため誘客が阻害されている
内発的動機
売上成長目標
順次、老朽施設/ 設備の更新や高付加価値化を実施しているものの、個人客やイン
• 23年度→29年度迄のコンソーシアム全体の売上成長
バウンドといった新規に急速拡大する需要・ニーズの変化に追われる状況。業界全体 課
＋47％
同様、宴会場やカラオケ施設などが残置されており、ニーズに合わない設備によって従業 題
• 23年度→29年度迄の会社全体の売上高増加額 員の工数も増加 解
ハード面の投資 消
＋26.3億円
（高付加価値化・設備更新）
・変化するニーズに合わせた設備投資による価値向上
・設備の適切なメンテナンス、修繕、更新
23年度 売上 29年度 売上 成長率
ソフト面での誘客課題
外発的動機*
浦島観光ホテル 35.3億円 49.3億円 +40% 従業員の待遇が厳しいことから、人手不足が続いており、施設の稼働率引き上げを制
約している。また、経営者・従業員が高齢化（従業員の3割が60歳以上）し、運営
への支障も生じている
丸峰観光ホテル 7.6億円 14.6億円 +92% 内発的動機
従業員の賃上げや労働環境改善等は、順次実施しているものの、地方・業種による
採用難に直面している。サービスにおいて一定の質を担保するために必要に応じた稼働
みちのりホテルズ 12.7億円 18.0億円 +42% 調整も実施せざるを得ない状況。また、業界全体同様、従業員の3割弱が60歳以
課
上であり、業務効率化/ 省人化が急務。
題
コンソーシアム ソフト面の投資 解
55.6億円 82.0億円 ＋47％
全体 （CX/DX） 消
・業務の効率化、省力化による生産性の向上
・賃上げ、労働環境改善、人材開発
*出所：観光庁「アフターコロナ時代における地域活性化と観光産業に関する検討会 第１回配布資料」、日本銀行「観光産業の現状と課題」</t>
  </si>
  <si>
    <t>【p.2】
浦島観光ホテル株式会社
2.補助事業の概要
浦島観光ホテルの投資内容：高付加価値目的投資と労働効率向上目的投資を実施予定。
労働生産性/ 従業員1人あたり給与支給総額の年平均上昇率目標はそれぞれ+11% /+5.6%
• ４施設とも開業から30年～60年が経過。客室の意匠性・バックヤード・設備全体で老朽化
補助事業の が進行し価格競争力が低下している。一方で、立地エリアの世界遺産・熊野古道は今後も 事業費 69億円
背景・目的 インバウンドを中心に、観光マーケットの持続的な成長が見込まれており、地域のフラッグシッ （補助額） （12億円）
プホテルとして、改装による高付加価値化が急務の状況。
高付加価値化に向けた投資
洞窟をテーマにした
過去の団体旅行主流時代につくられた客室・パブリックエリアの改修 メインダイニング
個人利用を前提とした滞在コンセプトの再設定、販売単価増を見据えた内装・意匠デ
ザインの刷新による付加価値向上を行うとともに、レストランや温泉脱衣場の内装・意
“売り”である洞窟
匠の高付加価値化を実施し、住空間・衛生インフラ等の機能向上、省エネルギー化設
温泉をより高付加
備更新を図る
設備投資の 価値にする脱衣場
内容
労働時間効率化に向けた投資
手作業や非効率な業務のDX、メンテナンス工数が増えている設備の更新
 新基幹システム（PMS）及び自動チェックイン・チェックアウト機の導入、客室鍵の
カードキー化を導入し、現在同ホテル内にある３つのフロントを１つに集約し、従業
員のフロント業務を効率化し、館内案内へ人員を振るなど、労働生産性改善と
サービス向上を図る
2026年度 2029年度
項目
（基準年度） （基準年度＋３年後）
労働生産性 999万円/人
730万円/人
（単位：万円/人） （年平均上昇率＋11％）
従業員1人あたり給与支給総額 385万円/人
目標値 326万円/人
（単位：万円/人） （年平均上昇率＋5.6％）
役員１人あたり給与支給総額 1,162万円/人
1,033万円/人
（単位：万円/人） （年平均上昇率＋4％）
補助事業に係る従業員数
236人 236人
（単位：人）
【p.3】
浦島観光ホテル株式会社
2.補助事業の概要
丸峰観光ホテルの投資内容：高付加価値目的投資と労働効率向上目的投資を実施予定。
労働生産性/ 従業員1人あたり給与支給総額の年平均上昇率目標はそれぞれ+13%/ +6%
• 2023年2月に民事再生申立となり、JPiXグループで2024年1月に事業を承継してから、大
規模な設備改修や顧客満足を高める高付加価値化投資等を積極的に実施しているが、前
補助事業の 事業費 5.2億円
オーナー時に資金不足から行えていなかった改修すべき箇所が多数存在
背景・目的 （補助額） （1.7億円）
• 芦ノ牧温泉地区では最大規模の客室数を誇り、会津若松地域を代表するホテルとして、更
なる高付加価値化投資を実施し、労働生産性向上を図っていくことが急務
高付加価値・高稼働に向けた投資
ペットルーム
前時代的/ 老朽化している設備・内装の改修
国内団体客向けの内装/設備を洋式化し、インバウンドや若年層、個人客の需要を
取り込むとともに、ニッチだが高単価で需要のあるペット愛好家や歴史愛好家に向けた
工事を実施し、客室高単価化・高稼働化を実現する
設備投資の
労働時間効率化に向けた投資
内容
手作業や非効率な業務のDX、メンテナンス工数が増えている設備の更新
 新基幹システムを導入し、直感的なUIで操作しやすく、予約管理担当以外も予
約データ管理・参照が可能に。客室の清掃状況の可視化も通じて、大幅な従業
員の業務効率化・マルチタスク化による労働生産性改善を図る
 高付加価値化改修に伴う、配管等のバックヤード改修によって、結果としてメンテナ
ンス工数が削減され、労働生産性が向上する 和風なしつらえの廊下 改修後イメージ
2027年度 2030年度
項目
（基準年度） （基準年度＋３年後）
労働生産性 755万円/人
526万円/人
（単位：万円/人） （年平均上昇率＋13％）
目標値 従業員1人あたり給与支給総額 407万円/人
343万円/人
（単位：万円/人） （年平均上昇率＋5.8％）
役員１人あたり給与支給総額 771万円/人
612万円/人
（単位：万円/人） （年平均上昇率＋8％）
補助事業に係る従業員数
60人 62人
（単位：人）
【p.4】
浦島観光ホテル株式会社
2.補助事業の概要
みちのりホテルズの投資内容：高付加価値目的投資と労働効率向上目的投資を実施予定。
労働生産性/ 従業員1人あたり給与支給総額の年平均上昇率目標はそれぞれ+17%/ +9%
• 最後の大規模改修から約10年が経過し、老朽化に伴うメンテナンス工数の急激な増加や顧
客満足維持のためのサービス工数の増加など、設備改修による労働生産性の向上による効
補助事業の 事業費 1.7億円
果が大きい内容を実施
背景・目的 （補助額） （0.6億円）
• 盛岡・宮古地区では高い知名度を誇り、地域を代表するホテル・旅館として、更なる高付加
価値化投資を行うことで収益性・ブランド価値の向上、地域への波及効果を狙う
高付加価値・高稼働に向けた投資 露天風呂付客室
高需要かつ高単価の客室タイプを増加、立地的に必要な景観美化も予定
 現在高需要な露天風呂付客室を増加させることで、高単価化・高稼働化を図る
 浄土ヶ浜パークホテルは三陸復興国立公園内に位置するため、景観美化をすること
で周囲環境の高付加価値化を図り、地域・当ホテルへの流入顧客数増加を図る
設備投資の
労働時間効率化に向けた投資
内容
手作業や非効率な業務のDX、メンテナンス工数が増えている設備の更新
 客室にカードキーを導入し、また新基幹システムの導入によって、客室の管理業 客室カードキー
務・予約管理業務を効率化させ、労働生産性向上を図る
 清掃ロボットを導入し、清掃業務を効率化・省人化し、労働生産性向上を図る
 高付加価値化改修に伴う、配管等のバックヤード改修によって、結果としてメンテナ 清掃ロボット
ンス工数が削減され、労働生産性が向上する。
改修後イメージ
2026年度 2029年度
項目
（基準年度） （基準年度＋３年後）
労働生産性 589万円/人
373万円/人
（単位：万円/人） （年平均上昇率17％）
従業員1人あたり給与支給総額 406万円/人
目標値 316万円/人
（単位：万円/人） （年平均上昇率＋8.7％）
役員１人あたり給与支給総額 1,000万円/人
840万円/人
（単位：万円/人） （年平均上昇率＋6％）
補助事業に係る従業員数
110人 114人
（単位：人）</t>
  </si>
  <si>
    <t>株式会社旭ウエルテック
1.⾧期成⾧ビジョン
水平分業型へのメガトレンドの変化と、製造業全体の高度化及び開発速度の向上から近年顕在化する試作機の短納期製造ニーズに対
して、試作機特化型企業集団PSG(コンソーシアム)にて一括して業務を請け負うことで売上高の飛躍的向上と賃上げを実現する。</t>
  </si>
  <si>
    <t>⾧期成⾧ビジョン（目指す姿・ビジネスモデル）
• ㈱旭ウエルテック、㈱朝日電機製作所、㈱石川プレートの3社で産業機械の試作機の
製造を短納期で行う企業集団となる。この試作特化型企業集団をPSG(Prototype
Solution Group)と名付ける。
• PSGに属する3社は既存事業で関連のある機械メーカーの設計部や、設計・マーケティ
ングを主業種とするファブレス企業を中心に試作機開発の営業をそれぞれ行う。試作機
製造の案件を受けた場合、最初に案件を受けた企業を主担当企業、それ以外の2社
を副担当企業として共同で試作機の製造及び図面のブラッシュアップを実施する。
• 3社はそれぞれ既存事業において金属構造部品製造(旭ウエルテック)、機械制御(朝
日電機製作所)、機能部品製造(石川プレート)において短納期一貫生産を得意とし
ている。そのノウハウを活かして機械メーカーの構想内容に対して、試作機を通常の納
期の約3~4倍の速度で作り込み納品する。その上で、試作図面内容をより実現性の
高いものや量産時にコストが低くなるように素材や形状のブラッシュアップを行う。
• 量産機はコスト重視である場合が多いが、試作機に関してはコストよりもスピード感を重
視するメーカーが多い。この特徴を活かして、比較的価格帯の高い産業機械において
高付加価値の試作機を手掛けることで事業継続性を実現する。水平分業型のビジネ
スモデルの拡大によりものづくり全体のスピード感が飛躍的に向上している現在社会にお
いて、試作特化型で短納期かつ広い専門分野を網羅できるPSGのニーズは高い。
• 本事業に際し、3社間で3次元CADを用いた図面データの共有化を行い、情報の流
動性を高める。更に、搬送、配線配置検証、ピックアップ等の低付加価値の作業を3次
元データを直接的に用いてAIやロボットにより効率化を行う。
• PSG内において、繁閑に合わせて相互に職人の出向を行うシステムを構築する。これに
より中小企業特有の人材不足の解消と職人のリスキリング、そして労働生産性の抜本
的な向上を達成する。
• PSGが対象としている工作機械業界の先の5年間の市場成⾧率は3.1%である。また、
水平分業が進む欧米では試作機製造に特化した市場が既に形成されており、市場成
⾧率11.1%と高水準で成⾧している。日本ではメガトレンドの移行途中であり、まだこ
の市場が完全に形成される前であるため、本事業により先発優位性を確保する。
• 本ビジネスモデルは中小企業の理想的な未来図であると言える。将来的にこのモデル
内容の全体像を公開し、全国の中小企業の人材不足対策として展開し日本の中小
製造業全体の底上げを実現する。</t>
  </si>
  <si>
    <t>外発的動機
• 社会課題や顧客ニーズの変化等のメガトレンドに対する認識を外発的動機として記載ください
• 企業規模に依らず製造業は人材不足であり、今後も深刻化すると予想されている。それに
対応するために、日本の企業は1社でサプライチェーンの全業務を行う「垂直統合型」から、サ
プライチェーンにおいて複数の企業が得意分野をそれぞれ担当する「水平分業型」に変化し
ている（尚、水平分業型の代表例が日本屈指の高収益企業のキーエンスである）。
• 半導体業界の発展とDX化やIoTの発達により、この10年間で世界的に技術開発や製品
開発のスピードが飛躍的に加速している。その時代であるが故に、機械メーカーは如何に早く
「構想」を「量産化」するかというニーズが非常に大きい。また、新製品開発において、その時
間的リソースの多くは設計基礎段階(構想⇒試作⇒再設計)において多大に消費されている。
メガトレンドの変化 市場環境の変化 本事業
試作機製造を含む
DX化やIoTの発展による
「設計基礎段階」を短
工作機械・半導体製造装置
納期・専門性に特化し
等の機械開発速度の向上
たPSGで受託する。
(試作期間の短縮化ニーズ)
垂直統合型 水平分業型</t>
  </si>
  <si>
    <t>内発的動機
• （⾧期成⾧ビジョンを掲げるに至った、経営者の原体験や動機等の内発的動機を記載ください）
• 本コンソーシアムを形成する3社はそれぞれ金属構造部品製造(旭ウエルテック)、機械制御
(朝日電機製作所)、機能部品製造(石川プレート)において短納期一貫生産を得意として
いる。また、社歴もそれぞれ約40年以上と⾧く、既存顧客の幅も広い。
• 各々の企業は職人によるノウハウや技術蓄積が豊富であり、それを頼りにしたメーカーから試
作機の相談を受けることが3社共にしばしばあった。その際に、メーカー設計者から「専門分野
で頼れるのは非常に助かるけど、1社1社相談するのが正直面倒くさくて大変だ。」という本音
を聞いた。調べてみると他のメーカー設計者の多くも同様の悩みを抱えていることが分かった
(10社中8社の機械メーカー設計士が同様の回答をした)。
• 各得意分野において短納期で試作対応が出来る我々3社が手を組むことによって、それらの
ニーズに対して明確に応える事ができるのではないか?というのが共通の動機である。
• 試験的に3社間で連携を結び機械メーカーの試作対応を行った所、そのスピード感と対応力
が非常に評価された。また、試作品というコストよりも短納期対応力・提案力が重視される分
野であるが故に、各々の既存の事業の平均約1.8倍の利益率を実現したため、ビジネスとし
てこれからの時代に合っているのではないかという見解に至った。</t>
  </si>
  <si>
    <t>【p.1／売上成長目標】
製造業全体の底上げを実現する。
売上成⾧目標
• 2029年までのコンソーシアム全体の売上高成⾧率240％
• 2029年までのコンソーシアム全体の売上高増加額29.9億円
• 2029年までのコンソーシアム全体の付加価値額23.4億円 (2.49倍UP)
【p.2／設備投資の内容】
試作特化型企業集団PSG
金属構造部品 担当
㈱旭ウエルテック
(例：機械フレーム、ブラケット)
設備投資内容
技術連携 技術連携
五面加工機＆CAD (2.6億円)
金属構造部品製造工場(14億円)
材料自動搬送機 AGV (0.5億円)
3社がそれぞれ①異なる製造分野②一貫生産体制③短納期対応が得意
であることを活かし、短納期で試作機製造 及び 図面の改良提案を実施
機械制御 担当 機能部品 担当
㈱朝日電機製作所 ㈱石川プレート
(例：制御盤、電動部品) (例：樹脂部品、精密シム)
設備投資内容 設備投資内容
技術連携
制御盤AI配置管理&amp;CAD (0.5億円) アルミ切削加工機&amp;CAD (0.6億円)
機械制御ユニット製造工場 (13億円)
配線自動加工ロボット(1.5億円)
機能部品製造工場(隣接物件)(2億円)
樹脂切削加工機 (0.5億円)
【p.2／設備投資の内容】
設備投資内容
五面加工機＆CAD (2.6億円)
金属構造部品製造工場(14億円)
材料自動搬送機 AGV (0.5億円)
【p.2／設備投資の内容】
設備投資内容
制御盤AI配置管理&amp;CAD (0.5億円)
機械制御ユニット製造工場 (13億円)
配線自動加工ロボット(1.5億円)
【p.2／設備投資の内容】
設備投資内容
アルミ切削加工機&amp;CAD (0.6億円)
機能部品製造工場(隣接物件)(2億円)
樹脂切削加工機 (0.5億円)</t>
  </si>
  <si>
    <t>【p.1】
株式会社旭ウエルテック
1.⾧期成⾧ビジョン
水平分業型へのメガトレンドの変化と、製造業全体の高度化及び開発速度の向上から近年顕在化する試作機の短納期製造ニーズに対
して、試作機特化型企業集団PSG(コンソーシアム)にて一括して業務を請け負うことで売上高の飛躍的向上と賃上げを実現する。
⾧期成⾧ビジョン（目指す姿・ビジネスモデル）
外発的動機
• ㈱旭ウエルテック、㈱朝日電機製作所、㈱石川プレートの3社で産業機械の試作機の • 社会課題や顧客ニーズの変化等のメガトレンドに対する認識を外発的動機として記載ください
• 企業規模に依らず製造業は人材不足であり、今後も深刻化すると予想されている。それに
製造を短納期で行う企業集団となる。この試作特化型企業集団をPSG(Prototype
対応するために、日本の企業は1社でサプライチェーンの全業務を行う「垂直統合型」から、サ
Solution Group)と名付ける。
プライチェーンにおいて複数の企業が得意分野をそれぞれ担当する「水平分業型」に変化し
• PSGに属する3社は既存事業で関連のある機械メーカーの設計部や、設計・マーケティ
ている（尚、水平分業型の代表例が日本屈指の高収益企業のキーエンスである）。
ングを主業種とするファブレス企業を中心に試作機開発の営業をそれぞれ行う。試作機
• 半導体業界の発展とDX化やIoTの発達により、この10年間で世界的に技術開発や製品
製造の案件を受けた場合、最初に案件を受けた企業を主担当企業、それ以外の2社
開発のスピードが飛躍的に加速している。その時代であるが故に、機械メーカーは如何に早く
を副担当企業として共同で試作機の製造及び図面のブラッシュアップを実施する。
「構想」を「量産化」するかというニーズが非常に大きい。また、新製品開発において、その時
• 3社はそれぞれ既存事業において金属構造部品製造(旭ウエルテック)、機械制御(朝
間的リソースの多くは設計基礎段階(構想⇒試作⇒再設計)において多大に消費されている。
日電機製作所)、機能部品製造(石川プレート)において短納期一貫生産を得意とし
ている。そのノウハウを活かして機械メーカーの構想内容に対して、試作機を通常の納
期の約3~4倍の速度で作り込み納品する。その上で、試作図面内容をより実現性の メガトレンドの変化 市場環境の変化 本事業
高いものや量産時にコストが低くなるように素材や形状のブラッシュアップを行う。
DX化やIoTの発展による 試作機製造を含む
• 量産機はコスト重視である場合が多いが、試作機に関してはコストよりもスピード感を重 工作機械・半導体製造装置 「設計基礎段階」を短
視するメーカーが多い。この特徴を活かして、比較的価格帯の高い産業機械において 等の機械開発速度の向上 納期・専門性に特化し
高付加価値の試作機を手掛けることで事業継続性を実現する。水平分業型のビジネ 垂直統合型 水平分業型 (試作期間の短縮化ニーズ) たPSGで受託する。
スモデルの拡大によりものづくり全体のスピード感が飛躍的に向上している現在社会にお
いて、試作特化型で短納期かつ広い専門分野を網羅できるPSGのニーズは高い。
• 本事業に際し、3社間で3次元CADを用いた図面データの共有化を行い、情報の流
内発的動機
動性を高める。更に、搬送、配線配置検証、ピックアップ等の低付加価値の作業を3次
• （⾧期成⾧ビジョンを掲げるに至った、経営者の原体験や動機等の内発的動機を記載ください）
元データを直接的に用いてAIやロボットにより効率化を行う。
• 本コンソーシアムを形成する3社はそれぞれ金属構造部品製造(旭ウエルテック)、機械制御
• PSG内において、繁閑に合わせて相互に職人の出向を行うシステムを構築する。これに
(朝日電機製作所)、機能部品製造(石川プレート)において短納期一貫生産を得意として
より中小企業特有の人材不足の解消と職人のリスキリング、そして労働生産性の抜本
いる。また、社歴もそれぞれ約40年以上と⾧く、既存顧客の幅も広い。
的な向上を達成する。
• 各々の企業は職人によるノウハウや技術蓄積が豊富であり、それを頼りにしたメーカーから試
• PSGが対象としている工作機械業界の先の5年間の市場成⾧率は3.1%である。また、
作機の相談を受けることが3社共にしばしばあった。その際に、メーカー設計者から「専門分野
水平分業が進む欧米では試作機製造に特化した市場が既に形成されており、市場成
で頼れるのは非常に助かるけど、1社1社相談するのが正直面倒くさくて大変だ。」という本音
⾧率11.1%と高水準で成⾧している。日本ではメガトレンドの移行途中であり、まだこ
を聞いた。調べてみると他のメーカー設計者の多くも同様の悩みを抱えていることが分かった
の市場が完全に形成される前であるため、本事業により先発優位性を確保する。
(10社中8社の機械メーカー設計士が同様の回答をした)。
• 本ビジネスモデルは中小企業の理想的な未来図であると言える。将来的にこのモデル
• 各得意分野において短納期で試作対応が出来る我々3社が手を組むことによって、それらの
内容の全体像を公開し、全国の中小企業の人材不足対策として展開し日本の中小
ニーズに対して明確に応える事ができるのではないか?というのが共通の動機である。
製造業全体の底上げを実現する。
• 試験的に3社間で連携を結び機械メーカーの試作対応を行った所、そのスピード感と対応力
売上成⾧目標 が非常に評価された。また、試作品というコストよりも短納期対応力・提案力が重視される分
• 2029年までのコンソーシアム全体の売上高成⾧率240％ 野であるが故に、各々の既存の事業の平均約1.8倍の利益率を実現したため、ビジネスとし
• 2029年までのコンソーシアム全体の売上高増加額29.9億円 てこれからの時代に合っているのではないかという見解に至った。
• 2029年までのコンソーシアム全体の付加価値額23.4億円 (2.49倍UP)</t>
  </si>
  <si>
    <t>【p.2】
株式会社旭ウエルテック
(cid:21).補助事業の概要
水平分業の拡大に伴い高まる試作機製造のニーズに対して、PSG内の各企業が省力化を主軸とした専用工場の整備と、
3次元CADによる情報の一貫管理を行うことで本事業を遂行し、労働生産性と給与支給総額の飛躍的向上を実現する。
現在製造業は人手不足の影響から効率的な生産が可能な水平分業化が進んでいる。その弊害として、1社あたりの対応出来る範囲(切削、組
補助事業の 立、制御、機能部品製造等)が狭くなり、工作機械メーカーは量産前の試作機製造において①部品毎の手配先が多数必要②手配先間の品 事業費
3(cid:22)億円
背景・目的 質・スケジュール等の調整が重荷になっている という事実がある。本事業により当コンソーシアムが一貫して試作機製造を手掛けることで、これらの課 （補助額） （10億円）
題を解決すると共に、日本の機械開発速度の向上を図り、日本全体の製造業の底上げを実現する。
項 投資が必要な根拠 省力化・労働生産性向上に際し特筆すべき点 試作特化型企業集団PSG
目
㈱ 試験機製造のために大型重量部品を切削する必要がある
旭 ため、大型の5面加工機が必要である。既存工場ではスペー 従来はフォークリフトや天井クレーンを用いて重量のあ ㈱旭ウエルテック 金属構造部品 担当
ウ スと床の耐荷重条件を満たしていないため導入出来ず、専用 る金属材料を人が運んでいた。これには危険性が伴 (例：機械フレーム、ブラケット)
エ
ル 工場を新設して導入を行う事が本事業実施のために必須と い、効率的にも悪いため、新工場建設の際に床面を 設備投資内容
テ なる。 材料自動搬送機AGVが使用できる仕様に作り込み 技術連携 技術連携
また、3次元CADはPSG内のデータの共有化のために必須 を行い、工場全体に材料を拠点からロボットが自動
ッ
ク であり、当社にて共有化システムを立ち上げることで他2社で 配送する流れを構築する。
も効率的な運用が出来る。 五面加工機＆CAD (2.6億円)
設備投資 ㈱ 朝 既存工場は小型制御盤を主体として製造しているため試作 配 線 線 自 端 動 子 加 の 工 圧 ロボ 着 ッ な ト ど を は 導 従 入 来 す 人 る 手 こと で で 行 5名 って 分 い の た 仕 が 事 、配 が 金属構造部品製造工場(14億円)材料自動搬送機AGV (0.5億円)
機に用いる大型制御盤及びそれらの電気系統を駆動させる
日 1台で対応出来る様になる。また、AI配置管理ソフト
の 電 だけのキャパシティを工場内配線設備が保有していない。これ は、制御盤を形成するユニット部品を既定箇所に配 3社がそれぞれ①異なる製造分野②一貫生産体制③短納期対応が得意
機 ら既存社内設備を全て大容量向けに入れ替えをすることは
置するための図面を起こすという単一的な作業を自 であることを活かし、短納期で試作機製造 及び 図面の改良提案を実施
製 非現実的であり、試作機の制御盤は組み立てと配線に多く
内容 動で行う。これらは既に当社の関係企業である別川
作 のスペースを要することも踏まえると、工場新設が費用対効果
製作所にて実証済みの設備であり、省力化効果が
所 として優れていると言える。 大きい。 ㈱朝日電機製作所 機械制御 担当 ㈱石川プレート 機能部品 担当
(例：制御盤、電動部品) (例：樹脂部品、精密シム)
㈱ 既存工場では既存の事業を行うための設備でスペースが全く 3次元CADで共有化したデータをそのまま活用し、ア
石 なく、本事業にて隣接する中古工場を取得し試験機の組み ルミ切削加工機及び樹脂切削加工機と連動させる 設備投資内容 設備投資内容
川 立てスペース及び機能部品の切削のために活用する。尚、隣 ことで、無人運転の実現を行う。これらの機械には
プ 接する中古工場は元々重切削を行っていた企業の跡地であ 元々ローダー機構が付いているため、1点物でも3次 技術連携
レ り、地盤的にも安定しており、試験機のレベル出しなどにも必 元データを連続工程で組むことで連続的に無人加工 制御盤AI配置管理&amp;CAD(0.5億円) アルミ切削加工機&amp;CAD (0.6億円)
ー 要十分な条件が揃っている。尚、隣接工場については既に水 が可能となる。試作図面改良を行う際にも加工デー
ト 面下で交渉が進んでおり、入手がほぼ確定的である。3次元 タからそのまま逆算して図面にフィードバック出来るため、
CADではそのデータをそのまま活用し、切削工程の短縮と省 人手を掛けて図面を書き直す必要が無く、本事業と 機械制御ユニット製造工場(13億円) 配線自動加工ロボット(1.5億円) 機能部品製造工場(隣接物件)(2億円) 樹脂切削加工機(0.5億円)
力化を図る。 非常に相性が良い。
項目 コンソーシアム全体 ㈱旭ウエルテック ㈱朝日電機製作所 ㈱石川プレート
2026年度 (基準年度) 2029年度 (基準年度+3年後) 2026年度 (基準年度) 2029年度 (基準年度+3年後) 2026年度 (基準年度) 2029年度 (基準年度+3年後) 2026年度 (基準年度) 2029年度 (基準年度+3年後)
1033.1万円/人 1187.6万円/人 826.7万円/人 1182.5万円/人
労働生産性
724.9万円/人 ( 年平均上昇率 ＋12.4％ ) 892.2万円/人 ( 年平均上昇率 ＋9.89％ ) 581.6万円/人 ( 年平均上昇率 ＋12.3％ ) 816.3万円/人 ( 年平均上昇率 ＋13.0％ )
（単位:万円/人）
( 期間内上昇率＋42.5％ ) ( 期間内上昇率＋33.1％ ) ( 期間内上昇率＋42.1％ ) ( 期間内上昇率＋44.9％ )
目標値 544.3万円/人 639.5万円/人 456.1万円/人 645.9万円/人
従業員1人あたり給与支給総額
428.8万円/人 ( 年平均上昇率 ＋8.26％ ) 500.0万円/人 ( 年平均上昇率 ＋8.55％ ) 371.9万円/人 ( 年平均上昇率 ＋7.04％ ) 525.5万円/人 ( 年平均上昇率 ＋7.12％ )
（単位:万円/人）
( 期間内上昇率＋26.9％ ) ( 期間内上昇率＋27.9% ) ( 期間内上昇率＋22.6％ ) ( 期間内上昇率＋22.9％ )
役員１人あたり給与支給総額 - - -
- - - - -
（単位:万円/人） (年平均上昇率 ＋6.27%) (年平均上昇率 ＋7.00%) (年平均上昇率 ＋7.03%)
補助事業に係る従業員数
118人 145人 25人 43人 70人 76人 23人 26人
（単位:人）</t>
  </si>
  <si>
    <t>信光陸運株式会社
1.⻑期成⻑ビジョン
運送業×倉庫業による総合物流企業へ進化し、魅⼒あふれる企業として次世代つなげる「100年企業」を⽬指
す。⾃社の強みである「対応⼒」を活かし、2034年5⽉期には売上⾼2.15倍/62.01億円を実現。</t>
  </si>
  <si>
    <t>⻑期成⻑ビジョン（⽬指す姿・ビジネスモデル）
• 当社は、今後5〜10年の⻑期的な視野に⽴ち、社会に対して持
続可能かつ⾼品質な物流サービスを提供する企業を⽬指す。トヨ
タ系販売会社をはじめとする顧客のタイヤ保管業務で培った「管
理」「⼊出庫準備」等のカンバン⽅式や⾃動化ノウハウを最⼤限に
活⽤し、効率的かつ⾼品質な物流サービスを実現する。さらに、倉
庫業においては季節ボラティリティの⾼い「タイヤ」や「家電」から「⾷
品」などの安定した商材へシフトし、安定収益を確保する。また、ア
サヒロジとの連携により⾃社運送ノウハウをさらに拡⼤・拡充し、配
送量の増加と次なる展開を⽬指す。
売上成⻑⽬標
• 当社は2024年5⽉期の売上⾼28.82億円を基点として、
2034年5⽉期までの10年間で売上⾼を約62.01億円に到
達させることを⽬標とする。これは約2.15倍の増加（増加額
約33.19億円）であり、年平均成⻑率（CAGR）は約
8.93%に相当する。
• 新規事業として⾷品保管を開始し、既存の配送、タイヤ保管、
家電事業と組み合わせて、広域ネットワークを活⽤し新たな顧
客を獲得。また、アソート出荷対応やAIを活⽤した在庫管理
システムの導⼊により、サービスの質を向上させ、既存顧客との
信頼関係を強化し、継続的な取引と追加受注を⽬指す。</t>
  </si>
  <si>
    <t>外発的動機
• 当社が⻑期成⻑ビジョンを掲げるに⾄った背景には、社会課題や顧
客ニーズの変化がある。近年、少⼦⾼齢化による労働⼒不⾜が深
刻化しており、物流業界においても効率化と⾃動化が求められてい
る。また、消費者のライフスタイルの変化に伴い、⾷品や⽇⽤品の安
定した供給が求められている。さらに、環境問題への意識が⾼まり、
持続可能な物流サービスの提供が企業の社会的責任として重要
視されている。このようなメガトレンドに対応するため、当社は運送業
と倉庫業のバランスを⾒直し、⾼利益体質への転換と安定収益の
確保を⽬指すこととなった。</t>
  </si>
  <si>
    <t>内発的動機
• 当社の⻑期成⻑ビジョンを掲げるに⾄った背景には、経営者⾃⾝の
原体験と動機がある。経営者は幼少期から家族が経営する物流
会社で働く姿を⾒て育ち、物流業界の重要性と課題を⾝をもって
感じてきた。また、現場での経験を通じて、効率化と⾃動化が物流
業界の発展に不可⽋であることを痛感し、これを実現するための強
い意志を持つようになった。さらに、顧客からの信頼を得るためには
⾼品質なサービスの提供が不可⽋であり、そのためには⾃社のノウ
ハウを最⼤限に活⽤し、持続可能な成⻑を実現する必要があると
考えている。このような内発的動機に基づき、当社は⻑期成⻑ビ
ジョンを掲げ、社会に対して価値を提供する企業を⽬指している。</t>
  </si>
  <si>
    <t>【p.1】
信光陸運株式会社
1.⻑期成⻑ビジョン
運送業×倉庫業による総合物流企業へ進化し、魅⼒あふれる企業として次世代つなげる「100年企業」を⽬指
す。⾃社の強みである「対応⼒」を活かし、2034年5⽉期には売上⾼2.15倍/62.01億円を実現。
⻑期成⻑ビジョン（⽬指す姿・ビジネスモデル） 外発的動機
• 当社が⻑期成⻑ビジョンを掲げるに⾄った背景には、社会課題や顧
• 当社は、今後5〜10年の⻑期的な視野に⽴ち、社会に対して持
客ニーズの変化がある。近年、少⼦⾼齢化による労働⼒不⾜が深
続可能かつ⾼品質な物流サービスを提供する企業を⽬指す。トヨ
刻化しており、物流業界においても効率化と⾃動化が求められてい
タ系販売会社をはじめとする顧客のタイヤ保管業務で培った「管
る。また、消費者のライフスタイルの変化に伴い、⾷品や⽇⽤品の安
理」「⼊出庫準備」等のカンバン⽅式や⾃動化ノウハウを最⼤限に
定した供給が求められている。さらに、環境問題への意識が⾼まり、
活⽤し、効率的かつ⾼品質な物流サービスを実現する。さらに、倉
持続可能な物流サービスの提供が企業の社会的責任として重要
庫業においては季節ボラティリティの⾼い「タイヤ」や「家電」から「⾷
視されている。このようなメガトレンドに対応するため、当社は運送業
品」などの安定した商材へシフトし、安定収益を確保する。また、ア
と倉庫業のバランスを⾒直し、⾼利益体質への転換と安定収益の
サヒロジとの連携により⾃社運送ノウハウをさらに拡⼤・拡充し、配
確保を⽬指すこととなった。
送量の増加と次なる展開を⽬指す。
売上成⻑⽬標
内発的動機
• 当社は2024年5⽉期の売上⾼28.82億円を基点として、
• 当社の⻑期成⻑ビジョンを掲げるに⾄った背景には、経営者⾃⾝の
2034年5⽉期までの10年間で売上⾼を約62.01億円に到
原体験と動機がある。経営者は幼少期から家族が経営する物流
達させることを⽬標とする。これは約2.15倍の増加（増加額
会社で働く姿を⾒て育ち、物流業界の重要性と課題を⾝をもって
約33.19億円）であり、年平均成⻑率（CAGR）は約
感じてきた。また、現場での経験を通じて、効率化と⾃動化が物流
8.93%に相当する。
業界の発展に不可⽋であることを痛感し、これを実現するための強
• 新規事業として⾷品保管を開始し、既存の配送、タイヤ保管、
い意志を持つようになった。さらに、顧客からの信頼を得るためには
家電事業と組み合わせて、広域ネットワークを活⽤し新たな顧
⾼品質なサービスの提供が不可⽋であり、そのためには⾃社のノウ
客を獲得。また、アソート出荷対応やAIを活⽤した在庫管理
ハウを最⼤限に活⽤し、持続可能な成⻑を実現する必要があると
システムの導⼊により、サービスの質を向上させ、既存顧客との
考えている。このような内発的動機に基づき、当社は⻑期成⻑ビ
信頼関係を強化し、継続的な取引と追加受注を⽬指す。
ジョンを掲げ、社会に対して価値を提供する企業を⽬指している。</t>
  </si>
  <si>
    <t>【p.2】
信光陸運株式会社
2.補助事業の概要
自社の強みである一般物流を活かしつつ、物流業界全体の課題である2024年問題の課題による経営課題解
決を本事業である物倉庫業の展開で、さらなる成長性の高い事業運営を目指す。
補助事業の • 季節変動の大きいタイヤや家電から、ボラティリティの低い⾷品へ移行することで売上の安定化 事業費 22億円
背景・目的 を図り、倉庫に強みをもった東海地区ナンバーワンの総合物流会社を目指す。 （補助額） （7.3億円）
【件名】 一宮物流センター新築工事
【住所】 愛知県一宮市千秋町天摩字北野35番他
【敷地面積】 15,264.93㎡
【建築面積】 10,360.18㎡
【工期】 2024年11月～2025年10月
（建設工事開始：2025年2月～）
設備投資の
【その他】 地上3階建て
内容
【利便性の高さ】
〇名神高速道路；一宮ICから約5km/10分
〇名古屋高速道路；小牧北出口から約6km/15分
〇弊社本社より；約3.5km/15分
20xx年度 20xx年度
項目
（基準年度） （基準年度＋３年後）
労働生産性 1,332万円/人
897万円/人
（単位：万円/人） （年平均上昇率＋14.1％）
従業員1人あたり給与支給総額 685万円/人
目標値 530万円/人
（単位：万円/人） （年平均上昇率＋8.9％）
役員１人あたり給与支給総額 2,033万円/人
1,753万円/人
（単位：万円/人） （年平均上昇率＋5.1％）
補助事業に係る従業員数
136人 141人
（単位：人）</t>
  </si>
  <si>
    <t>株式会社 福砂屋グループ
.長期成長ビジョン
1
2024年に創業400周年を迎える長崎カステラ本家の福砂屋”ゆっくりと未来へ”
10年後の2033年期に福砂屋全社グループ連結で年商134.3億円(2022年期比+64.5%) へ</t>
  </si>
  <si>
    <t>長期成長ビジョン（目指す姿・ビジネスモデル）
• 創業400周年を迎える”ゆっくりと未来へ”
• 手わざ 時をつなぐ 心をつなぐ カステラ技術と文化の継承
• 若年/中年層を中心とした国内顧客層及び海外顧客層を中心と
したターゲット及び市場範囲の拡大
• ターゲットの拡大に応じた新商材へ開発投資
• 成長拡大に合わせた生産能力向上と生産効率化へ設備投資</t>
  </si>
  <si>
    <t>外発的動機
• 世界名目GDP成長率ワースト4位の主因となる人口減少
• 少子高齢化と百貨店市場の縮小、主要顧客からの需要低減
• 材料や人材コストの高騰と競争激化から優位性の低減リスク
• 海外アジア/アフリカ人口の増加、需要の増加と多様性の要求</t>
  </si>
  <si>
    <t>内発的動機
• 変化し続ける400年間における市場へ適応の重要性の再認識
• 従業員への生産負荷の軽減、賃金水準向上、環境改善が必要
• カステラ文化と技術継承をビジョンとする更なる味と品質の追求
• 現工場の老朽化と生産ライン改良の必要性</t>
  </si>
  <si>
    <t>【p.1／売上成長目標】
売上成長目標
(グループ全社連結)2033年度 134.3億円
• 2033年期までの長期の売上高成長率+64.5％
• 2033年期までの長期の売上高増加額+52.7億円
*上記2022年度比較
(東京連結) 2033年度 88.0億円
• 2033年期までの長期の売上高成長率+146.0％
• 2033年期までの長期の売上高増加額+52.2億
*上記2022年度比較</t>
  </si>
  <si>
    <t>【p.1】
株式会社 福砂屋グループ
.長期成長ビジョン
1
2024年に創業400周年を迎える長崎カステラ本家の福砂屋”ゆっくりと未来へ”
10年後の2033年期に福砂屋全社グループ連結で年商134.3億円(2022年期比+64.5%) へ
長期成長ビジョン（目指す姿・ビジネスモデル） 外発的動機
• 創業400周年を迎える”ゆっくりと未来へ”
• 世界名目GDP成長率ワースト4位の主因となる人口減少
• 手わざ 時をつなぐ 心をつなぐ カステラ技術と文化の継承
• 少子高齢化と百貨店市場の縮小、主要顧客からの需要低減
• 若年/中年層を中心とした国内顧客層及び海外顧客層を中心と
したターゲット及び市場範囲の拡大 • 材料や人材コストの高騰と競争激化から優位性の低減リスク
• ターゲットの拡大に応じた新商材へ開発投資 • 海外アジア/アフリカ人口の増加、需要の増加と多様性の要求
• 成長拡大に合わせた生産能力向上と生産効率化へ設備投資
売上成長目標
内発的動機
(グループ全社連結)2033年度 134.3億円
• 2033年期までの長期の売上高成長率+64.5％
• 2033年期までの長期の売上高増加額+52.7億円 • 変化し続ける400年間における市場へ適応の重要性の再認識
*上記2022年度比較
• 従業員への生産負荷の軽減、賃金水準向上、環境改善が必要
(東京連結) 2033年度 88.0億円
• 2033年期までの長期の売上高成長率+146.0％ • カステラ文化と技術継承をビジョンとする更なる味と品質の追求
• 2033年期までの長期の売上高増加額+52.2億
*上記2022年度比較 • 現工場の老朽化と生産ライン改良の必要性</t>
  </si>
  <si>
    <t>【p.2】
株式会社 福砂屋グループ
.補助事業の概要
2
福砂屋新東京工場(南町田工場)の建設及びカステラ及び新商品生産ラインへの総額50.3億円の設備投資
労働生産性1,643万円/人(年5.5%の上昇)及び従業員1人あたり給与総額564万円(年4.0%上昇)へ
• 現中目黒から新南町田へ規模拡張の上、移設及び効率化された新生産ライン開発
補助事業の • 既存取引先、国内新規取引先、海外市場への展開を踏まえた生産能力240%への拡張 事業費 5 5 億円
背景・目的 • 焼成、切断梱包工程の自動化投資を中心とした112%の生産効率向上と省力化 （補助額） （1 7 億円）
• 新商材の生産ラインの立ち上げ
• 南町田自用土地に4階建て工場を建設、建築総額34.0億円
1-3Fを生産を中心とした生産ラインエリア、4Fを福利厚生エリアとして設計
• 生産能力向上と省力化を実現するライン構築のための機械設備投資の総額14.8億円
(3F)
カステラ用量産焼成ラインを12ライン
(写真1) 現中目黒工場外観
(現工場6ラインの生産能力に対して総計240%/日定時1勤制)
設備投資の (2F)
内容 240%生産能力向上に適合したカステラ切断及び梱包の省力化新ライン
(3F/1Fと合わせて現状に対し人件費ベースで112%相当の省力化、効率化の達成)
新商材の販売に備えた生産ライン構築 投資額1.4億円
(1F)
上記の生産能力向上に適合した在庫保管及び流通配送ライン
海外市場への販売に備えた生産設備 投資額1.0億円
(写真2) 新南町田工場外観
• 生産体制を支援する新型システム構築等1.5億円
2026年度 2029年度
項目
（基準年度） （基準年度＋３年後）
労働生産性 1,643
1,400
（単位：万円/人） （年平均上昇率＋5.5％）
目標値 従業員1人あたり給与支給総額 564
501
（単位：万円/人） （年平均上昇率＋4.1％）
役員１人あたり給与支給総額 -
-
（単位：万円/人） （年平均上昇率＋5.0％）
補助事業に係る従業員数
209 222
（単位：人）</t>
  </si>
  <si>
    <t>株式会社福地建設
.長期成長ビジョン
1
まちづくりを通じて、持続可能な社会を構築し、ステークホルダーに高い付加価値を提供
自社の発展で当社グループの事業を拡大し、社会・業界・関係者の発展に貢献する</t>
  </si>
  <si>
    <t>長期成長ビジョン(目指す姿・ビジネスモデル)
まちづくりを通じて、社会に「幸せ」「喜び」「満足」を
目先の利益に捉われず、中長期的目線で相乗効果を
発揮するグループ経営を目指し、まちづくりを通じて、豊
かな社会を生み出す商品を提供する
従業員、仕入業者、物件購入者、入居者、金融機関
をはじめ、全てのステークホルダーに当社と関係を持って
良かったと喜んで頂ける「永続する企業づくり」を行う
用地仕入から、企画、設計、製造、建築、販売、管理、
不動産賃貸に至る必要な行為全てをグループ一気通
貫で行える会社となる事で、『共同住宅を建てるなら
FDSグループの福地建設』、そう思っていただける業界
地位の確立を目指す</t>
  </si>
  <si>
    <t>外発的動機
外部環境に振り回されない強い会社を作り上げる
• 不動産投資ブーム
• 都市部を中心とした共同住宅の高いニーズ
• 労働力確保の困難
• 建築資材の高騰
• 省エネ性能の重視(環境問題への対応)
様々な課題がありつつも、業界の慣習に捉われず、常
に革新的なビジネスモデル・商品サービスの提供を行な
い企業成長を目指したい！</t>
  </si>
  <si>
    <t>内発的動機
「人と共に成長していこう」をモットーに
• 建築や不動産は、やりがいのある魅力的な仕事
• 自身の仕事がまちづくり、社会づくりにつながる誇り
• 従来の思考にとらわれず、業界を変えていきたい
父親と福地興産(現FDS)を創業して24年、一心不
乱にやってきたが、今があるのは周りの人の助けがあっ
たからこそ
その経験から当社グループが更に成長することで、社
会・業界・関係者の発展に貢献したい！</t>
  </si>
  <si>
    <t>福地建設売上成長目標
(2023年度決算実績比較)
636
2030年までに会社全体の売上高成長 ％
495
2030年までに会社全体の売上高増加額 億円</t>
  </si>
  <si>
    <t>【p.1／売上成長目標】
福地建設売上成長目標
(2023年度決算実績比較)
636
2030年までに会社全体の売上高成長 ％
495
2030年までに会社全体の売上高増加額 億円</t>
  </si>
  <si>
    <t>【p.1】
株式会社福地建設
.長期成長ビジョン
1
まちづくりを通じて、持続可能な社会を構築し、ステークホルダーに高い付加価値を提供
自社の発展で当社グループの事業を拡大し、社会・業界・関係者の発展に貢献する
長期成長ビジョン(目指す姿・ビジネスモデル) 外発的動機
外部環境に振り回されない強い会社を作り上げる
まちづくりを通じて、社会に「幸せ」「喜び」「満足」を
• 不動産投資ブーム
• 都市部を中心とした共同住宅の高いニーズ
目先の利益に捉われず、中長期的目線で相乗効果を • 労働力確保の困難
発揮するグループ経営を目指し、まちづくりを通じて、豊 • 建築資材の高騰
• 省エネ性能の重視(環境問題への対応)
かな社会を生み出す商品を提供する
様々な課題がありつつも、業界の慣習に捉われず、常
従業員、仕入業者、物件購入者、入居者、金融機関
に革新的なビジネスモデル・商品サービスの提供を行な
をはじめ、全てのステークホルダーに当社と関係を持って
い企業成長を目指したい！
良かったと喜んで頂ける「永続する企業づくり」を行う
用地仕入から、企画、設計、製造、建築、販売、管理、 内発的動機
不動産賃貸に至る必要な行為全てをグループ一気通 「人と共に成長していこう」をモットーに
貫で行える会社となる事で、『共同住宅を建てるなら • 建築や不動産は、やりがいのある魅力的な仕事
• 自身の仕事がまちづくり、社会づくりにつながる誇り
FDSグループの福地建設』、そう思っていただける業界
• 従来の思考にとらわれず、業界を変えていきたい
地位の確立を目指す
父親と福地興産(現FDS)を創業して24年、一心不
福地建設売上成長目標 (2023年度決算実績比較) 乱にやってきたが、今があるのは周りの人の助けがあっ
2030年までに会社全体の売上高成長 636 ％ たからこそ
495 その経験から当社グループが更に成長することで、社
2030年までに会社全体の売上高増加額 億円
会・業界・関係者の発展に貢献したい！</t>
  </si>
  <si>
    <t>【p.2】
株式会社福地建設
.補助事業の概要
2
深刻な人材難の中で持続的成長を可能にする
共同住宅向けシステム鉄骨部材の内製化に向けた京田辺工場建設
現在、S造低層事業の建築部材は協力会社から仕入れを行っている
補助事業の 事業費 22億円
自社独自のシステム鉄骨部材を内製することで価格競争力、資材の安定供給を
背景・目的 (補助額) (7. 2 億円)
獲得し、グループの中核企業として持続的な成長を実現する
【投資内容と目的】
京都府京田辺市に13,690㎡の土地を購入、平屋建て延べ面積8,289㎡の工場
(事務所含む)を建設
建築用鉄鋼を加工しS造低層マンション向けのシステム鉄骨部材を製造
総投資額：22.0億円(工場12.3億、設備8.7億、ソフトウェア0.4億、外注0.6億)
想定必要従業員：20名程度、 生産能力：最大240棟分/年
【生産効率化ポイント】
本社からCAD/CAMデータを複合加工機に直接送ることで、自動で部材加工を行う
設備投資の
基幹システムと最新機器の連携で、あらゆる工程で生産の効率化を実現
内容
加工設備 台数 役割用途
形鋼孔あけ切断複合機 3 梁の孔あけ・切断
ファイバーレーザー加工機 1 部材・切出加工
建築部材自動溶接システム 2 柱・フレーム溶接
2026年度 2029年度
項目
(基準年度) (基準年度＋３年後)
労働生産性 2,579
1,492
(単位：万円/人) (年平均上昇率＋20.0%)
従業員1人あたり給与支給総額 723
目標値 622
(単位：万円/人) (年平均上昇率＋5. ％)
2
役員１人あたり給与支給総額 1,653
1,428
(単位：万円/人) (年平均上昇率＋5.0％)
補助事業に係る従業員数
33 59
(単位：人)</t>
  </si>
  <si>
    <t>銘建工業株式会社
1.長期成長ビジョン
「木材の新しい価値を提供する」「あるものを全て使い切る」との創業の理念のもと、脱炭素に向けた木質構造材の普及、市場創出を図り、
社会貢献に根差した成長戦略を描いている。地域に育てられながら100周年を迎えた長期的なビジネスをさらに発展させ、地元真庭市と共
に「小さくても稼げるまち」を目指すため、木材業界のリーディングカンパニーとして売上高436億円を実現して地域と木材業界を牽引する。</t>
  </si>
  <si>
    <t>長期成長ビジョン（目指す姿・ビジネスモデル）
「小さくても稼げるまち」を牽引する真庭市と木材業界のリーディングカン
パニーをビジョンに掲げる。新工場を成長ドライバとして全事業で環境と
効率を両立。木材業界の未来、産業の革新・発展に貢献していく。
①木材業界のリーディングカンパニーとしての環境配慮製品の拡充・強化
集成材、CLTのパイオニアであり、木材産業のリーディングカンパニーとして、環境に
配慮した木造建築を住宅、非住宅の分野へ浸透させ、産業全体の振興を官民一
体となって推進。新工場によって短尺・多品種製品の生産力増強と新規商品投入。
②大規模非住宅分野での販売強化
木造建築における新境地を切り開き、低層、中層に加え、高層、大規模非住宅
の分野で、果敢に挑戦を続ける。
③効率化ノウハウを全社に浸透し、業界の革新をリード
集成材・CLTのトップメーカーとして、新工場を起点とした市場拡大、革新をリードし、
そのノウハウを全社に浸透させ生産性を向上。RC構造に匹敵する強度、耐火性、
工期短縮、国産材の使用促進を図り、我が国の林業の振興発展に貢献する。
④バイオマス事業など、環境配慮と地域貢献の事業推進
木材加工工程で生じた木くず、端材を活用したバイオマス発電事業により、自社動
力の確保のみならず、売電事業を拡大しエコシステムを強化。地域貢献に資する。</t>
  </si>
  <si>
    <t>外発的動機
①非住宅など木質構造へのニーズ増加
住宅着工数は減少傾向が続いているが、脱炭素の機運が高まる中、中高層、大
規模非住宅（事務所、店舗、施設、共同住宅等）の分野での木質構造への
ニーズは高まっており、当社にとって大きなビジネスチャンスととらえている。
②集成材・CLTなど環境配慮型製品のニーズ増加
集成材、CLTに対する需要拡大に対応した生産量拡大に伴う、製造、保管、運送
等のバリューチェーンで、効率化を推進することによりコスト削減を図り、即納体制により
売上を拡大をすることができる。
③官民一体の国内林業振興策の推進機運
官民一体となった国内林業振興策と軌を一にしたCLT需要創出を推進する。</t>
  </si>
  <si>
    <t>内発的動機
• 当社の歴代の代表はそれぞれの時代において常に大きな環境変化にさらされてきな
がらも、新規事業の展開によって経営危機を乗り越え、今日まで経営のバトンを繋い
できた。こうした背景から、現社長の経営への強い想いは、「仕事は自分でやるもので
なくお客様にやらせて頂く」という考えである。時代に合った会社の方向感を間違えず
に戦略を描いていけば、お客様に何とか仕事を続けさせて頂けるという考えのもとで、
当社代表は常に10年先の業界を見越した経営を行っている。
①生産効率化の更なる改善
生産性効率を極限まで高めることにより、まだまだ成長と改善の余地がある。
②環境配慮型・短尺多品種製品の需要増加
住宅の小型化・平屋化に伴う短尺製品の需要増加に対応した、短尺製品の効率
的製造。 工程の効率化だけでなく、資源循環のエコシステムの強化も必要。
③新倉庫建設に伴う土地の遊休化
新倉庫による機能移転で旧倉庫スペースが遊休化、本社工場の最適化が必要。
④成長分野への人材再配置が困難
バイオマスやCLT事業など成長分野へ人材配置するには工場の全体最適化が必須。</t>
  </si>
  <si>
    <t>【p.1／売上成長目標】
売上成長目標
最新の省力化・検品技術を活かした新工場への大規模投資を成長ドライバとし、
2029年度までに以下の成長目標を達成する。
• 会社全体の売上高 436億円
• 会社全体の売上高増加額 133億円
• 会社全体の売上高成長率 44.1％ 会社全体の付加価値額 75.5億円
【p.1／当社の沿革・特徴】
当社の沿革・特徴
当社は1923年中島材木店として創業、1970年に銘建工業株式会社に社名変更、現在では売上高約300億円、従業員数355名（2023年12月期実績）、製材業か
ら出発し、集成材事業への新規進出での市場創出を図り、木くずの有効活用を図るバイオマス事業の展開、CLT事業の創出等、新たな挑戦を続けることにより社会に貢献、
木材業界のトップメーカーを担うまで成長することができた。今後も木材業界のリーディングカンパニーとして、環境配慮型製品の拡充を図り、売上高436億円を目指していく。
【p.2／②工場内 製造ライン設備 39億円 1 新工場建屋】
②工場内 製造ライン設備 39億円 1 新工場建屋
2 製造ライン
3 板削モルダー
4 仕上モルダー
5 仕上げ検品カメラ
6 集塵装置
7 自動走行ラック
8 接着剤設備
9 ラベル張り機
10 作業足場
11 安全対策費
12 フォークリフト
13 電気設備
14 暖房設備
15 エアー配管
16 インクジェット
17 インサイジング
18 フィンガージョイント</t>
  </si>
  <si>
    <t>【p.1】
銘建工業株式会社
1.長期成長ビジョン
「木材の新しい価値を提供する」「あるものを全て使い切る」との創業の理念のもと、脱炭素に向けた木質構造材の普及、市場創出を図り、
社会貢献に根差した成長戦略を描いている。地域に育てられながら100周年を迎えた長期的なビジネスをさらに発展させ、地元真庭市と共
に「小さくても稼げるまち」を目指すため、木材業界のリーディングカンパニーとして売上高436億円を実現して地域と木材業界を牽引する。
長期成長ビジョン（目指す姿・ビジネスモデル） 外発的動機
①非住宅など木質構造へのニーズ増加
「小さくても稼げるまち」を牽引する真庭市と木材業界のリーディングカン
住宅着工数は減少傾向が続いているが、脱炭素の機運が高まる中、中高層、大
パニーをビジョンに掲げる。新工場を成長ドライバとして全事業で環境と 規模非住宅（事務所、店舗、施設、共同住宅等）の分野での木質構造への
効率を両立。木材業界の未来、産業の革新・発展に貢献していく。 ニーズは高まっており、当社にとって大きなビジネスチャンスととらえている。
②集成材・CLTなど環境配慮型製品のニーズ増加
①木材業界のリーディングカンパニーとしての環境配慮製品の拡充・強化
集成材、CLTに対する需要拡大に対応した生産量拡大に伴う、製造、保管、運送
集成材、CLTのパイオニアであり、木材産業のリーディングカンパニーとして、環境に
等のバリューチェーンで、効率化を推進することによりコスト削減を図り、即納体制により
配慮した木造建築を住宅、非住宅の分野へ浸透させ、産業全体の振興を官民一
売上を拡大をすることができる。
体となって推進。新工場によって短尺・多品種製品の生産力増強と新規商品投入。
③官民一体の国内林業振興策の推進機運
②大規模非住宅分野での販売強化 官民一体となった国内林業振興策と軌を一にしたCLT需要創出を推進する。
木造建築における新境地を切り開き、低層、中層に加え、高層、大規模非住宅
の分野で、果敢に挑戦を続ける。
内発的動機
③効率化ノウハウを全社に浸透し、業界の革新をリード
• 当社の歴代の代表はそれぞれの時代において常に大きな環境変化にさらされてきな
集成材・CLTのトップメーカーとして、新工場を起点とした市場拡大、革新をリードし、
がらも、新規事業の展開によって経営危機を乗り越え、今日まで経営のバトンを繋い
そのノウハウを全社に浸透させ生産性を向上。RC構造に匹敵する強度、耐火性、
できた。こうした背景から、現社長の経営への強い想いは、「仕事は自分でやるもので
工期短縮、国産材の使用促進を図り、我が国の林業の振興発展に貢献する。
なくお客様にやらせて頂く」という考えである。時代に合った会社の方向感を間違えず
④バイオマス事業など、環境配慮と地域貢献の事業推進 に戦略を描いていけば、お客様に何とか仕事を続けさせて頂けるという考えのもとで、
木材加工工程で生じた木くず、端材を活用したバイオマス発電事業により、自社動 当社代表は常に10年先の業界を見越した経営を行っている。
力の確保のみならず、売電事業を拡大しエコシステムを強化。地域貢献に資する。 ①生産効率化の更なる改善
生産性効率を極限まで高めることにより、まだまだ成長と改善の余地がある。
売上成長目標 ②環境配慮型・短尺多品種製品の需要増加
最新の省力化・検品技術を活かした新工場への大規模投資を成長ドライバとし、 住宅の小型化・平屋化に伴う短尺製品の需要増加に対応した、短尺製品の効率
2029年度までに以下の成長目標を達成する。 的製造。 工程の効率化だけでなく、資源循環のエコシステムの強化も必要。
• 会社全体の売上高 436億円 ③新倉庫建設に伴う土地の遊休化
• 会社全体の売上高増加額 133億円 新倉庫による機能移転で旧倉庫スペースが遊休化、本社工場の最適化が必要。
• 会社全体の売上高成長率 44.1％ 会社全体の付加価値額 75.5億円 ④成長分野への人材再配置が困難
バイオマスやCLT事業など成長分野へ人材配置するには工場の全体最適化が必須。
当社の沿革・特徴
当社は1923年中島材木店として創業、1970年に銘建工業株式会社に社名変更、現在では売上高約300億円、従業員数355名（2023年12月期実績）、製材業か
ら出発し、集成材事業への新規進出での市場創出を図り、木くずの有効活用を図るバイオマス事業の展開、CLT事業の創出等、新たな挑戦を続けることにより社会に貢献、
木材業界のトップメーカーを担うまで成長することができた。今後も木材業界のリーディングカンパニーとして、環境配慮型製品の拡充を図り、売上高436億円を目指していく。</t>
  </si>
  <si>
    <t>【p.2】
銘建工業株式会社
2.補助事業の概要
住宅の小型化に対応した集成材の需要獲得のため、新・短尺多品種工場を立ち上げ。蓄積したノウハウを既存工場へ
転用し全社の生産効率の最適化を図り、木材の副産物をバイオマス事業へ転用して全事業での業績向上を図る。
補助事業の • 既存工場では生産設計に合わない短尺・多品種製品の加工により、負荷が増大。メイン工程で主要 事業費 62億円
背景・目的 製品を減産調整せざるを得ない。短尺・多品種に適した生産拠点により全社の生産最適化を図りたい。 （補助額） （20億円）
• 最新の省力化・検品機能を備えた「新・短尺多品種工場」によって生産の最適化と生産量の最大化を
実現し、顧客内シェアの拡大を通じて、需要が高まる住宅向け小型商材での売上を拡大。
• 新工場では既存小断面工場の48%の人員、20%のリフト数で運用できる高効率な運用を実現。こ
の効率的な運用ノウハウを既存工場にも反映し、全社での大幅な生産性の向上と賃上げ促進を図る。
①工場建物費25億円 ②工場内 製造ライン設備 39億円 1 新工場建屋
2 製造ライン
3 板削モルダー
設備投資の 4 仕上モルダー
5 仕上げ検品カメラ
内容
6 集塵装置
7 自動走行ラック
8 接着剤設備
9 ラベル張り機
10 作業足場
11 安全対策費
12 フォークリフト
13 電気設備
14 暖房設備
15 エアー配管
16 インクジェット
17 インサイジング
18 フィンガージョイント
項目 2026年度（基準年度） 2029年度（基準年度＋３年後）
労働生産性
1,554 1,911（年平均上昇率＋7.1％）
（単位：万円/人）
従業員1人あたり給与支給総額
目標値 558 646（年平均上昇率＋5.0％）
（単位：万円/人）
役員１人あたり給与支給総額
1,061 1,229（年平均上昇率＋5.0％）
（単位：万円/人）
補助事業に係る従業員数
379 390
（単位：人）</t>
  </si>
  <si>
    <t>株式会社大真空
１.長期成長ビジョン
独自開発のArkh.3Gを軸に、横並びのコスト競争から技術力重視の経営へ転換します。持続的な成長を実現し、
顧客との共創関係を構築することで、社会に不可欠な水晶デバイスの安定供給・環境対応を実現します。</t>
  </si>
  <si>
    <t>長期成長ビジョン（目指す姿・ビジネスモデル）
•
水晶デバイスの高周波化という技術的ニーズの変化や市場規模の急
激な拡大を好機と捉え、高周波化と生産性の向上に対し有効な
Arkh.3Gと呼ぶ新製品を開発した
↓
•
従来の身を削るコスト競争から脱却し、技術力により性能優位性や
コスト競争力を向上させる経営に変える
↓
•
業績の向上により、研究開発投資と社員の所得向上を両立させるこ
とで、人材に対する訴求力を高め、技術力と人的資本の持続的な
成長を実現する
↓
•
高い技術力を背景に、顧客にとって重要な共創パートナーとなること
で顧客が抱える潜在的なニーズをより早く発掘し、そのニーズに対する
タイムリーな製品開発を行うという循環を構築する
•
安定供給に対応するための増産と、CO2排出量の削減の環境対応
という相反する課題を、技術力で解決し企業として成長し続ける</t>
  </si>
  <si>
    <t>外発的動機
•
当社が担う水晶デバイスは、半導体とセットで使用される電子部品
であり、社会の発展に必要不可欠なキーデバイスと位置づけられる
•
業界内では長らくイノベーションが起きず、価格競争により中国企業
のシェアが拡大する傾向が継続してきた
•
5GやAIの普及に伴った通信の高速化、大容量化により、水晶デバ
イスに求められる性能が高度化（高周波化）してきた。これにより
業界内の競争環境が大きく変化する過渡期となっている
•
今後の旺盛な需要拡大に対し、安定的な供給と環境対応の両立
が必要</t>
  </si>
  <si>
    <t>内発的動機
•
製品や製造の差別化が進まないなかで、海外メーカーとの長年に渡
る価格競争が繰り広げられ、人材と財務面で疲弊してきた
•
特徴ある製品が生み出されないことで、顧客に対する交渉力が弱く、
また顧客側も新しい価値を生み出すための共創を水晶デバイスメー
カーに求めなくなっていた</t>
  </si>
  <si>
    <t>【p.1／売上成長目標】
売上成長目標（単体）
•
2030年3月期までに 会社全体の売上高成長率86％
•
2030年3月期までに 会社全体の売上高増加額370億円
売上成長目標（連結）
•
2030年3月期までに グループ全体の売上高成長率72％
•
2030年3月期までに グループ全体の売上高増加額380億円
※基準年（2027年3月期）と比較して算出しています</t>
  </si>
  <si>
    <t>【p.1】
株式会社大真空
１.長期成長ビジョン
独自開発のArkh.3Gを軸に、横並びのコスト競争から技術力重視の経営へ転換します。持続的な成長を実現し、
顧客との共創関係を構築することで、社会に不可欠な水晶デバイスの安定供給・環境対応を実現します。
長期成長ビジョン（目指す姿・ビジネスモデル） 外発的動機
• 水晶デバイスの高周波化という技術的ニーズの変化や市場規模の急
• 当社が担う水晶デバイスは、半導体とセットで使用される電子部品
激な拡大を好機と捉え、高周波化と生産性の向上に対し有効な
であり、社会の発展に必要不可欠なキーデバイスと位置づけられる
Arkh.3Gと呼ぶ新製品を開発した
↓
• 従来の身を削るコスト競争から脱却し、技術力により性能優位性や • 業界内では長らくイノベーションが起きず、価格競争により中国企業
のシェアが拡大する傾向が継続してきた
コスト競争力を向上させる経営に変える
↓
• 業績の向上により、研究開発投資と社員の所得向上を両立させるこ • 5GやAIの普及に伴った通信の高速化、大容量化により、水晶デバ
イスに求められる性能が高度化（高周波化）してきた。これにより
とで、人材に対する訴求力を高め、技術力と人的資本の持続的な
業界内の競争環境が大きく変化する過渡期となっている
成長を実現する
↓
• 高い技術力を背景に、顧客にとって重要な共創パートナーとなること • 今後の旺盛な需要拡大に対し、安定的な供給と環境対応の両立
が必要
で顧客が抱える潜在的なニーズをより早く発掘し、そのニーズに対する
タイムリーな製品開発を行うという循環を構築する
• 安定供給に対応するための増産と、CO2排出量の削減の環境対応
という相反する課題を、技術力で解決し企業として成長し続ける
内発的動機
売上成長目標（単体）
• 2030年3月期までに 会社全体の売上高成長率86％ • 製品や製造の差別化が進まないなかで、海外メーカーとの長年に渡
• 2030年3月期までに 会社全体の売上高増加額370億円 る価格競争が繰り広げられ、人材と財務面で疲弊してきた
売上成長目標（連結） • 特徴ある製品が生み出されないことで、顧客に対する交渉力が弱く、
• 2030年3月期までに グループ全体の売上高成長率72％
また顧客側も新しい価値を生み出すための共創を水晶デバイスメー
• 2030年3月期までに グループ全体の売上高増加額380億円
カーに求めなくなっていた
※基準年（2027年3月期）と比較して算出しています</t>
  </si>
  <si>
    <t>【p.2】
株式会社大真空
２.補助事業の概要
高速・大容量通信の需要増加に伴い、高性能かつ低価格な高周波製品の大量供給が必要となっています。
当社は10年をかけて開発したArkh.3Gの量産化でこの需要に応えます。
過去10年に渡り、技術的に汎用化されたボリュームゾーンの需要は中国や台湾メーカーの旺盛な
増産投資により賄われてきた。しかし、通信の高速化、大容量化に伴い、「高度な技術（高周
補助事業の 事業費 79億円
波）が求められる製品」が低価格且つ大量に供給される必要性へと社会的ニーズが変わってきた。
背景・目的 （補助額） （26億円）
このニーズを解決するべく約10年に渡り開発してきたArkh.3Gを省スペースで大規模に量産化して
いくことが、現在当社に求められる社会的な責務となっている。
【従来の工程】
◆フォトリソグラフィ関連装置
概要 ：水晶ウエハに外形形成や電極形成を行う工程
主要装置 ：露光機、エッチング装置、スパッタリング装置、レジスト塗布装置、洗浄装置等
◆Arkh.3G アセンブリ関連装置
概要 ：フォトリソグラフィにて加工した3枚の水晶ウエハを接合して、個片化する工程
【Arkh.3G工程】
主要装置 ：周波数調整装置、接合装置、ダイシング装置、気密検査装置等
設備投資の
◆Arkh.3Gを組み込んだ発振器組立関連装置
内容
概要 ：セラミックパッケージにArkh.3GとICを実装して、封止を行う工程
主要装置 ：FCB装置、搭載機、シーム機、電気的特性検査装置
ウエハ加工 個片化
【労働生産性向上のポイント】
個片化された水晶に対し電極を形成し、一つずつセラミックパッケージに搭載していく従来工法に対し、全てウエハ単位で加工してから
個片化する製品設計を水晶デバイスとしては初めて実現したことから、生産性が大きく向上した
2027年3月期 2030年3月期
項目
（基準年度） （基準年度＋３年後）
労働生産性 11,703
8,275
（単位：万円/人） （年平均上昇率＋12.2％）
従業員1人あたり給与支給総額 929
目標値 791
（単位：万円/人） （年平均上昇率＋5.5％）
役員１人あたり給与支給総額 -
-
（単位：万円/人） （年平均上昇率＋-％）
補助事業に係る従業員数
30 110
（単位：人）</t>
  </si>
  <si>
    <t>1.⾧期成⾧ビジョン
サトウ食品株式会社
「パックごはん=サトウのごはん」という圧倒的No.1ブランド確立へ
「これからも、もっとおいしく。」を⾧期ビジョンに次世代生産ラインを構築し、市場を牽引する</t>
  </si>
  <si>
    <t>⾧期成⾧ビジョン（目指す姿・ビジネスモデル）
【社是】
われわれは 誠実と責任とを以って 日々努力を重ね
より品質を高めて 消費者の 信頼に応えよう</t>
  </si>
  <si>
    <t>外発的動機
• 主力のパックごはん市場は2019年789億円から2023年958億円と成⾧
市場にある。
• 要因として、少子高齢化や共働き、タイムパフォーマンス重視の生活スタイル
の浸透により手軽で適量調理可能なパックごはん需要の高まりがある。
• 記録的な大雨災害や大地震への備えとして、災害時の非常食としても提供
機会が増加
• 上述のような需要増加局面にありながらも、パックごはん消費量は精米消費
量の4%(推計)に留まっている。つまり、需要のピークはまだまだ先にあるため、
将来的には倍以上へ成⾧する潜在性を有した市場である。
• 現状の供給力では拡大する市場・需要への応対が困難。
• 大規模な成⾧投資を実施し、生産能力の大幅引き上げが業界シェアトップ
堅持するには必要不可欠。地域雇用やサプライチェーンにも波及効果をもた
らす。</t>
  </si>
  <si>
    <t>内発的動機
• 無菌包装米飯(パックごはん)を日本で初めて開発。以降、味わいや利便性、
非常食として高い評価を受け、コアユーザーを獲得。
• 日本古来のおいしいごはんの炊き方としてこだわりの生産方式「厚釜ガス直火
炊き製法」により、味・品質において他社と差別化。「パックごはん=サトウのご
はん」という認知を得ている。
• 10年前と比較して当社売上高・生産量は約2倍に引き上げている。
• しかし、近年は当社予想を大幅に上回る需要増大局面にあり、生産能力が
逼迫。さらなる生産量増強の必要性がある。
• そのため、当社にとって過去最大規模となる総工費80億円の設備投資を行
い、次世代米飯生産ラインを開発。バリューチェーン強化を図り、サプライ
チェーン全体での高い経済波及効果を実現。</t>
  </si>
  <si>
    <t>【p.2／2027年度】
2027年度
項目
（基準年度）</t>
  </si>
  <si>
    <t>【p.1】
1.⾧期成⾧ビジョン
サトウ食品株式会社
「パックごはん=サトウのごはん」という圧倒的No.1ブランド確立へ
「これからも、もっとおいしく。」を⾧期ビジョンに次世代生産ラインを構築し、市場を牽引する
⾧期成⾧ビジョン（目指す姿・ビジネスモデル） 外発的動機
• 主力のパックごはん市場は2019年789億円から2023年958億円と成⾧
市場にある。
• 要因として、少子高齢化や共働き、タイムパフォーマンス重視の生活スタイル
の浸透により手軽で適量調理可能なパックごはん需要の高まりがある。
• 記録的な大雨災害や大地震への備えとして、災害時の非常食としても提供
機会が増加
• 上述のような需要増加局面にありながらも、パックごはん消費量は精米消費
量の4%(推計)に留まっている。つまり、需要のピークはまだまだ先にあるため、
将来的には倍以上へ成⾧する潜在性を有した市場である。
• 現状の供給力では拡大する市場・需要への応対が困難。
• 大規模な成⾧投資を実施し、生産能力の大幅引き上げが業界シェアトップ
堅持するには必要不可欠。地域雇用やサプライチェーンにも波及効果をもた
らす。
内発的動機
• 無菌包装米飯(パックごはん)を日本で初めて開発。以降、味わいや利便性、
非常食として高い評価を受け、コアユーザーを獲得。
• 日本古来のおいしいごはんの炊き方としてこだわりの生産方式「厚釜ガス直火
炊き製法」により、味・品質において他社と差別化。「パックごはん=サトウのご
はん」という認知を得ている。
• 10年前と比較して当社売上高・生産量は約2倍に引き上げている。
• しかし、近年は当社予想を大幅に上回る需要増大局面にあり、生産能力が
逼迫。さらなる生産量増強の必要性がある。
【社是】
• そのため、当社にとって過去最大規模となる総工費80億円の設備投資を行
われわれは 誠実と責任とを以って 日々努力を重ね い、次世代米飯生産ラインを開発。バリューチェーン強化を図り、サプライ
より品質を高めて 消費者の 信頼に応えよう チェーン全体での高い経済波及効果を実現。</t>
  </si>
  <si>
    <t>【p.2】
サトウ食品株式会社
2.補助事業の概要
⾧期的な需要増加と労働人口減少を見込み、大規模な自動化・省人化設備による次世代型新工場を建設。
高水準の労働生産性・給与支給額を実現し、地方都市におけるロールモデルへ飛躍を遂げる。
⾧期トレンドでパックごはん需要が増加しており、大規模増産が不可避の状況。
補助事業の 一方で、生産労働人口の減少による人手不足という課題に直面。 事業費 96億円
背景・目的 競合他社に先駆けて自動化・省力化設備導入により、競争力及び労働生産性を向上させ （補助額） （27億円）
ステークホルダー一体となった持続的な成⾧を図る。
設備投資一覧
新工場 イメージ
項目 内容(必要理由) 金額
自動化・省力化設備・自動倉庫など工場内設備
機械装置費 4,829,100千円
(生産ライン高効率化・製造コスト削減に必要)
建物主体工事・電気設備工事等
建物費 3,175,560千円
設備投資の (自動化・省力化を実現する新工場建設。事業拡大に必要)
内容 設計管理費・エンジニアリング費用
外注費 62,430千円
(効率的な製造ライン構築に必要)
合計 8,067,090千円
【課題解決】
• 従来ライン日産10万食→日産20万食 と2倍の生産が可能となる
所 在 地:新潟県北蒲原郡聖籠町東港5丁目 626 番23 ほか
• 聖籠第1工場には流通倉庫がなく、製造と物流が分離。補助事業では、自動倉庫を
敷地面積:92,583 ㎡
導入し、商品在庫の増減に柔軟に対応が可能で労働生産性が飛躍的に向上。
• 検査装置/生産監視/清掃自動化が実現し、次世代型工場として大幅な省力化
2027年度 2030年度
項目
（基準年度） （基準年度＋３年後）
労働生産性 4,247万円/人
3,059万円/人
（単位:万円/人） （年平均上昇率＋11.6％）
目標値 従業員1人あたり給与支給総額 881万円/人
740万円/人
（単位:万円/人） （年平均上昇率＋6.0％）
役員１人あたり給与支給総額 ‐ ‐
（単位:万円/人） ※補助事業に関わる役員は判定が困難なため、未設定。 ※補助事業に関わる役員は判定が困難なため、未設定。
補助事業に係る従業員数
158人 171人
（単位:人）
※ 2027年度=2027年4月期、2030年度=2030年4月期として算出</t>
  </si>
  <si>
    <t>進工業株式会社
1.長期成長ビジョン
今後も薄膜チップ抵抗器（※）を深耕し、精度や品質に対する厳しい要求が求められる車載・民生用電子機器・計測機器・
医療機器・航空・宇宙を重点分野として、日本でのプレゼンスを維持しつつ中国や東南アジアをはじめとする成長性の高い海外
市場への拡販を強化する方針</t>
  </si>
  <si>
    <t>長期成長ビジョン（目指す姿・ビジネスモデル）
電子機器類の小型・高性能・ハイパワー化をうけ、耐環境性・長期信頼性の高い、
高精度・高品質なチップ型抵抗器のニーズは伸びており、当社はこのニーズに応える
製品を提供していく</t>
  </si>
  <si>
    <t>外発的動機
• 車載および産業機器分野では自動車のEV化加速や制御システムの搭載
増加、自動化のニーズは今後も大きく高まるとされており、よりハイパワーに
対応できる薄膜チップ抵抗器の需要が増加
• 計測機器・医療機器分野ではの高度化に伴い、微小電流や電圧を高精
度測定や低ノイズ・省電力の需要が増加。
• 民生用電子機器分野では、多機能化・内部構造のバッテリーが占める容
量の増加から、小型、薄型基板へ高密度部品実装密度や省電力の要
求が高まり、さらに小型の薄膜チップ抵抗器の需要が増加
• 宇宙Wi-Fiネットワークや次世代Wi-Fiによる高速通信網の技術革新はこ
れからも進むとみられ、高周波化に対応できる薄膜チップ抵抗器を実装し
た高周波部品の需要が高まっており、将来的な需要も見込まれる</t>
  </si>
  <si>
    <t>内発的動機
• 薄膜チップ抵抗器の分野において、当社は知名度が高く、薄膜形成、回
路設計技術等のノウハウも保有している。グローバルでの顧客層を一定程
度つかんでいる（薄膜チップ抵抗器として世界シェアトップクラス）
• 車載、産業機器、計量計測機器、民生用電子機器、航空宇宙分野等
幅広い分野に対応している
• 売上の拡大に対する取り組みに対し、技術開発・生産技術・省力化・IT
等の技術者が不足していると感じることがある
• 自動化、省電力化技術の導入が遅れている。
• 高周波製品で必要な回路、アプリケーション情報等へのアプローチや技術
力の不足
• 60年に亘り、抵抗器の品質向上を追い求めてきたが、急激な売上の拡大
に対し、モノ・情報含め、全体的に管理面・マネージメント力が弱いと感じる</t>
  </si>
  <si>
    <t>【p.1／売上成長目標】
売上成長目標
・2022年度～2027年度までの売上高成長率102.3％
・2022年度～2027年度までの売上高成長額10,038百万円</t>
  </si>
  <si>
    <t>【p.1】
進工業株式会社
1.長期成長ビジョン
今後も薄膜チップ抵抗器（※）を深耕し、精度や品質に対する厳しい要求が求められる車載・民生用電子機器・計測機器・
医療機器・航空・宇宙を重点分野として、日本でのプレゼンスを維持しつつ中国や東南アジアをはじめとする成長性の高い海外
市場への拡販を強化する方針
長期成長ビジョン（目指す姿・ビジネスモデル）
外発的動機
• 車載および産業機器分野では自動車のEV化加速や制御システムの搭載
増加、自動化のニーズは今後も大きく高まるとされており、よりハイパワーに
対応できる薄膜チップ抵抗器の需要が増加
• 計測機器・医療機器分野ではの高度化に伴い、微小電流や電圧を高精
度測定や低ノイズ・省電力の需要が増加。
• 民生用電子機器分野では、多機能化・内部構造のバッテリーが占める容
量の増加から、小型、薄型基板へ高密度部品実装密度や省電力の要
求が高まり、さらに小型の薄膜チップ抵抗器の需要が増加
• 宇宙Wi-Fiネットワークや次世代Wi-Fiによる高速通信網の技術革新はこ
れからも進むとみられ、高周波化に対応できる薄膜チップ抵抗器を実装し
た高周波部品の需要が高まっており、将来的な需要も見込まれる
内発的動機
• 薄膜チップ抵抗器の分野において、当社は知名度が高く、薄膜形成、回
路設計技術等のノウハウも保有している。グローバルでの顧客層を一定程
電子機器類の小型・高性能・ハイパワー化をうけ、耐環境性・長期信頼性の高い、
高精度・高品質なチップ型抵抗器のニーズは伸びており、当社はこのニーズに応える 度つかんでいる（薄膜チップ抵抗器として世界シェアトップクラス）
製品を提供していく • 車載、産業機器、計量計測機器、民生用電子機器、航空宇宙分野等
幅広い分野に対応している
売上成長目標
• 売上の拡大に対する取り組みに対し、技術開発・生産技術・省力化・IT
等の技術者が不足していると感じることがある
・2022年度～2027年度までの売上高成長率102.3％ • 自動化、省電力化技術の導入が遅れている。
• 高周波製品で必要な回路、アプリケーション情報等へのアプローチや技術
・2022年度～2027年度までの売上高成長額10,038百万円 力の不足
• 60年に亘り、抵抗器の品質向上を追い求めてきたが、急激な売上の拡大
に対し、モノ・情報含め、全体的に管理面・マネージメント力が弱いと感じる
※薄膜チップ抵抗器：半導体等に流れる電流・電圧の動作を調整する素子
（電子部品）</t>
  </si>
  <si>
    <t>【p.2】
進工業株式会社
.補助事業の概要
(cid:21)
ユーザーが必要とする電流・電圧を高い精度で安定的に作動させる薄膜チップ抵抗器の能力増強・性能向上・省力化投資を行
い、売上の大幅増加と労働生産性の向上を達成し、持続的かつ大幅な賃上げと付加価値の増加を図るともに、我が国のあらゆ
る産業分野の成長や地域の活性化に貢献する（当社品質×投資＝性能向上・生産性向上・賃上げ・地域貢献）
• あらゆる電気電子機器の基本部品として成長する薄膜チップ抵抗器市場や顧客の増産要求に
事業費 億円
応えるため最新設備で性能向上・能力増強・省力化投資が急務 (cid:28)(cid:23)
（補助額） （29億円）
補助事業の • 2023年度に新工場を建設し、2024年度以降設備投資を実施する
背景・目的 • 省人化投資による生産性向上と増産に伴う売り上げ増加分の賃金への分配（賃上げ）により、 2024年4月に竣工した新棟
従業員の生活の質の向上をはかる
• 2024年4月に増産用に建屋（約6千㎡）が竣工（約47億円を投資）し、スペースは確保済
当該補助事業の投資で増産等を実現させる
薄膜生成 微細フォトエッチング
設備投資内容 設備（ライン）構成 省力化（従来比）
着膜工程（新棟）ライン一式 薄膜生成設備（スパッタリング）・検査
前工程（新棟）ライン一式 微細フォト，エッチング，プラズマ反応，検査 2.5倍
前工程（既存棟）ライン一式 微細フォト，エッチング，プラズマ反応，検査
設備投資の
後工程（既存棟）ライン一式 トリミング，スクライビング，極小チップ
1.3倍 写真等
内容
高槻電器工業生産ライン一式 トリミング，スクライビング，極小チップ
マイクロレーザー 高密度パッケージ
2026年度 2029年度
項目
（基準年度） （基準年度＋３年後）
労働生産性 4,187（1.7２倍）
（単位：万円/人） 2,439 （年平均上昇率＋１９．７８％）
目標値 従業員1人あたり給与支給総額
580
（単位：万円/人） 497 （年平均上昇率＋５.３４％）
役員１人あたり給与支給総額
-
-
（単位：万円/人） （年平均上昇率＋5.00％）
補助事業に係る従業員数
213 222
（単位：人）</t>
  </si>
  <si>
    <t>株式会社光製作所
1.長期成長ビジョン
企業理念『「コト」からはじめて「幸せナンバーワン」を創る』のもと、従業員が考え協力することで自社にしかない強
みを生み出すことで、新しいことへチャレンジをし、企業・従業員・取引先・地域全体が幸せになることを目指す。</t>
  </si>
  <si>
    <t>長期成長ビジョン（目指す姿・ビジネスモデル）
【目指す姿】
• 製缶プレス業から創業して以来、溶接・機械加工と一貫生産の可
能な会社を構築してきた。時代の流れの中、大阪から滋賀県へ拠
点を移し、売上高も増やしてきた。モノづくり産業で、「コト」からはじ
めて「幸せナンバーワン」を創る。企業理念のもと会社成長を目指
している。
• 人が考えモノを作ることが当社の強みであり厚物溶接に関する知
見・技術力は高いものがある。今後は、自動化を進め、安定した
品質を提供することにプラス技術力を組み合わせることで当社にし
かできないモノづくりを目指す。
【ビジネスモデル】
• 現在は、カットされた鉄板を仕入、溶接・機械加工して製品化して
いる。大型の部品を組み合わせたユニット生産は取引先の基準を
クリアした品質を担保できる技術力を持っている。
• 今後は、付加価値として短納期化を目指し、カット工程の内製化
を行う。当社の強みである加工の提案力を生かして、新規事業分
野へチャレンジをする。また、労働力不足の問題を解決するため、
ロボット・設備機器との協働化を行い生産性の向上へ繋げる。</t>
  </si>
  <si>
    <t>外発的動機
• 産業機械・建設機械産業での当社の競合としては、国内であれば
数社しかない状況であり、新規参入は業界的にほぼ無いに等しい
業界である。周りの競合の中でも、継承問題、M&amp;Aや事業の縮小
や撤退もあり衰退してきている。
• 産業機械産業では、部品は中国で製造し国内で組み立てを行っ
ていたが、中国有事のリスク管理の元、国内での部品調達に移行
している。
• 雇用環境は大きく変わり、以前よりの残業をして収入を増やすよりも
働き方改革の元、自分らしく生活することに重点が置かれている。
• 働きがいのある企業には、優秀な人材が集まるようになっている。
• 産業の領域として産業車両・建設車両を中心に行ってきたが、今
後の成長性が見込まれる農業機械・林業機械を新規分野として
進出することで、幅広い産業での事業構築を考えている。</t>
  </si>
  <si>
    <t>内発的動機
• メーカ企業の増産による外作化、 BCPを考慮しての2社購買、米
中関係でのメーカ企業の生産回帰のトレンドの要因により引き合い
が増えている。しかし、それらは引合案件規模が大きく、単なる人員
増や設備増だけでは、受注にならないケースが散見してきた。メーカ
元も弊社で受けきれなければ、計画を断念するとまで言われたケー
スもあった。
• 引合案件を受注に結びつけるには、工場の増強を計画しなければ
継続的な成長には困難であり、ロボット・設備機器との協働化によ
り生産性を向上させることが、当社の最大の課題である。
• 3年前に経験豊富な生産技術の人材を採用し、繰り返し作業の
撲滅への取り組みとしてのロボット化・設備化を推進し一定の成果
を得ている。事務業務もデジタル化を推進中。</t>
  </si>
  <si>
    <t>【p.1／売上成長目標】
売上成長目標
• 2029年までの会社全体の売上高成長率272％
• 2029年までの会社全体の売上高増加額26億円
【p.2／補助事業実施後】
補助事業実施後
新工場
機 溶 品 最
鉄 カ 納 組 販
械 接 質 終
ッ
加 加 確 製
板 ト 品 立 売
自動 工 化 工 認 自動化 品
一元管理</t>
  </si>
  <si>
    <t>【p.1】
株式会社光製作所
1.長期成長ビジョン
企業理念『「コト」からはじめて「幸せナンバーワン」を創る』のもと、従業員が考え協力することで自社にしかない強
みを生み出すことで、新しいことへチャレンジをし、企業・従業員・取引先・地域全体が幸せになることを目指す。
長期成長ビジョン（目指す姿・ビジネスモデル） 外発的動機
• 産業機械・建設機械産業での当社の競合としては、国内であれば
【目指す姿】
数社しかない状況であり、新規参入は業界的にほぼ無いに等しい
• 製缶プレス業から創業して以来、溶接・機械加工と一貫生産の可 業界である。周りの競合の中でも、継承問題、M&amp;Aや事業の縮小
能な会社を構築してきた。時代の流れの中、大阪から滋賀県へ拠 や撤退もあり衰退してきている。
点を移し、売上高も増やしてきた。モノづくり産業で、「コト」からはじ • 産業機械産業では、部品は中国で製造し国内で組み立てを行っ
めて「幸せナンバーワン」を創る。企業理念のもと会社成長を目指 ていたが、中国有事のリスク管理の元、国内での部品調達に移行
している。 している。
• 人が考えモノを作ることが当社の強みであり厚物溶接に関する知 • 雇用環境は大きく変わり、以前よりの残業をして収入を増やすよりも
見・技術力は高いものがある。今後は、自動化を進め、安定した 働き方改革の元、自分らしく生活することに重点が置かれている。
品質を提供することにプラス技術力を組み合わせることで当社にし • 働きがいのある企業には、優秀な人材が集まるようになっている。
かできないモノづくりを目指す。 • 産業の領域として産業車両・建設車両を中心に行ってきたが、今
後の成長性が見込まれる農業機械・林業機械を新規分野として
【ビジネスモデル】 進出することで、幅広い産業での事業構築を考えている。
• 現在は、カットされた鉄板を仕入、溶接・機械加工して製品化して
内発的動機
いる。大型の部品を組み合わせたユニット生産は取引先の基準を
クリアした品質を担保できる技術力を持っている。 • メーカ企業の増産による外作化、 BCPを考慮しての2社購買、米
中関係でのメーカ企業の生産回帰のトレンドの要因により引き合い
• 今後は、付加価値として短納期化を目指し、カット工程の内製化
が増えている。しかし、それらは引合案件規模が大きく、単なる人員
を行う。当社の強みである加工の提案力を生かして、新規事業分
増や設備増だけでは、受注にならないケースが散見してきた。メーカ
野へチャレンジをする。また、労働力不足の問題を解決するため、
元も弊社で受けきれなければ、計画を断念するとまで言われたケー
ロボット・設備機器との協働化を行い生産性の向上へ繋げる。
スもあった。
• 引合案件を受注に結びつけるには、工場の増強を計画しなければ
継続的な成長には困難であり、ロボット・設備機器との協働化によ
売上成長目標
り生産性を向上させることが、当社の最大の課題である。
• 2029年までの会社全体の売上高成長率272％
• 3年前に経験豊富な生産技術の人材を採用し、繰り返し作業の
• 2029年までの会社全体の売上高増加額26億円
撲滅への取り組みとしてのロボット化・設備化を推進し一定の成果
を得ている。事務業務もデジタル化を推進中。</t>
  </si>
  <si>
    <t>【p.2】
株式会社光製作所
.補助事業の概要
2
製造工程の自動化を図ると共に川上工程の内製化により、短納期化の実現と収益力のアップを目指す。
また、情報管理を一元で行うことで、管理費用を削減し労働生産性の向上を目指す。
補助事業の • 市場ニーズが手作業の高い技術力から自動化による安定品質・リードタイム短縮に変化している。 事業費 1 億円
7
背景・目的 • 生産管理から製造、納品までのDX化により収益力をアップさせ新分野へ進出を図る。 （補助額） （5. 億円）
2
【設備投資内容】
①レーザー切断機の新規導入 ②溶接ロボットの導入 現在の商流
既存事業
③自動倉庫システムの導入 ④基幹システムの導入
⑤工場の建設 機 溶 品 最
鉄 カ 納 組 販
【当社の課題】 ッ 械 接 質 終
加 加 確 製
・リードタイムの短縮 板 ト 工 工 認 品 立 品 売
・収益力向上ための付加価値アップ
材料 納品
【解決策】 工程管理
調達 管理
設備投資の ・レーザー切断機の導入により材料納品が、発注から3週間から3日へ
内容 短縮ができる。
補助事業実施後
・溶接ロボットの導入により安定した品質で、工数の短縮を図り付加価値
新工場
アップとリードタイムの短縮が可能となる。
・自動倉庫システムの導入により、製品種類が増加しても人員は現状維 機 溶 品 最
鉄 カ 械 接 質 納 組 終 販
持を行うことができ、付加価値向上につながる。 ッ
加 加 確 製
・基幹システムの導入で材料調達から工程管理、納品管理まで一括で 板 ト 自動工化 工 認 自 品 動化 立 品 売
行うことができ、付加価値向上につながる。
・上記を実行するために、新しい工場を建設して収益力の高い製品の 一元管理
製造を行い、売上・利益を増加させ企業の成長を目指す。
2026年10月期 2029年10月期
項目
（基準年度） （基準年度＋３年後）
（単
労
位
働
：
生
万
産
円
性
/人）
678
（年平均上
8
昇
5
率
2
＋7.9％）
目標値
従業員1人あたり給与支給総額
436
499
（単位：万円/人） （年平均上昇率＋4.6％）
役員１人あたり給与支給総額 -
-
（単位：万円/人） （年平均上昇率＋0％）
補助事業に係る従業員数
22 77
（単位：人）</t>
  </si>
  <si>
    <t>昭和産業株式会社
1.長期成長ビジョン
プレキャスト工法の鉄筋コンクリート部材専用の金網・鉄筋加工品を効率的に生産する体制を確立、
事業規模を大幅に拡大させ、お客様および社員の満足向上と社会問題解決に貢献する！</t>
  </si>
  <si>
    <t>長期成長ビジョン（目指す姿・ビジネスモデル）
【5年後のビジョン】 （本補助金で実施する範囲）
本体会社にて、プレキャスト鉄筋コンクリート向け金網、鉄筋の効率
的生産体制を確立。当社近隣にプレキャスト床製作工場を建設予
定の大手ゼネコン1社に対し、評定を獲得した当社製品を供給する。
また、プレキャストの柱を製作する複数のプレキャストメーカーに対して、
当社製品を拡販する。主に首都圏マンション建設需要の取り込みを
図り、売上を拡大していく。
【10年後のビジョン】 （将来的に実施する範囲）
建設業界におけるプレキャスト工法の普及進展に伴い、プレキャスト
専用金網、鉄筋の生産能力をさらに拡大。上述のプレキャスト工場
を持つゼネコン以外に、プレキャスト工場を持たない大手ゼネコンにも
間接的に販路を拡大していく。グループ会社とコワークし、首都圏以
外の需要の取り込みを図る。</t>
  </si>
  <si>
    <t>外発的動機
• 高度成長期に建設された建物の多くが建て替え時期を迎え、マン
ションをはじめとする建築需要は堅調に推移
• 少子高齢化を背景とした建設作業者不足
• 働き方改革関連法施行による、建設作業者の労働時間の制約
（建設業の2024年問題）
• 上記を背景に、現場作業者の工数を大幅に低減できるプレキャス
ト工法を採用する建設業者が増加。大手ゼネコン1社が、当社近
隣にて新たにプレキャスト工場建設を計画。当社にプレキャスト専
用の金網、トラス筋の供給を依頼。
• プレキャスト用途以外の一般的な鉄線、鉄筋は、競合他社との差
別化を図る余地は少なく、利益率が低下傾向。</t>
  </si>
  <si>
    <t>内発的動機
• 経営理念「お客様満足の向上」の実践：顧客にとってより高い価
値をもつ製品を製造したい！
• 経営理念「社員満足の追求」の実践：日本国内のより多くの建造
物に当社製品を採用してもらうことで、従業員に「地図に残る仕事」
のやりがいと誇りを感じさせたい！
• 女性活躍の機会を与えたい！
• 生まれ育った地域で生活したいと考える若者に就労機会を与えた
い！
• 生産キャパシティが逼迫、より多くの製品を届けるために要増産</t>
  </si>
  <si>
    <t>【p.1／売上成長目標】
売上成長目標
• 2030年4月期までに会社全体の売上高成長率：＋81％
• 2030年4月期までに会社全体の売上高増加額：＋86億円
【p.2／材料鉄線の表面に付着する異物（スケール）を機械的に除去する】
材料鉄線の表面に付着する異物（スケール）を機械的に除去する</t>
  </si>
  <si>
    <t>【p.1】
昭和産業株式会社
1.長期成長ビジョン
プレキャスト工法の鉄筋コンクリート部材専用の金網・鉄筋加工品を効率的に生産する体制を確立、
事業規模を大幅に拡大させ、お客様および社員の満足向上と社会問題解決に貢献する！
長期成長ビジョン（目指す姿・ビジネスモデル） 外発的動機
【5年後のビジョン】 （本補助金で実施する範囲） • 高度成長期に建設された建物の多くが建て替え時期を迎え、マン
ションをはじめとする建築需要は堅調に推移
本体会社にて、プレキャスト鉄筋コンクリート向け金網、鉄筋の効率
的生産体制を確立。当社近隣にプレキャスト床製作工場を建設予 • 少子高齢化を背景とした建設作業者不足
定の大手ゼネコン1社に対し、評定を獲得した当社製品を供給する。 • 働き方改革関連法施行による、建設作業者の労働時間の制約
（建設業の2024年問題）
また、プレキャストの柱を製作する複数のプレキャストメーカーに対して、
当社製品を拡販する。主に首都圏マンション建設需要の取り込みを • 上記を背景に、現場作業者の工数を大幅に低減できるプレキャス
ト工法を採用する建設業者が増加。大手ゼネコン1社が、当社近
図り、売上を拡大していく。
隣にて新たにプレキャスト工場建設を計画。当社にプレキャスト専
用の金網、トラス筋の供給を依頼。
【10年後のビジョン】 （将来的に実施する範囲）
建設業界におけるプレキャスト工法の普及進展に伴い、プレキャスト • プレキャスト用途以外の一般的な鉄線、鉄筋は、競合他社との差
別化を図る余地は少なく、利益率が低下傾向。
専用金網、鉄筋の生産能力をさらに拡大。上述のプレキャスト工場
を持つゼネコン以外に、プレキャスト工場を持たない大手ゼネコンにも
内発的動機
間接的に販路を拡大していく。グループ会社とコワークし、首都圏以
外の需要の取り込みを図る。 • 経営理念「お客様満足の向上」の実践：顧客にとってより高い価
値をもつ製品を製造したい！
• 経営理念「社員満足の追求」の実践：日本国内のより多くの建造
物に当社製品を採用してもらうことで、従業員に「地図に残る仕事」
売上成長目標
のやりがいと誇りを感じさせたい！
• 2030年4月期までに会社全体の売上高成長率：＋81％
• 女性活躍の機会を与えたい！
• 2030年4月期までに会社全体の売上高増加額：＋86億円
• 生まれ育った地域で生活したいと考える若者に就労機会を与えた
い！
• 生産キャパシティが逼迫、より多くの製品を届けるために要増産</t>
  </si>
  <si>
    <t>【p.2】
昭和産業株式会社
.補助事業の概要
2
本補助事業は当社が今後飛躍的な成長を遂げるための足掛かりとなる事業である。工場を新設するとともに、
最新鋭の設備を導入し、年平均18.6%の大幅な労働生産性向上と年5.0%の賃金アップを実現する。
• 建設業界におけるプレキャスト工法普及拡大のトレンドと、一部大手ゼネコンからの生産要請を
背景に、既存製品の増産を図るとともに、プレキャストコンクリート部材専用の溶接金網、トラ
補助事業の ス筋、フープ筋、主筋製造ラインを新増設する。そのため、茨城県内に新工場を建設し、県内 事業費 2 億円
5
背景・目的 各既存工場を含めたレイアウト変更をしつつ、新たな設備を導入する。単純なライン数増加にと （補助額） （7. 億円）
8
どまらず、効率化・省力化に資する自動化設備の導入も併せて行い、年平均18.6%の生産
性向上と年平均5.0%の大幅な賃金アップを実現する計画である。
投資項目 設置場所 投資額 概要
新工場(茨城)の建設 - 7.1億円 溶接金網製造工程の一部を本社工場から新工場に移設
新工場(茨城)、
メカニカルディスケーラー 0.5億円 材料鉄線の表面に付着する異物（スケール）を機械的に除去する
本社工場（茨城）
金網溶接ライン 本社工場(茨城) 6.8億円 金網溶接の段取時間を大幅に短縮、生産効率を向上させる
設備投資の
内容 トラス機ライン 第一工場(茨城) 3.0億円 トラス筋の生産量アップに対応
鉄筋加工ライン 川島工場(茨城) 3.2億円 切断・曲げ・磨き機のセット。フープ筋の生産量アップに対応
溶接ロボット 川島工場(茨城) 1.5億円 フープ筋の生産量アップに対応するとともに、省力化を図る
鉄筋自動曲げロボット 川島工場(茨城) 1.5億円 主筋の生産に対応
合 計 23.6億円
2026年度 2029年度
項目
（基準年度） （基準年度＋３年後）
（単
労
位
働
：
生
万
産
円
性
/人）
1,588万円/人
（年平
2
均
,6
上
4
昇
7万
率
円
＋
/
1
人
8.6％）
目標値 従業員
（
1
単
人
位
あ
：
た
万
り給
円
与
/人
支
）
給総額 408万円/人
（年平均
47
上
2
昇
万
率
円
＋
/人
5.0％）
役員１人あたり給与支給総額 （補助事業役員なし）
（補助事業役員なし）
（単位：万円/人） （年平均上昇率ー％）
補助事業に係る従業員数
99人 120人
（単位：人）</t>
  </si>
  <si>
    <t>中央紙通商株式会社
1.長期成長ビジョン
これまで培った商社としてのノウハウと、地域に求められる物流機能との融合によって課題解決力を発揮し、紙業
界の発展に貢献する企業グループを目指す。</t>
  </si>
  <si>
    <t>長期成長ビジョン（目指す姿・ビジネスモデル）
◼ グループビジョン：
紙業界の未来に貢献する、紙ソリューション企業グループ
⚫
◼ グループのビジネスモデル：
卸商としてのビジネスを強化発展した、以下2軸によるビジネス
⚫
【問屋・商社機能】
- 紙をメーカーから仕入れ、用途ごとにニーズのある事業者へ
必要な紙種類と分量を卸売
- 市場ニーズ調査や販促提案といった商社的機能を有し、
メーカーと取引先双方に対して情報提供を行う
【物流機能】
- 大規模な物流センターを保有し、製紙メーカーと消費者との
中間物流を担うほか、付随して流通加工も提供
- 地域一の在庫量と流通加工機能、DXによる効率化により
納品リードタイムを短縮し、他社との差別化を実現
中部地方の紙流通に求められる大規模卸商として、
商社機能・物流機能の両面から業界の課題を解決する</t>
  </si>
  <si>
    <t>外発的動機
①産業用紙市場の市場拡大
✓ 新聞用紙等の情報紙市場は縮小しているが、紙器用板紙や段
ボール、紙おむつ等の産業用紙はEC市場の拡大等により伸長
✓ 当社は既に扱い品の軸足を産業用紙に移しており、祖業として
培ったノウハウを活かせる卸商として成長していく
②中間物流に対するニーズ
✓ 前述の業界構造により、紙の流通は非効率的(補足：P12)
✓ 物流2024年問題もあり、物流面において当社を頼りたい旨の
取引先ニーズが近年非常に強い
③紙による環境への貢献
✓ プラスチックによる環境問題が世界的に問題となっており、代替
原材料として紙が見直されている
✓ 当社は卸商として生産・消費両サイドと密接な関係を有する。
双方への市場動向の提供等により、業界として求められる新製
品の開発に貢献していく</t>
  </si>
  <si>
    <t>内発的動機
◼ 当社は創業80年近くを数える老舗紙問屋・商社。紙メーカーの依
頼やお客様のニーズに対応して時代を生き抜いてきた
◼ 今後は紙のニーズもデジタル化の流れにより大きく変化する。しかし、
紙の文化は、人類の文字の歴史にも通じる長く深い関わりがある。
DXの流れに抗うのではなく、取り込んで事業成長を果たし、紙の歴
史を繋いでいきたい
◼ 紙業界で生きる従業員のためにも、自社のビジネスモデルも臨機黄
変に変化させて成長していく</t>
  </si>
  <si>
    <t>【p.1／売上成長目標】
売上成長目標
【連結】（24/3期比）
• 29/3期までの売上高増加額 ：32億円（CAGR4.7％）
【単体】（24/3期比）
• 2030年までの売上高増加額 ：28億円（CAGR4.1％）
【p.2／設備投資の内容】
◼ 設備投資の内容
✓ 既存の2拠点を集約した、新物流センターの建設投資
◼ 設備投資による課題の解消について
【売上・利益の増加】
✓ 本事業により物流センターの在庫許容量は1.5倍、処理能力は既
カーおよび取引先のニーズに応える形での拡販を実施する。
✓ 中部地方における大規模中継拠点を設けることで商圏の拡大が
拓も推進。
✓ また、AIシステムの導入により生産性が改善。人手不足の中でも
となり、売上と利益の伸長を両立する。
【省力化・生産効率向上】
✓ 倉庫管理システム、AIカメラ等の最新設備の導入により、処理量
✓ 在庫量と倉庫稼働の最適化システムも導入し、スペースを有効活
【雇用の促進・業界への貢献】
✓ 本事業により、人的工数を抑えつつも処理能力を増強することが</t>
  </si>
  <si>
    <t>【p.1】
中央紙通商株式会社
1.長期成長ビジョン
これまで培った商社としてのノウハウと、地域に求められる物流機能との融合によって課題解決力を発揮し、紙業
界の発展に貢献する企業グループを目指す。
長期成長ビジョン（目指す姿・ビジネスモデル） 外発的動機
①産業用紙市場の市場拡大
◼ グループビジョン：
✓ 新聞用紙等の情報紙市場は縮小しているが、紙器用板紙や段
紙業界の未来に貢献する、紙ソリューション企業グループ
⚫
ボール、紙おむつ等の産業用紙はEC市場の拡大等により伸長
✓ 当社は既に扱い品の軸足を産業用紙に移しており、祖業として
◼ グループのビジネスモデル：
培ったノウハウを活かせる卸商として成長していく
卸商としてのビジネスを強化発展した、以下2軸によるビジネス
⚫
【問屋・商社機能】
②中間物流に対するニーズ
- 紙をメーカーから仕入れ、用途ごとにニーズのある事業者へ
✓ 前述の業界構造により、紙の流通は非効率的(補足：P12)
必要な紙種類と分量を卸売
✓ 物流2024年問題もあり、物流面において当社を頼りたい旨の
- 市場ニーズ調査や販促提案といった商社的機能を有し、
取引先ニーズが近年非常に強い
メーカーと取引先双方に対して情報提供を行う
【物流機能】
③紙による環境への貢献
- 大規模な物流センターを保有し、製紙メーカーと消費者との
✓ プラスチックによる環境問題が世界的に問題となっており、代替
中間物流を担うほか、付随して流通加工も提供
原材料として紙が見直されている
- 地域一の在庫量と流通加工機能、DXによる効率化により
✓ 当社は卸商として生産・消費両サイドと密接な関係を有する。
納品リードタイムを短縮し、他社との差別化を実現
双方への市場動向の提供等により、業界として求められる新製
品の開発に貢献していく
中部地方の紙流通に求められる大規模卸商として、
商社機能・物流機能の両面から業界の課題を解決する
内発的動機
◼ 当社は創業80年近くを数える老舗紙問屋・商社。紙メーカーの依
売上成長目標 頼やお客様のニーズに対応して時代を生き抜いてきた
【連結】（24/3期比） ◼ 今後は紙のニーズもデジタル化の流れにより大きく変化する。しかし、
紙の文化は、人類の文字の歴史にも通じる長く深い関わりがある。
• 29/3期までの売上高増加額 ：32億円（CAGR4.7％）
DXの流れに抗うのではなく、取り込んで事業成長を果たし、紙の歴
史を繋いでいきたい
【単体】（24/3期比）
• 2030年までの売上高増加額 ：28億円（CAGR4.1％） ◼ 紙業界で生きる従業員のためにも、自社のビジネスモデルも臨機黄
変に変化させて成長していく</t>
  </si>
  <si>
    <t>【p.2】
.補助事業の概要 中央紙通商株式会社
2
物流センターの新設により、取扱量の増加や顧客にとっての利便性向上、生産性の改善を図る。
単なる自社用の物流センターではなく、業界全体の課題解決にも資する大規模投資。
◼ 現状の当社の物流拠点では、狭隘および立地の問題で成長分野である産業用紙・板紙の流通量増
に対応できていない。製紙メーカーや販売先が求める中継拠点としての能力も不十分であり、受注の機
補助事業の 事業費 2 億円
1
会損失が生じている。
背景・目的 （補助額） （ 億円）
◼ 本事業は、物流センターの統合・新設による取扱キャパシティの増加、生産性の向上による収益力の強 2.0
化を目的とする。
◼ 設備投資の内容
✓ 既存の2拠点を集約した、新物流センターの建設投資
◼ 設備投資による課題の解消について
【売上・利益の増加】
✓ 本事業により物流センターの在庫許容量は1.5倍、処理能力は既存比最大2倍となり、製紙メー
カーおよび取引先のニーズに応える形での拡販を実施する。
✓ 中部地方における大規模中継拠点を設けることで商圏の拡大が可能となるため、新規顧客の開
設備投資の 拓も推進。
内容 ✓ また、AIシステムの導入により生産性が改善。人手不足の中でも効率的な運営を行うことが可能
となり、売上と利益の伸長を両立する。
【省力化・生産効率向上】
✓ 倉庫管理システム、AIカメラ等の最新設備の導入により、処理量に対する人的工数削減。
✓ 在庫量と倉庫稼働の最適化システムも導入し、スペースを有効活用するとともに在庫ロスを削減。
【雇用の促進・業界への貢献】
✓ 本事業により、人的工数を抑えつつも処理能力を増強することが可能となる。これにより、従業員
の賃上げを行う。また、作業員の負荷も軽減されるので、離職率低下・雇用促進が期待される。
✓ 中部地方の中継物流拠点として、物流2024年問題の解決にも貢献。
中央紙通商㈱ 中央ペーパーロジ㈱
項目 2025年度（基準年度） 2028年度（基準年度+3年後） 2025年度（基準年度） 2028年度（基準年度+3年後）
労働生産性 1,074万円/人
(年
2
平
,5
均
92
＋
万
3
円
4.
/
2
人
％)
527万円/人
(年
1
平
,0
均
77
＋
万
2
円
6.
/
9
人
％)
目標値 従業員1人あたり 539万円/人 644万円/人 490万円/人 585万円/人
給与支給総額 (年平均＋6.1％) (年平均＋6.1％)
役員1人あたり 1,972万円/人 150万円/人
1,650万円/人 100万円/人
給与支給総額 (年平均＋6.1％) (年平均＋14.5％)
補助事業に係る
35人 36人 31人 34人
従業員数</t>
  </si>
  <si>
    <t>株式会社Ｐｌａｎ・Ｄｏ・Ｓｅｅ琉球
1.長期成長ビジョン
Plan･Do･See琉球は、産業の裾野が広く、生産波及効果や雇用誘発効果が高い観光事業を展開し、県民・観光客・観光
事業者が自然・歴史・文化を尊重し、それぞれの満足度を高め、観光産業の成長と維持を目指し、沖縄を最適に活性化する。</t>
  </si>
  <si>
    <t>長期成長ビジョン（目指す姿・ビジネスモデル）
Plan･Do･See琉球は沖縄の素晴らしい文化・風土・歴史をホテルや観光
を通して、日本・世界の人々に感動の体験を提供し、沖縄のホテル・観光を
牽引し、沖縄の経済を盛り上げて行きます
2023年6月に那覇市内に Southwest Grand Hotelを開業し、那覇市
内には希少な45㎡以上のラグジュアリーな客室、最上階プール、４つのレス
トランを併設したホテルを作りました。富裕層やリゾートを那覇で楽しみたい
ニーズに応えています
2025年冬に那覇市の泊ふ頭で開業予定しています。沖縄在住の個人や
法人からコロナにより前ホテルが撤退しての復活を望む声に応えたい、慶良
間諸島の離島を含めた、沖縄を盛り上げたい、伸びしろが大きいことへを期
待しています
目指す姿として、
Plan･Do･See琉球は那覇を中心に、観光やMICE需要に対応し、那覇
を始めとする沖縄県内に未だ無い役割のホテルや施設運営を行うことで、
「利用したいホテル」となり、また「働いてみたい施設」を目指します
長期的には、
離島の観光事業へ進出し、離島の持続的発展（雇用創出、経済貢献
等）に貢献できるビジネスモデルを構築します
Plan･Do･See琉球はPlan･Do･Seeの一員として、世界中から観光客が
集まる沖縄にて当グループが掲げるビジョンである「日本のおもてなしを世界
中の人々へ」というミッションを具現化します
した長期成長ビジョン
2023-2
STEP：３
2022年
STEP：2 拡大 那覇市に新
Plan・Do・See琉球設立 地域の魅力
沖縄の観光ポテンシャルを高め
持続可能な観光産業を展開
働く環境・
・業界全体
現地労働</t>
  </si>
  <si>
    <t>外発的動機
【観光産業の動向】
・沖縄は歴史的にアジアの流通の中心地であり、世界中からの来琉が多く、国際色豊な
国であり、世界の客人をもてなす文化や風土がある
・沖縄県は、旅行消費単価は全国１位、旅行消費額全国５位(全国平均の３倍以上)
と高い水準(2022観光庁)、述べ宿泊者数は全国４位(2023観光庁)
・沖縄県は観光地としてのみならず、若いカップルの間では｢リゾート婚｣の聖地としても知られ、
ハワイに次ぐ第２位と評され国内外の需要が高い
【社会課題】
・観光産業が活発な沖縄県でありながら、県民1人当たり所得は全国で最下位
(2020内閣府)、人手不足であり、稼いだ収益が地元に還元されない
・当該事業は泊港にあり、慶良間諸島の玄関口となっているが、当該エリアが衰退し、
慶良間諸島含む離島の持続的発展が課題なっている
・沖縄の入域観光客数が増加しているが、観光収入は伸び悩んでいる
【顧客ニーズ】
・当該事業の那覇エリアのホテルは富裕層が求める水準のホテルが少なく、幅広い観光客の
受け皿となっていない</t>
  </si>
  <si>
    <t>内発的動機
【観光産業をけん引する使命感】
・代表者の星野尾憲司は、経営学者かつ日本初の｢観光学部｣(立教大学)設立に
尽力した野田一夫を父にもつPlan･Do･See創業者の野田豊加の影響を受け、
地方創生の観点から国内外の観光サービスを進めてきた
・ Plan･Do･Seeは、長く地域に愛される為地域に馴染む独自のスタイルを展開し同じ物は
ありません。沖縄らしい文化・風土・歴史をホテルや観光を通して、日本・世界の人々に
感動体験を提供する必要があると考えています
【経営者の原体験と動機】
・沖縄の観光産業は、外資系や本土の企業が進出し、このことに違和感を覚え、
沖縄の経済を盛り上げるため、Plan･Do･See琉球を設立した
・既に事業を展開している中で、富裕層やリゾートを那覇で楽しみたいニーズ、
当該事業が位置する泊港エリアの衰退等を懸念している
・泊港は慶良間諸島の玄関口であり、離島の持続的成長にも重要な役割を担うことから、
那覇と慶良間諸島を結び、観光まちづくりを進めていきたいと考えている</t>
  </si>
  <si>
    <t>【p.1／売上成長目標】
売上成長目標
【Plan･Do･See琉球】
・2029年3月期迄に、売上高成長率127％、売上高増加額29億円
【 Plan･Do･See 】
・2029年3月期迄に、売上高成長率104％、売上高増加額40億円
【p.5／Plan・Do・See琉球】
Plan・Do・See琉球
コンソーシアムにおける役割
沖縄のホテル運営会社として、現地の従業員雇用を行い、
ホテル運営を行う
Plan･Do･See琉球で補助事業の投資を行う
コン
課題①
により
設立から間もないため以下項目の成長が課題
・財務
・運営ノウハウ
・人材育成
課題②
今後さらに拡大する以下ニーズに対して
SWGHの施設のみでは受入不可能
・宿泊団体予約（グループ利用）
・MICE/宴会の受入
泊ふ頭
・交通手段・アクティビティとの連携
より
課題③
その他
・現地採用従業員のキャリアフロー拡大
・仕入れコストの圧縮
【p.5／Plan・Do・See】
Plan・Do・See
コンソーシアムにおける役割
Plan･Do･See琉球に足りていない部分を補完する
投資/ホテル開発におけるノウハウ提供/メンバー出向、等
【シナジー効果】
・Plan･Do･Seeのビジョン具現を加速させる
・新しい土地での事業参考となる
ム
決
課題①解決案
本事業はPlan･Do･Seeとコンソーシアムを組むことで
財務や人材育成の課題を解決
・Plan･Do･Seeが保証
・Plan･Do･See従業員の派遣/出向
【p.5／泊ふ頭ホテル開発】
泊ふ頭ホテル開発
課題②解決案
・バンケットセースル
発に ・ホテル間での送客活動
決 （レストラン・バンケット・客室の相互相関）
・交通手段のセットプラン
課題③解決案
・新しいポジション/役割の創出
・スケールメリット
【p.6／泊ふ頭ターミナル含む地域概要】
泊ふ頭ターミナル含む地域概要
■ 沖縄本島から慶良間（けらま）諸島をはじめとする離島へのフェリーや高速船の発着ターミナル
■ 那覇空港から近く国道58号線沿いに位置し、観光客に加え、離島に暮らす島民にとっても重要
な交通施設
■ ターミナル施設の大部分を占めるホテルは2021年10月末で閉館、以降活用が無く、価値低迷
■ 花空港から車・ゆいレールの両方で短時間でアクセスでき、有名観光地も徒歩圏内で楽しむこと
ができる
■ 既存施設SouthWestGrandHotelと泊ふ頭ホテルは近距離に位置している</t>
  </si>
  <si>
    <t>【p.1】
株式会社Ｐｌａｎ・Ｄｏ・Ｓｅｅ琉球
1.長期成長ビジョン
Plan･Do･See琉球は、産業の裾野が広く、生産波及効果や雇用誘発効果が高い観光事業を展開し、県民・観光客・観光
事業者が自然・歴史・文化を尊重し、それぞれの満足度を高め、観光産業の成長と維持を目指し、沖縄を最適に活性化する。
長期成長ビジョン（目指す姿・ビジネスモデル） 外発的動機
【観光産業の動向】
Plan･Do･See琉球は沖縄の素晴らしい文化・風土・歴史をホテルや観光 ・沖縄は歴史的にアジアの流通の中心地であり、世界中からの来琉が多く、国際色豊な
を通して、日本・世界の人々に感動の体験を提供し、沖縄のホテル・観光を 国であり、世界の客人をもてなす文化や風土がある
牽引し、沖縄の経済を盛り上げて行きます ・沖縄県は、旅行消費単価は全国１位、旅行消費額全国５位(全国平均の３倍以上)
と高い水準(2022観光庁)、述べ宿泊者数は全国４位(2023観光庁)
2023年6月に那覇市内に Southwest Grand Hotelを開業し、那覇市 ・沖縄県は観光地としてのみならず、若いカップルの間では｢リゾート婚｣の聖地としても知られ、
内には希少な45㎡以上のラグジュアリーな客室、最上階プール、４つのレス ハワイに次ぐ第２位と評され国内外の需要が高い
トランを併設したホテルを作りました。富裕層やリゾートを那覇で楽しみたい 【社会課題】
ニーズに応えています ・観光産業が活発な沖縄県でありながら、県民1人当たり所得は全国で最下位
(2020内閣府)、人手不足であり、稼いだ収益が地元に還元されない
2025年冬に那覇市の泊ふ頭で開業予定しています。沖縄在住の個人や
・当該事業は泊港にあり、慶良間諸島の玄関口となっているが、当該エリアが衰退し、
法人からコロナにより前ホテルが撤退しての復活を望む声に応えたい、慶良 慶良間諸島含む離島の持続的発展が課題なっている
間諸島の離島を含めた、沖縄を盛り上げたい、伸びしろが大きいことへを期 ・沖縄の入域観光客数が増加しているが、観光収入は伸び悩んでいる
待しています 【顧客ニーズ】
・当該事業の那覇エリアのホテルは富裕層が求める水準のホテルが少なく、幅広い観光客の
目指す姿として、 受け皿となっていない
Plan･Do･See琉球は那覇を中心に、観光やMICE需要に対応し、那覇
を始めとする沖縄県内に未だ無い役割のホテルや施設運営を行うことで、
内発的動機
「利用したいホテル」となり、また「働いてみたい施設」を目指します
長期的には、 【観光産業をけん引する使命感】
・代表者の星野尾憲司は、経営学者かつ日本初の｢観光学部｣(立教大学)設立に
離島の観光事業へ進出し、離島の持続的発展（雇用創出、経済貢献
尽力した野田一夫を父にもつPlan･Do･See創業者の野田豊加の影響を受け、
等）に貢献できるビジネスモデルを構築します
地方創生の観点から国内外の観光サービスを進めてきた
Plan･Do･See琉球はPlan･Do･Seeの一員として、世界中から観光客が
・ Plan･Do･Seeは、長く地域に愛される為地域に馴染む独自のスタイルを展開し同じ物は
集まる沖縄にて当グループが掲げるビジョンである「日本のおもてなしを世界
ありません。沖縄らしい文化・風土・歴史をホテルや観光を通して、日本・世界の人々に
中の人々へ」というミッションを具現化します
感動体験を提供する必要があると考えています
【経営者の原体験と動機】
売上成長目標 ・沖縄の観光産業は、外資系や本土の企業が進出し、このことに違和感を覚え、
【Plan･Do･See琉球】 沖縄の経済を盛り上げるため、Plan･Do･See琉球を設立した
・2029年3月期迄に、売上高成長率127％、売上高増加額29億円 ・既に事業を展開している中で、富裕層やリゾートを那覇で楽しみたいニーズ、
【 Plan･Do･See 】 当該事業が位置する泊港エリアの衰退等を懸念している
・2029年3月期迄に、売上高成長率104％、売上高増加額40億円 ・泊港は慶良間諸島の玄関口であり、離島の持続的成長にも重要な役割を担うことから、
那覇と慶良間諸島を結び、観光まちづくりを進めていきたいと考えている
【p.2】
株式会社Ｐｌａｎ・Ｄｏ・Ｓｅｅ琉球
1.長期成長ビジョン
持続可能な発展を目指し、長期的には沖縄の地方・離島も含めた地方創生のモデル構築が実現できるよう
地域に根差した事業展開を行う。
2027-2030年
地方創生まで見越した長期成長ビジョン
STEP：4 飛躍
2023-2026年
展開加速・より地域に根付く創造企業へ
STEP：３ 挑戦
地方再生のモデルプランとなるまちづくりを
2022年
STEP：2 拡大 那覇市に新業態のホテルを展開
Plan・Do・See琉球設立 地域の魅力を再発見する企業に
1993年
働く環境・制度
STEP：1 出発
沖縄の観光ポテンシャルを高め ・前STEPまでのシステム改革投資の効果から
Plan・Do・See設立
持続可能な観光産業を展開 労働生産性向上による継続的な賃上げ
・沖縄本島と離島を含め、柔軟な働き方が
働く環境・制度
国内外で唯一無二の
可能な仕組み作り
・業界全体の人出不足を解消しつつ
持続可能な事業展開
現地労働者の雇用を拡大するため
働く環境・制度
DX化の積極的推進
・沖縄の価値を沖縄の人で創る為 事業展開
ビジョン・行動方針 現地労働者の積極的採用実施 ・沖縄本土でリゾートホテル開業予定
・日本のおもてなしを世界中の ・多様な働き方制度の設立 ・石垣島でリゾートホテル開業予定
事業展開
人々へ
・Southwest Grand
・徹底的な顧客目線
Hotel 開業
事業展開方針
・(仮称)泊ふ頭ホテル
沖縄にまだない事業領域を展開
事業展開方針 開業予定
事業展開方針
国内地方 宿泊
リゾート
未開発 都市に重点を ホテル 特化型 沖縄観光業の高級化リードと持続可能な観
領域 おけない ホテル 事業展開方針 光業の発展を続けるために、離島においての
国内外の 事業 沖縄県の観光方針に基づき、那覇市 観光ホテル事業整備を展開
シティ
大規模都市を 領域 ホテル 旅館 内の滞在日数増加や、観光客増加に 長期的に地方創生のビジネスモデルを
世界各地 メインに展開 未開発
伴う慶良間諸島玄関口の整備、MICE 構築していく
に重点を 領域
おけない 未開発分野を開拓することで 等ビジネスの拠点となる施設展開
Plan・Do・See全体の事業拡大に貢献</t>
  </si>
  <si>
    <t>【p.3】
株式会社Ｐｌａｎ・Ｄｏ・Ｓｅｅ琉球
2.補助事業の概要
既存物件の再活用により投資額を抑えながら、MICEを扱う大型ホテルを新規出店することで大量調理等による効率化、
高収益化をかなえつつ、他社が扱わないノウハウ、それを持った人材を沖縄県で育てることにより人手不足で供給不足に
なっている沖縄高級ホテルのマネジメント事業に展開していく。
• ホテル業界は専業化、効率化でコモディティ化して収益性を下げている。それが低待遇につながり人材育成を
補助事業の 阻んで、深刻な人材不足に陥っている 事業費 39億円
背景・目的 • MICEができる大型運営で効率化と人材育成を同時にできる。それによって事業の次への成長を可能にする （補助額） （4.2億円）
※MICEとは国土交通省が誘致を推進している、会議や見本市など経済波及効果の大きい集客交流が見込まれるビジネスイベントなどの総称
• 築30年以上、営業終了後3年以上経過しているホテル跡地（那覇市の泊ふ頭に
隣接する地下1階地上15階建てのビル）をリノベーション、MICEを開催できるフル
サービス型のホテルに再生する
• すでにある建築物を活かして再利用するため、相対的には昨今の高建築費において
の全体投資額は抑えられる
• リノベーションによって実績をあげてきたPlan・Do・Seeの知見を最大に活かせる
設備投資の
主なリノベーションの内容は下記の通り。個別の経費については次頁参照
内容
＊ 内装工事(建物費)：客室(218室計画)、宴会場6会場(最大1,200名収容)
レストラン(ビュッフェスタイル・１箇所)、大浴場等
＊ 労働生産性を高めるための器具及び備品の購入(機械装置費)
＊ 高付加価値、省人力化を行うためのシステム構築や設備機器投資
（ソフトウェア費）
2026年3月期 2029年3月期
2026年3月期幹事企業 2029年3月期幹事企業 2026年3月期参加企業 2029年3月期参加企業
項目 事業全体 事業全体
Plan・Do・See琉球 Plan・Do・See琉球 Plan・Do・See Plan・Do・See
（基準年度） （基準年度＋３年後）
労働生産性 1440万円 1464万円 1266万円
123万円 75万円 550万円
（単位：万円/人） 年平均 127％UP 年平均 170％UP 年平均 32％UP
従業員1人あたり
436万円 402万円 679万円
目標値 給与支給総額 352万円 335万円 500万円
年平均 7.4％UP 年平均 6.3％UP 年平均 11％ UP
（単位：万円/人）
役員１人あたり
1200万円 1200万円
給与支給総額 360万 360万円 ー ー
年平均 49%UP 年平均 49%UP
（単位：万円/人）
補助事業に係る
130名 114名 16名
従業員数 78名 70名 8名
年平均 19%UP 年平均 18%UP 年平均 26％UP
（単位：人）
【p.4】
株式会社Ｐｌａｎ・Ｄｏ・Ｓｅｅ琉球
2.補助事業の概要
沖縄ホテル事業の付加価値を総合的に上げるため、延床面積約5,400坪のフルサービス型ホテルの再建を
はじめ直面している課題に対して、効果的な投資を行い経営効率を最大化する。
補助対象経費の内訳
区分 内訳 経費の概算 意図
（総額）
建物費 共通仮設工事 1.2億円 延床面積約5,400坪の旧ホテ
（36.9億円） 建築工事 17.0億円 ルを再建するため、必要なポイン
電気設備工事 5.9億円 トを絞り建築工事・設備工事を
機械設備工事 10.1億円 行うことで、「ライフスタイルホテ
設計管理費 1.5億円 ル」にリノベーションする
その他付帯工事 1.2億円
機械設置費 厨房機器 2.2億円 Plan･Do･Seeが過去30年で
（13.1億円） ホテル家具 4.5億円 培ったノウハウを基に、「効率性」
特注照明 1.5億円 「デザイン性」を兼ね備えた機器
館内装飾物 1.2億円 やアイテムを選定し、経営効率
ホテル・レストラン・宴会場備品 2.6億円 を最大化する
ホテル業務運営用システム備品 0.6億円
その他 0.5億円
ソフトウェア費 WEBサイト構築 1,904万円 効果的なPRとゲストの利便性
（2,634万円） ホテル業務運営用システム 420万円 を重視する観点でシステム構築
その他 310万円 を行う
外注費 グラフィックデザイン 1,215万円 特殊専門分野に関しては、社
（2,085万円） IT構築委託 720万円 外リソースで課題解決を行う
サウナデザイン委託 150万円
合計 50.5億円
（補助金額16.8億円）
【p.5】
株式会社Ｐｌａｎ・Ｄｏ・Ｓｅｅ琉球
2.補助事業の概要
Plan・Do・See琉球には財務/人材育成の内部課題解決、加えてニーズ拡大への対応が急務。
Plan・Do・Seeとコンソーシアムを組み、泊ふ頭ホテルの開発をすることで双方の問題を解決。
Plan･Do･See琉球とPlan･Do･Seeは補助事業において両者が必要不可欠な役割を担う為、コンソーシアム形式で申請いたします
Plan・Do・See琉球 Plan・Do・See
コンソーシアムにおける役割 コンソーシアムにおける役割
沖縄のホテル運営会社として、現地の従業員雇用を行い、 Plan･Do･See琉球に足りていない部分を補完する
ホテル運営を行う 投資/ホテル開発におけるノウハウ提供/メンバー出向、等
Plan･Do･See琉球で補助事業の投資を行う
【シナジー効果】
・Plan･Do･Seeのビジョン具現を加速させる
・新しい土地での事業参考となる
コンソーシアム
課題①
により課題解決 課題①解決案
設立から間もないため以下項目の成長が課題
本事業はPlan･Do･Seeとコンソーシアムを組むことで
・財務
財務や人材育成の課題を解決
・運営ノウハウ
・Plan･Do･Seeが保証
・人材育成
・Plan･Do･See従業員の派遣/出向
課題②
泊ふ頭ホテル開発
今後さらに拡大する以下ニーズに対して
SWGHの施設のみでは受入不可能
課題②解決案
・宿泊団体予約（グループ利用）
・バンケットセースル
・MICE/宴会の受入
泊ふ頭ホテル開発に ・ホテル間での送客活動
・交通手段・アクティビティとの連携
より課題解決 （レストラン・バンケット・客室の相互相関）
・交通手段のセットプラン
課題③
その他
課題③解決案
・現地採用従業員のキャリアフロー拡大
・仕入れコストの圧縮 ・新しいポジション/役割の創出
・スケールメリット
【p.6】
株式会社Ｐｌａｎ・Ｄｏ・Ｓｅｅ琉球
2.補助事業の概要
慶良間諸島への玄関口である泊ふ頭ターミナルは那覇空港の滑走路増設を機にさらに利用者の
増加が見込める。既存施設とも近距離にあり、連携した開発・運営が可能。
泊ふ頭ターミナル含む地域概要
(仮称)
泊ふ頭ホテル
■ 沖縄本島から慶良間（けらま）諸島をはじめとする離島へのフェリーや高速船の発着ターミナル
■ 那覇空港から近く国道58号線沿いに位置し、観光客に加え、離島に暮らす島民にとっても重要
SouthWest
な交通施設 GrandHotel
■ ターミナル施設の大部分を占めるホテルは2021年10月末で閉館、以降活用が無く、価値低迷
■ 花空港から車・ゆいレールの両方で短時間でアクセスでき、有名観光地も徒歩圏内で楽しむこと
ができる
■ 既存施設SouthWestGrandHotelと泊ふ頭ホテルは近距離に位置している
那覇
空港
補助事業周辺地域図
AS‐IS TO‐BE
改善が見込める点 実践する点
1. 泊ふ頭ターミナル施設全体が 1. 老朽化を改善しながら既存建物を改修する
1995年竣工のため、老朽化
2. 周辺ホテルとの差別化を図り改修する残すべき
2. 周辺は宿泊特化型ホテルはあるが 用途を保つことで既存客も親しみが持ちやすい
ホテルの多様性が少ない地域
3. 客室以外に宴会,多目的室・婚礼会場・
3. ターミナルにはビジネスマンの利用も レストラン等設け利用客層の増加
想定されるが、大規模な会議を行う
場やリモートワークできる場所がない 4. 「泊ふ頭ホテル」が営業再開することで年間約
45.3万人施設訪問者が創出され、「SWGH」
含め観光流入が期待できる
（MICE12.4万人 / レストラン 16.4万人 /
宿泊16.5万人）
【p.7】
株式会社Ｐｌａｎ・Ｄｏ・Ｓｅｅ琉球
2.補助事業の概要
既存建物の資源を最大限に利用し、新たな付加価値を見出す。
1つの空間に対して、1つ以上の役割を持たせる設計をすることで、地域・社会・地球環境への貢献を行う。
建築予定エリアとその役割
泊ふ頭ホテル 泊ふ頭ホテル 泊ふ頭ホテル
バンケット レストラン 浴場
婚礼の宴会場や、企業の集会など幅広い用途 景観がよい海側に面した眺めの良いエリアに 浴場文化が少ない沖縄において、沖縄の観光
で利用が可能 レストランを設ける 文化の新たな1面を創出する
Southwest Grand
【地域への貢献】 【地域への貢献】
Hotelバンケット新設
・県内最大級のバンケットは、音響・映像演出 ・旧ホテル時代から地元ゲストに親しまれてきた
機材への設備投資をおこなうことで、利用者の 交流の場を、内装デザインは一新させ、役割
総合的なニーズを満たす としては継承する
・厨房機器を一新し、多様なスタイルでイベント （沖縄の文化「模合」に貢献）
を開催できる体制を整える ・離島と本島の往復の拠点となる当施設にて
・内装仕上げ材料には沖縄地域の伝統工芸 多様なニーズに合わせて使用できるレストラン・
品を使用予定、地域の伝統工芸継承を促す カフェとして営業する
【地球環境への貢献】 【社会への貢献】
・積極的にリサイクル材やアップサイクル材を採用 ・離島住民にとって、一番近いフルサービス 大型運営で効率化と人材育成を加速させるた
することで、地球環境に負荷のかからない ホテルとして存在し続ける めにSWGHの非効率エリアを使用してバンケット
設計・施工・運営を目指す ・高波や台風、その他自然災害等有事の際に、 運営をおこない、泊ふ頭ホテルとの相互送客を
開放できる空間として設計 実現させる</t>
  </si>
  <si>
    <t>さいほく鉄工株式会社
1.長期成長ビジョン
さいほく鉄工株式会社は、建築資材製造における技術革新と市場拡大を通じて持続可能な事業運営を実現し、
国内での競争力を強化、2023年6月期から10年間で売上高3.5倍を目指します。</t>
  </si>
  <si>
    <t>長期成長ビジョン（目指す姿・ビジネスモデル）
• さいほく鉄工株式会社は、山形県新庄市にあり鉄骨加工・製造業を営ん
でいます。主に民間の工場や公共施設の建築資材用鉄骨の製造加工・
販売を行っている会社です。2024年度6月期で61期を迎えました。
• 当社は「地域の建設産業を支える」「地域貢献」「人材の育成」を理念とし、
工場・機械設備の新設を通して生産効率を向上させ、外部環境の変化
に対応し得る強固な企業体制を築きます。これにより、地域経済を活性
化し、持続可能な事業経営を実現します。
地域産業を支える
地域の建
設産業を
支える
地域貢献 人材育成
持続可能 第一線で
な経営を実 活躍できる
現し地域に 技術者を
貢献する 育てる</t>
  </si>
  <si>
    <t>外発的動機
• 当社の事業は鉄骨製造業界に属します。当該市場の指標となる国
内鉄骨需要量は、2023年は前年比９・4％減の391万450ｔとな
るなど、大規模建築物における鉄骨需要が全体の需要量を押し下げ
る要因となる一方、法規制に伴う耐震強化やコロナ禍以降の景気の
回復によって建設業界の需要は今後増加の見通しであり、また世界の
鉄骨需要は2030年まで年4.5％の成長を続けると予測されています。
• 一方、業界全体では、円安やウクライナ情勢による原材料の高騰、法
規制の影響で人件費の上昇やコスト増加により競争が激化しています。
その中で、当社は顧客の信頼に応える短納期、高品質、適正価格を
実現し、2024年度6月期の着地予想は前年度対比138％の売上
増を達成しています。</t>
  </si>
  <si>
    <t>内発的動機
• 当社は今期で創業から61年を迎えます。コロナ禍の厳しい状況を乗り
越え、地元企業との信頼関係を基盤に、3期連続で売上および受注
数は前年を上回っています。しかし、現状の工場稼働力では対応しき
れないほどの注文を頂いており、顧客ニーズに応えるためには工場の拡
張および機械設備の導入が不可欠です。
• 新工場の建設により、外注製品の内製化が可能となり、利益率と品
質が向上します。また、最新設備の導入と、新しい工法の採用により、
生産性が15％～20％向上し、2～4年で50％の改善を目指します。
さらに、工場新設によってレイアウトが最適化され、移動効率の向上が
見込まれます。結果として手待ち時間が減少し、稼働率が上がります。
これにより、労働環境が改善され、人材育成にも寄与します。</t>
  </si>
  <si>
    <t>【p.1／売上成長目標】
売上成長目標
• 2033年までに会社全体の売上高成長率
単体350.38％/ 連結349.69％
• 2033年までに会社全体の売上高増加額
単体56.9億円/連結58.4億円</t>
  </si>
  <si>
    <t>【p.1】
さいほく鉄工株式会社
1.長期成長ビジョン
さいほく鉄工株式会社は、建築資材製造における技術革新と市場拡大を通じて持続可能な事業運営を実現し、
国内での競争力を強化、2023年6月期から10年間で売上高3.5倍を目指します。
長期成長ビジョン（目指す姿・ビジネスモデル） 外発的動機
• 当社の事業は鉄骨製造業界に属します。当該市場の指標となる国
• さいほく鉄工株式会社は、山形県新庄市にあり鉄骨加工・製造業を営ん
内鉄骨需要量は、2023年は前年比９・4％減の391万450ｔとな
でいます。主に民間の工場や公共施設の建築資材用鉄骨の製造加工・
るなど、大規模建築物における鉄骨需要が全体の需要量を押し下げ
販売を行っている会社です。2024年度6月期で61期を迎えました。
る要因となる一方、法規制に伴う耐震強化やコロナ禍以降の景気の
回復によって建設業界の需要は今後増加の見通しであり、また世界の
• 当社は「地域の建設産業を支える」「地域貢献」「人材の育成」を理念とし、
鉄骨需要は2030年まで年4.5％の成長を続けると予測されています。
工場・機械設備の新設を通して生産効率を向上させ、外部環境の変化
に対応し得る強固な企業体制を築きます。これにより、地域経済を活性
• 一方、業界全体では、円安やウクライナ情勢による原材料の高騰、法
化し、持続可能な事業経営を実現します。
規制の影響で人件費の上昇やコスト増加により競争が激化しています。
地域産業を支える その中で、当社は顧客の信頼に応える短納期、高品質、適正価格を
実現し、2024年度6月期の着地予想は前年度対比138％の売上
地域の建
増を達成しています。
設産業を
地域貢献 支える 人材育成
内発的動機
• 当社は今期で創業から61年を迎えます。コロナ禍の厳しい状況を乗り
持続可能 第一線で 越え、地元企業との信頼関係を基盤に、3期連続で売上および受注
な経営を実 活躍できる 数は前年を上回っています。しかし、現状の工場稼働力では対応しき
現し地域に 技術者を れないほどの注文を頂いており、顧客ニーズに応えるためには工場の拡
貢献する 育てる 張および機械設備の導入が不可欠です。
• 新工場の建設により、外注製品の内製化が可能となり、利益率と品
売上成長目標
質が向上します。また、最新設備の導入と、新しい工法の採用により、
• 2033年までに会社全体の売上高成長率 生産性が15％～20％向上し、2～4年で50％の改善を目指します。
単体350.38％/ 連結349.69％ さらに、工場新設によってレイアウトが最適化され、移動効率の向上が
• 2033年までに会社全体の売上高増加額 見込まれます。結果として手待ち時間が減少し、稼働率が上がります。
単体56.9億円/連結58.4億円 これにより、労働環境が改善され、人材育成にも寄与します。
出典:Lucintel「鉄骨加工の動向と予測」（2024年）
国土交通省「建築着工統計」（2024年）</t>
  </si>
  <si>
    <t>【p.2】
.補助事業の概要 さいほく鉄工株式会社
2
生産能力が上がることによる受注規模の拡大、効率化による利益率と製品品質の向上の為、新工場の建設と最新設備
導入を計画します。これにより労働生産性25.4％、従業員1人当りの給与支給額5.6％の上昇を目指します。
• 生産設備の近代化を通じて生産能力、生産効率の向上とコスト削減を実現し、新工場の性能評価
補助事業の 事業費
のグレードをMからHへ上げ、自社での受注範囲を拡大すると共に、利益率と品質向上を実現し、競 2 5 億円
背景・目的 （補助額）
争力強化を図る。併せて新たな機械・工法を導入し、コスト面とCO２排出量の削減を目指す。 （ 3.0 億円）
• 事業費 ①工場建屋：2,364百万円（税抜）
②機械設備： 122百万円（税抜） 新工場レイアウト図
概要 ①工場建屋 所在地:山形県新庄市十日町(現工場隣接地)
分譲面積： 6,562.1㎡ (土地 13,148.16㎡ )
②機械設備： アマダＨ型鋼複合加工機 1台
2階
• 事業内容
これまで外注していたＨグレードを含む製品を、工場の新設により内製化、製造能
力を高めて受注規模を拡大する。また新しい機械を導入し新たな工法（ハイスキップ
設備投資の 1階
構法・狭開先溶接法）を取り入れることで溶接量の大幅な削減が可能となり、生産
内容
効率の向上とCO2排出削減を実現する。更に、現在の従業員数41名を51名に増
員し、新規雇用を創出、併せて自社の事業の成長により地域経済への貢献を図る。
• 事業の成果
コスト面の訴求効果：新たな機械の導入と加工技術により、15～20％の効率化を
実現する。工場新設後～4年間で全体の50％の削減を目指す。
納期と出荷量の訴求効果：工場の生産能力向上により、製造できる資材の量が月
産250ｔから800ｔと3倍以上となり、結果、製造力向上と納期の大幅な短縮が可
能となる。
基準年度：2026年6月期（2025年度） 最終年度：2029年度6月期（2028年度）
項目 幹事企業 コンソーシアム参加者 幹事企業 コンソーシアム参加者
（さいほく鉄工㈱） （小松物産交易㈱） （さいほく鉄工㈱） （小松物産交易㈱）
（単 労 位 働 ： 生 万 産 円 性 /人） 2338 1974 （年平均上 3 昇 09 率 3 +9.8％） （年平均上 2 昇 47 率 5 +7.8％）
目標値
従業員・役
（
員
単位
1
：
人
万
あた
円
り
/
給
人
与
）
支給総額 従業
役
員
員
1
1
人
人
あ
あ
た
た
り
り
6
-
40 従業
役
員
員
1
1
人
人
あ
あ
た
た
り
り
2
-
47
（年
従
平
業 役
均
員 員
上
1 1 人 人
昇
あ あ
率
た た
＋
り り
5 .
7 -
3
4
％
7
） （年
従
平
業 役
均
員 員
上
1 1 人 人
昇
あ あ
率
た た
＋
り り
5.
2 -
0
8
％
6
）
補助事業に係る従業員数・役員数
従業員数 32 ・ 役員数 3 従業員数 6 ・ 役員数 1 従業員数 45 ・ 役員数 3 従業員数 6 ・ 役員数 1
（単位：人）</t>
  </si>
  <si>
    <t>株式会社XEN GROUP
1.長期成長ビジョン
特許を取得した世界初の「冷蔵」でも「冷凍」でもない「熱交換保存」で、グローバルでの”フードロス問題”から”労
働生産性”の社会課題解決を目指し、会社全体で22年度→29年度で308％の売上成長を目標とする</t>
  </si>
  <si>
    <t>長期成長ビジョン（目指す姿・ビジネスモデル）
XEN GROUPが開発した「常識を変える食品保存技術」は、フード
ロス・エネルギーロスの削減、人手不足にも貢献し、グローバル規模
でフードサプライチェーンの多くの課題解決を行う。 また、本事業を
通じて、自社製品製造の労働生産性の大幅改善が可能となる自
動化工場を設立し、量産体制を確立、海外への販路拡大にも繋げ
ていく
【提供価値】
• 一次生産者にて発生するフードロス（廃棄ロス/品質ロス/大量
に収穫できた際の売上や売上機会損失減）の解消
• 食品保存にかかるエネルギー消費の大幅削減
• 品質劣化・職人の有無に捉われることなく、計画生産、計画出荷
が可能（労働環境の改善）
• 食品保存に使用する保存料などの化学的なものの排除により、
人々の健康寿命の向上に寄与
• 食材の品質、鮮度を落とさずに長期保存ができるため、有事の際
の食料確保及び食料廃棄を削減し、食料自給率の向上に寄与
• 食品輸送時の品質劣化軽減、輸送コスト削減
• 日本産農林水産物・食品の輸出機会を増幅させ、外貨獲得増</t>
  </si>
  <si>
    <t>外発的動機
• 食糧危機は喫緊の課題であり、食品ロスは世界で25億トン
（WFF2021年）、日本で523万トン(令和3年度農林水産省
推計値）とのデータがある。今後より一層、CO２削減と同様に削
減が求められる
• 国内特殊冷凍技術市場規模は、直近約3兆円※であり、今後の
成長が見込まれる。市場に流通している保存技術は真に保存する
ことはできず、食品自体の劣化を完全に止めることが出来ないだ
けでなく、大量のエネルギーを使用することが課題として認識される
• 廃棄ロス/品質ロス/売上機会損失減/労働生産性向上のモデルを
作ることにある。その為にはサプライチェーンそれぞれに対応できる機
械・システムの開発と実用化が必要
• 食料自給率の低い日本で、漁業、農業従事者が様々な理由で
廃棄している食品を収益化すると同時に自給率の向上を図りたい</t>
  </si>
  <si>
    <t>内発的動機
• 食品事業部発足後初の大型受注でつくり上げた豆腐成型機がお
客さんの都合で納品できなくなった。「それならこれで豆腐をつくって
売ろう」。2016年に豆腐製造工場を立ち上げ、一日に10万丁の
豆腐をつくるまでに成長したが、おからの廃棄問題に直面。当社は
SDGsの考えを経営の軸に据えていることもあり、解決策を模索した
• さらに産業廃棄物で腐敗の早いおからを乾燥させる機械まで開発し
たが、アップサイクルを提唱しても、顧客は「捨てた方が楽だ」というこ
とを目の当たりにして、違う角度で廃棄食材の減量化を模索。フー
ドロスを大幅に削減する為には、もっと上流でフードロスの原因の
ひとつである劣化を防ぐことが出来れば、と考え食品の品質保持
技術の開発に着手した</t>
  </si>
  <si>
    <t>【p.1／売上成長目標】
売上成長目標
会社全体
• 2022年度→2029年度まで売上高成長率308％
• 2022年度→2029年度までの売上高増加額82億円
補助事業
• 2022年度→2029年度まで売上高成長率3600％
• 2022年度→2029年度までの売上高増加額64億円</t>
  </si>
  <si>
    <t>【p.1】
株式会社XEN GROUP
1.長期成長ビジョン
特許を取得した世界初の「冷蔵」でも「冷凍」でもない「熱交換保存」で、グローバルでの”フードロス問題”から”労
働生産性”の社会課題解決を目指し、会社全体で22年度→29年度で308％の売上成長を目標とする
外発的動機
長期成長ビジョン（目指す姿・ビジネスモデル）
• 食糧危機は喫緊の課題であり、食品ロスは世界で25億トン
XEN GROUPが開発した「常識を変える食品保存技術」は、フード
（WFF2021年）、日本で523万トン(令和3年度農林水産省
ロス・エネルギーロスの削減、人手不足にも貢献し、グローバル規模
推計値）とのデータがある。今後より一層、CO２削減と同様に削
でフードサプライチェーンの多くの課題解決を行う。 また、本事業を
減が求められる
通じて、自社製品製造の労働生産性の大幅改善が可能となる自 • 国内特殊冷凍技術市場規模は、直近約3兆円※であり、今後の
動化工場を設立し、量産体制を確立、海外への販路拡大にも繋げ
成長が見込まれる。市場に流通している保存技術は真に保存する
ていく
ことはできず、食品自体の劣化を完全に止めることが出来ないだ
【提供価値】
けでなく、大量のエネルギーを使用することが課題として認識される
• 一次生産者にて発生するフードロス（廃棄ロス/品質ロス/大量 • 廃棄ロス/品質ロス/売上機会損失減/労働生産性向上のモデルを
に収穫できた際の売上や売上機会損失減）の解消
作ることにある。その為にはサプライチェーンそれぞれに対応できる機
• 食品保存にかかるエネルギー消費の大幅削減
械・システムの開発と実用化が必要
• 品質劣化・職人の有無に捉われることなく、計画生産、計画出荷 • 食料自給率の低い日本で、漁業、農業従事者が様々な理由で
が可能（労働環境の改善）
廃棄している食品を収益化すると同時に自給率の向上を図りたい
• 食品保存に使用する保存料などの化学的なものの排除により、
人々の健康寿命の向上に寄与 内発的動機
• 食材の品質、鮮度を落とさずに長期保存ができるため、有事の際 • 食品事業部発足後初の大型受注でつくり上げた豆腐成型機がお
の食料確保及び食料廃棄を削減し、食料自給率の向上に寄与 客さんの都合で納品できなくなった。「それならこれで豆腐をつくって
• 食品輸送時の品質劣化軽減、輸送コスト削減 売ろう」。2016年に豆腐製造工場を立ち上げ、一日に10万丁の
• 日本産農林水産物・食品の輸出機会を増幅させ、外貨獲得増 豆腐をつくるまでに成長したが、おからの廃棄問題に直面。当社は
SDGsの考えを経営の軸に据えていることもあり、解決策を模索した
売上成長目標 • さらに産業廃棄物で腐敗の早いおからを乾燥させる機械まで開発し
会社全体
たが、アップサイクルを提唱しても、顧客は「捨てた方が楽だ」というこ
• 2022年度→2029年度まで売上高成長率308％
とを目の当たりにして、違う角度で廃棄食材の減量化を模索。フー
• 2022年度→2029年度までの売上高増加額82億円
ドロスを大幅に削減する為には、もっと上流でフードロスの原因の
補助事業
ひとつである劣化を防ぐことが出来れば、と考え食品の品質保持
• 2022年度→2029年度まで売上高成長率3600％
技術の開発に着手した
• 2022年度→2029年度までの売上高増加額64億円
※業務用冷蔵冷凍設備市場︓Global Industry Analysts, Commercial Refrigeration Equipment</t>
  </si>
  <si>
    <t>【p.2】
株式会社XEN GROUP
2.補助事業の概要
WSSのターゲットをチェーン展開している飲食店とし、製品の量産化を目的とした大型自動化工場および製品普
及に必須となるLABを建設。加えて、労働条件の改善や継続的な賃上げを目的とした投資計画である
• いち早くグローバル社会の課題解決、フードサプライチェーンの課題解決を実現する為には、
自動化による装置の生産量拡大を行う工場を必要とする
補助事業の 事業費 約29億円
• 付加価値創出事業を拡大することで企業成長を加速させ、労働環境の改善、持続的な賃
背景・目的 （補助額） （約9.5億円）
上げを目指す
• 新工場建設により雇用創出、サプライチェーン拡大、地域活性化、技術普及活動が発展
• 量産体制構築の為、先進的な金属加工メーカーであるイタリアBLM社
等の人協業ロボットを導入し、自動で溶接・搬送等を行う新型自動化
工場の建設 ➡最大50台/月の製造見込み
• WSSの持つ高付加価値の体験、フードサプライチェーン全事業者が抱
える課題抽出、ソリューション提案、共同研究等を行うLAB棟の建設
➡顧客データを集積し機器の改善やコンサルティングサービスに活
設備投資の
用
内容
• 自社消費を目的にした太陽光発電ソーラーパネル・蓄電池（発電量
計750 kW）の導入。電力消費の少ない輻射熱を利用した冷房機
器の導入により、労働条件を改善 ➡工場の照明用電力等を賄う発
電量であり、全体の15％のエネルギーコストカット
• 浄化生成した水の利用による節水、雨水の潜熱エネルギーを利用した
CO₂削減を目的とした無動力雨水純水処理システムの設置
2026年度 2029年度
項目
（基準年度） （基準年度＋３年後）
労働生産性 5,456
1,407
（単位：万円/人） （年平均上昇率＋57％）
従業員1人あたり給与支給総額 482
目標値 428
（単位：万円/人） （年平均上昇率＋4％）
役員１人あたり給与支給総額 ー
ー
（単位：万円/人） （年平均上昇率＋4％）
補助事業に係る従業員数
23 32
（単位：人）</t>
  </si>
  <si>
    <t>1.長期成長ビジョン
株式会社アイ・テック
“どこにでもあるものを、未来にも”
鉄の専門商社として、どこにでもある「鉄」を、末永く、お客様のニーズに合った形でお届けします</t>
  </si>
  <si>
    <t>長期成長ビジョン（目指す姿・ビジネスモデル）
１．加工力の強化
お客様の様々な鋼材要求に対応し、需要地域の近隣に生産拠点を
設け迅速に加工を行い、より早く製品を供給する。国内の鋼材需要
が縮小する中で、落ち込んだ需要を掘り起こす。
２．在庫力の強化
当社の在庫力をさらに強化する。取扱品種の多様性を進め、様々な
お客様のニーズを見極めながら、安定して鋼材を供給することで市場
における当社の存在感を高めていく。
３．運送力の強化
清水工場、東京工場、北陸工場、相馬DMCの4か所に岸壁拠点を
持つ強みを活かし、内陸工場へつなぐ機能的な輸送網を、モーダルシ
フトの活用等により強化する。各エリアには運送部隊の拠点を置き、
効率的で迅速な運送を実現する。
４．新規市場の開拓
現在の事業に加えて、新たな成長領域へ挑戦する。国内の東北、北
海道地域、海外ではインド、インドネシアやベトナム等、産油国などを
将来の有望市場と捉え、新規市場を開拓するため積極展開を図る。
５．地域社会との連携強化
地域社会との協力や地域貢献活動のさらなる展開、地元スポーツクラ
ブの支援、各種イベントへの協賛などを通じて、当社のブランド価値向
上を図る。
売上成長目標
• 2023年3月期～2028年３月期の5年間における
会社全体の売上高成長率:32.1％
• 2023～2028年３月期の5年間における会社全体の</t>
  </si>
  <si>
    <t>外発的動機
・建築における鉄の需要は、バブル期は1200万トンであったが、
現在は400万トン弱まで縮小している。今後も需要は減少し、鉄
工所数も半減する見込みである。ことうした市場動向を反映し、
近年、大手商社がM＆Aにより地場の問屋を買収する動きが加
速しており、全国規模で小回りの利く鉄鋼専門商社が減少しつつ
ある。
・北東北エリアでは半導体、自動車関連産業の工場進出が相次
いでいる。同地区の最終ユーザーは多くが鋼材等を関東方面から
調達しており、当社に対して同エリアへの進出要請がある。
また近年、インドやアジア諸国では鉄を大幅に増産している。この
ため当社としては、今後、需要が拡大する海外に向けた事業展
開を検討する。</t>
  </si>
  <si>
    <t>内発的動機
・2024年3月期は、建設関連を中心に内需が冷え込んだことか
ら鋼材価格を下げざるを得なかったが、原材料は高騰のまま推移
したため利益幅は大幅縮小。これにより当社の売上高はコロナ禍
以来4期ぶりに減収予想。損益面では、値幅の縮小に加えエネ
ルギー経費は低下せず、求人を確保するため人件費や求人広告
費を維持する必要があること等から経費率は上昇しており、同じく
営業減益を見込む。
・従業員の高齢化が進み、熟練技術の継承が難しくなりつつある。
このため当社では、熟練工がいなくても誰もが作業できるよう、熟
練の技術を取り込んだ無人稼働設備を導入する必要性が高まっ
ている。
・人手不足が鮮明で、近年は採用のための諸経費が嵩んでいる。</t>
  </si>
  <si>
    <t>【p.1／売上成長目標】
売上成長目標
• 2023年3月期～2028年３月期の5年間における
会社全体の売上高成長率:32.1％
• 2023～2028年３月期の5年間における会社全体の
売上高増加額:349億円</t>
  </si>
  <si>
    <t>【p.1】
1.長期成長ビジョン
株式会社アイ・テック
“どこにでもあるものを、未来にも”
鉄の専門商社として、どこにでもある「鉄」を、末永く、お客様のニーズに合った形でお届けします
長期成長ビジョン（目指す姿・ビジネスモデル）
外発的動機
１．加工力の強化 ・建築における鉄の需要は、バブル期は1200万トンであったが、
お客様の様々な鋼材要求に対応し、需要地域の近隣に生産拠点を 現在は400万トン弱まで縮小している。今後も需要は減少し、鉄
設け迅速に加工を行い、より早く製品を供給する。国内の鋼材需要 工所数も半減する見込みである。ことうした市場動向を反映し、
が縮小する中で、落ち込んだ需要を掘り起こす。 近年、大手商社がM＆Aにより地場の問屋を買収する動きが加
２．在庫力の強化 速しており、全国規模で小回りの利く鉄鋼専門商社が減少しつつ
当社の在庫力をさらに強化する。取扱品種の多様性を進め、様々な ある。
お客様のニーズを見極めながら、安定して鋼材を供給することで市場 ・北東北エリアでは半導体、自動車関連産業の工場進出が相次
における当社の存在感を高めていく。 いでいる。同地区の最終ユーザーは多くが鋼材等を関東方面から
３．運送力の強化 調達しており、当社に対して同エリアへの進出要請がある。
清水工場、東京工場、北陸工場、相馬DMCの4か所に岸壁拠点を また近年、インドやアジア諸国では鉄を大幅に増産している。この
持つ強みを活かし、内陸工場へつなぐ機能的な輸送網を、モーダルシ ため当社としては、今後、需要が拡大する海外に向けた事業展
フトの活用等により強化する。各エリアには運送部隊の拠点を置き、 開を検討する。
効率的で迅速な運送を実現する。
４．新規市場の開拓 内発的動機
現在の事業に加えて、新たな成長領域へ挑戦する。国内の東北、北
・2024年3月期は、建設関連を中心に内需が冷え込んだことか
海道地域、海外ではインド、インドネシアやベトナム等、産油国などを
ら鋼材価格を下げざるを得なかったが、原材料は高騰のまま推移
将来の有望市場と捉え、新規市場を開拓するため積極展開を図る。
したため利益幅は大幅縮小。これにより当社の売上高はコロナ禍
５．地域社会との連携強化
以来4期ぶりに減収予想。損益面では、値幅の縮小に加えエネ
地域社会との協力や地域貢献活動のさらなる展開、地元スポーツクラ
ルギー経費は低下せず、求人を確保するため人件費や求人広告
ブの支援、各種イベントへの協賛などを通じて、当社のブランド価値向
費を維持する必要があること等から経費率は上昇しており、同じく
上を図る。
営業減益を見込む。
・従業員の高齢化が進み、熟練技術の継承が難しくなりつつある。
売上成長目標
このため当社では、熟練工がいなくても誰もが作業できるよう、熟
• 2023年3月期～2028年３月期の5年間における
練の技術を取り込んだ無人稼働設備を導入する必要性が高まっ
会社全体の売上高成長率:32.1％
ている。
• 2023～2028年３月期の5年間における会社全体の
・人手不足が鮮明で、近年は採用のための諸経費が嵩んでいる。
売上高増加額:349億円</t>
  </si>
  <si>
    <t>【p.2】
.補助事業の概要 株式会社アイ・テック
2
東北ブロック第2番目の加工専門施設として北東北エリア(岩手県北上市)に新形態DMCを新設
新規機械装置及びシステム(補助対象)導入で生産性を高め、高水準な賃上げを目指す
総事業費:74億円
工場進出の要請が高い東北ブロックでは当社の生産拠点は相馬DMCのみであり、関東・北陸
補助事業の 事業費
(補助額 : 5.6億円）
方面の工場から補完対応せざるをえない。東北ブロックでは鋼材需要の拡大が見込めるため、
背景・目的 （補助額）
需要地の近隣に立地し、希望する製品を加工・即納できる生産拠点の必要性が高まっている。
名称:北上DMC 住所:岩手県北上市和賀町後藤2地割114番40ほか 後藤野工業団地内 敷地面積:92,796.59㎡
レジリエンス対応 地震、大雪を想定し工場内に避難経路を設定。帰宅困難者の発生を考慮し食糧備蓄と宿泊施設を事務所内に完備。
近々、風力発電設備と蓄電池を装備し、携帯電話の重電や停電時の非常用電源として整備する予定。
1.建物費 5,733,000千円(補助対象外) 東北ブロックで先行稼働している
・工場棟: 鉄骨造 平屋建 34,816.57㎡ 相馬DMCの無人化設備の様子
・事務所棟:鉄骨造、2階建 663.51㎡ (2024年8月竣工)
2.機械装置費 1,686,100千円(補助対象)
・H鋼自動化ライン ・コラム鋼自動切断機
設備投資の
・H鋼銅ショットブラスト ・コラム鋼開先加工機
内容 ・H鋼開先加工機 ・3次元ファイバーレーザー加工機
・H鋼ドリルバンドソー自動ライン ・ハイブリッドドライブベンダー
・ブースタコンプレッサユニット ・束ね専用切断機
・鋼材送材用バックアップローラー ・DCM用集塵機
・コンベアブラスト ・ドリル穴あけ&amp;丸鋸切断複合機
・全自動ユニットワーカー ・配管工事
・ドリルアタッチメント ・二次側配線工事
・サーバー導入 ・ネットワ－ク構築 ・・・詳細次頁参照
総事業費 7,419,100千円
2024年度 [2025年３月期] 2027年度 [2028年３月期]
項目
（基準年度） （基準年度＋３年後）
労働生産性
1,376万円/人 4,166万円/人 （年平均上昇+44.7％）
（単位：万円/人）
従業員1人あたり給与支給総額
目標値 661万円/人 832万円/人 (年平均上昇率＋8.0％）
（単位：万円/人）
役員１人あたり給与支給総額
3,407万円/人 4,292万円/人 （年平均上昇率＋8.0％）
（単位：万円/人）
補助事業に係る従業員数
2人 37人
（単位：人）</t>
  </si>
  <si>
    <t>1.長期成長ビジョン
エスティケイテクノロジー株式会社
最先端技術を追求し、パートナーと共に安心で快適な未来を創造する
• 当社の市場である「半導体」は、経済安全保障上の戦略物資として重要性を増し、社会的なニーズは高まる見通し。
• 持続的な成長を遂げるため、当社が提供する価値の「量」「質」両方の拡大と深掘りに取り組む。</t>
  </si>
  <si>
    <t>長期成長ビジョン（目指す姿・ビジネスモデル）
業界
トップランナー企業
業界のベストパートナーとして提供する財・サービスの
「量」と「質」を追求。
2029年3月期までの目標</t>
  </si>
  <si>
    <t>外発的動機
• 主要取引先からの生産体制強化への協力の要望
当社の重要取引先は各社とも、当社に対して今後の増産に向けた
生産体制の強化を依頼。この依頼十分に応えるためには今以上の
量とクオリティーを提供する社内インフラが必要。
• 人材流出抑止のための分配の促進
地元である大分県の隣県・熊本県に台湾企業が進出。人材の流
出が懸念され、従業員の待遇の見直しが必要。自社の成長の持
続と、大分県内の人材の流出抑止を目的として賃上げを実施する。
• 半導体市場への期待
今後、国内半導体市場の大きな成長が期待される。当社も乗り遅
れることなく、業界への貢献と持続的な成長を両立するため、大規
模投資を実行する。</t>
  </si>
  <si>
    <t>内発的動機
• 業界トップカンパニーのベストパートナーとして
当社の主要取引先はいずれも業界のトップランナー。そこに名実
恥じないよう成長を持続していく必要性を感じている。
• 半導体バブルを一過性にせず、大分県経済に還流する
熊本に進出する企業を軸とした九州圏内における経済成長の
波及効果を、地元大分にも十分に還流させて、地元とともに成長・
発展を遂げていきたい。</t>
  </si>
  <si>
    <t>【p.1／持続的な成長を遂げるため、当社が提供する価値の「量」「質」両方の拡大と深掘りに取り組む。】
• 当社の市場である「半導体」は、経済安全保障上の戦略物資として重要性を増し、社会的なニーズは高まる見通し。
• 持続的な成長を遂げるため、当社が提供する価値の「量」「質」両方の拡大と深掘りに取り組む。
【p.2／設備投資の内容】
（設備投資の内容）
「生産設備の増強」
（建物）新工場の建設（2階建、延床面積6,090㎡）
（機械装置）板金・溶接加工用設備・システム 4.9億円
「外部環境に左右されやすい経営を省力化で克服」
ファイバーレーザー複合機、無人搬送ロボットなど省力化設
設備4.9億円のうち
（設備投資が課題を解決し得ること、労働生産性向上につな
現在、補助事業実施部門である精密加工部では、加工・段
全体でも成長著しい事業分野であり、持続的な成長のため
当社は申請時点で省力化設備の稼働領域を拡大させてい
補助事業で省力化設備（上図）導入し、人の手が必要な</t>
  </si>
  <si>
    <t>【p.1】
1.長期成長ビジョン
エスティケイテクノロジー株式会社
最先端技術を追求し、パートナーと共に安心で快適な未来を創造する
• 当社の市場である「半導体」は、経済安全保障上の戦略物資として重要性を増し、社会的なニーズは高まる見通し。
• 持続的な成長を遂げるため、当社が提供する価値の「量」「質」両方の拡大と深掘りに取り組む。
長期成長ビジョン（目指す姿・ビジネスモデル） 外発的動機
• 主要取引先からの生産体制強化への協力の要望
当社の重要取引先は各社とも、当社に対して今後の増産に向けた
生産体制の強化を依頼。この依頼十分に応えるためには今以上の
量とクオリティーを提供する社内インフラが必要。
• 人材流出抑止のための分配の促進
地元である大分県の隣県・熊本県に台湾企業が進出。人材の流
出が懸念され、従業員の待遇の見直しが必要。自社の成長の持
続と、大分県内の人材の流出抑止を目的として賃上げを実施する。
• 半導体市場への期待
業界 今後、国内半導体市場の大きな成長が期待される。当社も乗り遅
トップランナー企業 れることなく、業界への貢献と持続的な成長を両立するため、大規
模投資を実行する。
業界のベストパートナーとして提供する財・サービスの
「量」と「質」を追求。
内発的動機
2029年3月期までの目標
• 業界トップカンパニーのベストパートナーとして
当社の主要取引先はいずれも業界のトップランナー。そこに名実
恥じないよう成長を持続していく必要性を感じている。
• 半導体バブルを一過性にせず、大分県経済に還流する
熊本に進出する企業を軸とした九州圏内における経済成長の
波及効果を、地元大分にも十分に還流させて、地元とともに成長・
発展を遂げていきたい。</t>
  </si>
  <si>
    <t>【p.2】
.補助事業の概要 エスティケイテクノロジー株式会社
2
・新工場の新設と先端設備の導入で、生産能力の底上げを実施する。
・省力化に資する設備を導入し、人材不足や好不況の変動といったリスク対策を実施する。
補助事業の • 当社の「精密加工部」における多くの取引先からの増産要請に対応するための生産設備の増強 事業費 2 1 億円
背景・目的 • 業界動向や主要取引先など外部環境に左右されやすい経営を省力化で克服する。 （補助額） （6.7億円）
• （設備投資の内容）
「生産設備の増強」
（建物）新工場の建設（2階建、延床面積6,090㎡） 15.9億円
（機械装置）板金・溶接加工用設備・システム 4.9億円
「外部環境に左右されやすい経営を省力化で克服」
ファイバーレーザー複合機、無人搬送ロボットなど省力化設備
設備4.9億円のうち4億円
設備投資の
内容
（設備投資が課題を解決し得ること、労働生産性向上につながる点）
• 現在、補助事業実施部門である精密加工部では、加工・段取り、在庫の保管などすべての工程でスペース不足となっている。会社
全体でも成長著しい事業分野であり、持続的な成長のためには同部門の生産活動スペースの拡張が不可欠となっている。
• 当社は申請時点で省力化設備の稼働領域を拡大させている途上にあるが、補助事業においても省人化領域を拡大する。
補助事業で省力化設備（上図）導入し、人の手が必要な高付加価値作業と、省力化設備による単純作業の選別を進め、
従業員の負担を減らしながら現場が生み出す付加価値を向上させていく。
• 省力化への取組により、人材不足でも現在以上の付加価値創出が可能となり、従業員の賃上げを実現する。万一、受注が落ち
込んだ場合にも、計画的休業など雇用調整の必要性が減り、従業員の賃金水準の維持、賃上げの継続が可能となる。
2025年度 2028年度
項目
（基準年度） （基準年度＋３年後）
労働生産性 1,224
887
目標値 （単位：万円/人） （年平均上昇率＋11.3％）
従業員1人あたり給与支給総額 454
394
（単位：万円/人） （年平均上昇率＋4.8％）
補助事業に係る従業員数
155 170
（単位：人）</t>
  </si>
  <si>
    <t>1.長期成長ビジョン
株式会社くまさんメディクス
半導体業界の展望とビジネスの長期成長ビジョン</t>
  </si>
  <si>
    <t>長期成長ビジョン（目指す姿・ビジネスモデル）
• 半導体が社会生活にとって大変重要なものであるという認識がも
はや一般常識としても広く浸透し、世界の国々とのパワーバランスを
保ち、あるいは優位にしていくうえでも、日本国にとって半導体製造
装置を世界に供給していくことは最重要な事業であり、その事業を
成長・発展させていくことが弊社の使命だと考える。
• テクノロジーの発展に伴い、半導体も高度・精密化が求められ、各
種メーカー企業が日進月歩でその要求に応え続けている。弊社は
ファウンドリー企業ではあるが、それらメーカーの開発した半導体製
造装置をより多く製造し、世界中により早く供給することは、社会
全体を発展させるために必要不可欠なことであると考え、新規の工
場を建設し、事業をより拡大させていく方針である。</t>
  </si>
  <si>
    <t>外発的動機
• 世界的な半導体の需要に関して、シリコンサイクルはあるものの、長
期に渡り半導体製造装置の需要は高まっていく予測がなされている。
半導体製造装置メーカー企業からも今後数年に渡り装置の生産
量を増やして欲しいという要求を受けており、弊社としてはこれに応じ
ていく考えである。
• ChatGPTなど生成AIを活用した技術が進歩しており、先端技術と
して世界的な注目を集めている。
• 半導体市場において、半導体製造装置の技術力及びシェアで日
本は世界に対しての優位性を持っており、この分野を伸ばしていくこ
とが弊社が日本のために出来ることだと考えている。</t>
  </si>
  <si>
    <t>内発的動機
• 弊社が半導体製造装置の製造企業として創業してから既に35年
が経過しているが、ここ5年の企業としての売上高成長率は219％
と著しい成長を遂げている。これは世界的な半導体の需要が高まっ
たことが原因ではあるが、弊社がその流れを見据えてここ5年で工場
を新規建設も含めて新たに10箇所稼働させたことが要因である。
需要を逃すことなく適切に投資してきたことが現在の成長に繋がって
いると考え、今回の新規事業に着手する。
• お客様である半導体製造装置メーカーが、開発に力を注げるよう、
装置の安定生産（量産化）を弊社が担うことを使命と考える。</t>
  </si>
  <si>
    <t>【p.1／売上成長目標】
売上成長目標（2030年に向けて）
直近2023年8月期の会社全体の売上高306億円
増加額194億円
成長率64％
2030年8月期会社全体の売上高目標
500億円</t>
  </si>
  <si>
    <t>【p.1】
1.長期成長ビジョン
株式会社くまさんメディクス
半導体業界の展望とビジネスの長期成長ビジョン
外発的動機
長期成長ビジョン（目指す姿・ビジネスモデル）
• 半導体が社会生活にとって大変重要なものであるという認識がも • 世界的な半導体の需要に関して、シリコンサイクルはあるものの、長
はや一般常識としても広く浸透し、世界の国々とのパワーバランスを
期に渡り半導体製造装置の需要は高まっていく予測がなされている。
保ち、あるいは優位にしていくうえでも、日本国にとって半導体製造
半導体製造装置メーカー企業からも今後数年に渡り装置の生産
装置を世界に供給していくことは最重要な事業であり、その事業を
量を増やして欲しいという要求を受けており、弊社としてはこれに応じ
成長・発展させていくことが弊社の使命だと考える。
ていく考えである。
• ChatGPTなど生成AIを活用した技術が進歩しており、先端技術と
• テクノロジーの発展に伴い、半導体も高度・精密化が求められ、各 して世界的な注目を集めている。
種メーカー企業が日進月歩でその要求に応え続けている。弊社は
ファウンドリー企業ではあるが、それらメーカーの開発した半導体製
• 半導体市場において、半導体製造装置の技術力及びシェアで日
造装置をより多く製造し、世界中により早く供給することは、社会
本は世界に対しての優位性を持っており、この分野を伸ばしていくこ
全体を発展させるために必要不可欠なことであると考え、新規の工
とが弊社が日本のために出来ることだと考えている。
場を建設し、事業をより拡大させていく方針である。
内発的動機
売上成長目標（2030年に向けて）
直近2023年8月期の会社全体の売上高306億円 • 弊社が半導体製造装置の製造企業として創業してから既に35年
が経過しているが、ここ5年の企業としての売上高成長率は219％
増加額194億円 と著しい成長を遂げている。これは世界的な半導体の需要が高まっ
成長率64％ たことが原因ではあるが、弊社がその流れを見据えてここ5年で工場
を新規建設も含めて新たに10箇所稼働させたことが要因である。
需要を逃すことなく適切に投資してきたことが現在の成長に繋がって
いると考え、今回の新規事業に着手する。
2030年8月期会社全体の売上高目標
500億円 • お客様である半導体製造装置メーカーが、開発に力を注げるよう、
装置の安定生産（量産化）を弊社が担うことを使命と考える。</t>
  </si>
  <si>
    <t>【p.2】
.補助事業の概要
(cid:21)
株式会社くまさんメディクス
補助事業の目的と投資内容
半導体製造装置メーカーの製品である生成AI 向け装置は、半導体HBMを製作する過程で必
補助事業の 事業費 2 億円
要不可欠な装置で、今後の世界的需要増大に備え生産工場（クリーンルーム）と人材確保が (cid:26)
背景・目的 （補助額） （8. 億円）
急務となっていることから、適正設備を備えた工場建設が必要となる。 (cid:25)
熊本県菊池市旭志に約20,000㎡の土地を確保し、延べ床面積
12,650㎡、総2階建て工場の建築を計画。
生産エリアはクリーンルーム（クラス1,000）とし、大型コンプレッサー、チ
ラーを備えた生産人員数150名（協力企業員を含む）での生成AI向け
装置生産工場とする。
設設備備投投資資のの
写真等
内内容容
2026年8月期 2029年8月期
項目
（基準年度） （基準年度＋３年後）
労働生産性 2,255
1,616
（単位：万円/人） （年平均上昇率＋11.75％）
目標値 従業員1人あたり給与支給総額 440
357
（単位：万円/人） （年平均上昇率＋7.25％）
役員１人あたり給与支給総額 0
0
（単位：万円/人） （年平均上昇率＋0％）
補助事業に係る従業員数
30 80
（単位：人）</t>
  </si>
  <si>
    <t>1.長期成長ビジョン BBSジャパン株式会社
■自動車向けプレミアムホイール・メーカーとして、生産能力と品質を高め、グローバル化を目指す。
■Made in Toyamaの高付加価値商品を世界に届け、日本の社員に報酬を届ける。</t>
  </si>
  <si>
    <t>長期成長ビジョン（目指す姿・ビジネスモデル）
• 当社は、自動車向けプレミアムホイール・メーカーとして、海外市場
での成長によるグローバル化を目指している。
• 鍛造製法による当社のプレミアムホイールは、高級スポーツ車愛好
家や高級車メーカーから高く評価されてきた。これまでは経営リソー
スの制約から国内市場に注力してきたが、近年ブランド認知の高ま
りにより海外からの需要も高まってきている。大手海外競合は存在
するものの、生産能力を増強し品質と生産性を一段と高めることで、
海外顧客への販売を拡大し、グローバルに成長することを目指す。
国内市場の大きな成長が望みづらいことも踏まえ、海外で持続的
に成長できる事業構造を作り上げる。
• 当社の生産は後工程の一部を除きすべてMade in Toyamaで
あり、日本発で世界に輸出するビジネスモデルである。世界中の顧
客から得た対価は、待遇向上と教育投資により社員の物心両面
の幸福を追求するとともに、雇用拡大と人材育成によって地域社
会にも貢献しうる企業を目指す。そして、稼ぐ力の向上を通じて、
株主などステークホルダーにもリスクに見合った適切なリターンを提供
していく。</t>
  </si>
  <si>
    <t>外発的動機
• 自動車業界ではEV（電気自動車）化などの変化が起きているが、
当社が顧客とするレースやスポーツドライブを好む需要は不変か、む
しろ増加していると感じている。最高峰レースF1の観客動員数は過
去最高を更新し、欧米メーカーから毎年新たな最高級スポーツカー
が発売され、中国や韓国メーカーからもEVの高級スポーツカーが発
売されている。こうした動きを踏まえ、レースとスポーツカーに強い当
社も成長余地は大きいと考えている。
• 加えて、EVやSUV（Sports Utility Vehicle）など車重の重い
車が増えているが、こうした車種では軽量強靭な鍛造ホイールの重
要度はさらに高まるため、成長余地があると捉えている。軽量化は
燃費にも効果的なため、環境面でもプラスの効果がある。</t>
  </si>
  <si>
    <t>内発的動機
• 前職での投資業界での経験を通じ、経営が良くなれば社員が変わ
り、会社が変わり、価値が大きく変わる実例を目にしてきた。当社は
その技術力やブランド力により大きな成長ポテンシャルがあり、経営
を良くすることでもっと飛躍できると感じている。
• また、世界中で中間層の消失と二極化の加速が進む中、世界の
富裕層に高付加価値商品を届け、日本の中間層に報酬を届ける
事業構造を作り上げることの意義は大きいと感じている。
• 当社は10年前、前田工繊傘下で再出発以降、積極的な設備投
資による能力増強を行い大きな成長を遂げてきた。今後も設備投
資により持続的な成長を実現していきたいと考えている。</t>
  </si>
  <si>
    <t>【p.1／売上成長目標】
売上成長目標
※基準年度比（基準年度2026/6：基準年度＋3年後2029/6)
• 2029年6月期までの会社全体の売上高成長率：28％
• 2029年6月期までの会社全体の売上高増加額：40億円</t>
  </si>
  <si>
    <t>【p.1】
1.長期成長ビジョン BBSジャパン株式会社
■自動車向けプレミアムホイール・メーカーとして、生産能力と品質を高め、グローバル化を目指す。
■Made in Toyamaの高付加価値商品を世界に届け、日本の社員に報酬を届ける。
長期成長ビジョン（目指す姿・ビジネスモデル） 外発的動機
• 自動車業界ではEV（電気自動車）化などの変化が起きているが、
• 当社は、自動車向けプレミアムホイール・メーカーとして、海外市場
当社が顧客とするレースやスポーツドライブを好む需要は不変か、む
での成長によるグローバル化を目指している。
しろ増加していると感じている。最高峰レースF1の観客動員数は過
去最高を更新し、欧米メーカーから毎年新たな最高級スポーツカー
• 鍛造製法による当社のプレミアムホイールは、高級スポーツ車愛好
が発売され、中国や韓国メーカーからもEVの高級スポーツカーが発
家や高級車メーカーから高く評価されてきた。これまでは経営リソー
売されている。こうした動きを踏まえ、レースとスポーツカーに強い当
スの制約から国内市場に注力してきたが、近年ブランド認知の高ま
社も成長余地は大きいと考えている。
りにより海外からの需要も高まってきている。大手海外競合は存在
• 加えて、EVやSUV（Sports Utility Vehicle）など車重の重い
するものの、生産能力を増強し品質と生産性を一段と高めることで、
車が増えているが、こうした車種では軽量強靭な鍛造ホイールの重
海外顧客への販売を拡大し、グローバルに成長することを目指す。
要度はさらに高まるため、成長余地があると捉えている。軽量化は
国内市場の大きな成長が望みづらいことも踏まえ、海外で持続的
燃費にも効果的なため、環境面でもプラスの効果がある。
に成長できる事業構造を作り上げる。
内発的動機
• 当社の生産は後工程の一部を除きすべてMade in Toyamaで
あり、日本発で世界に輸出するビジネスモデルである。世界中の顧 • 前職での投資業界での経験を通じ、経営が良くなれば社員が変わ
客から得た対価は、待遇向上と教育投資により社員の物心両面 り、会社が変わり、価値が大きく変わる実例を目にしてきた。当社は
の幸福を追求するとともに、雇用拡大と人材育成によって地域社 その技術力やブランド力により大きな成長ポテンシャルがあり、経営
会にも貢献しうる企業を目指す。そして、稼ぐ力の向上を通じて、 を良くすることでもっと飛躍できると感じている。
株主などステークホルダーにもリスクに見合った適切なリターンを提供 • また、世界中で中間層の消失と二極化の加速が進む中、世界の
していく。 富裕層に高付加価値商品を届け、日本の中間層に報酬を届ける
事業構造を作り上げることの意義は大きいと感じている。
売上成長目標 • 当社は10年前、前田工繊傘下で再出発以降、積極的な設備投
※基準年度比（基準年度2026/6：基準年度＋3年後2029/6) 資による能力増強を行い大きな成長を遂げてきた。今後も設備投
• 2029年6月期までの会社全体の売上高成長率：28％ 資により持続的な成長を実現していきたいと考えている。
• 2029年6月期までの会社全体の売上高増加額：40億円</t>
  </si>
  <si>
    <t>【p.2】
.補助事業の概要 BBSジャパン株式会社
2
■塗装設備とスピニング/熱処理設備の増強により、生産能力を1.5倍に引き上げる。
■労働生産性で年率+7.6%、従業員一人あたり給与支給総額で年率+4.8%の上昇を見込む。
補助事業の • 生産能力を増強し、品質と生産性を一段と高めることでグローバルに成長する 事業費 48億円
背景・目的 • 日本発で世界に輸出するビジネスモデルで、雇用拡大と人材育成で地域に貢献する （補助額） （16億円）
設備投資の
内容
スピニング/熱処理設備
塗装設備・仕上設備
①スピニング熱処理生産能力の向上 1.2倍
①塗装生産能力の向上 1.5倍(10万本）
②労働生産性の向上 1.2倍
②品質向上 不良率50％改善
③信頼性向上 故障強度率１％以下
③労働生産性の向上 1.5倍
④DX化推進
④省エネ対策・DX化推進
2026年度 2029年度
項目
（基準年度） （基準年度＋３年後）
労働生産性 2,004万円/人
1,610万円/人
（単位：万円/人） （年平均上昇率＋7.6％）
目標値 従業員1人あたり給与支給総額 664万円/人
577万円/人
（単位：万円/人） （年平均上昇率＋4.8％）
役員１人あたり給与支給総額 ー
ー
（単位：万円/人） （年平均上昇率＋4.0％）
補助事業に係る従業員数
376人 407人
（単位：人）</t>
  </si>
  <si>
    <t>株式会社ジェーイーエル
1.⾧期成⾧ビジョン
半導体需要の増加、高性能化が求められる中、当社の製造する半導体ウェハ搬送装置に関しても生産能力の
拡大、高機能化を進めることで顧客の生産性向上、半導体の安定供給に寄与する。</t>
  </si>
  <si>
    <t>⾧期成⾧ビジョン（目指す姿・ビジネスモデル）
• 当社は、半導体用ウェハ搬送装置の開発/製造/販売を行っている会
社である。主に、半導体製造装置メーカーに対してウェハ搬送装置を
供給し、そこからエンドユーザーである半導体デバイスメーカーに納入さ
れている。
• 半導体は「産業のコメ」と呼ばれ、電気（ハイブリッド車含む）自動車、
家電等、幅広い分野で必要とされており、近年では需要が急激に増
加しており世界的に供給不足が起こっている。
• また、AIや機械学習、自動運転等にも半導体は必要とされており、高
性能化が進んでいる。当社の製造する半導体ウェハ搬送装置について
も低発塵や低振動、高スループット（高速化）等、機能の向上が求
められるようになってきている。
• そういった中、当社は、ウェハ搬送装置業界でのリーディングカンパニーと
して、業界を牽引していく会社を目指す。顧客ごとにウェハ搬送装置に
求めるニーズは細かく異なるため、技術力・開発力の強化を行い、お客
様のニーズに応じた最適なソリューションを提供できる企業として半導体
製造の効率化・安定化に寄与することを目指す。また、増加する需要
に応えられる生産体制を整備することで、半導体の安定供給に貢献し
ていきたい。
• 地元広島での生産拡大に重点を置き、広島発のリーディングカンパニー
として地域経済の活性化に貢献していきたい。</t>
  </si>
  <si>
    <t>外発的動機
• 半導体市場は急速に成⾧しており、需要量の増加とともに高性能
化が求められており世界的な供給不足が起こっている。当社として
も技術力・開発力・生産能力を高めていくことで市場シェアの拡大と
収益の増加の機会が十分にあると考えている。
• 半導体の高性能化が進むにつれて、当社の製造するウェハ搬送装
置も機能の向上が求められており、開発力・技術力を高めていくこと
が今後の成⾧のために必要となる。</t>
  </si>
  <si>
    <t>内発的動機
• 当社は顧客ごとにカスタマイズする受注生産を得意としているが、顧
客のきめ細かなニーズに対応することでお客様の生産性向上につな
げ、業界の発展に貢献をしていきたい。
• 当社は創業当初は液晶用ガラス基板の搬送装置を製造していた
が、お客様の要望に応え、半導体用ウェハ搬送装置の製造を開始
した。2019年５月には佐波工場の建設を行うことで需要の増加に
も対応することができ、売上・利益ともに高い成⾧率を維持すること
が出来ている。今後もお客様の動向を見据えながら適正なリスクを
取った積極的な成⾧戦略が今後の当社の成⾧に必要であると考え
ている。
• 創業後30年が経過したが、当社が成⾧することで地元広島の経
済活性化に貢献していくことで、地域から愛され必要とされる会社と
なりたい。</t>
  </si>
  <si>
    <t>【p.1／売上成長目標】
売上成⾧目標
• 2030年5月期までの会社全体の売上高成⾧率毎年15％
• 2030年5月期の会社全体の売上目標231億円（直近2023
年５月期145億円）
（補助事業となる尾道工場の2030年5月期の売り上げ目標80
億円、会社全体の売上に対する割合34%）
【p.2／2027年５月期】
2027年５月期
項目
（基準年度）</t>
  </si>
  <si>
    <t>【p.1】
株式会社ジェーイーエル
1.⾧期成⾧ビジョン
半導体需要の増加、高性能化が求められる中、当社の製造する半導体ウェハ搬送装置に関しても生産能力の
拡大、高機能化を進めることで顧客の生産性向上、半導体の安定供給に寄与する。
⾧期成⾧ビジョン（目指す姿・ビジネスモデル）
外発的動機
• 当社は、半導体用ウェハ搬送装置の開発/製造/販売を行っている会
• 半導体市場は急速に成⾧しており、需要量の増加とともに高性能
社である。主に、半導体製造装置メーカーに対してウェハ搬送装置を
化が求められており世界的な供給不足が起こっている。当社として
供給し、そこからエンドユーザーである半導体デバイスメーカーに納入さ
も技術力・開発力・生産能力を高めていくことで市場シェアの拡大と
れている。
収益の増加の機会が十分にあると考えている。
• 半導体は「産業のコメ」と呼ばれ、電気（ハイブリッド車含む）自動車、
家電等、幅広い分野で必要とされており、近年では需要が急激に増
• 半導体の高性能化が進むにつれて、当社の製造するウェハ搬送装
加しており世界的に供給不足が起こっている。
置も機能の向上が求められており、開発力・技術力を高めていくこと
• また、AIや機械学習、自動運転等にも半導体は必要とされており、高
が今後の成⾧のために必要となる。
性能化が進んでいる。当社の製造する半導体ウェハ搬送装置について
も低発塵や低振動、高スループット（高速化）等、機能の向上が求
められるようになってきている。
• そういった中、当社は、ウェハ搬送装置業界でのリーディングカンパニーと
内発的動機
して、業界を牽引していく会社を目指す。顧客ごとにウェハ搬送装置に
• 当社は顧客ごとにカスタマイズする受注生産を得意としているが、顧
求めるニーズは細かく異なるため、技術力・開発力の強化を行い、お客
客のきめ細かなニーズに対応することでお客様の生産性向上につな
様のニーズに応じた最適なソリューションを提供できる企業として半導体
げ、業界の発展に貢献をしていきたい。
製造の効率化・安定化に寄与することを目指す。また、増加する需要
に応えられる生産体制を整備することで、半導体の安定供給に貢献し
• 当社は創業当初は液晶用ガラス基板の搬送装置を製造していた
ていきたい。
が、お客様の要望に応え、半導体用ウェハ搬送装置の製造を開始
• 地元広島での生産拡大に重点を置き、広島発のリーディングカンパニー
した。2019年５月には佐波工場の建設を行うことで需要の増加に
として地域経済の活性化に貢献していきたい。
も対応することができ、売上・利益ともに高い成⾧率を維持すること
売上成⾧目標 が出来ている。今後もお客様の動向を見据えながら適正なリスクを
取った積極的な成⾧戦略が今後の当社の成⾧に必要であると考え
• 2030年5月期までの会社全体の売上高成⾧率毎年15％
ている。
• 2030年5月期の会社全体の売上目標231億円（直近2023
年５月期145億円）
• 創業後30年が経過したが、当社が成⾧することで地元広島の経
（補助事業となる尾道工場の2030年5月期の売り上げ目標80
済活性化に貢献していくことで、地域から愛され必要とされる会社と
億円、会社全体の売上に対する割合34%）
なりたい。</t>
  </si>
  <si>
    <t>【p.2】
2.補助事業の概要 株式会社ジェーイーエル
既存工場は生産能力の限界に来ており、工場を新設することで生産能力の増強と高品質な製品を生産できる
体制を整備する。人手不足の中でもデジタル技術を活用し、超効率的な生産体制を確立していく。
• 現状の工場設備では生産余力がなく、増加する需要や高機能化に応えていくためには、効率
的な生産体制で十分な生産能力と高品質な製品を生産できる新たな製造拠点が必要である。
補助事業の
• 既存工場の近隣の尾道市からの誘致を受け、広大な敷地の確保と人材確保のための支援を
背景・目的
得られる見込みがついたため、尾道市に新工場を設立することとした。
事業費 52億円
（補助額） （16億円）
【尾道工場の新設】
• 尾道市郊外の土地を利用した広さに余裕のある工場の建設。
• それぞれの作業スペースに余裕を持たせることで、部品や製品、人の移
動を余裕を持ち行うことで作業効率を上げる。
設備投資の
• 自動倉庫や３次元測定器、生産管理システムの導入によりデジタル技
内容
術を活用し、少人数でも効率的なオペレーションを構築する。人手不足
の中でも、十分な生産能力を確保し、高品質・短納期・低コストな生
産体制を確立する。
• 投資品目の明細は次スライド参照。
尾道工場外観（イメージ）
2027年５月期 2030年５月期
項目
（基準年度） （基準年度＋３年後）
労働生産性 5,595
2,909
（単位:万円/人） （年平均上昇率＋24.36％）
目標値 従業員1人あたり給与支給総額 551
500
（単位:万円/人） （年平均上昇率＋3.3％）
役員１人あたり給与支給総額
－ －
（単位:万円/人）
補助事業に係る従業員数
25 65
（単位:人）</t>
  </si>
  <si>
    <t>株式会社フジキン
1.長期成長ビジョン
極限へのChallengeと品質第一主義でお客様との信頼を獲得、業界No.1メーカーとなる。</t>
  </si>
  <si>
    <t>長期成長ビジョン（目指す姿・ビジネスモデル）
• 特殊バルブ機器・流体制御システムの総合メーカーとして、各産業
分野における技術開発の追及を通じ、企業価値の向上を実現し
ます。
• 最先端の技術力と開発力と製造力。及び、確かな品質と販売
サービス体制で、持続可能な社会の発展に貢献します。
• 社会の発展に貢献すると共に
社員を大切にする会社
社員のやりがいを応援する会社
社員とその家族を幸せにする会社
を目指します。</t>
  </si>
  <si>
    <t>外発的動機
• 半導体は急速な技術進化で、PCやスマートフォンはもとより、自動運転や次
世代高速通信、生成AI等、さまざまな分野で需要が非常に高まっている。
• フジキンは、「クリーン化技術」を活かした、半導体製造設備や装置に組み込
まれる流体制御システムや機器の世界的トップメーカーであり、これら半導体
の製造を通じて未来情報化社会に貢献したい。
• また、カーボンニュートラル社会で重要な役割を担う水素エネルギーの分野で
も、ロケット用バルブの開発で長年にわたり蓄積してきた「超低温・超高圧」等
の技術力を生かし、水素社会のインフラ構築に貢献していきたい。</t>
  </si>
  <si>
    <t>内発的動機
• フジキンは、流体を「流す」「止める」単純な機能のバルブを生業とした会社
だったが、時代のながれとともに耐久性の向上、高速化、超低温や
超高温下での使用、小型化等々、様々なお客様のニーズにより、
その性能と信頼性を進化させてきた歴史がある。
• また、従来のバルブ単体機器から流量制御機器へと進化し、更には小型集
積化ガスシステムへと飛躍的な進化を遂げてきた。
• 今日、フジキンは世界の半導体製造を支える設備装置において、
欠かすことの出来ない重要なメーカーに進化したと自負している。
• フジキンの事業規模は過去約30年間で売上高及び従業員数、共に
20倍の規模に拡大することができました。
「企業は人なり」という言葉があるように、社員あっての会社です。
社員がやりがいを持って一丸となり、社員も会社も成長していくことを
目指しています。</t>
  </si>
  <si>
    <t>売上成長目標
【連結】
• 2030年度にグループ全体の売上高3,000億円をめざす。
2023年度(1,701億円)⇒2030年度までの成長は1.8倍
【単体】
• 2030年度にフジキン単体の売上高1,420億円をめざす。
2023年度(836億円)⇒2030年度までの成長は1.7倍</t>
  </si>
  <si>
    <t>【p.1／売上成長目標】
売上成長目標
【連結】
• 2030年度にグループ全体の売上高3,000億円をめざす。
2023年度(1,701億円)⇒2030年度までの成長は1.8倍
【単体】
• 2030年度にフジキン単体の売上高1,420億円をめざす。
2023年度(836億円)⇒2030年度までの成長は1.7倍</t>
  </si>
  <si>
    <t>【p.1】
株式会社フジキン
1.長期成長ビジョン
極限へのChallengeと品質第一主義でお客様との信頼を獲得、業界No.1メーカーとなる。
長期成長ビジョン（目指す姿・ビジネスモデル） 外発的動機
• 半導体は急速な技術進化で、PCやスマートフォンはもとより、自動運転や次
世代高速通信、生成AI等、さまざまな分野で需要が非常に高まっている。
• 特殊バルブ機器・流体制御システムの総合メーカーとして、各産業
分野における技術開発の追及を通じ、企業価値の向上を実現し
• フジキンは、「クリーン化技術」を活かした、半導体製造設備や装置に組み込
ます。
まれる流体制御システムや機器の世界的トップメーカーであり、これら半導体
の製造を通じて未来情報化社会に貢献したい。
• 最先端の技術力と開発力と製造力。及び、確かな品質と販売
サービス体制で、持続可能な社会の発展に貢献します。 • また、カーボンニュートラル社会で重要な役割を担う水素エネルギーの分野で
も、ロケット用バルブの開発で長年にわたり蓄積してきた「超低温・超高圧」等
の技術力を生かし、水素社会のインフラ構築に貢献していきたい。
• 社会の発展に貢献すると共に
社員を大切にする会社
社員のやりがいを応援する会社
社員とその家族を幸せにする会社
内発的動機
を目指します。
• フジキンは、流体を「流す」「止める」単純な機能のバルブを生業とした会社
だったが、時代のながれとともに耐久性の向上、高速化、超低温や
超高温下での使用、小型化等々、様々なお客様のニーズにより、
その性能と信頼性を進化させてきた歴史がある。
売上成長目標
• また、従来のバルブ単体機器から流量制御機器へと進化し、更には小型集
積化ガスシステムへと飛躍的な進化を遂げてきた。
【連結】
• 2030年度にグループ全体の売上高3,000億円をめざす。
• 今日、フジキンは世界の半導体製造を支える設備装置において、
2023年度(1,701億円)⇒2030年度までの成長は1.8倍 欠かすことの出来ない重要なメーカーに進化したと自負している。
【単体】 • フジキンの事業規模は過去約30年間で売上高及び従業員数、共に
20倍の規模に拡大することができました。
• 2030年度にフジキン単体の売上高1,420億円をめざす。
「企業は人なり」という言葉があるように、社員あっての会社です。
2023年度(836億円)⇒2030年度までの成長は1.7倍
社員がやりがいを持って一丸となり、社員も会社も成長していくことを
目指しています。</t>
  </si>
  <si>
    <t>【p.2】
株式会社フジキン
.補助事業の概要
2
フジキンは事業ユニット「大阪工場」において、大阪地区に２工場の生産活動を統括している。
今回、３つ目の工場を新設し生産力を増強、半導体や水素など成長分野における市場シェアと利益の増大を図る。
• 世界の半導体製造装置用バルブ機器の需要は、増減サイクルを経ながらも成長が見込まれる。
補助事業の 事業費 42億円
• この需要の変動に柔軟に対応しかつ生産力を増強するため、大阪地区に新工場を建設する。
背景・目的 （補助額） （13億円）
• 新工場の増設と生産移管に伴う大阪地区既存工場での空スペースで、制御・測定機器や水素
インフラ向けバルブ等の成長製品の生産力を強化する。
【新工場建設】
5階建て延べ床面積5,564㎡
• 建屋建設（22億円） 生産能力43％増
• クリーンルーム（4億円） 生産能力76％増
• 生産設備等（16億円）マシニングセンター、NC旋盤など。
短納期対応設備の導入により、対象加工品目のリードタイムを
設備投資の
20～80％削減。段取り行程18人分を省人化。
内容
• 工場内での工程間搬送の自動化を行うことで、生産リードタイムを
20~50%削減、人による搬送を90%削減。
【倉庫集約】
• 貸倉庫含む 5ヶ所⇒1ヶ所（2400坪） 倉庫面積15.3%増
• 人員 57人⇒46人 省人化20％
2026年度 2029年度
項目
（基準年度） （基準年度＋３年後）
労働生産性
1,360万円/人
2,232万円/人
（単位：万円/人） (３年間の平均上昇率＋18.0%)
目標値 従業員1人あたり給与支給総額 639万円/人
552万円/人
（単位：万円/人） （年平均上昇率＋5.0％）
役員１人あたり給与支給総額
対象なし 対象なし
（単位：万円/人）
補助事業に係る従業員数
540名 540名
（単位：人）</t>
  </si>
  <si>
    <t>日本リファイン株式会社
1.長期成長ビジョン
当社は安心・安全、資源循環型社会の形成に貢献し、企業としてさらなる環境と経済の持続的発展を目指す。</t>
  </si>
  <si>
    <t>長期成長ビジョン（目指す姿・ビジネスモデル）
当社の目指す企業像は、「地球と人々の未来を創造する考働企業」
である。
有機溶剤の多くが使用後に焼却処分され、CO2排出量が増えること
により地球温暖化の原因となっている。
当社のビジネスモデルである、精製リサイクル事業は、資源循環社会
の形成（CO2削減）に寄与する事業であり、事業発展することを通
じて、地球環境の保全と持続可能な社会の構築に貢献していく。
今後は外発的動機を通じ、あらゆるモノづくり業界の使用済み溶剤を
回収、精製、リサイクルすることで資源として完全に循環させることを目
指す。
また、地球環境だけでなく、内発的動機にある、ウェルビーイング経営
を推し進め、「働きがい」 、「安全」、「思いやり」、のある職場環境も
整備し、社員満足度の向上に努め、生産性向上を図る。</t>
  </si>
  <si>
    <t>外発的動機
世界市場において、車載用リチウムイオン電池の2019年は約4兆円、
2030年には約33兆円、2050年には約53兆円の規模に達するとみられる。
昨今、リチウムイオン電池メーカーから、欧州バッテリー規則に基づき、 当社の
NMPリサイクルに伴う、カーボンフットプリントデータの報告（燃料の燃焼によ
るCO２の排出量および電気の使用によるCO２の排出量）が求められるよ
うになった。
また、CO2排出量削減の観点から、お客様からの引き合いが2021年に比べ
約1.5倍増加していることや、「地球温暖化対策計画」による閣議決定
（R3.10.22）からも廃棄物焼却量の削減にともなう、廃溶剤のマテリアル
リサイクル量の増加要請が高まっている。
（2013年度：490kt/2025年度：619kt/2030年度：716kt）
※マテリアルリサイクルとは、廃棄されたものを新しい製品の原材料として再利
用する方法。
、地球環境の保全と持続可能な社会の構築に貢献していく。 約
後は外発的動機を通じ、あらゆるモノづくり業界の使用済み溶剤を （
リサ
収、精製、リサイクルすることで資源として完全に循環させることを目
（
。
※</t>
  </si>
  <si>
    <t>※
く、内発的動機にある、ウェルビーイング経営
用
、「安全」、「思いやり」、のある職場環境も
向上に努め、生産性向上を図る。
内
当
内発的動機
当社は、「人類が持続的に発展できる社会を実現するために『資源』、『環
境』、『こころ』のリファインを業とし社会に貢献する」を企業理念とする。
環境保全と経済成長の両立に貢献できる企業として、更なる社会貢献が可
能であると感じている。
リファイン＝精製という意味であるが、当社のビジネスモデルである、有機溶剤
の精製リサイクル事業にとどまらず、精製を通じ、CO２削減によるカーボン
ニュートラル社会の実現に貢献する。
当社は、サスティナビリティの一歩先を行く、リジェネラティブ（環境と経済の持
続的発展）を目指している。
また、従業員もより身体的、精神的、社会的に『こころ』が満たされるよう、ウェ
ルビーング経営を推し進めていきたい。</t>
  </si>
  <si>
    <t>【p.1／売上成長目標】
売上成長目標
【グループ全社】
2023年度：209億円→2029年度： 500億円
• 2029年度でにグループ全体の売上高成長率239％
• 2029年度までにグループ全体の売上高増加額291億円
【日本リファイン（株）】
2023年度：121億円→2029年度 189億円
• 2029年度までに会社全体の売上高成長率156％
• 2029年度までに会社全体の売上高増加額68.4億円</t>
  </si>
  <si>
    <t>【p.1】
日本リファイン株式会社
1.長期成長ビジョン
当社は安心・安全、資源循環型社会の形成に貢献し、企業としてさらなる環境と経済の持続的発展を目指す。
長期成長ビジョン（目指す姿・ビジネスモデル） 外発的動機
世界市場において、車載用リチウムイオン電池の2019年は約4兆円、
当社の目指す企業像は、「地球と人々の未来を創造する考働企業」
2030年には約33兆円、2050年には約53兆円の規模に達するとみられる。
である。
昨今、リチウムイオン電池メーカーから、欧州バッテリー規則に基づき、 当社の
有機溶剤の多くが使用後に焼却処分され、CO2排出量が増えること
NMPリサイクルに伴う、カーボンフットプリントデータの報告（燃料の燃焼によ
により地球温暖化の原因となっている。
るCO２の排出量および電気の使用によるCO２の排出量）が求められるよ
当社のビジネスモデルである、精製リサイクル事業は、資源循環社会 うになった。
の形成（CO2削減）に寄与する事業であり、事業発展することを通 また、CO2排出量削減の観点から、お客様からの引き合いが2021年に比べ
じて、地球環境の保全と持続可能な社会の構築に貢献していく。 約1.5倍増加していることや、「地球温暖化対策計画」による閣議決定
今後は外発的動機を通じ、あらゆるモノづくり業界の使用済み溶剤を （R3.10.22）からも廃棄物焼却量の削減にともなう、廃溶剤のマテリアル
回収、精製、リサイクルすることで資源として完全に循環させることを目 リサイクル量の増加要請が高まっている。
（2013年度：490kt/2025年度：619kt/2030年度：716kt）
指す。
※マテリアルリサイクルとは、廃棄されたものを新しい製品の原材料として再利
また、地球環境だけでなく、内発的動機にある、ウェルビーイング経営
用する方法。
を推し進め、「働きがい」 、「安全」、「思いやり」、のある職場環境も
整備し、社員満足度の向上に努め、生産性向上を図る。
内発的動機
当社は、「人類が持続的に発展できる社会を実現するために『資源』、『環
売上成長目標 境』、『こころ』のリファインを業とし社会に貢献する」を企業理念とする。
環境保全と経済成長の両立に貢献できる企業として、更なる社会貢献が可
【グループ全社】
能であると感じている。
2023年度：209億円→2029年度： 500億円
リファイン＝精製という意味であるが、当社のビジネスモデルである、有機溶剤
• 2029年度でにグループ全体の売上高成長率239％
の精製リサイクル事業にとどまらず、精製を通じ、CO２削減によるカーボン
• 2029年度までにグループ全体の売上高増加額291億円
ニュートラル社会の実現に貢献する。
【日本リファイン（株）】
当社は、サスティナビリティの一歩先を行く、リジェネラティブ（環境と経済の持
2023年度：121億円→2029年度 189億円
続的発展）を目指している。
• 2029年度までに会社全体の売上高成長率156％ また、従業員もより身体的、精神的、社会的に『こころ』が満たされるよう、ウェ
• 2029年度までに会社全体の売上高増加額68.4億円 ルビーング経営を推し進めていきたい。
Source：経済産業省「蓄電池産業戦略」、閣議決定「地球温暖化対策計画」、当社資料</t>
  </si>
  <si>
    <t>【p.2】
.補助事業の概要 日本リファイン株式会社
2
本件の設備投資は単なる新設・増設ではなく、①売上拡大、コスト削減②省力化、省人化による人手不足解
消③環境負荷低減を実現し、生産性向上および持続可能な賃上げを目的とする取り組みである。
輪之内工場の生産能力および保管能力の不足に起因する、コスト増加や人手不足が喫緊の課題であり、
補助事業の それらを解決するための設備投資である。 事業費 4 0億 円
既に取引先の車載用電池メーカーより増産要請があり、これらの機会にも応えることが可能となる。
背景・目的 （補助額） （8. 6 億円）
生産能力不足のために当社千葉工場への横持運賃が発生しており、当該生産分も輪之内工場に移管す
ることで、コスト低減、工場間輸送に伴うCO2削減にも寄与する。
• 本件の設備投資では、NMP（LIB向け）にかかるオペレーション不要な全自動
の蒸留精製塔およびリサイクル原料や製品を保管するタンクを増設することで、省
力化、省人化を図る。また、蒸留精製塔におけるスチーム使用量を50％削減し、
省エネや環境負荷低減にも寄与する。その他、生産量の増加に伴う、保管能力
不足に起因する様々なコスト（外部保管費用、容器代、容器への移し替え、横
持運賃、作業時間などの労務費）を大幅に削減する。（直近3年の売上原価
率平均▲3.4％。数億円単位の削減見込み）
写真等
設備投資の
• NMP分散液（LIB向け）の新規需要に対応するために生産設備を新設する。
内容 千葉工場での生産実績を活かし、自動化機械を設置。クリーン環境が必要なた
め建物も新設する。
• 工場で従事する社員が常にコミュニケーションが取れるように工場管理棟を新設し、
業務効率化とオフラインでの部署間のコミュニケーション強化を図る。また、新たに
品質管理業務の効率を上げるクリーンルームの設置や、既に全社展開している
TPM（全員参加型の生産保全）を強化するため、他工場との交流ができる場
や会議室などを設置する。
2026年度 2029年度
項目
（基準年度） （基準年度＋３年後）
労働生産性
（単位：万円/人）
1,846 2,467(年平均上昇率＋10.19%)
目標値 従業員1人あたり給与支給総額 471 545(年平均上昇率＋5.00%)
（単位：万円/人）
役員１人あたり給与支給総額
ー ー
（単位：万円/人）
補助事業に係る従業員数
80 85
（単位：人）</t>
  </si>
  <si>
    <t>日星電気株式会社
1.⾧期成⾧ビジョン
日星電気は、1969年の会社設立以来、「顧客企業の課題解決」「先端技術のビジネス化」の実現している。
今後も、時流に合わせた挑戦を続け、自社の技術を活かせる得意分野でトップを目指していく
• 今後、市場規模拡大が見込まれる医療機器分野や、特に高機能・高品質を要求される理化学分析機器、半導体製造装置用等の分野におい
て、安定した製品品質、製品提供を実現し、トップメーカーへの参入を果たし存在感を高めてゆく
• 5年後（2029年度）には、会社全体売上530億円を目指す</t>
  </si>
  <si>
    <t>⾧期成⾧ビジョン（目指す姿・ビジネスモデル）
経営理念:Do our best. Something only we can do.
ー私たちにしかできないことに、全力を尽くすー
わたしたちは、もてる力のすべてを鍛え、磨いて、社会が求める機能を
作り出し、適正な価格、優れた品質の製品として世界の市場に届け
ることで社会に貢献し、企業としての永続と、社員すべての自己実現
を図る。
目指す姿:オンリーワンな新製品が絶えず生まれ続ける会社
目指すビジネスモデル:当社独自のニッチ技術を活かし、既存市場・
成⾧市場でのオンリーワン企業を目指す
・既存市場（OA、家電、内燃機関等）は、顧客との良好な関係を
維持し、より貢献するために、高機能分野でオンリーワンを探求する
・新規市場では、市場が求める製品製造を実現する技術を先行して
開発し、医療機器業界、モビリティ業界、半導体製造機器、FA業界
等の今後発展が期待できる分野で足場固めをおこなう
・市場ニーズを取り込み、ビジネスを広げるため、関連する展示会に参
加するとともに、顧客先でのプライベート展示会、新規市場分野の主
要海外企業への参入(海外営業拠点の設立)を計画</t>
  </si>
  <si>
    <t>外発的動機
• 世界のふっ素チューブ市場場規模は、2023年の約1.6億米ドルか
ら、2030年までに約2.4億米ドルに成⾧すると予測され、予測期
間2024年から2030年においてCAGR約4.4%成⾧
（出典:PressWalker_QY Research株式会社調べ）
• 医療技術の発展に伴い、医療機器、分析機器もハイスペック化が
進み、機器を構成する部品も、より高品質が求められている
• 日本のみならず世界的にも第四次産業革命といわれるDX化が主
流であり、ロボットの高機能化・小型化が求められている
• 人手不足解決のために省力化・自動化技術の開発が進み、並行
して高精度・高品質を安定させるために装置開発が必須</t>
  </si>
  <si>
    <t>内発的動機
• 会社設立以降、顧客企業の課題解決を徹底することは、営業手
法や技術提案のノウハウ蓄積に寄与しており、成⾧の原動力である
• 技術トレンドのビジネス化に積極的に取り組んでおり、先行者利益
を獲得してきたことで得意領域を広げることに成功してきた
• 時流に乗るためには、素早い判断が必要になる。当社は、事業がう
まくいかなくなってきた場合でも、素早く判断して撤退を決定している
• 現在まで上記の活動を継続することで、継続した事業拡大及びトッ
プメーカーとのつながり拡大につながり、当社の基本戦略として社内
に浸透している
• 経営理念は、当社ビジネスを端的に示しており、他社との差別化要
素となっている
• BtoB事業に注力 部品に特化することで高機能製品の実現</t>
  </si>
  <si>
    <t>【p.1／て、安定した製品品質、製品提供を実現し、トップメーカーへの参入を果たし存在感を高めてゆく】
• 今後、市場規模拡大が見込まれる医療機器分野や、特に高機能・高品質を要求される理化学分析機器、半導体製造装置用等の分野におい
て、安定した製品品質、製品提供を実現し、トップメーカーへの参入を果たし存在感を高めてゆく
• 5年後（2029年度）には、会社全体売上530億円を目指す
【p.1／売上成長目標】
売上成⾧目標
• 2029年度までに会社全体の売上高成⾧率116％
• 2029年度までに会社全体の売上高増加額71億円
（基準年度2026年度をベースに計算）
【p.2／①敷地面積:46,152ｍｍ2、床面積:20,400mm2(3階建て)】
①敷地面積:46,152ｍｍ2、床面積:20,400mm2(3階建て)
②工場ユーティリティ使用量監視機能付
【p.2／①外径自動制御機能の搭載により押出し作業の無人化】
①外径自動制御機能の搭載により押出し作業の無人化
②段取替えは品目No.入力により各機器の製造条件切替え可能
【p.2／①製品の形状検討や治具金型設計にて開発工数削減・効率化】
①製品の形状検討や治具金型設計にて開発工数削減・効率化
②製品開発スピードUpを図り、生産性10%向上
【p.2／①成形金型の内製化・製品の寸法能力の改善・ロス低減】
①成形金型の内製化・製品の寸法能力の改善・ロス低減
②段取替えは品目No.入力により各機器の製造条件切替え可能
【p.2／①医療用チューブ加工工程の無人化・量産対応】
①医療用チューブ加工工程の無人化・量産対応
②レイアウト・動線の改善、製品運搬を省力化し労働生産性40%向上
【p.2／①工法改善及び新規設備を開発し、2工程を1工程に集約】
①工法改善及び新規設備を開発し、2工程を1工程に集約
②無人化により労働生産性の倍増を見込む
【p.2／①開発サイクルの短縮】
①開発サイクルの短縮
②開発コストの削減
【p.2／①製品開発、製造品の種々の評価試験に活用】
①製品開発、製造品の種々の評価試験に活用</t>
  </si>
  <si>
    <t>【p.1】
日星電気株式会社
1.⾧期成⾧ビジョン
日星電気は、1969年の会社設立以来、「顧客企業の課題解決」「先端技術のビジネス化」の実現している。
今後も、時流に合わせた挑戦を続け、自社の技術を活かせる得意分野でトップを目指していく
• 今後、市場規模拡大が見込まれる医療機器分野や、特に高機能・高品質を要求される理化学分析機器、半導体製造装置用等の分野におい
て、安定した製品品質、製品提供を実現し、トップメーカーへの参入を果たし存在感を高めてゆく
• 5年後（2029年度）には、会社全体売上530億円を目指す
⾧期成⾧ビジョン（目指す姿・ビジネスモデル） 外発的動機
• 世界のふっ素チューブ市場場規模は、2023年の約1.6億米ドルか
経営理念:Do our best. Something only we can do.
ら、2030年までに約2.4億米ドルに成⾧すると予測され、予測期
ー私たちにしかできないことに、全力を尽くすー
間2024年から2030年においてCAGR約4.4%成⾧
わたしたちは、もてる力のすべてを鍛え、磨いて、社会が求める機能を
（出典:PressWalker_QY Research株式会社調べ）
作り出し、適正な価格、優れた品質の製品として世界の市場に届け • 医療技術の発展に伴い、医療機器、分析機器もハイスペック化が
ることで社会に貢献し、企業としての永続と、社員すべての自己実現 進み、機器を構成する部品も、より高品質が求められている
を図る。 • 日本のみならず世界的にも第四次産業革命といわれるDX化が主
流であり、ロボットの高機能化・小型化が求められている
目指す姿:オンリーワンな新製品が絶えず生まれ続ける会社 • 人手不足解決のために省力化・自動化技術の開発が進み、並行
目指すビジネスモデル:当社独自のニッチ技術を活かし、既存市場・ して高精度・高品質を安定させるために装置開発が必須
成⾧市場でのオンリーワン企業を目指す
・既存市場（OA、家電、内燃機関等）は、顧客との良好な関係を 内発的動機
維持し、より貢献するために、高機能分野でオンリーワンを探求する
• 会社設立以降、顧客企業の課題解決を徹底することは、営業手
・新規市場では、市場が求める製品製造を実現する技術を先行して
法や技術提案のノウハウ蓄積に寄与しており、成⾧の原動力である
開発し、医療機器業界、モビリティ業界、半導体製造機器、FA業界
• 技術トレンドのビジネス化に積極的に取り組んでおり、先行者利益
等の今後発展が期待できる分野で足場固めをおこなう
を獲得してきたことで得意領域を広げることに成功してきた
・市場ニーズを取り込み、ビジネスを広げるため、関連する展示会に参
• 時流に乗るためには、素早い判断が必要になる。当社は、事業がう
加するとともに、顧客先でのプライベート展示会、新規市場分野の主
まくいかなくなってきた場合でも、素早く判断して撤退を決定している
要海外企業への参入(海外営業拠点の設立)を計画
• 現在まで上記の活動を継続することで、継続した事業拡大及びトッ
プメーカーとのつながり拡大につながり、当社の基本戦略として社内
売上成⾧目標
に浸透している
• 2029年度までに会社全体の売上高成⾧率116％
• 経営理念は、当社ビジネスを端的に示しており、他社との差別化要
• 2029年度までに会社全体の売上高増加額71億円
素となっている
（基準年度2026年度をベースに計算）
• BtoB事業に注力 部品に特化することで高機能製品の実現</t>
  </si>
  <si>
    <t>【p.2】
日星電気株式会社
2.補助事業の概要
三方原工場での事業開始に向け自動化設備の導入を行い、量産体制による生産基盤を構築する
これらにより 労働生産性（年平均）+7.3％UP 従業員給与支給（年平均）+3.51%UP を達成する
• 市場拡大に対応すべく高付加価値な商品を安定的に量産できる生産体制の
億円
補助事業の 事業費 95
構築を行う
背景・目的 （補助額） （28億円）
• 顧客ニーズに対応する新技術の開発スピードUP、品質要求に応える
No. 導入設備 内容
【医療用チューブ加工自動機 開発事例 NO.５】
①敷地面積:46,152ｍｍ2、床面積:20,400mm2(3階建て)
1 三方原工場建屋
②工場ユーティリティ使用量監視機能付
通信ケーブル⾧尺製造 ①外径自動制御機能の搭載により押出し作業の無人化
2
設備一式 ②段取替えは品目No.入力により各機器の製造条件切替え可能
通信ケーブル評価・ ①製品の形状検討や治具金型設計にて開発工数削減・効率化
3
開発設備一式 ②製品開発スピードUpを図り、生産性10%向上
医療用チューブ⾧尺 ①成形金型の内製化・製品の寸法能力の改善・ロス低減
設備投資の 4
設備一式 ②段取替えは品目No.入力により各機器の製造条件切替え可能 機械化によるチューブ加工作業の自動化
内容
医療用チューブ加工 ①医療用チューブ加工工程の無人化・量産対応
5
設備一式 ②レイアウト・動線の改善、製品運搬を省力化し労働生産性40%向上
ふっ素チューブ⾧尺製造 ①工法改善及び新規設備を開発し、2工程を1工程に集約
6
設備一式 ②無人化により労働生産性の倍増を見込む
ふっ素チューブ製品評価 ①開発サイクルの短縮
7
設備一式 ②開発コストの削減
全製品対象製品評価
8 ①製品開発、製造品の種々の評価試験に活用
設備一式
2026年度 2029年度
項目
（基準年度） （基準年度＋３年後）
労働生産性 3,221
2,604
（単位:万円/人） （年平均上昇率＋7.3％）
従業員1人あたり給与支給総額 865
目標値 780
（単位:万円/人） （年平均上昇率＋3.51％）
役員１人あたり給与支給総額 ー
ー
（単位:万円/人） （年平均上昇率＋3.50％）
補助事業に係る従業員数
238 266
（単位:人）</t>
  </si>
  <si>
    <t>株式会社クラタ
1.長期成長ビジョン
株式会社クラタ長期成長ビジョン/電動化・安全運転社会実現への貢献による事業成長
経済産業省「2050年カーボンニュートラルに伴うグリーン成長戦略」にも掲げられている電動車・自動運転向けブレーキ技術獲得による脱炭
素社会へ貢献及び当社創業以来、経営の根幹を支えてきた自動車産業への貢献を通じて10年後に売上を80億円へ増加させる。</t>
  </si>
  <si>
    <t>• 本事業の目的は電動車・自動運転に必須の回生協調ブレーキシステムの製造を行うとともに、必要数量を供給することである。
• 目的達成のために西尾市に新工場を建設し、必要設備への大規模な投資を実施する。
• 本事業で獲得する成果により、付加価値向上を実現し、省力化施策を同時に実施することで生産性向上、従業員1人あたり給与支給総額上昇を実現する。</t>
  </si>
  <si>
    <t>長期成長ビジョン（目指す姿・ビジネスモデル）
• エンジン車衰退が確実視される状況を受け、電動車・
自動運転車向け部品製造に経営資源を集中する。
• 当社の強みを活用し、電動車・自動運転向けに必要と
なる技術を備えた次世代部品の製造に挑戦することで
事業成長を実現する。
• 電動車・自動運転部品製造の設備への大規模な投資
を行い、地域の主力事業である自動車業界に貢献を
図るとともに、地域での雇用を創出、賃上げを行うこと
で従業員への還元も積極的に行っていく。
売上成長（2023年度47億円⇒2035年度80億円）
■会社全体の売上高成長率70％
■2035年までの会社全体の売上高増加額33億円</t>
  </si>
  <si>
    <t>外発的動機
• 今後、電動車市場は大きく成長することが確実視されている。矢野経
済調査によると電動車市場は2022年～2035年で年率11.6%の
成長が見込まれている。自動運転化に向けた動きも加速している。
• 電動化においては、走行時の運動エネルギーを電気エネルギーに換え
て回収し、再利用することが求められる。
• 完全自動運転化に向けて安全性確保が必須の課題となっている。
• 電動車は、航続距離を延ばすための燃費向上が最大の課題となってい
る。
• 顧客から電動車・自動運転車に対応した部品製造の強い引き合いを
いただいている。</t>
  </si>
  <si>
    <t>内発的動機
• 創業以来77 年に渡る切削への取組み・難加工の挑戦の歴史により、
自動車駆動系・動力系部品への揺るぎない切削技術を確立している。
主にエンジン部品に使われる軽量アルミの切削加工に注力し他に追随
を許さない品質/コストを提供しており自動車産業の根幹を支えてきたと
自負している。
• 一方で当社の主力製品であるエンジン車向けオイルポンプは大幅な
売上減退が想定される。
• 当社は自動車の安全性に直結する駆動部分の精密切削加工分野
ニッチトップ企業であり、技術力を高め自動車産業の電動化・自動化
への潮流変化に対応した高品質の製品を自動車製造会社に供給す
ることは当社の使命であると考えている。</t>
  </si>
  <si>
    <t>【p.1／その他Box 1】
経済産業省「2050年カーボンニュートラルに伴うグリーン成長戦略」にも掲げられている電動車・自動運転向けブレーキ技術獲得による脱炭
素社会へ貢献及び当社創業以来、経営の根幹を支えてきた自動車産業への貢献を通じて10年後に売上を80億円へ増加させる。
【p.2／上段要旨】
• 本事業の目的は電動車・自動運転に必須の回生協調ブレーキシステムの製造を行うとともに、必要数量を供給することである。
• 目的達成のために西尾市に新工場を建設し、必要設備への大規模な投資を実施する。
• 本事業で獲得する成果により、付加価値向上を実現し、省力化施策を同時に実施することで生産性向上、従業員1人あたり給与支給総額上昇を実現する。</t>
  </si>
  <si>
    <t>【p.1】
株式会社クラタ
1.長期成長ビジョン
株式会社クラタ長期成長ビジョン/電動化・安全運転社会実現への貢献による事業成長
経済産業省「2050年カーボンニュートラルに伴うグリーン成長戦略」にも掲げられている電動車・自動運転向けブレーキ技術獲得による脱炭
素社会へ貢献及び当社創業以来、経営の根幹を支えてきた自動車産業への貢献を通じて10年後に売上を80億円へ増加させる。
外発的動機
長期成長ビジョン（目指す姿・ビジネスモデル） • 今後、電動車市場は大きく成長することが確実視されている。矢野経
済調査によると電動車市場は2022年～2035年で年率11.6%の
• エンジン車衰退が確実視される状況を受け、電動車・
成長が見込まれている。自動運転化に向けた動きも加速している。
自動運転車向け部品製造に経営資源を集中する。 • 電動化においては、走行時の運動エネルギーを電気エネルギーに換え
て回収し、再利用することが求められる。
• 当社の強みを活用し、電動車・自動運転向けに必要と • 完全自動運転化に向けて安全性確保が必須の課題となっている。
なる技術を備えた次世代部品の製造に挑戦することで • 電動車は、航続距離を延ばすための燃費向上が最大の課題となってい
る。
事業成長を実現する。
• 顧客から電動車・自動運転車に対応した部品製造の強い引き合いを
いただいている。
• 電動車・自動運転部品製造の設備への大規模な投資
を行い、地域の主力事業である自動車業界に貢献を
内発的動機
図るとともに、地域での雇用を創出、賃上げを行うこと
• 創業以来77 年に渡る切削への取組み・難加工の挑戦の歴史により、
で従業員への還元も積極的に行っていく。
自動車駆動系・動力系部品への揺るぎない切削技術を確立している。
主にエンジン部品に使われる軽量アルミの切削加工に注力し他に追随
を許さない品質/コストを提供しており自動車産業の根幹を支えてきたと
自負している。
• 一方で当社の主力製品であるエンジン車向けオイルポンプは大幅な
売上減退が想定される。
売上成長（2023年度47億円⇒2035年度80億円） • 当社は自動車の安全性に直結する駆動部分の精密切削加工分野
■会社全体の売上高成長率70％ ニッチトップ企業であり、技術力を高め自動車産業の電動化・自動化
■2035年までの会社全体の売上高増加額33億円 への潮流変化に対応した高品質の製品を自動車製造会社に供給す
ることは当社の使命であると考えている。</t>
  </si>
  <si>
    <t>【p.2】
2.補助事業の概要 株式会社クラタ
補助事業実施の背景と設備投資概要及び労働生産性・賃上げ目標値について
• 本事業の目的は電動車・自動運転に必須の回生協調ブレーキシステムの製造を行うとともに、必要数量を供給することである。
• 目的達成のために西尾市に新工場を建設し、必要設備への大規模な投資を実施する。
• 本事業で獲得する成果により、付加価値向上を実現し、省力化施策を同時に実施することで生産性向上、従業員1人あたり給与支給総額上昇を実現する。
補助事業の エンジン車は今後確実に衰退する。新工場・設備への大規模投資を行い電動車・自動運転車に必須の回生 事業費 19億円
協調ブレーキシステムの製造を実現して、顧客要求に応えていくことが補助事業の目的である。
背景・目的 （補助額） （6.4億円）
西尾の中古工場を買い取り修繕工事を行う。
回生協調ブレーキシステム部品生産の事業拡大の新拠点とする。
設備投資内容
・工場修繕：建屋/屋根/事務所
補助事業の ・工場ｲﾝﾌﾗ：配水/配管/電気/ｺﾝﾌﾟﾚｯｻｰ
設備投資 ・生産設備：ﾏｼﾆﾝｸﾞｾﾝﾀ/高圧洗浄機他
内容 ・検査設備：三次元測定機/形状測定機他 西尾新工場
・ｿﾌﾄｳｪｱ ：通信ｼｽﾃﾑ
住所：愛知県西尾市南中根町山畑68-1
・省力化設備
面積：敷地7827m3延床4918m3
：自動搬送装置/形状・外観検査装置
概要：鉄骨造スレート葺工場
/切粉・廃液処理装置
2024年3月 買取済
加工ラインの自動化構想
2026年度 2029年度
項目
（基準年度） （基準年度＋３年後）
労働生産性（万円/人） 1809.8
133.6
（年平均上昇率＋138.4％）
補助事業の 従業員1人あたり 473
420
目標値 給与支給総額（万円/人） （年平均上昇率＋4.04％）
役員１人あたり給与支給総額 ―
―
（万円/人） （年平均上昇率+３.5%）
補助事業にかかる従業員数
21 41
（単位：人）</t>
  </si>
  <si>
    <t>広陵化学工業株式会社
1.長期成長ビジョン
プラスチック製造業×医療機器・医療関連製品製造業という、中小企業では唯一無二の存在感を発揮し、医療機器産業を取り巻く
課題（国内企業の競争力低下や需給逼迫等）に対して、ものづくり中小企業として貢献していく。
その結果、売上・利益の成長目標を達成し、持続的な賃上げと雇用増加、地域企業の取引額増加・医療進出など地域貢献を実現する</t>
  </si>
  <si>
    <t>長期成長ビジョン（目指す姿・ビジネスモデル）
○医療機器・医療関連製品の生産受託事業
(目指す姿)
「ものづくり中小企業」として水平分業における、生産工程の担い手と
なり、国内製造で高品質かつ、有事の際の安定供給にも対応できる
体制で、国内医療機器産業の競争力強化に貢献する。
(ビジネスモデル)
生産受託している高度管理(クラス4)医療機器の製造を開始して、
世界初の高付加価値の医療機器を国内・海外市場へ供給する。
○自社オリジナルの医療機器・医療関連製品の発売
(目指す姿)
世界的に患者数が増える感染症領域で、主に感染の診断に使用
する医療機器と医療関連製品を製造し、国内・海外市場に供給す
る。
(ビジネスモデル)
2022年に原材料を含め、全て国産で完結する医療検査用スワブを
自社開発した。現在、年間2,000万本の量産に対応できる設備の
構築を進めており、完成後は国内の検査キットメーカーへ供給する。</t>
  </si>
  <si>
    <t>外発的動機
• 新たなビジネスモデルの構築が必要
カーボンニュートラル実現に向け、法規制を伴う脱プラスチックが加速し、
これまでのプラスチック加工事業は縮小を避けられない見通しである。
• 物価上昇と人手不足が、持続的な賃上げの必要性を顕在化
必要な人材を確保するためには、業界や地域の水準にとどまらない、
積極的な賃上げが必要である。
• 国内医療機器産業の課題解決ニーズの増加
新規の医療機器開発・上市のスピードUPや生産の効率化の実現に
は、開発や設計・生産を切り離した分業体制の構築が求められており、
中小製造業は生産の担い手として注目されている。</t>
  </si>
  <si>
    <t>内発的動機
• 「国民の健康を他国に頼ってよいのか？」という思い
約15年前の新型インフルエンザ流行時、使用されている感染症検査
スワブの、約9割近くが海外製だと知り、「国民の健康を他国に頼ってよ
いのか？」という思いから自社オリジナル医療機器の開発に着手した。
• 社員全員が「世の中に役立っているものをつくっている」と感じれる
働きがい・やりがいを見つけることが出来る企業を目指して
脱プラスチックの風潮によって、自分の仕事が「世の中から必要とされて
いない」と感じるのではなく、健康を守るという社会貢献度の高い事業
へ注力し、社員全員に「世の中に役立っているものをつくっている」と感
じてほしい。
その中で、働きがい・やりがいを見つけることのできる企業を目指した。</t>
  </si>
  <si>
    <t>【p.1／売上成長目標】
売上成長目標
• 直近期（2023年12月）より2030年12月までの会社全体の
売上高成長率50％
• 2030年までの会社全体の売上高増加額11.6億円</t>
  </si>
  <si>
    <t>【p.1】
広陵化学工業株式会社
1.長期成長ビジョン
プラスチック製造業×医療機器・医療関連製品製造業という、中小企業では唯一無二の存在感を発揮し、医療機器産業を取り巻く
課題（国内企業の競争力低下や需給逼迫等）に対して、ものづくり中小企業として貢献していく。
その結果、売上・利益の成長目標を達成し、持続的な賃上げと雇用増加、地域企業の取引額増加・医療進出など地域貢献を実現する。
長期成長ビジョン（目指す姿・ビジネスモデル） 外発的動機
○医療機器・医療関連製品の生産受託事業 • 新たなビジネスモデルの構築が必要
カーボンニュートラル実現に向け、法規制を伴う脱プラスチックが加速し、
(目指す姿)
これまでのプラスチック加工事業は縮小を避けられない見通しである。
「ものづくり中小企業」として水平分業における、生産工程の担い手と
なり、国内製造で高品質かつ、有事の際の安定供給にも対応できる
• 物価上昇と人手不足が、持続的な賃上げの必要性を顕在化
体制で、国内医療機器産業の競争力強化に貢献する。
必要な人材を確保するためには、業界や地域の水準にとどまらない、
積極的な賃上げが必要である。
(ビジネスモデル)
生産受託している高度管理(クラス4)医療機器の製造を開始して、
• 国内医療機器産業の課題解決ニーズの増加
世界初の高付加価値の医療機器を国内・海外市場へ供給する。
新規の医療機器開発・上市のスピードUPや生産の効率化の実現に
は、開発や設計・生産を切り離した分業体制の構築が求められており、
○自社オリジナルの医療機器・医療関連製品の発売 中小製造業は生産の担い手として注目されている。
(目指す姿)
世界的に患者数が増える感染症領域で、主に感染の診断に使用
内発的動機
する医療機器と医療関連製品を製造し、国内・海外市場に供給す
る。 • 「国民の健康を他国に頼ってよいのか？」という思い
約15年前の新型インフルエンザ流行時、使用されている感染症検査
スワブの、約9割近くが海外製だと知り、「国民の健康を他国に頼ってよ
(ビジネスモデル)
いのか？」という思いから自社オリジナル医療機器の開発に着手した。
2022年に原材料を含め、全て国産で完結する医療検査用スワブを
自社開発した。現在、年間2,000万本の量産に対応できる設備の
構築を進めており、完成後は国内の検査キットメーカーへ供給する。 • 社員全員が「世の中に役立っているものをつくっている」と感じれる
働きがい・やりがいを見つけることが出来る企業を目指して
脱プラスチックの風潮によって、自分の仕事が「世の中から必要とされて
売上成長目標
いない」と感じるのではなく、健康を守るという社会貢献度の高い事業
• 直近期（2023年12月）より2030年12月までの会社全体の へ注力し、社員全員に「世の中に役立っているものをつくっている」と感
売上高成長率50％ じてほしい。
• 2030年までの会社全体の売上高増加額11.6億円 その中で、働きがい・やりがいを見つけることのできる企業を目指した。</t>
  </si>
  <si>
    <t>【p.2】
広陵化学工業株式会社
.補助事業の概要
2
新規の医療案件が充実しており、賃上げの基盤となる高付加価値製品の受注が増加傾向である。
一方で事業化・収益化するためには大規模な設備投資と新たな人材の採用・教育による定着が必要。補助事業では医療事業専門
の新工場を中心とした、高精度で効率の高い生産体制を構築し、収益力の向上を実現。継続的な賃上げに繋げる。
補助事業の • 目的は医療関連製品を中心とした高付加価値製品の受注・生産強化。課題は大規模な設 事業費 17億円
背景・目的 備投資と人員不足であり、本投資による生産工程の効率化により収益力を向上し、解決する （補助額） （5. 億円）
3
• 医療専門の新工場建設
• 高度管理医療機器を量産するための高精度なクリーンルームを設置する
ことにより、医療機器メーカーからの生産受託の条件に対応する
• 生産効率の高い射出成形機や、自動化や効率化に対応した二次加工
設備を導入することで、コストダウンや品質の安定化、安定供給が可能と
設備投資の なり、競合他社への競争力強化を実現する
内容
• 自動検品装置の導入により、省人化を実現し、補助事業に関わる人員
配置の最適化、人材教育時間の捻出を可能とする
2026年度 2029年度
項目
（基準年度） （基準年度＋３年後）
労働生産性 1,052
639
（単位：万円/人） （年平均上昇率＋18.1％）
目標値 従業員1人あたり給与支給総額 357
310
（単位：万円/人） （年平均上昇率＋4.8％）
役員１人あたり給与支給総額 ー
ー
（単位：万円/人） （年平均上昇率＋11.14％）
補助事業に係る従業員数
40 64
（単位：人）</t>
  </si>
  <si>
    <t>1.長期成長ビジョン
株式会社三和テスコ
一回りも二回りも会社を大きく成長させ、安定させる</t>
  </si>
  <si>
    <t>長期成長ビジョン（目指す姿・ビジネスモデル）
• 当社売上の約7割を占める大手企業からの受注は、利益率が低い
案件もあり、長年の課題となっている。
• 今後10年の生き残り策を探った結果、下請け体質からメーカーへの
脱皮を図ることが不可欠との結論に至った。(売上比率50%以上)
• そのためには、まず積極的な賃上げにより優秀な人材を獲得し、製
造部門のみならず、非製造部門（技術系）の人財強化を図る。
• 大手企業からの一品一葉の受注が多かったため、蓄積した技術力
は十分にあると認識。採算性の改善、技術力のＵＰ、売上ＵＰで、
一回りも二回りも会社を大きく成長させ、安定させたいと考えている。
そして高い給与、賞与を払う会社となりたい。
• 将来的にはグループ企業の一員としてではなく、単独上場を目指し
たい。</t>
  </si>
  <si>
    <t>外発的動機
• 当社の主要事業となっている造船業界は、長い目で見れば斜陽産業である。
大手に属する造船所は撤退や分社化し、専業メーカーのみが生き残っている
現状がある。
• 次の不況の波が来ればどうなるか分からない。造船不況はなぜか12年ピッチ
で起こるため、現在の造船向け事業が半減する可能性は十分にある。
• 衰退のトレンドでは値下げ要請が続くことは、これまでの経験で十分に分かっ
ている。現在のように造船向け事業を主力事業のままにしておくと、切り捨て
ることが出来ず、不毛な状態に陥る。
• 今回の亜臨界水処理装置という新規事業は、このような不況とは全く無縁
で、環境問題の深刻化が懸念されている日本社会において、必要不可欠な
設備であることを確信している。</t>
  </si>
  <si>
    <t>内発的動機
• 当社は2001年11月に経営破綻し、2003年3月に現親会社のポエック㈱
の資金援助を受け、子会社として再出発した。破綻中も仕事量は減らず、
既存顧客からの受注も継続され、割と安定した経営が出来るという、不思議
な体験をした。
• その理由は、他社に取って代わられる事が出来ないモノを生産出来る事、製
造技術がある事、であった。強度計算から製造認可、溶接施工法を多数取
得、特殊な圧力容器等を一品一葉で生産できること、である。
• 会社再生を契機に採算の合わない案件はお断りする方針に切り替え、徐々
に舶用の取引を選別してきた。
• 同時に親会社の製品（ナイアス）のＯＥＭ生産を開始、フィンランド企業と
の技術提携により熱交換器の生産を始めるなど、徐々にメーカー色を強めて
きた。</t>
  </si>
  <si>
    <t>【p.1／売上成長目標】
売上成長目標
• 2028年までに会社全体の売上高成長率を年平均40％以
上とする。
• 2028年までに会社全体の売上高増加額約50億円
→補助事業による寄与度
国内10セット×＠3億円＝30億円
海外 5セット×＠3億円＝15億円
【p.3／設備投資の内容】
要設備投資の内容につい</t>
  </si>
  <si>
    <t>【p.1】
1.長期成長ビジョン
株式会社三和テスコ
一回りも二回りも会社を大きく成長させ、安定させる
長期成長ビジョン（目指す姿・ビジネスモデル） 外発的動機
• 当社売上の約7割を占める大手企業からの受注は、利益率が低い • 当社の主要事業となっている造船業界は、長い目で見れば斜陽産業である。
案件もあり、長年の課題となっている。 大手に属する造船所は撤退や分社化し、専業メーカーのみが生き残っている
現状がある。
• 今後10年の生き残り策を探った結果、下請け体質からメーカーへの
脱皮を図ることが不可欠との結論に至った。(売上比率50%以上) • 次の不況の波が来ればどうなるか分からない。造船不況はなぜか12年ピッチ
で起こるため、現在の造船向け事業が半減する可能性は十分にある。
• そのためには、まず積極的な賃上げにより優秀な人材を獲得し、製
• 衰退のトレンドでは値下げ要請が続くことは、これまでの経験で十分に分かっ
造部門のみならず、非製造部門（技術系）の人財強化を図る。
ている。現在のように造船向け事業を主力事業のままにしておくと、切り捨て
• 大手企業からの一品一葉の受注が多かったため、蓄積した技術力 ることが出来ず、不毛な状態に陥る。
は十分にあると認識。採算性の改善、技術力のＵＰ、売上ＵＰで、
• 今回の亜臨界水処理装置という新規事業は、このような不況とは全く無縁
一回りも二回りも会社を大きく成長させ、安定させたいと考えている。
で、環境問題の深刻化が懸念されている日本社会において、必要不可欠な
そして高い給与、賞与を払う会社となりたい。
設備であることを確信している。
• 将来的にはグループ企業の一員としてではなく、単独上場を目指し
たい。
内発的動機
売上成長目標
• 当社は2001年11月に経営破綻し、2003年3月に現親会社のポエック㈱
• 2028年までに会社全体の売上高成長率を年平均40％以 の資金援助を受け、子会社として再出発した。破綻中も仕事量は減らず、
上とする。 既存顧客からの受注も継続され、割と安定した経営が出来るという、不思議
• 2028年までに会社全体の売上高増加額約50億円 な体験をした。
→補助事業による寄与度
• その理由は、他社に取って代わられる事が出来ないモノを生産出来る事、製
国内10セット×＠3億円＝30億円 造技術がある事、であった。強度計算から製造認可、溶接施工法を多数取
海外 5セット×＠3億円＝15億円 得、特殊な圧力容器等を一品一葉で生産できること、である。
• 会社再生を契機に採算の合わない案件はお断りする方針に切り替え、徐々
に舶用の取引を選別してきた。
• 同時に親会社の製品（ナイアス）のＯＥＭ生産を開始、フィンランド企業と
の技術提携により熱交換器の生産を始めるなど、徐々にメーカー色を強めて
きた。</t>
  </si>
  <si>
    <t>【p.2】
補助事業の概要
2.
株式会社三和テスコ
ーカーへの脱皮～亜臨界水処理装置「ALIN」の生産体制確立
メ
• 当社売上の約7割を占める大手企業からの受注は、利益率も低く、長年の課題となっている。
補助事業の背 事業費 億円
18
• 下記設備投資により、これら課題を解決、下請けからメーカー体質への脱皮を図り、積極的な
景・目的 （補助額） （ 億円）
5.5
賃上げにより優秀な人材を獲得し、亜臨界水処理装置のリーディングカンパニーを目指す。
• 郷東工場（既設）を改修し、郷東工場敷地内の西側に新工場を建
設することにより、亜臨界水処理装置の生産体制を確立する。
• 2024年中に郷東工場（既設）の改修工事に着手、来年3月に完
了と同時に、新工場建設に着工、2025年8月末に竣工する計画。
• 新工場では、亜臨界水処理装置のデモ機を設置し、外部からの分析・
設備投資の
評価依頼を受けるとともに、見学者の受け入れを実施して、営業活動
内容
を加速化させる。
（別紙補足）
• 新旧工場の連携により労働生産性を向上させ、利益率向上により、人
材確保に重点、また再投資を行うという好循環を実現する。
• 事業に要する経費 2,098,800千円
補助金交付申請額 699,600千円
亜臨界水処理装置デモ機（イメージ）
2025年度 2028年度
項目
（基準年度） （基準年度＋３年後）
労働生産性 2,386.3
（単位：万円/人）
1,089
(年平均上昇率＋29.9)
目標値 従業員1人あたり給与支給総額 822.2
720
（単位：万円/人） （年平均上昇率＋4.52％）
役員１人あたり給与支給総額 -
-
（単位：万円/人）
（年平均上昇率＋3.83%）
補助事業に係る従業員数
6 53
（単位：人）
【p.3】
.補助事業の概要
2
株式会社三和テスコ
（補足）その他主要設備投資の内容について
各設備は特注仕様になる可能性があるため、イメージ図としています。
ファイバーレーザー
新工場 現在の郷東工場の敷地内の西側に建設する 処理装置の筐体・各種部材等の切断に使用
切断機
開先加工機 ベンディングロール
溶接作業における鋼材の前処理 金属板材をロール曲げ加工を行うために使用
加工を行うために使用
マニピュレーター・ ターニングロール
サブマージ溶接機
大型円筒型加工物の溶接・塗装などの
処理装置筐体の溶接を行う 作業に使用する回転治具</t>
  </si>
  <si>
    <t>株式会社堀場エステック
1.長期成長ビジョン
本事業は、半導体製造プロセスで欠かすことのできないコンポーネントであるマスフローコントローラー（以下、
MFC）等を展開する当社の長期ビジョンの実現に向けた重要なマイルストンの位置付け
• 福知山新工場（補助対象事業）への投資を行い、自動化/省人化による効率的なモノづくりを実現し、持続的な賃上げを実現する。
• 隣接する研究開発拠点「京都福知山テクノロジーセンター」とのシナジー効果により、当社主力製品であるMFCの先端半導体向け事業の
拡大を目指す。また、既存の京都本社工場におけるMFC事業の一部を福知山新工場へ移管することにより、京都本社工場で生まれる余
力をリソースとして、第二の柱となる新事業を創出する。 MFCのイメージ</t>
  </si>
  <si>
    <t>• 広大な生産エリアを持ち、最新設備により自動化・効率化を促進する当社の量産技術の基幹工場を目指す。
• 京都福知山テクノロジーセンターとの連携、京都本社工場との連携により、既存事業にもインパクトのあるシナジー効果を生み出す。</t>
  </si>
  <si>
    <t>長期成長ビジョン（目指す姿・ビジネスモデル）
ウーブンバリューチェーン※における技術革新をサポート
• 当社グループの最優先事項は、半導体製造プロセス、関連先端材
料、そしてファシリティが互いに関係するバリューチェーンのマトリックス
「ウーブンバリューチェーン」における技術革新である。
• 先端材料分野等に最先端のソリューションを提供し、半導体分野に
おいて全方位で顧客のオペレーションをサポートする。それにより、環
境問題といった社会課題の解決に貢献する。
次世代工場において供給安定性と持続可能性の両立を実現
• 本補助対象事業は、上記の長期成長ビジョンを達成するために非
常に重要なマイルストンとなる。重要物資である半導体の国内にお
ける供給安定性を高め、先進性の高い次世代工場として機能する。
また既存事業とのシナジー効果も狙う。当社の製品・技術・サービス
の優位性・魅力をより多くの顧客にアピール・提供することにより、持
続可能な社会の発展に貢献し、社会的責任を果たす。
※当社グループでは、半導体製造プロセスを横糸、その工程ごとに存在する関連材料市場を縦糸
とし、複合化したバリューチェーン全体を織物(ウーブン)に例えて「ウーブンバリューチェーン」と表現。</t>
  </si>
  <si>
    <t>外発的動機
• 半導体需要の高まりとポジティブな市場予測
半導体市場は、生成AI等の需要増加により、 2030年までに年平
均成長率で約10％、市場規模は1兆ドル（150兆円程度）に達
する見込み。市場としては非常に魅力的である。
• 新たな競合他社が台頭する可能性
各国政府は半導体業界に産業支援を実施しており、海外の競合企
業が新たに台頭してくる可能性も想定される。この状況を踏まえ、当社
としても、更なる成長に向け、リスクある投資を実行する必要がある。
• 半導体製造における環境負荷低減への取組
半導体製造プロセスにおいては、地球温暖化係数(GWP)の高いガス
排出が課題。脱炭素社会の実現に向け、低GWP値の代替ガス開発
と計測技術が必要。除害化には多量の電力が必要であり、エネルギー
効率の改善が可能となる当グループの技術を顧客は求めている。</t>
  </si>
  <si>
    <t>内発的動機
• 安定供給体制の確立による長期的成長
安定供給の実現に加え、長期的成長を可能とする持続可能なものづ
くり体制の確立は社会的意義が大きい。当社の卓越した分析・計測
技術、また補助事業で本格導入予定の自動化/省人化技術の掛け
算により効率的な生産を実現し、一段上の成長に繋げる。
• コア技術のさらなる深耕により、MFCに次ぐ第二の柱を創出
当社グループが所有するコア技術「ガス・流体分析」「固体・粉体分
析」「液体・バイオ分析」を深耕し、半導体の技術革新に求められる製
品開発へ展開することで、高付加価値・高利益事業を創出する。</t>
  </si>
  <si>
    <t>【p.1／その他Box 1】
• 福知山新工場（補助対象事業）への投資を行い、自動化/省人化による効率的なモノづくりを実現し、持続的な賃上げを実現する。
• 隣接する研究開発拠点「京都福知山テクノロジーセンター」とのシナジー効果により、当社主力製品であるMFCの先端半導体向け事業の
拡大を目指す。また、既存の京都本社工場におけるMFC事業の一部を福知山新工場へ移管することにより、京都本社工場で生まれる余
力をリソースとして、第二の柱となる新事業を創出する。
【p.1／売上成長目標】
売上成長目標
数値は2023年度比
• 当社グループ連結
o 2028年までのグループ全体の売上高成長率54.9％
o 2028年までのグループ全体の売上高増加額1,595億円
• 当社
o 2028年までの会社全体の売上高成長率40.4％
o 2028年までの会社全体の売上高増加額335億円
【p.2／上段要旨】
• 広大な生産エリアを持ち、最新設備により自動化・効率化を促進する当社の量産技術の基幹工場を目指す。
• 京都福知山テクノロジーセンターとの連携、京都本社工場との連携により、既存事業にもインパクトのあるシナジー効果を生み出す。</t>
  </si>
  <si>
    <t>【p.1】
株式会社堀場エステック
1.長期成長ビジョン
本事業は、半導体製造プロセスで欠かすことのできないコンポーネントであるマスフローコントローラー（以下、
MFC）等を展開する当社の長期ビジョンの実現に向けた重要なマイルストンの位置付け
• 福知山新工場（補助対象事業）への投資を行い、自動化/省人化による効率的なモノづくりを実現し、持続的な賃上げを実現する。
• 隣接する研究開発拠点「京都福知山テクノロジーセンター」とのシナジー効果により、当社主力製品であるMFCの先端半導体向け事業の
拡大を目指す。また、既存の京都本社工場におけるMFC事業の一部を福知山新工場へ移管することにより、京都本社工場で生まれる余
力をリソースとして、第二の柱となる新事業を創出する。 MFCのイメージ図
長期成長ビジョン（目指す姿・ビジネスモデル） 外発的動機
• 半導体需要の高まりとポジティブな市場予測
ウーブンバリューチェーン※における技術革新をサポート
半導体市場は、生成AI等の需要増加により、 2030年までに年平
• 当社グループの最優先事項は、半導体製造プロセス、関連先端材
均成長率で約10％、市場規模は1兆ドル（150兆円程度）に達
料、そしてファシリティが互いに関係するバリューチェーンのマトリックス
する見込み。市場としては非常に魅力的である。
「ウーブンバリューチェーン」における技術革新である。
• 先端材料分野等に最先端のソリューションを提供し、半導体分野に • 新たな競合他社が台頭する可能性
おいて全方位で顧客のオペレーションをサポートする。それにより、環 各国政府は半導体業界に産業支援を実施しており、海外の競合企
境問題といった社会課題の解決に貢献する。 業が新たに台頭してくる可能性も想定される。この状況を踏まえ、当社
としても、更なる成長に向け、リスクある投資を実行する必要がある。
次世代工場において供給安定性と持続可能性の両立を実現
• 本補助対象事業は、上記の長期成長ビジョンを達成するために非 • 半導体製造における環境負荷低減への取組
常に重要なマイルストンとなる。重要物資である半導体の国内にお 半導体製造プロセスにおいては、地球温暖化係数(GWP)の高いガス
ける供給安定性を高め、先進性の高い次世代工場として機能する。 排出が課題。脱炭素社会の実現に向け、低GWP値の代替ガス開発
また既存事業とのシナジー効果も狙う。当社の製品・技術・サービス と計測技術が必要。除害化には多量の電力が必要であり、エネルギー
の優位性・魅力をより多くの顧客にアピール・提供することにより、持 効率の改善が可能となる当グループの技術を顧客は求めている。
続可能な社会の発展に貢献し、社会的責任を果たす。
内発的動機
売上成長目標
数値は2023年度比 • 安定供給体制の確立による長期的成長
• 当社グループ連結
安定供給の実現に加え、長期的成長を可能とする持続可能なものづ
o 2028年までのグループ全体の売上高成長率54.9％
くり体制の確立は社会的意義が大きい。当社の卓越した分析・計測
o 2028年までのグループ全体の売上高増加額1,595億円
技術、また補助事業で本格導入予定の自動化/省人化技術の掛け
• 当社
算により効率的な生産を実現し、一段上の成長に繋げる。
o 2028年までの会社全体の売上高成長率40.4％
• コア技術のさらなる深耕により、MFCに次ぐ第二の柱を創出
o 2028年までの会社全体の売上高増加額335億円
当社グループが所有するコア技術「ガス・流体分析」「固体・粉体分
※当社グループでは、半導体製造プロセスを横糸、その工程ごとに存在する関連材料市場を縦糸 析」「液体・バイオ分析」を深耕し、半導体の技術革新に求められる製
とし、複合化したバリューチェーン全体を織物(ウーブン)に例えて「ウーブンバリューチェーン」と表現。
品開発へ展開することで、高付加価値・高利益事業を創出する。</t>
  </si>
  <si>
    <t>【p.2】
.補助事業の概要 株式会社堀場エステック
2
重要物資である半導体の供給安定性を高め、次世代工場をとしてショーケース化。シナジー効果として、製品性能
の改善及び開発サイクルの加速化により短期的な成長を狙い、中長期的には新たなコア技術の創出に貢献する
• 広大な生産エリアを持ち、最新設備により自動化・効率化を促進する当社の量産技術の基幹工場を目指す。
• 京都福知山テクノロジーセンターとの連携、京都本社工場との連携により、既存事業にもインパクトのあるシナジー効果を生み出す。
補助事業の • 長期的な安定供給体制の確立 事業費 1 30 億円
背景・目的 • 先端技術とのシナジーにより、製品の性能改善および開発サイクルを加速 （補助額） （ 38 億円）
投資内容
• 延床面積2万m²を超える工場に、最新の生産設備、水素エネルギーの省エネ設備等を導入。
長期的な安定供給体制の確立
• MFC自動化生産ラインや、工程間をつなぐ搬送ロボット導入など、自動化と効率化を促進。
• 広大な生産エリアを備え、長期的な需要拡大へ柔軟に対応可能。
設備投資の ⇒国内におけるMFC生産能力を現状（京都工場＋阿蘇工場）の最大約３倍まで拡張可能。
内容 • 水素発電を用いた再生可能エネルギーシステムの導入など、工場全体での省エネをめざす。
先端技術とのシナジーにより、製品の性能改善および開発サイクルを加速
• 研究開発拠点「京都福知山テクノロジーセンター」（2025年4月に新棟竣工予定）に隣接する
利点を生かし、同拠点で推進する流量標準技術の研究開発や、産学連携の成果を早期実装
するシナジーに取り組み。既存製品の性能改善や新製品の開発サイクル加速を促進。
福知山新工場の完成イメージ図
• 京都本社工場との連携も図り、MFCに次ぐ第二の柱となる製品を早期に生み出す。
2026年度 2029年度
項目
（基準年度） （基準年度＋３年後）
（単
労
位
働
：
生
万
産
円
性
/人）
846万円
（年平均
2
上
,0
昇
6
率
5万
＋
円
34.66％）
目標値 従業員1人あたり給与支給総額 790万円
702万円
（単位：万円/人） （年平均上昇率＋4.00％）
役員１人あたり給与支給総額 -
-
（単位：万円/人） （年平均上昇率＋3.57％）
補助事業に係る従業員数
841人 902人
（単位：人）</t>
  </si>
  <si>
    <t>株式会社 メイドー
1.長期成長ビジョン
長期成長ビジョンは、業界No.1から世界一の「イノベーション・コネクティング・カンパニー」への進化。
売上成長目標は、10年後の2033年までの売上高成長率124％、売上高増加額642億円。</t>
  </si>
  <si>
    <t>長期成長ビジョン（目指す姿・ビジネスモデル）
• 業界No.1から世界一の「イノベーション・コネクティング・カンパニー」
への進化。
①つなぐことにイノベーションを提供していく
・開発機能を強化し、鍛造製品の高精度化・高機能化・低コスト
化により切削加工製品の代替を高める。また、EV用部品等成長
市場の製品開発を行う。
・製造機能を強化し、生産ラインの自動化による省力化で低コスト化
を行う。
②マーケット
トヨタ自動車㈱・トヨタグループ会社中心から他自動車メーカー、非
自動車の農業機械、鉄道、航空・宇宙産業に販路を拡大する。
③エリア
国内中心から海外5拠点を通じて全世界の自動車・航空機・宇宙
産業へ販路を拡大する。</t>
  </si>
  <si>
    <t>外発的動機
• ねじ製品出荷額は、2016年1兆1,005億円、2021年1兆1,502億円で
増加している。(出典：経済センサス 活動調査)
• トヨタ自動車㈱の世界生産台数は、2021年858万台、2022年902台、
2023年1,003万台と増加している。 世界でトップの生産台数である。
(出典：トヨタ自動車)
• トヨタ自動車㈱調達本部の仕入先への期待が「世界で最も良いものを、最
も安く、最も速く、長期安定的に」納入してほしい。
• トヨタ自動車㈱は電気自動車(EV)販売を2026年150万台、2030年ま
でに年350万台にする計画を掲げている。</t>
  </si>
  <si>
    <t>内発的動機(経営者の思い)
・「ツナグ」を革新する。
・会社を成長・発展させ、社員の幸福を実現するには、自ら顧客・ 市場が望む
ものを創造し提供する。
・未来を見ろ! 過去にこだわるな、世は常に変化する。
・挑戦せよ! 未知なる分野「EV製品」
・進化せよ! 革新的な工法、装置の自動化。
・可能性を広げよ! 海外・グルーブが連動しグループの一体化!
・「品質のメイドー」 のブランドの堅守。
・TQM、TPM、TPS、アメーバ経営で継続的改善。
・売上最大、経費最小で利益増大。</t>
  </si>
  <si>
    <t>売上成長目標は、10年後の2033年までの売上高成長率
売上成長目標
• 2033年までの会社全体の売上高成長率124％
• 2033年までの会社全体の売上高増加額642億円</t>
  </si>
  <si>
    <t>【p.1／売上成長目標】
売上成長目標は、10年後の2033年までの売上高成長率
【p.1／売上成長目標】
売上成長目標
• 2033年までの会社全体の売上高成長率124％
• 2033年までの会社全体の売上高増加額642億円
【p.2／製品 補助事業の ・補助事業の目的 技術】
製品 補助事業の ・補助事業の目的 技術
事業 背景 ・生産性向上につながる点
【p.2／設備投資の内容】
・設備投資の内容
・設備投資が解決し得ること
【p.2／労働生産性 （単位：万円/人）】
労働生産性 （単位：万円/人）
従業員1人あたり給与支給総額 （単位：万円/人）
役員1人あたり給与支給総額 (単位：万円/人)
補助事業に係る従業員数 (単位：人)</t>
  </si>
  <si>
    <t>【p.1】
株式会社 メイドー
1.長期成長ビジョン
長期成長ビジョンは、業界No.1から世界一の「イノベーション・コネクティング・カンパニー」への進化。
売上成長目標は、10年後の2033年までの売上高成長率124％、売上高増加額642億円。
長期成長ビジョン（目指す姿・ビジネスモデル）
外発的動機
• ねじ製品出荷額は、2016年1兆1,005億円、2021年1兆1,502億円で
• 業界No.1から世界一の「イノベーション・コネクティング・カンパニー」 増加している。(出典：経済センサス 活動調査)
への進化。
• トヨタ自動車㈱の世界生産台数は、2021年858万台、2022年902台、
①つなぐことにイノベーションを提供していく 2023年1,003万台と増加している。 世界でトップの生産台数である。
・開発機能を強化し、鍛造製品の高精度化・高機能化・低コスト (出典：トヨタ自動車)
化により切削加工製品の代替を高める。また、EV用部品等成長
市場の製品開発を行う。 • トヨタ自動車㈱調達本部の仕入先への期待が「世界で最も良いものを、最
・製造機能を強化し、生産ラインの自動化による省力化で低コスト化 も安く、最も速く、長期安定的に」納入してほしい。
を行う。
• トヨタ自動車㈱は電気自動車(EV)販売を2026年150万台、2030年ま
②マーケット でに年350万台にする計画を掲げている。
トヨタ自動車㈱・トヨタグループ会社中心から他自動車メーカー、非
自動車の農業機械、鉄道、航空・宇宙産業に販路を拡大する。 内発的動機(経営者の思い)
・「ツナグ」を革新する。
③エリア ・会社を成長・発展させ、社員の幸福を実現するには、自ら顧客・ 市場が望む
国内中心から海外5拠点を通じて全世界の自動車・航空機・宇宙 ものを創造し提供する。
産業へ販路を拡大する。 ・未来を見ろ! 過去にこだわるな、世は常に変化する。
・挑戦せよ! 未知なる分野「EV製品」
・進化せよ! 革新的な工法、装置の自動化。
・可能性を広げよ! 海外・グルーブが連動しグループの一体化!
売上成長目標 ・「品質のメイドー」 のブランドの堅守。
• 2033年までの会社全体の売上高成長率124％ ・TQM、TPM、TPS、アメーバ経営で継続的改善。
• 2033年までの会社全体の売上高増加額642億円 ・売上最大、経費最小で利益増大。</t>
  </si>
  <si>
    <t>【p.2】
2.補助事業の概要 株式会社 メイドー
補助事業により、製品開発機能・製造機能の強化、環境課題の対応強化により高付加価値化、独自性の創
出により差別化を行い、グローバル市場でもトップの地位を築く。
製品 補助事業の ・補助事業の目的 技術 ・設備投資の内容
事業 背景 ・生産性向上につながる点 ・設備投資が解決し得ること
●製品開発機能の強化
冷
・冷間鍛造品の更なる高精密・低コスト化に 冷間鍛造 横型多段式鍛造開発機等導入によりニアネットシェイプを進化。
間
より切削加工製品の代替を高め売上拡大。 高精度で複雑形状が可能になり、材料・加工費を低コスト化。
鍛
・ボールねじ製品の初量産化により売上拡
造 高精度ねじ転造技術を応用したボールねじラインの設置により
自動車部品を 大 ねじ転造
製 ボールねじ製品を初量産化。
始めあらゆる機 ●製造機能の強化
品
・機械加工・検査ラインの省力化による低コ 機械加工ライン・検査ラインに自動化装置を導入し省力化により
事 械・装置などの
スト化。機械加工の高精度化による売上 機械加工 低コスト化。工場空調設備の導入によりミクロン単位の切削加工
業 部品の
拡大。 が可能。
・高精度化
冷間鍛造 ―
ボ ・高機能化・ ●製造機能の強化
ル ・低コスト化・ ・熱処理ラインの省力化による低コスト化 ねじ転造 ―
ト ・短納期化 ・表面処理の生産能力拡大により売上拡
製 大、自動化により低コスト化。 熱処理ラインに排熱利用熱処理設備・熱処理自動化装置
等高度化ニー
品 ●環境課題に対応強化 熱処理 AGV(無人搬送車)の導入によりCN化・サイクルタイム短縮・自
ズ及び環境
事 ・熱処理でのカーボンニュートラル(CN)化。 働化。
ニーズへの対応
業 ・表面処理での有害排水レス・クロムフリー
表面処理ラインに摩擦係数安定剤設備とジオメット設備の増設
化。 表面処理
により内製化、完全自動運転化。
●技術・製品開発機能の強化 ・広い部屋を研究所に改修し移転、試験研究用機器を増やし、開発効率を改
研究所
・競争力強化と生産対応力の拡大。 善。
項目 2026年度（基準年度） 2029年度（基準年度＋３年後）
労働生産性 （単位：万円/人） 698 843 （年平均上昇率＋6.5％）
事業費 58億円
目標値 従業員1人あたり給与支給総額 （単位：万円/人） 582 694 （年平均上昇率＋6.0％）
（補助額） (19億円)
役員1人あたり給与支給総額 (単位：万円/人) ー ー
補助事業に係る従業員数 (単位：人) 1,600 1,700</t>
  </si>
  <si>
    <t>1.長期成長ビジョン 鎌長製衡株式会社
脱炭素・自動化・サーキュラーエコノミーを支えるエンジニアリング・メーカーを目指す
DAC(Decarbonization,Automation,Circular economy)​プロジェクト
技術力と実績をもとに投資を行い、時代の変化を捉えて、新たな成長を目指す</t>
  </si>
  <si>
    <t>長期成長ビジョン（目指す姿・ビジネスモデル）
当社は脱炭素、自動化、サーキュラーエコノミーへの社会の
変化をとらえ下記分野においてニッチトップの機械及びエンジ
ニアリング企業を目指します
•新エネルギー及びCCUSプラントにおけるバルク処理装置
メーカー
•廃プラスチック・廃石膏ボードのリサイクルプラントメーカー
•人手による選別作業やハンドリング作業を代替するAI自動
化機器メーカー
•高付加価値の化学製品の製造機器メーカー</t>
  </si>
  <si>
    <t>外発的動機
• 2050年カーボンニュートラルを目指す脱炭素社会への移行機会、特
にバイオマスやSAFなどの新エネルギー施設及びCCUS施設への投資
の増加及び電池をはじめとする高付加価値化学製品へのニーズの増
加
• 資源利用の最大化を目指すサーキュラーエコノミー社会への移行機
会、特に廃プラスチック及び廃石膏ボードのリサイクル施設への投資の
増加
• 人口減少社会における労働者の減少における省力化ニーズの増加、
特に人手による選別作業やハンドリング作業の代替投資の増加</t>
  </si>
  <si>
    <t>内発的動機
• 当社は「安心・安全・持続可能な社会づくりに貢献する」という企業
ミッションのもと、６０年以上にわたり、自動計量器及びリサイクル関
連装置を製造してきました。
• バブル後の平成７年に倒産を経験したため、長年にわたり再生スキー
ムに取り組み、これまで大型の投資が困難でした。
• 時代が当社にとってチャンスに傾く中で、施設の老朽化による生産性
の悪化や人材採用の困難さが、成長の阻害要因となっており、今回
の大型投資計画に至りました。</t>
  </si>
  <si>
    <t>【p.1／技術力と実績をもとに投資を行い、時代の変化を捉えて、新たな成長を目指す】
技術力と実績をもとに投資を行い、時代の変化を捉えて、新たな成長を目指す
【p.1／売上成長目標】
売上成長目標
• 2030年まで会社全体の売上高成長率9％（年率）
• 計量機器事業：年率3%成長
• 自動化機器・リサイクル機器事業：年率20%成長
• 2030年までに会社全体の売上高増加額34億円
【p.2／設備投資の内容】
• 設備投資の内容
• 製造棟：広い組立ブース、環境の良い塗装ブース
ト設備を備えた製造棟を新築する。
• 設計棟：遠隔での打ち合わせがしやすく、設計者が
環境と創発的な環境の両方を備えた設計棟を新築
• 設備投資の効果
• 製造棟：組立場所の確保により製造能力を3倍に
塗装ブースの環境向上により人材確保を可能にす
備の充実により顧客ニーズにタイムリーに対応できる
• 設計棟：顧客とのリモートでの技術的打ち合わせが
なり、設計者同士がディスカッションを行いやすくなり
産性の高い設計が可能になる。</t>
  </si>
  <si>
    <t>【p.1】
1.長期成長ビジョン 鎌長製衡株式会社
脱炭素・自動化・サーキュラーエコノミーを支えるエンジニアリング・メーカーを目指す
DAC(Decarbonization,Automation,Circular economy)​プロジェクト
技術力と実績をもとに投資を行い、時代の変化を捉えて、新たな成長を目指す
長期成長ビジョン（目指す姿・ビジネスモデル） 外発的動機
当社は脱炭素、自動化、サーキュラーエコノミーへの社会の • 2050年カーボンニュートラルを目指す脱炭素社会への移行機会、特
にバイオマスやSAFなどの新エネルギー施設及びCCUS施設への投資
変化をとらえ下記分野においてニッチトップの機械及びエンジ
の増加及び電池をはじめとする高付加価値化学製品へのニーズの増
ニアリング企業を目指します
加
•新エネルギー及びCCUSプラントにおけるバルク処理装置
• 資源利用の最大化を目指すサーキュラーエコノミー社会への移行機
メーカー 会、特に廃プラスチック及び廃石膏ボードのリサイクル施設への投資の
•廃プラスチック・廃石膏ボードのリサイクルプラントメーカー 増加
•人手による選別作業やハンドリング作業を代替するAI自動 • 人口減少社会における労働者の減少における省力化ニーズの増加、
特に人手による選別作業やハンドリング作業の代替投資の増加
化機器メーカー
•高付加価値の化学製品の製造機器メーカー
内発的動機
• 当社は「安心・安全・持続可能な社会づくりに貢献する」という企業
売上成長目標 ミッションのもと、６０年以上にわたり、自動計量器及びリサイクル関
• 2030年まで会社全体の売上高成長率9％（年率） 連装置を製造してきました。
• 計量機器事業：年率3%成長 • バブル後の平成７年に倒産を経験したため、長年にわたり再生スキー
• 自動化機器・リサイクル機器事業：年率20%成長 ムに取り組み、これまで大型の投資が困難でした。
• 2030年までに会社全体の売上高増加額34億円 • 時代が当社にとってチャンスに傾く中で、施設の老朽化による生産性
の悪化や人材採用の困難さが、成長の阻害要因となっており、今回
の大型投資計画に至りました。</t>
  </si>
  <si>
    <t>【p.2】
2 .補助事業の概要 鎌長製衡株式会社
労働生産性を向上し、優秀な人材を採用しやすい環境を整える
補助事業の • 設備が手狭で製造の生産性が悪化し、テスト設備も不足している。塗装など職場環境が悪く人 事業費 1 億円
6
背景・目的 材の確保に問題がある。会議や遠隔での顧客打合せが行いにくく、設計の生産性が低い。 （補助額） （4.6億円）
• 設備投資の内容
• 製造棟：広い組立ブース、環境の良い塗装ブース、十分なテス
ト設備を備えた製造棟を新築する。 組立、塗装、テスト設備
を備えた最新鋭工場
• 設計棟：遠隔での打ち合わせがしやすく、設計者が集中できる
環境と創発的な環境の両方を備えた設計棟を新築する。
• 設備投資の効果
設備投資の • 製造棟：組立場所の確保により製造能力を3倍に引き上げる。
内容 塗装ブースの環境向上により人材確保を可能にする。テスト設
創発的で
備の充実により顧客ニーズにタイムリーに対応できる。
エネルギー効率の高い
• 設計棟：顧客とのリモートでの技術的打ち合わせが行いやすく 最新鋭設計用事務所
なり、設計者同士がディスカッションを行いやすくなり、集中して生
産性の高い設計が可能になる。
2026年度 2029年度
項目
（基準年度） （基準年度＋３年後）
労働生産性 1385万円
目標値 1159万円
（単位：万円/人） （年平均上昇率＋6.14％）
(補助対象事
従業員1人あたり給与支給総額 502万円
413万円
業) （単位：万円/人） （年平均上昇率＋6.72％）
役員１人あたり給与支給総額 2170万円
1874万円
（単位：万円/人） （年平均上昇率＋5％）
補助事業に係る従業員数
75人 102人
（単位：人）</t>
  </si>
  <si>
    <t>1.長期成長ビジョン オリヒロエンジニアリング株式会社
多様化する包装機械のニーズに対応し、売上高65億円、グループ全体の売上高700億円の達成する
本事業を通じて、事業拡大・企業価値の向上を図り、オリヒログループの2029年IPOを目指す</t>
  </si>
  <si>
    <t>長期成長ビジョン（目指す姿・ビジネスモデル）
＜これまでの取組み＞
• オリヒログループは健康食品と包装機械の総合メーカー。当社は、
オリヒログループの機械事業部として、液体・粘体・固体などの食品、
日用品、医薬品などを充填包装する「包装機械」の設計・開発・
製造を行っている。業務用パッケージでは、国内トップクラスの
シェアを有し、世界市場においてもパイオニアメーカーである。
＜長期ビジョン＞
1. 当社ミッションである「「おいしさ・たのしさ・安全」を世界へ」の実現
2. 包装機械の技術の高度化・生産拡大
3. 国内のみならず、需要拡大が見込まれる北米、中国、東南アジ
アを中心とした海外市場への展開強化
4. オリヒログループの2029年のIPO実現
• 多様化する包装機械のニーズに対応するべく、更なる技術の高度
化・生産能力の拡充を図るため、本事業を通じた大規模成長投
資を実施する。
• 本事業を通じて、当社売上高65億円、グループ全体の売上高
700億円の達成を目指し、事業拡大・企業価値の向上に取組
んでいく。
売上成長目標
（１）当社単体
2029年度 売上高65億円 営業利益8.9億円
2023年度比 売上高37億増円（成長率232％）</t>
  </si>
  <si>
    <t>外発的動機
＜業界の動向＞
• 包装機械は、主要販売先が食品・飲料や日用品、医薬品など生
活必需品を取り扱う企業であり、これらの需要が堅調に推移してい
ることから、包装機械の需要は拡大基調にある。また、人口増加や
経済成長が見込まれる米国や新興国など世界的には高い需要が
見込まれる。
＜包装技術のニーズ＞
• 包装技術は、食品の保存期間の長期化、鮮度の維持、衛生管理
の面において重要な役割を担っている。環境意識の高まりからフード
ロス削減、食品の風味を損なわない包装、ライフスタイルの変化から
時代の潮流にあった包装資材へのニーズが多様化。
• こうした背景を受け、国内外問わず包装資材メーカーや食品メー
カーから包装機械の開発依頼や新規引き合いが増加傾向にある。</t>
  </si>
  <si>
    <t>内発的動機
＜30年かけて培った独自技術＞
• 無菌充填システムは、添加物不要で鮮度や素材本来の風味を保
持しながら、栄養成分の劣化を防ぐ独自技術である。この技術は、
食品の保存期間の延長により、食品廃棄処分を低減にも繋げてい
くことができ、SDGsの観点からも国内外の食品メーカー等から高評
価を得ている。
＜業界最前線での製品開発＞
• 包装機械のパイオニアメーカーとして、常に業界の最前線での製品
開発を実現し、安定的な成長を遂げるためには、優秀なエンジニア
の確保と生産工場のキャパシティの拡大が必要不可欠である。
＜継続的な企業価値の向上＞
• 優秀なエンジニアを確保するためには、企業価値や企業ブランド力の
向上、給与等の待遇面の改善が重要。</t>
  </si>
  <si>
    <t>【p.1／売上成長目標】
売上成長目標
（１）当社単体
2029年度 売上高65億円 営業利益8.9億円
2023年度比 売上高37億増円（成長率232％）
（２）グループ全体
2030年度 売上高700億円 営業利益100億円
2023年度比 売上高211億円増（成長率143％）</t>
  </si>
  <si>
    <t>【p.1】
1.長期成長ビジョン オリヒロエンジニアリング株式会社
多様化する包装機械のニーズに対応し、売上高65億円、グループ全体の売上高700億円の達成する
本事業を通じて、事業拡大・企業価値の向上を図り、オリヒログループの2029年IPOを目指す
長期成長ビジョン（目指す姿・ビジネスモデル） 外発的動機
＜業界の動向＞
＜これまでの取組み＞
• オリヒログループは健康食品と包装機械の総合メーカー。当社は、 • 包装機械は、主要販売先が食品・飲料や日用品、医薬品など生
活必需品を取り扱う企業であり、これらの需要が堅調に推移してい
オリヒログループの機械事業部として、液体・粘体・固体などの食品、
ることから、包装機械の需要は拡大基調にある。また、人口増加や
日用品、医薬品などを充填包装する「包装機械」の設計・開発・
経済成長が見込まれる米国や新興国など世界的には高い需要が
製造を行っている。業務用パッケージでは、国内トップクラスの
見込まれる。
シェアを有し、世界市場においてもパイオニアメーカーである。
＜包装技術のニーズ＞
＜長期ビジョン＞
• 包装技術は、食品の保存期間の長期化、鮮度の維持、衛生管理
1. 当社ミッションである「「おいしさ・たのしさ・安全」を世界へ」の実現 の面において重要な役割を担っている。環境意識の高まりからフード
2. 包装機械の技術の高度化・生産拡大 ロス削減、食品の風味を損なわない包装、ライフスタイルの変化から
3. 国内のみならず、需要拡大が見込まれる北米、中国、東南アジ 時代の潮流にあった包装資材へのニーズが多様化。
アを中心とした海外市場への展開強化 • こうした背景を受け、国内外問わず包装資材メーカーや食品メー
4. オリヒログループの2029年のIPO実現 カーから包装機械の開発依頼や新規引き合いが増加傾向にある。
内発的動機
• 多様化する包装機械のニーズに対応するべく、更なる技術の高度
＜30年かけて培った独自技術＞
化・生産能力の拡充を図るため、本事業を通じた大規模成長投
• 無菌充填システムは、添加物不要で鮮度や素材本来の風味を保
資を実施する。
持しながら、栄養成分の劣化を防ぐ独自技術である。この技術は、
• 本事業を通じて、当社売上高65億円、グループ全体の売上高
食品の保存期間の延長により、食品廃棄処分を低減にも繋げてい
700億円の達成を目指し、事業拡大・企業価値の向上に取組
くことができ、SDGsの観点からも国内外の食品メーカー等から高評
んでいく。
価を得ている。
＜業界最前線での製品開発＞
売上成長目標
• 包装機械のパイオニアメーカーとして、常に業界の最前線での製品
（１）当社単体
開発を実現し、安定的な成長を遂げるためには、優秀なエンジニア
2029年度 売上高65億円 営業利益8.9億円
の確保と生産工場のキャパシティの拡大が必要不可欠である。
2023年度比 売上高37億増円（成長率232％）
＜継続的な企業価値の向上＞
（２）グループ全体
• 優秀なエンジニアを確保するためには、企業価値や企業ブランド力の
2030年度 売上高700億円 営業利益100億円
向上、給与等の待遇面の改善が重要。
2023年度比 売上高211億円増（成長率143％）</t>
  </si>
  <si>
    <t>【p.2】
.補助事業の概要 オリヒロエンジニアリング株式会社
2
包装機械の生産拡大を図り、飛躍的な成長を遂げるため、包装機械製造工場の建設及び加工設備を導入
売上拡大・省力化効果により、労働生産性年平均＋21.0％、賃上げ年平均＋4.51％を実現
• 当社が製造する充填包装機は、自動化・省人化及びSDGs、ライフスタイルの変化といった現代
のあらゆる潮流に対応可能であることから、市場が拡大している。
61億円
補助事業の • 一方、当社では生産キャパシティ不足、２拠点による非効率な生産体制等の課題を有している。 事業費
（19億円）
背景・目的 • 本事業を通じて、製造スペースを拡充するとともに、効率的な生産体制を構築すことにより、市 （補助額）
場が拡大する包装機械需要を取り込むことにより、飛躍的な成長を実現していく。
＜事業の内容＞
• 群馬県高崎市内に新たに工場を建設し、最新鋭のレーザー加工機等の加工設備を導入する。
（１）建物費
名 称：オリヒロエンジニアリング(株)本社工場（仮称）
金 額：5,082,780千円（税抜）
構 造：３階建 鉄骨造 延床面積：17,760.44㎡
（２）機械装置費 設備総額：1,060,301千円（税抜） 写真等
設備投資の
導入設備：レーザー加工機、五面加工機、マシニングセンタ、NCフライス、 ミーリング付旋盤、汎
内容 用旋盤、ベンダー、バリ取り器、集塵機、ファイバー溶接機、三次元測定器、CAD/CAM等
＜労働生産性の向上＞
• 本事業を通じて、生産キャパシティを従来の2.8倍へ拡充
• 拠点を集約し、設計～加工～組立～出荷までの一貫生産体制を構築
• モジュール生産方式による生産の効率化
• 付加価値の高い無菌包装機等の新機種の開発、量産化
これらの取組みにより、労働生産性の向上に取組んでいく。
三菱電機製 レーザー加工機 芝浦機械製 五面加工機
2025年度 2029年度
項目
（基準年度） （基準年度＋３年後）
労働生産性 1943万円
1097万円
（単位：万円/人） （年平均上昇率＋21.0％）
目標値 従業員1人あたり給与支給総額 594万円
521万円
（単位：万円/人） （年平均上昇率＋4.51％）
役員１人あたり給与支給総額 -
-
（単位：万円/人） （年平均上昇率＋3.0％）
補助事業に係る従業員数
89人 95人
（単位：人）</t>
  </si>
  <si>
    <t>株式会社石井機械製作所
１.長期成長ビジョン
次の100年を見据えて、リチウムイオンバッテリーに着目した新事業に取り組んでいく</t>
  </si>
  <si>
    <t>長期成長ビジョン（目指す姿・ビジネスモデル）
• 弊社は現在、リチウムイオンバッテリーという成長分野に係る設備製
作に直面しており、海外製造工場の新設を控える2025年に一時
的に終息を見せるものの、中期的には取引量の増加が見込まれて
いる。
• リチウムイオンバッテリーの海外製造拠点新設され、関連する設備
の製作が活性化を迎えるまでに新たな生産体制を構築してその到
来に備える。また、航空宇宙や半導体関連設備製作など、我が
国の重要な産業に参入するためのノウハウを蓄積し、一過性に留
まらない攻めの経営により、継続した企業の成長を目指す。</t>
  </si>
  <si>
    <t>外発的動機
• EV（電気自動車）の普及に伴い、搭載される電源「リチウムイオ
ンバッテリー（以降、「LIB」と称する。）の生産量が増えている。
• 中国をはじめとする世界各地でLIBの生産工場の新設が予定され
ており、製造ラインの生産計画がある。
• 計画されている工場の大型化と生産量の拡大目標に伴いLIB製
造ラインも大型化が予定されている。また近年、LIB以外（航空、
防衛関連）の大型治具等製作も増加している。</t>
  </si>
  <si>
    <t>内発的動機
• 大手メーカーからの受注が増加してきたことに伴い、一度に受注でき
る製造工場のキャパシティが限界に達している。製作要請はあるも
のの、すべてを受け入れられていない現状があり、業績拡大を阻害
している。
• 大規模設備の製作作業の際に、重大事故につながる可能性があ
るインシデントが起こった。重大事故を防ぐためにも、施設やオペレー
ションの改善を行いたい。
• 現在の売上構成は低いが今後の成長市場となる事業分野に積極
的に参入していきたい。</t>
  </si>
  <si>
    <t>【p.1／売上成長目標】
売上成長目標
• 2025年をリスタート年度として、会社全体の売上高成長率
140％
• 2033年までに会社全体の売上高増加額３０億円
＋それを上回るために重要産業分野への参入を模索</t>
  </si>
  <si>
    <t>【p.1】
株式会社石井機械製作所
１.長期成長ビジョン
次の100年を見据えて、リチウムイオンバッテリーに着目した新事業に取り組んでいく
長期成長ビジョン（目指す姿・ビジネスモデル） 外発的動機
• EV（電気自動車）の普及に伴い、搭載される電源「リチウムイオ
• 弊社は現在、リチウムイオンバッテリーという成長分野に係る設備製
ンバッテリー（以降、「LIB」と称する。）の生産量が増えている。
作に直面しており、海外製造工場の新設を控える2025年に一時
• 中国をはじめとする世界各地でLIBの生産工場の新設が予定され
的に終息を見せるものの、中期的には取引量の増加が見込まれて
ており、製造ラインの生産計画がある。
いる。
• 計画されている工場の大型化と生産量の拡大目標に伴いLIB製
• リチウムイオンバッテリーの海外製造拠点新設され、関連する設備
造ラインも大型化が予定されている。また近年、LIB以外（航空、
の製作が活性化を迎えるまでに新たな生産体制を構築してその到
防衛関連）の大型治具等製作も増加している。
来に備える。また、航空宇宙や半導体関連設備製作など、我が
国の重要な産業に参入するためのノウハウを蓄積し、一過性に留
まらない攻めの経営により、継続した企業の成長を目指す。
内発的動機
• 大手メーカーからの受注が増加してきたことに伴い、一度に受注でき
る製造工場のキャパシティが限界に達している。製作要請はあるも
売上成長目標
のの、すべてを受け入れられていない現状があり、業績拡大を阻害
• 2025年をリスタート年度として、会社全体の売上高成長率
している。
140％
• 大規模設備の製作作業の際に、重大事故につながる可能性があ
• 2033年までに会社全体の売上高増加額３０億円
るインシデントが起こった。重大事故を防ぐためにも、施設やオペレー
＋それを上回るために重要産業分野への参入を模索
ションの改善を行いたい。
• 現在の売上構成は低いが今後の成長市場となる事業分野に積極
的に参入していきたい。</t>
  </si>
  <si>
    <t>【p.2】
.補助事業の概要 株式会社石井機械製作所
2
リチウムイオンバッテリーの製造を強化するために工場を新設し、生産性を向上させていくとともに、従業員の賃上
げを実施し、社会に波及効果をもたらしていく。
• 世界規模のリチウムイオンバッテリー製造の活性化に伴い、世界各国で生産施設・設備の新
設が計画されており、設備の大型化、大量発注の要請がある。弊社は製造ラインの一部設備 事業費
補助事業の 11億円
の製作を担っており、この要請に対応するため新工場を新設し製造環境の整備を図る。組み （補助
背景・目的 （3. 億円）
5
立て拠点並びに作業人員の集約化により生産性の向上、ひいては従業員の賃上げに資する 額）
資源の確保を目指す。
【設備投資内容】
• 大規模工場（建築面積：3606.3㎡）
• 天井クレーン（30ｔ:2基、15ｔ・5t:2基）
【労働生産性向上の内容】
• 広大な組立スペースを確保することにより、大型化の要請がある同種又
設備投資の は多種の設備の同時製作（最大２０基）を可能にする。
↑外観完成
内容 • 耐荷重の大きなクレーン（30t）の導入により、製作設備の大型化に
イメージ図
よる重量増に対応するとともに、生産性と安全性、荷役時の作業効率
を向上させる。また、耐荷重の小さいクレーン（15t・5t）を併設するこ
とで、用途に合わせた利用で組立時の作業効率を向上させる。 ← 天井クレーン
• 生産拠点を集約化（現在の組立・保管拠点3か所）することにより、 （イメージ）
分散していた作業人員を集約することで、生産効率のよい人員配置を
可能とし、作業請負などの外注費を削減する
2025年度 2028年度
項目
（基準年度） （基準年度 ＋ 3年後）
労働生産性 2,044
1,608
（単位：万円/人） (年平均上昇率+8.34%)
従業員1人当たり給与支給総額 523
目標値 452
（単位：万円/人） (年平均上昇率+5.00%
役員1人あたり給与支給総額 13,602
9,750
（単位：万円/人） (年平均上昇率＋11.74%)
補助事業に係る従業員数
101 116
（単位：人）</t>
  </si>
  <si>
    <t>1.長期成長ビジョン 株式会社柴田合成
容器事業を当社の中核事業に育成。「三峰」体制を確立
上記実現に向け ①SDGｓ対応 ②生産の自動化・ロボット化 ③人材投資(雇用拡大・賃上げ) を徹底する</t>
  </si>
  <si>
    <t>長期成長ビジョン（目指す姿・ビジネスモデル）
(1)中期5か年計画（2024年4月始動）
「容器」事業を既存の「自動車部品」「アミューズメント部品」に続く
第3の中核事業として育成する。
柴田合成の「三峰」計画として号令中。
自動車部品 部品
容器
柴田合成の「三峰」
(2)容器事業拡大に当たっての3方針
①SDGｓ対応
｢SDGs対応材料(リサイクル・バイオマス・生分解性)」を用いた
「ボトル」に特化し徹底拡販。
②生産の自動化・ロボット化
最新鋭の自動化・省人化ブロー成形工場を増設。
③人材投資（雇用拡大・賃上げ）
プロ人材採用と持続的賃上げ（年5％以上）の実現。
売上：2023年度実績95億円⇒2028年度目標150億円</t>
  </si>
  <si>
    <t>外発的動機
①現在の主力事業分析その１「自動車部品」
・当社の生産する自動車内装部品は部品集約化傾向が顕著。
・同業他社が多くコスト競争熾烈。
・今後の大きな伸長は期待できない。
②現在の主力事業分析その２「アミューズメント部品」
・パチンコ・パチスロ参加人口は年々減少傾向。市場規模縮小見込。
・自動車部品業界同様コスト競争熾烈。
・今後の大きな伸長は期待できない。
③今後の主力事業分析「容器」
・化粧品・トイレタリー容器の市場規模は拡大見込。
・一方、競合他社（ブロー成形）は少数。
・特にSDGs対応分野のフロントランナーは存在しない。
↓
新たな中核事業創出の必要性（容器）</t>
  </si>
  <si>
    <t>内発的動機
①「下請け」から「製造メーカ」への脱皮を図りたい。
②「特定業界(製品)売上偏重」からの脱却を図りたい
(外部環境変化影響の軽減)。
③時代の要請に即した製品を供給したい。
↓
新分野(環境対応製品の開発提供)への進出欲求</t>
  </si>
  <si>
    <t>【p.1／自動車部品 部品】
自動車部品 部品
容器
柴田合成の「三峰」
【p.1／売上成長目標】
売上成長目標
• 2028年度における会社全体の売上高150億円
（2023年度比増加額55億円･成長率＋57％）
• 2028年度における容器事業の売上高50億円
【p.2／(百万円)】
(百万円)
2025/3期 2026/3期 2027/3期 合計
工場･倉庫Ⅰ期 557 267 824
倉庫Ⅱ期 373 373
生産設備一式 510 187 697
合計 557 777 560 1,894</t>
  </si>
  <si>
    <t>【p.1】
1.長期成長ビジョン 株式会社柴田合成
容器事業を当社の中核事業に育成。「三峰」体制を確立
上記実現に向け ①SDGｓ対応 ②生産の自動化・ロボット化 ③人材投資(雇用拡大・賃上げ) を徹底する
長期成長ビジョン（目指す姿・ビジネスモデル） 外発的動機
①現在の主力事業分析その１「自動車部品」
(1)中期5か年計画（2024年4月始動）
・当社の生産する自動車内装部品は部品集約化傾向が顕著。
「容器」事業を既存の「自動車部品」「アミューズメント部品」に続く
・同業他社が多くコスト競争熾烈。
第3の中核事業として育成する。 ・今後の大きな伸長は期待できない。
柴田合成の「三峰」計画として号令中。
②現在の主力事業分析その２「アミューズメント部品」
・パチンコ・パチスロ参加人口は年々減少傾向。市場規模縮小見込。
・自動車部品業界同様コスト競争熾烈。
自動車部品 部品 ・今後の大きな伸長は期待できない。
容器
③今後の主力事業分析「容器」
・化粧品・トイレタリー容器の市場規模は拡大見込。
柴田合成の「三峰」 ・一方、競合他社（ブロー成形）は少数。
・特にSDGs対応分野のフロントランナーは存在しない。
(2)容器事業拡大に当たっての3方針
↓
①SDGｓ対応
新たな中核事業創出の必要性（容器）
｢SDGs対応材料(リサイクル・バイオマス・生分解性)」を用いた
「ボトル」に特化し徹底拡販。
内発的動機
②生産の自動化・ロボット化
①「下請け」から「製造メーカ」への脱皮を図りたい。
最新鋭の自動化・省人化ブロー成形工場を増設。
②「特定業界(製品)売上偏重」からの脱却を図りたい
③人材投資（雇用拡大・賃上げ）
(外部環境変化影響の軽減)。
プロ人材採用と持続的賃上げ（年5％以上）の実現。
③時代の要請に即した製品を供給したい。
↓
新分野(環境対応製品の開発提供)への進出欲求
売上成長目標
• 2028年度における会社全体の売上高150億円
（2023年度比増加額55億円･成長率＋57％）
売上：2023年度実績95億円⇒2028年度目標150億円 • 2028年度における容器事業の売上高50億円</t>
  </si>
  <si>
    <t>【p.2】
補助事業の概要 株式会社柴田合成
2.
容器事業に大規模投資 3年間の補助対象事業費18.9億円（内7.1億円を今年度投下）
最新の自動化設備等を導入し、省人化ブロー成形工場を実現
• 2021年8月、現本社工場稼働により容器事業に本格参入。
補助事業の • 5年後50億円の中核事業に育成（中期5か年計画）。 事業費 1 億円
9
背景・目的 （補助額） （5.2億円）
• 大手化粧品メーカからＳＤＧｓ対応ボトルの引き合い多数。
⇒「成長分野であり優位性確保も可能」と判断。リスクを取った大規模成長投資を実施予定。
(百万円)
2025/3期 2026/3期 2027/3期 合計
工場･倉庫Ⅰ期 557 267 824
倉庫Ⅱ期 373 373
生産設備一式 510 187 697
設備投資の
合計 557 777 560 1,894
イメージ
内容
• 2024年度：工場・倉庫Ⅰ期（計2,733㎡）建設。
• 2026年度：倉庫Ⅱ期（2,998㎡）建設。
• 生産設備に3年間で6.9億円を投資。全生産工程
（成形～印刷～検査～梱包）を省人化ラインで完結。
• 2024年度に、先ず7.1億円の投資を完了する見込。
2026年度 2029年度
項目
（基準年度） （基準年度＋３年後）
労働生産性 3,672万円
2,605万円
（単位：万円/人） （年平均上昇率＋12.1％）
目標値 従業員1人あたり給与支給総額 616万円
532万円
（単位：万円/人） （年平均上昇率＋5.0％）
役員１人あたり給与支給総額 -
-
（単位：万円/人） （年平均上昇率＋5.0％）
補助事業に係る従業員数
19人 27人
（単位：人）</t>
  </si>
  <si>
    <t>イグス株式会社
1.⾧期成⾧ビジョン
イグス株式会社は、独自のエンジニアリングプラスチック製品を日本の基幹産業のお客様に⾧期的かつ安定的に
ご提供し、2029年に売上高成⾧率81.6%(2023年度比）を目指します。</t>
  </si>
  <si>
    <t>⾧期成⾧ビジョン（目指す姿・ビジネスモデル）
イグス株式会社は、”Tech Up, Cost Down”(技術を上げてコストを
下げる）という全グループ共通の目標を達成するため、独自のエンジニア
リングプラスチック製品を日本の基幹産業である工作機械メーカ、半導体
製造装置メーカ、自動車関連メーカなどのお客様に⾧期的かつ安定的に
ご提供し、日本のお客様のグローバルな事業発展を下支えしていく。
その目標達成のため、以下の事を実行していく。
• 継続的に、既存顧客へのクロスセリング活動、新規ビジネス、新規顧
客開拓などの様々な営業マーケティング活動により売り上げを飛躍
的に増加させていく。
• 新工場を建設し、自動化機器、省力化機器の導入、生産ラインの
見直し、新たな倉庫システムの導入、生産現場のIT化などにより労
働生産性を継続的に向上させていくとともに、継続的な設備投資を
機動的に行い、将来の売上の増加に対応できる生産体制を構築す
る。
• ⾧期にわたって高い賃上げを定着させ、職場環境を改善することによ
り、社員がモチベーションを高く保ち、誇りをもって働ける会社とする。
• 外注加工業者、部品メーカなど地域の事業者との協業を加速し、イ
グスの発展により地域の取引業者も一緒に発展できるようにする。</t>
  </si>
  <si>
    <t>外発的動機
• コロナ禍において工作機械メーカや自動車メーカなど多くの製造業のお
客様が部品不足で製造をストップせざるを得ない事態が頻発し、部品の
安定的な供給はイグスにとっても取り組むべき大きな課題となった。特に、
生成AI,電気自動車の普及などにより今後半導体製造装置向けの部
品の需要が伸びることが予想され、日本の基幹産業に安定的に製品を
供給できる体制作りが急務である。
• 円安によりドイツからの調達コストが大幅に上昇するとともに、材料コスト、
輸送コストが高止まっており、全社一丸となって労働生産性を上げコスト
競争力を上げることが必要である。
• インフレにより物価が上昇し、従業員の生活への影響が懸念される。</t>
  </si>
  <si>
    <t>内発的動機
• 現在、生産拠点、倉庫が栃木県内の4か所に点在しており、オペレー
ションが複雑で非効率になってる。また、現在の工場は、場所が狭く効率
的な生産ラインを組めず、自動化設備や省力化設備を導入するスペー
スにも大きな制約がある。今後日本の工作機械メーカや半導体製造装
置メーカの需要拡大に対応できるようにするために、生産体制の改革と
拡充が必要である。
• 従業員は、狭いスペースでの業務、休憩を余儀なくされており、モチベー
ションの低下につながる懸念がある。
• 従業員のモチベーションを向上させるために賃上げが必要であるが、その
ためには労働生産性の向上が必要である。</t>
  </si>
  <si>
    <t>【p.1／売上成長目標】
売上成⾧目標
• 2029年までの会社全体の売上高成⾧率81.6％ (2023年度売上
比）
• 2029年までの会社全体の売上高増加額47.3億円 （2023年度
売上比）
【p.2／2026年度】
2026年度
項目
（基準年度）</t>
  </si>
  <si>
    <t>【p.1】
イグス株式会社
1.⾧期成⾧ビジョン
イグス株式会社は、独自のエンジニアリングプラスチック製品を日本の基幹産業のお客様に⾧期的かつ安定的に
ご提供し、2029年に売上高成⾧率81.6%(2023年度比）を目指します。
⾧期成⾧ビジョン（目指す姿・ビジネスモデル）
外発的動機
イグス株式会社は、”Tech Up, Cost Down”(技術を上げてコストを
下げる）という全グループ共通の目標を達成するため、独自のエンジニア • コロナ禍において工作機械メーカや自動車メーカなど多くの製造業のお
リングプラスチック製品を日本の基幹産業である工作機械メーカ、半導体 客様が部品不足で製造をストップせざるを得ない事態が頻発し、部品の
製造装置メーカ、自動車関連メーカなどのお客様に⾧期的かつ安定的に 安定的な供給はイグスにとっても取り組むべき大きな課題となった。特に、
ご提供し、日本のお客様のグローバルな事業発展を下支えしていく。 生成AI,電気自動車の普及などにより今後半導体製造装置向けの部
品の需要が伸びることが予想され、日本の基幹産業に安定的に製品を
その目標達成のため、以下の事を実行していく。
供給できる体制作りが急務である。
• 継続的に、既存顧客へのクロスセリング活動、新規ビジネス、新規顧 • 円安によりドイツからの調達コストが大幅に上昇するとともに、材料コスト、
客開拓などの様々な営業マーケティング活動により売り上げを飛躍 輸送コストが高止まっており、全社一丸となって労働生産性を上げコスト
的に増加させていく。 競争力を上げることが必要である。
• インフレにより物価が上昇し、従業員の生活への影響が懸念される。
• 新工場を建設し、自動化機器、省力化機器の導入、生産ラインの
見直し、新たな倉庫システムの導入、生産現場のIT化などにより労
働生産性を継続的に向上させていくとともに、継続的な設備投資を
内発的動機
機動的に行い、将来の売上の増加に対応できる生産体制を構築す
る。
• 現在、生産拠点、倉庫が栃木県内の4か所に点在しており、オペレー
• ⾧期にわたって高い賃上げを定着させ、職場環境を改善することによ
ションが複雑で非効率になってる。また、現在の工場は、場所が狭く効率
り、社員がモチベーションを高く保ち、誇りをもって働ける会社とする。
的な生産ラインを組めず、自動化設備や省力化設備を導入するスペー
• 外注加工業者、部品メーカなど地域の事業者との協業を加速し、イ スにも大きな制約がある。今後日本の工作機械メーカや半導体製造装
グスの発展により地域の取引業者も一緒に発展できるようにする。 置メーカの需要拡大に対応できるようにするために、生産体制の改革と
拡充が必要である。
売上成⾧目標 • 従業員は、狭いスペースでの業務、休憩を余儀なくされており、モチベー
• 2029年までの会社全体の売上高成⾧率81.6％ (2023年度売上 ションの低下につながる懸念がある。
比） • 従業員のモチベーションを向上させるために賃上げが必要であるが、その
• 2029年までの会社全体の売上高増加額47.3億円 （2023年度 ためには労働生産性の向上が必要である。
売上比）</t>
  </si>
  <si>
    <t>【p.2】
イグス株式会社
2.補助事業の概要
新工場を建設し、現在の4拠点を1拠点に集約することにより物流効率を向上させます。また、自動化、省力化
機器を導入するとともに新しい倉庫システムを構築し、労働生産性を向上させます。
生産拠点、倉庫が栃木県内の4か所に点在しており、オペレーションが複雑で非効率になっている。また、
スペースが狭く効率的な生産ラインを組めず、自動化設備を置くスペースにも大きな制約がある。今後売り上げ
補助事業の 事業費 34億円
を拡大していくためには、売り上げ増に耐えうる新工場の建設、生産体制の改革、労働生産性向上 が急務で
背景・目的 （補助額） （8.9億円）
ある。
• 十分なスペースが確保できる新工場の建屋を建設し、組み立てラインを効率性を
• • 十分なスペースが確保できる新工場の建屋を建設し、組み立て
考えて見直し、省力化機器、自動化機器を導入するとともに生産現場のIT化を
推進し、労働生産性を向上させる。（建屋の床面積は7500平方メートルから
10000平方メートルを想定している）。
• また、建屋内に新しい倉庫システムを構築し（現在は4段のラックで通常のフォー
ク リフトを使っているが、6段のラックでラックフォークを想定）、より多くの種類の
製品 や新規事業の製品を在庫化し即納体制を整え、売上を増加させる。
• 具体的な設備・システム
設備投資の
• 新工場建屋
内容
• 高収納効率パレットラックとラックフォーク
• 大型レディチェーンドラム巻き取り作業電動化機器
• ケーブル端末加工機
• ケーブル測⾧機
• ケーブル巻取り作業自動化機器
• 重量物移載、搬送省力化機器
• 全自動封函機
• 出荷指示書IT化用クラウドシステムと文書管理との連携
2026年度 2029年度
項目
（基準年度） （基準年度＋３年後）
労働生産性 4,070.1
2,917.9
（単位:万円/人） （年平均上昇率＋11.7％）
目標値 従業員1人あたり給与支給総額 562.2
485.7
（単位:万円/人） （年平均上昇率＋5.0％）
役員１人あたり給与支給総額 -
-
（単位:万円/人） （年平均上昇率 - ％）
補助事業に係る従業員数
61 71
（単位:人）</t>
  </si>
  <si>
    <t>1.長期成長ビジョン 株式会社廣澤精機製作所
地域社会への長期的な価値提供を目指し、需要が急増する産業ロボット・半導体製造装置・アミューズメント機
器向け当社製品の生産量増加を図る。2030年までの急成長に向け、持続可能な生産体制構築を実施する。
• 茨城県西地区の発展と地域貢献を目指し、事業拡大と地域雇用拡大を実現することで、地域社会へ長期的な価値提供を行う。
• 生産面の強化に加え、自動化と省力化を推進して人材面を強化し、余力を確保することで長期的な競争優位性を獲得する。
• 環境に配慮した塗装技術を社内に取り入れ、塗装工程を内製化することで持続可能な成長が可能な生産体制を整備する。
• 社会課題である少子高齢化による人材不足を解消する術として、産業ロボットや半導体の需要が急増している。それらの構成部品である当社製
品においても生産量増加や短納期化を求められている状況である。顧客ニーズに対応するべく新工場建設と新設備導入を立案した。</t>
  </si>
  <si>
    <t>長期成長ビジョン（目指す姿・ビジネスモデル）
• 地域社会への長期的な価値提供⇒事業拡大により地域雇用拡
大を実現する。新工場建設によりザ・ヒロサワ・シティの拡充を図り、
地域との相互共存・協力体制を保持しながら社会・暮らし・人々
のために新たな可能性と発展を提供する。
• 長期的な競争優位性の獲得⇒新工場には最新鋭の自動化設
備・省力化設備を積極的に導入する。単純作業や負荷の高い作
業をロボット等を駆使して自動化することで、従業員の余力を確保
する。確保した余力を、若手人材の育成や技術承継、生産体制
の改善等の長期的競争力を維持するための活動に割り振ることで
長期的な競争優位性を獲得する。
• 持続可能な成長⇒環境に配慮した粉体塗装技術を新たに社内
に取り入れ、これまで外部委託で対応していた塗装工程を内製化
する。月6,500㎞以上に達していた製品移動を不要とすることで、
二酸化炭素排出量も大幅に削減し、地球温暖化対策に貢献。
• 社会課題・顧客ニーズ対応⇒需要が急増する産業ロボットや半
導体製造装置向け当社製品の生産量増加・短納期化を実現す
ることで、社会課題の解決と顧客ニーズ対応に寄与する。</t>
  </si>
  <si>
    <t>外発的動機
• 少子高齢化による慢性的な人材不足の影響により、産業ロボット
や半導体の需要が急増。また、社会・生活の変化によるアミューズメ
ント機器の需要も急増している。それらの構成部品を製造する当社
に対する生産量増加・短納期化のニーズも急増している。新工場
建設と自動化設備への戦略的投資により機会損失を防ぐ。
• 当社においても深刻化する人手不足の解消と生産量増加を両立
させることが事業拡大への急務である。
• 社会的に環境配慮の機運が高まる中、長距離輸送を要する非効
率な製品移動が必要な塗装工程の早期改善が必要不可欠。</t>
  </si>
  <si>
    <t>内発的動機
• 当社の地域貢献の象徴であるザ・ヒロサワ・シティの更なる拡充によ
り、社会・暮らし・人々のために新たな可能性と発展を地域に提供
したいという代表取締役社長の強い想いから、本事業計画を立案。
新工場建設による事業拡大を実現し、地域雇用拡大を推進する
ことがその第一歩目である。
• 長期的な競争優位性を獲得するため、若手人材の育成や技術承
継、生産体制の改善等の作業にリソースを割く必要がある。</t>
  </si>
  <si>
    <t>【p.1／その他Box 1】
• 茨城県西地区の発展と地域貢献を目指し、事業拡大と地域雇用拡大を実現することで、地域社会へ長期的な価値提供を行う。
• 生産面の強化に加え、自動化と省力化を推進して人材面を強化し、余力を確保することで長期的な競争優位性を獲得する。
• 環境に配慮した塗装技術を社内に取り入れ、塗装工程を内製化することで持続可能な成長が可能な生産体制を整備する。
• 社会課題である少子高齢化による人材不足を解消する術として、産業ロボットや半導体の需要が急増している。それらの構成部品である当社製
品においても生産量増加や短納期化を求められている状況である。顧客ニーズに対応するべく新工場建設と新設備導入を立案した。
【p.1／売上成長目標】
売上成長目標
• 2030年までの会社全体の売上高成長率12％
• 2030年までの会社全体の売上高増加額34.6億円</t>
  </si>
  <si>
    <t>【p.1】
1.長期成長ビジョン 株式会社廣澤精機製作所
地域社会への長期的な価値提供を目指し、需要が急増する産業ロボット・半導体製造装置・アミューズメント機
器向け当社製品の生産量増加を図る。2030年までの急成長に向け、持続可能な生産体制構築を実施する。
• 茨城県西地区の発展と地域貢献を目指し、事業拡大と地域雇用拡大を実現することで、地域社会へ長期的な価値提供を行う。
• 生産面の強化に加え、自動化と省力化を推進して人材面を強化し、余力を確保することで長期的な競争優位性を獲得する。
• 環境に配慮した塗装技術を社内に取り入れ、塗装工程を内製化することで持続可能な成長が可能な生産体制を整備する。
• 社会課題である少子高齢化による人材不足を解消する術として、産業ロボットや半導体の需要が急増している。それらの構成部品である当社製
品においても生産量増加や短納期化を求められている状況である。顧客ニーズに対応するべく新工場建設と新設備導入を立案した。
長期成長ビジョン（目指す姿・ビジネスモデル） 外発的動機
• 少子高齢化による慢性的な人材不足の影響により、産業ロボット
• 地域社会への長期的な価値提供⇒事業拡大により地域雇用拡
や半導体の需要が急増。また、社会・生活の変化によるアミューズメ
大を実現する。新工場建設によりザ・ヒロサワ・シティの拡充を図り、
ント機器の需要も急増している。それらの構成部品を製造する当社
地域との相互共存・協力体制を保持しながら社会・暮らし・人々
に対する生産量増加・短納期化のニーズも急増している。新工場
のために新たな可能性と発展を提供する。
建設と自動化設備への戦略的投資により機会損失を防ぐ。
• 長期的な競争優位性の獲得⇒新工場には最新鋭の自動化設
• 当社においても深刻化する人手不足の解消と生産量増加を両立
備・省力化設備を積極的に導入する。単純作業や負荷の高い作
させることが事業拡大への急務である。
業をロボット等を駆使して自動化することで、従業員の余力を確保
• 社会的に環境配慮の機運が高まる中、長距離輸送を要する非効
する。確保した余力を、若手人材の育成や技術承継、生産体制
率な製品移動が必要な塗装工程の早期改善が必要不可欠。
の改善等の長期的競争力を維持するための活動に割り振ることで
長期的な競争優位性を獲得する。
• 持続可能な成長⇒環境に配慮した粉体塗装技術を新たに社内 内発的動機
に取り入れ、これまで外部委託で対応していた塗装工程を内製化
• 当社の地域貢献の象徴であるザ・ヒロサワ・シティの更なる拡充によ
する。月6,500㎞以上に達していた製品移動を不要とすることで、
り、社会・暮らし・人々のために新たな可能性と発展を地域に提供
二酸化炭素排出量も大幅に削減し、地球温暖化対策に貢献。
したいという代表取締役社長の強い想いから、本事業計画を立案。
• 社会課題・顧客ニーズ対応⇒需要が急増する産業ロボットや半 新工場建設による事業拡大を実現し、地域雇用拡大を推進する
導体製造装置向け当社製品の生産量増加・短納期化を実現す
ことがその第一歩目である。
ることで、社会課題の解決と顧客ニーズ対応に寄与する。
• 長期的な競争優位性を獲得するため、若手人材の育成や技術承
継、生産体制の改善等の作業にリソースを割く必要がある。
売上成長目標
• 2030年までの会社全体の売上高成長率12％
• 2030年までの会社全体の売上高増加額34.6億円</t>
  </si>
  <si>
    <t>【p.2】
.補助事業の概要 株式会社廣澤精機製作所
2
本補助事業では、産業ロボット・半導体製造装置・アミューズメント機器向けの当社製品の生産量増加を目指
し、新築する工場内に金属プレス板金・曲げ・溶接・塗装・組み立ての一貫生産ラインを構築する。
• 近年、産業ロボット・半導体製造装置向け当社製品の需要増加が著しく、主力製品であるア
ミューズメント筐体の需要も堅調に推移していることから、新工場の立ち上げによる生産量増加
補助事業の は必須であり、急務であると位置付けてきた。 事業費 7 1 億円
背景・目的 • 業界全体の人手不足への対応として、人的負担を最小限にとどめた上で効率を最大化できる （補助額） （24億円）
生産体制への刷新が不可欠であるため、自動化・省力化を推進する。
• 外部委託していた塗装工程を内製化することで長距離輸送を不要とする新体制を構築する。
• 金属プレス板金加工工程
⇒材料のピッキング作業を完全自動化する自動倉庫付きパンチレーザ複合加工
機をはじめ、三次元レーザ加工機や超大型プレス機を導入。
• 曲げ加工工程
⇒ロボットによる自動加工が可能なサーボドライブベンダーをはじめ、各種ベンダーを
複数台導入。
設備投資の
• 溶接工程
内容
⇒ロボットによる自動溶接が可能なファイバーレーザー溶接機をはじめ、各種溶接
機を複数台導入。
• 塗装工程
⇒粉体塗装ブース一式を導入。ロボットによる自動塗装も可能。
• 工場全体 自動倉庫のイメージ
⇒自律型搬送ロボットを導入し、工程間の製品移動を自動化する。
2027年6月期 2030年6月期
項目
（基準年度） （基準年度＋３年後）
補助事業の 労働生産性 2,172
1,868
目標値 （万円/人） （年平均上昇率＋5.2％）
従業員1人あたり 51
5
455
給与支給総額（万円/人） （年平均上昇率＋4.2％）</t>
  </si>
  <si>
    <t>大日工業株式会社
1.長期成長ビジョン
最高品質・人財育成・地域貢献を目指す経営理念の実践をもとに、モノづくりに邁進。
生産体制を強化し、環境にも社員にも優しい会社として、新工場にて更なる飛躍を目指す。</t>
  </si>
  <si>
    <t>長期成長ビジョン（目指す姿・ビジネスモデル）
業務用空調機の基板実装事業を拡大し、環境にも従業員にも
優しい経営を目指す
• モノづくりを通じて地域・社会に貢献する
静岡市が開発を進める地域に、新工場を建設し会社全体の生産
体制を強化する。モノづくりとしての倫理を全うし得た利益から、従
業員への還元と納税を行うことで、国や地域への発展普及に貢献
する。その為、変化する市場の求めに即応できる体制を構築する。
• “品質重視”の経営姿勢
世界中で、環境に優しい冷媒を使用したエアコン導入の動きが加
速し、需要が伸長。当社では、主要事業である業務用エアコン基
板の実装において、『品質で業界一』を目標に掲げ『より良いモノづ
くりに日々邁進する』という理念を持つ。
• 人材投資と公平な評価によるモチベーションの維持・向上
良き社会、良き製品を作るのはすべて人であるという考えをもとに、
専門知識や倫理教育を行い、人材育成投資を継続する。
また、透明性と公平性を重視し、賃金の向上に努めることで、従
業員のモチベーションと会社に対する信頼を保つ。それにより、生産
性向上という形で会社に還元される好循環のサイクルを確立する。
売上成長目標
• 2023年9月期～2028年9月期までに
会社全体の売上高成長率：27.7％
• 2023年9月期～2028年9月期までに
会社全体の売上高増加額：10億円</t>
  </si>
  <si>
    <t>外発的動機
• 世界的なエアコン需要の高まり
①世界的な気候変動による温暖化により、かつてはエアコンが必要でな
かった地域でもエアコンなしでは過ごしにくくなっている。
②地球温暖化を見据えて代替冷媒の開発が進んでおり、環境負荷を低
減することが可能なエアコンへの切り替えが急務である。
③COP28で、日本は冷房機器による温室効果ガスの排出削減に取り組
む誓約に賛同。エネルギー効率の良い製品導入を、各国政府が後押しし
ていくと考えられる。
• 静岡市は国より第1回脱炭素先行地域として選定される
令和2年12月 静岡市は2050年温室効果ガス排出実質ゼロを宣言。
令和4年6月 国より静岡市は全国26地域とともに第一回脱炭素先行
地域に認定を受けた。
• 静岡市が力を入れている「まちづくり事業」
高速道路インター至近の清水区庵原地区の開発・整備が進んでいる。</t>
  </si>
  <si>
    <t>内発的動機
• 現在の本社工場は津波浸水地域に入っており、南海トラフ地震が発生し
た場合、津波と液状化現象により操業不可となる。現在当社は、主要取
引先のエアコン生産量のうち、約7割の基板実装を担っている。その為、
当社の基板実装業の生産が止まることで、主要取引先の業務用エアコン
製造ラインの操業も停止させてしまうという、大きなリスクを抱えている。
• 既存の2工場は、スペース的に生産拡大の余地が無く、かつそれぞれの工
場において、前工程・後工程のいずれかしか行うことができない。工場が分
かれているが故、輸送の手間や情報共有管理のリアルタイム性など課題
が多い。
• 自社で構築した生産システムは人手を要する旧来型であるため、システム
の大幅改編を行う必要がある。</t>
  </si>
  <si>
    <t>【p.1／売上成長目標】
売上成長目標
• 2023年9月期～2028年9月期までに
会社全体の売上高成長率：27.7％
• 2023年9月期～2028年9月期までに
会社全体の売上高増加額：10億円</t>
  </si>
  <si>
    <t>【p.1】
大日工業株式会社
1.長期成長ビジョン
最高品質・人財育成・地域貢献を目指す経営理念の実践をもとに、モノづくりに邁進。
生産体制を強化し、環境にも社員にも優しい会社として、新工場にて更なる飛躍を目指す。
長期成長ビジョン（目指す姿・ビジネスモデル） 外発的動機
• 世界的なエアコン需要の高まり
業務用空調機の基板実装事業を拡大し、環境にも従業員にも
①世界的な気候変動による温暖化により、かつてはエアコンが必要でな
優しい経営を目指す かった地域でもエアコンなしでは過ごしにくくなっている。
②地球温暖化を見据えて代替冷媒の開発が進んでおり、環境負荷を低
• モノづくりを通じて地域・社会に貢献する
減することが可能なエアコンへの切り替えが急務である。
静岡市が開発を進める地域に、新工場を建設し会社全体の生産
③COP28で、日本は冷房機器による温室効果ガスの排出削減に取り組
体制を強化する。モノづくりとしての倫理を全うし得た利益から、従
む誓約に賛同。エネルギー効率の良い製品導入を、各国政府が後押しし
業員への還元と納税を行うことで、国や地域への発展普及に貢献 ていくと考えられる。
する。その為、変化する市場の求めに即応できる体制を構築する。 • 静岡市は国より第1回脱炭素先行地域として選定される
令和2年12月 静岡市は2050年温室効果ガス排出実質ゼロを宣言。
• “品質重視”の経営姿勢 令和4年6月 国より静岡市は全国26地域とともに第一回脱炭素先行
世界中で、環境に優しい冷媒を使用したエアコン導入の動きが加 地域に認定を受けた。
速し、需要が伸長。当社では、主要事業である業務用エアコン基 • 静岡市が力を入れている「まちづくり事業」
高速道路インター至近の清水区庵原地区の開発・整備が進んでいる。
板の実装において、『品質で業界一』を目標に掲げ『より良いモノづ
くりに日々邁進する』という理念を持つ。
内発的動機
• 人材投資と公平な評価によるモチベーションの維持・向上 • 現在の本社工場は津波浸水地域に入っており、南海トラフ地震が発生し
良き社会、良き製品を作るのはすべて人であるという考えをもとに、 た場合、津波と液状化現象により操業不可となる。現在当社は、主要取
専門知識や倫理教育を行い、人材育成投資を継続する。 引先のエアコン生産量のうち、約7割の基板実装を担っている。その為、
また、透明性と公平性を重視し、賃金の向上に努めることで、従 当社の基板実装業の生産が止まることで、主要取引先の業務用エアコン
業員のモチベーションと会社に対する信頼を保つ。それにより、生産 製造ラインの操業も停止させてしまうという、大きなリスクを抱えている。
性向上という形で会社に還元される好循環のサイクルを確立する。 • 既存の2工場は、スペース的に生産拡大の余地が無く、かつそれぞれの工
場において、前工程・後工程のいずれかしか行うことができない。工場が分
売上成長目標 かれているが故、輸送の手間や情報共有管理のリアルタイム性など課題
• 2023年9月期～2028年9月期までに が多い。
会社全体の売上高成長率：27.7％ • 自社で構築した生産システムは人手を要する旧来型であるため、システム
の大幅改編を行う必要がある。
• 2023年9月期～2028年9月期までに
会社全体の売上高増加額：10億円</t>
  </si>
  <si>
    <t>【p.2】
大日工業株式会社
.補助事業の概要
2
ＢＣＰ対策も踏まえた新工場建設による既存2工場の合併、生産ライン増設、
生産性の高い設備導入により、生産量増加と省力化を図る。
現在の本社工場は津波浸水地域に入っており、南海トラフ地震が発生した場合、津波と液状化現象により操業不可となる。また、当社の
補助事業の
主要事業であるエアコン基板実装は、需要が高まっているが、既存の2工場は、スペース的に生産拡大の余地が無く、輸送の手間や情報
背景・目的
共有管理のリアルタイム性など課題が多い。そのため、発注はあるものの、全てを受注することが不可能であり、謝絶・失注する状況にある。
• 本事業では、以上の課題を解決すべく、新工場を建設
【新工場】 静岡県静岡市清水区原（庵原地区）
し、既存の2工場の基板実装事業を1ヶ所にまとめ、
建築設備費・開発申請料等：16億3900万円
6→9ラインへ増強し、生産拡大を図る。
敷地面積：9141.22㎡
（補助事業＝新工場建設時には1ライン増設。
工場建物：本社・工場A棟 鉄骨造2階建 4793.81㎡
事業完了後、2027年以降に2ライン増設予定。）
工場B・倉庫棟 鉄骨造平屋建 293.90㎡
また、横持が不要となる為、人工・時間・コストの削減が
設備投資の 駐輪場 アルミ造平屋建 34.42㎡
可能となり、情報共有管理も容易になる。
内容 【導入設備】 2ライン増設：2億4960万円
・マウンター（作業場2）2台 ・AOI （作業場1）1台 ＜既存の2工場の延面積＞
課題解決
・リフロー （作業場2）1台 ・フラクサー（作業場1）1台 本社・辻1661.25㎡＋興津744.29㎡＝2405.54㎡
・AOI （作業場2）1台 ・はんだ槽 （作業場1）1台 ＜新工場の延面積＞5087.71㎡
・AGV（AMR）（資材）2台 ・差しコンベア（作業場1）1台
• 新工場への基板事業集約により空いたスペースにて、別
【本事業対象外】 土地購入・造成・登記等：8億2097万円
事業を行うことで、第2・第3の柱として事業拡大し、主
要事業に一極集中している現状を打破する。
補助事業 18億円
事業費 • 環境面においても、新工場はZEB実現を目指した設計
（補助額 億円）
5.9
（補助額） となっており、省エネ構造や太陽光発電を導入する。
項目 2025年9月期（基準年度） 2028年9月期（基準年度＋３年後）
労働生産性（万円/人） 632.3万円／人
400.1万円／人
（年平均上昇率＋16.48％）
従業員1人あたり 346.4万円／人
目標値 256.2万円／人
給与支給総額（万円/人） （年平均上昇率＋10.58％）
役員員1人あたり 785.2万円／人
623.3万円／人
給与支給総額（万円/人） （年平均上昇率＋8.00％）
補助事業に係る従業員数（単位：人） 76人 83人</t>
  </si>
  <si>
    <t>テラル株式会社
1.長期成長ビジョン
企業理念 「水と空気で未来をつくる」 のもと、TERAL VISION 2030 「安心を届けたい」 を掲げ、安心安全
快適な水と空気を行き届く世界の実現により、連結売上高1,000億円、連結経常利益率10％を目指す。</t>
  </si>
  <si>
    <t>長期成長ビジョン（目指す姿・ビジネスモデル）
• 当社およびテラルグループは、10年を一仕事に2030年に目指し到
達する姿として、「絶えず」生産性を向上し、水と空気の制御技術
を極め、脱炭素社会へ貢献する企業と定めている。
• 2030年に目指し到達する社会への提供価値として、「水と空気を
作る企業」として、「誰⼀⼈取り残さず安心安全快適な水と空気を
行き届く社会（世界）の実現」と定めている。
• ビジョンを確度高く達成するため、3年を⼀計画として次の主要6施
策等を講じ、自己変革から成長性を高める長期投資を行う。国内
外の市場シェアアップ進出と研究開発をビジネスモデルとする。</t>
  </si>
  <si>
    <t>外発的動機 ※2030年代のメガトレンドからの未来
• 「世界視点」の水資源の不安定化、SXによる企業と社会・人の同期化
• 脱炭素化・エネルギー自立化に向けたビジネスモデル構築の必須化
• 生産年齢人口の急減、労働力不足、スキルの合致した専門人材不足
• 気候変動・環境問題および労働生産性損失・低下・働き方改革
• 国内GDP減少・市場シェア獲得難化、新興国とのグローバル競争激化
• BEYOND5G、AI、ロボット等のテクノロジー技術進展の加速
• 成長投資およびGX投資等の成長市場創出・推進政策・規制の充実
持続可能な経営＝自己変革による成長とし、「未来志向による長期ビジョ
ン」によりコア事業を通し、メガトレンドの技術・仕組み・政策の活用で解決を
図る多様なソリューションを持つ専門集団となるため、成長市場の創出に取り
組み「地域企業として⼀層の規模拡大を図る」必要性を認め作成に至った。</t>
  </si>
  <si>
    <t>内発的動機 ※経営者の原体験等
• 水と空気を操る企業として創業100年の経過(次の100年を意識)
• 「次のテラル」へプロジェクト「次の〇〇へ」（弊社の責務と社員の思い）
• 地域企業の重要性の高まり(飛躍的な成長は地域経済発展と相関)
• 100年の沿革から長期成長の基盤強化(企業価値向上の継続)
創業100年の2018年 「次のテラルへ」 をコピーに社員一人一人がお客様
や社会へ果たす役割を命題に 「次の〇〇を作る」を考えた。そこには「チャ
ンス」「ファン」「未来」「技術者」「喜び」「世代との懸け橋」「クウォリティ」「技
術者」「100年」「テラルならできる」など意見があふれ出た、経営者として
純粋に嬉しさを感じ、同時に社会課題と顧客ニーズの解決を次のテラルで実
現する強い決意、さらなる飛躍的成長による地域におけるグループ売上
1,000億企業となり、次の100年に向かう責務と感じ、その思いで高位の
目標 TERAL VISION 2030の作成に至った。</t>
  </si>
  <si>
    <t>【p.1／売上成長目標】
売上成長目標
• 2030年までに会社全体の売上高成長率・単体179％
• 2030年までに会社全体の売上高成長率・連結224％
• 2030年までに会社全体の売上高増加額・単体261億円
• 2030年までに会社全体の売上高増加額・連結553億円</t>
  </si>
  <si>
    <t>【p.1】
テラル株式会社
1.長期成長ビジョン
企業理念 「水と空気で未来をつくる」 のもと、TERAL VISION 2030 「安心を届けたい」 を掲げ、安心安全
快適な水と空気を行き届く世界の実現により、連結売上高1,000億円、連結経常利益率10％を目指す。
長期成長ビジョン（目指す姿・ビジネスモデル） 外発的動機 ※2030年代のメガトレンドからの未来
• 当社およびテラルグループは、10年を一仕事に2030年に目指し到 • 「世界視点」の水資源の不安定化、SXによる企業と社会・人の同期化
達する姿として、「絶えず」生産性を向上し、水と空気の制御技術 • 脱炭素化・エネルギー自立化に向けたビジネスモデル構築の必須化
を極め、脱炭素社会へ貢献する企業と定めている。 • 生産年齢人口の急減、労働力不足、スキルの合致した専門人材不足
• 気候変動・環境問題および労働生産性損失・低下・働き方改革
• 2030年に目指し到達する社会への提供価値として、「水と空気を • 国内GDP減少・市場シェア獲得難化、新興国とのグローバル競争激化
作る企業」として、「誰⼀⼈取り残さず安心安全快適な水と空気を • BEYOND5G、AI、ロボット等のテクノロジー技術進展の加速
行き届く社会（世界）の実現」と定めている。 • 成長投資およびGX投資等の成長市場創出・推進政策・規制の充実
• ビジョンを確度高く達成するため、3年を⼀計画として次の主要6施 持続可能な経営＝自己変革による成長とし、「未来志向による長期ビジョ
策等を講じ、自己変革から成長性を高める長期投資を行う。国内 ン」によりコア事業を通し、メガトレンドの技術・仕組み・政策の活用で解決を
外の市場シェアアップ進出と研究開発をビジネスモデルとする。 図る多様なソリューションを持つ専門集団となるため、成長市場の創出に取り
組み「地域企業として⼀層の規模拡大を図る」必要性を認め作成に至った。
内発的動機 ※経営者の原体験等
• 水と空気を操る企業として創業100年の経過(次の100年を意識)
• 「次のテラル」へプロジェクト「次の〇〇へ」（弊社の責務と社員の思い）
• 地域企業の重要性の高まり(飛躍的な成長は地域経済発展と相関)
• 100年の沿革から長期成長の基盤強化(企業価値向上の継続)
創業100年の2018年 「次のテラルへ」 をコピーに社員一人一人がお客様
や社会へ果たす役割を命題に 「次の〇〇を作る」を考えた。そこには「チャ
売上成長目標 ンス」「ファン」「未来」「技術者」「喜び」「世代との懸け橋」「クウォリティ」「技
• 2030年までに会社全体の売上高成長率・単体179％ 術者」「100年」「テラルならできる」など意見があふれ出た、経営者として
• 2030年までに会社全体の売上高成長率・連結224％ 純粋に嬉しさを感じ、同時に社会課題と顧客ニーズの解決を次のテラルで実
• 2030年までに会社全体の売上高増加額・単体261億円 現する強い決意、さらなる飛躍的成長による地域におけるグループ売上
• 2030年までに会社全体の売上高増加額・連結553億円 1,000億企業となり、次の100年に向かう責務と感じ、その思いで高位の
目標 TERAL VISION 2030の作成に至った。</t>
  </si>
  <si>
    <t>【p.2】
テラル株式会社
.補助事業の概要
2
6箇所から集約する自動倉庫兼工場を新設し、大型製品組立・研究開発部門を併設、最先端の自動化技術と統合
基幹システム導入で省力化をし、競合優位となるカスタマイズ提案力と研究開発力の強化を発揮し事業拡張を図る。
• 背景 : 市場の伸びと反する人手不足と必要となる競争力の獲得には最先端の自動化技術を業界においても
当社経営資源と生むシナジーを勘案し、省力化による生産能力を向上させることが重要になっている。
補助事業の • 目的 : 別々の6つの倉庫(賃借)を最先端の自動倉庫兼工場に統合し、大型製品組立・研究開発部門の 事業費 27億円
背景・目的 併設で競争優位性を確保し、労働生産性と業務効率を向上させ、賃上げ再投資体質への変容を図る。 （補助額） （ 億円）
8.6
• 課題 : 現在の断片化した倉庫インフラ、一部のDX活用の在庫管理では顧客特化型の製販連携の機会損
失が生じ、大型製品の輸送コスト増加と市場の需要への対応における強みの発揮に機敏性の低下がある。
■設備投資内容 : 名称 本社第二工場・自動倉庫
• 建設予定地／福山北産業団地(二区画3.2ha) ※市分譲審査会を経て契約最大区画
• 本社新工場・自動倉庫(3階建)／自動化・省力化・大型製品組立工場・研究開発部門
• 無人搬送フォークリフト(AGF)、無人搬送ロボット(AGV)／製品自動搬送、製品入出庫
• 垂直搬送装置、荷揃えライン、パレット等一式／荷揃え入出庫
• 統合基幹業務システム(ERP)／在庫・全社リソースの一元管理
■解決策 : 自動倉庫システムなど高度な自動化を組み込み課題に対処し、省力化とスルー
設備投資の プットの向上、ERPシステムとの統合により調達から流通のプロセスが合理化でき、リードタイ
内容 ム短縮、全体的な生産性向上とコスト削減、製造後に倉庫に輸送していた大型の組立ス
ペースでそのカスタマイズが容易となり、当社の市場での顧客提供価値を際立たせる。
■イノベーションと研究開発 : 旧サポイン事業から自己資金で実用化を進めるアルミニウムビ
レット加熱装置プロジェクトなど既存研究を基盤とした部門を併設し、継続的改善を行い産
業市場における新領域へ高付加価値商品を投入し、主力事業も含め新技術を開発する。
■再投資の強化 : 設備投資(第二期工場・GX)・無形固定資産投資(特許等)・研究開発
投資(主力・新領域)・能力開発投資(ゼネラリスト・スペシャリスト)へ投資還元をするための ※写真／福山北産業団地 ※イメージ図／自動倉庫
事業であり、単なる自動化設備の投資でなく当社の行動変容を果たす取組と位置付ける。 兼工場1階・自動化・無人搬送ロボット等
項目 2026年度（基準年度） 2029年度（基準年度＋３年後）
労働生産性 935万円
759万円
（単位：万円/⼈） （年平均上昇率＋7.19％）
従業員1⼈あたり給与支給総額 610万円
550万円
目標値 （単位：万円/⼈） （年平均上昇率＋3.51％）
役員１⼈あたり給与支給総額 －－万円
－－万円
（単位：万円/⼈） （年平均上昇率－％）
補助事業に係る従業員数
1,030人 1,160人
（単位：⼈）</t>
  </si>
  <si>
    <t>株式会社ハウゼコ
1.長期成長ビジョン
住宅の断熱義務化や大手ハウスメーカー等の積極的な海外展開を機会と捉え、研究開発・調達・生産・
販売体制を強化。国内での業界No.1の地位を盤石にすると共にグローバル展開に向けた取組を実施する。</t>
  </si>
  <si>
    <t>長期成長ビジョン（目指す姿・ビジネスモデル）
最先端の屋根換気・壁通気の自然換気テクノロジーで住宅の長寿命化を実現する
①住宅用換気部材業界シェアNo1＆リーディングカンパニー
・調達や生産、物流コストの上昇の中でも、高い収益力を実現
・産学官連携による研究開発を加速し、住宅業界での高いプレゼンス実現
②国内開発・国内製造の高機能換気部材で住宅の省エネ化を促進
・開発、生産体制を強化し、拡大する省エネ住宅需要に対応
・原材料からの国内サプライチェーン強化により、供給責任を果たす
③国内住宅用換気部材メーカーとしては初の海外市場への進出
・住宅大手動向との連動やカナダとの共同研究による、高品質・高機能かつ
多品種少量生産（6,800アイテム）を武器にした海外市場へのアプローチ
・ダイバーシティ・インクルージョンによるグローバルでも通用する人材の育成
「高度な自然換気テクノロジー」×
「グローバルに通用する組織体制」を通じて
カーボンニュートラル及びSDGsへの貢献
売上成長目標
2029年1月期までに以下の成長を目指す
会社全体売上高 ：66億円
売上高増加額 ：20億円
売上高成長率 ：43%
付加価値額 :7.6億円(76%増)</t>
  </si>
  <si>
    <t>外発的動機
住宅業界のメガトレンド
①2050年カーボンニュートラル実現に向けた住宅の省エネ化・長寿命化
②国内新設住宅着工戸数の減少と大手ハウスメーカーや総合住設建材メーカーを
中心としたグローバル展開の加速や住宅の高付加価値化
成長機会
・2025年の省エネ基準適合義務化、2030年の省エネ基準の引き上げ
・豪雨等の自然災害の頻発・激甚化による安全・安心な住まいへのニーズ
・グローバル展開する大手建材メーカーからのOEM引合と安定供給のニーズ
・大手ハウスメーカーの北米進出と北米住宅市場における日本製建材への注目
⇒当社の製造する高機能換気部材についての国内外からの注目が高まっている
リスク・脅威
・人口減少による住宅需要の減少及び働き手の不足
・物流費、資材・エネルギー価格のさらなる高騰
・感染症やウクライナ情勢など地政学リスクによるサプライチェーンの混乱</t>
  </si>
  <si>
    <t>内発的動機
①国や大学等との専門的な研究を通じて増してきた換気部材の重要性
・国交省国土技術政策総合研究所、建築学会、近畿大学、ブリティッシュコロンビア
等と住宅の換気と耐久性についての研究を長年行ってきた。その中で、高気密性の
省エネ住宅や激甚化する豪雨災害の中で、自然換気のテクノロジーの重要性と
グローバルなニーズの高さに気づいた。（特に海外では換気部材等の品種が少なく
カナダでは100アイテム程度しかない。一方で、当社は6,800アイテムの商品数。）
②性別・国籍・働く場所が多様な当社の組織風土
・当社では、女性の現場リーダーや外国人管理職、全国でのリモートワーク等、性別・
国籍・場所を問わない、個を尊重した組織風土を培ってきた。当社の今後の持続的
な成長のためには、国内にとらわれずグローバルに目を向ける必要があると感じた。</t>
  </si>
  <si>
    <t>【p.1／売上成長目標】
売上成長目標
2029年1月期までに以下の成長を目指す
会社全体売上高 ：66億円
売上高増加額 ：20億円
売上高成長率 ：43%
付加価値額 :7.6億円(76%増)
【p.1／当社の特徴】
当社の特徴
当社は住宅用換気部材の専業メーカーである。換気部材とは住宅の屋根や外壁に使用される建材であり、雨などの外からの水の浸入を防ぐとともに内部にこもった湿気を外に放出
する機能を有している。これにより、住宅の腐朽の原因となる湿気から住宅を守ることや自然な換気によりエコで快適な暮らしを実現する役割を担っている。当社は、住宅用換気部
材メーカーとして60年を迎えると共に、この20年では積極的な設備や人材への投資により、「住宅の3軒に1軒は当社製品が使われる」など、業界トップクラスの企業となっている。
【p.2／設備投資の内容】
２，設備投資の内容
①加西工場を増改築、新加西工場とし各生産物流拠点を統合
②自動化製造ラインを新設し、主力製品群の生産能力を増強す
③多品種少量製造ラインを増強し、その他多品種製品群の生産
３，課題解決による労働生産性の向上
①拠点統合によるシナジー効果の発揮及びムダな時間・コストの削
②高機能換気部材を中心とした、生産規模拡大による売上の拡
③生産の自動化による省人化及び生産コストの削減
自動化製造ラインの新設</t>
  </si>
  <si>
    <t>【p.1】
株式会社ハウゼコ
1.長期成長ビジョン
住宅の断熱義務化や大手ハウスメーカー等の積極的な海外展開を機会と捉え、研究開発・調達・生産・
販売体制を強化。国内での業界No.1の地位を盤石にすると共にグローバル展開に向けた取組を実施する。
長期成長ビジョン（目指す姿・ビジネスモデル） 外発的動機
住宅業界のメガトレンド
最先端の屋根換気・壁通気の自然換気テクノロジーで住宅の長寿命化を実現する
①2050年カーボンニュートラル実現に向けた住宅の省エネ化・長寿命化
②国内新設住宅着工戸数の減少と大手ハウスメーカーや総合住設建材メーカーを
①住宅用換気部材業界シェアNo1＆リーディングカンパニー
中心としたグローバル展開の加速や住宅の高付加価値化
・調達や生産、物流コストの上昇の中でも、高い収益力を実現
・産学官連携による研究開発を加速し、住宅業界での高いプレゼンス実現 成長機会
・2025年の省エネ基準適合義務化、2030年の省エネ基準の引き上げ
②国内開発・国内製造の高機能換気部材で住宅の省エネ化を促進 ・豪雨等の自然災害の頻発・激甚化による安全・安心な住まいへのニーズ
・開発、生産体制を強化し、拡大する省エネ住宅需要に対応 ・グローバル展開する大手建材メーカーからのOEM引合と安定供給のニーズ
・原材料からの国内サプライチェーン強化により、供給責任を果たす ・大手ハウスメーカーの北米進出と北米住宅市場における日本製建材への注目
⇒当社の製造する高機能換気部材についての国内外からの注目が高まっている
③国内住宅用換気部材メーカーとしては初の海外市場への進出
・住宅大手動向との連動やカナダとの共同研究による、高品質・高機能かつ リスク・脅威
多品種少量生産（6,800アイテム）を武器にした海外市場へのアプローチ ・人口減少による住宅需要の減少及び働き手の不足
・ダイバーシティ・インクルージョンによるグローバルでも通用する人材の育成 ・物流費、資材・エネルギー価格のさらなる高騰
・感染症やウクライナ情勢など地政学リスクによるサプライチェーンの混乱
内発的動機
「高度な自然換気テクノロジー」×
①国や大学等との専門的な研究を通じて増してきた換気部材の重要性
「グローバルに通用する組織体制」を通じて
・国交省国土技術政策総合研究所、建築学会、近畿大学、ブリティッシュコロンビア
カーボンニュートラル及びSDGsへの貢献
等と住宅の換気と耐久性についての研究を長年行ってきた。その中で、高気密性の
省エネ住宅や激甚化する豪雨災害の中で、自然換気のテクノロジーの重要性と
売上成長目標
グローバルなニーズの高さに気づいた。（特に海外では換気部材等の品種が少なく
2029年1月期までに以下の成長を目指す カナダでは100アイテム程度しかない。一方で、当社は6,800アイテムの商品数。）
会社全体売上高 ：66億円
売上高増加額 ：20億円 ②性別・国籍・働く場所が多様な当社の組織風土
売上高成長率 ：43% ・当社では、女性の現場リーダーや外国人管理職、全国でのリモートワーク等、性別・
付加価値額 :7.6億円(76%増) 国籍・場所を問わない、個を尊重した組織風土を培ってきた。当社の今後の持続的
な成長のためには、国内にとらわれずグローバルに目を向ける必要があると感じた。
当社の特徴
当社は住宅用換気部材の専業メーカーである。換気部材とは住宅の屋根や外壁に使用される建材であり、雨などの外からの水の浸入を防ぐとともに内部にこもった湿気を外に放出
する機能を有している。これにより、住宅の腐朽の原因となる湿気から住宅を守ることや自然な換気によりエコで快適な暮らしを実現する役割を担っている。当社は、住宅用換気部
材メーカーとして60年を迎えると共に、この20年では積極的な設備や人材への投資により、「住宅の3軒に1軒は当社製品が使われる」など、業界トップクラスの企業となっている。</t>
  </si>
  <si>
    <t>【p.2】
.補助事業の概要 株式会社ハウゼコ
2
当社は売上増加に伴い設備や拠点を拡大してきた。今後さらに一段の成長を目指すために、生産物流拠点の
統合、生産規模拡大及び生産の自動化・省力化への投資を行い、労働生産性を向上させる。
補助事業の 今後の成長拡大に向けては現在の非効率な生産物流体制がボトルネックとなっている。生産物 事業費 19億円
背景・目的 流体制の合理化・強化により、高機能換気部材を中心に拡大する需要を取り込む。 （補助額） （6. 億円）
1
１，課題
①売上高成長の持続のためには、生産規模を拡大する必要がある。
②拠点間のモノの移動が発生し非効率な生産物流体制となっている。
③需要が拡大している高機能換気部材を中心に生産効率が低い。
⇒生産物流体制面の改善・強化により売上・利益の拡大を図る。
２，設備投資の内容
①加西工場を増改築、新加西工場とし各生産物流拠点を統合する。
②自動化製造ラインを新設し、主力製品群の生産能力を増強する。
③多品種少量製造ラインを増強し、その他多品種製品群の生産数UPを図る。
設備投資の
内容
３，課題解決による労働生産性の向上
①拠点統合によるシナジー効果の発揮及びムダな時間・コストの削減
②高機能換気部材を中心とした、生産規模拡大による売上の拡大 新加西工場完成イメージ
③生産の自動化による省人化及び生産コストの削減
自動化製造ラインの新設 多品種少量製造ラインの増強
2026年1月期 2029年1月期
項目
（基準年度） （基準年度＋３年後）
労働生産性 800万円/人
500万円/人
（単位：万円/人） （年平均上昇率＋17.0％）
目標値 従業員 （ 1 単 人 位 あ ： た 万 り給 円 与 /人 支 ） 給総額 362万円/人 （年平均 40 上 2 昇 万 率 円 ＋ /人 3.2％）
役員１人あたり給与支給総額 ―
―
（単位：万円/人） （年平均上昇率＋3.2％）
補助事業に係る従業員数
197人 217人
（単位：人）</t>
  </si>
  <si>
    <t>株式会社インターオフィス
1.⻑期成⻑ビジョン
労働⼒不⾜を背景とした労働環境の改善、⽣産性の向上が重要になっている。空間のデザインと外国製家具
の販売を通じて「豊かな時間」を国内に広く提供していくことが当社の目指す姿である。</t>
  </si>
  <si>
    <t>⻑期成⻑ビジョン（目指す姿・ビジネスモデル）
•
外国製家具の販売を核とした事業展開
当社は外国製家具の輸入販売事業者である。特にオフィス
家具に強く、家具の販売のみならず、空間デザイン設計まで手
掛けている。また、オフィスを中⼼に家具サブスク事業を⾏って
いる。今後も外国製家具の販売を核に事業展開を⾏っていく。
•
空間デザイン・家具販売を通じた豊かな時間の提供
労働人口減少による働き方の改革が必要となる中、「労働環
境の改善」、「働きやすい空間」作りが重要となっている。空間
をデザインし、それに合うデザイン性のある家具を広く販売・普
及させていくことを通じて、オフィス・⾃宅での「豊かな時間を提
供していくこと」が、当社の目指す姿である。
•
外国製家具の国内製造と国内流通環境の構築
輸入のみならず、商品の一部製造まで手掛け、豊富なバリュ
エーションを短納期で提供することを実現する。国内メーカーと
同等の流通環境を構築し、国内に広く、デザイン性の⾼い外
国製家具を普及させていく。外国製家具取り扱いシェア圧倒
的No.1を目指す。
•
オフィス家具サブスクの国内普及と中古家具の価値向上
国内で市場が醸成されつつある家具のサブスク形態の取り扱
いを増やしていく。外国製家具は⾼級品であり、サブスクでの
ニーズが⾼い。新品のみならず、中古家具をリノベーションして
付加価値を⾼めた商品として提供していきたい。</t>
  </si>
  <si>
    <t>外発的動機
【労働人口の減少と働き方改革】
•
日本国内では少⼦⾼齢化が加速しており、コロナ禍脱却も相まって労働⼒不⾜が社
会問題となっている。有効求人倍率が⾼⽌まりし、今後もその傾向は変わらないもの
と考えられる。その流れを受けて国を挙げて働き方改革に取り組まれており、雇⽤する
側の企業としても「労働環境の改善」による選ばれる企業になること、「働きやすい空
間」創出により⽣産性向上を図ることが、重要なテーマとなっている。従業員は多くの
時間をオフィスで過ごすため、 従来型の「働くためだけのオフィス」ではなく、ストレスのな
い「快適な⽣活の延⻑線上のオフィス」が求められように変わってきており、時代に合わ
せてオフィス空間を再構築する動きが⾼まっている。当社への空間デザインの依頼数
増や、当社取り扱い家具への⾼いニーズに接している。
【資源不⾜とサステナビリティ】
•
世界的な資源不⾜に直⾯する中、日本では海外に遅れながらも、リユース業界の市
場規模が10年でおよそ2倍の2.9兆円になるなど、新品偏重から中古への価値を⾒
出し、サステナブルを価値観レベルで意識する価値観変容がおこりつつある。海外では
中古やアンティーク家具など年代が古い家具が新品以上に評価されているが、日本で
もその流れが強まっており、当社の取り扱っている⾼級家具のニーズが⾼まっており、特
にサブスクでも中古品の取り扱いが増加している。
そのようなトレンド変化を受け、⻑期成⻑ビジョンを掲げるに⾄った。</t>
  </si>
  <si>
    <t>内発的動機
•
英国の建築学校出身で一級建築士の当社代表は、様々な建物やプロダクトデザイ
ンの設計に携わってきた。海外の建築事務所で勤務してきた経験の中で、海外のオ
フィスを多く目にしてきたが、空間デザインを考えて設計された海外のオフィスと、コスト・
機能性に重きを置いた日本のオフィスの在り方が全く異なり、オフィス空間の違いから
働き方、社内コミュニケーション、労働⽣産性と様々なところに影響が出ていることを目
の当たりにしてきた。この実体験から、オフィス空間デザインと、デザイン性の⾼いオフィス
家具を組み合わせることで、豊かな時間の価値を提供していきたい、と考えるように
なった。</t>
  </si>
  <si>
    <t>【p.1／売上成長目標】
売上成⻑目標
・2032年8⽉期までに会社全体の売上⾼成⻑率（直近決
算比）161.5%
・2032年8⽉期までに会社全体の売上⾼増加額（直近決
算比）49.3億円
【p.2／設備機器導⼊費】
設備機器導⼊費
（卓上ボール盤、高速カッター、卓上フライス盤等）</t>
  </si>
  <si>
    <t>【p.1】
株式会社インターオフィス
1.⻑期成⻑ビジョン
労働⼒不⾜を背景とした労働環境の改善、⽣産性の向上が重要になっている。空間のデザインと外国製家具
の販売を通じて「豊かな時間」を国内に広く提供していくことが当社の目指す姿である。
⻑期成⻑ビジョン（目指す姿・ビジネスモデル） 外発的動機
• 【労働人口の減少と働き方改革】
外国製家具の販売を核とした事業展開
•
日本国内では少⼦⾼齢化が加速しており、コロナ禍脱却も相まって労働⼒不⾜が社
当社は外国製家具の輸入販売事業者である。特にオフィス
会問題となっている。有効求人倍率が⾼⽌まりし、今後もその傾向は変わらないもの
家具に強く、家具の販売のみならず、空間デザイン設計まで手
と考えられる。その流れを受けて国を挙げて働き方改革に取り組まれており、雇⽤する
掛けている。また、オフィスを中⼼に家具サブスク事業を⾏って
側の企業としても「労働環境の改善」による選ばれる企業になること、「働きやすい空
いる。今後も外国製家具の販売を核に事業展開を⾏っていく。
• 間」創出により⽣産性向上を図ることが、重要なテーマとなっている。従業員は多くの
空間デザイン・家具販売を通じた豊かな時間の提供
時間をオフィスで過ごすため、 従来型の「働くためだけのオフィス」ではなく、ストレスのな
労働人口減少による働き方の改革が必要となる中、「労働環
い「快適な⽣活の延⻑線上のオフィス」が求められように変わってきており、時代に合わ
境の改善」、「働きやすい空間」作りが重要となっている。空間
せてオフィス空間を再構築する動きが⾼まっている。当社への空間デザインの依頼数
をデザインし、それに合うデザイン性のある家具を広く販売・普
増や、当社取り扱い家具への⾼いニーズに接している。
及させていくことを通じて、オフィス・⾃宅での「豊かな時間を提
【資源不⾜とサステナビリティ】
供していくこと」が、当社の目指す姿である。
•
• 世界的な資源不⾜に直⾯する中、日本では海外に遅れながらも、リユース業界の市
外国製家具の国内製造と国内流通環境の構築
場規模が10年でおよそ2倍の2.9兆円になるなど、新品偏重から中古への価値を⾒
輸入のみならず、商品の一部製造まで手掛け、豊富なバリュ
出し、サステナブルを価値観レベルで意識する価値観変容がおこりつつある。海外では
エーションを短納期で提供することを実現する。国内メーカーと
中古やアンティーク家具など年代が古い家具が新品以上に評価されているが、日本で
同等の流通環境を構築し、国内に広く、デザイン性の⾼い外
もその流れが強まっており、当社の取り扱っている⾼級家具のニーズが⾼まっており、特
国製家具を普及させていく。外国製家具取り扱いシェア圧倒
にサブスクでも中古品の取り扱いが増加している。
的No.1を目指す。
• そのようなトレンド変化を受け、⻑期成⻑ビジョンを掲げるに⾄った。
オフィス家具サブスクの国内普及と中古家具の価値向上
国内で市場が醸成されつつある家具のサブスク形態の取り扱
内発的動機
いを増やしていく。外国製家具は⾼級品であり、サブスクでの •
英国の建築学校出身で一級建築士の当社代表は、様々な建物やプロダクトデザイ
ニーズが⾼い。新品のみならず、中古家具をリノベーションして
ンの設計に携わってきた。海外の建築事務所で勤務してきた経験の中で、海外のオ
付加価値を⾼めた商品として提供していきたい。
フィスを多く目にしてきたが、空間デザインを考えて設計された海外のオフィスと、コスト・
売上成⻑目標 機能性に重きを置いた日本のオフィスの在り方が全く異なり、オフィス空間の違いから
働き方、社内コミュニケーション、労働⽣産性と様々なところに影響が出ていることを目
・2032年8⽉期までに会社全体の売上⾼成⻑率（直近決
の当たりにしてきた。この実体験から、オフィス空間デザインと、デザイン性の⾼いオフィス
算比）161.5%
家具を組み合わせることで、豊かな時間の価値を提供していきたい、と考えるように
・2032年8⽉期までに会社全体の売上⾼増加額（直近決
なった。
算比）49.3億円</t>
  </si>
  <si>
    <t>【p.2】
株式会社インターオフィス
2.補助事業の概要
加⼯・物流センターの建設により、仕上げ加⼯を内製化し、⼤幅な納期短縮と製品バリュエーションを増加。
中古品のリノベーション加⼯を実現。在庫数量増⼤と、配送・在庫保管の効率化も実現する。
【補助事業の背景】製品の調達リードタイムが⻑期化し、また、働き方改革やポストコロナを機にオフィ 事業費 15億円
スのレイアウト⾒直しが増加し顧客ニーズが多様化している。在庫を⼗分に保管できる物流センターを （補助額） （4.3億円）
保有していない他、顧客ニーズに沿った製品提供の為の家具組⽴機能を有していないため、受注がで
補助事業の
きず機会損失が発生している。
背景・目的 建設図面・パース図
【補助事業の目的】本事業では、加⼯と物流の機能を有する物流センターを建設し、増加する多様
なニーズに対応すべく、常に顧客に最適な製品を提供できる体制を構築することで、売上及び利益の
増加を図り、従業員へ賃上げで還元していくことが目的である。
■⼤規模な加工・物流センターの建設
•
加⼯・物流センターの建設で、従来、完成品を外国から仕⼊れていた製品の組⽴や布張りなどの仕
上げ加工を自社で内製化する。それにより、⼤幅な納期短縮とカラー等の製品バリュエーションの充
実、半製品仕⼊れによる利益率向上を図る。また、サブスクで戻ってきた中古品をメンテナンスのみ
ならず商品の組み合わせ等による付加価値向上を図るリノベーション加工を実現し、中古品の価
値向上と利益率向上を図る。また、⼤規模な物流センターであり、在庫保管可能量も増⼤し、主
要在庫を1か所に集約することで、配送・在庫保管の効率化も同時に実現する。
•
設備投資の 1階・2階はコントラクトとリテール向けの在庫を保管し、2階のアッセンブリースペースには家具の組
内容 ⽴・リノベーション加⼯に必要な設備を導⼊する。3階には事務室を設け在庫・仕⼊れ・出荷状況を
⼀元管理する。4階はサブスク用の商品を保管するスペースとする。
導⼊設備（⼀部）
※詳細導⼊設備、課題・課題の解決方法は補⾜資料に記載
費用区分 投資内容 概算費用
建物費 五霞 加⼯・物流センター建設費 15.5億円
機械装置費 設備機器導⼊費 0.5億円
（卓上ボール盤、高速カッター、卓上フライス盤等）
項目 2025年度（基準年度） 2028年度（基準年度＋３年後）
労働生産性（単位︓万円/人） 1,037 1,474（年平均上昇率＋12.4％）
目標値 従業員1人あたり給与支給総額（単位︓万円/人） 621 742（年平均上昇率＋6.1％）
役員１人あたり給与支給総額（単位︓万円/人） 1,375 1,525（年平均上昇率＋3.5％）
補助事業に係る従業員数（単位︓人） 169 198</t>
  </si>
  <si>
    <t>1.⻑期成⻑ビジョン
千代田鋼鉄工業株式会社
都内唯⼀の電炉で新たに、⾼品質な・太い棒鋼の製造に取り組む。
DX推進・製造⼯程の⾼度化に投資を続けて成⻑し、資源循環型社会の⼀員として貢献する。</t>
  </si>
  <si>
    <t>長期成長ビジョン（目指す姿・ビジネスモデル）
• 10年後、東京は高度に発展しつつ、環境負荷の少ない、持続的な都市インフラの更新を実現している。
• 当社は、寿命を迎えた建築物から鉄スクラップを回収し、これを元に新たな棒鋼（より強度の高い鉄筋）を
製造するという、資源循環型社会「鉄の地産地消」を実現・推進している。
• 建築物及びそこで用いられる棒鋼が高度化するのに合わせて、当社が製造・供給する棒鋼の鋼種・サイズも
高度化している。ユーザー様からは、当社の製品や製造工程を高く評価されている。</t>
  </si>
  <si>
    <t>外発的動機
• 都心再開発案件の大型化、高度化に伴い、当社が現状、十分
対応できていない鋼種・サイズの棒鋼（鉄筋）ニーズが拡大し
ている。
• 棒鋼メーカーを含む製鋼業は再編が進んでいる。直ちに市
場の需給が影響を受ける可能性は低いが、長期的には、幅広
い製品ラインアップや、より高度な製造設備を持つメーカー
に需要がシフトする可能性がある。
• 他業界に増して、製鋼業界の人材不足は深刻である。会社と
して成長を目指す背景には、賃上げはもちろん、厳しい労務
環境を前提としない、高度なものづくりへの転換を迫られて
いるという危機意識がある。</t>
  </si>
  <si>
    <t>内発的動機
• 競争力の向上、都心需要でのシェア拡大のため、抜本的な生
産工程の高度化を遂行している。仕入れ（車両管理、計量、検
収）や電炉（溶解～出鋼）については生産性向上の目処が
立っている。
• これまで「細物」の製造に特化していたが、供給能力向上に
伴い、より太い棒鋼の製造を検討している。サイズの太い鉄
筋に対応した圧延設備の導入が必要になる。
• ベース鋼種のサイズを太くしても付加価値が高まりにくいた
め、より強度の高い鋼種（SD490）の製造・増産に取り組む。
このためには、より高度な精錬工程を導入する必要がある。</t>
  </si>
  <si>
    <t>【p.1／売上成長目標】
売上成長目標
• 2024年～2029年の5年間における、会社全体の売上高成長率 16.6％
• 20２４年～2029年の5年間における、会社全体の売上高増加額 5,749百万円
【p.2／2025年度 2028年度】
2025年度 2028年度
項⽬
（基準年度） （基準年度＋３年後）</t>
  </si>
  <si>
    <t>【p.1】
1.⻑期成⻑ビジョン
千代田鋼鉄工業株式会社
都内唯⼀の電炉で新たに、⾼品質な・太い棒鋼の製造に取り組む。
DX推進・製造⼯程の⾼度化に投資を続けて成⻑し、資源循環型社会の⼀員として貢献する。
外発的動機 内発的動機
• 都心再開発案件の大型化、高度化に伴い、当社が現状、十分 • 競争力の向上、都心需要でのシェア拡大のため、抜本的な生
対応できていない鋼種・サイズの棒鋼（鉄筋）ニーズが拡大し 産工程の高度化を遂行している。仕入れ（車両管理、計量、検
ている。 収）や電炉（溶解～出鋼）については生産性向上の目処が
• 棒鋼メーカーを含む製鋼業は再編が進んでいる。直ちに市 立っている。
場の需給が影響を受ける可能性は低いが、長期的には、幅広 • これまで「細物」の製造に特化していたが、供給能力向上に
い製品ラインアップや、より高度な製造設備を持つメーカー 伴い、より太い棒鋼の製造を検討している。サイズの太い鉄
に需要がシフトする可能性がある。 筋に対応した圧延設備の導入が必要になる。
• 他業界に増して、製鋼業界の人材不足は深刻である。会社と • ベース鋼種のサイズを太くしても付加価値が高まりにくいた
して成長を目指す背景には、賃上げはもちろん、厳しい労務 め、より強度の高い鋼種（SD490）の製造・増産に取り組む。
環境を前提としない、高度なものづくりへの転換を迫られて このためには、より高度な精錬工程を導入する必要がある。
いるという危機意識がある。
長期成長ビジョン（目指す姿・ビジネスモデル）
• 10年後、東京は高度に発展しつつ、環境負荷の少ない、持続的な都市インフラの更新を実現している。
• 当社は、寿命を迎えた建築物から鉄スクラップを回収し、これを元に新たな棒鋼（より強度の高い鉄筋）を
製造するという、資源循環型社会「鉄の地産地消」を実現・推進している。
• 建築物及びそこで用いられる棒鋼が高度化するのに合わせて、当社が製造・供給する棒鋼の鋼種・サイズも
高度化している。ユーザー様からは、当社の製品や製造工程を高く評価されている。
売上成長目標
• 2024年～2029年の5年間における、会社全体の売上高成長率 16.6％
• 20２４年～2029年の5年間における、会社全体の売上高増加額 5,749百万円</t>
  </si>
  <si>
    <t>【p.2】
2.補助事業の概要
千代田鋼鉄工業株式会社
先進的な精錬〜圧延⼯程を導⼊して、都内唯⼀の電炉を⾼度化する
旺盛な都⼼再開発需要への対応と、設備・⼈員の⽣産性向上を実現する
• 都心・近郊の高度な棒鋼需要に応えるために、製品ラインアップを増やし、事業拡大・
補助事業の 生産性向上と、持続的な賃上げを図る。 事業費 43億円
背景・⽬的 • 工場拡張と拠点新設を行う。 具体的には、二次精錬設備の新設、圧延設備の新設・改 （補助額） （6.5億円）
造、設備及び増産した製品を置く建屋・倉庫の新設を行う。
導入設備のイメージ
設備の名称 補助対象 目的
①二次精錬設備用建屋 ◯ 二次精錬及び鋳造設備を
対象 設置する
②二次精錬設備（LF：取鍋精 ✕ 二次精錬～鋳造工程を効
錬炉、連続鋳造設備を含む） 率化する
対象外
③太物圧延用設備（改造費及 ◯ 太物（D19～）の製造のた
び設置工事費） 対象 め、圧延能力を向上する
設備投資の
④積込・保管用建屋（工場 ✕ 増産する製品の出荷準備
内容
内） 及び保管
対象外
⑤積込・保管用建屋内鉄筋 ◯ 出荷する製品を保管する
ラック工事 対象 治具
⑥保管用建屋（八潮市） ◯ 増産する製品を保管する
対象 （中古倉庫を新規取得）
⑦保管用建屋内スライドアー ◯ 増産する製品を保管する
ムラック（八潮市） 対象 治具
2025年度 2028年度
項⽬
（基準年度） （基準年度＋３年後）
労働⽣産性 3,095
2,661
（単位︓万円/⼈） (年平均上昇率＋5.2％)
⽬標値 従業員1⼈あたり給与⽀給総額 667
592
（単位︓万円/⼈） （年平均上昇率＋4％）
役員１⼈あたり給与⽀給総額 -
-
（単位︓万円/⼈） （年平均上昇率＋2.6％）
補助事業に係る従業員数
155 155
（単位︓⼈）</t>
  </si>
  <si>
    <t>株式会社 ビッグハウス
1.長期成長ビジョン
当社（木造建築物の製造・建設業）は、製造工程のオートメーション化により建設業の脱炭素化・人手不
足の解消に貢献し「次の100年のスタンダード」を牽引する（2023年：8億⇒2029年：22億へ）</t>
  </si>
  <si>
    <t>当社（木造建築物の製造・建設業）は、製造工程のオートメーション化により建設業の脱炭素化・人手不
足の解消に貢献し「次の100年のスタンダード」を牽引する（2023年：8億⇒2029年：22億へ）
・既存の工場・設備は効率性や生産性が低く、当社の今後の競争力や人材確保力の低下が懸念される
・①新工場建設、②産業用ロボットの導入により、生産性向上および量産体制の構築を図る</t>
  </si>
  <si>
    <t>長期成長ビジョン（目指す姿・ビジネスモデル）
現在の姿
• 平成26年の設立以来、宮崎県で「次の100年のスタンダード」
を目標とした建物づくりを目指す
• 木造構造物の①トラス構造の屋根、②ツーバイフォー（2×4パ
ネル）の壁や床材を製造・組立している
長期成長ビジョン
• 製造工程のオートメーション化により木造建築物の大型化と
大量生産に対応し、売上・利益の拡大
• 建築部分の製造～組立を一貫して請け負い、建設業の人
手不足解消に貢献し、他社と差別化
• 木造建築を推し進め、脱炭素を日本のスタンダードに
審査基準 ☑メガトレンドを踏まえ、5～10年後の社会に価値提供する自社のありたい姿（長期成長ビジョン）が具現化されている
との整合性 ☑その中において、高い売上高成長率及び売上高増加額が示されている</t>
  </si>
  <si>
    <t>外発的動機
（社会課題・顧客ﾆｰｽﾞの変化等のﾒｶﾞﾄﾚﾝﾄﾞ）
• 2025年には、建設業の労働人口が約90万人不足すると予想
され、生産効率の向上は喫緊の課題である
• 2050年のカーボンニュートラルを目指す日本において、木造木
質化された建築物は、都市部における「第2の森林」として炭素の
貯蔵庫となることが期待される
⇒日本の建設業において脱炭素への本格的な取り組みと
人手不足を解消する生産効率の向上は
建設業界関連企業としての生き残る術である</t>
  </si>
  <si>
    <t>内発的動機
（経営者の原体験や動機等）
• 木造大型建造物の需要増加に対し、製造環境が不十分であり、
1棟あたりトラス元請で200百万円、トラス材工フレミング工事で
50百万円規模の機会損失となっている
• 手作業かつ属人化された製造工程によりコストが大きくかかり、従
業員の給与に反映できていない
⇒製造工程のオートメーション化により生産量の増加と生
産コストの削減により大幅な収益UPが必要</t>
  </si>
  <si>
    <t>【p.1／上段要旨】
当社（木造建築物の製造・建設業）は、製造工程のオートメーション化により建設業の脱炭素化・人手不
足の解消に貢献し「次の100年のスタンダード」を牽引する（2023年：8億⇒2029年：22億へ）
【p.1／売上成長目標】
売上成長目標
• 2029年までの会社全体の売上高成長率161％
• 2029年までの会社全体の売上高増加額14億円
【p.2／上段要旨】
・既存の工場・設備は効率性や生産性が低く、当社の今後の競争力や人材確保力の低下が懸念される
・①新工場建設、②産業用ロボットの導入により、生産性向上および量産体制の構築を図る</t>
  </si>
  <si>
    <t>【p.1】
株式会社 ビッグハウス
1.長期成長ビジョン
当社（木造建築物の製造・建設業）は、製造工程のオートメーション化により建設業の脱炭素化・人手不
足の解消に貢献し「次の100年のスタンダード」を牽引する（2023年：8億⇒2029年：22億へ）
長期成長ビジョン（目指す姿・ビジネスモデル） 外発的動機（社会課題・顧客ﾆｰｽﾞの変化等のﾒｶﾞﾄﾚﾝﾄﾞ）
• 2025年には、建設業の労働人口が約90万人不足すると予想
現在の姿
• 平成26年の設立以来、宮崎県で「次の100年のスタンダード」 され、生産効率の向上は喫緊の課題である
• 2050年のカーボンニュートラルを目指す日本において、木造木
を目標とした建物づくりを目指す
• 木造構造物の①トラス構造の屋根、②ツーバイフォー（2×4パ 質化された建築物は、都市部における「第2の森林」として炭素の
ネル）の壁や床材を製造・組立している 貯蔵庫となることが期待される
⇒日本の建設業において脱炭素への本格的な取り組みと
人手不足を解消する生産効率の向上は
建設業界関連企業としての生き残る術である
内発的動機（経営者の原体験や動機等）
長期成長ビジョン
• 木造大型建造物の需要増加に対し、製造環境が不十分であり、
• 製造工程のオートメーション化により木造建築物の大型化と
1棟あたりトラス元請で200百万円、トラス材工フレミング工事で
大量生産に対応し、売上・利益の拡大
50百万円規模の機会損失となっている
• 建築部分の製造～組立を一貫して請け負い、建設業の人
• 手作業かつ属人化された製造工程によりコストが大きくかかり、従
手不足解消に貢献し、他社と差別化
業員の給与に反映できていない
• 木造建築を推し進め、脱炭素を日本のスタンダードに
⇒製造工程のオートメーション化により生産量の増加と生
売上成長目標 産コストの削減により大幅な収益UPが必要
• 2029年までの会社全体の売上高成長率161％
• 2029年までの会社全体の売上高増加額14億円
審査基準 ☑メガトレンドを踏まえ、5～10年後の社会に価値提供する自社のありたい姿（長期成長ビジョン）が具現化されている
との整合性 ☑その中において、高い売上高成長率及び売上高増加額が示されている</t>
  </si>
  <si>
    <t>【p.2】
株式会社 ビッグハウス
2.補助事業の概要
・既存の工場・設備は効率性や生産性が低く、当社の今後の競争力や人材確保力の低下が懸念される
・①新工場建設、②産業用ロボットの導入により、生産性向上および量産体制の構築を図る
背景 当社は木造建築の部品製造から取付まで一気通貫で対応できる技術やノウハウを有するが、人手に依存した製造方
法により生産効率が低く、利益を圧迫している状態である
目的 製造工程の自動化により市場の需要に対応できる量産体制の構築および生産効率向上により収益改善を図る
補助事業の
現在抱えている課題
背景・目的 A：作業スペースや仕掛品の保管場所を確保し、効率性・生産性の工場
事業費 12億円
B：産業用ロボット導入により人手不足を解消し、量産体制を構築
（補助額） （3.8億円）
C：手作業や、生産性改善の余地が大きい工程を自動化し、生産コストを削減
D：3Kのイメージが積用労働環境を改善し、人材採用を強化
取組 実施場所 取組内容 投資額
三股新工場 造成工事
A 三股工場 三股新工場 新工場新築工事 3.7億円
三股新工場 新事務所新築工事
設備投資の B ツーバイ・フォー壁・合板組立システム導入 2億円
内容 C カット機自動投入システム導入 1.2億円
D トラス組立システム導入 2.2億円
三股工場
E 床・金具組立システム導入 1億円
F 木材 そり量検査システム導入 0.4億円
G 搬送機械導入 1億円
2026年度 2029年度
項目
（基準年度） （基準年度＋３年後）
労働生産性 1,176
785
（単位：万円/人） （年平均上昇率＋14.4％）
従業員1人あたり給与支給総額 500
目標値 385
（単位：万円/人） （年平均上昇率＋9.07％）
役員１人あたり給与支給総額 -
-
（単位：万円/人） （年平均上昇率＋6.58％）
補助事業に係る従業員数
41 54
（単位：人）</t>
  </si>
  <si>
    <t>株式会社山田ドビー
1.長期成長ビジョン
■グリーン成長分野の主要部品専用プレス機と生産技術を提供し、脱炭素社会実現に
貢献し続けている会社</t>
  </si>
  <si>
    <t>長期成長ビジョン（目指す姿・ビジネスモデル）
①グリーン成長14分野において、高い生産性が求められる
主要小型部品の製造に特化したプレス機の開発
②プレス機のみならず、提携・協業している、プレス加工、
材料、金型、周辺機器メーカーと協同して、生産技術も含め
て販売する。（地域貢献）
③上記でグリーン成長分野製品の大幅なコストダウンと生産
性の向上を実現する事で、政府が掲げるグリーン成長戦略を
促進し、当社と協同事業者が共に成長するビジネスモデルを
構築する。（我が国経済発展への貢献）
④ビジョンを実現する為に必要な、優秀人材を確保し当社に
留めるべく、「一宮で一番高い給与を出せる会社」を維持し、
技術者にとって魅力的な難易度の高い案件を受注し続ける企
業を目指す</t>
  </si>
  <si>
    <t>外発的動機
• 本格的な脱・低炭素化の流れ（政府のグリーン成長戦略）
• 自動車部品の工法転換（プレス→ギガキャスト等）による
プレス部品の減少
• 内燃製自動車のEV・FCV化によるプレス部品需要の高まり
• 国内販売の減少、海外販売・引合いの大幅増（環境分野）
• プレス機のみならず生産ライン構築支援ニーズの高まり
• アサイ産業（石川県企業）買収直後の被災による建屋修繕
必要性の発生</t>
  </si>
  <si>
    <t>内発的動機
①小型高速精密プレス機製造の世界トップ技術を保有
②高度なプレス加工技術保有企業との提携
③高度な金型技術保有企業との提携
④金属材料メーカーとの提携
⑤品質改善・生産性を向上させる周辺機器メーカーとの提携
⑥近年業績好調により大規模投資が可能
⑦上記①②③④⑤の活用で難易度の高い生産ライン構築
可能
⑧アサイ産業買収による大型プレス機製造のノウハウと
工場取得</t>
  </si>
  <si>
    <t>【p.1／売上成長目標】
売上成長目標
• 2029年までの会社全体の売上高成長率82.3％
• 2029年までの会社全体の売上高増加額77.9億円
【p.2／2026年度】
2026年度
項目
（基準年度）</t>
  </si>
  <si>
    <t>【p.1】
株式会社山田ドビー
1.長期成長ビジョン
■グリーン成長分野の主要部品専用プレス機と生産技術を提供し、脱炭素社会実現に
貢献し続けている会社
長期成長ビジョン（目指す姿・ビジネスモデル） 外発的動機
• 本格的な脱・低炭素化の流れ（政府のグリーン成長戦略）
①グリーン成長14分野において、高い生産性が求められる • 自動車部品の工法転換（プレス→ギガキャスト等）による
主要小型部品の製造に特化したプレス機の開発 プレス部品の減少
• 内燃製自動車のEV・FCV化によるプレス部品需要の高まり
②プレス機のみならず、提携・協業している、プレス加工、 • 国内販売の減少、海外販売・引合いの大幅増（環境分野）
材料、金型、周辺機器メーカーと協同して、生産技術も含め • プレス機のみならず生産ライン構築支援ニーズの高まり
て販売する。（地域貢献） • アサイ産業（石川県企業）買収直後の被災による建屋修繕
必要性の発生
③上記でグリーン成長分野製品の大幅なコストダウンと生産
性の向上を実現する事で、政府が掲げるグリーン成長戦略を
促進し、当社と協同事業者が共に成長するビジネスモデルを
構築する。（我が国経済発展への貢献）
内発的動機
④ビジョンを実現する為に必要な、優秀人材を確保し当社に
①小型高速精密プレス機製造の世界トップ技術を保有
留めるべく、「一宮で一番高い給与を出せる会社」を維持し、
②高度なプレス加工技術保有企業との提携
技術者にとって魅力的な難易度の高い案件を受注し続ける企
③高度な金型技術保有企業との提携
業を目指す
④金属材料メーカーとの提携
⑤品質改善・生産性を向上させる周辺機器メーカーとの提携
⑥近年業績好調により大規模投資が可能
売上成長目標
⑦上記①②③④⑤の活用で難易度の高い生産ライン構築
• 2029年までの会社全体の売上高成長率82.3％
可能
• 2029年までの会社全体の売上高増加額77.9億円
⑧アサイ産業買収による大型プレス機製造のノウハウと
工場取得</t>
  </si>
  <si>
    <t>【p.2】
株式会社山田ドビー
2.補助事業の概要
■市場の最大1/3価格の燃料電池用セパレータ専用プレス機の生産体制を構築する
補助事業の
燃料電池用セパレータは、加工精度の課題をクリアする為、現在非常に高額且つ大型 事業費 59億円
プレス機2台での生産が必要で、燃料電池の価格を押し上げ、普及の妨げとなってい （補助額） （18億円）
背景・目的
る。本事業で大幅な価格の低減、小型化した燃料電池用セパレータ専用プレス機を製
品化し、燃料電池の生産コストを大幅に低減・生産性の向上を実現する事で、脱炭素
社会の実現に貢献する。
設備投資の
内容
燃料電池用セパレータ専用
プレス機の試作機
2026年度 2029年度
項目
（基準年度） （基準年度＋３年後）
労働生産性 58,032千円
17,623千円
（単位:千円/人） （年平均上昇率＋49％）
目標値 従業員1人あたり給与支給総額 9,883千円
8,300千円
（単位:千円/人） （年平均上昇率＋5.95％）
役員１人あたり給与支給総額 -
-
（単位:千円/人） （年平均上昇率＋3.70％）
補助事業に係る従業員数
12名 30名
（単位:人）</t>
  </si>
  <si>
    <t>1.⾧期成⾧ビジョン 丸井産業株式会社
・ 建設資材の総合メーカー兼商社として、取引先の要望に応えた商品開発や技術的サポート、スピード感の
ある「提案営業」を軸に製品づくりから販売・施工まで、全国の取引先（建設現場）のサポートを実践する</t>
  </si>
  <si>
    <t>工場 人員
本社工場 44名</t>
  </si>
  <si>
    <t>⾧期成⾧ビジョン（目指す姿・ビジネスモデル）
建設現場の工期遅延の解消
・ 生産拠点を東西に持つことにより、リードタイムの短縮を行い、建設
現場の合理化をサポートする
自社製品の開発強化
・ 建設現場に寄り添った新商品開発を行うとともに、最新鋭の設備を
導入することで生産コストを下げ、競争力を強化する
生産の効率化と持続的な賃上げの実現
・ 自動化ラインの設備により生産性を向上させ、人手不足の解消と、
社員の手で生み出された利益を社員に還元する</t>
  </si>
  <si>
    <t>外発的動機
社会課題（SDGs）の解決に向けた取組
・ 労働人口の減少による省力化商品の需要の高まり
・ 2024年問題をふまえて効率的な輸送の実現
快適な職場環境と賃上げの実現
・ 週休二日制の導入、冷暖房完備の施設整備
・ 生産性の向上による継続的な賃上げの実現</t>
  </si>
  <si>
    <t>内発的動機
取引先の満足度と新商品開発
・ 「いいものを作って世の中の役に立ちたい」という創業者
の理念に基づいた新たな商品開発により、取引先の
満足度を向上させる
・ 既存工場のキャパオーバーの解消
知識・経験などスキルの向上</t>
  </si>
  <si>
    <t>【p.1／売上成長目標】
売上成⾧目標
• 2030年度までに売上高1,000億円を達成させる
1,200
1,032
965
1,000 902
843
788
736
800
688
643
599
600
4000
2022年2023年2024年2025年2026年2027年2028年2029年2030年
【p.2／自社製品の製造、自動化、】
自社製品の製造、自動化、
省エネを実現するための設備
㈱イムロ
（例）金型設備
自動化設備 他
【p.2／（取引先の課題解決に向けた取り組み）】
（取引先の課題解決に向けた取り組み）
・ 建材に係る製品をスピーディーに届けることで、建設現場の効率的な働き方をサポートする。
・ 災害等の有事の際にも、安定的な供給ができる体制を構築する。
【p.2／（SDGｓ、地域貢献への取組み）】
（SDGｓ、地域貢献への取組み）
・ 東日本エリアの生産拠点を整備することで製品の輸送距離が短縮され、物流にかかるCO2の排出量が大きく削減される。
・ 太陽光発電システムの導入により、CO2の排出量が大きく削減される。
・ 地域雇用の確保（工場で50名の新規採用を計画）、自動化設備の導入等により生産性を高め、賃上げを実現する。
【p.2／（DX化への取組み）】
・ 地域雇用の確保（工場で50名の新規採用を計画）、自動化設備の導入等により生産性を高め、賃上げを実現する。
（DX化への取組み）
・ 需要予測AIの導入、データ可視化による生産工程の高度化
・ 自動化設備の導入、Iot（生産管理システム）、AGV（無人配送車）導入による工場のスマート化
【p.3／上段要旨】
工場 人員
本社工場 44名</t>
  </si>
  <si>
    <t>【p.1】
1.⾧期成⾧ビジョン 丸井産業株式会社
・ 建設資材の総合メーカー兼商社として、取引先の要望に応えた商品開発や技術的サポート、スピード感の
ある「提案営業」を軸に製品づくりから販売・施工まで、全国の取引先（建設現場）のサポートを実践する
⾧期成⾧ビジョン（目指す姿・ビジネスモデル）
外発的動機
建設現場の工期遅延の解消 社会課題（SDGs）の解決に向けた取組
・ 生産拠点を東西に持つことにより、リードタイムの短縮を行い、建設 ・ 労働人口の減少による省力化商品の需要の高まり
現場の合理化をサポートする
・ 2024年問題をふまえて効率的な輸送の実現
自社製品の開発強化
快適な職場環境と賃上げの実現
・ 建設現場に寄り添った新商品開発を行うとともに、最新鋭の設備を
・ 週休二日制の導入、冷暖房完備の施設整備
導入することで生産コストを下げ、競争力を強化する
・ 生産性の向上による継続的な賃上げの実現
生産の効率化と持続的な賃上げの実現
・ 自動化ラインの設備により生産性を向上させ、人手不足の解消と、
社員の手で生み出された利益を社員に還元する
内発的動機
売上成⾧目標
取引先の満足度と新商品開発
• 2030年度までに売上高1,000億円を達成させる
1,200 ・ 「いいものを作って世の中の役に立ちたい」という創業者
1,032
965 の理念に基づいた新たな商品開発により、取引先の
1,000 902
843
788 満足度を向上させる
800 688 736
643 ・ 既存工場のキャパオーバーの解消
599
600
知識・経験などスキルの向上
4000
2022年2023年2024年2025年2026年2027年2028年2029年2030年</t>
  </si>
  <si>
    <t>【p.2】
2.補助事業の概要 丸井産業株式会社
・ 東日本エリアの新工場建設により、社会課題である建設現場と物流面における効率的な働き方の実現
およびサポートが可能となるだけでなく、SDGｓ、地域貢献及びDXの推進に向けた貢献も可能となる
• 建設現場の遅延解消を実現するため、東日本の生産拠点を整備して物流のリードタイムの短縮 事業費 102億円
補助事業の を実現する（2024年問題を踏まえ、建設現場は効率的な働き方が求められている）。
（補助額） （30億円）
背景・目的 • 自動化ラインの設備により生産性を向上させ、人手不足の解消と、効率化によって得られた
利益を持続的に社員に還元する。 （※:支払済など対象外費用:2.8億円を含む）
• 茨城の物流倉庫の隣地に、自社製品の製造工場を建設する 当社の東日本物流センター（2022年）
内容 対象事業者 事業費
新工場の建設 丸井産業㈱ 90.2億円
自社製品の製造、自動化、
省エネを実現するための設備
㈱イムロ 22.7億円
（例）金型設備
自動化設備 他
【新工場建設により期待される効果】
設備投資の
（取引先の課題解決に向けた取り組み）
内容
・ 建材に係る製品をスピーディーに届けることで、建設現場の効率的な働き方をサポートする。
・ 災害等の有事の際にも、安定的な供給ができる体制を構築する。
（SDGｓ、地域貢献への取組み）
・ 東日本エリアの生産拠点を整備することで製品の輸送距離が短縮され、物流にかかるCO2の排出量が大きく削減される。
・ 太陽光発電システムの導入により、CO2の排出量が大きく削減される。
・ 地域雇用の確保（工場で50名の新規採用を計画）、自動化設備の導入等により生産性を高め、賃上げを実現する。
（DX化への取組み）
・ 需要予測AIの導入、データ可視化による生産工程の高度化
・ 自動化設備の導入、Iot（生産管理システム）、AGV（無人配送車）導入による工場のスマート化
【p.3】
2.補助事業の概要 丸井産業株式会社
西日本 の工場から全国の拠点へ配送 → 東日本の拠点は茨城工場から配送する体制に
（広島・島根）
工場 人員
本社工場 44名
本社工場、広島工場、六日市工場で
広島工場 36名 生産している製品を茨城工場でも製造
合計:107人
設備投資 西 六日市工場（島根） 27名
日
実施後の
本 関西工場 12名
物流
佐賀工場 6名
沖縄工場 7名
生産性の向上
茨城工場 23名→73名（予定）
東
日 札幌工場 2名 次ページ
本
八王子工場 4名
2025年度（2026年5月期） 2028年度（2029年5月期）
項目
（基準年度） （基準年度＋３年後）
労働生産性 7,359
6,214
（単位:千円/人） (年平均上昇率+5.79％)
目標値
従業員1人あたり給与支給総額 6,614
5,677
（丸井産業） （単位:千円/人）
(年平均上昇率+5.23％)
自動化設備の
役員１人あたり給与支給総額 -
-
（単位:千円/人） (年平均上昇率+5.00％) 導入により効率
補助事業に係る従業員数
1,685 1,985 性は高まるものの、
（単位:人）
次の成⾧を見据
2025年度（2026年5月期） 2028年度（2029年5月期）
項目 え、従業員の
（基準年度） （基準年度＋３年後）
雇用拡大にウエイ
労働生産性 898
3,262
（単位:千円/人） （年平均上昇率-34.94%） トをおいて展開
目標値 従業員1人あたり給与支給総額 5,251
4,496
（イムロ） （単位:千円/人） （年平均上昇率+5.31%）
役員１人あたり給与支給総額 -
-
（単位:千円/人）
（年平均上昇率+5.00%）
補助事業に係る従業員数
139 182
（単位:人）</t>
  </si>
  <si>
    <t>1.長期成長ビジョン 山本ビニター株式会社
誘電加熱市場は小さく、既存市場は成熟化している。反面、カーボンニュートラルの進展に伴い、省エネ技術とし
て誘電加熱の優位性が注目されている。リーディングカンパニーとして新しい分野に挑戦することで、誘電加熱装
置の市場拡大を図る。</t>
  </si>
  <si>
    <t>長期成長ビジョン（目指す姿・ビジネスモデル）
誘電加熱装置のリーディングカンパニーとして、誘電加熱市場の
拡大・製品の浸透化を図る。
中期目標：2034年に売上高100億円
長期目標：2054年に100年企業
＜目標達成の戦略＞
１．誘電加熱の新規市場を開拓し、新製品を投入する
２．自動化・省エネ化を武器に製品を既存市場に浸透させる
３．海外展開を強化し、海外市場を取り込む
４．それらを受け入れる生産力を増強する
＜達成手段＞
• 工場の全面的なリニューアル
• R＆Dセンターの新設</t>
  </si>
  <si>
    <t>外発的動機
• カーボンニュートラル・省エネの進展により、化石燃料から電化への
要請が高い
• 既存分野（木材・樹脂・食品）の市場成熟
• 少子高齢化による労働力不足
• 産業の空洞化と国内製造業の衰退</t>
  </si>
  <si>
    <t>内発的動機
• 工場の老朽化、生産面積が手狭により、製造能力の限界に達して
いる
• 「加熱の困り事」に対して、誘電加熱の技術を活かすことで、ソリュー
ションを提供できる</t>
  </si>
  <si>
    <t>【p.1／売上成長目標】
売上成長目標
• 2030年までに会社全体の売上高成長率160％
• 2030年までに会社全体の売上高増加額25億円</t>
  </si>
  <si>
    <t>【p.1】
1.長期成長ビジョン 山本ビニター株式会社
誘電加熱市場は小さく、既存市場は成熟化している。反面、カーボンニュートラルの進展に伴い、省エネ技術とし
て誘電加熱の優位性が注目されている。リーディングカンパニーとして新しい分野に挑戦することで、誘電加熱装
置の市場拡大を図る。
長期成長ビジョン（目指す姿・ビジネスモデル） 外発的動機
• カーボンニュートラル・省エネの進展により、化石燃料から電化への
誘電加熱装置のリーディングカンパニーとして、誘電加熱市場の
要請が高い
拡大・製品の浸透化を図る。
• 既存分野（木材・樹脂・食品）の市場成熟
• 少子高齢化による労働力不足
中期目標：2034年に売上高100億円
• 産業の空洞化と国内製造業の衰退
長期目標：2054年に100年企業
＜目標達成の戦略＞
１．誘電加熱の新規市場を開拓し、新製品を投入する
２．自動化・省エネ化を武器に製品を既存市場に浸透させる
３．海外展開を強化し、海外市場を取り込む
４．それらを受け入れる生産力を増強する
内発的動機
• 工場の老朽化、生産面積が手狭により、製造能力の限界に達して
＜達成手段＞
いる
• 工場の全面的なリニューアル
• 「加熱の困り事」に対して、誘電加熱の技術を活かすことで、ソリュー
• R＆Dセンターの新設
ションを提供できる
売上成長目標
• 2030年までに会社全体の売上高成長率160％
• 2030年までに会社全体の売上高増加額25億円</t>
  </si>
  <si>
    <t>【p.2】
.補助事業の概要
2 山本ビニター株式会社
2030年に100億円企業の達成を目指し、「工場の全面リニューアル」と「R＆Dセンターの新設」を実施。
これらにより、既存市場では「浸透化戦略」を深化させ、また新市場開拓では「誘電加熱によるソリューションモデ
ル」を深化させることで、生産力1.4倍、売上高1.6倍を目指す。
補助事業の 工場リニューアルによる生産力の向上とR&amp;Dセンター新設による技術開発力の強化により、 事業費 2 億円
6
背景・目的 誘電加熱市場の拡大・製品の浸透を図る （補助額） （ 億円）
8.2
＜工場全面リニューアル：生産力の向上＞
１．組立スペース拡大
→新工場の建設
２．リードタイム短縮
→工程管理の強化、図面管理ソフトの導入、専門家による設計強化支援
３．作業効率向上
設備投資の
→AGV自走部品搬送システム導入、三次元測定機導入
内容
＜R＆Dセンター新設：技術開発力の強化＞
１．既存市場の浸透化
→電波環境への対応（電波暗室の設置）、HPによる多言語での情報発信
２．新規市場の開拓
→テストラボの拡充、電磁界シミュレーションシステムの強化、測定器・検査機器の拡充、HPによる技術情報の発信
2027年度 2030年度
項目
（基準年度） （基準年度＋３年後）
労働生産性 2,028万円／人
1,701万円／人
（単位：万円/人） （年平均上昇率＋6.0％）
目標値 従業員1人あたり給与支給総額 807万円／人
728万円／人
（単位：万円/人） （年平均上昇率＋3.5％）
役員１人あたり給与支給総額 －
－
（単位：万円/人） （年平均上昇率＋4.0％）
補助事業に係る従業員数
96人 110人
（単位：人）</t>
  </si>
  <si>
    <t>株式会社アイスコ
1.長期成長ビジョン
当社はアイスクリーム・冷凍食品の卸売業及び食品スーパーマーケットの運営を行っています。2021年から10年
先の目標「ICECO VISION 2030」を定め、徹底的な合理化と効率化の推進を掲げ取り組んでおります。</t>
  </si>
  <si>
    <t>長期成長ビジョン（目指す姿・ビジネスモデル）
• 「ICECO VISION 2030」
拡大が見込まれるフローズン市場において差別化戦略を武器に
リーディングカンパニーを目指す。
• 5つの成長戦略
①サービス品質の向上
・フルメンテナンスサービスを磨き上げ、お客様にとっての揺るぎない存在へ
・商品品質・接客サービスを磨き上げ、お客様満足度No.1を目指す
②新規事業の創出
・収益力の高い新規事業の創出
・グローバル事業展開の検討
③自立型人財の育成
・自ら考え行動し、結果を出せる社員の育成
・人を育てることが出来る社員の育成
④DXの推進
・デジタル技術や戦略に十分な知見を持つ人財の確保
・デジタル技術を活用し、新たな価値を創出
⑤SDGsの取組
・太陽光パネルの活用により、冷凍庫の電気の一部を太陽光発電で賄う
・環境配慮型トラックの導入を検討</t>
  </si>
  <si>
    <t>外発的動機
◼ 外部の機会
・コロナ以降で高まった即食・簡便・時短ニーズによる家庭用冷凍食品
の急伸
・冷凍食品の生産量増加に伴う低温物流市場の拡大傾向
・国を挙げた物流DXの推進
◼ 外部の脅威
・低温物流事業における競合の増加
・原油やエネルギー価格の高騰による費用負担の増加
・2024年問題に伴う物流の停滞と人件費上昇
・労働力人口の減少</t>
  </si>
  <si>
    <t>内発的動機
• 「I care everybody company-あらゆる人々に慈しみの心を
もって接する企業でありたい-」当社の由来となっているこの言葉は、
私たちが出来るだけたくさんの人に幸せになってもらいたいという強い
願いを込めている。また、当社は「情熱・挑戦」「努力・決意」「感
謝・謙虚」の3つを行動指針に掲げ、お客様に感動と満足を感じて
いただける、そして社員一人ひとりが活き活きとやりがいをもって仕事
ができる環境づくりを目指している。
• 当社は創業70年を迎えて今後さらに100年150年と存続させるこ
とを目指しており、持続可能な企業づくりを目指して日々成長を続
けることを目標にしている。</t>
  </si>
  <si>
    <t>【p.1／売上成長目標】
売上成長目標
• 2030年3月期までの会社全体のKGI
会社全体の売上高1,000億円
会社全体の営業利益25億円
売上高成長率122％、増加額551億円（直近期末比）</t>
  </si>
  <si>
    <t>【p.1】
株式会社アイスコ
1.長期成長ビジョン
当社はアイスクリーム・冷凍食品の卸売業及び食品スーパーマーケットの運営を行っています。2021年から10年
先の目標「ICECO VISION 2030」を定め、徹底的な合理化と効率化の推進を掲げ取り組んでおります。
長期成長ビジョン（目指す姿・ビジネスモデル） 外発的動機
◼ 外部の機会
• 「ICECO VISION 2030」
・コロナ以降で高まった即食・簡便・時短ニーズによる家庭用冷凍食品
拡大が見込まれるフローズン市場において差別化戦略を武器に
の急伸
リーディングカンパニーを目指す。
・冷凍食品の生産量増加に伴う低温物流市場の拡大傾向
• 5つの成長戦略
・国を挙げた物流DXの推進
①サービス品質の向上
◼ 外部の脅威
・フルメンテナンスサービスを磨き上げ、お客様にとっての揺るぎない存在へ
・低温物流事業における競合の増加
・商品品質・接客サービスを磨き上げ、お客様満足度No.1を目指す
・原油やエネルギー価格の高騰による費用負担の増加
②新規事業の創出
・2024年問題に伴う物流の停滞と人件費上昇
・収益力の高い新規事業の創出
・グローバル事業展開の検討 ・労働力人口の減少
③自立型人財の育成
・自ら考え行動し、結果を出せる社員の育成
・人を育てることが出来る社員の育成
④DXの推進
・デジタル技術や戦略に十分な知見を持つ人財の確保 内発的動機
・デジタル技術を活用し、新たな価値を創出
• 「I care everybody company-あらゆる人々に慈しみの心を
⑤SDGsの取組
もって接する企業でありたい-」当社の由来となっているこの言葉は、
・太陽光パネルの活用により、冷凍庫の電気の一部を太陽光発電で賄う
私たちが出来るだけたくさんの人に幸せになってもらいたいという強い
・環境配慮型トラックの導入を検討
願いを込めている。また、当社は「情熱・挑戦」「努力・決意」「感
売上成長目標 謝・謙虚」の3つを行動指針に掲げ、お客様に感動と満足を感じて
いただける、そして社員一人ひとりが活き活きとやりがいをもって仕事
• 2030年3月期までの会社全体のKGI
ができる環境づくりを目指している。
会社全体の売上高1,000億円
会社全体の営業利益25億円 • 当社は創業70年を迎えて今後さらに100年150年と存続させるこ
とを目指しており、持続可能な企業づくりを目指して日々成長を続
売上高成長率122％、増加額551億円（直近期末比）
けることを目標にしている。</t>
  </si>
  <si>
    <t>【p.2】
.補助事業の概要 株式会社アイスコ
2
ケース単位で管理できる自動倉庫を備えた物流倉庫を新たに建設する事で、従来作業員が行っていた仕分け、
ピッキング作業を自動化し労働生産性を大幅に改善、売上増加への対応や更なる配送効率の向上を実現する。
補助事業の • 冷凍食品市場の拡大に伴う北関東エリアの取引拡大に対応できる体制を構築。 事業費 35億円
背景・目的 • 立体自動倉庫によって仕分け・ピッキングを自動化し、人手不足に対応。 （補助額） （11億円）
• 投資の概要
新たに埼玉県に冷凍物流倉庫を建設する。新倉庫にはケース単位で
保管できる自動倉庫を活用した物流システムを導入することで、労働生
産性を飛躍的に改善する。
• 課題の解決
完成イメージ（外観） ピッキングイメージ
ケース自動倉庫による仕分け、ピッキングの自動化：
従来人の手で行っていた仕分け、ピッキング作業をケース単位で格納でき
設備投資の
る自動倉庫を導入することで自動化し、労働生産性と就業環境の改善を
内容
図る。
倉庫の集約化による物流効率の改善：
本事業で新たに大型の倉庫を建設するのにともない、周辺倉庫の統廃合
を行う。
本事業で建設した倉庫を基幹倉庫として、既存倉庫や他社物流倉庫を
サテライト倉庫として使用可能な体制を構築し、商圏拡大の低コスト化を
実現する。
完成イメージ（3Dモデル）
2027年3月期 2030年3月期
項目
（基準年度） （基準年度＋３年後）
労働生産性 823
654
（単位：万円/人） （年平均上昇率＋7.93％）
目標値 従業員1人あたり給与支給総額 503
446
（単位：万円/人） （年平均上昇率＋4.07％）
役員１人あたり給与支給総額 -
-
（単位：万円/人） （年平均上昇率＋0％）
補助事業に係る従業員数
158 188
（単位：人）</t>
  </si>
  <si>
    <t>ポーライト株式会社
1.⻑期成⻑ビジョン
ポーライトは、「誠意と技術の⼒で世界を幸せにする」をスローガンに、従業員とその家族の幸せの追求、および製
品開発と製品提供により、世界の人々の幸せを追求する。</t>
  </si>
  <si>
    <t>⻑期成⻑ビジョン（目指す姿・ビジネスモデル）
•
誠意と技術の⼒で世界を幸せにする。
•
デジタル技術・自動化を駆使した、誰でも安全安心なものづくりで、
快適な職場環境と生産性向上を実現する。
•
粉末冶⾦業界発展のため、新市場を開拓する。
•
当社が優位性のある含油軸受事業では、ミニチュアボールベアリン
グ市場への参入を進める。
•
CO2排出量の削減に寄与する製品を開発する。
•
多様なニーズに対応した製品を展開する。
•
グローバル経営と人材活用を進める。
•
サプライチェーンの強靭化への対応、特に原材料の内製化を進める。</t>
  </si>
  <si>
    <t>外発的動機
•
デジタル化・自動化の進展（通信機器・情報家電の増加）
•
人口動態の変化（労働人口の減少）
•
地政学的変化（サプライチェーン上の貿易リスク拡⼤）
•
気候変動
•
ダイバーシティの進展
•
電動自動⾞の普及（⼩型モーターの需要拡⼤）
•
粉末冶⾦業界の縮⼩（新規市場への参入の必要性）
•
資源の枯渇</t>
  </si>
  <si>
    <t>内発的動機
•
創業者が作った社訓「我が社は誠意と技術をもって本分とする よっ
て全員その自尊心を有することを誇りとすべし」を全社員が共有。
•
全世界の消費電⼒の半分がモーターの電⼒と⾔われる中、当社の
主⼒製品である軸受の性能が消費電⼒に影響する。
•
発明家であった創業者から受け継いだ精神で、⻑期的視野に⽴ち
チャレンジングな製品開発を進める。
•
経営⽅針にある「お客様に使い勝⼿の良い会社となり、喜びと安心
を提供する」を実践し、多様なニーズに対応していく。
•
人材採用が困難になっており、外部からの採用は年々コストアップと
なっている。</t>
  </si>
  <si>
    <t>【p.1／売上成長目標】
売上成⻑目標
•
28年までの会社全体の売上⾼成⻑率66％（22年⽐）
•
28年までの会社全体の売上⾼増加額82億円（22年⽐）</t>
  </si>
  <si>
    <t>【p.1】
ポーライト株式会社
1.⻑期成⻑ビジョン
ポーライトは、「誠意と技術の⼒で世界を幸せにする」をスローガンに、従業員とその家族の幸せの追求、および製
品開発と製品提供により、世界の人々の幸せを追求する。
⻑期成⻑ビジョン（目指す姿・ビジネスモデル） 外発的動機
•
• デジタル化・自動化の進展（通信機器・情報家電の増加）
誠意と技術の⼒で世界を幸せにする。
•
• 人口動態の変化（労働人口の減少）
デジタル技術・自動化を駆使した、誰でも安全安心なものづくりで、
•
地政学的変化（サプライチェーン上の貿易リスク拡⼤）
快適な職場環境と生産性向上を実現する。
•
• 気候変動
粉末冶⾦業界発展のため、新市場を開拓する。
•
• ダイバーシティの進展
当社が優位性のある含油軸受事業では、ミニチュアボールベアリン
•
電動自動⾞の普及（⼩型モーターの需要拡⼤）
グ市場への参入を進める。
•
• 粉末冶⾦業界の縮⼩（新規市場への参入の必要性）
CO2排出量の削減に寄与する製品を開発する。
•
• 資源の枯渇
多様なニーズに対応した製品を展開する。
•
グローバル経営と人材活用を進める。
•
サプライチェーンの強靭化への対応、特に原材料の内製化を進める。
内発的動機
•
創業者が作った社訓「我が社は誠意と技術をもって本分とする よっ
売上成⻑目標 て全員その自尊心を有することを誇りとすべし」を全社員が共有。
• •
28年までの会社全体の売上⾼成⻑率66％（22年⽐） 全世界の消費電⼒の半分がモーターの電⼒と⾔われる中、当社の
•
28年までの会社全体の売上⾼増加額82億円（22年⽐） 主⼒製品である軸受の性能が消費電⼒に影響する。
•
発明家であった創業者から受け継いだ精神で、⻑期的視野に⽴ち
チャレンジングな製品開発を進める。
•
経営⽅針にある「お客様に使い勝⼿の良い会社となり、喜びと安心
を提供する」を実践し、多様なニーズに対応していく。
•
人材採用が困難になっており、外部からの採用は年々コストアップと
なっている。</t>
  </si>
  <si>
    <t>【p.2】
ポーライト株式会社
2.補助事業の概要
・含油軸受事業の主原料である銅コーティング粉の内製化により、海外メーカー依存のリスク低減と安定供給が可能となる。
・⾃動化設備導⼊による⽣産能⼒拡⼤と⽣産効率の向上により、⾼い収益性を実現し、社員に利益の還元を⾏う。
当社の含油軸受は技術⼒が⾼く、低騒⾳、低振動、⻑寿命に定評がある。しかし、主原料の銅
補助事業の コーティング粉は海外調達に依存し、また⽣産設備⽼朽化が⽣産キャパと収益性の⾜かせとなって 事業費 31億円
背景・目的 いる。本補助事業により銅コーティング粉の内製化および設備⾃動化を⾏い、競争⼒を強化し、 （補助額） （8.2億円）
⾼い収益性を確保することで、社員に対して継続的な賃上げを達成する。
①設備投資:銅コーティング粉工場の新設
課題の解決︓
Cu
内製化により海外メーカ依存から脱却し、安定供給と⾼品質粉末の製造。
原料の内製化により、為替変動に左右されない原料コストの達成。
コーティング粉末の製造技術を蓄積することによって新規材料の開発に繋げる。 Fe
事業継続(BCP)対策と供給量と成⻑性確保。
設備投資の
②設備投資:軸受製造工程の⾃動化・効率化実現 銅コーティング粉
内容
課題の解決︓ イメージ図
ロボット・AGV導⼊による⼯程間単純作業の効率化及び夜間⾃動⽣産、安定的な品質向上。
ロボットによる職人的作業の⾃動化と継承問題解決。
AI判断⽣産管理導⼊による⽣産スケジュール⾼効率最適化。
MES（製造実⾏システム）による異常監視性向上、稼働率向上達成。
以上により、⽣産能⼒は5千万個/月から8千万個/月へ拡⼤し、⽣産リードタイム12日から6日へ効率化を実現。
2025年度 2028年度
項目
（基準年度） （基準年度＋３年後）
労働生産性 1,414万円/人
1,001万円/人
（単位︓万円/人） （年平均上昇率＋12.3％）
従業員1人あたり給与支給総額 684万円
目標値 610万円/人
（単位︓万円/人） （年平均上昇率＋3.9％）
役員１人あたり給与支給総額 0
0
（単位︓万円/人） （年平均上昇率＋0％）
補助事業に係る従業員数
183人 186人
（単位︓人）</t>
  </si>
  <si>
    <t>SINGS株式会社
1.長期成長ビジョン
SINGS株式会社は、総合寝具メーカーとして持続可能な成長を目指します。寝具を通して睡眠の質の向上
及び社会貢献を果たすため、10年後までに売上高2.5倍を目指します。</t>
  </si>
  <si>
    <t>長期成長ビジョン（目指す姿・ビジネスモデル）
• SINGS株式会社は岡山県倉敷市に立地し、マットレス・布団等
の製造・販売を行う総合寝具メーカーとして創立72年を迎えます。
• 当社の理念は、寝具を通して「一人でも多くの方の睡眠の質を
高め、社会貢献を行う」ことであり、市場ニーズに応えた革新的
製品の開発や、協業による新しい価値創造と地域への波及を
通じて市場シェアの拡大を目指します。
睡眠の
質の向上
市場シェア拡大
社会貢献
寝具のトータルプロデュース
革新的製品の 協業を通じた
開発 地域への波及</t>
  </si>
  <si>
    <t>外発的動機
• 当社事業が属する国内マットレス市場の規模は2023年で4,714
百万米ドルであり、住宅の欧米化、高齢化、良質な睡眠を求める
消費者の嗜好の変化などにより、１人当たり消費額の上昇を受け、
緩やかに市場規模が拡大しています。
特に当社の主力商品である低反発マットレス市場は急成長を遂げ
ています。
• 近年、睡眠の質への関心の高まりや、環境保護意識の向上などに
よって、寝具市場には新たなニーズが生まれています。
当社はこれらの社会課題に対応した製品開発を進め、社会の
期待に応えることを目指しています。</t>
  </si>
  <si>
    <t>内発的動機
• 当社は1953年に麦わら帽子等を販売する商店として創立、縫い
ぐるみ生産、発泡ウレタン生産、寝具生産と少しづつ形を変え
ながらも、顧客ニーズに応え、また従業員や地域へ貢献するような
事業を行ってきました。
• 3代目社長石井将基は、お客様の生活の質の向上に深い関心を
持って来ました。これまでの理念を引き継ぎつつも、業界に新風を
吹き込み布団に対する固定観念を覆す “第４次寝具革命”と
銘打ち、洗えるウレタンマットレス「アラエルーノ」を発売するなど、
お客様の声に応え、新たな価値を提供しています。一人でも多くの
方の睡眠の質を高められるよう、市場シェアを伸ばし、より多く・
より良い製品を提供していくことを願っています。</t>
  </si>
  <si>
    <t>【p.1／売上成長目標】
売上成長目標
• 2034年までに会社全体の売上高成長率248％
• 2034年までに会社全体の売上高増加額49億円
（2024年1月期売上高：33億円）</t>
  </si>
  <si>
    <t>【p.1】
SINGS株式会社
1.長期成長ビジョン
SINGS株式会社は、総合寝具メーカーとして持続可能な成長を目指します。寝具を通して睡眠の質の向上
及び社会貢献を果たすため、10年後までに売上高2.5倍を目指します。
長期成長ビジョン（目指す姿・ビジネスモデル） 外発的動機
• 当社事業が属する国内マットレス市場の規模は2023年で4,714
• SINGS株式会社は岡山県倉敷市に立地し、マットレス・布団等
百万米ドルであり、住宅の欧米化、高齢化、良質な睡眠を求める
の製造・販売を行う総合寝具メーカーとして創立72年を迎えます。
消費者の嗜好の変化などにより、１人当たり消費額の上昇を受け、
緩やかに市場規模が拡大しています。
• 当社の理念は、寝具を通して「一人でも多くの方の睡眠の質を
特に当社の主力商品である低反発マットレス市場は急成長を遂げ
高め、社会貢献を行う」ことであり、市場ニーズに応えた革新的
ています。
製品の開発や、協業による新しい価値創造と地域への波及を
通じて市場シェアの拡大を目指します。
• 近年、睡眠の質への関心の高まりや、環境保護意識の向上などに
よって、寝具市場には新たなニーズが生まれています。
当社はこれらの社会課題に対応した製品開発を進め、社会の
睡眠の
期待に応えることを目指しています。
質の向上
市場シェア拡大
社会貢献 内発的動機
• 当社は1953年に麦わら帽子等を販売する商店として創立、縫い
寝具のトータルプロデュース ぐるみ生産、発泡ウレタン生産、寝具生産と少しづつ形を変え
ながらも、顧客ニーズに応え、また従業員や地域へ貢献するような
革新的製品の 協業を通じた 事業を行ってきました。
開発 地域への波及
• 3代目社長石井将基は、お客様の生活の質の向上に深い関心を
持って来ました。これまでの理念を引き継ぎつつも、業界に新風を
売上成長目標 吹き込み布団に対する固定観念を覆す “第４次寝具革命”と
• 2034年までに会社全体の売上高成長率248％ 銘打ち、洗えるウレタンマットレス「アラエルーノ」を発売するなど、
• 2034年までに会社全体の売上高増加額49億円 お客様の声に応え、新たな価値を提供しています。一人でも多くの
（2024年1月期売上高：33億円） 方の睡眠の質を高められるよう、市場シェアを伸ばし、より多く・
より良い製品を提供していくことを願っています。</t>
  </si>
  <si>
    <t>【p.2】
.補助事業の概要 SINGS株式会社
2
ウレタンマットレス材料の内製化及び工程の自動化・効率化のため、新工場の建設及び機械設備の導入を実施します。
コスト面、納期面の訴求力を向上させ労働生産性33.3％、従業員1人あたり給与支給額5.9％の上昇を目指します。
補助事業の • 工場の新設及び設備導入により、これまで外部から仕入れていたウレタンマットレス材料の内製 事業費 億円
31
背景・目的 化及び工程の自動化・効率化を実施する。コスト面、納期面の訴求力向上を図る。 （補助額） （ 億円）
9.6
• 事業費 ①工場建屋：2,182百万円（税抜）
建設予定地
②機械設備：(輸入) 409百万円（2,638千米ドル,1ドル155円想定）
(国内) 400百万円（税込）
概要 ①工場建屋 所在地：岡山県倉敷市 玉島ハーバーアイランド
分譲面積：43,303㎡
②機械設備：ウレタン発泡機１台、ウレタン冷却用ラック一式
ウレタンカッター5台、コンベア・リフト類一式、60tタンク2基
コンベア・圧縮梱包機ライン一式、ウレタン加工設備一式
• 事業内容
これまで外部から仕入れていたウレタンマットレス材料（ウレタンフォーム）を内製化する。
設備投資の
内製化したウレタンフォームは従前より大型化するため、カット工程にかかる時間が飛躍
内容
的に短縮し、カット成型時の歩留まり向上に繋がる。併せて、工程間のコンベアやリフト
等による自動化や、これまで工場間を移動して行っていた作業を同一建屋内で行うこと
による効率化により、最大5人の活人化が見込まれる。 完成予想図
• 事業の成果
コスト面の訴求力向上
・ウレタンフォームの内製化により材料費年33％減（2024年1月期試算）
・ウレタンフォームの大型化による歩留向上、端材廃棄量44%減(23/1-12試算）
納期面の訴求力向上
・ウレタンフォームカット工程での飛躍的な生産力向上及び、マテリアルハンドリングの
効率化による労働生産性向上により、短納期での納品が可能となる。
2026年度 2029年度
項目
（基準年度） （基準年度＋３年後）
労働生産性 1,297
547
（単位：万円/人） （年平均上昇率＋33.3％）
目標値 従業員1人あたり給与支給総額 254
214
（単位：万円/人） （年平均上昇率＋5.9％）
役員１人あたり給与支給総額 1,616
1,361
（単位：万円/人） （年平均上昇率＋5.9％）
補助事業に係る従業員数
115 175
（単位：人）</t>
  </si>
  <si>
    <t>株式会社AKシステム
1.長期成長ビジョン
 持続的な経営体制の確立・地域への雇用創出・所得増進を目的として長期成長ビジョンを策定
 制御盤・自動化装置の製造業務を通じて九州シリコンアイランドの復活に貢献し、地域を代表するグローカルカンパニーへ成長する</t>
  </si>
  <si>
    <t>長期成長ビジョン
【目指す姿】
『培われた技術力により社会の課題解決企業へと変革し九州
シリコンアイランドの復活を担うグローカルカンパニーとなる』</t>
  </si>
  <si>
    <t>外発的動機
• 経済産業省が策定した「半導体・デジタル産業戦略」において、九
州は“産業用先端半導体の世界的な生産拠点“として位置付けら
れ、社会的に半導体関連産業への希求が高まっている。
⇒TSMCを中心とする「新生シリコンアイランド九州」の実現。
• 電装事業/装置事業という社内の主力2事業ともに取引先からの
大規模増産及び製造領域拡大の要請あり。
• 物価高の影響が長期化する中、成長と分配の好循環を実現し、
従業員の所得増加に向けた大幅賃上げによる国内の経済活性化
への貢献。</t>
  </si>
  <si>
    <t>内発的動機
• 当社は第5回「100年企業顕彰」で最優秀の経済産業大臣賞
(地域共栄部門)を受賞した「古手川産業グループ」の構成企業。
• グループ内における高成長事業分野を当社が担っており、次の100
年に向けた持続的な成長を目的とした大規模投資への取組み。
＊世界的に需要が増加している半導体関連分野の増強。
⇒グローバル分野への成長投資。
• 「新生シリコンアイランド九州」の実現に向け、熊本(TSMCが進出)
のみならず、地元「大分」から貢献したい。
⇒地域への波及効果、ローカル視点
• 地域への雇用創出・所得増進のため、労働分配率80％を維持
してきた実績あり。持続的な雇用創出・賃上げによる従業員エン
ゲージメント向上の為には、更なる成長が不可欠。</t>
  </si>
  <si>
    <t>【p.1／売上成長目標】
売上成長目標
売上高成長率
現在 目指す姿
182.6％
2023年3月期実績 2029年3月期計画
売上高増加額
21.9億円 40.0億円
18.1億円
【p.2／設備投資の内容】
【設備投資の内容】
&lt;建物&gt;
①新工場建設（延床面積3,562.60㎡） 8.1億円
②既存本社工場改修+倉庫建設 1.5億円
&lt;機械装置・ソフトウェア&gt;
③スポット溶接機・自動脱脂洗浄機・フライス盤・旋盤など
④生産管理システムなど 0.4億円
• 大分県大分市大字廻栖野に新工場を建設する（用地
また、既存本社工場内の塗装工場改修・板金保管倉庫
• 既存本社工場⇒電装事業部、新工場⇒装置事業部の
として機能分化し、生産ライン効率化を図る。これにより、
不足による失注・生産性低下」という当社弱みが改善され
• 各工場には、「自動脱脂洗浄機」「スポット溶接機」などの
する先端設備導入を行うことに加えて、生産管理システム</t>
  </si>
  <si>
    <t>【p.1】
株式会社AKシステム
1.長期成長ビジョン
 持続的な経営体制の確立・地域への雇用創出・所得増進を目的として長期成長ビジョンを策定
 制御盤・自動化装置の製造業務を通じて九州シリコンアイランドの復活に貢献し、地域を代表するグローカルカンパニーへ成長する
長期成長ビジョン 外発的動機
• 経済産業省が策定した「半導体・デジタル産業戦略」において、九
【目指す姿】
州は“産業用先端半導体の世界的な生産拠点“として位置付けら
『培われた技術力により社会の課題解決企業へと変革し九州
れ、社会的に半導体関連産業への希求が高まっている。
シリコンアイランドの復活を担うグローカルカンパニーとなる』
⇒TSMCを中心とする「新生シリコンアイランド九州」の実現。
• 電装事業/装置事業という社内の主力2事業ともに取引先からの
売上成長目標
大規模増産及び製造領域拡大の要請あり。
売上高成長率
現在 目指す姿
182.6％ • 物価高の影響が長期化する中、成長と分配の好循環を実現し、
2023年3月期実績 2029年3月期計画
従業員の所得増加に向けた大幅賃上げによる国内の経済活性化
21.9億円 売上高増加額 40.0億円
18.1億円 への貢献。
内発的動機
• 当社は第5回「100年企業顕彰」で最優秀の経済産業大臣賞
(地域共栄部門)を受賞した「古手川産業グループ」の構成企業。
• グループ内における高成長事業分野を当社が担っており、次の100
年に向けた持続的な成長を目的とした大規模投資への取組み。
＊世界的に需要が増加している半導体関連分野の増強。
⇒グローバル分野への成長投資。
• 「新生シリコンアイランド九州」の実現に向け、熊本(TSMCが進出)
のみならず、地元「大分」から貢献したい。
⇒地域への波及効果、ローカル視点
• 地域への雇用創出・所得増進のため、労働分配率80％を維持
してきた実績あり。持続的な雇用創出・賃上げによる従業員エン
ゲージメント向上の為には、更なる成長が不可欠。</t>
  </si>
  <si>
    <t>【p.2】
株式会社AKシステム
2.補助事業の概要
 補助事業により、新工場建設及び既存本社工場の改修を行い生産能力の大幅向上を図る
 地域への雇用創出(継続的な賃上げ)・付加価値額大幅増加を両立させ労働生産性上昇を目指す
補助事業の • 取引先からの増産要請に対応可能な生産体制を確立することに加えて新事業へ挑戦する。 事業費 11億円
背景・目的 • 外部環境変化による経営への影響を僅少化し、強靭な経営体制を構築する。 （補助額） （3.5億円）
【設備投資の内容】 ◎既存本社工場 導入設備(一部)
&lt;建物&gt; 大分県由布市庄内町
自動脱脂洗浄機
①新工場建設（延床面積3,562.60㎡） 8.1億円
②既存本社工場改修+倉庫建設 1.5億円
&lt;機械装置・ソフトウェア&gt;
③スポット溶接機・自動脱脂洗浄機・フライス盤・旋盤など 2.8億円
④生産管理システムなど 0.4億円
• 大分県大分市大字廻栖野に新工場を建設する（用地取得済）。 スポット溶接機
設備投資の
本社機能移転
また、既存本社工場内の塗装工場改修・板金保管倉庫を新設する。
内容
• 既存本社工場⇒電装事業部、新工場⇒装置事業部の各専門工場
◎新工場(イメージ図)
として機能分化し、生産ライン効率化を図る。これにより、「工場・設備
大分県大分市大字廻栖野
不足による失注・生産性低下」という当社弱みが改善される。
• 各工場には、「自動脱脂洗浄機」「スポット溶接機」などの省力化に資
生産管理システム
する先端設備導入を行うことに加えて、生産管理システムを新たに導
入することで、生産効率の向上を図る。
• 大規模工場の新設であり、地域への雇用創出・付加価値額の大幅増
加を両立させ、労働生産性年平均上昇率+8.9％を目指す。
2025年度 2028年度
項目
（基準年度） （基準年度＋３年後）
労働生産性 817
632
（単位︓万円/人） （年平均上昇率＋8.9％）
目標値 従業員1人あたり給与支給総額 470
418
（単位︓万円/人） （年平均上昇率＋4.0％）
役員１人あたり給与支給総額 ー
ー
（単位︓万円/人） （年平均上昇率＋4.0％）
補助事業に係る従業員数
110 125
（単位︓人）</t>
  </si>
  <si>
    <t>1.長期成長ビジョン 大森機械工業株式会社
日本における成長と技術開発を基軸に、世界の衛生観念・生活水準の向上による包装需要の拡大を取り込み、
グローバル連結売上1,000億円の包装機械メーカー「OMORI」として、包装で国際社会に貢献していく</t>
  </si>
  <si>
    <t>日本における成長と技術開発を基軸に、世界の衛生観念・生活水準の向上による包装需要の拡大を取り込み、
グローバル連結売上1,000億円の包装機械メーカー「OMORI」として、包装で国際社会に貢献していく</t>
  </si>
  <si>
    <t>長期成長ビジョン（目指す姿・ビジネスモデル）
「OMORI」の包装技術で、世界の社会課題の解決に
貢献しながら、連結売上1,000億円のグローバル企業へ成長
• 日本の人口減少を考慮し、日本での生産・日本からの輸出に頼るのでは
なく、日本で培った技術を用いて海外で製造・販売を行い、包装技術によ
る社会課題解決を通じて世界に価値提供をしていく
• 世界の包装機械市場の成長を取り込んでグローバル企業として成長する
中期目標
日本を世界の「OMORI」の技術開発拠点・マザー工場化
• 社会の成熟に伴う課題が先行していく日本で、多くの顧客課題に応えな
がら経験・ノウハウを蓄積し、世界に展開していくための技術力を高める
本補助事業
• 日本で多くの顧客ニーズに応えながら技術力を高めるには、事業規模を拡
大することが重要。その一方、人口減少を踏まえ、効率化を図りながら生産
性向上と人手不足の解消を狙う取り組みが必須
• 本補助事業では、新工場の設立と、既存工場との供給余力の融通を可
能にする投資との掛け合わせにより、新工場単独以上の大幅な供給力の
改善に繋がる。この効率化により、当社の労働生産性の向上が見込まれ、
持続的な賃上げが可能となる
• 当社の仕入れ先は地場企業の割合が大きく、当社の成長は取引先の成
長でもあり果たすべき責任は大きい。本事業により当社は一段上の成長を
果たし、結果として賃上げを含めた地域波及効果を見込む
2023年5月期 2029年5月期 2034年5月期 2048年5月期
（直近年度） （5年後） （10年後） （24年後）
連結 394億円 620億円 750億円 1,000億円
単体 222億円 352億円 386億円 500億円</t>
  </si>
  <si>
    <t>外発的動機
◼ 潜在的市場
• 日本市場は中期的には人口減少による機械化ニーズがあるが、長期的には成長が頭打ち
• 今後、衛生観念・生活水準が向上する国では市場が大幅に拡大（中国 5.2%/インド 4.5%）
◼ 顧客ニーズ
• 顧客メーカーの将来的な人員不足を見据えた包装工程の省人化需要の高まり（オーダーメ
イド需要）
• 品質の要求水準の向上による顧客の環境と同環境（各工程を繋いでライン化）での機械の
調整需要の高まり
• 食品ロス削減に向けた消費期限の長期化等、包装に係る新技術開発需要の高まり
• 自動倉庫の普及に伴い、自動倉庫からの搬入～搬出までを含む包装工程の全自動化需要
の高まり
• 社会課題が先行する日本に遅れて、同様のニーズがより大きな海外市場で発生する
◼ 競合他社
• 包装の各工程ごとの競合は存在するが、全工程をオーダーメイド対応できる競合の不在
人口減少する日本の新たな機械化ニーズに応えつつ、
先行する日本市場で開発した技術を海外でローカライズしていく勝ち筋</t>
  </si>
  <si>
    <t>内発的動機
◼ 世界のデファクトスタンダード
• 魚肉ソーセージのアルミクリップやトレーラッパーは開発後数十年以上経っても世界のデファク
トスタンダード
◼ 中国での実績
• 約30年前に起きた中国でのインスタントラーメンブームに日本製の機械輸出で対応したが円
高により採算がとれず、インスタントラーメンの包装機械メーカーを現地に設立。中国の経済
成長に伴い、中国市場の7～8割のシェアまで成長
◼ インドでの評価
• 中国の次の市場として、インドでは最大の潜在的競合をM&amp;Aして現地進出。既存の現地
ブランドより高品質・高価格な大森ブランドの機械が高評価
「OMORI」の技術は世界に通じるという強い確信</t>
  </si>
  <si>
    <t>【p.1／上段要旨】
日本における成長と技術開発を基軸に、世界の衛生観念・生活水準の向上による包装需要の拡大を取り込み、
グローバル連結売上1,000億円の包装機械メーカー「OMORI」として、包装で国際社会に貢献していく
【p.2／工場間の効率的な融通を可能にする支給品払い出しシステムの構築】
• 工場間の効率的な融通を可能にする支給品払い出しシステムの構築
• 複雑なオーダーメイド設計の増加に対応するための3D CADシステムの
購入
• その他、事業に必要なシステム・機械装置関連費等
【p.2／本社工場の3.51倍の工場床面積と高さ5mの吹き抜けの新工場】
• 本社工場の3.51倍の工場床面積と高さ5mの吹き抜けの新工場
➢ 各機械を繋いだ長いラインの調整・試験もできる広大さと、全自動
化設備に対応可能な高さのある形状
• どの工場の取扱い機械を運び込んでも対応できるエアー設備の完備
【p.2／顧客の新ニーズへの対応が可能になり訴求力の向上・売上増加が可能に】
• 供給力が大幅に改善され、累積が続く受注残の売上転換・顧客の省力化需要の高まりの取り込みにより、成長の天井を突破
➢ 新設する広大な新工場と、工場間の融通を可能にするシステムとの掛け合わせにより、新工場単独以上の大幅な供給力の改善に繋がる。目先の大型案件の受注も可能になる
• 顧客の新ニーズへの対応が可能になり訴求力の向上・売上増加が可能に
➢ 包装工程が長く・大きくなるライン化調整需要・全自動化需要を受け入れる新工場と、これらの需要に対応できる技術システムの導入により、顧客への訴求力を高め、競争力を高め
て売上増加に繋げることができる
• 省力化・効率改善による労働生産性の改善・大幅な採用なしでの売上増大・経験効率の向上による技術力の育成が可能に
➢ 工場間の柔軟な融通・出荷待ちによる作業不可時間の削減等により、労務生産性が向上し、技術者のコア業務時間が増え技術力向上・新技術開発に時間を使えるようになる</t>
  </si>
  <si>
    <t>【p.1】
1.長期成長ビジョン 大森機械工業株式会社
日本における成長と技術開発を基軸に、世界の衛生観念・生活水準の向上による包装需要の拡大を取り込み、
グローバル連結売上1,000億円の包装機械メーカー「OMORI」として、包装で国際社会に貢献していく
外発的動機
長期成長ビジョン（目指す姿・ビジネスモデル） ◼ 潜在的市場
• 日本市場は中期的には人口減少による機械化ニーズがあるが、長期的には成長が頭打ち
「OMORI」の包装技術で、世界の社会課題の解決に
• 今後、衛生観念・生活水準が向上する国では市場が大幅に拡大（中国 5.2%/インド 4.5%）
貢献しながら、連結売上1,000億円のグローバル企業へ成長
◼ 顧客ニーズ
• 日本の人口減少を考慮し、日本での生産・日本からの輸出に頼るのでは • 顧客メーカーの将来的な人員不足を見据えた包装工程の省人化需要の高まり（オーダーメ
イド需要）
なく、日本で培った技術を用いて海外で製造・販売を行い、包装技術によ
る社会課題解決を通じて世界に価値提供をしていく • 品質の要求水準の向上による顧客の環境と同環境（各工程を繋いでライン化）での機械の
調整需要の高まり
• 世界の包装機械市場の成長を取り込んでグローバル企業として成長する
• 食品ロス削減に向けた消費期限の長期化等、包装に係る新技術開発需要の高まり
中期目標 • 自動倉庫の普及に伴い、自動倉庫からの搬入～搬出までを含む包装工程の全自動化需要
の高まり
日本を世界の「OMORI」の技術開発拠点・マザー工場化
• 社会課題が先行する日本に遅れて、同様のニーズがより大きな海外市場で発生する
• 社会の成熟に伴う課題が先行していく日本で、多くの顧客課題に応えな
◼ 競合他社
がら経験・ノウハウを蓄積し、世界に展開していくための技術力を高める
• 包装の各工程ごとの競合は存在するが、全工程をオーダーメイド対応できる競合の不在
本補助事業
人口減少する日本の新たな機械化ニーズに応えつつ、
• 日本で多くの顧客ニーズに応えながら技術力を高めるには、事業規模を拡 先行する日本市場で開発した技術を海外でローカライズしていく勝ち筋
大することが重要。その一方、人口減少を踏まえ、効率化を図りながら生産
性向上と人手不足の解消を狙う取り組みが必須
内発的動機
• 本補助事業では、新工場の設立と、既存工場との供給余力の融通を可 ◼ 世界のデファクトスタンダード
能にする投資との掛け合わせにより、新工場単独以上の大幅な供給力の • 魚肉ソーセージのアルミクリップやトレーラッパーは開発後数十年以上経っても世界のデファク
改善に繋がる。この効率化により、当社の労働生産性の向上が見込まれ、 トスタンダード
持続的な賃上げが可能となる ◼ 中国での実績
• 当社の仕入れ先は地場企業の割合が大きく、当社の成長は取引先の成 • 約30年前に起きた中国でのインスタントラーメンブームに日本製の機械輸出で対応したが円
長でもあり果たすべき責任は大きい。本事業により当社は一段上の成長を 高により採算がとれず、インスタントラーメンの包装機械メーカーを現地に設立。中国の経済
果たし、結果として賃上げを含めた地域波及効果を見込む 成長に伴い、中国市場の7～8割のシェアまで成長
◼ インドでの評価
2023年5月期 2029年5月期 2034年5月期 2048年5月期
（直近年度） （5年後） （10年後） （24年後） • 中国の次の市場として、インドでは最大の潜在的競合をM&amp;Aして現地進出。既存の現地
ブランドより高品質・高価格な大森ブランドの機械が高評価
連結 394億円 620億円 750億円 1,000億円
単体 222億円 352億円 386億円 500億円 「OMORI」の技術は世界に通じるという強い確信</t>
  </si>
  <si>
    <t>【p.2】
.補助事業の概要 大森機械工業株式会社
(cid:21)
顧客ニーズの遷移と当社の強みは一致。さらなる受注拡大が見込まれる。その受注を売上に効率的に繋げる
ためには新工場への投資が必要であり、当該工場において長期ビジョン達成のための布石を打つ
• 受注は大きく伸びているが、供給力不足により売上高に転換できず成長が頭打ちになっている。 また、継続的に大型案件の
補助事業 引き合いもあるが、このままでは供給力不足により受注すらできないリスクがある
事業費 億円
(cid:22)(cid:25)
の背景・ • 今後の人口減少・採用難のリスクも考慮し、補助投資による効率化で労働生産性を向上させた上で、顧客の省力化需要、 （補助額） （1 億円）
(cid:20)
目的
顧客と同環境（ライン化）での調整需要、新技術需要、全自動化需要を取り込める供給力増強を行い、人数の大幅な増
加を伴わずに売上を拡大し、海外で戦える技術力を高めていく
大森ホールディングスの投資（35.0億円） 大森機械工業の投資（約6.5億円）
補助事業に必要な新工場の建屋建設 補助事業に必要なシステム・機械装置の購入
• 本社工場の3.51倍の工場床面積と高さ5mの吹き抜けの新工場 • 工場間の効率的な融通を可能にする支給品払い出しシステムの構築
現長岡工場
➢ 各機械を繋いだ長いラインの調整・試験もできる広大さと、全自動 • 複雑なオーダーメイド設計の増加に対応するための3D CADシステムの
化設備に対応可能な高さのある形状
購入
3D CAD
• どの工場の取扱い機械を運び込んでも対応できるエアー設備の完備 • その他、事業に必要なシステム・機械装置関連費等
設備投資
の内容
• 供給力が大幅に改善され、累積が続く受注残の売上転換・顧客の省力化需要の高まりの取り込みにより、成長の天井を突破
➢ 新設する広大な新工場と、工場間の融通を可能にするシステムとの掛け合わせにより、新工場単独以上の大幅な供給力の改善に繋がる。目先の大型案件の受注も可能になる
• 顧客の新ニーズへの対応が可能になり訴求力の向上・売上増加が可能に
➢ 包装工程が長く・大きくなるライン化調整需要・全自動化需要を受け入れる新工場と、これらの需要に対応できる技術システムの導入により、顧客への訴求力を高め、競争力を高め
て売上増加に繋げることができる
• 省力化・効率改善による労働生産性の改善・大幅な採用なしでの売上増大・経験効率の向上による技術力の育成が可能に
➢ 工場間の柔軟な融通・出荷待ちによる作業不可時間の削減等により、労務生産性が向上し、技術者のコア業務時間が増え技術力向上・新技術開発に時間を使えるようになる
大森機械工業株式会社（申請者） 株式会社大森ホールディングス（共同申請者）
項目 2026年5月期（基準年度） 2029年5月期（基準年度＋３年後） 2026年5月期（基準年度） 2029年5月期（基準年度＋３年後）
1,398万円/人 40,319万円/人
労働生産性 1,184万円/人 15,270万円/人
（年平均上昇率＋5.70％） （年平均上昇率＋38.22％）
目標値 従業員1人あたり 811万円/人
721万円/人 0万円/人 0万円/人
（補助事業） 給与支給総額 （年平均上昇率＋4.0％）
役員１人あたり - -
- -
給与支給総額 （年平均上昇率＋4.0％） （年平均上昇率＋4.0％）
補助事業に係る
685人 730人 0人 0人
従業員数</t>
  </si>
  <si>
    <t>1.長期成長ビジョン 株式会社松尾製作所
カーボンニュートラル（CN）化に向けて、自動車産業の世界的な電動化シフトが進む中、顧客からのより高付
加価値で、世界的なコスト競争力のある電動車部品への要求に応え続けることで持続的な成長を目指す</t>
  </si>
  <si>
    <t>長期成長ビジョン（目指す姿・ビジネスモデル）
世界でのCN化の流れの中、我が国の基幹産業である自動車産業の
一翼を担うものづくり企業として、以下を目指していく
• グローバルな競争力のある電動車部品の提供を通じて、電動車の
普及拡大による環境負荷低減、顧客の業績拡大、地域や我が
国の経済発展に寄与
• 新工法や自動化技術開発に積極的に挑戦し、技術力を継続的
に高めていくことと今度人材の採用強化、人材育成を進めることで、
時代が求める省CO2でさらなる高付加価値製品の生産にシフトし
ていく
• 上記とともに、継続的な設備投資、改善活動による生産性向上、
事業全体での収益性、体質改善により余力を創出し、賃上げや
働きやすい職場づくりにより、より従業員に愛される会社を目指す</t>
  </si>
  <si>
    <t>外発的動機
• 電動化（特にBEV化）に伴う部品点数減少により、自動車部品
業界の競争激化への対応
• 部品のスーパーASSY化、モジュール化対応など、複雑化する電動
車部品の高品質低コスト生産のために求められる高い技術レベル
への対応
• 労働人口減少、採用難の環境に対応するための省人化のさらなる
向上が事業維持に不可欠
• 海外（特に中国）の低コスト部品に負けないコスト競争力の確保、
さらなる高付加価値部品対応による差別化推進が必要</t>
  </si>
  <si>
    <t>内発的動機
• 創業以来、経営理念を基として、働く人に対する人間愛と地域の
方々との協調、そして常に新製品・新技術のイノべーションへ積極
的に取り組み、お客様に満足いただける製品、技術を提供してきた。
CN化の中、自動車の電動化シフトという業界の大変革期において
も、この理念に基づき、お客様の求める電動車部品を提供すること
で、さらなる魅力ある企業を目指していきたい
• 自動車部品業界は世界的に競争が厳しい業界であり、特に汎用
技術製品は過当競争による収益性の低下が著しく、より技術難易
度が高い高付加価値製品へ挑戦し続けなければ勝ち残れない
• 高度人材採用が極めて難しい中、上記取り組みを通じて、当社の
企業価値、魅力向上することで人材採用増につなげていきたい</t>
  </si>
  <si>
    <t>【p.1／売上成長目標】
売上成長目標
【連結（本社、海外）】
• ’30年までの会社全体の売上高年平均成長率：8.5%
• ’30年までの会社全体の売上高増加額：370億円
【単独】
• ’30年までの松尾本社の売上高年平均成長率：6.3%
• ’30年までの松尾本社の売上高増加額：188億円
【p.1／ンスでもある】
電動化シフトという業界の大変革は、グローバルの競争が非常に厳しい自動車部品業界において、当社のさらなる成長のチャ
ンスでもある</t>
  </si>
  <si>
    <t>【p.1】
1.長期成長ビジョン 株式会社松尾製作所
カーボンニュートラル（CN）化に向けて、自動車産業の世界的な電動化シフトが進む中、顧客からのより高付
加価値で、世界的なコスト競争力のある電動車部品への要求に応え続けることで持続的な成長を目指す
長期成長ビジョン（目指す姿・ビジネスモデル） 外発的動機
• 電動化（特にBEV化）に伴う部品点数減少により、自動車部品
世界でのCN化の流れの中、我が国の基幹産業である自動車産業の
業界の競争激化への対応
一翼を担うものづくり企業として、以下を目指していく
• 部品のスーパーASSY化、モジュール化対応など、複雑化する電動
• グローバルな競争力のある電動車部品の提供を通じて、電動車の
車部品の高品質低コスト生産のために求められる高い技術レベル
普及拡大による環境負荷低減、顧客の業績拡大、地域や我が
への対応
国の経済発展に寄与
• 労働人口減少、採用難の環境に対応するための省人化のさらなる
• 新工法や自動化技術開発に積極的に挑戦し、技術力を継続的
向上が事業維持に不可欠
に高めていくことと今度人材の採用強化、人材育成を進めることで、
• 海外（特に中国）の低コスト部品に負けないコスト競争力の確保、
時代が求める省CO2でさらなる高付加価値製品の生産にシフトし
さらなる高付加価値部品対応による差別化推進が必要
ていく
• 上記とともに、継続的な設備投資、改善活動による生産性向上、
事業全体での収益性、体質改善により余力を創出し、賃上げや 内発的動機
働きやすい職場づくりにより、より従業員に愛される会社を目指す • 創業以来、経営理念を基として、働く人に対する人間愛と地域の
方々との協調、そして常に新製品・新技術のイノべーションへ積極
的に取り組み、お客様に満足いただける製品、技術を提供してきた。
売上成長目標
CN化の中、自動車の電動化シフトという業界の大変革期において
【連結（本社、海外）】 も、この理念に基づき、お客様の求める電動車部品を提供すること
• ’30年までの会社全体の売上高年平均成長率：8.5% で、さらなる魅力ある企業を目指していきたい
• ’30年までの会社全体の売上高増加額：370億円 • 自動車部品業界は世界的に競争が厳しい業界であり、特に汎用
【単独】 技術製品は過当競争による収益性の低下が著しく、より技術難易
• ’30年までの松尾本社の売上高年平均成長率：6.3% 度が高い高付加価値製品へ挑戦し続けなければ勝ち残れない
• ’30年までの松尾本社の売上高増加額：188億円 • 高度人材採用が極めて難しい中、上記取り組みを通じて、当社の
企業価値、魅力向上することで人材採用増につなげていきたい
電動化シフトという業界の大変革は、グローバルの競争が非常に厳しい自動車部品業界において、当社のさらなる成長のチャ
ンスでもある</t>
  </si>
  <si>
    <t>【p.2】
株式会社松尾製作所
2.補助事業の概要
顧客から引き合いがある次世代電動車部品量産に不可欠な高度な生産技術に基づく自動化工程を確立する
ことで、CN化の流れの中、世界中で需要が拡大する電動車部品の需要を獲得することで更なる成長を目指す
• 世界的な電動車シフトが進む中、顧客の電動車部品の需要が急拡大している。汎用技術部品がグローバ
ルな競争により収益性が悪化している一方、大電力に対応し、複雑な工程が要求される次世代電動車
補助事業の 事業費 109億円
部品は付加価値も高く、その需要獲得は当社の更なる成長に不可欠である。そこで、大電力対応に必要
背景・目的 （補助額） （35億円）
な生産技術の開発やAI技術の導入、ロボット等も活用した複雑な組付け工程の自動化対応への投資を
行い、生産性が高い新たな生産工程を確立することで受注を獲得し、新分野での売上拡大を実現する
• 新規電動車部品59品番のそれぞれの効率的な量産に必要となる専用工程
への設備投資を行う。品番ごとに工程は多少異なるが、基本的にプレス、射
出成形、接合（溶接、接着等）、組付け、検査設備を導入、組み合わせて、
同一タクトで稼働する専用ラインを構築する
• 各工程の中で最も生産性に影響を与えるのは、SUPPER SUB ASSY品とし
て、様々な加工部品を組み付ける組付け工程である。従来のSUB ASSY品
設備投資の と比較しても、2倍以上のパーツ、加工品、約3倍のステップ数が必要となる複
内容 雑な工程である。そこで、ロボット技術も活用した専用設計の自動機、AI技
術による自動検査工程も組み込むことで、複雑な組付け工程の自動化、全
行程のトレサビの確保を実現する
• 大電力化対応に必要な厚板銅板加工の高品質化のため、新たなレーザー溶
接工程や熱処理工程への投資と生産技術の確立、さらにネックとなる工程の
図 専用設計する組付自動機の1例
冗長化や高速化も行い、当社既存最新工程と比較しても10%以上の生産
（59品番それぞれに専用ラインを設置）
性向上を実現する
2026年度 2029年度
項目
（基準年度） （基準年度＋３年後）
労働生産性 793
657
（単位：万円/人） （年平均上昇率＋6.5％）
従業員1人あたり給与支給総額 563
目標値 515
（単位：万円/人） （年平均上昇率＋3.0％）
役員１人あたり給与支給総額 -
-
（単位：万円/人） （年平均上昇率＋3.0％）
補助事業に係る従業員数
1390 1401
（単位：人）</t>
  </si>
  <si>
    <t>株式会社 西部技研
1.長期成長ビジョン
パーパス「環境に優しい空気のソリューションを届ける。」の実現を通し、あらたな価値を提供することで、企業
価値と社会価値の両立を図る</t>
  </si>
  <si>
    <t>長期成長ビジョン（目指す姿・ビジネスモデル）
当社はグループ理念として、「環境に優しい空気のソリューションを
届ける。」をパーパスとし、また「クライメイト・ニュートラルな未来実
現のため、空気処理技術のイノベーション・リーダーであり続ける。」
を2030年までに達成すべきビジョンに掲げ、世界各国で社会課
題の解決の一助となり得る空気処理に関わる製品、サービス、シ
ステムを提供している。
当社グループは、顧客の抱える環境に関する課題、ひいては地
球環境全体の課題を解決する一助となるソリューションをあらゆる
レイヤーで提供していく一方で、自社製品やサービスの継続的な
改良や改善を行うと共に、環境保全に貢献する新製品の開発を
通して、クライメイト・ニュートラルの実現に寄与することを目指す。</t>
  </si>
  <si>
    <t>外発的動機
2050年までに脱炭素社会の実現をめざすことが世界共通の目標
となっている。こういったトレンドの一つの流れとして、EVシフトを主流と
するバッテリーの生産拡大や自動運転やAIを支える半導体の増産に
おいて、当社のデシカント除湿機やVOC濃縮装置は品質維持や歩
留まり向上の観点から、不可欠なものとなっている。
今後の成長産業の発展に寄与する空気処理技術を提供する事
で、脱炭素社会実現のメガトレンドに向けて貢献していきたい。</t>
  </si>
  <si>
    <t>内発的動機
当社は大学発ベンチャーの魁として、創業者の隈利實が大学勤務の
傍ら、その研究を活かして実際に世に役立つ製品を開発し、社会に貢
献したいと考え起業した。1973年の石油ショックをきっかけに、これから
の時代には省エネルギー、環境保全のための製品が必要であると考え、
現在の当社の製品群を開発した。よって社会貢献を意識したモノづくり
は当社の原点であり、DNAである。今後も当社を持続的に成長させる
ことで社会の問題解決に寄与したいと考えている。</t>
  </si>
  <si>
    <t>【p.1／売上成長目標】
売上成長目標（2023年実績対比）
• 2030年までの全体の売上高成長率
（連結）9.7% （単体）8.0%
• 2030年までの全体の連結売上高増加額
（連結）263億円 （単体）99億円</t>
  </si>
  <si>
    <t>【p.1】
株式会社 西部技研
1.長期成長ビジョン
パーパス「環境に優しい空気のソリューションを届ける。」の実現を通し、あらたな価値を提供することで、企業
価値と社会価値の両立を図る
長期成長ビジョン（目指す姿・ビジネスモデル） 外発的動機
2050年までに脱炭素社会の実現をめざすことが世界共通の目標
当社はグループ理念として、「環境に優しい空気のソリューションを
となっている。こういったトレンドの一つの流れとして、EVシフトを主流と
届ける。」をパーパスとし、また「クライメイト・ニュートラルな未来実
するバッテリーの生産拡大や自動運転やAIを支える半導体の増産に
現のため、空気処理技術のイノベーション・リーダーであり続ける。」
おいて、当社のデシカント除湿機やVOC濃縮装置は品質維持や歩
を2030年までに達成すべきビジョンに掲げ、世界各国で社会課
留まり向上の観点から、不可欠なものとなっている。
題の解決の一助となり得る空気処理に関わる製品、サービス、シ
今後の成長産業の発展に寄与する空気処理技術を提供する事
ステムを提供している。
で、脱炭素社会実現のメガトレンドに向けて貢献していきたい。
当社グループは、顧客の抱える環境に関する課題、ひいては地
球環境全体の課題を解決する一助となるソリューションをあらゆる
レイヤーで提供していく一方で、自社製品やサービスの継続的な
改良や改善を行うと共に、環境保全に貢献する新製品の開発を
内発的動機
通して、クライメイト・ニュートラルの実現に寄与することを目指す。
当社は大学発ベンチャーの魁として、創業者の隈利實が大学勤務の
傍ら、その研究を活かして実際に世に役立つ製品を開発し、社会に貢
売上成長目標（2023年実績対比）
献したいと考え起業した。1973年の石油ショックをきっかけに、これから
• 2030年までの全体の売上高成長率 の時代には省エネルギー、環境保全のための製品が必要であると考え、
（連結）9.7% （単体）8.0%
現在の当社の製品群を開発した。よって社会貢献を意識したモノづくり
は当社の原点であり、DNAである。今後も当社を持続的に成長させる
• 2030年までの全体の連結売上高増加額 ことで社会の問題解決に寄与したいと考えている。
（連結）263億円 （単体）99億円</t>
  </si>
  <si>
    <t>【p.2】
株式会社 西部技研
2.補助事業の概要
拡大する需要に応じるために、デシカント除湿機のコア部品であるローターの生産能力を拡大させるとともに、
安定的かつ効率的な生産体制を構築し、年間5%以上の生産性の向上を図る
補助事業の 国際的なバッテリー、半導体市場の拡大に伴い、除湿分野機械の需要が伸びている。 事業費 34億円
背景・目的 その中でコア製品である除湿ロータの生産キャパ向上が必要とされている。 （補助額） （10億円）
（設備内容）
設備機器概要 金額（百万円） 備考
・コア部品であるローター生産工程における設備一式（左記）
工場建屋一式 1,619
（課題解決）
成形工程設備一式 134 P14 ①
・既存の生産設備は、独自の知見により社内にて製作してきたため、
巻付工程設備一式 71 P14 ② 自動化の遅れ、属人化を伴うという課題を抱えていた。今回の投
資によりその解消を図る
化学処理システム設備一式 918 P14 ④
設備投資の
内容 加工機設備一式 236 P14 ⑤,⑦ （生産性向上）
・製造DXを実現し、生産設備の合理化を図り、作業員の省人・
端面処理関連改造移設 5 P14 ⑧
省力化を実現
作業環境設備一式 388 P14 ⑨
（生産工程及び設備）
IOT関連 80 P14
・ローター生産工程イメージ P13記載
合計 3,451 ・主要生産設備イメージ P14記載
・工場建屋図面 P15記載
2026年度 2029年度
項目
（基準年度） （基準年度＋３年後）
労働生産性 1,587
1,340
（単位：万円/人） （年平均上昇率＋5.81％）
目標値 従業員1人あたり給与支給総額 763
650
（単位：万円/人） （年平均上昇率＋5.51％）
役員１人あたり給与支給総額 －
－
（単位：万円/人） （年平均上昇率＋5.00％）
補助事業に係る従業員数
254 276
（単位：人）
【p.3】
株式会社 西部技研
2.補助事業の概要
【ローター生産工程イメージ】（積層工程・設備は開発中のため記載なし）
【p.4】
株式会社 西部技研
2.補助事業の概要
【主要生産設備イメージ】 （積層工程・設備は開発中のため記載なし）
【p.5】
株式会社 西部技研
2.補助事業の概要
【工場建屋図面】</t>
  </si>
  <si>
    <t>1.長期成長ビジョン
株式会社平島
次の100年、社会と地域に求められる平島であり続けるために
•
100周年を迎えた当社が次の100年を考えたとき、当社の使命は地域と社会に“安心”を届けることだと改めて感じている
•
そして、当社ビジネスを支えているのは社員であり、地域・社会・社員の生活を守る為に、多くの変化を求められる次の100年への地盤
を固める長期成長ビジョンを掲げた</t>
  </si>
  <si>
    <t>•
100周年を迎えた当社が次の100年を考えたとき、当社の使命は地域と社会に“安心”を届けることだと改めて感じている
•
そして、当社ビジネスを支えているのは社員であり、地域・社会・社員の生活を守る為に、多くの変化を求められる次の100年への地盤
を固める長期成長ビジョンを掲げた
長期成長ビジョン（目指す姿・ビジネスモデル）
テーマ
次の100年、社会と地域に求められる平島であり続けるために
• “安心”を届ける日本No.1の金属屋根製造販売メーカーへ成長
するための地盤固めをする期間だと捉えている
• 強みである即納体制に磨きをかけ、即納範囲を九州一円に広め
ることで「災害時に強い平島」のイメージを定着させる
• 持続可能な社会の実現に向け、環境負荷の小さい製品の開発、
高強度折板の普及により、地球にやさしい社会、災害に強
い地域をデザインする
• 環境変化に耐えうる盤石な経営基盤を確立し、積極的な賃上げ
により従業員の未来を守る</t>
  </si>
  <si>
    <t>外発的動機
•
自然災害への対策強化が進む中、軽く、耐震性に優れる金属
屋根の需要が高まる
• 環境意識の高まりから環境負荷の少ない屋根や、屋根材の再利
用、軽量化による炭素使用量の低減等が求められている
• 熊本県においては台湾半導体大手TSMCの進出に伴い、関連産
業の工場建設ニーズが高まる一方、従業員の確保が難しくな
ることが見込まれる
• アフターコロナの新生活様式では居心地のいい居住環境ニーズが高
まり、機能性の高い屋根・壁への需要が高まっている</t>
  </si>
  <si>
    <t>内発的動機
• 2016年の熊本地震、2020年の豪雨災害時にはいち早く住民に
安心を届けられるよう迅速な復旧支援を全社団結して行い、多
くの感謝の言葉を頂いた
• 2023年創業100周年を迎えるにあたり、当社の原点、強み、課
題を従業員一人ひとりと共有、中長期計画を策定した
• 佐賀工場、福岡工場の開設に伴い、歴代最高の売上を計上、九
州内における当社即納の底堅い需要を確認した
• 社長交代を機に、AIを活用した製造・管理体制の抜本的改革に
取り組む</t>
  </si>
  <si>
    <t>【p.1／売上成長目標】
売上成長目標
• 2030年までの会社全体の売上高成長率139％
• 2030年までの会社全体の売上高増加額45億円
2030年売上高目標（売上比率）
製品製造・販売事業 109.0億円 （＋49.3％）
施工・研究開発事業 8.1億円 （＋6.1％）
原料製造・販売事業 23.0億円 （＋46.6％）
【p.2／基盤の構築に貢献する】
• 全国的に労働力不足が懸念される中、熊本においては半導体関連産業の集積により人材競争がより苛烈になる事が予見される
• オートメーション化による製造プロセスの効率化、品質管理の向上を図り、次の100年も「災害に強い平島」であり続け、地域の経済発展や持続可能な産業
基盤の構築に貢献する</t>
  </si>
  <si>
    <t>【p.1】
1.長期成長ビジョン
株式会社平島
次の100年、社会と地域に求められる平島であり続けるために
•
100周年を迎えた当社が次の100年を考えたとき、当社の使命は地域と社会に“安心”を届けることだと改めて感じている
•
そして、当社ビジネスを支えているのは社員であり、地域・社会・社員の生活を守る為に、多くの変化を求められる次の100年への地盤
を固める長期成長ビジョンを掲げた
長期成長ビジョン（目指す姿・ビジネスモデル） 外発的動機
テーマ •
自然災害への対策強化が進む中、軽く、耐震性に優れる金属
次の100年、社会と地域に求められる平島であり続けるために 屋根の需要が高まる
• “安心”を届ける日本No.1の金属屋根製造販売メーカーへ成長 • 環境意識の高まりから環境負荷の少ない屋根や、屋根材の再利
するための地盤固めをする期間だと捉えている 用、軽量化による炭素使用量の低減等が求められている
• 強みである即納体制に磨きをかけ、即納範囲を九州一円に広め • 熊本県においては台湾半導体大手TSMCの進出に伴い、関連産
ることで「災害時に強い平島」のイメージを定着させる 業の工場建設ニーズが高まる一方、従業員の確保が難しくな
• 持続可能な社会の実現に向け、環境負荷の小さい製品の開発、 ることが見込まれる
高強度折板の普及により、地球にやさしい社会、災害に強 • アフターコロナの新生活様式では居心地のいい居住環境ニーズが高
い地域をデザインする まり、機能性の高い屋根・壁への需要が高まっている
• 環境変化に耐えうる盤石な経営基盤を確立し、積極的な賃上げ
により従業員の未来を守る 内発的動機
• 2016年の熊本地震、2020年の豪雨災害時にはいち早く住民に
売上成長目標 安心を届けられるよう迅速な復旧支援を全社団結して行い、多
• 2030年までの会社全体の売上高成長率139％ くの感謝の言葉を頂いた
• 2030年までの会社全体の売上高増加額45億円 • 2023年創業100周年を迎えるにあたり、当社の原点、強み、課
2030年売上高目標（売上比率） 題を従業員一人ひとりと共有、中長期計画を策定した
製品製造・販売事業 109.0億円 （＋49.3％） • 佐賀工場、福岡工場の開設に伴い、歴代最高の売上を計上、九
施工・研究開発事業 8.1億円 （＋6.1％） 州内における当社即納の底堅い需要を確認した
原料製造・販売事業 23.0億円 （＋46.6％）
• 社長交代を機に、AIを活用した製造・管理体制の抜本的改革に
取り組む</t>
  </si>
  <si>
    <t>【p.2】
.補助事業の概要 株式会社平島
2
オートメーション化・動線改善による労働生産性の抜本的な改善と持続的な賃上げの
実現
• 全国的に労働力不足が懸念される中、熊本においては半導体関連産業の集積により人材競争がより苛烈になる事が予見される
• オートメーション化による製造プロセスの効率化、品質管理の向上を図り、次の100年も「災害に強い平島」であり続け、地域の経済発展や持続可能な産業
基盤の構築に貢献する
• 次の100年も地域の安心を守り続ける平島であり続けるために、製造指示等を効率化したオートメー
補助事業の 事業費 億円
ション工場を新設（一部増設）し、抜本的な労働生産性の改善と野心的な賃上げ目標を達成する 43
背景・目的 （補助額） （13億円）
• 人材不足が叫ばれる中、半導体関連産業の集積による工場建設需要に応える製造能力を確保する
御船工場新設・福岡工場増設
事業費 4,465百万円（補助対象経費 3,616百万円）
• 九州における即納体制の強化・環境負荷軽減屋根の普及を行う拠点を
新設。半導体関連産業の熊本進出に伴う工場建設需要に対応する
• 福岡工場の増設により動線が大幅改善し、生産性が大きく向上する
研究所の新設
事業費 121百万円（補助対象経費 92百万円）
設備投資の
• 持続可能な社会の実現に向け、鐵の新たな可能性を探る研究所を開設し、
内容 商品開発力の強化を図る
• 「災害に強い」「環境に優しい」イメージを定着させる
システムの構築
事業費 144百万円（補助対象経費 131百万円）
• 工場のオートメーション化、稼働状況の見える化を図るために業界の先
行事例となる工場システムを構築する
• 手入力だった、製造命令が読み取りだけになる事で、入力時間の削減と
入力ミスによるロスをなくすほか、属人化された配送ノウハウを標準化する
2027年度 2030年度
項目
（基準年度） （基準年度＋３年後）
労働生産性 1,855万円/人
1,291万円/人
（単位：万円/人） （年平均上昇率＋12.8％）
目標値 従業員1人あたり給与支給総額 470万円
411万円/人
（単位：万円/人） （年平均上昇率＋4.6％）
役員１人あたり給与支給総額
－ －
（単位：万円/人）
補助事業に係る従業員数
60人 73人
（単位：人）</t>
  </si>
  <si>
    <t>マルコーフーズ株式会社
1.⾧期成⾧ビジョン
弊社は、冷凍とろろを主とした冷凍・冷蔵加工品の製造販売を行っており、総合的な観点からスケールメリットを
生かしたサービスを提供している。2030年までに100億円企業になることを目標に、新たな歩みを進めていく。</t>
  </si>
  <si>
    <t>⾧期成⾧ビジョン（目指す姿・ビジネスモデル）
• 食品業界におけるリーディングカンパニーを目指す
製造工程を一から見直し、低コストでスピーディに食品をお届けできるよう、
新たな一貫体制を構築する。グループブランド「MARUKO FOODS」として、
新しい価値を提案していく。
• 食文化の創出
伝統的な食材である山芋を新たな形で提供し、食文化の発展に貢献する。
山芋を朝食の一部として定着させ、新たな食習慣を生み出すことで、食文化
を豊かにする。また、山芋の食文化を「和食」として海外に広める。
• 健康志向の需要に応え、国内外の販路拡大
健康意識の高まりに応え、山芋をはじめとする栄養豊富な食材を活用した
製品を提供する。さらに、介護食の需要に応えるため、国内販売に留まらず、
新たな切り口で海外バイヤーに提案し、国内外の販路拡大を目指す。</t>
  </si>
  <si>
    <t>外発的動機
• 簡便で栄養価の高い食品への需要の高まり
とろろは低カロリーで栄養バランスが良く、手軽に摂取できる。
そのため、納豆のように「とろろ」を食卓の定番として扱いやすい
商品を開発し、根付かせていく。
• 介護食の需要
国内外において高齢化社会への健康食材の需要の高まりが
ある。国内の介護食ニーズに応えながら、海外でも新たな切り
口でバイヤーに提案していく。
• 国産原料の更なる有効活用
国内市場においていまだ輸入品に依存している市場がある。
この市場に対して国産原料の競争力を高める。
• 提携先の海外展開
現状９ヵ国の輸出実績があるため販路は確保している。
この販路を活用し、輸出実績の拡大を図る。</t>
  </si>
  <si>
    <t>内発的動機
• 販売会社であった㈱ヤマトフーズとの合併
スケールメリットを生かした製造から販売までのワンストップサー
ビスの提供ができるようになった。
• 高品質で安全な製品づくり
国産原料にこだわり、独自の品質保持技術を持っている。
• 日本全国の生産者との信頼関係
種芋販売を通じて農業と深く関わり、山芋の生産者との信
頼関係を築いてきた。</t>
  </si>
  <si>
    <t>【p.1／売上成長目標】
売上成⾧目標(2023年10月比)
• 2030年までの会社全体の売上高成⾧率43％
• 2030年までの会社全体の売上高増加額30億円
【p.2／2026年度】
2026年度
項目
（基準年度）</t>
  </si>
  <si>
    <t>【p.1】
マルコーフーズ株式会社
1.⾧期成⾧ビジョン
弊社は、冷凍とろろを主とした冷凍・冷蔵加工品の製造販売を行っており、総合的な観点からスケールメリットを
生かしたサービスを提供している。2030年までに100億円企業になることを目標に、新たな歩みを進めていく。
⾧期成⾧ビジョン（目指す姿・ビジネスモデル） 外発的動機
• 簡便で栄養価の高い食品への需要の高まり
• 食品業界におけるリーディングカンパニーを目指す
とろろは低カロリーで栄養バランスが良く、手軽に摂取できる。
製造工程を一から見直し、低コストでスピーディに食品をお届けできるよう、 そのため、納豆のように「とろろ」を食卓の定番として扱いやすい
商品を開発し、根付かせていく。
新たな一貫体制を構築する。グループブランド「MARUKO FOODS」として、
• 介護食の需要
新しい価値を提案していく。
国内外において高齢化社会への健康食材の需要の高まりが
ある。国内の介護食ニーズに応えながら、海外でも新たな切り
• 食文化の創出 口でバイヤーに提案していく。
• 国産原料の更なる有効活用
伝統的な食材である山芋を新たな形で提供し、食文化の発展に貢献する。
国内市場においていまだ輸入品に依存している市場がある。
山芋を朝食の一部として定着させ、新たな食習慣を生み出すことで、食文化
この市場に対して国産原料の競争力を高める。
を豊かにする。また、山芋の食文化を「和食」として海外に広める。
• 提携先の海外展開
現状９ヵ国の輸出実績があるため販路は確保している。
• 健康志向の需要に応え、国内外の販路拡大 この販路を活用し、輸出実績の拡大を図る。
健康意識の高まりに応え、山芋をはじめとする栄養豊富な食材を活用した
内発的動機
製品を提供する。さらに、介護食の需要に応えるため、国内販売に留まらず、
• 販売会社であった㈱ヤマトフーズとの合併
新たな切り口で海外バイヤーに提案し、国内外の販路拡大を目指す。
スケールメリットを生かした製造から販売までのワンストップサー
ビスの提供ができるようになった。
• 高品質で安全な製品づくり
売上成⾧目標(2023年10月比)
国産原料にこだわり、独自の品質保持技術を持っている。
• 2030年までの会社全体の売上高成⾧率43％
• 2030年までの会社全体の売上高増加額30億円 • 日本全国の生産者との信頼関係
種芋販売を通じて農業と深く関わり、山芋の生産者との信
頼関係を築いてきた。</t>
  </si>
  <si>
    <t>【p.2】
マルコーフーズ株式会社
2.補助事業の概要
弊社が事業拡大・売上拡大を目指すにあたり、既存事業の約半分を新工場に移管し、全社をあげて、生産性の向
上が必要不可欠である。新工場の機械装置化による製造ラインの効率化や品質管理の確保が最重要課題である。
弊社は冷凍とろろなどを手がける食品製造販売業である。現状弊社商品に対してのニーズが拡大し
ているが、本社工場の生産能力に限界があった。そのため、新工場立地を検討していたところ、山芋の
生産量のトップクラス（全国シェア32.6％）を誇る青森県が同県六戸町への企業誘致をしており、
補助事業の
県及び六戸町と基本協定を結ぶこととなった。同町の金矢工業団地に青森工場を新設し、2026年
背景・目的
4月に操業を開始する。現在の本社工場の生産能力の約50%を青森工場へ移管予定である。
事業費
41億円
・新工場:県内名産の山芋を中心に加工した冷凍とろろで、年間2500トンの製造を目指す。
（補助額）
（13億円）
・本社工場:小ロット生産にも対応できる汎用性の高い工場化を目指す。
【建物】
施工場所:青森県上北郡六戸町金矢1 丁目（⑤－ 1）
用途地域:工業地域 建物用途:工場（食品加工）
施設要求:ISO22000 耐震等級:B
システム建築工法:構造部材の規格化、現場施工の簡素化により、部
材コストの削減、施工期間を短縮が可能
設備投資の
内容 【設備（生産ライン）】※詳細は次頁以降を参照
省力化・省人化:既存作業の生産能力向上を実現する。
作業延べ時間 357時間→87時間（約76％削減）
作業人数 34人→16人（約53%削減）
品質向上:作業者の最適な動線計画や介入工程の削減により、製品
品質の安定と汚染リスクを排除する。
2026年度 2029年度
項目
（基準年度） （基準年度＋３年後）
労働生産性 618.6
425.5
（単位:万円/人） （年平均上昇率＋13.29％）
目標値 従業員1人あたり給与支給総額 409.3
343.3
（単位:万円/人） （年平均上昇率＋6.04％）
役員１人あたり給与支給総額 -
-
（単位:万円/人） （年平均上昇率 -％）
補助事業に係る従業員数
197 189
（単位:人）</t>
  </si>
  <si>
    <t>【p.1／】





  
 
  
 
【p.1／】

 



【p.1／】

  
 
  
 </t>
  </si>
  <si>
    <t>【p.2】
株式会社 コーヨークリエイト
2.補助事業の概要
関東地区で特に需要が高まっているK型フレームの増産体制を整えるために、基盤である岬工場の生産体制を
拡充する。溶接と塗装の工程を新工場 ・ 既 存 工場で分割し作業環境を改善する。
年
当社K型フレームは現在大阪府泉南郡の岬工場、及び2 0 2 1 1
竣
月に 工した千葉工場で生産し、施工 ・ 設置を行ってきた。
千葉工場稼働により、当社のK型フレームの優位性が関東地域におい
補助事業の ても浸透し始め、需要が高まっている。このニーズに応えるために土地 ・ 人 事業費 15億円
背景・目的 （補助額） (4.8億円）
員の確保見込みのある岬工場敷地内に、新工場を設立し、生産工程を
自動化する体制を整える。現在手作業で行っている工程を自動化するこ
とで省力化 ・ 省人化を達成し、労働生産性を向上させる。
·-----------------------------------------------------------------------------------------------------------------------------------------------------------
•建設費：［（仮称）（樹コ ーヨ ークリエイト岬工場増築プロジェクト］
現・岬工 （溶接・塗装）の敷地内に新工場（溶接工場）を建設
場
現工場は塗装工場として設備増強して使用する。
建設地大阪府泉南郡岬町多奈川谷川3351-140
設備投資の
敷地面積33707.41m
内容
•機械費：［K型フレーム自動溶接システム2機］
自動溶接ロボット
［単柱自動溶接システム3機］ （ Panasonic製）
___________________ l否荘ク＿レニ辺＿1__ 0_基 ］ ―――-------------------------------------------------------------------------------------------------------
2025年度 2028年度
項目
（基準年度） （基準年度＋3年後）
労働生産性 10,537
5,326
（単位：万円／人） （年平均上昇率＋25.5%)
目標値
従業員1人あたり給与支給総額 653
597
（単位：万円／人） ゜ (年平均上昇率＋3.0%)
役員1人あたり給与支給総額
0
（単位：万円／人）</t>
  </si>
  <si>
    <t>高知通運株式会社
1.長期成長ビジョン
「高知県の未来を担う”土佐の物流王へ“」を掲げ、2035年までにグループの中核事業である運送事業の
売上高100億円を目指すとともに、高知県の物流の課題解決に取り組んでいる</t>
  </si>
  <si>
    <t>長期成長ビジョン（目指す姿・ビジネスモデル）
• 高知県の物流の未来を担う、“土佐の物流王”へ
・県内トップクラスの物流企業としてのポジション堅持
・モーダルシフトを推進し、効率的で安心安全、持続可能な物流
モデルを構築
・「モノを運ぶ社会インフラ」として、高知県の産業振興に貢献する
・物流DXを推進し、高知県内における取り残されない物流体制
の構築を目指す
【グループ内での運送事業の位置づけ】
運送事業は当グループ全体売上の4割以上を占める、主要事
業である。他事業とのシナジー効果を図りながら、運送事業を拡
大していくことがグループ全体の成長にとって不可欠である。</t>
  </si>
  <si>
    <t>外発的動機
• 運送ニーズが高まる中、ドライバー不足から2030年時点では県内
で約42%の荷物が運べなくなる(※)という予測がある
• 運輸部門における地球温暖化対策計画として、2030年までに
CO2を35%削減することが求められている（2013年比）
• 運輸業における、高知県特有の3課題が存在
① 営業倉庫数が他県に比較して著しく少ない
② モーダルシフトの遅れにより、地球温暖化対策が進んでいない
③ 県内の多くの倉庫・物流施設がハザードエリアに立地
（※）出典：野村総研『トラックドライバー不足時代における輸配送のあり方』</t>
  </si>
  <si>
    <t>内発的動機
• 当社グループは明治31年に創業し、124年に渡る運輸業の歴史
を持つ、高知県内唯一の物流総合企業である。創業者の野村茂
久馬は、明治から昭和の時代にかけて「土佐の交通王」として名を
馳せた
• 県内200社以上の有力企業との取引がある。特に高知JAの農産
品は大部分を当社が輸送しているなど、生産者と全国の消費者を
つなぐ架け橋として、県内の輸送の中心的役割を担っている
• 上記の背景から、当社グループは「モノを運ぶ社会インフラ」企業とし
て、安定かつ高品質な物流サービスの提供によって高知県の産業
振興に貢献する責務があると考えている</t>
  </si>
  <si>
    <t>【p.1／売上成長目標】
売上成長目標
・2030年までに会社全体の売上高成長率21%
・2030年までに会社全体の売上高増加額31億円
・2035年までに運送事業の売上高：100億円
本補助事業と同様の倉庫を数年後に1施設設置し、上記
目標達成を目指す
【p.3／⾼知通運及び】
⾼知通運及び
7,922万円 10⼈ 792万円 58,778万円 69⼈ 852万円 2.5％
⾼知運輸
LIVORT ‐50万円 1⼈ ‐50万円 5,324万円 1⼈ 5,324万円 na
⼋潮商事 ‐50万円 1⼈ ‐50万円 19,188万円 1⼈ 19,188万円 na</t>
  </si>
  <si>
    <t>【p.1】
高知通運株式会社
1.長期成長ビジョン
「高知県の未来を担う”土佐の物流王へ“」を掲げ、2035年までにグループの中核事業である運送事業の
売上高100億円を目指すとともに、高知県の物流の課題解決に取り組んでいる
長期成長ビジョン（目指す姿・ビジネスモデル） 外発的動機
• 高知県の物流の未来を担う、“土佐の物流王”へ
• 運送ニーズが高まる中、ドライバー不足から2030年時点では県内
・県内トップクラスの物流企業としてのポジション堅持
で約42%の荷物が運べなくなる(※)という予測がある
・モーダルシフトを推進し、効率的で安心安全、持続可能な物流
モデルを構築 • 運輸部門における地球温暖化対策計画として、2030年までに
・「モノを運ぶ社会インフラ」として、高知県の産業振興に貢献する CO2を35%削減することが求められている（2013年比）
・物流DXを推進し、高知県内における取り残されない物流体制 • 運輸業における、高知県特有の3課題が存在
の構築を目指す ① 営業倉庫数が他県に比較して著しく少ない
② モーダルシフトの遅れにより、地球温暖化対策が進んでいない
【グループ内での運送事業の位置づけ】 ③ 県内の多くの倉庫・物流施設がハザードエリアに立地
運送事業は当グループ全体売上の4割以上を占める、主要事
（※）出典：野村総研『トラックドライバー不足時代における輸配送のあり方』
業である。他事業とのシナジー効果を図りながら、運送事業を拡
大していくことがグループ全体の成長にとって不可欠である。
内発的動機
• 当社グループは明治31年に創業し、124年に渡る運輸業の歴史
売上成長目標 を持つ、高知県内唯一の物流総合企業である。創業者の野村茂
久馬は、明治から昭和の時代にかけて「土佐の交通王」として名を
・2030年までに会社全体の売上高成長率21%
馳せた
・2030年までに会社全体の売上高増加額31億円
• 県内200社以上の有力企業との取引がある。特に高知JAの農産
・2035年までに運送事業の売上高：100億円 品は大部分を当社が輸送しているなど、生産者と全国の消費者を
本補助事業と同様の倉庫を数年後に1施設設置し、上記 つなぐ架け橋として、県内の輸送の中心的役割を担っている
目標達成を目指す • 上記の背景から、当社グループは「モノを運ぶ社会インフラ」企業とし
て、安定かつ高品質な物流サービスの提供によって高知県の産業
振興に貢献する責務があると考えている</t>
  </si>
  <si>
    <t>【p.2】
高知通運株式会社
2.補助事業の概要
当社グループの成⻑領域である運送事業への投資強化の施策、および⾼知県の物流の3つの課題の解決策として、
ハザードエリア外に⽴地・共同配送可能・モーダルシフト促進設備を有した複合物流施設を建設・運⽤する
• 当社グループは⻑く⾼知県内の物流を担ってきた、「モノを運ぶ社会インフラ」企業である。
⻑期成⻑ビジョンとして「⾼知県の未来を担う”⼟佐の物流王へ“」を掲げ、2035年までに運送事業の売上⾼100億円を
⽬指すとともに、⾼知県の物流の3つの課題解決に取り組んでいる
• ⾼知県の物流は、2030年には42％の荷物が運べなくなると予測される中、多くの倉庫が ハザードエリア内に⽴地しており、
補助事業の • かつ、共同配送、モーダルシフト等の物流の効率化が進んでいない状況にある
背景・⽬的 • ⾼知県の課題解決に資することを評価され、⾼知県・⾼知市から当該⼟地を分譲予定（確認書⼊⼿済）
• ⾼知県のハザードエリア外に、共同配送可能、モーダルシフト促進設備を有した複合物流施設を建設・運⽤することを計画
• 当社グループの成⻑領域である運送事業への投資を強化。新たに倉庫業との⼀体的な運営とDX化を図ることで
収益性を⾼め、持続的な成⻑・賃上げにつなげる
事業費
36億円
倉庫A︓県内企業向けの複合物流施設（モーダルシフト促進設備（※）の設置含む）
（補助額）
（11億円）
倉庫B︓県内スーパー向け共同配送センター
※事業費は税込かつ、⼟地取得費⽤を含む
• ハザードエリア外に⽴地、災害時に⽀援物資集約物流施設としても活⽤可
設備投資の • モーダルシフト促進設備を設置し、鉄道・船舶輸送を促進
内容 • DX化を推進するため、運送関連システム・倉庫管理システムを導⼊
(※)モーダルシフト促進設備
①オフレールステーション
➁内航船トレーラー及び輸出⼊コンテナシャーシ置場
【p.3】
高知通運株式会社
2.補助事業の概要
補助事業の⽬標値として、従業員1⼈あたり給与⽀払総額の年平均上昇率は、すべての事業単位で+5.5％以
上、全体で+3.4％を計画している
■コンソーシアムにおける補助事業全体での労働⽣産性・従業員1⼈あたりの給与⽀払総額
2025年度 2028年度
項⽬
（基準年度） （基準年度＋３年後）
労働⽣産性 1,173
692
（単位︓万円/⼈） （年平均上昇率＋21.6％）
従業員1⼈あたり給与⽀給総額 425
384
（単位︓万円/⼈） （年平均上昇率＋3.4％）
役員１⼈あたり給与⽀給総額 0
0
（単位︓万円/⼈） （年平均上昇率＋0％）
補助事業に係る従業員数
12 71
（単位︓⼈）
■コンソーシアムの各補助事業単位での従業員1⼈あたり給与⽀払総額（万円/⼈）
2025年度（基準年度） 2028年度（3年後）
補助事業⼈材 補助事業⼈材 1⼈あたり給与
会社
年平均上昇率
常時使⽤する従業 常時使⽤する 常時使⽤する従業 常時使⽤する
1⼈あたり給与 1⼈あたり給与
員への報酬総額 従業員数 員への報酬総額 従業員数
⾼知通運 1,049万円 3⼈ 350万円 25,966万円 62⼈ 419万円 6.2%
⽬標値 ⾼知運輸 2,897万円 7⼈ 414万円 3,402万円 7⼈ 486万円 5.5％
LIVORT 330万円 1⼈ 330万円 387万円 1⼈ 387万円 5.5%
⼋潮商事 330万円 1⼈ 330万円 387万円 1⼈ 387万円 5.5%
全社ベース 4,605万円 12⼈ 384万円 30,143万円 71⼈ 425万円 3.4％
■コンソーシアムの各補助事業単位での労働⽣産性
2025年度（基準年度） 2028年度（3年後）
補助事業⼈材 補助事業⼈材
労働⽣産性
年平均上昇率
常時使⽤する 労働⽣産性 常時使⽤する 労働⽣産性
付加価値 付加価値
従業員数 （万円/⼈） 従業員数 （万円/⼈）
⾼知通運及び
7,922万円 10⼈ 792万円 58,778万円 69⼈ 852万円 2.5％
⾼知運輸
LIVORT ‐50万円 1⼈ ‐50万円 5,324万円 1⼈ 5,324万円 na
⼋潮商事 ‐50万円 1⼈ ‐50万円 19,188万円 1⼈ 19,188万円 na
全社ベース 7,822万円 12⼈ 692万円 83,290万円 71⼈ 1,173万円 21.6％
（注）LIVORT及び⼋潮商事では基準年度は補助事業準備のための管理⼈⼈材新規採⽤によるコスト先⾏
（注）⾼知通運は⾼知運輸からの出向者を含めた事業運営であるため⼀体として分析</t>
  </si>
  <si>
    <t>三晶エムイーシー株式会社
1.長期成長ビジョン
地の利の不利を「技術」でカバーすることで、日本海側からの先端EV・自動運転向け製品の安
定・継続的供給による富山県での安定成長を実現する。
○国内自動車メーカー、Tier1メーカー開発部門との連携促進によるEV化の重要要素の一つであるコネクタ高度化へ貢献する。
○EV等、最先端自動車向け製品の安定供給のための生産設備・人材を整備していき、富山県内における雇用創出・付加価値創出額拡大
に貢献しながら、年商20,000百万円超企業に向けた当社自身の安定成長に繋げる。</t>
  </si>
  <si>
    <t>○国内自動車メーカー、Tier1メーカー開発部門との連携促進によるEV化の重要要素の一つであるコネクタ高度化へ貢献する。
○EV等、最先端自動車向け製品の安定供給のための生産設備・人材を整備していき、富山県内における雇用創出・付加価値創出額拡大
に貢献しながら、年商20,000百万円超企業に向けた当社自身の安定成長に繋げる。</t>
  </si>
  <si>
    <t>長期成長ビジョン（目指す姿・ビジネスモデル）
• EV向け最先端・高難度コネクタ・精密部品に係る要素技術開発を一体
化した製品製造での競合他社との差別化要因の構築。
→最先端分野・成長分野における基盤技術の高度化を推し進めていく
ことで優位性の強化に繋げていく。
• 技術的優位性である自動化技術を活用した徹底した自動化による低コ
スト化と最先端・高難度コネクタ・精密部品といった製品上の強みを
活かした地の利が不利である日本海側からの安定供給の実現。
→基盤技術の更なる高度化によるコスト競争力を強化し、地の利の不
利を克服する。
• 企画・開発人材など内部育成促進による人手不足といった外部環境に
依存しない組織力の強化。
→富山県内で予想される今後の人手不足といった脅威を大規模成長投
資と人材育成にて回避し、安定成長を目指す。</t>
  </si>
  <si>
    <t>外発的動機
（詳細はスライド8参照）
○成長のために捉えていく事業機会
自動運転等高速・大容量通信におけるセンサー高度化
•
高速・大容量通信における低抵抗化・ノイズ最小化の
•
ための新技術開発ニーズの拡大。
EV・PHEV・HEVなど次世代自動車における部品共通化
•
による1パーツ当たりサイズの大型化。
○成長のために回避していく脅威
2024年問題による輸送コストの増加・拡大、使用原材
•
料高、エネルギー使用料高騰による製造経費の急激な
高騰。
日本全国、富山県内での人口減少、就労者人口の大幅
•
な減少予測。</t>
  </si>
  <si>
    <t>内発的動機
（詳細はスライド10参照）
○強みの更なる強化による成長に繋がる受注の獲得
EV分野・自動運転等高速・大容量通信分野での製品製
•
造実績における同分野向け製品製造ノウハウの保有に
よる国内自動車メーカーTier1ハーネスメーカーであ
るS社からのコネクタ開発、Y社からのEV用高圧ジャン
クションボックス製造受注の獲得。
○成長に向けて解決する弱みの顕在化
製品上・技術上の優位性を発揮の障害としての人手不
•
足による人材の確保難、富山県といった立地による受
注先までの製品輸送コストの高止まり。</t>
  </si>
  <si>
    <t>売上成長目標
【2028年11月期（基準年度2025年11月期＋3年度）における売上目標】
会社全体での売上目標14,762,844,105円（基準年より26.7％UP）
→「EV等次世代自動車市場」への選択と集中を図る補助事業を牽
引役とした当社全体での売上増加
【当社全体目標達成のための今回の補助事業売上・利益目標】
補助事業での売上目標3,867,530,338円（基準年より281.7％UP）
→大規模成長投資の実施による生産能力拡大、製品1単位製造に必
要となる生産コスト低減化でのEV分野セグメントを強化</t>
  </si>
  <si>
    <t>【p.1／上段要旨】
○国内自動車メーカー、Tier1メーカー開発部門との連携促進によるEV化の重要要素の一つであるコネクタ高度化へ貢献する。
○EV等、最先端自動車向け製品の安定供給のための生産設備・人材を整備していき、富山県内における雇用創出・付加価値創出額拡大
に貢献しながら、年商20,000百万円超企業に向けた当社自身の安定成長に繋げる。
【p.1／売上成長目標】
売上成長目標
【2028年11月期（基準年度2025年11月期＋3年度）における売上目標】
会社全体での売上目標14,762,844,105円（基準年より26.7％UP）
→「EV等次世代自動車市場」への選択と集中を図る補助事業を牽
引役とした当社全体での売上増加
【当社全体目標達成のための今回の補助事業売上・利益目標】
補助事業での売上目標3,867,530,338円（基準年より281.7％UP）
→大規模成長投資の実施による生産能力拡大、製品1単位製造に必
要となる生産コスト低減化でのEV分野セグメントを強化
【p.2／設備投資の内容】
【設備投資の内容】
• EV・高速・大容量通信事業拡大に向けた
①受注先別専用工場の取得、既存工場の増床・工場エリ
②EV・高速・大容量通信向け製品大型化・高精度化・複
化ラインの導入
2024年度（2
項目
（基準
労働生産性（単位：万円/人） 993万
従業員1人あたり給与支給総額（単位：万円/人） 457万
役員１人あたり給与支給総額（単位：万円/人）
補助事業に係る従業員数（単位：人）</t>
  </si>
  <si>
    <t>【p.1】
三晶エムイーシー株式会社
1.長期成長ビジョン
地の利の不利を「技術」でカバーすることで、日本海側からの先端EV・自動運転向け製品の安
定・継続的供給による富山県での安定成長を実現する。
○国内自動車メーカー、Tier1メーカー開発部門との連携促進によるEV化の重要要素の一つであるコネクタ高度化へ貢献する。
○EV等、最先端自動車向け製品の安定供給のための生産設備・人材を整備していき、富山県内における雇用創出・付加価値創出額拡大
に貢献しながら、年商20,000百万円超企業に向けた当社自身の安定成長に繋げる。
長期成長ビジョン（目指す姿・ビジネスモデル） 外発的動機
（詳細はスライド8参照）
○成長のために捉えていく事業機会
• EV向け最先端・高難度コネクタ・精密部品に係る要素技術開発を一体
化した製品製造での競合他社との差別化要因の構築。 • 自動運転等高速・大容量通信におけるセンサー高度化
→最先端分野・成長分野における基盤技術の高度化を推し進めていく • 高速・大容量通信における低抵抗化・ノイズ最小化の
ための新技術開発ニーズの拡大。
ことで優位性の強化に繋げていく。
• 技術的優位性である自動化技術を活用した徹底した自動化による低コ • EV・PHEV・HEVなど次世代自動車における部品共通化
による1パーツ当たりサイズの大型化。
スト化と最先端・高難度コネクタ・精密部品といった製品上の強みを
○成長のために回避していく脅威
活かした地の利が不利である日本海側からの安定供給の実現。
→基盤技術の更なる高度化によるコスト競争力を強化し、地の利の不 • 2024年問題による輸送コストの増加・拡大、使用原材
料高、エネルギー使用料高騰による製造経費の急激な
利を克服する。
高騰。
• 企画・開発人材など内部育成促進による人手不足といった外部環境に
依存しない組織力の強化。 • 日本全国、富山県内での人口減少、就労者人口の大幅
な減少予測。
→富山県内で予想される今後の人手不足といった脅威を大規模成長投
資と人材育成にて回避し、安定成長を目指す。
内発的動機
（詳細はスライド10参照）
○強みの更なる強化による成長に繋がる受注の獲得
売上成長目標
• EV分野・自動運転等高速・大容量通信分野での製品製
【2028年11月期（基準年度2025年11月期＋3年度）における売上目標】
造実績における同分野向け製品製造ノウハウの保有に
会社全体での売上目標14,762,844,105円（基準年より26.7％UP）
よる国内自動車メーカーTier1ハーネスメーカーであ
→「EV等次世代自動車市場」への選択と集中を図る補助事業を牽
るS社からのコネクタ開発、Y社からのEV用高圧ジャン
引役とした当社全体での売上増加
クションボックス製造受注の獲得。
【当社全体目標達成のための今回の補助事業売上・利益目標】
○成長に向けて解決する弱みの顕在化
補助事業での売上目標3,867,530,338円（基準年より281.7％UP）
• 製品上・技術上の優位性を発揮の障害としての人手不
→大規模成長投資の実施による生産能力拡大、製品1単位製造に必
足による人材の確保難、富山県といった立地による受
要となる生産コスト低減化でのEV分野セグメントを強化
注先までの製品輸送コストの高止まり。</t>
  </si>
  <si>
    <t>【p.2】
三晶エムイーシー株式会社
2.補助事業の概要
EV向け製品製造に係るインサート・アウトサート技術高度化による先端分野へのシフトに向けた
大規模成長投資の実行
• EV・高速・大容量通信事業受注・収益拡大に向けた工場・オリジナル全自動生産ラインの整備、これによるインサート・
補助事業の アウトサート技術の高度化
概要 • 自動化と作業員教育推進による製品1単位当たり生産コスト低減化、1日当たり製造能力強化、作業員多能工化等能力向上
による給与支給総額拡大・賃金ベースアップの実現
• 市場拡大が期待できるEV・高速・大容量通信事業、自動機設計・製造事業での受注量拡 事業費 33億円
大・高収益化が当社全体での経営課題
補助事業の （補助額） （11億円）
• 富山県内における人手不足、立地上の弱みが輸送コスト増加要因となる中での自動化分野
背景・目的
でのノウハウ蓄積による製品1単位製造に必要となるトータルコスト低減化によるEV・高
速・大容量通信事業の当社主力事業化に取り組む
【課題解決手段・労働生産性向上策】 本事業にて自社開発し導入する自動機の
• 工場エリア拡大による作業効率の向上、受注先別専用工場化での情報管理の盤石化 一例
• 低抵抗化・ノイズ最小化のための組付精度向上に向けた組付・検査ライン開発
• EV用高圧ジャンクションボックスの大型化に対応した成形金型開発・成形条件開
発・周辺自動化機器開発
設備投資の • 人手不足・人材不足に対応した強固な継続性を高めた継続・計画的人材育成の実行
内容
【設備投資の内容】
• EV・高速・大容量通信事業拡大に向けた
①受注先別専用工場の取得、既存工場の増床・工場エリア拡大
②EV・高速・大容量通信向け製品大型化・高精度化・複雑化に対応した専用自動
化ラインの導入
2024年度（2025年11月期） 2027年度（2028年11月期）
項目
（基準年度） （基準年度＋３年後）
労働生産性（単位：万円/人） 993万円/人 1,275万円/人（年平均上昇率＋8.7％）
目標値 従業員1人あたり給与支給総額（単位：万円/人） 457万円/人 508万円/人（年平均上昇率＋3.6％）
役員１人あたり給与支給総額（単位：万円/人） - -
補助事業に係る従業員数（単位：人） 32 110</t>
  </si>
  <si>
    <t>【p.1／その他Box 1】
(cid:20)(cid:17)(cid:2486)(cid:2571)(cid:2587)(cid:2486)(cid:23867)(cid:23840)(cid:23887)(cid:23899)
(cid:23832)(cid:23891)(cid:23908)(cid:23871)(cid:3130)(cid:23773)(cid:2581)(cid:3177)(cid:2677)(cid:2485)(cid:23768)(cid:2486)(cid:2571)(cid:2587)(cid:2486)(cid:23867)(cid:23840)(cid:23887)(cid:23899)
• (cid:2570)(cid:2490)(cid:23832)(cid:23891)(cid:23908)(cid:23871)(cid:23769)(cid:23709)(cid:23715)(cid:2552)(cid:2537)(cid:2557)(cid:2686)(cid:23907)(cid:2479)(cid:2513)(cid:2585)(cid:3665)(cid:2638)(cid:23907)(cid:2556)(cid:3433)(cid:2598)(cid:3141)(cid:23716)(cid:23768)(cid:2544)(cid:4407)(cid:23804)(cid:2530)(cid:23746)(cid:23760)(cid:2490)(cid:2477)(cid:23765)(cid:3710)(cid:3444)(cid:23745)(cid:23709)(cid:2620)(cid:2624)(cid:23733)(cid:23795)(cid:2769)(cid:2575)(cid:23762)(cid:23743)(cid:23798)(cid:23797)(cid:2667)(cid:2485)(cid:23762)(cid:23764)(cid:23797)(cid:23741)(cid:23762)(cid:23804)(cid:2543)(cid:2640)(cid:23745)(cid:23760)(cid:23726)(cid:23797)(cid:23710)
• (cid:2493)(cid:2559)(cid:2660)(cid:2579)(cid:2485)(cid:23768)(cid:2849)(cid:2903)(cid:2775)(cid:2546)(cid:23804)(cid:2944)(cid:2563)(cid:23762)(cid:23762)(cid:23795)(cid:23730)(cid:23709)(cid:2587)(cid:2486)(cid:2496)(cid:2521)(cid:23765)(cid:2955)(cid:3006)(cid:2618)(cid:2545)(cid:23804)(cid:2487)(cid:23726)(cid:23709)(cid:2925)(cid:2886)(cid:23768)(cid:2775)(cid:2546)(cid:23765)(cid:3135)(cid:2786)(cid:23745)(cid:23760)(cid:23726)(cid:23737)(cid:23710)
(cid:23832)(cid:23891)(cid:23908)(cid:23871)(cid:23768)(cid:2486)(cid:2571)(cid:2587)(cid:2486)(cid:23867)(cid:23840)(cid:23887)(cid:23899)(cid:1602)(cid:2543)(cid:2640)(cid:23747)(cid:3013)(cid:23907)(cid:23867)(cid:23840)(cid:23861)(cid:23841)(cid:23882)(cid:23855)(cid:23891)(cid:1603) (cid:2583)(cid:2501)(cid:2515)(cid:2559)(cid:2563)
(cid:891) (cid:2620)(cid:2624)(cid:2515)(cid:23764)(cid:2925)(cid:2886)(cid:2508)(cid:2625)(cid:23778)(cid:23768)(cid:2564)(cid:23796)(cid:2636)(cid:23785)(cid:23768)(cid:2575)(cid:2975)(cid:3130)(cid:23773)(cid:2535)(cid:2784)(cid:2577)(cid:23765)(cid:23794)(cid:23796)(cid:23709)(cid:23828)
(cid:891) (cid:2570)(cid:2490)(cid:23832)(cid:23891)(cid:23908)(cid:23871)(cid:23768)(cid:2572)(cid:2529)(cid:2489)(cid:2485)(cid:23768)(cid:23728)(cid:23755)(cid:23709)(cid:4156)(cid:2903)(cid:2489)(cid:2485)(cid:23769)(cid:2473)(cid:2478)(cid:2660)(cid:3596)(cid:2559)(cid:2518)(cid:2743)(cid:23768)(cid:2866)(cid:2903)(cid:23734)(cid:2480)(cid:2673)(cid:23762)
(cid:23845)(cid:23890)(cid:23899)(cid:2660)(cid:23769)(cid:2646)(cid:2776)(cid:23768)(cid:2500)(cid:2658)(cid:23785)(cid:23761)(cid:23724)(cid:23797)(cid:23753)(cid:23787)(cid:23709)(cid:2516)(cid:3300)(cid:2563)(cid:2525)(cid:23804)(cid:2512)(cid:2688)(cid:23762)(cid:23745)(cid:23753)(cid:3100)
(cid:23764)(cid:23757)(cid:23760)(cid:23726)(cid:23797)(cid:23710)
(cid:2591)(cid:2866)(cid:2743)(cid:23768)(cid:2611)(cid:2481)(cid:2646)(cid:2776)(cid:23734)(cid:2500)(cid:2658)(cid:23784)(cid:23798)(cid:23797)
(cid:891) (cid:3100)(cid:2591)(cid:23768)(cid:23824)(cid:23899)(cid:23840)(cid:23899)(cid:2660)(cid:2518)(cid:2743)(cid:23765)(cid:2555)(cid:23801)(cid:23797)(cid:2866)(cid:2743)(cid:23762)(cid:23745)(cid:23760)(cid:40)(cid:57)(cid:2660)(cid:23768)(cid:3596)(cid:2559)(cid:2518)(cid:2743)(cid:23732)(cid:23794)(cid:23773)(cid:3126)(cid:2493)(cid:2559)(cid:2660)(cid:3066)
(cid:891) (cid:40)(cid:57)(cid:2660)(cid:2520)(cid:2499)(cid:23769)(cid:23709)(cid:2812)(cid:2898)(cid:2703)(cid:23709)(cid:2937)(cid:2964)(cid:2703)(cid:23765)(cid:2902)(cid:2619)(cid:23734)(cid:2827)(cid:23796)(cid:23709)(cid:40)(cid:57)(cid:2546)(cid:23768)(cid:2596)(cid:2985)(cid:23709)
(cid:2518)(cid:2743)(cid:23768)(cid:2496)(cid:2521)(cid:3073)(cid:2474)(cid:23804)(cid:3029)(cid:23797)(cid:23788)(cid:23709)(cid:40)(cid:57)(cid:2660)(cid:2518)(cid:2743)(cid:23765)(cid:23758)(cid:23726)(cid:23760)(cid:23769)(cid:23709)(cid:2592)(cid:2814)(cid:23761)(cid:23769)(cid:40)(cid:57)(cid:2546)(cid:2596)(cid:2985)(cid:23768)(cid:2642)(cid:2931)(cid:23734)
(cid:4064)(cid:3530)(cid:23769)(cid:2562)(cid:3530)(cid:2533)
(cid:2900)(cid:23745)(cid:23737)(cid:23709)(cid:4156)(cid:2903)(cid:2489)(cid:2485)(cid:23768)(cid:2587)(cid:2486)(cid:23768)(cid:2500)(cid:2530)(cid:23745)(cid:23734)(cid:2562)(cid:3530)(cid:2533)(cid:23761)(cid:23724)(cid:23797)(cid:23710)
(cid:891) (cid:2620)(cid:2624)(cid:2515)(cid:23765)(cid:2584)(cid:3221)(cid:23764)(cid:2473)(cid:2478)(cid:2660)(cid:3325)(cid:2575)(cid:23734)(cid:23724)(cid:23797)(cid:2483)(cid:2509)(cid:23761)(cid:23709)(cid:40)(cid:57)(cid:2546)(cid:23768)(cid:2482)(cid:3290)(cid:23798)(cid:23765)
(cid:891) (cid:23832)(cid:23891)(cid:23908)(cid:23871)(cid:2552)(cid:2540)(cid:23768)(cid:2749)(cid:2951)(cid:2609)(cid:2481)(cid:23765)(cid:2609)(cid:23739)(cid:23709)(cid:40)(cid:57)(cid:2660)(cid:23907)(cid:3126)(cid:2493)(cid:2559)(cid:2660)(cid:3066)(cid:23778)(cid:23768)(cid:2921)(cid:2912)(cid:3073)(cid:2474)(cid:23804)(cid:3029)(cid:23796)(cid:23758)(cid:23758)(cid:23709)
(cid:23794)(cid:23796)(cid:3122)(cid:2591)(cid:2515)(cid:23765)(cid:2473)(cid:2478)(cid:2660)(cid:23768)(cid:23839)(cid:23823)(cid:23818)(cid:23734)(cid:2803)(cid:23755)(cid:23797)(cid:2797)(cid:2714)(cid:2585)(cid:23734)(cid:23724)(cid:23797)
(cid:2493)(cid:2559)(cid:2660)(cid:2835)(cid:3082)(cid:2518)(cid:2743)(cid:2489)(cid:2485)(cid:23768)(cid:3073)(cid:2474)(cid:23765)(cid:2879)(cid:2529)(cid:23747)(cid:23797)(cid:23710)
(cid:891) (cid:2620)(cid:2624)(cid:2515)(cid:23765)(cid:2500)(cid:23760)(cid:2493)(cid:2559)(cid:2660)(cid:23768)(cid:2547)(cid:2725)(cid:2702)(cid:2607)(cid:23769)(cid:23709)(cid:3093)(cid:3675)(cid:2481)(cid:23734)(cid:23796)(cid:23768)(cid:2642)(cid:3326)(cid:23762)(cid:23764)(cid:23757)
(cid:2581)(cid:3177)(cid:2677)(cid:2485)(cid:23768)(cid:2486)(cid:2571)(cid:2587)(cid:2486)(cid:23867)(cid:23840)(cid:23887)(cid:23899)(cid:1602)(cid:2543)(cid:2640)(cid:23747)(cid:3013)(cid:23907)(cid:23867)(cid:23840)(cid:23861)(cid:23841)(cid:23882)(cid:23855)(cid:23891)(cid:1603) (cid:23760)(cid:23732)(cid:23796)(cid:23709)(cid:2835)(cid:3082)(cid:2518)(cid:2743)(cid:23768)(cid:23859)(cid:23908)(cid:23842)(cid:23769)(cid:2652)(cid:2616)(cid:23747)(cid:23797)(cid:23762)(cid:2693)(cid:23730)(cid:23795)(cid:23798)(cid:23797)(cid:23710)(cid:23784)(cid:23753)(cid:23709)(cid:2493)(cid:2559)
(cid:2660)(cid:2835)(cid:3082)(cid:2518)(cid:2743)(cid:2489)(cid:2485)(cid:23768)(cid:2485)(cid:3162)(cid:23769)(cid:3073)(cid:2474)(cid:3402)(cid:2609)(cid:23765)(cid:23724)(cid:23796)(cid:23709)(cid:2534)(cid:2511)(cid:23788)(cid:2520)(cid:2499)(cid:2539)(cid:3636)
(cid:891) (cid:2581)(cid:3177)(cid:2677)(cid:2485)(cid:23769)(cid:23709)(cid:23881)(cid:23820)(cid:23857)(cid:23820)(cid:23899)(cid:23840)(cid:23883)(cid:23865)(cid:23899)(cid:23768)(cid:2504)(cid:2743)(cid:2872)(cid:23764)(cid:2866)(cid:2743)(cid:23804)(cid:2688)(cid:2937)(cid:23745)(cid:23709)(cid:2660)(cid:23768)(cid:2486)(cid:3661)(cid:2933)(cid:2546)(cid:23804)(cid:3375)(cid:23747)
(cid:23768)(cid:3167)(cid:2505)(cid:23734)(cid:2500)(cid:2658)(cid:23784)(cid:23798)(cid:23797)
(cid:23741)(cid:23762)(cid:23761)(cid:2629)(cid:2594)(cid:2797)(cid:2714)(cid:23764)(cid:2490)(cid:2477)(cid:23768)(cid:2544)(cid:2592)(cid:23765)(cid:3710)(cid:3444)(cid:23747)(cid:23797)(cid:23741)(cid:23762)(cid:23804)(cid:2543)(cid:2640)(cid:23747)(cid:23710)
(cid:891) (cid:2552)(cid:2490)(cid:23762)(cid:23745)(cid:23760)(cid:23768)(cid:2548)(cid:3034)(cid:2584)(cid:2546)(cid:23762)(cid:2503)(cid:2579)(cid:2585)(cid:2609)(cid:2481)(cid:23765)(cid:2564)(cid:23796)(cid:2636)(cid:23785)(cid:23709)(cid:2605)(cid:2879)(cid:23734)(cid:23724)(cid:23757)(cid:23753)(cid:2656)(cid:23765)(cid:23709)(cid:2769)(cid:2575)(cid:23764)(cid:2866)(cid:2743)(cid:23804)
(cid:23847)(cid:23820)(cid:23880)(cid:23890)(cid:23908)(cid:23765)(cid:2937)(cid:2964)(cid:23761)(cid:23735)(cid:23797)(cid:2540)(cid:2577)(cid:23804)(cid:2849)(cid:3363)(cid:23747)(cid:23797)(cid:23741)(cid:23762)(cid:23761)(cid:23709)(cid:2570)(cid:2490)(cid:23768)(cid:2518)(cid:2743)(cid:23804)(cid:4044)(cid:3415)(cid:23747)(cid:23797)(cid:2493)(cid:2559)(cid:2660)(cid:23804)(cid:2547)
(cid:2725)(cid:23747)(cid:23797)(cid:2830)(cid:2750)(cid:2491)(cid:23734)(cid:23709)(cid:2486)(cid:23737)(cid:2573)(cid:2552)(cid:23765)(cid:2861)(cid:23796)(cid:2594)(cid:23739)(cid:23795)(cid:23798)(cid:23797)(cid:23794)(cid:23728)(cid:23837)(cid:23877)(cid:23908)(cid:23856)(cid:23745)(cid:23709)(cid:2490)(cid:2477)(cid:23765)(cid:3710)(cid:3444)(cid:23747)(cid:23797)(cid:23710) (cid:2516)(cid:2501)(cid:2515)(cid:2559)(cid:2563)
(cid:891) (cid:3100)(cid:2591)(cid:23768)(cid:2473)(cid:2478)(cid:2660)(cid:2518)(cid:2743)(cid:23765)(cid:2616)(cid:23730)(cid:23760)(cid:2583)(cid:2476)(cid:2660)(cid:2518)(cid:2743)(cid:23768)(cid:2866)(cid:2743)(cid:23889)(cid:23820)(cid:23899)(cid:23858)(cid:23851)(cid:23871)(cid:23804)(cid:3073)(cid:2474)(cid:23745)(cid:23709)(cid:2583)(cid:2476)(cid:2660)(cid:23886)(cid:23908)
(cid:891) (cid:2581)(cid:3177)(cid:2677)(cid:2485)(cid:23769)(cid:23709)(cid:3969)(cid:2997)(cid:2601)(cid:23768)(cid:2682)(cid:3030)(cid:2809)(cid:2479)(cid:23768)(cid:23715)(cid:2581)(cid:2509)(cid:23794)(cid:23745)(cid:23716)(cid:23768)(cid:2693)(cid:23730)(cid:2509)(cid:23804)(cid:3194)(cid:2804)
(cid:23838)(cid:23908)(cid:23768)(cid:2564)(cid:23796)(cid:2658)(cid:23785)(cid:23804)(cid:3029)(cid:23797)(cid:23762)(cid:23762)(cid:23788)(cid:23765)(cid:23709)(cid:2866)(cid:2743)(cid:23877)(cid:23908)(cid:23856)(cid:23869)(cid:23825)(cid:23890)(cid:23826)(cid:23768)(cid:2647)(cid:2968)(cid:2546)(cid:23765)(cid:23794)(cid:23797)(cid:2473)(cid:2478)(cid:2660)(cid:23881)(cid:23908)(cid:23827)(cid:23908)(cid:23768)
(cid:23762)(cid:23745)(cid:23760)(cid:2501)(cid:2985)
(cid:40)(cid:57)(cid:2546)(cid:2482)(cid:3290)(cid:23798)(cid:23765)(cid:23794)(cid:23797)(cid:23839)(cid:23823)(cid:23818)(cid:3296)(cid:2549)(cid:23768)(cid:23890)(cid:23841)(cid:23831)(cid:23804)(cid:2522)(cid:3266)(cid:23747)(cid:23797)(cid:23710)
(cid:891) (cid:2563)(cid:3850)(cid:2677)(cid:3131)(cid:23768)(cid:2866)(cid:2903)(cid:23804)(cid:2569)(cid:2593)(cid:23762)(cid:23745)(cid:23709)(cid:3449)(cid:3042)(cid:23859)(cid:23908)(cid:23842)(cid:23765)(cid:2786)(cid:23730)(cid:23797)(cid:2948)(cid:23761)(cid:2493)(cid:2559)(cid:2660)
(cid:891) (cid:2866)(cid:2743)(cid:23889)(cid:23820)(cid:23899)(cid:23858)(cid:23851)(cid:23871)(cid:23804)(cid:2652)(cid:23790)(cid:23745)(cid:2594)(cid:23739)(cid:23797)(cid:23741)(cid:23762)(cid:23761)(cid:23709)(cid:2647)(cid:2968)(cid:23764)(cid:2660)(cid:2992)(cid:23765)(cid:2508)(cid:2786)(cid:23745)(cid:23709)(cid:2534)(cid:2511)(cid:23788)(cid:3449)(cid:3042)(cid:23768)(cid:23859)(cid:23908)(cid:23842)
(cid:2835)(cid:3082)(cid:2518)(cid:2743)(cid:2489)(cid:2485)(cid:23778)(cid:2489)(cid:2485)(cid:23804)(cid:2985)(cid:2539)(cid:23745)(cid:23709)(cid:2477)(cid:2490)(cid:2784)(cid:3014)(cid:23804)(cid:3073)(cid:2474)
(cid:23765)(cid:3601)(cid:3806)(cid:23765)(cid:2508)(cid:2786)(cid:23747)(cid:23797)(cid:23710)
(cid:891) (cid:3401)(cid:2485)(cid:2570)(cid:2626)(cid:23769)(cid:2505)(cid:2912)(cid:23765)(cid:2953)(cid:2935)(cid:23745)(cid:23709)(cid:2505)(cid:2912)(cid:23768)(cid:23732)(cid:3042)(cid:2968)(cid:23804)(cid:2508)(cid:2868)(cid:23762)(cid:23745)(cid:23760)(cid:23726)(cid:23753)(cid:23788)(cid:23768)
(cid:891) (cid:2592)(cid:2772)(cid:2943)(cid:2611)(cid:2811)(cid:2792)(cid:23768)(cid:2504)(cid:23726)(cid:23818)(cid:23840)(cid:23818)(cid:23907)(cid:2480)(cid:2741)(cid:2538)(cid:23768)(cid:23785)(cid:23764)(cid:23795)(cid:23748)(cid:23709)(cid:23818)(cid:23869)(cid:23890)(cid:23827)(cid:23790)(cid:2600)(cid:2538)(cid:23778)(cid:23768)(cid:2686)(cid:2485)(cid:23765)(cid:2879)(cid:2529)(cid:23745)(cid:23709)
(cid:2620)(cid:2624)(cid:23768)(cid:4073)(cid:1585)(cid:23784)(cid:23761)(cid:23870)(cid:23889)(cid:23899)(cid:23857)(cid:23804)(cid:4064)(cid:3530)(cid:23743)(cid:23749)(cid:23709)(cid:23869)(cid:23817)(cid:23899)(cid:23804)(cid:3459)(cid:2669)(cid:23745)(cid:23709)(cid:23839)(cid:23823)(cid:23818)(cid:23804)(cid:3073)(cid:2474)(cid:23743)(cid:23749)(cid:23760)(cid:23726)(cid:23737)(cid:23741)(cid:23762)(cid:23761)(cid:2493) (cid:23768)(cid:23709)(cid:2647)(cid:2743)(cid:2992)(cid:23761)(cid:2504)(cid:2743)(cid:2872)(cid:23764)(cid:2866)(cid:2743)(cid:23734)(cid:4105)(cid:1585)(cid:23765)(cid:2879)(cid:2543)(cid:23804)(cid:2768)(cid:23787)(cid:23709)(cid:2476)(cid:2516)(cid:23709)(cid:2610)(cid:2583)
(cid:2559)(cid:2660)(cid:2835)(cid:3082)(cid:2518)(cid:2743)(cid:2520)(cid:2499)(cid:23761)(cid:23768)(cid:2505)(cid:2651)(cid:23804)(cid:2504)(cid:23787)(cid:23797)(cid:23710) (cid:23778)(cid:23762)(cid:3527)(cid:3303)(cid:23804)(cid:3073)(cid:2474)
(cid:2611)(cid:2481)(cid:2587)(cid:2486)(cid:2543)(cid:3087) (cid:891) (cid:2697)(cid:2682)(cid:23761)(cid:23769)(cid:23709)(cid:2605)(cid:2879)(cid:2827)(cid:23768)(cid:2955)(cid:23785)(cid:2481)(cid:23734)(cid:23796)(cid:23765)(cid:23794)(cid:23796)(cid:3253)(cid:2571)(cid:23734)(cid:2486)(cid:2571)(cid:2546)(cid:23745)(cid:23760)(cid:23726)(cid:23797)(cid:23734)(cid:23709)
(cid:2592)(cid:2677)(cid:2499)(cid:23768)(cid:2784)(cid:3014)(cid:23761)(cid:23769)(cid:3253)(cid:2571)(cid:3234)(cid:3296)(cid:23765)(cid:23769)(cid:2834)(cid:2624)(cid:23734)(cid:23724)(cid:23797)(cid:23753)(cid:23787)(cid:23709)(cid:2677)(cid:2499)(cid:2784)(cid:3014)(cid:23804)
(cid:891) (cid:21)(cid:19)(cid:22)(cid:19)(cid:2475)(cid:2536)(cid:2611)(cid:2481)(cid:2504)(cid:2543)(cid:3087)(cid:1567)(cid:2554)(cid:24)(cid:19)(cid:19)(cid:2639)(cid:2526)
(cid:3073)(cid:2474)(cid:23747)(cid:23797)(cid:2769)(cid:2575)(cid:23734)(cid:23724)(cid:23797)
(cid:21)(cid:19)(cid:22)(cid:19)(cid:2475)(cid:2536)(cid:23784)(cid:23761)(cid:23768)(cid:2611)(cid:2481)(cid:2504)(cid:2587)(cid:2486)(cid:2792)(cid:21)(cid:27)(cid:23)(cid:1643)(cid:23709)(cid:2611)(cid:2481)(cid:2504)(cid:2652)(cid:2616)(cid:2730)(cid:22)(cid:21)(cid:19)(cid:2639)(cid:2526) (cid:1602)(cid:21)(cid:19)(cid:21)(cid:21)(cid:2475)(cid:2536)(cid:2811)(cid:1603)
【p.1／その他Box 2】
(cid:23832)(cid:23891)(cid:23908)(cid:23871)(cid:23768)(cid:2486)(cid:2571)(cid:2587)(cid:2486)(cid:23867)(cid:23840)(cid:23887)(cid:23899)(cid:1602)(cid:2543)(cid:2640)(cid:23747)(cid:3013)(cid:23907)(cid:23867)(cid:23840)(cid:23861)(cid:23841)(cid:23882)(cid:23855)(cid:23891)(cid:1603)
(cid:891) (cid:2570)(cid:2490)(cid:23832)(cid:23891)(cid:23908)(cid:23871)(cid:23768)(cid:2572)(cid:2529)(cid:2489)(cid:2485)(cid:23768)(cid:23728)(cid:23755)(cid:23709)(cid:4156)(cid:2903)(cid:2489)(cid:2485)(cid:23769)(cid:2473)(cid:2478)(cid:2660)(cid:3596)(cid:2559)(cid:2518)(cid:2743)(cid:23768)(cid:2866)(cid:2903)(cid:23734)(cid:2480)(cid:2673)(cid:23762)
(cid:23764)(cid:23757)(cid:23760)(cid:23726)(cid:23797)(cid:23710)
(cid:891) (cid:3100)(cid:2591)(cid:23768)(cid:23824)(cid:23899)(cid:23840)(cid:23899)(cid:2660)(cid:2518)(cid:2743)(cid:23765)(cid:2555)(cid:23801)(cid:23797)(cid:2866)(cid:2743)(cid:23762)(cid:23745)(cid:23760)(cid:40)(cid:57)(cid:2660)(cid:23768)(cid:3596)(cid:2559)(cid:2518)(cid:2743)(cid:23732)(cid:23794)(cid:23773)(cid:3126)(cid:2493)(cid:2559)(cid:2660)(cid:3066)
(cid:2518)(cid:2743)(cid:23768)(cid:2496)(cid:2521)(cid:3073)(cid:2474)(cid:23804)(cid:3029)(cid:23797)(cid:23788)(cid:23709)(cid:40)(cid:57)(cid:2660)(cid:2518)(cid:2743)(cid:23765)(cid:23758)(cid:23726)(cid:23760)(cid:23769)(cid:23709)(cid:2592)(cid:2814)(cid:23761)(cid:23769)(cid:40)(cid:57)(cid:2546)(cid:2596)(cid:2985)(cid:23768)(cid:2642)(cid:2931)(cid:23734)
(cid:2900)(cid:23745)(cid:23737)(cid:23709)(cid:4156)(cid:2903)(cid:2489)(cid:2485)(cid:23768)(cid:2587)(cid:2486)(cid:23768)(cid:2500)(cid:2530)(cid:23745)(cid:23734)(cid:2562)(cid:3530)(cid:2533)(cid:23761)(cid:23724)(cid:23797)(cid:23710)
(cid:891) (cid:23832)(cid:23891)(cid:23908)(cid:23871)(cid:2552)(cid:2540)(cid:23768)(cid:2749)(cid:2951)(cid:2609)(cid:2481)(cid:23765)(cid:2609)(cid:23739)(cid:23709)(cid:40)(cid:57)(cid:2660)(cid:23907)(cid:3126)(cid:2493)(cid:2559)(cid:2660)(cid:3066)(cid:23778)(cid:23768)(cid:2921)(cid:2912)(cid:3073)(cid:2474)(cid:23804)(cid:3029)(cid:23796)(cid:23758)(cid:23758)(cid:23709)
(cid:2493)(cid:2559)(cid:2660)(cid:2835)(cid:3082)(cid:2518)(cid:2743)(cid:2489)(cid:2485)(cid:23768)(cid:3073)(cid:2474)(cid:23765)(cid:2879)(cid:2529)(cid:23747)(cid:23797)(cid:23710)
(cid:2581)(cid:3177)(cid:2677)(cid:2485)(cid:23768)(cid:2486)(cid:2571)(cid:2587)(cid:2486)(cid:23867)(cid:23840)(cid:23887)(cid:23899)(cid:1602)(cid:2543)(cid:2640)(cid:23747)(cid:3013)(cid:23907)(cid:23867)(cid:23840)(cid:23861)(cid:23841)(cid:23882)(cid:23855)(cid:23891)(cid:1603)
(cid:891) (cid:2581)(cid:3177)(cid:2677)(cid:2485)(cid:23769)(cid:23709)(cid:23881)(cid:23820)(cid:23857)(cid:23820)(cid:23899)(cid:23840)(cid:23883)(cid:23865)(cid:23899)(cid:23768)(cid:2504)(cid:2743)(cid:2872)(cid:23764)(cid:2866)(cid:2743)(cid:23804)(cid:2688)(cid:2937)(cid:23745)(cid:23709)(cid:2660)(cid:23768)(cid:2486)(cid:3661)(cid:2933)(cid:2546)(cid:23804)(cid:3375)(cid:23747)
(cid:23741)(cid:23762)(cid:23761)(cid:2629)(cid:2594)(cid:2797)(cid:2714)(cid:23764)(cid:2490)(cid:2477)(cid:23768)(cid:2544)(cid:2592)(cid:23765)(cid:3710)(cid:3444)(cid:23747)(cid:23797)(cid:23741)(cid:23762)(cid:23804)(cid:2543)(cid:2640)(cid:23747)(cid:23710)
(cid:891) (cid:2552)(cid:2490)(cid:23762)(cid:23745)(cid:23760)(cid:23768)(cid:2548)(cid:3034)(cid:2584)(cid:2546)(cid:23762)(cid:2503)(cid:2579)(cid:2585)(cid:2609)(cid:2481)(cid:23765)(cid:2564)(cid:23796)(cid:2636)(cid:23785)(cid:23709)(cid:2605)(cid:2879)(cid:23734)(cid:23724)(cid:23757)(cid:23753)(cid:2656)(cid:23765)(cid:23709)(cid:2769)(cid:2575)(cid:23764)(cid:2866)(cid:2743)(cid:23804)
(cid:23847)(cid:23820)(cid:23880)(cid:23890)(cid:23908)(cid:23765)(cid:2937)(cid:2964)(cid:23761)(cid:23735)(cid:23797)(cid:2540)(cid:2577)(cid:23804)(cid:2849)(cid:3363)(cid:23747)(cid:23797)(cid:23741)(cid:23762)(cid:23761)(cid:23709)(cid:2570)(cid:2490)(cid:23768)(cid:2518)(cid:2743)(cid:23804)(cid:4044)(cid:3415)(cid:23747)(cid:23797)(cid:2493)(cid:2559)(cid:2660)(cid:23804)(cid:2547)
(cid:2725)(cid:23747)(cid:23797)(cid:2830)(cid:2750)(cid:2491)(cid:23734)(cid:23709)(cid:2486)(cid:23737)(cid:2573)(cid:2552)(cid:23765)(cid:2861)(cid:23796)(cid:2594)(cid:23739)(cid:23795)(cid:23798)(cid:23797)(cid:23794)(cid:23728)(cid:23837)(cid:23877)(cid:23908)(cid:23856)(cid:23745)(cid:23709)(cid:2490)(cid:2477)(cid:23765)(cid:3710)(cid:3444)(cid:23747)(cid:23797)(cid:23710)
(cid:891) (cid:3100)(cid:2591)(cid:23768)(cid:2473)(cid:2478)(cid:2660)(cid:2518)(cid:2743)(cid:23765)(cid:2616)(cid:23730)(cid:23760)(cid:2583)(cid:2476)(cid:2660)(cid:2518)(cid:2743)(cid:23768)(cid:2866)(cid:2743)(cid:23889)(cid:23820)(cid:23899)(cid:23858)(cid:23851)(cid:23871)(cid:23804)(cid:3073)(cid:2474)(cid:23745)(cid:23709)(cid:2583)(cid:2476)(cid:2660)(cid:23886)(cid:23908)
(cid:23838)(cid:23908)(cid:23768)(cid:2564)(cid:23796)(cid:2658)(cid:23785)(cid:23804)(cid:3029)(cid:23797)(cid:23762)(cid:23762)(cid:23788)(cid:23765)(cid:23709)(cid:2866)(cid:2743)(cid:23877)(cid:23908)(cid:23856)(cid:23869)(cid:23825)(cid:23890)(cid:23826)(cid:23768)(cid:2647)(cid:2968)(cid:2546)(cid:23765)(cid:23794)(cid:23797)(cid:2473)(cid:2478)(cid:2660)(cid:23881)(cid:23908)(cid:23827)(cid:23908)(cid:23768)
(cid:40)(cid:57)(cid:2546)(cid:2482)(cid:3290)(cid:23798)(cid:23765)(cid:23794)(cid:23797)(cid:23839)(cid:23823)(cid:23818)(cid:3296)(cid:2549)(cid:23768)(cid:23890)(cid:23841)(cid:23831)(cid:23804)(cid:2522)(cid:3266)(cid:23747)(cid:23797)(cid:23710)
(cid:891) (cid:2866)(cid:2743)(cid:23889)(cid:23820)(cid:23899)(cid:23858)(cid:23851)(cid:23871)(cid:23804)(cid:2652)(cid:23790)(cid:23745)(cid:2594)(cid:23739)(cid:23797)(cid:23741)(cid:23762)(cid:23761)(cid:23709)(cid:2647)(cid:2968)(cid:23764)(cid:2660)(cid:2992)(cid:23765)(cid:2508)(cid:2786)(cid:23745)(cid:23709)(cid:2534)(cid:2511)(cid:23788)(cid:3449)(cid:3042)(cid:23768)(cid:23859)(cid:23908)(cid:23842)
(cid:23765)(cid:3601)(cid:3806)(cid:23765)(cid:2508)(cid:2786)(cid:23747)(cid:23797)(cid:23710)
(cid:891) (cid:2592)(cid:2772)(cid:2943)(cid:2611)(cid:2811)(cid:2792)(cid:23768)(cid:2504)(cid:23726)(cid:23818)(cid:23840)(cid:23818)(cid:23907)(cid:2480)(cid:2741)(cid:2538)(cid:23768)(cid:23785)(cid:23764)(cid:23795)(cid:23748)(cid:23709)(cid:23818)(cid:23869)(cid:23890)(cid:23827)(cid:23790)(cid:2600)(cid:2538)(cid:23778)(cid:23768)(cid:2686)(cid:2485)(cid:23765)(cid:2879)(cid:2529)(cid:23745)(cid:23709)
(cid:2620)(cid:2624)(cid:23768)(cid:4073)(cid:1585)(cid:23784)(cid:23761)(cid:23870)(cid:23889)(cid:23899)(cid:23857)(cid:23804)(cid:4064)(cid:3530)(cid:23743)(cid:23749)(cid:23709)(cid:23869)(cid:23817)(cid:23899)(cid:23804)(cid:3459)(cid:2669)(cid:23745)(cid:23709)(cid:23839)(cid:23823)(cid:23818)(cid:23804)(cid:3073)(cid:2474)(cid:23743)(cid:23749)(cid:23760)(cid:23726)(cid:23737)(cid:23741)(cid:23762)(cid:23761)(cid:2493)
(cid:2559)(cid:2660)(cid:2835)(cid:3082)(cid:2518)(cid:2743)(cid:2520)(cid:2499)(cid:23761)(cid:23768)(cid:2505)(cid:2651)(cid:23804)(cid:2504)(cid:23787)(cid:23797)(cid:23710)
(cid:2611)(cid:2481)(cid:2587)(cid:2486)(cid:2543)(cid:3087)
(cid:891) (cid:21)(cid:19)(cid:22)(cid:19)(cid:2475)(cid:2536)(cid:2611)(cid:2481)(cid:2504)(cid:2543)(cid:3087)(cid:1567)(cid:2554)(cid:24)(cid:19)(cid:19)(cid:2639)(cid:2526)
(cid:21)(cid:19)(cid:22)(cid:19)(cid:2475)(cid:2536)(cid:23784)(cid:23761)(cid:23768)(cid:2611)(cid:2481)(cid:2504)(cid:2587)(cid:2486)(cid:2792)(cid:21)(cid:27)(cid:23)(cid:1643)(cid:23709)(cid:2611)(cid:2481)(cid:2504)(cid:2652)(cid:2616)(cid:2730)(cid:22)(cid:21)(cid:19)(cid:2639)(cid:2526)
(cid:1602)(cid:21)(cid:19)(cid:21)(cid:21)(cid:2475)(cid:2536)(cid:2811)(cid:1603)
【p.1／その他Box 3】
(cid:2583)(cid:2501)(cid:2515)(cid:2559)(cid:2563)
(cid:891) (cid:2620)(cid:2624)(cid:2515)(cid:23764)(cid:2925)(cid:2886)(cid:2508)(cid:2625)(cid:23778)(cid:23768)(cid:2564)(cid:23796)(cid:2636)(cid:23785)(cid:23768)(cid:2575)(cid:2975)(cid:3130)(cid:23773)(cid:2535)(cid:2784)(cid:2577)(cid:23765)(cid:23794)(cid:23796)(cid:23709)(cid:23828)
(cid:23845)(cid:23890)(cid:23899)(cid:2660)(cid:23769)(cid:2646)(cid:2776)(cid:23768)(cid:2500)(cid:2658)(cid:23785)(cid:23761)(cid:23724)(cid:23797)(cid:23753)(cid:23787)(cid:23709)(cid:2516)(cid:3300)(cid:2563)(cid:2525)(cid:23804)(cid:2512)(cid:2688)(cid:23762)(cid:23745)(cid:23753)(cid:3100)
(cid:2591)(cid:2866)(cid:2743)(cid:23768)(cid:2611)(cid:2481)(cid:2646)(cid:2776)(cid:23734)(cid:2500)(cid:2658)(cid:23784)(cid:23798)(cid:23797)
(cid:891) (cid:40)(cid:57)(cid:2660)(cid:2520)(cid:2499)(cid:23769)(cid:23709)(cid:2812)(cid:2898)(cid:2703)(cid:23709)(cid:2937)(cid:2964)(cid:2703)(cid:23765)(cid:2902)(cid:2619)(cid:23734)(cid:2827)(cid:23796)(cid:23709)(cid:40)(cid:57)(cid:2546)(cid:23768)(cid:2596)(cid:2985)(cid:23709)
(cid:4064)(cid:3530)(cid:23769)(cid:2562)(cid:3530)(cid:2533)
(cid:891) (cid:2620)(cid:2624)(cid:2515)(cid:23765)(cid:2584)(cid:3221)(cid:23764)(cid:2473)(cid:2478)(cid:2660)(cid:3325)(cid:2575)(cid:23734)(cid:23724)(cid:23797)(cid:2483)(cid:2509)(cid:23761)(cid:23709)(cid:40)(cid:57)(cid:2546)(cid:23768)(cid:2482)(cid:3290)(cid:23798)(cid:23765)
(cid:23794)(cid:23796)(cid:3122)(cid:2591)(cid:2515)(cid:23765)(cid:2473)(cid:2478)(cid:2660)(cid:23768)(cid:23839)(cid:23823)(cid:23818)(cid:23734)(cid:2803)(cid:23755)(cid:23797)(cid:2797)(cid:2714)(cid:2585)(cid:23734)(cid:23724)(cid:23797)
(cid:891) (cid:2620)(cid:2624)(cid:2515)(cid:23765)(cid:2500)(cid:23760)(cid:2493)(cid:2559)(cid:2660)(cid:23768)(cid:2547)(cid:2725)(cid:2702)(cid:2607)(cid:23769)(cid:23709)(cid:3093)(cid:3675)(cid:2481)(cid:23734)(cid:23796)(cid:23768)(cid:2642)(cid:3326)(cid:23762)(cid:23764)(cid:23757)
(cid:23760)(cid:23732)(cid:23796)(cid:23709)(cid:2835)(cid:3082)(cid:2518)(cid:2743)(cid:23768)(cid:23859)(cid:23908)(cid:23842)(cid:23769)(cid:2652)(cid:2616)(cid:23747)(cid:23797)(cid:23762)(cid:2693)(cid:23730)(cid:23795)(cid:23798)(cid:23797)(cid:23710)(cid:23784)(cid:23753)(cid:23709)(cid:2493)(cid:2559)
(cid:2660)(cid:2835)(cid:3082)(cid:2518)(cid:2743)(cid:2489)(cid:2485)(cid:23768)(cid:2485)(cid:3162)(cid:23769)(cid:3073)(cid:2474)(cid:3402)(cid:2609)(cid:23765)(cid:23724)(cid:23796)(cid:23709)(cid:2534)(cid:2511)(cid:23788)(cid:2520)(cid:2499)(cid:2539)(cid:3636)
(cid:23768)(cid:3167)(cid:2505)(cid:23734)(cid:2500)(cid:2658)(cid:23784)(cid:23798)(cid:23797)
【p.1／その他Box 4】
(cid:2581)(cid:3177)(cid:2677)(cid:2485)(cid:23768)(cid:2486)(cid:2571)(cid:2587)(cid:2486)(cid:23867)(cid:23840)(cid:23887)(cid:23899)(cid:1602)(cid:2543)(cid:2640)(cid:23747)(cid:3013)(cid:23907)(cid:23867)(cid:23840)(cid:23861)(cid:23841)(cid:23882)(cid:23855)(cid:23891)(cid:1603)
(cid:891) (cid:2581)(cid:3177)(cid:2677)(cid:2485)(cid:23769)(cid:23709)(cid:23881)(cid:23820)(cid:23857)(cid:23820)(cid:23899)(cid:23840)(cid:23883)(cid:23865)(cid:23899)(cid:23768)(cid:2504)(cid:2743)(cid:2872)(cid:23764)(cid:2866)(cid:2743)(cid:23804)(cid:2688)(cid:2937)(cid:23745)(cid:23709)(cid:2660)(cid:23768)(cid:2486)(cid:3661)(cid:2933)(cid:2546)(cid:23804)(cid:3375)(cid:23747)
(cid:23741)(cid:23762)(cid:23761)(cid:2629)(cid:2594)(cid:2797)(cid:2714)(cid:23764)(cid:2490)(cid:2477)(cid:23768)(cid:2544)(cid:2592)(cid:23765)(cid:3710)(cid:3444)(cid:23747)(cid:23797)(cid:23741)(cid:23762)(cid:23804)(cid:2543)(cid:2640)(cid:23747)(cid:23710)
(cid:891) (cid:2552)(cid:2490)(cid:23762)(cid:23745)(cid:23760)(cid:23768)(cid:2548)(cid:3034)(cid:2584)(cid:2546)(cid:23762)(cid:2503)(cid:2579)(cid:2585)(cid:2609)(cid:2481)(cid:23765)(cid:2564)(cid:23796)(cid:2636)(cid:23785)(cid:23709)(cid:2605)(cid:2879)(cid:23734)(cid:23724)(cid:23757)(cid:23753)(cid:2656)(cid:23765)(cid:23709)(cid:2769)(cid:2575)(cid:23764)(cid:2866)(cid:2743)(cid:23804)
(cid:23847)(cid:23820)(cid:23880)(cid:23890)(cid:23908)(cid:23765)(cid:2937)(cid:2964)(cid:23761)(cid:23735)(cid:23797)(cid:2540)(cid:2577)(cid:23804)(cid:2849)(cid:3363)(cid:23747)(cid:23797)(cid:23741)(cid:23762)(cid:23761)(cid:23709)(cid:2570)(cid:2490)(cid:23768)(cid:2518)(cid:2743)(cid:23804)(cid:4044)(cid:3415)(cid:23747)(cid:23797)(cid:2493)(cid:2559)(cid:2660)(cid:23804)(cid:2547)
(cid:2725)(cid:23747)(cid:23797)(cid:2830)(cid:2750)(cid:2491)(cid:23734)(cid:23709)(cid:2486)(cid:23737)(cid:2573)(cid:2552)(cid:23765)(cid:2861)(cid:23796)(cid:2594)(cid:23739)(cid:23795)(cid:23798)(cid:23797)(cid:23794)(cid:23728)(cid:23837)(cid:23877)(cid:23908)(cid:23856)(cid:23745)(cid:23709)(cid:2490)(cid:2477)(cid:23765)(cid:3710)(cid:3444)(cid:23747)(cid:23797)(cid:23710)
(cid:891) (cid:3100)(cid:2591)(cid:23768)(cid:2473)(cid:2478)(cid:2660)(cid:2518)(cid:2743)(cid:23765)(cid:2616)(cid:23730)(cid:23760)(cid:2583)(cid:2476)(cid:2660)(cid:2518)(cid:2743)(cid:23768)(cid:2866)(cid:2743)(cid:23889)(cid:23820)(cid:23899)(cid:23858)(cid:23851)(cid:23871)(cid:23804)(cid:3073)(cid:2474)(cid:23745)(cid:23709)(cid:2583)(cid:2476)(cid:2660)(cid:23886)(cid:23908)
(cid:23838)(cid:23908)(cid:23768)(cid:2564)(cid:23796)(cid:2658)(cid:23785)(cid:23804)(cid:3029)(cid:23797)(cid:23762)(cid:23762)(cid:23788)(cid:23765)(cid:23709)(cid:2866)(cid:2743)(cid:23877)(cid:23908)(cid:23856)(cid:23869)(cid:23825)(cid:23890)(cid:23826)(cid:23768)(cid:2647)(cid:2968)(cid:2546)(cid:23765)(cid:23794)(cid:23797)(cid:2473)(cid:2478)(cid:2660)(cid:23881)(cid:23908)(cid:23827)(cid:23908)(cid:23768)
(cid:40)(cid:57)(cid:2546)(cid:2482)(cid:3290)(cid:23798)(cid:23765)(cid:23794)(cid:23797)(cid:23839)(cid:23823)(cid:23818)(cid:3296)(cid:2549)(cid:23768)(cid:23890)(cid:23841)(cid:23831)(cid:23804)(cid:2522)(cid:3266)(cid:23747)(cid:23797)(cid:23710)
(cid:891) (cid:2866)(cid:2743)(cid:23889)(cid:23820)(cid:23899)(cid:23858)(cid:23851)(cid:23871)(cid:23804)(cid:2652)(cid:23790)(cid:23745)(cid:2594)(cid:23739)(cid:23797)(cid:23741)(cid:23762)(cid:23761)(cid:23709)(cid:2647)(cid:2968)(cid:23764)(cid:2660)(cid:2992)(cid:23765)(cid:2508)(cid:2786)(cid:23745)(cid:23709)(cid:2534)(cid:2511)(cid:23788)(cid:3449)(cid:3042)(cid:23768)(cid:23859)(cid:23908)(cid:23842)
(cid:23765)(cid:3601)(cid:3806)(cid:23765)(cid:2508)(cid:2786)(cid:23747)(cid:23797)(cid:23710)
(cid:891) (cid:2592)(cid:2772)(cid:2943)(cid:2611)(cid:2811)(cid:2792)(cid:23768)(cid:2504)(cid:23726)(cid:23818)(cid:23840)(cid:23818)(cid:23907)(cid:2480)(cid:2741)(cid:2538)(cid:23768)(cid:23785)(cid:23764)(cid:23795)(cid:23748)(cid:23709)(cid:23818)(cid:23869)(cid:23890)(cid:23827)(cid:23790)(cid:2600)(cid:2538)(cid:23778)(cid:23768)(cid:2686)(cid:2485)(cid:23765)(cid:2879)(cid:2529)(cid:23745)(cid:23709)
(cid:2620)(cid:2624)(cid:23768)(cid:4073)(cid:1585)(cid:23784)(cid:23761)(cid:23870)(cid:23889)(cid:23899)(cid:23857)(cid:23804)(cid:4064)(cid:3530)(cid:23743)(cid:23749)(cid:23709)(cid:23869)(cid:23817)(cid:23899)(cid:23804)(cid:3459)(cid:2669)(cid:23745)(cid:23709)(cid:23839)(cid:23823)(cid:23818)(cid:23804)(cid:3073)(cid:2474)(cid:23743)(cid:23749)(cid:23760)(cid:23726)(cid:23737)(cid:23741)(cid:23762)(cid:23761)(cid:2493)
(cid:2559)(cid:2660)(cid:2835)(cid:3082)(cid:2518)(cid:2743)(cid:2520)(cid:2499)(cid:23761)(cid:23768)(cid:2505)(cid:2651)(cid:23804)(cid:2504)(cid:23787)(cid:23797)(cid:23710)
(cid:2611)(cid:2481)(cid:2587)(cid:2486)(cid:2543)(cid:3087)
(cid:891) (cid:21)(cid:19)(cid:22)(cid:19)(cid:2475)(cid:2536)(cid:2611)(cid:2481)(cid:2504)(cid:2543)(cid:3087)(cid:1567)(cid:2554)(cid:24)(cid:19)(cid:19)(cid:2639)(cid:2526)
(cid:21)(cid:19)(cid:22)(cid:19)(cid:2475)(cid:2536)(cid:23784)(cid:23761)(cid:23768)(cid:2611)(cid:2481)(cid:2504)(cid:2587)(cid:2486)(cid:2792)(cid:21)(cid:27)(cid:23)(cid:1643)(cid:23709)(cid:2611)(cid:2481)(cid:2504)(cid:2652)(cid:2616)(cid:2730)(cid:22)(cid:21)(cid:19)(cid:2639)(cid:2526)
(cid:1602)(cid:21)(cid:19)(cid:21)(cid:21)(cid:2475)(cid:2536)(cid:2811)(cid:1603)
【p.1／その他Box 5】
(cid:2516)(cid:2501)(cid:2515)(cid:2559)(cid:2563)
(cid:891) (cid:2581)(cid:3177)(cid:2677)(cid:2485)(cid:23769)(cid:23709)(cid:3969)(cid:2997)(cid:2601)(cid:23768)(cid:2682)(cid:3030)(cid:2809)(cid:2479)(cid:23768)(cid:23715)(cid:2581)(cid:2509)(cid:23794)(cid:23745)(cid:23716)(cid:23768)(cid:2693)(cid:23730)(cid:2509)(cid:23804)(cid:3194)(cid:2804)
(cid:23762)(cid:23745)(cid:23760)(cid:2501)(cid:2985)
(cid:891) (cid:2563)(cid:3850)(cid:2677)(cid:3131)(cid:23768)(cid:2866)(cid:2903)(cid:23804)(cid:2569)(cid:2593)(cid:23762)(cid:23745)(cid:23709)(cid:3449)(cid:3042)(cid:23859)(cid:23908)(cid:23842)(cid:23765)(cid:2786)(cid:23730)(cid:23797)(cid:2948)(cid:23761)(cid:2493)(cid:2559)(cid:2660)
(cid:2835)(cid:3082)(cid:2518)(cid:2743)(cid:2489)(cid:2485)(cid:23778)(cid:2489)(cid:2485)(cid:23804)(cid:2985)(cid:2539)(cid:23745)(cid:23709)(cid:2477)(cid:2490)(cid:2784)(cid:3014)(cid:23804)(cid:3073)(cid:2474)
(cid:891) (cid:3401)(cid:2485)(cid:2570)(cid:2626)(cid:23769)(cid:2505)(cid:2912)(cid:23765)(cid:2953)(cid:2935)(cid:23745)(cid:23709)(cid:2505)(cid:2912)(cid:23768)(cid:23732)(cid:3042)(cid:2968)(cid:23804)(cid:2508)(cid:2868)(cid:23762)(cid:23745)(cid:23760)(cid:23726)(cid:23753)(cid:23788)(cid:23768)
(cid:23768)(cid:23709)(cid:2647)(cid:2743)(cid:2992)(cid:23761)(cid:2504)(cid:2743)(cid:2872)(cid:23764)(cid:2866)(cid:2743)(cid:23734)(cid:4105)(cid:1585)(cid:23765)(cid:2879)(cid:2543)(cid:23804)(cid:2768)(cid:23787)(cid:23709)(cid:2476)(cid:2516)(cid:23709)(cid:2610)(cid:2583)
(cid:23778)(cid:23762)(cid:3527)(cid:3303)(cid:23804)(cid:3073)(cid:2474)
(cid:891) (cid:2697)(cid:2682)(cid:23761)(cid:23769)(cid:23709)(cid:2605)(cid:2879)(cid:2827)(cid:23768)(cid:2955)(cid:23785)(cid:2481)(cid:23734)(cid:23796)(cid:23765)(cid:23794)(cid:23796)(cid:3253)(cid:2571)(cid:23734)(cid:2486)(cid:2571)(cid:2546)(cid:23745)(cid:23760)(cid:23726)(cid:23797)(cid:23734)(cid:23709)
(cid:2592)(cid:2677)(cid:2499)(cid:23768)(cid:2784)(cid:3014)(cid:23761)(cid:23769)(cid:3253)(cid:2571)(cid:3234)(cid:3296)(cid:23765)(cid:23769)(cid:2834)(cid:2624)(cid:23734)(cid:23724)(cid:23797)(cid:23753)(cid:23787)(cid:23709)(cid:2677)(cid:2499)(cid:2784)(cid:3014)(cid:23804)
(cid:3073)(cid:2474)(cid:23747)(cid:23797)(cid:2769)(cid:2575)(cid:23734)(cid:23724)(cid:23797)
【p.2／その他Box 1】
2(cid:17)(cid:2835)(cid:2947)(cid:2489)(cid:2485)(cid:23768)(cid:
[Excelセル上限のため省略。全内容はBox_全ページ縦持ちを参照]</t>
  </si>
  <si>
    <t>サーパス工業株式会社
1.⾧期成⾧ビジョン
国内外のお客様、パートナー企業様、従業員と協働して半導体産業の成⾧に貢献。
日本国内と海外ビジネス（外貨獲得）によって得られた収益を、日本国内の企業や従業員に還元し、
日本全体及び地域経済の活性化に貢献します。</t>
  </si>
  <si>
    <t>⾧期成⾧ビジョン（目指す姿・ビジネスモデル）
• 当社は創業から42年間、流体機器のブランドメーカーとして開発・
製造・販売を自社にて行い、垂直統合型企業を目指してきました。
そして今まで培ってきた流体機器の専門知識・経験を活用し、10年
後には、半導体業界向けの売上を現在の2倍まで成⾧させ、新規
事業の再生医療業界向けの売上比率を、現在の約5％から約
20％まで高めていきます。具体的な計画として、5年後には全社売
上135%up、社員数300名(新規雇用100名)、10年後には全
社売上200%up 社員数400名(新規雇用200名)を目指します。
• 多くの製造業者が本社と生産拠点を分離、分散しているなか、
我々が目指すのは、本社施設、研究施設、生産施設が三位一体
となって運営される組織です。そして埼玉県北部の鴻巣という地方
都市に、一枚岩の組織力と最新鋭のDX化された生産工程（自動
倉庫＋自動搬送機＋生産システムの連携）が構築された新拠点
で、生産性を、5年後には5％up、10年後には15％upを目指して
いきます。
• IT化やデジタル化によって、本社や生産拠点の場所は、問われない
新しい世の中となりました。その現代だからこそ実現できる新たなビジ
ネスモデルを、地方都市 鴻巣市から世界に向けて発信していきたい
と考えています。そして、成⾧で得られた収益を地域社会と社員に
還元できる100年企業を目指していきます。</t>
  </si>
  <si>
    <t>外発的動機
• コロナ禍を契機とした在宅勤務やSNSを中心とした新しい社会の始まりに
より、世界的な半導体不足となっています。同時に、半導体の安定調達
を各国が模索し、半導体需要は爆発的に伸びています。このような背景
から、半導体業界全体が2033年には、2023年比2倍の成⾧を見込ま
れており、当社も2倍の生産キャパの確保が必要となっております。
• 益々高度化する半導体業界の技術の進化により、お客様と共創しながら
研究開発を行える環境・体制造りが必要となっています。
• 日本の出生率は低下しており、1974年生まれは210万人、2023年生
まれは76万人と約1/3となっています。現状と同じ生産性では、将来の経
済規模も1/3になることが予想され、生産性向上が急務となっています。
• 世界的に環境規制が強化されており、日本でも2050年までにカーボン
ニュートラルの実現が政府より提言されています。国と地方の協働・共創が
進んでおり、企業としても一翼を担うことが期待されています。</t>
  </si>
  <si>
    <t>内発的動機
• 私の地元 鴻巣は、ベッドタウンの側面が強く、昼間の労働人口を増やすこ
とが課題となっております。私は、埼玉版スーパー・シティプロジェクト構想に
賛同しており、企業として魅力的な職場の提供、災害対策、地域経済の
活性化を行い、地域貢献をしたいと考えています。そして、昨今の世界的
な半導体業界の急激な成⾧を鑑みて、この機会に地元 鴻巣に大規模
な投資をし、新規雇用を創出することで、地域貢献ができると考えました。
• 当社の海外販売比率は、約20年前は0%でしたが、現在では約30%に
成⾧しました。“ものづくり”で世界に挑戦することで、社員のモチベーション
が上がり、地域経済が活性化されることの大切さを学んできました。これか
らも、埼玉県北部の地方都市から世界とツナガル製品創りで、誇りのもて
る(魅力ある)職場づくりを目指していきたいと考えています。</t>
  </si>
  <si>
    <t>【p.1／売上成長目標】
売上成⾧目標
• 2030年までの全社売上高成⾧率165％
• 2030年までの全社従業員規模成⾧率150％
• 2033年までの会社全体の売上高成⾧率200％
• 2033年までの会社全体の従業員規模200％</t>
  </si>
  <si>
    <t>【p.1】
サーパス工業株式会社
1.⾧期成⾧ビジョン
国内外のお客様、パートナー企業様、従業員と協働して半導体産業の成⾧に貢献。
日本国内と海外ビジネス（外貨獲得）によって得られた収益を、日本国内の企業や従業員に還元し、
日本全体及び地域経済の活性化に貢献します。
⾧期成⾧ビジョン（目指す姿・ビジネスモデル） 外発的動機
• コロナ禍を契機とした在宅勤務やSNSを中心とした新しい社会の始まりに
• 当社は創業から42年間、流体機器のブランドメーカーとして開発・
より、世界的な半導体不足となっています。同時に、半導体の安定調達
製造・販売を自社にて行い、垂直統合型企業を目指してきました。
を各国が模索し、半導体需要は爆発的に伸びています。このような背景
そして今まで培ってきた流体機器の専門知識・経験を活用し、10年
から、半導体業界全体が2033年には、2023年比2倍の成⾧を見込ま
後には、半導体業界向けの売上を現在の2倍まで成⾧させ、新規
れており、当社も2倍の生産キャパの確保が必要となっております。
事業の再生医療業界向けの売上比率を、現在の約5％から約
• 益々高度化する半導体業界の技術の進化により、お客様と共創しながら
20％まで高めていきます。具体的な計画として、5年後には全社売
研究開発を行える環境・体制造りが必要となっています。
上135%up、社員数300名(新規雇用100名)、10年後には全
• 日本の出生率は低下しており、1974年生まれは210万人、2023年生
社売上200%up 社員数400名(新規雇用200名)を目指します。
まれは76万人と約1/3となっています。現状と同じ生産性では、将来の経
• 多くの製造業者が本社と生産拠点を分離、分散しているなか、
済規模も1/3になることが予想され、生産性向上が急務となっています。
我々が目指すのは、本社施設、研究施設、生産施設が三位一体
• 世界的に環境規制が強化されており、日本でも2050年までにカーボン
となって運営される組織です。そして埼玉県北部の鴻巣という地方
ニュートラルの実現が政府より提言されています。国と地方の協働・共創が
都市に、一枚岩の組織力と最新鋭のDX化された生産工程（自動
進んでおり、企業としても一翼を担うことが期待されています。
倉庫＋自動搬送機＋生産システムの連携）が構築された新拠点
で、生産性を、5年後には5％up、10年後には15％upを目指して
いきます。 内発的動機
• IT化やデジタル化によって、本社や生産拠点の場所は、問われない
• 私の地元 鴻巣は、ベッドタウンの側面が強く、昼間の労働人口を増やすこ
新しい世の中となりました。その現代だからこそ実現できる新たなビジ
とが課題となっております。私は、埼玉版スーパー・シティプロジェクト構想に
ネスモデルを、地方都市 鴻巣市から世界に向けて発信していきたい
賛同しており、企業として魅力的な職場の提供、災害対策、地域経済の
と考えています。そして、成⾧で得られた収益を地域社会と社員に
活性化を行い、地域貢献をしたいと考えています。そして、昨今の世界的
還元できる100年企業を目指していきます。
な半導体業界の急激な成⾧を鑑みて、この機会に地元 鴻巣に大規模
な投資をし、新規雇用を創出することで、地域貢献ができると考えました。
売上成⾧目標
• 当社の海外販売比率は、約20年前は0%でしたが、現在では約30%に
• 2030年までの全社売上高成⾧率165％
成⾧しました。“ものづくり”で世界に挑戦することで、社員のモチベーション
• 2030年までの全社従業員規模成⾧率150％
が上がり、地域経済が活性化されることの大切さを学んできました。これか
• 2033年までの会社全体の売上高成⾧率200％
らも、埼玉県北部の地方都市から世界とツナガル製品創りで、誇りのもて
• 2033年までの会社全体の従業員規模200％
る(魅力ある)職場づくりを目指していきたいと考えています。</t>
  </si>
  <si>
    <t>【p.2】
サーパス工業株式会社
2.補助事業の概要
多くの製造業が本社・生産拠点を分散する中、本社機能・開発機能・生産機能が三位一体となり、
埼玉県北部の地方都市 鴻巣市から、世界に発信する新しいビジネスモデルを提案。
すべてを『ツナグ』シンボルとしての最新鋭の新拠点を建設。新たな一体感を生む『PJ ブルーム』をスタート。
補助事業の • 事業拠点を一カ所に集めた最新鋭の新拠点で、生産性向上及び生産キャパの拡大を実現します。 事業費 200億円
背景・目的 • 地方企業の新たな姿となるシンボリックな新拠点と働きやすい魅力ある職場創りで、人財獲得を進めます。 （補助額） （50億円）
• 全社横ぐしの『PJ ブルーム』を通して、新拠点を創造し、チームワークを再構築していきます。
今回の投資は、単純な移転集約ではなく、全ての要素を『ツナグ』PJブルームとなっており、当社を新しいステージに成⾧させる特異点となります。
【未来・世界とツナガル】
●自動倉庫、自動搬送機を導入し、生産システムと連携し、省人化された近未来的な工場で、生産性向上を目指します。
●新拠点は、世界的半導体業界の成⾧に対応するため、フェーズ１として2倍の生産キャパを確保し、新規雇用200人を予定。その後
市場の動向に応じて、フェーズ2及び3を行い、5倍の生産キャパ、新規雇用500人を収納できる新拠点となっています。
●世界各国で登録された特許約550件に及ぶ技術力で、製品を世界に向けて販売し、世界中のお客様をおもてなしする新拠点とします。
【自然・次世代とツナガル】
新社屋:2026年10月 竣工予定
●太陽光発電設備、CASBEE/ZEBの取得、更には
環境性能評価指標ZEFへの取り組みを予定しており、 フェーズ1 フェーズ３
設備投資の 環境にやさしい企業活動を目指すと同時に、環境性能
内容 を併せ持つ製品開発を行い、子供達(次世代)に
持続可能な環境を残していきます。
【人がツナガル】
●本社機能、開発機能、生産機能を統合し、Sampo
オフィスが構成される拠点で、Soiebaの何気ない
発想から、付加価値の高い新製品を開発します。
●WELL認証、CASBEE ウェルネスオフィスの取得を予定しており、
働きやすい職場を創り、継続的に人財採用が行っていける魅力ある職場を目指します。
【地元・地域とツナガル】
●花のまち鴻巣にふさわしい、花と緑に囲まれた魅力あるサーパスフィールドを創造します。
項目 2027年度（基準年度） 2030年度（基準年度＋３年後）
労働生産性 4,336
3,795
（単位:万円/人） （年平均上昇率＋4.5％）
目標値 従業員1人あたり給与支給総額 481 528
（単位:万円/人） （年平均上昇率＋3.1％）
役員１人あたり給与支給総額 ー
ー
（単位:万円/人） （年平均上昇率＋3.1％）
補助事業に係る従業員数
184 232
（単位:人）</t>
  </si>
  <si>
    <t>1.長期成長ビジョン 株式会社オティックスホールディングス
• 長期成長ビジョンを策定し、電動化メガトレンドに対応する計画を策定。将来の自動車サプライチェーンの変革に対応
• 2038年に売上の半分が電動車部品となり、「電動車部品含むモビリティ関連部品メーカー」へ転換
• 将来にわたって顧客ニーズに応え、日本の自動車産業を支える、選ばれる部品メーカーになる
長期成長ビジョン VISION120
（2038年に向けた長期ビジョン）</t>
  </si>
  <si>
    <t>• 西浅井第２工場（電動車部品工場）を建設し、受注した電動車部品の円滑な量産立上げを行う
• 人手不足に対応した省力化・自動化・デジタル化技術を活用したスマート工場を建設
• 本工場をモデル工場にし、省力化・自動化をグループの他工場に展開予定</t>
  </si>
  <si>
    <t>長期成長ビジョン VISION120
（2038年に向けた長期ビジョン）
メガトレンドへの対応
◆EV・電動車シフトに対応し、エンジン部品メーカーから「電動車部品含むモビリ
ティ関連部品メーカー」への変革を、スピード感をもって行う。
◆持続的な成長のため、取引先の要求を先回りして提案、実現し
選ばれ続ける対等なパートナー※になる。（※イコールパートナー）
目指す姿
顧客価値を追究するイコールパートナーへの成長
イコールパートナーになるために
①EV含む電動車技術の研究開発
電動車向け技術・工法を新たに研究開発し、完成車メーカーに独自技術を
提案可能とする。（電動化製品開発の新組織を設立）
②マーケティング・製品開発・営業の強化
完成車メーカーの電動車開発ニーズを先回りしてサポートするため、
その把握とそれに応じた製品開発、受注活動を強化する。
売上成長目標※ ※グループ会社全体
• 電動車部品売上高
82億円（24年1月期）→181億円（30年1月期） （2.2倍）
(電動車部品の売上高比率 12％→24%）
• 2038年の電動車部品売上高600億円(7.3倍）を目指す。
➡エンジン部品メーカーから「電動車部品含むモビリティ関連部品メーカー」に変
革。完成車メーカーから選ばれ続ける、イコールパートナーになる。
➡将来にわたって、日本の自動車産業を支え続ける部品メーカーになる。</t>
  </si>
  <si>
    <t>外発的動機
• 地球温暖化および異常気象による各国CO2排出規制の強化
• 自動車業界の100年に1度と言われる大変革期、次世代自動車
（BEV・FCEV）の拡大
• トヨタ自動車による2030年電気自動車生産台数目標350万台
の発表
• システム提案のできるメガサプライヤーへの仕事の集約による、サプラ
イチェーンの変革
• 少子高齢化による生産年齢人口の減少</t>
  </si>
  <si>
    <t>内発的動機
• トヨタ自動車エンジン開発激減によるオティックス内エンジン試作製
品売上高及び部品開発案件の激減
• 中国政府によるEV優遇政策によるオティックス中国の売上高の減
少
• 採用難、とりわけ三河地区（西尾市、碧南市、安城市、豊田
市）における高校卒業者の採用難による製造の人材不足
➡将来にわたって、自動車産業を支える役目を果たせるか、危機感大</t>
  </si>
  <si>
    <t>【p.1／売上成長目標】
売上成長目標※ ※グループ会社全体
• 電動車部品売上高
82億円（24年1月期）→181億円（30年1月期） （2.2倍）
(電動車部品の売上高比率 12％→24%）
• 2038年の電動車部品売上高600億円(7.3倍）を目指す。
➡エンジン部品メーカーから「電動車部品含むモビリティ関連部品メーカー」に変
革。完成車メーカーから選ばれ続ける、イコールパートナーになる。
➡将来にわたって、日本の自動車産業を支え続ける部品メーカーになる。
【p.2／上段要旨】
• 西浅井第２工場（電動車部品工場）を建設し、受注した電動車部品の円滑な量産立上げを行う
• 人手不足に対応した省力化・自動化・デジタル化技術を活用したスマート工場を建設
• 本工場をモデル工場にし、省力化・自動化をグループの他工場に展開予定</t>
  </si>
  <si>
    <t>【p.1】
1.長期成長ビジョン 株式会社オティックスホールディングス
• 長期成長ビジョンを策定し、電動化メガトレンドに対応する計画を策定。将来の自動車サプライチェーンの変革に対応
• 2038年に売上の半分が電動車部品となり、「電動車部品含むモビリティ関連部品メーカー」へ転換
• 将来にわたって顧客ニーズに応え、日本の自動車産業を支える、選ばれる部品メーカーになる
長期成長ビジョン VISION120
（2038年に向けた長期ビジョン）
外発的動機
メガトレンドへの対応
◆EV・電動車シフトに対応し、エンジン部品メーカーから「電動車部品含むモビリ • 地球温暖化および異常気象による各国CO2排出規制の強化
ティ関連部品メーカー」への変革を、スピード感をもって行う。 • 自動車業界の100年に1度と言われる大変革期、次世代自動車
（BEV・FCEV）の拡大
◆持続的な成長のため、取引先の要求を先回りして提案、実現し
• トヨタ自動車による2030年電気自動車生産台数目標350万台
選ばれ続ける対等なパートナー※になる。（※イコールパートナー）
の発表
目指す姿 • システム提案のできるメガサプライヤーへの仕事の集約による、サプラ
イチェーンの変革
顧客価値を追究するイコールパートナーへの成長
• 少子高齢化による生産年齢人口の減少
イコールパートナーになるために
①EV含む電動車技術の研究開発
電動車向け技術・工法を新たに研究開発し、完成車メーカーに独自技術を
提案可能とする。（電動化製品開発の新組織を設立）
②マーケティング・製品開発・営業の強化 内発的動機
完成車メーカーの電動車開発ニーズを先回りしてサポートするため、
その把握とそれに応じた製品開発、受注活動を強化する。 • トヨタ自動車エンジン開発激減によるオティックス内エンジン試作製
品売上高及び部品開発案件の激減
売上成長目標※ ※グループ会社全体
• 中国政府によるEV優遇政策によるオティックス中国の売上高の減
• 電動車部品売上高 少
82億円（24年1月期）→181億円（30年1月期） （2.2倍） • 採用難、とりわけ三河地区（西尾市、碧南市、安城市、豊田
(電動車部品の売上高比率 12％→24%） 市）における高校卒業者の採用難による製造の人材不足
• 2038年の電動車部品売上高600億円(7.3倍）を目指す。
➡将来にわたって、自動車産業を支える役目を果たせるか、危機感大
➡エンジン部品メーカーから「電動車部品含むモビリティ関連部品メーカー」に変
革。完成車メーカーから選ばれ続ける、イコールパートナーになる。
➡将来にわたって、日本の自動車産業を支え続ける部品メーカーになる。</t>
  </si>
  <si>
    <t>【p.2】
.補助事業の概要 株式会社オティックスホールディングス
2
• 西浅井第２工場（電動車部品工場）を建設し、受注した電動車部品の円滑な量産立上げを行う
• 人手不足に対応した省力化・自動化・デジタル化技術を活用したスマート工場を建設
• 本工場をモデル工場にし、省力化・自動化をグループの他工場に展開予定
【背景】主製品のエンジン部品が衰退。2038年には売上が50%程度に減少すると予測
補助事業の 事業費 166億円
【目的】電動化部品の開発・生産能力を高め、電動車部品メーカーに転換する
背景・目的 （補助額） （50億円）
【課題】EV独自技術、マーケティング、製品開発を高度化し、選ばれる電動車サプライヤーになる
①工場新設：西浅井第２工場※
※第１工場は自己資金で完成
• 設計、電気・水道・ガス・通信工事
• 通信、工場内搬送機・車両、クレーン・コンプレッサーなど生産必要装置
• セキュリティ、物流、食堂スペース、廃液処理機能
（工場機能として、通信機能、保安・厚生施設、食堂、物流ヤードなどが必要）
②生産ライン ・設備※
• ダイカストライン（鋳造マシン、型、炉など）
• 加工ライン（各種工作機械、治具、検査機、搬送機など）
新設する電動車向けスマート工場（西浅井第２工場）
設備投資の
③開発研究用設備（試作部品製造設備、試験機など）
内容
＜課題と解決策＞
• 生産量の急拡大や、労働者不足に対応し、自動化し、省力化する。女性や高齢者
でも働きやすいよう、重量物搬送は自動化する。
＜労働生産性向上＞
• 工場内の作業者動線や工程を最適化し、最新設備を活用し、効率的なラインにする。
ダイカストラインの大型設備（鋳造マシン、溶解炉）
• ロボットと自動工作機械を連携活用し、省力化する。
• ロボット、自動搬送機などを活用し重量物の機械へのセットや移動を自動化する。
項目 2027年1月期（基準年度） 2030年1月期（基準年度＋３年後）
労働生産性（万円/人） 4,600/ 1,491 5,993（年平均上昇率＋9.2％）/ 2,148（年平均上昇率＋12.9％）
目標値
従業員1人あたり給与支給総額（万円/人） 735/ 623 824（年平均上昇率＋3.85％）/ 684（年平均上昇率＋3.18％）
役員１人あたり給与支給総額（万円/人） - -（年平均上昇率＋3.00％）/ -（年平均上昇率＋3.00％）
補助事業に係る従業員数（人） 17/ 216 17（年平均上昇率＋0.0％）/ 206（年平均上昇率-1.6％）
左側：オティックスホールディングス、右側：オティックス西尾（いずれも補助事業に係る値）</t>
  </si>
  <si>
    <t>株式会社松風
1.⾧期成⾧ビジョン
さらに多くの国、多くの人々に松風の製品を供給することで、世界の歯科医療に一層の貢献を果たし、
2028年3月期には中期経営計画の目標である連結売上高500億円を達成する。</t>
  </si>
  <si>
    <t>⾧期成⾧ビジョン（目指す姿・ビジネスモデル）
• 目指す姿
2012年に掲げた目標である連結売上高500億円を2028年3
月期に達成するという第五次中期経営計画を立案。
• 経営戦略
「経営資源の配分を大きく海外にシフトし、海外事業の拡大を目
指す」
・研究開発:地域の需要・ニーズに適合した新製品の開発・投入
・生産:生産拠点の再配置、海外生産の拡大
・営業:販売網の拡充・拠点の整備、国内外学術ネットワーク
の構築。
・人材:グローバル人材の育成・確保
・財務:資金需要の拡大に対応するための資金調達
• 長期成長ビジョンで記載した連結売上高500億円の目標
製品となる化工品は、生産スペースの不足により必要な生
いる。この課題解消を目的として新工場を建設し、生産ス
力化を進め、生産能力の大幅な向上を行う。
【設備投資内容】
• 化工品の生産能力向上を目的として、新工場の建設を2
【設備投資による効果】
• 補助対象となる第1期の新工場建設においては、生産ス
（1,992㎡→3,511㎡）に拡張するとともに大型設備の
生産プロセス各所のDX化を行い、生産の効率化を進める
現状の2倍以上に向上させ、世界需要が拡大する一方で
売機会を損失していた化工品の課題を解消する。
• 課題解消により労働生産性を向上させ、拡大する世界の</t>
  </si>
  <si>
    <t>外発的動機
• 国内の歯科市場は、総人口の減少やう蝕（むし歯）治療の減少
もあり、大きな成⾧は望みにくい。
• 世界には国内の約20倍という広大な市場規模が存在し、新興国
をはじめとする各地域の経済成⾧や生活水準の向上を考えると、
今後、海外における歯科医療の需要は飛躍的に拡大することが見
込まれる。
• 歯周病などの歯科疾患が全身の健康にも影響を及ぼすことや、歯
の審美意識の向上から、歯科医療に対する需要は今後も大きくな
る。</t>
  </si>
  <si>
    <t>内発的動機
• 「創造的な企業活動を通じて世界の歯科医療に貢献する」という
経営理念のもと、過去100年にわたり世界の歯科医療に貢献して
きた。次の100年も人々の健康と笑顔を支えていくことが松風の社
会的使命である。
• 売上高が貢献度のバロメーターと捉えているが、現状、世界のトップ
10企業に対して売上高は小さいため、世界の歯科医療への貢献
度は不十分である。世界の歯科医療への貢献度を高めるため、世
界への製品の供給量を増やし、売上高を拡大しなければならない。</t>
  </si>
  <si>
    <t>【p.1／売上成長目標】
売上成⾧目標
（2023年3月期対比）
単体:
• 2028年3月期に売上高成⾧率 50％
• 2028年3月期に売上高増加額 97億円
連結:
• 2028年3月期に売上高成⾧率 58％
• 2028年3月期に売上高増加額 185億円</t>
  </si>
  <si>
    <t>【p.1】
株式会社松風
1.⾧期成⾧ビジョン
さらに多くの国、多くの人々に松風の製品を供給することで、世界の歯科医療に一層の貢献を果たし、
2028年3月期には中期経営計画の目標である連結売上高500億円を達成する。
⾧期成⾧ビジョン（目指す姿・ビジネスモデル） 外発的動機
• 国内の歯科市場は、総人口の減少やう蝕（むし歯）治療の減少
• 目指す姿
もあり、大きな成⾧は望みにくい。
2012年に掲げた目標である連結売上高500億円を2028年3
• 世界には国内の約20倍という広大な市場規模が存在し、新興国
月期に達成するという第五次中期経営計画を立案。
をはじめとする各地域の経済成⾧や生活水準の向上を考えると、
• 経営戦略
今後、海外における歯科医療の需要は飛躍的に拡大することが見
「経営資源の配分を大きく海外にシフトし、海外事業の拡大を目
込まれる。
指す」
• 歯周病などの歯科疾患が全身の健康にも影響を及ぼすことや、歯
・研究開発:地域の需要・ニーズに適合した新製品の開発・投入
の審美意識の向上から、歯科医療に対する需要は今後も大きくな
・生産:生産拠点の再配置、海外生産の拡大
る。
・営業:販売網の拡充・拠点の整備、国内外学術ネットワーク
の構築。
・人材:グローバル人材の育成・確保
内発的動機
・財務:資金需要の拡大に対応するための資金調達
• 「創造的な企業活動を通じて世界の歯科医療に貢献する」という
経営理念のもと、過去100年にわたり世界の歯科医療に貢献して
売上成⾧目標（2023年3月期対比）
きた。次の100年も人々の健康と笑顔を支えていくことが松風の社
単体:
会的使命である。
• 2028年3月期に売上高成⾧率 50％
• 売上高が貢献度のバロメーターと捉えているが、現状、世界のトップ
• 2028年3月期に売上高増加額 97億円
10企業に対して売上高は小さいため、世界の歯科医療への貢献
連結:
度は不十分である。世界の歯科医療への貢献度を高めるため、世
• 2028年3月期に売上高成⾧率 58％
界への製品の供給量を増やし、売上高を拡大しなければならない。
• 2028年3月期に売上高増加額 185億円</t>
  </si>
  <si>
    <t>【p.2】
2.補助事業の概要 株式会社松風
成長の足かせとなっている生産能力不足を解消することで、「売上と利益の成長」、「労働生産性向上」、「継続
的な賃上げと更なる設備投資」の好循環を生む。
• 長期成長ビジョンで記載した連結売上高500億円の目標を掲げる中で、売上拡大の基幹
補助事業の 製品となる化工品は、生産スペースの不足により必要な生産能力確保が困難な状況となって 事業費 22億円
背景・目的 いる。この課題解消を目的として新工場を建設し、生産スペースを拡張するとともに生産の省 （補助額） （6.6億円）
力化を進め、生産能力の大幅な向上を行う。
【設備投資内容】
• 化工品の生産能力向上を目的として、新工場の建設を2期に分けて行う。
（完成イメージ図）
【設備投資による効果】
• 補助対象となる第1期の新工場建設においては、生産スペースを現状の1.8倍
（1,992㎡→3,511㎡）に拡張するとともに大型設備の導入、生産の自動化、
生産プロセス各所のDX化を行い、生産の効率化を進める。これにより生産能力を
現状の2倍以上に向上させ、世界需要が拡大する一方で生産能力不足により販
設備投資の
売機会を損失していた化工品の課題を解消する。
内容
• 課題解消により労働生産性を向上させ、拡大する世界の需要に応えられる体制を
構築することで得られた売上と利益の成長を賃上げとして従業員に還元する。
• 第2期の新工場建設（補助対象外）では生産能力を現状の3倍以上に向上させ、
世界市場でのシェア拡大に繋げる。これにより更なる労働生産性の向上が見込め、
長期的な賃上げと新たな設備投資が可能となる。
• 日本市場のみならず世界市場により多くの製品を送り出すことで、世界の歯科医療
へ一層の貢献を果たすことができる。
2025年度 2028年度
項目
（基準年度） （基準年度＋３年後）
労働生産性 2,587
1,745
（単位：万円/人） （年平均上昇率＋14.1％）
従業員1人あたり給与支給総額 531
目標値 486
（単位：万円/人） （年平均上昇率＋3.0％）
役員１人あたり給与支給総額 -
-
（単位：万円/人） （年平均上昇率＋3.0％）
補助事業に係る従業員数
164 178
（単位：人）</t>
  </si>
  <si>
    <t>1.長期成長ビジョン
株式会社アルプスツール
ALPSTOOL VISION 2030
省力化・高度化が求められる工作機械業界の革新</t>
  </si>
  <si>
    <t>長期成長ビジョン（目指す姿・ビジネスモデル）
• 「ものづくり」の基幹技術であるツーリング※を製造する「ツーリング事
業」と棒材供給装置を製造する「バーフィーダー事業」を通じて国
内および欧米諸国や新興国を含むグローバルな顧客の「ものづく
り」技術の省力化・高度化に貢献することで持続的な成長を図る。
① 「ツーリング事業」では製造業が抱える工作機械の省力化・高度
化の課題を解決する高品質なアダプタ・固定工具・回転工具と
いったツーリングの供給で世界ナンバーワンの圧倒的な高品質を
目指し、特に 業界スタンダードを実現するための自社製品・オー
プン規格化製品（補助事業）の浸透を目指す
② 「バーフィーダー事業」では自動化による省力化を更に推進、国内
外の地域特性に合わせた製品開発と現地法人メーカー・商社と
の緊密な連携によるフォロー体制充実で付加価値を向上させ、
全体の売上増加率に合わせた売上拡大を目指す</t>
  </si>
  <si>
    <t>外発的動機
• 国内製造業における構造的な人手不足
• 国（経済産業省）の省力化推進
• 顧客ニーズの多様化による「ものづくり」の多品種少量生産化
• ものづくりの高品質化による工作機械の進化
• 脱炭素に向けた生産性向上
• ロボット等を活用した生産工程の自動化
• 物価高騰、原油高高騰に対応するための利益率向上</t>
  </si>
  <si>
    <t>内発的動機
• 当社は工業用ヤスリの製造販売を通じて創業し、その後、ヤスリ試
験機の開発を契機として、現在も続くツーリング・バーフィーダー製品
の開発により、お客様の課題を解決してきたため、時代や顧客ニー
ズの変化に合わせた製品の供給を通じてお客様に貢献することが、
当社の持続的な成長に繋がると確信している。
• 工作機械の製造技術を有しているものの、あえてツーリング事業に
徹することで、国内の幅広い工作機械メーカーと良好な関係を構築
できる独自のポジションを確立したが、今後は海外向けにもジャパン
ブランドとしての浸透を図り、国内製造業を活性化したい。</t>
  </si>
  <si>
    <t>【p.1／売上成長目標】
売上成長目標
• 2030年までに
会社全体の売上高130億円
会社全体の売上高年成長率7.7％(2024年12月期対比)
補助事業の売上高30億円
補助事業の売上高年成長率55.5％(2024年12月期対比)</t>
  </si>
  <si>
    <t>【p.1】
1.長期成長ビジョン
株式会社アルプスツール
ALPSTOOL VISION 2030
省力化・高度化が求められる工作機械業界の革新
長期成長ビジョン（目指す姿・ビジネスモデル） 外発的動機
• 国内製造業における構造的な人手不足
• 「ものづくり」の基幹技術であるツーリング※を製造する「ツーリング事
• 国（経済産業省）の省力化推進
業」と棒材供給装置を製造する「バーフィーダー事業」を通じて国
• 顧客ニーズの多様化による「ものづくり」の多品種少量生産化
内および欧米諸国や新興国を含むグローバルな顧客の「ものづく
• ものづくりの高品質化による工作機械の進化
り」技術の省力化・高度化に貢献することで持続的な成長を図る。
• 脱炭素に向けた生産性向上
• ロボット等を活用した生産工程の自動化
① 「ツーリング事業」では製造業が抱える工作機械の省力化・高度
• 物価高騰、原油高高騰に対応するための利益率向上
化の課題を解決する高品質なアダプタ・固定工具・回転工具と
いったツーリングの供給で世界ナンバーワンの圧倒的な高品質を
目指し、特に 業界スタンダードを実現するための自社製品・オー
プン規格化製品（補助事業）の浸透を目指す
② 「バーフィーダー事業」では自動化による省力化を更に推進、国内
内発的動機
外の地域特性に合わせた製品開発と現地法人メーカー・商社と
• 当社は工業用ヤスリの製造販売を通じて創業し、その後、ヤスリ試
の緊密な連携によるフォロー体制充実で付加価値を向上させ、
験機の開発を契機として、現在も続くツーリング・バーフィーダー製品
全体の売上増加率に合わせた売上拡大を目指す
の開発により、お客様の課題を解決してきたため、時代や顧客ニー
売上成長目標 ズの変化に合わせた製品の供給を通じてお客様に貢献することが、
• 2030年までに 当社の持続的な成長に繋がると確信している。
会社全体の売上高130億円 • 工作機械の製造技術を有しているものの、あえてツーリング事業に
会社全体の売上高年成長率7.7％(2024年12月期対比) 徹することで、国内の幅広い工作機械メーカーと良好な関係を構築
補助事業の売上高30億円 できる独自のポジションを確立したが、今後は海外向けにもジャパン
補助事業の売上高年成長率55.5％(2024年12月期対比) ブランドとしての浸透を図り、国内製造業を活性化したい。
※ツーリングとは工作機械と切削工具をつなぐ機械工具(ツール)で、加工精度の良し悪しを左右する非常に重要な役割を担う。
そのためツーリングの性能が工作機械の「段取り性」「加工品質」に直結している。</t>
  </si>
  <si>
    <t>【p.2】
2 .補助事業の概要 株式会社アルプスツール
人手不足を解消する持続的な賃上げの原資確保に向けて、新たに自社製品等ツーリング高度化製品の生産
に必要な工場・設備投資により、労働生産性を向上し、目標となる給与支給総額の増加率を達成する
補助事業の • ツーリング自社製品・オープン規格化製品の製造技術確立（ツーリング高度化） 事業費 2 億円
1
背景・目的 • ツーリング増産体制の構築 （補助額） （6.6億円）
• 【建物費】 新工場 「南条工場 (仮称)」 を建築 新工場イメージ
• 【機械装置費】 ツーリング高度化のために必要な以下設備を導入
設備投資の
内容
製造対象イメージ
＜工夫点＞見える化・創エネを実現するツーリング専用のスマートファクトリーとする。
2026年度 2029年度
項目
（基準年度） （基準年度＋３年後）
労働生産性 2,606
1,130
（単位：万円/人） （年平均上昇率＋32.1％）
目標値 従業員1人あたり給与支給総額 529
477
（単位：万円/人） （年平均上昇率＋3.5％）
役員１人あたり給与支給総額 ー
ー
（単位：万円/人） （年平均上昇率＋3.5％）
補助事業に係る従業員数
16 38
（単位：人）</t>
  </si>
  <si>
    <t>アドバンス電気工業株式会社
1.長期成長ビジョン
IoT・AI・5Gなどデジタル社会への移行、透析患者の増加等の医療問題を背景に、精密クリーンバルブ業界
での世界トップシェアを堅持し、 「春日井から世界の半導体製造・医療現場を支える」</t>
  </si>
  <si>
    <t>IoT・AI・5Gなどデジタル社会への移行、透析患者の増加等の医療問題を背景に、精密クリーンバルブ業界</t>
  </si>
  <si>
    <t>長期成長ビジョン（目指す姿・ビジネスモデル）
「春日井から世界の半導体製造・医療現場を支える」をビ
ジョンに、国産の半導体製造装置関連産業のサプライ
チェーン構築を担う1社として半導体製造装置メーカーへ、
また医療機器（透析装置）メーカーに向けて高性能な
精密クリーンバルブの安定的な供給体制を構築、世界
トップシェアを堅持する。
財務的な安定性・健全性を確保しつつ、適切な投資計画
を実行し、生産能力を拡大する。</t>
  </si>
  <si>
    <t>外発的動機
IoT・AI・5G・ビッグデータ活用など、世界中でデジタル社
会への移行が進むというメガトレンドの中にあり、中長期的
な半導体需要は産業用途・医療・自動車向けなど成長が
見込まれる（SEMIによれば、半導体市場は、2023年か
ら2030年までの年平均成長率は約10％）。
また、直接的な顧客である半導体製造装置メーカーから
の増産要求があることなどが外発的動機である。</t>
  </si>
  <si>
    <t>内発的動機
愛知県春日井市をメイン拠点として、 「春日井から世界の
半導体製造・医療現場を支える」をビジョンに掲げ、事業を
拡大してきた。
これからも地元に長く愛される企業として、春日井市にて安
定的かつ強固な生産能力を構築し、生産性向上・賃上げ
等により社員のQOL向上を実現したいことが内発的動機
である。</t>
  </si>
  <si>
    <t>【p.1／上段要旨】
IoT・AI・5Gなどデジタル社会への移行、透析患者の増加等の医療問題を背景に、精密クリーンバルブ業界
【p.1／売上成長目標】
売上成長目標
・ 2032年までに会社全体の売上高成長率130％
【p.2／設備投資の内容】
【設備投資の内容】
精密クリーンバルブ生産能力の倍増を核とした成長投資による
製品の生産能力増強計画（本社第二工場２期棟増設）
建物サイズ：６０ｍ✕27.5ｍ
１F：工作機械エリア/コンプレッサー室、２F：モーター生産/
クリーンルーム、４F：生産管理室（兼倉庫）
【設備投資による課題解決、労働生産性向上】
国産半導体製造装置メーカーの生産要求に対応。本社第二工
し、生産の自動化ラインを整備・拡充することにより、「省力化」
増による売上増」を達成し、労働生産性の向上と賃上げを実現
【実現性・投資計画の妥当性】
工場建設用地は確保済。総投資額34億円。収支計画と余剰
く、投資計画は妥当な水準。</t>
  </si>
  <si>
    <t>【p.1】
アドバンス電気工業株式会社
1.長期成長ビジョン
IoT・AI・5Gなどデジタル社会への移行、透析患者の増加等の医療問題を背景に、精密クリーンバルブ業界
での世界トップシェアを堅持し、 「春日井から世界の半導体製造・医療現場を支える」
長期成長ビジョン（目指す姿・ビジネスモデル） 外発的動機
IoT・AI・5G・ビッグデータ活用など、世界中でデジタル社
「春日井から世界の半導体製造・医療現場を支える」をビ
会への移行が進むというメガトレンドの中にあり、中長期的
ジョンに、国産の半導体製造装置関連産業のサプライ
な半導体需要は産業用途・医療・自動車向けなど成長が
チェーン構築を担う1社として半導体製造装置メーカーへ、
見込まれる（SEMIによれば、半導体市場は、2023年か
また医療機器（透析装置）メーカーに向けて高性能な
ら2030年までの年平均成長率は約10％）。
精密クリーンバルブの安定的な供給体制を構築、世界
また、直接的な顧客である半導体製造装置メーカーから
トップシェアを堅持する。
の増産要求があることなどが外発的動機である。
財務的な安定性・健全性を確保しつつ、適切な投資計画
を実行し、生産能力を拡大する。
内発的動機
愛知県春日井市をメイン拠点として、 「春日井から世界の
売上成長目標 半導体製造・医療現場を支える」をビジョンに掲げ、事業を
拡大してきた。
・ 2032年までに会社全体の売上高成長率130％ これからも地元に長く愛される企業として、春日井市にて安
定的かつ強固な生産能力を構築し、生産性向上・賃上げ
等により社員のQOL向上を実現したいことが内発的動機
である。</t>
  </si>
  <si>
    <t>【p.2】
アドバンス電気工業株式会社
2.補助事業の概要
世界的な半導体需要急増を背景に、半導体製造装置メーカーの増産計画に対応するため、モーター生産能力
倍増を核とした成長投資による「精密クリーンバルブ製品の生産能力増強計画（本社第二工場２期棟増設）」
世界的な半導体需要急増を背景に国産半導体製造装置メーカーから生産要求が拡大中。
補助事業の 事業費 32億円
需要に対するため生産能力を倍増させ、自動化ラインの導入により労働生産性・賃上げを
背景・目的 （補助額） （8.9億円）
実現する。
【設備投資の内容】
精密クリーンバルブ生産能力の倍増を核とした成長投資による精密クリーンバルブ
製品の生産能力増強計画（本社第二工場２期棟増設）
建物サイズ：６０ｍ✕27.5ｍ
１F：工作機械エリア/コンプレッサー室、２F：モーター生産/部品倉庫、３F：
クリーンルーム、４F：生産管理室（兼倉庫）
設備投資の
【設備投資による課題解決、労働生産性向上】 写真等
内容
国産半導体製造装置メーカーの生産要求に対応。本社第二工場２期棟を新設
し、生産の自動化ラインを整備・拡充することにより、「省力化」と「生産能力の倍
増による売上増」を達成し、労働生産性の向上と賃上げを実現する。
【実現性・投資計画の妥当性】
工場建設用地は確保済。総投資額34億円。収支計画と余剰資金から負担少な
く、投資計画は妥当な水準。
2025年度 2028年度
項目
（基準年度） （基準年度＋３年後）
労働生産性 3,469.6
2,917.9
（単位：万円/人） （年平均上昇率5.9％）
目標値
従業員1人あたり給与支給総額 700.3
613.7
（単位：万円/人） （年平均上昇率4.5％）
補助事業に係る従業員数
285 325
（単位：人）</t>
  </si>
  <si>
    <t>株式会社ミマキエンジニアリング
1.⾧期成⾧ビジョン
弊社は、経営ビジョンの「市場に常に『新しさと違い』を提供」、「小回りの利いた」、「開発型企業」であり続け、
「Mimaki V10」の達成・実現を通じて、社会課題解決につながる価値ある製品を開発・提供し成⾧を目指します。</t>
  </si>
  <si>
    <t>⾧期成⾧ビジョン（目指す姿・ビジネスモデル）
＜経営ビジョン＞
• 独自技術を保有し、自社ブランド製品を世界に供給する「開発型企
業」を目指します。
• 顧客に満足いただける製品を素早く提供する小回りの利いた会社を
目指します。
• 市場に常に「新しさと違い」を提供するイノベーターを目指します。
＜ありたい姿＞
社会課題の解決につながる価値ある製品を開発・提供
＜ありたい姿に向けた取組＞
 中⾧期成⾧戦略「Mimaki V10」の達成・実現
高い収益を継続的に生み出すとともに、財務基盤を強化して持続可能な
成⾧に向けた強靭な企業基盤の構築を進め、新製品・新技術の開発に
経営資源を投入していきます。
• デジタルオンデマンドプリントの推進により環境負荷の軽減（節水・低廃
棄・短納期・省スペース）を図ることで、社会課題の解決に向け取り組
みます。
• 研究開発体制の強化コロナ禍を経て顕在化した市場ニーズや顧客志
向の変化を見据え、製品開発でInnovationを起こし、新規市場の開
拓に取組み、市場環境や顧客ニーズの急激な変化を見据えた事業を
展開します。</t>
  </si>
  <si>
    <t>外発的動機
• SDGS社会の進展
地球環境への配慮・・・産業用印刷物については、まだまだアナログ
印刷が主流。特にTA市場におけるアナログ印刷は大量生産・大量
廃棄と環境負荷が大きい。
• コロナによる行動の変革
TA市場（カスタマー）は店頭販売からEコマースにシフトし、生産
者の需要が高速機から高付加価値機にシフト。</t>
  </si>
  <si>
    <t>内発的動機
• 新技術の開発・新市場の創造
弊社は、ペンプロッターの後発メーカーとして事業をスタート。後発メー
カーが故、業績を拡大することができなかった。そこで、ペンを刃物に持ち
替え、世界初のカッティングプロッタを開発。その後も、弊社独自で開発
を重ね、世界初・業界初となる商品を市場に供給。開発型企業として
自社ブランドを世界に供給していく。
• 弊社のあゆみはイノベーションの歴史
デジタルオンデマンドのマーケットリーダーとして、顧客ニーズにあった製品
を市場に供給することで新たな市場と顧客を創出し業績を拡大し、イノ
ベーターとしての企業集団を確立してきた。
• 資源循環型の経営・技術
新たな価値を生み出し革新的なアイデアや方法を取り入れて、より持
続可能な未来を創りだすことを目指し全社をあげ取り組んでいく。</t>
  </si>
  <si>
    <t>【p.1／売上成長目標】
売上成⾧目標（2028年度）
• 会社全体の売上高増加額 連結508億円・単体372億円
• 会社全体の売上高成⾧率 連結172％・単体172%</t>
  </si>
  <si>
    <t>【p.1】
株式会社ミマキエンジニアリング
1.⾧期成⾧ビジョン
弊社は、経営ビジョンの「市場に常に『新しさと違い』を提供」、「小回りの利いた」、「開発型企業」であり続け、
「Mimaki V10」の達成・実現を通じて、社会課題解決につながる価値ある製品を開発・提供し成⾧を目指します。
⾧期成⾧ビジョン（目指す姿・ビジネスモデル） 外発的動機
• SDGS社会の進展
＜経営ビジョン＞
地球環境への配慮・・・産業用印刷物については、まだまだアナログ
• 独自技術を保有し、自社ブランド製品を世界に供給する「開発型企
印刷が主流。特にTA市場におけるアナログ印刷は大量生産・大量
業」を目指します。
廃棄と環境負荷が大きい。
• 顧客に満足いただける製品を素早く提供する小回りの利いた会社を
目指します。
• コロナによる行動の変革
• 市場に常に「新しさと違い」を提供するイノベーターを目指します。
TA市場（カスタマー）は店頭販売からEコマースにシフトし、生産
者の需要が高速機から高付加価値機にシフト。
＜ありたい姿＞
社会課題の解決につながる価値ある製品を開発・提供
＜ありたい姿に向けた取組＞
 中⾧期成⾧戦略「Mimaki V10」の達成・実現
内発的動機
高い収益を継続的に生み出すとともに、財務基盤を強化して持続可能な
成⾧に向けた強靭な企業基盤の構築を進め、新製品・新技術の開発に • 新技術の開発・新市場の創造
弊社は、ペンプロッターの後発メーカーとして事業をスタート。後発メー
経営資源を投入していきます。
カーが故、業績を拡大することができなかった。そこで、ペンを刃物に持ち
• デジタルオンデマンドプリントの推進により環境負荷の軽減（節水・低廃
替え、世界初のカッティングプロッタを開発。その後も、弊社独自で開発
棄・短納期・省スペース）を図ることで、社会課題の解決に向け取り組
を重ね、世界初・業界初となる商品を市場に供給。開発型企業として
みます。
自社ブランドを世界に供給していく。
• 研究開発体制の強化コロナ禍を経て顕在化した市場ニーズや顧客志
向の変化を見据え、製品開発でInnovationを起こし、新規市場の開 • 弊社のあゆみはイノベーションの歴史
デジタルオンデマンドのマーケットリーダーとして、顧客ニーズにあった製品
拓に取組み、市場環境や顧客ニーズの急激な変化を見据えた事業を
を市場に供給することで新たな市場と顧客を創出し業績を拡大し、イノ
展開します。
ベーターとしての企業集団を確立してきた。
売上成⾧目標（2028年度） • 資源循環型の経営・技術
• 会社全体の売上高増加額 連結508億円・単体372億円 新たな価値を生み出し革新的なアイデアや方法を取り入れて、より持
• 会社全体の売上高成⾧率 連結172％・単体172% 続可能な未来を創りだすことを目指し全社をあげ取り組んでいく。</t>
  </si>
  <si>
    <t>【p.2】
.補助事業の概要 株式会社ミマキエンジニアリング
2
市場ニーズによる新製品の大型化、新製品開発サイクルの短期化、素早い市場ニーズへの対応などから、近年新製
品開発機種の大型化が進み、試作機・試験機の設置スペースに常に悩まされ、本事業はその解消を目的としている。
• 売上増加による社内組立生産スペースの増大と、大型新製品の市場ニーズの高まりによる
大型新製品開発の増加による製品開発スペース不足が常態化。 1 億円
補助事業の 事業費 6
• 製品開発スペース不足により開発期間が長期化、本補助事業により研究開発部門の労働 （4.2億円）
背景・目的 （補助額）
生産性向上、製品開発期間短縮による新製品を成長市場に投入することにより製品競争
力向上が図れ、事業成長を通じて付加価値向上を目指していく。
＜補助事業における設備投資内容＞
• 加沢工場 F棟建築（2階建 延べ床面積 4,000㎡）
工場レイアウト素案の通り詳細レイアウト案は決定していないが、工場真中に通路
を配置し、両側に新機種の試作機・各種性能試験用の試験機設置を行う計画
• 試作・試験用の評価分析装置：乾燥用減圧乾燥機、レーザー顕微鏡、他開
発関連機器
設備投資の
＜労働生産性向上に向けた取組＞
内容
• 試作機・試験機の設置スペース不足の解消：市場ニーズ対応による、新機種
の大型化、素早いニーズ対応、開発期間の短縮化が求められている。スペース
が不足することで試作機・試験機設置のスペース空き待ちが発生し、開発効率
低下し開発期間が長期化する。本補助事業でこれを解消し、製品開発期間
短縮により新製品開発を促進させ、労働生産性を目指す
• 効率の良い分析の実現：最新の実験・評価・分析装置を導入することにより、
効率よく分析が可能となるため、開発期間の短縮化が実現できる
2025年度 2028年度
項目
（基準年度） （基準年度＋３年後）
（単
労
位
働
：
生
万
産
円
性
/人）
1,308万円/人
（年平
1
均
,4
上
23
昇
万
率
円
＋
/人
2.9％）
目標値 従業員1人あたり給与支給総額 669.3万円/人 731.5万円/人
（単位：万円/人） （年平均上昇率＋3.01％）
役員１人あたり給与支給総額 ー
ー
（単位：万円/人） （年平均上昇率＋5.00％）
補助事業に係る従業員数
978人 1,129人
（単位：人）</t>
  </si>
  <si>
    <t>NAX JAPAN株式会社
1.長期成長ビジョン
不透明性、不確実性が増す環境に於いて、各従業員が国際物流を通じ成長し、市場の
課題を読み取り、高度な課題へ向けて果敢に挑戦し、国際貿易の円滑な発展に寄与する。
また、従業員の教育、経験を通じてキャリア形成を明確にし成長意欲を高める。</t>
  </si>
  <si>
    <t>長期成長ビジョン（目指す姿・ビジネスモデル）
食品に特化した国際フォワダーとしての強みを活かす
• 食品に特化した国際フォワダーならではの海外の農水産物事業者とのナマの現場情報
からビジネスチャンスを提案
• 今年は、どこの国で、どの品目が、どの時期に不足する
＝＞その品目を、どのような規格、この価格帯で輸出すればヒットできる
• 国際物流のプロとして、現地の、市場価格動向から逆算して、どのレベルの価格帯＋輸
送費で輸出すれば市場にヒットできるかを輸送モードを含めて具体的に提案
• 有機JAS認証を弊社成田市場倉庫で取得、生産者への輸出規格のコンサルにも対応。
• 国際商流機能と国際物流機能のワンストップサービスを開始、金融機関との協業に
より、輸出債権は円貨現金に転換することで、代金回収も国内取引同様に対応。輸
出に不慣れな農水生産者でも追加投資なしで輸出を開始できるプラットホームとして
提供（貿易未経験者へ海外販売のコンシェルジェ的な役割を果たす）
（挑戦への決意）
企業理念（「常に変化に対応する」、「覚悟を持って挑戦する」「品格を持って行動する」）
に基づいて、国内・国外の農水畜産物生産者・事業者と共に成長すべく、上記の具体的な
実現に取り組む</t>
  </si>
  <si>
    <t>外発的動機
• 海外における日本食品の需要の高まりは一時のトレンドの枠を
越え、今や世界各国に日本の食文化を必要とする一定の層が
定着したと言えます。このことにより国内においては「日本食品の
輸出」を取り巻く業界全体が一大産業を担うまでに成長している。
• 日本政府が掲げる「農林水産物の輸出額を2030年までに5兆
円」の目標は弊社の取組みに非常に大きな追い風となっているこ
とは間違いない。業務の効率化と品質の向上により、その一端を
担い成長してまいりたいと考えます。</t>
  </si>
  <si>
    <t>内発的動機
• 弊社は長年にわたり生鮮貨物の輸出入に携わり、お客様と共に
成長してまいりました。2012年頃より築地市場からの輸出貨物
の取扱量が増えはじめ、平和島センター、成田新市場と施設の
拡大と共にAEOやCEIV FRESH等の認証も取得し、サービスと
品質の向上に努めた結果、着実に売上を伸ばすことができました。
• とくに2017年、平和島センターの設立にあたり農林水産省の補
助事業としての認可を受けることができ、設立の翌年には収益事
業としての成功を収めることができました。今回は更なる顧客ニー
ズの増大に伴い、新規施設の拡充を検討することになった次第で
す。</t>
  </si>
  <si>
    <t>【p.1／売上成長目標】
売上成長目標
• 2030年までの会社全体の売上高成長率200％
• 2030年までの会社全体の売上高増加額100億円
昨期2023年度売上高実績は102億円、営業利益3.5億円
今年度より毎年10％の売上高増加を目標としております。</t>
  </si>
  <si>
    <t>【p.1】
NAX JAPAN株式会社
1.長期成長ビジョン
不透明性、不確実性が増す環境に於いて、各従業員が国際物流を通じ成長し、市場の
課題を読み取り、高度な課題へ向けて果敢に挑戦し、国際貿易の円滑な発展に寄与する。
また、従業員の教育、経験を通じてキャリア形成を明確にし成長意欲を高める。
長期成長ビジョン（目指す姿・ビジネスモデル） 外発的動機
• 海外における日本食品の需要の高まりは一時のトレンドの枠を
食品に特化した国際フォワダーとしての強みを活かす
越え、今や世界各国に日本の食文化を必要とする一定の層が
• 食品に特化した国際フォワダーならではの海外の農水産物事業者とのナマの現場情報
定着したと言えます。このことにより国内においては「日本食品の
からビジネスチャンスを提案
輸出」を取り巻く業界全体が一大産業を担うまでに成長している。
• 今年は、どこの国で、どの品目が、どの時期に不足する
• 日本政府が掲げる「農林水産物の輸出額を2030年までに5兆
＝＞その品目を、どのような規格、この価格帯で輸出すればヒットできる
円」の目標は弊社の取組みに非常に大きな追い風となっているこ
• 国際物流のプロとして、現地の、市場価格動向から逆算して、どのレベルの価格帯＋輸
とは間違いない。業務の効率化と品質の向上により、その一端を
送費で輸出すれば市場にヒットできるかを輸送モードを含めて具体的に提案
担い成長してまいりたいと考えます。
• 有機JAS認証を弊社成田市場倉庫で取得、生産者への輸出規格のコンサルにも対応。
• 国際商流機能と国際物流機能のワンストップサービスを開始、金融機関との協業に
より、輸出債権は円貨現金に転換することで、代金回収も国内取引同様に対応。輸
出に不慣れな農水生産者でも追加投資なしで輸出を開始できるプラットホームとして
提供（貿易未経験者へ海外販売のコンシェルジェ的な役割を果たす）
（挑戦への決意）
内発的動機
企業理念（「常に変化に対応する」、「覚悟を持って挑戦する」「品格を持って行動する」）
• 弊社は長年にわたり生鮮貨物の輸出入に携わり、お客様と共に
に基づいて、国内・国外の農水畜産物生産者・事業者と共に成長すべく、上記の具体的な
成長してまいりました。2012年頃より築地市場からの輸出貨物
実現に取り組む
の取扱量が増えはじめ、平和島センター、成田新市場と施設の
拡大と共にAEOやCEIV FRESH等の認証も取得し、サービスと
売上成長目標 品質の向上に努めた結果、着実に売上を伸ばすことができました。
• とくに2017年、平和島センターの設立にあたり農林水産省の補
• 2030年までの会社全体の売上高成長率200％
助事業としての認可を受けることができ、設立の翌年には収益事
業としての成功を収めることができました。今回は更なる顧客ニー
• 2030年までの会社全体の売上高増加額100億円
ズの増大に伴い、新規施設の拡充を検討することになった次第で
昨期2023年度売上高実績は102億円、営業利益3.5億円 す。
今年度より毎年10％の売上高増加を目標としております。</t>
  </si>
  <si>
    <t>【p.2】
NAX JAPAN株式会社
2.補助事業の概要
• 現状の冷凍・冷蔵倉庫が手一杯になり、海外向けの日本食品も低価格競争から脱却するためには高品質温度管理による商品差別化が求められている。
• 当社では、配送、倉庫、船舶と温度管理することにり、お客様の商品のMADE IN JAPANのブランド力を保つことで国際競争で勝ち残りに貢献する。
• セキュリティが徹底された冷凍倉庫
• 温度管理と徹底させることにより、海外での高評価の維持により高価格の安定化
• 倉庫前倉庫（ラベル貼り作業用冷凍倉庫）＝＞輸出コンテナバンニング倉庫という二重体制の排除により、時間短縮、トラック代の削減、保管期間の短縮による鮮度維持
＜補助事業の背景：輸出専用冷蔵冷凍倉庫の現状と課題＞ 事業費 14億円
• 一件の輸出に対して各種商品毎に多数のトラックで搬入される＝＞作業効率化阻害要因
（補助額） （4.7億円）
• 輸出検疫場所が所在する24時間、365日対応可能な施設の充実は必須
＜補助事業の目的＞
• 冷凍倉庫につきまとう人員確保の課題を、最新設備による省力化によって解消させる
• 現状の冷凍・冷蔵倉庫が手一杯になり、海外向けの日本食品も低価格競争から、
補助事業の 脱却するためには高品質温度管理による商品差別化が求められている。当社では、
配送、倉庫、船舶と温度管理することによより、お客様の商品の高品質のMADE IN
背景・目的
JAPANのブランド力を保つことで国際競争で勝負が出来る。
• セキュリティが徹底された冷凍倉庫
• 温度管理と徹底させることにより、海外での高評価の維持により高価格の安定化
• ラベル張り倉庫、輸出通関用倉庫に分けている倉庫前倉庫の排除により、時間短縮、
トラック代の削減、保管期間の短縮による鮮度維持を実現する。
• 輸出専用冷蔵冷凍倉庫の拡充・拠点化により時間短縮、コスト削減を可能とし、
安心安全な食品を品質うを保ったまま国外の消費者へ届ける。
• 冷凍・冷蔵庫造作工事 1,600,000,000円
写真等
• 移動ラック設置 100,000,000円
• WMS・受発注管理システム等の開発と導入 300,000,000円
設備投資の
• 商社機能受発注システムとのCSV連携 100,000,000円
内容
補助事業を行わない場合は、業務が増えた分に人材を投入しなければならず、7年で
売り上げを2倍にする場合、現在の倉庫、Operationの人数を比例して増やす必要あり。
2026年度 2029年度
項目
（基準年度） （基準年度＋３年後）
労働生産性 11,690
10,001
（単位：万円/人） （年平均上昇率＋5.3％）
目標値
従業員1人あたり給与支給総額 7,980
6,892
（単位：万円/人） （年平均上昇率＋5.01％）
役員１人あたり給与支給総額 -
-
（単位：万円/人） （年平均上昇率＋5.00％）
補助事業に係る従業員数
209 227
（単位：人）</t>
  </si>
  <si>
    <t>1.長期成長ビジョン
株式会社MARUWA
MARUWAの「強み」を活かした製品を未来に渡って世の中に送り続け、サステナビリティな社会実現に貢献していく。</t>
  </si>
  <si>
    <t>長期成長ビジョン（目指す姿・ビジネスモデル）
MARUWAはサステナビリティ（持続性）を経営重要要素としている。
手掛ける製品は利用されることにより脱炭素社会実現に寄与する製
品が多く、事業成長・拡大を通じて持続性のある脱炭素社会の
実現、社会課題解決に貢献をしていく。
従業員が安全で心身ともに健康で働ける環境整備に取り組み、
従業員の能力を最大まで発揮してもらえる生き生きとした職場環境
をつくっていく。
当社は素材において長年蓄積されたノウハウを有する素材の
MARUWAであり、最先端の加工技術においても素材特性を
熟知している。そのような素材、加工技術を更に進化させていき
最先端のセラミック素材関係を将来にわたって提供しつづけるメーカー
を目指す。</t>
  </si>
  <si>
    <t>外発的動機
• 100年に一度の変革期（脱炭素社会に向けた時代の変化）
が到来。
• 脱炭素社会の実現、社会課題解決に寄与する分野
（半導体、AI、EV等）の成長性と社会需要が高まっている。
• 先端技術の進歩により競合他社との生存競争の激化、他社
差別化ができていない企業の淘汰が進んでいる。
• 新型コロナウィルス、ウクライナ情勢、自然災害などの様々な
社会持続性を脅かす出来事が発生している。</t>
  </si>
  <si>
    <t>内発的動機
• 社会は100年に一度の変革期であり、要求されるのはより高度な
最先端技術製品となってきている。当社は独自の素材技術、加工
技術を有しており、継続的に最先端製品に対し応えていく力を有す。
• 当社はセラミック基板の業界トップメーカーとして独自の最先端技術
を活かし脱炭素社会の実現に貢献することが会社に課せられた
使命である。
• 当社の事業を支えているのは従業員であり、従業員の健康と
安全が第一優先事項である。モチベーションを高く持って働ける
職場環境を整理することで事業推進力が高まると考えている。</t>
  </si>
  <si>
    <t>売上成長目標
• 短期的には（2024年から2025年まで）会社全体の
売上高700億円を目標とする。
• 中期的には（2026年から数年間で）会社全体の
売上高1,000億円を目標とする。
※上記売上高の計画に基づいた生産設備投資を行う。</t>
  </si>
  <si>
    <t>【p.1／売上成長目標】
売上成長目標
• 短期的には（2024年から2025年まで）会社全体の
売上高700億円を目標とする。
• 中期的には（2026年から数年間で）会社全体の
売上高1,000億円を目標とする。
※上記売上高の計画に基づいた生産設備投資を行う。</t>
  </si>
  <si>
    <t>【p.1】
1.長期成長ビジョン
株式会社MARUWA
MARUWAの「強み」を活かした製品を未来に渡って世の中に送り続け、サステナビリティな社会実現に貢献していく。
長期成長ビジョン（目指す姿・ビジネスモデル） 外発的動機
• 100年に一度の変革期（脱炭素社会に向けた時代の変化）
MARUWAはサステナビリティ（持続性）を経営重要要素としている。
が到来。
手掛ける製品は利用されることにより脱炭素社会実現に寄与する製
• 脱炭素社会の実現、社会課題解決に寄与する分野
品が多く、事業成長・拡大を通じて持続性のある脱炭素社会の
（半導体、AI、EV等）の成長性と社会需要が高まっている。
実現、社会課題解決に貢献をしていく。
• 先端技術の進歩により競合他社との生存競争の激化、他社
差別化ができていない企業の淘汰が進んでいる。
従業員が安全で心身ともに健康で働ける環境整備に取り組み、
• 新型コロナウィルス、ウクライナ情勢、自然災害などの様々な
従業員の能力を最大まで発揮してもらえる生き生きとした職場環境
社会持続性を脅かす出来事が発生している。
をつくっていく。
当社は素材において長年蓄積されたノウハウを有する素材の
MARUWAであり、最先端の加工技術においても素材特性を
熟知している。そのような素材、加工技術を更に進化させていき
最先端のセラミック素材関係を将来にわたって提供しつづけるメーカー
を目指す。 内発的動機
• 社会は100年に一度の変革期であり、要求されるのはより高度な
最先端技術製品となってきている。当社は独自の素材技術、加工
売上成長目標
技術を有しており、継続的に最先端製品に対し応えていく力を有す。
• 当社はセラミック基板の業界トップメーカーとして独自の最先端技術
• 短期的には（2024年から2025年まで）会社全体の
を活かし脱炭素社会の実現に貢献することが会社に課せられた
売上高700億円を目標とする。
使命である。
• 中期的には（2026年から数年間で）会社全体の
• 当社の事業を支えているのは従業員であり、従業員の健康と
売上高1,000億円を目標とする。
安全が第一優先事項である。モチベーションを高く持って働ける
※上記売上高の計画に基づいた生産設備投資を行う。
職場環境を整理することで事業推進力が高まると考えている。</t>
  </si>
  <si>
    <t>【p.2】
.補助事業の概要
2 株式会社MARUWA
補助事業：半導体関連事業 新工場建設及び先端設備導入
【福島県：半導体製造装置向け石英製品 岐阜県：半導体製造装置向けSiC製品】
【半導体関連事業成長投資】
背景：半導体産業の成長性、市場拡大を見込み半導体関連事業への投資を決定
補助事業の 事業費
半導体製造装置向け石英製品とSiC製品を製造する福島県・岐阜県の工場を増強 1 27 億円
背景・目的 （補助額）
目的：半導体産業の成長・市場拡大に伴う需要増加に応えるため、生産体制を強化する （35億円）
課題：独自加工技術を用いた差別化製品を生産するための先端設備導入と人材の確保
県 投資内容 金額 補助額（①×1/3)
福島県
建物 3,000 百万円 三春工場6号棟 イメージ図
三春新工場６号棟
設備 806 百万円
建物 600 百万円
福
三春新工場７号棟
島 設備 384 百万円
県
設備投資の 建物 400 百万円
三春既存工場
内容 設備 786 百万円 3,516 百万円
いわき既存工場 設備 1,922 百万円
建物 673 百万円
岐
土岐新工場S２
阜 設備 1,728 百万円
県
土岐既存工場 建物 250 百万円
合計① 10,549 百万円
2026年度 2029年度
項目
（基準年度） （基準年度＋３年後）
労働生産性 5,649
4,373
（単位：万円/人） （年平均上昇率＋8.91％）
目標値 従業員1人あたり給与支給総額 734
655
（単位：万円/人） （年平均上昇率＋3.87％）
役員１人あたり給与支給総額
－ －
（単位：万円/人）
補助事業に係る従業員数
228 291
（単位：人）</t>
  </si>
  <si>
    <t>1.長期成長ビジョン 協和工業株式会社
客先からのハイテンプレスニーズ、市場からの軽量化ニーズと、弊社のネックとなっていた工場用地取得について目
途が立った今、新工場建設を含めた工場再編を実施し、2030年売上高75億円を目指す</t>
  </si>
  <si>
    <t>客先からのハイテンプレスニーズ、市場からの軽量化ニーズと、弊社のネックとなっていた工場用地取得について目
途が立った今、新工場建設を含めた工場再編を実施し、2030年売上高75億円を目指す
新工場の建設により溶接/プレスの事業を再編し、2030年売上高目標75億円を達成する
併せて労働生産性1,229万円、従業員1人あたりの給与総支給額553万円を2028年に達成する</t>
  </si>
  <si>
    <t>長期成長ビジョン（目指す姿・ビジネスモデル）
中長期戦略：Win for 2030
2030年にプレス業界で勝ち残るために、プレス事業と溶接事業を
基軸に事業の再編を実施し、更なる売上拡大/収益増を目指す
①溶接事業・・・新工場建設により、本社工場溶接ラインを全面
移管する
溶接ラインを最新設備へ更新し、生産性向上
による売上拡大を目指す
②プレス事業・・・溶接ライン移管により本社工場の空いたスペース
へ800tプレス機を導入する
また、生産性向上を実現させる建屋の改造工事
や、自動搬送設備などの導入を行う
客先からの大型案件の受注、新規顧客開拓
などにより、ハイテン製品の売上拡大を目指す</t>
  </si>
  <si>
    <t>外発的動機
• プレス事業において、シートメーカーの再編、工場再編が加速する
中、500t~800tクラスのプレス機を保有する弊社へ、具体的な大
型製品移管のオファーを受けている
• 自動車の軽量化ニーズの加速と、弊社超ハイテン技術が相まって、
ハイテン材のプレス製品引き合いが高い状況が続いている
※22年度新規受注の80%がハイテン材製品</t>
  </si>
  <si>
    <t>内発的動機
• 20年以上前より、研究開発を重ねてきた超ハイテン加工技術につ
いて、客先からの高い評価を得ている
• 金型設計⇒金型製作⇒量産プレスの一貫生産体制による金型
設計技術が近年大幅に向上、生産性向上にも寄与し事業拡大
が可能となった
• 売上拡大には現在の工場では、60億円が限界だったが、工場用
地の取得が可能な候補地が現れた</t>
  </si>
  <si>
    <t>【p.1／上段要旨】
客先からのハイテンプレスニーズ、市場からの軽量化ニーズと、弊社のネックとなっていた工場用地取得について目
途が立った今、新工場建設を含めた工場再編を実施し、2030年売上高75億円を目指す
【p.1／売上成長目標】
売上成長目標
• 2030年までの会社全体の売上高成長率：6％
• 2030年までの会社全体の売上高増加額：25億円
• 2030年までの会社全体の売上高：75億円
【p.1／事業拡大に必要な条件が揃った今、】
事業拡大に必要な条件が揃った今、
最大のチャンス到来！
新工場建設により、２つの事業を再編し、売上高75億円
（2030年度）を達成する
【p.2／上段要旨】
新工場の建設により溶接/プレスの事業を再編し、2030年売上高目標75億円を達成する
併せて労働生産性1,229万円、従業員1人あたりの給与総支給額553万円を2028年に達成する</t>
  </si>
  <si>
    <t>【p.1】
1.長期成長ビジョン 協和工業株式会社
客先からのハイテンプレスニーズ、市場からの軽量化ニーズと、弊社のネックとなっていた工場用地取得について目
途が立った今、新工場建設を含めた工場再編を実施し、2030年売上高75億円を目指す
長期成長ビジョン（目指す姿・ビジネスモデル） 外発的動機
中長期戦略：Win for 2030 • プレス事業において、シートメーカーの再編、工場再編が加速する
中、500t~800tクラスのプレス機を保有する弊社へ、具体的な大
2030年にプレス業界で勝ち残るために、プレス事業と溶接事業を
型製品移管のオファーを受けている
基軸に事業の再編を実施し、更なる売上拡大/収益増を目指す
①溶接事業・・・新工場建設により、本社工場溶接ラインを全面 • 自動車の軽量化ニーズの加速と、弊社超ハイテン技術が相まって、
ハイテン材のプレス製品引き合いが高い状況が続いている
移管する
※22年度新規受注の80%がハイテン材製品
溶接ラインを最新設備へ更新し、生産性向上
による売上拡大を目指す
②プレス事業・・・溶接ライン移管により本社工場の空いたスペース
へ800tプレス機を導入する 内発的動機
また、生産性向上を実現させる建屋の改造工事 • 20年以上前より、研究開発を重ねてきた超ハイテン加工技術につ
や、自動搬送設備などの導入を行う いて、客先からの高い評価を得ている
客先からの大型案件の受注、新規顧客開拓 • 金型設計⇒金型製作⇒量産プレスの一貫生産体制による金型
などにより、ハイテン製品の売上拡大を目指す 設計技術が近年大幅に向上、生産性向上にも寄与し事業拡大
が可能となった
売上成長目標 • 売上拡大には現在の工場では、60億円が限界だったが、工場用
地の取得が可能な候補地が現れた
• 2030年までの会社全体の売上高成長率：6％
• 2030年までの会社全体の売上高増加額：25億円
• 2030年までの会社全体の売上高：75億円
事業拡大に必要な条件が揃った今、
最大のチャンス到来！
新工場建設により、２つの事業を再編し、売上高75億円
（2030年度）を達成する</t>
  </si>
  <si>
    <t>【p.2】
2 .補助事業の概要 協和工業株式会社
新工場の建設により溶接/プレスの事業を再編し、2030年売上高目標75億円を達成する
併せて労働生産性1,229万円、従業員1人あたりの給与総支給額553万円を2028年に達成する
補助事業の • 現工場が手瀬間となり売上高60億円が限界となっている 事業費 22億円
背景・目的 新工場の建設により溶接/プレスの事業を再編し、2030年の売上高目標75億円を達成する （補助額） （7. 億円）
3
①新工場建設 ①新工場図面 ②溶接機
⇒新工場建設により、本社工場の溶接/カシメラインを全面移転する
本社工場でも2つのエリアに分かれていた溶接ラインを新工場で集約
することにより、物流ロスが改善され生産性向上に寄与する
②溶接設備の更新/新ライン導入
⇒新規受注により、現状よりラインを増設する必要があり、新ラインの導
入と現状ラインの更新を併せて行う
設備投資の 最新設備導入により、製品品質の向上、生産性向上が見込まれる
③プレス機 ④自動搬送設備
内容 ③800トンプレス機の導入
⇒溶接ライン移管による空きスペースに大型プレス機を導入する
本設備の導入により、プレス事業として、売上65億円前後の生産が
可能となり、顧客大型移管対応には欠かせない重要設備となる
④生産性向上を目指した工場改造工事及び設備導入
⇒建屋の改造工事を実施し、コイル材料の自動搬送設備を導入する
その他、生産性向上に寄与する設備を積極導入する
2025年度 2028年度
項目
（基準年度） （基準年度＋３年後）
労働生産性 1229.5
921.2
（単位：万円/人） （年平均上昇率＋10％）
目標値 従業員1人あたり給与支給総額 552.7
477.4
（単位：万円/人） （年平均上昇率＋5％）
役員１人あたり給与支給総額
－ （年平均上昇率＋4％）
（単位：万円/人）
補助事業に係る従業員数
123 130
（単位：人）</t>
  </si>
  <si>
    <t>1.長期成長ビジョン
株式会社北四国グラビア印刷
持続可能な成長のための地域経済活性化プロジェクト
地域コミュニティとのパートナーシップを通じた５〜10年の成長ビジョン</t>
  </si>
  <si>
    <t>長期成長ビジョン（目指す姿・ビジネスモデル）
• グラビア業界での環境活動を牽引する当社が、業界
の進歩発展に貢献し、地域経済の活性化と持続可
能な発展を目指す。
• 私たちの使命は社会に対して価値を提供し、持続可能
な成長を実現することである。そのためにはグラビア業界
だけではなく、社会全体が人や環境に配慮した経済活
動を行えるよう牽引していく必要がある。当社は５年後、
それらに配慮した地域経済の発展と地域コミュニティの
繁栄に貢献する存在となることを目指す。
• 最新の技術導入による労働生産性の向上や省力化を
通じて、技術集約型の産業への転換を実現、これにより、
地域の産業構造が高度化し、新たな高付加価値産業
が育成される。
• 新工場の稼働によって地元に雇用機会を提供し、地域
経済の活力を回復させ、共同プロジェクトを推進するな
ど地域コミュニティとのパートナーシップをさらに強化し、地
域全体の成長と発展に貢献することを目指す。これによ
り、地方経済の衰退を防止し、地域社会に新たな活力
と希望をもたらすことを目標とする。</t>
  </si>
  <si>
    <t>外発的動機
• 地方全体が、人手不足に陥り経済の衰退や事業継続の困難さに直面して
いる。そして顧客からの受注増加に対応しきれておらず、効率的な生産設備
やキャパシティの拡大が急務である。生産能力の向上を図り、顧客ニーズに
迅速かつ効果的に対応するためには、先端技術の導入や生産プロセスの改
善が不可欠なため、これにより企業の競争力を強化し、持続的な成長を実
現する。地域経済の活性化と共に、社会の変化や顧客ニーズの多様化に適
応するため、技術革新を積極的に推進していく必要性を強く感じている。</t>
  </si>
  <si>
    <t>内発的動機
• 昨今の少子化や地方経済の衰退のあおりを受けて、当社も子育て世代の
支援と地方の活性化を目指し、安全で働きやすい環境を整備する必要があ
ると感じている。それが整うことで、地域の労働力の確保や定着が図られ、地
域経済の持続的な発展に寄与すると考えている。これらは地域社会の課題
解決と将来への投資につながる重要な取り組みであり、子育て世代の支援
を通じて、地方の魅力向上と人材の定着を促し、持続可能な地域社会の
構築に貢献していかなければいけない必要性を感じている。
• 現状は夜勤有り。これを新工場稼働によって日勤だけにして、社員が安全に、
安心して働くことのできる環境にしたい。
• もにす認定企業として、障害者雇用を今後も推進したい。
• 「グリーンプリンティング普及大賞」を2021年から2023年と連続受賞した当
社は、グラビア業界での環境活動を牽引する存在となっており、益々の発展
と牽引を担う存在であるべきと自負している。そしてそれらの技術、知識を用
いて啓蒙活動を行い地域経済や地域社会全体の発展に寄与できると考え
た。</t>
  </si>
  <si>
    <t>【p.1／売上成長目標】
売上成長目標
• 2029年までの会社全体の売上高成長率51.1％
• 2029年までの会社全体の売上高増加額23.8億円</t>
  </si>
  <si>
    <t>【p.1】
1.長期成長ビジョン
株式会社北四国グラビア印刷
持続可能な成長のための地域経済活性化プロジェクト
地域コミュニティとのパートナーシップを通じた５〜10年の成長ビジョン
外発的動機
長期成長ビジョン（目指す姿・ビジネスモデル）
• 地方全体が、人手不足に陥り経済の衰退や事業継続の困難さに直面して
• グラビア業界での環境活動を牽引する当社が、業界
いる。そして顧客からの受注増加に対応しきれておらず、効率的な生産設備
の進歩発展に貢献し、地域経済の活性化と持続可
やキャパシティの拡大が急務である。生産能力の向上を図り、顧客ニーズに
能な発展を目指す。
迅速かつ効果的に対応するためには、先端技術の導入や生産プロセスの改
• 私たちの使命は社会に対して価値を提供し、持続可能
善が不可欠なため、これにより企業の競争力を強化し、持続的な成長を実
な成長を実現することである。そのためにはグラビア業界
現する。地域経済の活性化と共に、社会の変化や顧客ニーズの多様化に適
だけではなく、社会全体が人や環境に配慮した経済活
応するため、技術革新を積極的に推進していく必要性を強く感じている。
動を行えるよう牽引していく必要がある。当社は５年後、
それらに配慮した地域経済の発展と地域コミュニティの
繁栄に貢献する存在となることを目指す。
内発的動機
• 最新の技術導入による労働生産性の向上や省力化を
通じて、技術集約型の産業への転換を実現、これにより、 • 昨今の少子化や地方経済の衰退のあおりを受けて、当社も子育て世代の
地域の産業構造が高度化し、新たな高付加価値産業 支援と地方の活性化を目指し、安全で働きやすい環境を整備する必要があ
が育成される。 ると感じている。それが整うことで、地域の労働力の確保や定着が図られ、地
• 新工場の稼働によって地元に雇用機会を提供し、地域 域経済の持続的な発展に寄与すると考えている。これらは地域社会の課題
経済の活力を回復させ、共同プロジェクトを推進するな 解決と将来への投資につながる重要な取り組みであり、子育て世代の支援
ど地域コミュニティとのパートナーシップをさらに強化し、地 を通じて、地方の魅力向上と人材の定着を促し、持続可能な地域社会の
域全体の成長と発展に貢献することを目指す。これによ 構築に貢献していかなければいけない必要性を感じている。
り、地方経済の衰退を防止し、地域社会に新たな活力 • 現状は夜勤有り。これを新工場稼働によって日勤だけにして、社員が安全に、
と希望をもたらすことを目標とする。 安心して働くことのできる環境にしたい。
• もにす認定企業として、障害者雇用を今後も推進したい。
• 「グリーンプリンティング普及大賞」を2021年から2023年と連続受賞した当
売上成長目標
社は、グラビア業界での環境活動を牽引する存在となっており、益々の発展
• 2029年までの会社全体の売上高成長率51.1％
と牽引を担う存在であるべきと自負している。そしてそれらの技術、知識を用
• 2029年までの会社全体の売上高増加額23.8億円
いて啓蒙活動を行い地域経済や地域社会全体の発展に寄与できると考え
た。</t>
  </si>
  <si>
    <t>【p.2】
2 .補助事業の概要 株式会社北四国グラビア印刷
生産効率向上と完全日勤制への移行による作業者負荷軽減、環境配慮型工場実現、顧客ニーズへの迅速な対応、事業
規模拡大のために、先進技術を活用した自動化を推進、効率的な製造・物流プロセスを確立し、競争力強化と持続的成長
を促す。
「フードサプライチェーンの一端を担い今までの印刷工場のイメージから脱却した、人手不足に対応
した省力化等による労働生産性の抜本的な向上により労働集約型から技術集約型への移行を
補助事業の 事業費 2 億円
図ることと事業規模の拡大を両立させた持続的発展を目的とする工場を実現。女性や高齢者を 9
背景・目的 （補助額） （8.7億円）
含めて全社員が安全で働きやすい環境を提供するための自動化を目的とした先進設備・技術や
施策を導入する。
（建物費）新工場建設
（機械装置費）スリット機 、自動梱包機、自動倉庫、梱包ライン、ロボット
アーム、現工場改修工事、NSラミネート機、自動調液装置、システム
（導入効果）
設備投資の
新設備導入により作業工程の一部が自動化され、労働生産性の85％上
内容
昇を見込む。
スリット工程の最大加工速度(現状250m/分→導入後450m/分) それ
によって他工程に人員を配置することが可能となり、生産作業効率が上昇、
2029年には営業利益率12.5%を実現する見込みである。
新工場建設図面
2026年度 2029年度
項目
（基準年度） （基準年度＋３年後）
労働生産性 1,451
764
（単位：万円/人） （年平均上昇率23.8％）
目標値 従業員1人あたり給与支給総額 590
510
（単位：万円/人） （年平均上昇率4.99％）
役員１人あたり給与支給総額 -
-
（単位：万円/人） （年平均上昇率＋5.00％）
補助事業に係る従業員数
137 144
（単位：人）</t>
  </si>
  <si>
    <t>ヤマセ電気株式会社
1.⻑期成⻑ビジョン
ヤマセグループの⼀貫した製造⼒と実績をテコに、ヤマセ電気は、電化・電動化に対応した⾞載部品のTier1企業
からの製造受託を拡大しつつ、新規加⼯技術の提案を通じて⾃動⾞、⺠⽣分野などでの事業拡大を目指します。
•
創業50年の節目を超えて、⾃動⾞、⺠⽣、その他分野のバランスの取れた事業ポートフォリオの構築を通して、 次の50年も
成⻑をしつづける地域共⽣かつグローバルなニッチ・トップ企業を目指します。</t>
  </si>
  <si>
    <t>⻑期成⻑ビジョン（目指す姿・ビジネスモデル）
•
ヤマセグループは、樹脂成形を中⼼とした加⼯技術と、電⼦回路
の高密度実装を得意とする製造業です。将来的には、ヤマセ電気
の中核技術である、特許技術レザリッジと⾦属加⼯・樹脂成形技
術を活用した「プラスチック製高放熱筐体」というガワと、ヤマセエレ
クトロニクスの主⼒事業である「高密度実装回路基板」というゾウモ
ツをユニット化（サブアセンブリ）して提供していことを柱に、製造受
託（OEM）事業から、より高付加価値を得られる提案型製品受
託（ODM）事業へ転換し、今後の成⻑の柱とする方針です。
•
その第⼀歩となるのが、今回、新⼯場で製造する、電気⾃動⾞向
けのコンプレッサ部品となります。この製品は、すでに2028年度製
造開始分まで確定しています。今後、規模としては毎年倍々で増
加する計画となっており、お客さまから早期の⼯場建設が求められ
ている状況にあり、
•
今年の4月に⼯場用地として78,000m2の敷地を宮城県大崎
市三本⽊に取得しました。</t>
  </si>
  <si>
    <t>外発的動機
•
ヤマセグループの⽴地する宮城県北部は、近年⾃動⾞産業の集積
が進んできており、今後、台湾のPSMCなども⽴地するなど地方経
済を牽引していく地域として、物流環境も改善してきており他地域と
の取引についてもやりやすい環境となってきています。
•
そのような中、ヤマセ電気でも、⾃動⾞部品のTie1企業との直接
取引を開始し、2019年には大崎市松⼭に松⼭⼯場を建設・竣
⼯しましたが、5年が経ち、⾃動⾞部品の仕事が増えてきた中、さら
なる⽣産設備増強をお客さまから求められています。</t>
  </si>
  <si>
    <t>内発的動機
•
ヤマセグループには、大崎耕⼟といわれる川に挟まれた地形に⽴地
している⼯場が複数あり、また、⼯場建屋の経年化も進んでおり、
災害に対するレジリンスや断熱・省エネ性の観点で、移転・⽴替が
課題となっている。既存の⼯場敷地には拡大余地がなく、成⻑の⾜
枷になっている。
•
そこで、水害リスクが低く、高速道路アクセスも良好な、大崎市三本
⽊に大型の⼯場用地を確保しました。</t>
  </si>
  <si>
    <t>【p.1／成⻑をしつづける地域共⽣かつグローバルなニッチ・トップ企業を目指します。】
•
創業50年の節目を超えて、⾃動⾞、⺠⽣、その他分野のバランスの取れた事業ポートフォリオの構築を通して、 次の50年も
成⻑をしつづける地域共⽣かつグローバルなニッチ・トップ企業を目指します。
【p.1／売上成長目標】
売上成⻑目標︓ 2028年売上 約380億円
•
2028年までのグループ全体の売上高成⻑率35％
•
2028年までのグループ全体の売上高増加額98億円</t>
  </si>
  <si>
    <t>【p.1】
ヤマセ電気株式会社
1.⻑期成⻑ビジョン
ヤマセグループの⼀貫した製造⼒と実績をテコに、ヤマセ電気は、電化・電動化に対応した⾞載部品のTier1企業
からの製造受託を拡大しつつ、新規加⼯技術の提案を通じて⾃動⾞、⺠⽣分野などでの事業拡大を目指します。
•
創業50年の節目を超えて、⾃動⾞、⺠⽣、その他分野のバランスの取れた事業ポートフォリオの構築を通して、 次の50年も
成⻑をしつづける地域共⽣かつグローバルなニッチ・トップ企業を目指します。
⻑期成⻑ビジョン（目指す姿・ビジネスモデル） 外発的動機
•
• ヤマセグループの⽴地する宮城県北部は、近年⾃動⾞産業の集積
ヤマセグループは、樹脂成形を中⼼とした加⼯技術と、電⼦回路
が進んできており、今後、台湾のPSMCなども⽴地するなど地方経
の高密度実装を得意とする製造業です。将来的には、ヤマセ電気
済を牽引していく地域として、物流環境も改善してきており他地域と
の中核技術である、特許技術レザリッジと⾦属加⼯・樹脂成形技
の取引についてもやりやすい環境となってきています。
術を活用した「プラスチック製高放熱筐体」というガワと、ヤマセエレ
•
そのような中、ヤマセ電気でも、⾃動⾞部品のTie1企業との直接
クトロニクスの主⼒事業である「高密度実装回路基板」というゾウモ
取引を開始し、2019年には大崎市松⼭に松⼭⼯場を建設・竣
ツをユニット化（サブアセンブリ）して提供していことを柱に、製造受
⼯しましたが、5年が経ち、⾃動⾞部品の仕事が増えてきた中、さら
託（OEM）事業から、より高付加価値を得られる提案型製品受
なる⽣産設備増強をお客さまから求められています。
託（ODM）事業へ転換し、今後の成⻑の柱とする方針です。
•
その第⼀歩となるのが、今回、新⼯場で製造する、電気⾃動⾞向
けのコンプレッサ部品となります。この製品は、すでに2028年度製
造開始分まで確定しています。今後、規模としては毎年倍々で増
内発的動機
加する計画となっており、お客さまから早期の⼯場建設が求められ
•
ヤマセグループには、大崎耕⼟といわれる川に挟まれた地形に⽴地
ている状況にあり、
• している⼯場が複数あり、また、⼯場建屋の経年化も進んでおり、
今年の4月に⼯場用地として78,000m2の敷地を宮城県大崎
災害に対するレジリンスや断熱・省エネ性の観点で、移転・⽴替が
市三本⽊に取得しました。
課題となっている。既存の⼯場敷地には拡大余地がなく、成⻑の⾜
枷になっている。
•
売上成⻑目標︓ 2028年売上 約380億円 そこで、水害リスクが低く、高速道路アクセスも良好な、大崎市三本
•
2028年までのグループ全体の売上高成⻑率35％ ⽊に大型の⼯場用地を確保しました。
•
2028年までのグループ全体の売上高増加額98億円</t>
  </si>
  <si>
    <t>【p.2】
ヤマセ電気株式会社
2.補助事業の概要
新規に大崎市三本木に取得した約78,000m の敷地のうち、補助事業では、第一期7,000m の造成エリア
2 2
に事務所・第一工場棟の建物および機械設備を導入。製造開始2025年10月を目標。機械設備は漸次増強。
•
電気⾃動⾞向けのコンプレッサ部品の受注拡大に対応するため、新工場を建設する。
•
課題は、資材費・工事費の抑制と、工事期間の短縮。
補助事業の 事業費 29億円
•
開発期間を短縮するため第一期は敷地面積を7,000m2に抑え、建築ではシステム建築の
背景・目的 （補助額）
（7.2億円）
導入で短工期化をはかる、機械設備は中古品の導入も視野に操業開始の早期化を図る。
•
工場建屋
建坪約2,500m2、延床面積約5,000m2
•
建物付帯のBCP設備
V2Xシステム（蓄電池含む）など
•
建物付帯の再エネ・省エネ設備
太陽光発電、LED照明、⾼効率空調機など
設備投資の
•
インサート成形事業の生産設備の導入
内容
製造ラインの⾃動化
•
⾦型事業の生産設備の導入
⾦型部門の集約化
•
DX導入
生産管理システム、⾃動搬送機など
2025年度 2028年度
項目
（基準年度） （基準年度＋３年後）
成形︓ 858 成形︓991（年平均4.9%up）
労働生産性
⾦型︓1379 ⾦型︓1851（年平均10.3%up）
（単位︓万円/人）
（全体︓ 993） （全体︓1131 4.4％up）
成形︓407 成形︓465（年平均4.5％up)
目標値 従業員1人あたり給与支給総額
⾦型︓478 ⾦型︓546（年平均4.5％up)
（単位︓万円/人）
（全体︓426） （全体︓478 3.9%up）
役員１人あたり給与支給総額
0 0 (年平均 0%up)
（単位︓万円/人）
補助事業に係る従業員数
57 153
（単位︓人）</t>
  </si>
  <si>
    <t>1.長期成長ビジョン 株式会社大昌鉄工所
・セパレーターフィルム等の抽出乾燥機・製造装置では一定のシェアを有するが、海外企業の台頭が脅威となっている
・「幅広」設備の生産体制を構築し、グローバル市場を席巻することで、市場の発展に寄与する</t>
  </si>
  <si>
    <t>長期成長ビジョン（目指す姿・ビジネスモデル）
〈基本方針〉
• セパレーターフィルム製造装置等、特殊装置のリーディングカンパニーとして、取引先ニーズを
満たす高品質な製品を提供し、グローバル市場に貢献する
〈重点戦略〉
• 「幅広」セパレーターフィルム抽出乾燥機・製造装置に対応
現在は4.0m幅が最大に対し、7.0m幅に対応できる「幅広」設備を開発。これにより取引
先における生産性向上およびコスト削減・省エネ化を実現することで、市場への貢献を果たす
• 競争力強化により海外企業対策・シェア拡大
常熟市巨興機械有限公司（中国）をはじめとした海外企業が幅広設備の開発に着手し
ている。顧客を奪われないよう新製品を導入することで競争力を強化し、シェア拡大を目指す
• 環境問題の改善に寄与する企業活動
世界各国で脱炭素が謳われる中、当社製品により製造されるリチウ ムイオン電池等を通じ
て環境問題改善に寄与する。同時に、取引先での製品製造において生産性向上することで、
CO2削減に貢献する
• 新たな教育制度による社員の成長
2023年より新たな経営理念を元に。「Mission, Vision, Value」に基づく5年後、10年
後を未来予想図や未来年表に描き、会社の根底にある想いをビジュアル化、部門目標→個
人目標を明確にし、スキルマップを用いて明確な成長を目指す</t>
  </si>
  <si>
    <t>外発的動機
• 環境配慮による高効率・低コスト・省エネな
ど顧客ニーズの変化
• 技術革新による製品開発サイクルの向上
• グローバル市場に対応したマーケティング
• 経済状況の変動に対応する体制構築</t>
  </si>
  <si>
    <t>内発的動機
• 社会の変化・ニーズに対応する製品の提供
• 取引先ニーズに対応するための成長投資
• 海外競合に後れを取らないための成長投資</t>
  </si>
  <si>
    <t>【p.1／売上成長目標】
売上成長目標
• ■2029年7月期までの会社全体の売上高成長率32.8％（基準年度比）
■2029年7月までに営業利益3,740.9百万円</t>
  </si>
  <si>
    <t>【p.1】
1.長期成長ビジョン 株式会社大昌鉄工所
・セパレーターフィルム等の抽出乾燥機・製造装置では一定のシェアを有するが、海外企業の台頭が脅威となっている
・「幅広」設備の生産体制を構築し、グローバル市場を席巻することで、市場の発展に寄与する
長期成長ビジョン（目指す姿・ビジネスモデル）
〈基本方針〉
• セパレーターフィルム製造装置等、特殊装置のリーディングカンパニーとして、取引先ニーズを
満たす高品質な製品を提供し、グローバル市場に貢献する 外発的動機
• 環境配慮による高効率・低コスト・省エネな
〈重点戦略〉 ど顧客ニーズの変化
• 「幅広」セパレーターフィルム抽出乾燥機・製造装置に対応 • 技術革新による製品開発サイクルの向上 8/20
現在は4.0m幅が最大に対し、7.0m幅に対応できる「幅広」設備を開発。これにより取引 • グローバル市場に対応したマーケティング
先における生産性向上およびコスト削減・省エネ化を実現することで、市場への貢献を果たす • 経済状況の変動に対応する体制構築 りこのままの内容
• 競争力強化により海外企業対策・シェア拡大
で公表されても
常熟市巨興機械有限公司（中国）をはじめとした海外企業が幅広設備の開発に着手し
ている。顧客を奪われないよう新製品を導入することで競争力を強化し、シェア拡大を目指す OK
• 環境問題の改善に寄与する企業活動
いた。
世界各国で脱炭素が謳われる中、当社製品により製造されるリチウ ムイオン電池等を通じ
て環境問題改善に寄与する。同時に、取引先での製品製造において生産性向上することで、 内発的動機
CO2削減に貢献する
• 社会の変化・ニーズに対応する製品の提供
• 新たな教育制度による社員の成長
• 取引先ニーズに対応するための成長投資
2023年より新たな経営理念を元に。「Mission, Vision, Value」に基づく5年後、10年 • 海外競合に後れを取らないための成長投資
後を未来予想図や未来年表に描き、会社の根底にある想いをビジュアル化、部門目標→個
人目標を明確にし、スキルマップを用いて明確な成長を目指す
売上成長目標
• ■2029年7月期までの会社全体の売上高成長率32.8％（基準年度比）
■2029年7月までに営業利益3,740.9百万円</t>
  </si>
  <si>
    <t>【p.2】
.補助事業の概要
2
株式会社大昌鉄工所
補助事業内容と投資内容
補助事業の 取引先ニーズに応える「幅広」設備の生産体制を構築し、リーディングカンパニーとして 事業費 23億円
背景・目的 グローバル市場の発展に寄与する （補助額） （7.5億円）
現状の ①取引先ニーズに応える「幅広」設備を生産するスペースがない
課題点 ②既存製品のシート幅「4.7m」に対し、「幅広」設備の部品は「7.0m」となり、対応できる設備がない
工場(「幅広」対応の第15工場) 天井クレーン（15基） ﾏｼﾆﾝｸﾞｾﾝﾀ(門型・横型) ロール研削盤
投資内容
工場内を5カ所に分け、それぞれの部 搬入・搬出用「橋形」1基 「幅広」設備のサイズおよび加工精度 フィルム等の設備で最も重要な部品が
設備投資 品製造に適したレイアウトで構成。延 それぞれに適した部材昇降用に を実現できる。特にステンレス品の長 「ロール」。協力企業にて研磨及びメッ
による 床面積5293㎡となる 10t×2基,4.8t×4基, 時間加工のため、熱変位を想定した キ加工を依頼していたが、サイズを理由
2.8t×8基を導入 高度な技術が求められる に研磨が困難と相談あり。導入設備に
解決方法
より、協力会社の研磨工程を内製する
（メッキは引き続き依頼）
2025年度 2028年度
項目
（基準年度） （基準年度＋３年後）
労働生産性 3,382.2万円/人
2,272.9万円/人
（単位：万円/人） （年平均上昇率＋14.2％）
目標値 従業員1人あたり給与支給総額 606.0万円/人
526.5万円/人
（単位：万円/人） （年平均上昇率＋4.8％）
役員１人あたり給与支給総額 -
-
（単位：万円/人） （年平均上昇率＋4.8％）
補助事業に係る従業員数
144 153
（単位：人）</t>
  </si>
  <si>
    <t>1.長期成長ビジョン 株式会社ユニシス
医療現場への、医療資材の供給を途絶えさせない安定供給体制の維持と進化こそが我々の使命です。</t>
  </si>
  <si>
    <t>長期成長ビジョン
• 麻酔針を中心とした医療用特殊針の専業メーカーから、使い捨て
医療機器の開発から設計・薬事・生産までを一貫して供給が可
能なBtoB（OEM/ODM供給）メーカーへと発展させる。
• 長年にわたり、主なマーケットを海外市場と定めており、今後も継
続して成長の著しい海外企業（欧米を中心とした西側体制諸国
を念頭に）の発掘と更なる連携強化を図り、常に信頼される品質
の医療機器を世界へ届ける。
• 日本製であることに拘り、日本国内での生産を継続するために、大
規模な自然災害や外的な環境変化によるそれら阻害要因が発
生しても、事業を継続し続けるための生産拠点の分散と、その実
現を確かなこととするためのIoTを駆使した生産性の更なる向上と
デジタル情報の活用を進める。</t>
  </si>
  <si>
    <t>外発的動機
• 新型コロナウイルス後に米中間のデカップリングが顕著である。
• 医療機器の製造は、その多くを中国工場に依存していたことによる
供給不安が起きたことで、世界的に中国依存へのヘッジが重要課
題になっている。
• ロシアによるウクライナ侵攻をはじめとする世界各地の紛争により、医
療機器の国産化とその強化は日本国の課題となっている。
• 売上は新型コロナウイルスの感染拡大の収束による需要の反動と
為替の円安が相まって業績を伸ばす勢いにあり、特に米国の顧客
からの増産要望は非常に旺盛である。</t>
  </si>
  <si>
    <t>内発的動機
• 医療機器メーカーは保守的傾向が強く、かつ薬事規制による制約
があるため専業で小規模のままに消滅・吸収されていく事例が多い。
• 海外市場で戦い発展していくためには、自らの強みを堅持・強化し
つつ、市場が求める生産能力の確保と、ゆるぎのない品質に裏打ち
された製品であることの安定供給の維持が肝要である。
• 新型コロナウイルスのパンデミックは、医療現場が求める医療資材の
供給を途絶えさせたこと、また日本国内での生産能力自体に余力
が乏しいという現実を、医療機器業界が抱える大きな課題として突
きつけた。</t>
  </si>
  <si>
    <t>【p.1／売上成長目標】
売上成長目標
• 2029年7月期までの会社全体の
売上高平均成長率15.5％/年
• 2029年7月期での会社全体の
売上高増加額37億円</t>
  </si>
  <si>
    <t>【p.1】
1.長期成長ビジョン 株式会社ユニシス
医療現場への、医療資材の供給を途絶えさせない安定供給体制の維持と進化こそが我々の使命です。
長期成長ビジョン 外発的動機
• 新型コロナウイルス後に米中間のデカップリングが顕著である。
• 麻酔針を中心とした医療用特殊針の専業メーカーから、使い捨て
• 医療機器の製造は、その多くを中国工場に依存していたことによる
医療機器の開発から設計・薬事・生産までを一貫して供給が可
供給不安が起きたことで、世界的に中国依存へのヘッジが重要課
能なBtoB（OEM/ODM供給）メーカーへと発展させる。
題になっている。
• 長年にわたり、主なマーケットを海外市場と定めており、今後も継
• ロシアによるウクライナ侵攻をはじめとする世界各地の紛争により、医
続して成長の著しい海外企業（欧米を中心とした西側体制諸国
療機器の国産化とその強化は日本国の課題となっている。
を念頭に）の発掘と更なる連携強化を図り、常に信頼される品質
• 売上は新型コロナウイルスの感染拡大の収束による需要の反動と
の医療機器を世界へ届ける。
為替の円安が相まって業績を伸ばす勢いにあり、特に米国の顧客
• 日本製であることに拘り、日本国内での生産を継続するために、大
からの増産要望は非常に旺盛である。
規模な自然災害や外的な環境変化によるそれら阻害要因が発
生しても、事業を継続し続けるための生産拠点の分散と、その実
現を確かなこととするためのIoTを駆使した生産性の更なる向上と
内発的動機
デジタル情報の活用を進める。
• 医療機器メーカーは保守的傾向が強く、かつ薬事規制による制約
があるため専業で小規模のままに消滅・吸収されていく事例が多い。
売上成長目標
• 海外市場で戦い発展していくためには、自らの強みを堅持・強化し
• 2029年7月期までの会社全体の つつ、市場が求める生産能力の確保と、ゆるぎのない品質に裏打ち
売上高平均成長率15.5％/年 された製品であることの安定供給の維持が肝要である。
• 新型コロナウイルスのパンデミックは、医療現場が求める医療資材の
• 2029年7月期での会社全体の 供給を途絶えさせたこと、また日本国内での生産能力自体に余力
売上高増加額37億円 が乏しいという現実を、医療機器業界が抱える大きな課題として突
きつけた。</t>
  </si>
  <si>
    <t>【p.2】
.補助事業の概要
2
株式会社ユニシス
大型の自動組立装置を配備したクリーンルームを擁する新工場を建設することで、
労働生産性を高め、その効果を従業員の賃上げに反映します。
• 事業継続計画（サプライチェーンの分散化・複線化・強靭化と国内生産）と災害リスクの評価観点から福岡県糸島市に工
場用地を新たに取得し、既存工場への新規導入が困難な大型自動組立装置の設置を可能とする規模のクリーンルームを有
する工場を新たに建設します。
• 現在最も人手に頼っている製品組立工程（セル生産方式）を抜本的に見直し、組立工程を自動化した装置を新規に導入
することで、生産効率を上げ、労働生産性の向上につなげます。
• 最終製品化に至るまでの一貫生産（研削～検査～組立～包装～滅菌）を可能とする、高い付加価値を生み出す大規模
な設備投資です。
設備投資の
事業費
内容
（補助額）
億円
16
億円）
5.1
新工場イメージ画 参考：自動組立装置
2026年7月期 2029年7月期
項目
（基準年度） （基準年度＋３年後）
（単
労
位
働
：
生
万
産
円
性
/人）
620万円
（年平均
7
上
8
昇
8万
率
円
＋8.8％）
目標値 従業員
（
1
単
人
位
あ
：
た
万
り給
円
与
/人
支
）
給総額 402万円
（年平均上
48
昇
9
率
万
＋
円
6.72％）
役員１人あたり給与支給総額 ―
―
（単位：万円/人） （年平均上昇率＋3.0％）
補助事業に係る従業員数
210人 285人
（単位：人）</t>
  </si>
  <si>
    <t>株式会社伝食
1.長期成長ビジョン
当社の目指す姿は「食の劇場」 ・・・ “おいしい蟹・海産物を、日本中の食卓へ“
(パーパス・存在意義)
2030年までの長期的な当社の成長目標を「売上高200億円」と定めています（2023年中期計画策定）</t>
  </si>
  <si>
    <t>1.長期成長ビジョン
当社の目指す姿は「食の劇場」 ・・・ “おい
(パーパス・存在意義)
2030年までの長期的な当社の成長目標を「売上高200
長期成長ビジョン（目指す姿・ビジネスモデル）
「食の劇場と拠点改善」</t>
  </si>
  <si>
    <t>外発的動機
• 当社が所在する福井県敦賀市が面する日本海は、最高品質の蟹や新鮮な生鮮魚介
類が豊富にとれる漁場であり、世界的な「魚食」ブームという追い風が吹いている。
• 「物流の2024年問題への対応」と「生産流通拠点の抜本的な機能強化」が求めら
れており、緊急の対応が必要な状態である。
• 「北陸新幹線の敦賀駅延伸」により、首都圏や沿線地域からの観光客やインバウン
ド(訪日外国人旅行者)が急増している。</t>
  </si>
  <si>
    <t>内発的動機
• 令和4年8月、敦賀市第二産業団地Ｂ区画に竣工した「伝食ロジスティクス(水産加
工場・物流倉庫・通販事務所)」が手狭となり、物流機能および生産流通機能の効率
が低下してきている。
• 令和6年2月、将来の敷地拡大への対応として同じく敦賀市第二産業団地Ｃ区画を
取得した(産業用地土地約5,600坪)。</t>
  </si>
  <si>
    <t>【p.1／売上成長目標】
売上成長目標（2023.9月期決算を基準として）
• 2030年までの会社全体の売上高成長率 67.5％
• 2030年までの会社全体の売上高増加額 80.6億円
・売上高 200 億円
・売上総利益 74 億円
・営業利益 11.2億円
・経常利益 11 億円
・売上総利益率 37.0 ％</t>
  </si>
  <si>
    <t>【p.1】
株式会社伝食
1.長期成長ビジョン
当社の目指す姿は「食の劇場」 ・・・ “おいしい蟹・海産物を、日本中の食卓へ“
(パーパス・存在意義)
2030年までの長期的な当社の成長目標を「売上高200億円」と定めています（2023年中期計画策定）
長期成長ビジョン（目指す姿・ビジネスモデル）
「食の劇場と拠点改善」
外発的動機
• 当社が所在する福井県敦賀市が面する日本海は、最高品質の蟹や新鮮な生鮮魚介
類が豊富にとれる漁場であり、世界的な「魚食」ブームという追い風が吹いている。
• 「物流の2024年問題への対応」と「生産流通拠点の抜本的な機能強化」が求めら
れており、緊急の対応が必要な状態である。
売上成長目標（2023.9月期決算を基準として）
• 「北陸新幹線の敦賀駅延伸」により、首都圏や沿線地域からの観光客やインバウン
• 2030年までの会社全体の売上高成長率 67.5％ ド(訪日外国人旅行者)が急増している。
• 2030年までの会社全体の売上高増加額 80.6億円
内発的動機
・売上高 200 億円
• 令和4年8月、敦賀市第二産業団地Ｂ区画に竣工した「伝食ロジスティクス(水産加
・売上総利益 74 億円
工場・物流倉庫・通販事務所)」が手狭となり、物流機能および生産流通機能の効率
・営業利益 11.2億円
が低下してきている。
・経常利益 11 億円
• 令和6年2月、将来の敷地拡大への対応として同じく敦賀市第二産業団地Ｃ区画を
・売上総利益率 37.0 ％
取得した(産業用地土地約5,600坪)。</t>
  </si>
  <si>
    <t>【p.2】
株式会社伝食
.補助事業の概要
2
生産流通拠点設備「建屋」を新設して、生産物流機能の効率化と生産能力を拡大するのが主な目的。
設備投資として、新たな「水産加工場」を増設、自動省力化設備の導入、スマートファクトリーの可視化（複合施設）を新設し
て、労働生産性を年平均上昇率21.3%に伸ばす。
補助事業の • 生産流通拠点設備「建屋」拡大新設による、生産物流機能の抜本的な効率化 事業費 億円
40
背景・目的 （物流倉庫拡充による物流効率化と生産能力の拡大） （補助額） （ 億円）
11.8
• 複合施設の併設により地域誘客との融合、O2Oマーケティングによるネットとリアルの相互
シナジー
産業団地の新区画に「水産加工場」の増設
拠点設備(建屋)新設により、生産物流効率が現在の1.25倍に上がる。
物流のスマートファクトリー化
自動省力化設備の導入により、労働者の負担軽減、出荷効率も5倍になる。
設備投資の
内容
スマートファクトリーの可視化（複合施設の併設）
製造ライン工場見学等を併設。
県内外・インバウンド等の誘客により地域観光集客事業の柱を目指す。
（生産流通拠点のイメージパース/土地5600坪・建物1900坪）
2027年度 2030年度
項目
（基準年度） （基準年度＋３年後）
（単
労
位
働
：
生
万
産
円
性
/人）
652
（年平均上
1,
昇
14
率
1
21.3％）
目標値 従業員1人あたり給与支給総額 485
435
（単位：万円/人） （年平均上昇率 3.67％）
役員１人あたり給与支給総額 －
－
（単位：万円/人） （年平均上昇率3.85％）
補助事業に係る従業員数
166 181
（単位：人）</t>
  </si>
  <si>
    <t>2023年**月**
1 長期成長ビジョン 安田工業株式会社 Discussion Purpose Only / Internal Use On
.
・プロダクトアウトでは事業成長はない。高付加価値を求める顧客ニーズの変化や環境への配慮・エネルギー価格
の高騰など社会課題を最高の契機と認識。揺るぎない経営理念等を通じて “長期成長ビジョン”を掲げる。
PRESENTATION TITLE （28pt）</t>
  </si>
  <si>
    <t>・NEXT領域として「既存事業」と「ソリューション製品」を強化
・独自の技術力を活かした製品を市場に供給し続けることにより、売上高の増加を目指す
Strictly Private &amp; Confidential
2023年**月**日
2 補助事業の概要 Discussion Purpose Only / Internal Use Only
.</t>
  </si>
  <si>
    <t>・プロダクトアウトでは事業成長はない。高付加価値を求める顧客ニーズの変化や環境への配慮・エネルギー価格
の高騰など社会課題を最高の契機と認識。揺るぎない経営理念等を通じて “長期成長ビジョン”を掲げる。
長期成長ビジョン（目指す姿・ビジネスモデル）は次頁
PRESENTATION TITLE （
長期成長ビジョン（目指す姿・ビジネスモデル）
【バックキャ
成長ドライバー
YASDA
研究棟</t>
  </si>
  <si>
    <t>PRESENTATION TITLE （
外発的動機・内発的動機
外発的動機（最高の契機）
外発的動機（最高の契機）
顧客ニーズ
変化
①「モノをベースにしたコト」への要求
・ただ製品を売るだけでなく、どのような高付加価値
を提供し、ひいては顧客の業績に貢献し、長期的
パートナーとなるかが問われている。
社会課題
②環境への配慮（カーボンニュートラル）
・従来求められていた加工の高速化、高精度化、
自動化、省人化などに加え、省電化・省エネル
ギー化への需要が高まっている。
③エネルギー価格および部材価格の高騰
・世界的なインフレや円安によりエネルギー価格が高
騰するとともに、製品に使用する部材価格も大きく
高騰している。
・外発的動機を最高の契機とし成長・発展していくYASDAスピリッ トと共に、念願の研究棟YASDAエクセレンス
ラボ（仮称）から“最高“を世界へ提供する挑戦！を始める。
目指すべき姿
【バックキャスティング】
1.NEXT領域の開拓
成長ドライバー
2.最高を世界へ
YASDA
3.感性豊かな人財の育成
研究棟
外発的動機
現在 新たな価値を創造することで成長・発展していくYASDAスピリッ ト</t>
  </si>
  <si>
    <t>ENTATION TITLE （
機・内発的動機
（最高の契機）
創業者や経
内発的動機（揺るぎないもの）
者の原体験
①経営理念「最大ではなく、最高を目指す」
・真の価値をモノからコトへ追求した最高の製品・
サービスを世界の顧客に提供し続けることによって、
成長し発展することを目指したい！
経営者の
動機
②2025年を見据えた中期経営計画
世界のものづくりを
YASDAの“こだわり”で革新
【2025年ビジョン】
・顧客にとって「真の価値」とは何かを常に考え、最
適なソリューションを提供したい！
・世界の顧客の成功に貢献したい！
・強い企業を目指し、新たな事業領域（NEXT領
域）にしたい！</t>
  </si>
  <si>
    <t>PRESENTATION TITLE （
売上成長目標(5年・10年後)
新たな事業領域（NEXT領域）の開拓
・既存事業の製品性能を特に精度面で進化させる技術革
・モノ（工作機械）とコトの組み合わせによるソリューション
新規
【工作機械】 【マシニングセンタ】
事業
既存
ソリューション製品</t>
  </si>
  <si>
    <t>【p.3／上段要旨】
・NEXT領域として「既存事業」と「ソリューション製品」を強化
・独自の技術力を活かした製品を市場に供給し続けることにより、売上高の増加を目指す
【p.3／売上成長目標】
PRESENTATION TITLE （
売上成長目標(5年・10年後)
新たな事業領域（NEXT領域）の開拓
・既存事業の製品性能を特に精度面で進化させる技術革
・モノ（工作機械）とコトの組み合わせによるソリューション
新規
【工作機械】 【マシニングセンタ】
事業
既存
ソリューション製品
【p.3／新たな事業領域（NEXT領域）の開拓】
新たな事業領域（NEXT領域）の開拓
・既存事業の製品性能を特に精度面で進化させる技術革新
・モノ（工作機械）とコトの組み合わせによるソリューション製品の開発
新規
【工作機械】 【マシニングセンタ】
事業
既存事業
ソリューション製品
精
度
NEXT
領域
産業
歯車
事業
研削盤
市場の大きさ
【p.3／【工作機械】 【マシニングセンタ】】
【工作機械】 【マシニングセンタ】
既存事業
ソリューション製品
精
度
EXT
領域
歯車
研削盤
市場の大きさ
【p.3／【マシニングセンタ】】
【マシニングセンタ】
既存事業
ン製品
精
度
市場の大きさ
【p.4／上段要旨】
Strictly Private &amp; Confidential
2023年**月**日
2 補助事業の概要 Discussion Purpose Only / Internal Use Only
.
【p.4／設備投資の内容】
設備投資の内容
PRESENTATION TITLE （
当社念願の専用研究棟「YASDAエクセレンスラボ」（仮称）の新
❙
外観イメージ
（当社資料）</t>
  </si>
  <si>
    <t>【p.1】
Strictly Private &amp; Confidential
2023年**月**日
1 長期成長ビジョン 安田工業株式会社 Discussion Purpose Only / Internal Use Only
.
・プロダクトアウトでは事業成長はない。高付加価値を求める顧客ニーズの変化や環境への配慮・エネルギー価格
の高騰など社会課題を最高の契機と認識。揺るぎない経営理念等を通じて “長期成長ビジョン”を掲げる。
PRESENTATION TITLE （28pt）
外発的動機・内発的動機
創業者や経営
外発的動機（最高の契機） 内発的動機（揺るぎないもの）
顧客ニーズの 者の原体験
変化
①「モノをベースにしたコト」への要求 ①経営理念「最大ではなく、最高を目指す」
・ただ製品を売るだけでなく、どのような高付加価値 ・真の価値をモノからコトへ追求した最高の製品・
を提供し、ひいては顧客の業績に貢献し、長期的 サービスを世界の顧客に提供し続けることによって、
パートナーとなるかが問われている。 成長し発展することを目指したい！
経営者の
社会課題
動機
②環境への配慮（カーボンニュートラル） ②2025年を見据えた中期経営計画
世界のものづくりを
・従来求められていた加工の高速化、高精度化、 YASDAの“こだわり”で革新
自動化、省人化などに加え、省電化・省エネル
【2025年ビジョン】
ギー化への需要が高まっている。
・顧客にとって「真の価値」とは何かを常に考え、最
③エネルギー価格および部材価格の高騰
適なソリューションを提供したい！
・世界の顧客の成功に貢献したい！
・世界的なインフレや円安によりエネルギー価格が高
・強い企業を目指し、新たな事業領域（NEXT領
騰するとともに、製品に使用する部材価格も大きく
域）にしたい！
高騰している。
長期成長ビジョン（目指す姿・ビジネスモデル）は次頁
【p.2】
Strictly Private &amp; Confidential
2023年**月**日
1 長期成長ビジョン 安田工業株式会社 Discussion Purpose Only / Internal Use Only
.
・外発的動機を最高の契機とし成長・発展していくYASDAスピリッ トと共に、念願の研究棟YASDAエクセレンス
ラボ（仮称）から“最高“を世界へ提供する挑戦！を始める。
PRESENTATION TITLE （28pt）
長期成長ビジョン（目指す姿・ビジネスモデル）
【バックキャスティング】 目指すべき姿
1.NEXT領域の開拓
成長ドライバー
2.最高を世界へ
YASDA
3.感性豊かな人財の育成
研究棟
外発的動機
現在 新たな価値を創造することで成長・発展していくYASDAスピリッ ト
NEXT領域
1 ２ 最高を世界へ ３ 感性豊かな人財の育成
（新事業領域）の開拓
・マシニングセンタのさらなる高精度化 ・YASDAスピリットをベースとした、コ ・YASDAブランドの源泉である「エン
に絶えず挑戦し、従来のものづくりプロ アコンピタンスである「設計・製造・ ジニアリングの感性」を研ぎ澄ませ、
セスを革新する。 営業・サービスのチェーン」の繋がり 独創的な製品を創造し続ける。
・「モノ（工作機械）とコトとの組み合 をより強固にすることで、世界中の ・高い専門性と倫理観を備えた人
わせ」となるソリューションや、自社の強 顧客の期待に応える高付加価値 財を継続的に育成し、社内外での
みを活かした新規事業の創出に注力 製品を、合理的に製造し市場に供 共創によりシナジーを生み出す。
する。 給する。
（当社資料）
【p.3】
Strictly Private &amp; Confidential
2023年**月**日
1 長期成長ビジョン 安田工業株式会社 Discussion Purpose Only / Internal Use Only
.
・NEXT領域として「既存事業」と「ソリューション製品」を強化
・独自の技術力を活かした製品を市場に供給し続けることにより、売上高の増加を目指す
PRESENTATION TITLE （28pt）
売上成長目標(5年・10年後)
（億円）
新たな事業領域（NEXT領域）の開拓
売上高成長率（CAGR）
・既存事業の製品性能を特に精度面で進化させる技術革新 8.0％
・モノ（工作機械）とコトの組み合わせによるソリューション製品の開発
4.7％
243
193
168
新規
【工作機械】 【マシニングセンタ】 23/3 27/3 30/3
事業
既存事業 （直近決算） （基準年度）（事業報告完了年度）
ソリューション製品
精
（億円）
度
売上高増加額（億円）
NEXT
領域 ＋50
＋25
243
産業 歯車 193
事業 研削盤
市場の大きさ 168
23/3 27/3 30/3
（直近決算） （基準年度）（事業報告完了年度）</t>
  </si>
  <si>
    <t>【p.4】
Strictly Private &amp; Confidential
2023年**月**日
2 補助事業の概要 安田工業株式会社 Discussion Purpose Only / Internal Use Only
.
❙建築予定場所
事業費（補助額）
岡山県浅口郡里庄町大字新庄字太治郎開地5272番1ほか3筆
円（6 円）
20億 .2億
約500メートル
設備投資の内容 当社本社 研究棟（本事業）
PRESENTATION TITLE （28pt）
当社念願の専用研究棟「YASDAエクセレンスラボ」（仮称）の新設
❙外観イメージ
（当社資料）
（グーグルマップ）
❙概要
用途：研究所
規模：地上2階建 RC造一部S造
面積：2,300㎡
目標
項目 2026年度（基準年度） 2029年度（基準年度＋３年後）
労働生産性（単位：万円/人） 973 1,200（年平均上昇率＋7.22％）
従業員1人あたり給与支給総額（単位：万円/人） 560 615（年平均上昇率＋3.19％）
役員１人あたり給与支給総額（単位：万円/人） － － （年平均上昇率＋3.00％）
補助事業に係る従業員数（単位：人） 420 429
当社は物価上昇等社会情勢への対応以外に、従業員のエンゲージメント向上を目的に全役職員を対象に賃上げを行います。</t>
  </si>
  <si>
    <t>.長期成長ビジョン 千寿製薬株式会社
1
医薬品を中心とした既存事業と、ペイシェントジャーニー上を医薬品以外に進出した新規事業の組合せで、
社会に提供する価値と、会社の収益両面のターニングポイント創提を目指す
※創提（そうてい）《造語》創り出し、提案、提供すること。</t>
  </si>
  <si>
    <t>外発的動機
• 先進国眼科市場の成熟、薬剤費抑制など、医薬品
市場へのマイナス要因の一方、健康志向の高まり・ニー
ズの多様化やデジタル技術の進歩をプラス要因と捉え、
ペイシェントジャーニーを考えると、下記の両面を認識し
ている。
「ヘルスケア」の中での薬（だけ）の価値が
相対的に低下する
↑↓
価値を提供するオプションが広がっている</t>
  </si>
  <si>
    <t>内発的動機
• 会社の動きと関係なく、世の中も変化・進化し続けてい
る。自分たちに変化が無ければ実質的には後退であり、
世の中の変化と同じスピードでの変化でも停滞であると
考えている。
• まずは2025年度まで、（失敗を含めて）変化に挑戦
することが当たり前になり、文化となれば、2030年度に
向けて世の中の変化以上に変化・進化できるようにな
り、ターニングポイントを創提できると考えている</t>
  </si>
  <si>
    <t>【p.1／売上成長目標】
売上成長目標
2025年度 連結売上高 500億円
単体売上高 432億円相当
国内医療事業売上高 329億円相当</t>
  </si>
  <si>
    <t>【p.1】
.長期成長ビジョン 千寿製薬株式会社
1
医薬品を中心とした既存事業と、ペイシェントジャーニー上を医薬品以外に進出した新規事業の組合せで、
社会に提供する価値と、会社の収益両面のターニングポイント創提を目指す
※創提（そうてい）《造語》創り出し、提案、提供すること。
外発的動機
• 先進国眼科市場の成熟、薬剤費抑制など、医薬品
市場へのマイナス要因の一方、健康志向の高まり・ニー
ズの多様化やデジタル技術の進歩をプラス要因と捉え、
ペイシェントジャーニーを考えると、下記の両面を認識し
ている。
「ヘルスケア」の中での薬（だけ）の価値が
相対的に低下する
↑↓
価値を提供するオプションが広がっている
内発的動機
• 会社の動きと関係なく、世の中も変化・進化し続けてい
る。自分たちに変化が無ければ実質的には後退であり、
世の中の変化と同じスピードでの変化でも停滞であると
考えている。
• まずは2025年度まで、（失敗を含めて）変化に挑戦
売上成長目標 することが当たり前になり、文化となれば、2030年度に
2025年度 連結売上高 500億円 向けて世の中の変化以上に変化・進化できるようにな
単体売上高 432億円相当 り、ターニングポイントを創提できると考えている
国内医療事業売上高 329億円相当</t>
  </si>
  <si>
    <t>【p.2】
2 .補助事業の概要 千寿製薬株式会社
現有の唐津工場に、点眼薬3,500万本/年の供給能力の生産ラインを増設する
これにより、（新薬を含む）製品の安定供給を行う
補助事業の • 現在計画している新薬の販売予想本数を考慮すると、現有の生産ラインでは供給能力が不足 事業費 10 億円
3
背景・目的 する。一方で、安定供給、売上の維持・拡大には供給能力の拡大が必須である。 （補助額） （3 億円）
2
• 現有の唐津工場（2ライン）に生産ラインを増設する（増築含む）
• 現在の唐津工場の生産能力は7,000万本/年だが、計画している新
製品を含めた需要は、2027年度時点で生産能力を上回る7,500万
本/年と想定しており、2031年度には1億本を超えると想定している。
• 増設により、3,500万本の生産能力が追加されることになり、新製品の
生産と既存製品の安定供給を同時に達成できる。
設備投資の
• 現有のうちの1ラインと同じ製品を生産できることになり、有事対応やメン
内容
テナンス等のメリットも想定される。
• 生産ラインの余裕により、さらなる新薬開発の加速も図る。
• 投資の主な内訳：
• 建物費 43.2億円
• 機械装置費 54.0億円
• ソフトウェア費 5.9億円
2026年度 2029年度
項目
（基準年度） （基準年度＋３年後）
労働生産性 682
（単位：万円/人） 538 （年平均上昇率＋8.25％）
目標値 従業員
（
1
単
人
位
あ
：
た
万
り給
円
与
/人
支
）
給総額 534
（年平均上昇
67
率
1
＋7.89％）
役員１人あたり給与支給総額
- -
（単位：万円/人）
補助事業に係る従業員数
109 117
（単位：人）</t>
  </si>
  <si>
    <t>1.長期成長ビジョン
環境のミカタ株式会社
長期成長ビジョン
将来のありたい姿・ビジネスモデル・売上成長目標</t>
  </si>
  <si>
    <t>後の長期成長ビジョンは以下と認識している
を常に目指している（いわゆるCSV経営の実践）
長期成長ビジョン（目指す姿・ビジネスモデル）
＜目指す姿＞
• 価値創造が連鎖し循環が未来へ継承される社会を実現する。
• 混合廃棄物の選別精度向上により高度なリサイクル処理を行い、
埋め立て廃棄物の大幅な削減および環境負荷を低減する。
• 新たな廃棄物固形燃料を製造・販売・浸透させることで、廃棄物
固形燃料製造のリーディングカンパニーとなる
＜ビジネスモデル＞
• 高度機械選別施設を新設し高度化された施設で安定した処理を
行うことで、混合廃棄物のリサイクル率を70%から90%以上に向
上させ、大量の廃棄物のリサイクル化を可能とする
• 大型破砕機を設置し、今まで対応できなかった形状の廃棄物を受
け入れることで処理単価を向上する
• 施設を最新化させ、作業員の労働環境を改善し3Kのイメージを
払拭することで人員確保に繋げる
＜成長戦略＞
• 設備投資によりRPF以上の性能を持つ廃棄物固形燃料製造を
開始することで、資源再生企業であることを対外的に発信。
• 上場企業であることの信頼性を背景としたうえで、投資による労働
環境の改善、賃上げにより優良人材採用強化し、人的資本経営
を進める
• DX化による組織的能力を向上</t>
  </si>
  <si>
    <t>外発的動機
• 廃棄物・資源リサイクル事業に対する社会的要請事項
◆環境保護と持続可能性
環境への負荷を減らし持続可能な資源利用の促進
◆地域社会への貢献
雇用の創出や地域社会の活性化
◆労働条件や健康リスクへの対応
粉塵や廃棄物に含まれる有害物質への対応
• 廃棄物固形燃料への注目</t>
  </si>
  <si>
    <t>機・内発的動機があ
り、事業を通じた社
内発的動機
• 循環経済推進への貢献
◆リサイクル率を更に高め持続可能な資源利用を促進する
• 選別、破砕作業の処理能力が限界にきている
◆混合廃棄物の選別作業が土間選別※のため、作業量が
個々の作業員のスキルによりばらつきがある
◆人による選別のため選別の精度が低い
◆破砕施設の処理能力が小さく、新規の受け入れができない
※土間選別：土間等に混合物を広げて人の手で選別する作業方法
• 労働環境の改善が必要
◆作業環境が悪く人員確保が困難な状況にある</t>
  </si>
  <si>
    <t>ル・売上成長目標
売上成長目標（直近決算比）
• 2029年までの会社全体の売上高成長率17.6％（年平均）
• 2029年までの会社全体の売上高増加額27.5億円</t>
  </si>
  <si>
    <t>【p.1／売上成長目標】
ル・売上成長目標
【p.1／売上成長目標】
売上成長目標（直近決算比）
• 2029年までの会社全体の売上高成長率17.6％（年平均）
• 2029年までの会社全体の売上高増加額27.5億円
【p.2／補助事業の背景・目的】
•
補助事業の
•
背景・目的
•
【投資概要】
合計：27億
【内容】
★新設工場
★選別ライン
【p.2／設備投資の内容】
的、設備投資の内容、目標
作業を機械選別に変え、人的負荷を軽減
イクルを行うことで、環境への貢献とともに処
し、従業員の人材確保を図る
内訳：建物 10億 機械 17億（全て
（焼津市）に新工場（大型リサイクル施設
記ラインを設置して高度なリサイクルを実現</t>
  </si>
  <si>
    <t>【p.1】
1.長期成長ビジョン
環境のミカタ株式会社
長期成長ビジョン
将来のありたい姿・ビジネスモデル・売上成長目標
• 前ページの設備面の課題を含めて、下記の外発的動機・内発的動機があり、弊社の今後の長期成長ビジョンは以下と認識している
• 弊社の目指す姿は、社名や企業理念に基づくものであり、事業を通じた社会課題の解決を常に目指している（いわゆるCSV経営の実践）
長期成長ビジョン（目指す姿・ビジネスモデル）
＜目指す姿＞
外発的動機
• 価値創造が連鎖し循環が未来へ継承される社会を実現する。
• 混合廃棄物の選別精度向上により高度なリサイクル処理を行い、 • 廃棄物・資源リサイクル事業に対する社会的要請事項
埋め立て廃棄物の大幅な削減および環境負荷を低減する。 ◆環境保護と持続可能性
• 新たな廃棄物固形燃料を製造・販売・浸透させることで、廃棄物 環境への負荷を減らし持続可能な資源利用の促進
固形燃料製造のリーディングカンパニーとなる ◆地域社会への貢献
雇用の創出や地域社会の活性化
＜ビジネスモデル＞
◆労働条件や健康リスクへの対応
• 高度機械選別施設を新設し高度化された施設で安定した処理を 粉塵や廃棄物に含まれる有害物質への対応
行うことで、混合廃棄物のリサイクル率を70%から90%以上に向
• 廃棄物固形燃料への注目
上させ、大量の廃棄物のリサイクル化を可能とする
• 大型破砕機を設置し、今まで対応できなかった形状の廃棄物を受
け入れることで処理単価を向上する
内発的動機
• 施設を最新化させ、作業員の労働環境を改善し3Kのイメージを
払拭することで人員確保に繋げる • 循環経済推進への貢献
◆リサイクル率を更に高め持続可能な資源利用を促進する
＜成長戦略＞
• 選別、破砕作業の処理能力が限界にきている
• 設備投資によりRPF以上の性能を持つ廃棄物固形燃料製造を
◆混合廃棄物の選別作業が土間選別※のため、作業量が
開始することで、資源再生企業であることを対外的に発信。
個々の作業員のスキルによりばらつきがある
• 上場企業であることの信頼性を背景としたうえで、投資による労働
◆人による選別のため選別の精度が低い
環境の改善、賃上げにより優良人材採用強化し、人的資本経営
◆破砕施設の処理能力が小さく、新規の受け入れができない
を進める
※土間選別：土間等に混合物を広げて人の手で選別する作業方法
• DX化による組織的能力を向上
• 労働環境の改善が必要
売上成長目標（直近決算比） ◆作業環境が悪く人員確保が困難な状況にある
• 2029年までの会社全体の売上高成長率17.6％（年平均）
• 2029年までの会社全体の売上高増加額27.5億円</t>
  </si>
  <si>
    <t>【p.2】
.補助事業の概要
2
環境のミカタ株式会社
補助事業について
補助事業の背景・目的、設備投資の内容、目標
• 人が中心の選別作業を機械選別に変え、人的負荷を軽減するとともに処理能力を大幅に拡大する
補助事業の 事業費 2 億円
8
• 新たなケミカルリサイクルを行うことで、環境への貢献とともに処理単価を高め収益力を向上させる
背景・目的 （補助額） （9 億円）
.0
• 作業環境を改善し、従業員の人材確保を図る
【投資概要】
合計：27億 内訳：建物 10億 機械 17億（全て税抜） 加炭材
【内容】
★新設工場
◆自社所有地（焼津市）に新工場（大型リサイクル施設）を新設
◆工場内には下記ラインを設置して高度なリサイクルを実現
★選別ライン
設備投資の ◆高度に自動化された破砕選別プラントにより、従来埋め立て処分されていた廃棄物を
内容 半分に削減
◆高度自動選別機により、有効活用可能な資源を取り出しの精度を高めたうえで
効率化し、再資源化のための原料を最大化
◆処理能力が従来対最大17倍（24時間稼働）と大幅に拡大
★資源化ライン（廃棄物固形燃料の製造）
◆再資源化原料を加工することで廃棄物固形燃料（加炭材、フォーミング抑制剤）を製造
◆従来のRPF固形燃料と比べ、使用可能な廃棄物の種類が多いため、より広範囲で受入可能
◆リサイクル率が70％から90％へと高まるため、埋立（最終処分）費用が低減
2026年度 2029年度
項目
（基準年度） （基準年度＋３年後）
労働生産性 3,567万円/人
1,935万円/人
（単位：万円/人） （年平均上昇率＋22.6％）
目標値 従業員1人あたり給与支給総額 415万円
374万円/人
（単位：万円/人） （年平均上昇率＋3.53％）
役員１人あたり給与支給総額 0
0
（単位：万円/人） （年平均上昇率＋0％）
補助事業に係る従業員数
15人 33人
（単位：人）</t>
  </si>
  <si>
    <t>1.長期成長ビジョン スーパー工業株式会社
新工場設立によって生産性を大幅に向上させ、人手不足・環境負荷低減という社会的な課題の解決に
貢献することで、当社の売上と利益の飛躍的な拡大を目指す。</t>
  </si>
  <si>
    <t>長期成長ビジョン（目指す姿・ビジネスモデル）
〈基本方針〉
生産量拡大と製品開発サイクルの短縮化を実
現させ、土木建設業界に加えて食品業界やイン
フラ補修など新市場向け製品を順次リリースする。
社会の人手不足・環境負荷低減という課題解
決に貢献することで、業務用全市場でのシェア
No.1を目指す。
〈重点戦略〉
①生産量の拡大
②試験工程の改善
③新業界への進出・新技術への対応</t>
  </si>
  <si>
    <t>外発的動機
①生産年齢人口減少による人手不足
②老朽化したインフラへの
メンテナンス需要の急増
③空中・水中ドローンなど新技術の普及
④環境負荷の低減
（環境にやさしい洗浄）</t>
  </si>
  <si>
    <t>内発的動機
①水を通じた社会貢献による
自社の持続的成長
②建機以外でも業務用シェアNo.1を
目指す
③地域社会への貢献
（賃上げ・新規雇用・地元企業への発注)</t>
  </si>
  <si>
    <t>【p.1／売上成長目標】
売上成長目標 2029年度
売上高 2022年度比 43.6％増
営業利益 2022年度比 約3倍</t>
  </si>
  <si>
    <t>【p.1】
1.長期成長ビジョン スーパー工業株式会社
新工場設立によって生産性を大幅に向上させ、人手不足・環境負荷低減という社会的な課題の解決に
貢献することで、当社の売上と利益の飛躍的な拡大を目指す。
長期成長ビジョン（目指す姿・ビジネスモデル）
〈基本方針〉 外発的動機
生産量拡大と製品開発サイクルの短縮化を実 ①生産年齢人口減少による人手不足
②老朽化したインフラへの
現させ、土木建設業界に加えて食品業界やイン
メンテナンス需要の急増
フラ補修など新市場向け製品を順次リリースする。
③空中・水中ドローンなど新技術の普及
社会の人手不足・環境負荷低減という課題解
④環境負荷の低減
決に貢献することで、業務用全市場でのシェア （環境にやさしい洗浄）
No.1を目指す。
〈重点戦略〉 内発的動機
①生産量の拡大 ①水を通じた社会貢献による
②試験工程の改善 自社の持続的成長
②建機以外でも業務用シェアNo.1を
③新業界への進出・新技術への対応
目指す
③地域社会への貢献
売上成長目標 2029年度
（賃上げ・新規雇用・地元企業への発注)
売上高 2022年度比 43.6％増
営業利益 2022年度比 約3倍</t>
  </si>
  <si>
    <t>【p.2】
.補助事業の概要 スーパー工業株式会社
2
新工場を箕面市森町に設置する。生産ライン増加や試験室増設などを行うことで生産量増加と
新製品開発サイクルの短縮化を実現させ、当社の競争優位性を更に強化。従業員と地域への還元も行ってゆく。
①既存製品、新製品の生産量拡大、目的
補助事業の 事業費 19 億円
②新製品開発に必須の試験工程の効率化
背景・目的 （補助額） （ 億円）
6.2
③就業環境の改善による人材確保
設備投資の
内容
17億33百万円
2027年度 2030年度
項目
（基準年度） （基準年度＋３年後）
労働生産性 1,712.5万円
1,177万円
（単位：万円/人） （年平均上昇率＋13.3％）
目標値 従業員1人あたり給与支給総額 715万円
618万円
（単位：万円/人） （年平均上昇率＋5.0％）
役員１人あたり給与支給総額 -
-
（単位：万円/人） （年平均上昇率＋5.0％）
補助事業に係る従業員数
117人 127人
（単位：人）</t>
  </si>
  <si>
    <t>サムテック株式会社
1.⾧期成⾧ビジョン
当社は100年に一度の変革期にある自動車産業において「走る・曲がる・止まる」の重要部品を担う部品メーカー。
挑戦的な新規事業参入、事業構造転換を通じ、中⾧期的な産業・地域発展と自社の持続的成⾧の両立を目指す。</t>
  </si>
  <si>
    <t>⾧期成⾧ビジョン（目指す姿・ビジネスモデル）
• 当社「2035年⾧期ビジョン」（2021年10月22日作成）
「いきいきした社員 ものづくり改革に挑み続ける グローバル企業」
①付加価値拡大戦略（攻め）
• 顧客との信頼構築を通じた高付加価値部品の提案・受注獲得と、
業界変化に対応する高品質・リーズナブルな量産体制の構築
• 工程拡大による安定的供給力とコスト競争力の獲得
～金型生産、旋削、熱処理、設備保全等の内製化
～海外工場へのノウハウ移転を通じ、グローバルベースで競争力
ある供給体制を構築
②持続的事業安定戦略（守り）
• 業界変動に左右されにくい部品の競争力強化と投資原資の確保
～自動車電動化状況にかかわらず使用され続ける部品へのシフト
• 自動車の安全性向上、カーボンニュートラルなどの課題にも着実に
対応し、社会に貢献
③人財戦略（命綱）
• 業界内でも社員の賃金・働きやすさ、そして働きがいを高い水準と
するための人的資本投資
• 高品質技術の再現性担保に向けた自動化・省人化投資の推進
• 本補助事業による成⾧投資を通じ、上記3つの戦略を実現する。</t>
  </si>
  <si>
    <t>外発的動機
【自動車トレンドの変革】
• 自動車の電動化の進展
～当社は電動化影響を受けにくい足回り部品が約5割あるものの、
内燃機関関連や変速機部品は、今後、受注減少の見通し
• 自動運転技術の実用化・普及
～世界レベルで自動車の安全性向上が社会課題に。
• カーボンニュートラル対応
～生産時の鋼材・電気使用量の削減要請が強まる。
【業界構造の変革】
• グローバルベースで自動車メーカーや同部品メーカー間での競争が激化
～中・韓企業が低価格を武器に日系メーカー取引に参入する動きもあり。
• 人口減の国内では労働力確保が困難。海外展開が成⾧には不可欠
• 市場低迷や後継者難から、同業社の撤退やサプライヤーの廃業も散見</t>
  </si>
  <si>
    <t>内発的動機
【付加価値創出の源泉】
• 数々の当社独自の新技術が顧客の信頼を獲得、事業発展に大きく貢献
～世界唯一の熱間閉塞鍛造の設備・工法開発と量産体制確立など
• 技術力を有するスタッフの存在（但し、持続性には課題）
【持続的成⾧への課題】
• 熟練者の技能に頼った生産体制
～生産効率や品質は熟練者の経験と勘に左右される面も多い。
• 必ずしも働きやすくない職場環境
～歴代経営陣は、熱間鍛造ライン等のいわゆる「3K職場」の改善に腐心
～全量目視での外観検査や紙ベースの管理資料など現場負担は大
• 人材獲得競争への危機感（但し、社内環境整備による伸びしろあり）</t>
  </si>
  <si>
    <t>【p.1／売上成長目標】
売上成⾧目標（2023年11月期対比）
• 2029年までの会社全体の売上高成⾧率32％
• 2029年までの会社全体の売上高増加額75億円</t>
  </si>
  <si>
    <t>【p.1】
サムテック株式会社
1.⾧期成⾧ビジョン
当社は100年に一度の変革期にある自動車産業において「走る・曲がる・止まる」の重要部品を担う部品メーカー。
挑戦的な新規事業参入、事業構造転換を通じ、中⾧期的な産業・地域発展と自社の持続的成⾧の両立を目指す。
⾧期成⾧ビジョン（目指す姿・ビジネスモデル） 外発的動機
• 当社「2035年⾧期ビジョン」（2021年10月22日作成） 【自動車トレンドの変革】
「いきいきした社員 ものづくり改革に挑み続ける グローバル企業」 • 自動車の電動化の進展
～当社は電動化影響を受けにくい足回り部品が約5割あるものの、
内燃機関関連や変速機部品は、今後、受注減少の見通し
①付加価値拡大戦略（攻め）
• 自動運転技術の実用化・普及
• 顧客との信頼構築を通じた高付加価値部品の提案・受注獲得と、
～世界レベルで自動車の安全性向上が社会課題に。
業界変化に対応する高品質・リーズナブルな量産体制の構築
• カーボンニュートラル対応
• 工程拡大による安定的供給力とコスト競争力の獲得
～生産時の鋼材・電気使用量の削減要請が強まる。
～金型生産、旋削、熱処理、設備保全等の内製化
～海外工場へのノウハウ移転を通じ、グローバルベースで競争力 【業界構造の変革】
ある供給体制を構築 • グローバルベースで自動車メーカーや同部品メーカー間での競争が激化
～中・韓企業が低価格を武器に日系メーカー取引に参入する動きもあり。
②持続的事業安定戦略（守り）
• 人口減の国内では労働力確保が困難。海外展開が成⾧には不可欠
• 業界変動に左右されにくい部品の競争力強化と投資原資の確保 • 市場低迷や後継者難から、同業社の撤退やサプライヤーの廃業も散見
～自動車電動化状況にかかわらず使用され続ける部品へのシフト
• 自動車の安全性向上、カーボンニュートラルなどの課題にも着実に
内発的動機
対応し、社会に貢献
【付加価値創出の源泉】
③人財戦略（命綱）
• 数々の当社独自の新技術が顧客の信頼を獲得、事業発展に大きく貢献
• 業界内でも社員の賃金・働きやすさ、そして働きがいを高い水準と
～世界唯一の熱間閉塞鍛造の設備・工法開発と量産体制確立など
するための人的資本投資
• 技術力を有するスタッフの存在（但し、持続性には課題）
• 高品質技術の再現性担保に向けた自動化・省人化投資の推進
【持続的成⾧への課題】
• 熟練者の技能に頼った生産体制
• 本補助事業による成⾧投資を通じ、上記3つの戦略を実現する。 ～生産効率や品質は熟練者の経験と勘に左右される面も多い。
• 必ずしも働きやすくない職場環境
売上成⾧目標（2023年11月期対比）
～歴代経営陣は、熱間鍛造ライン等のいわゆる「3K職場」の改善に腐心
• 2029年までの会社全体の売上高成⾧率32％
～全量目視での外観検査や紙ベースの管理資料など現場負担は大
• 2029年までの会社全体の売上高増加額75億円
• 人材獲得競争への危機感（但し、社内環境整備による伸びしろあり）</t>
  </si>
  <si>
    <t>【p.2】
サムテック株式会社
(cid:21).補助事業の概要
当社は自動車の電動化等の業界変化をチャンスと捉え、自らの強みを活かしつつ地域と自社の⾧期繁栄に繋がる
新事業に挑戦。当補助事業は主要顧客にて受注済の具体的な案件を顧客の技術支援等を得ながら取組む事業
• 中国で進展する自動車の電動化により、既存事業の一部で受注減少が顕在化しており、「電動化の
進展状況に左右されない事業構造へのシフト」が当社の中・⾧期的な経営課題となっていた。
補助事業の • 今般、主要顧客2社より上記課題解決に相応しい製品の受注要請あり。ブレーキ部品事業とハブ旋 事業費 77億円
背景・目的 削事業の2つを実施すべく、本補助事業にて新工場建設と新規製造設備を導入し、①新製品製造、 （補助額） （22億円）
②自社工程拡大による付加価値の取込みを通じて、収益力並びに労働生産性の向上を図る。
• 同時に、従業員への継続的な賃上げや、大規模投資の波及効果により地域の繁栄にも貢献していく。
羽曳野第９工場「ドリームファクトリー」新設事業～ブレーキ部品事業、ハブ旋削事業
（主な設備投資）
【建物費】 • 当社主力工場隣接の自社用地における付帯工事（土地造成） 羽曳野第９工場
• 同造成地における生産施設としての総２階建て新工場（建物） 建設予定地 第7工場
【機械装置費】 • 上記建物内に設置予定の一部自動化対応の
ブレーキ部品専用設備、ハブ旋削専用設備（機械装置）
設備投資の
（設備投資が課題を解決し得ること）
内容
• 両事業とも、中・⾧期的に安定的な受注量が見込まれる主要顧客からの受注要請
• ブレーキ部品は顧客が今後の成⾧市場として注力する製品。先行サプライヤーに選定されたチャンスを活かし、競争優位を確保
• ハブ旋削は当社初の熱処理工程を備えるライン。内製化での原価低減効果や物流・検査コストの削減等で付加価値向上を図る。
（労働生産性向上につながる点）
• 既存工場ではスペース余力がなく実現できなかった同一事業が並列する専用工場にて、生産・人員効率両面で優れる。
• 検査工程への自動化設備導入などで労働生産性が向上。増加した付加価値を原資に従業員へ賃上げを実施し、
もう一つの経営課題である「今後の人手不足への対処、働きやすい職場環境の整備」を図るもの
項目 2026年度（基準年度） 2029年度（基準年度＋３年後）
労働生産性（単位:万円/人） 722 2788 (年平均上昇率 +56.9%)
目標値
従業員1人あたり給与支給総額（単位:万円/人） 623 691 (年平均上昇率 ＋3.5%)
役員１人あたり給与支給総額（単位:万円/人） - - (年平均上昇率 ＋3.25%)
補助事業に係る従業員数（単位:人） 24 46</t>
  </si>
  <si>
    <t>1.長期成長ビジョン 寧薬化学工業株式会社
当社は、高齢化社会と医療用医薬品市場の需要拡大を背景に、一般用医薬品で培った技術力を活かし、 *1ジェネリック医
薬品を主とした医療用医薬品受託製造事業への進出及び*2スイッチOTC医薬品製造事業の拡大による成長により、2029年
度を目途に全社で40億円の売上を目指す。</t>
  </si>
  <si>
    <t>長期成長ビジョン（目指す姿・ビジネスモデル）
当社の長期成長ビジョンは下記の4つの観点で考えている。
1. 事業の拡大と成長
• 高齢化社会における安定的な医薬品供給の社会的要請に応え、
企業価値の向上による持続的会社運営を目指す。
2. 技術革新と社会貢献
• 一般医薬品製造で培った技術力を活かし、ジェネリック医薬品の受
託製造に進出する。
• スイッチOTC医薬品事業を拡大し、技術革新と社会貢献を目指す。
• 高品質で安全な医薬品を供給し、国民の健康と福祉に貢献する。
3. 経営基盤の強化と事業拡大
• 一般用及び医療用医薬品の製造事業を組み合わせ、収益性の向
上とリスクの分散を図ることにより、経営基盤をより強固なものとし、持
続可能な成長を実現する。
4. 地域社会への貢献の継続
• 奈良県の伝統的な地場産業である医薬品産業を活性化させ、地
域経済の活性化や雇用の創出、地域医療の充実に貢献する。</t>
  </si>
  <si>
    <t>外発的動機
• 高齢化社会に伴う医薬品需要の増大、国のジェネリック医薬品推
進政策への同調、ここ数年での大手ジェネリックメーカーの不祥事に
より医薬品の供給が不安定な状況となっている。安定した医薬品
供給の社会的要請に応えることで、企業価値向上と社会貢献を
両立させることを目指す。（詳細は『2.現状分析の状況：外部環
境』参照）
• 富山県（全国シェア6.8% *3 ）や滋賀県（同5.6% *3 ）に比べ
て、奈良県は医療用医薬品メーカーが少ない現状である（同
1.1% ）。当社はジェネリック医薬品を中心とした医療用医薬品
*3
の製造事業を展開し、奈良県の医薬品産業を他の地域に見劣り
しないレベルまで活性化させ、地域経済に貢献することを目指す。</t>
  </si>
  <si>
    <t>内発的動機
• 一般用医薬品製造で培った技術力を活かし、ジェネリック医薬品を
主とする医療用医薬品受託製造事業への進出を通じて、企業の
長期的な成長と技術革新、社会への貢献を実現する。（詳細は
『3.現状分析の状況：内部環境』参照）
• 主要事業である一般用医薬品製造事業とともに、医療用医薬品
受託製造事業を成長させることで、収益性のボラティリティを低減し、
安定的な経営を実現する。</t>
  </si>
  <si>
    <t>【p.1／売上成長目標】
売上成長目標
• 2029年度までの会社全体の売上高成長率100％
• 2029年度までの会社全体の売上高増加額20億円
【p.1／同等のもの（日本ジェネリック製薬協会HPより）。】
*1ジェネリック医薬品とは、新薬（先発医薬品）と同じ有効成分を使っており、品質、効き目、安全性が
同等のもの（日本ジェネリック製薬協会HPより）。
*2スイッチOTC医薬品とは、医師から処方される医療用医薬品のうち、副作用が少なく安全性の高いもの
を市販薬（OTC医薬品）に転用（スイッチ）したもの（全国健康保険協会HPより）
*3「令和４年（概要）薬事工業生産動態統計調査」より。</t>
  </si>
  <si>
    <t>【p.1】
1.長期成長ビジョン 寧薬化学工業株式会社
当社は、高齢化社会と医療用医薬品市場の需要拡大を背景に、一般用医薬品で培った技術力を活かし、 *1ジェネリック医
薬品を主とした医療用医薬品受託製造事業への進出及び*2スイッチOTC医薬品製造事業の拡大による成長により、2029年
度を目途に全社で40億円の売上を目指す。
長期成長ビジョン（目指す姿・ビジネスモデル） 外発的動機
当社の長期成長ビジョンは下記の4つの観点で考えている。 • 高齢化社会に伴う医薬品需要の増大、国のジェネリック医薬品推
進政策への同調、ここ数年での大手ジェネリックメーカーの不祥事に
1. 事業の拡大と成長 より医薬品の供給が不安定な状況となっている。安定した医薬品
供給の社会的要請に応えることで、企業価値向上と社会貢献を
• 高齢化社会における安定的な医薬品供給の社会的要請に応え、
両立させることを目指す。（詳細は『2.現状分析の状況：外部環
企業価値の向上による持続的会社運営を目指す。
境』参照）
2. 技術革新と社会貢献
• 富山県（全国シェア6.8% *3 ）や滋賀県（同5.6% *3 ）に比べ
• 一般医薬品製造で培った技術力を活かし、ジェネリック医薬品の受 て、奈良県は医療用医薬品メーカーが少ない現状である（同
託製造に進出する。 1.1% *3 ）。当社はジェネリック医薬品を中心とした医療用医薬品
• スイッチOTC医薬品事業を拡大し、技術革新と社会貢献を目指す。 の製造事業を展開し、奈良県の医薬品産業を他の地域に見劣り
• 高品質で安全な医薬品を供給し、国民の健康と福祉に貢献する。 しないレベルまで活性化させ、地域経済に貢献することを目指す。
3. 経営基盤の強化と事業拡大
内発的動機
• 一般用及び医療用医薬品の製造事業を組み合わせ、収益性の向
上とリスクの分散を図ることにより、経営基盤をより強固なものとし、持 • 一般用医薬品製造で培った技術力を活かし、ジェネリック医薬品を
続可能な成長を実現する。 主とする医療用医薬品受託製造事業への進出を通じて、企業の
長期的な成長と技術革新、社会への貢献を実現する。（詳細は
4. 地域社会への貢献の継続
『3.現状分析の状況：内部環境』参照）
• 奈良県の伝統的な地場産業である医薬品産業を活性化させ、地
域経済の活性化や雇用の創出、地域医療の充実に貢献する。 • 主要事業である一般用医薬品製造事業とともに、医療用医薬品
受託製造事業を成長させることで、収益性のボラティリティを低減し、
安定的な経営を実現する。
売上成長目標
• 2029年度までの会社全体の売上高成長率100％
*1ジェネリック医薬品とは、新薬（先発医薬品）と同じ有効成分を使っており、品質、効き目、安全性が
• 2029年度までの会社全体の売上高増加額20億円 同等のもの（日本ジェネリック製薬協会HPより）。
*2スイッチOTC医薬品とは、医師から処方される医療用医薬品のうち、副作用が少なく安全性の高いもの
を市販薬（OTC医薬品）に転用（スイッチ）したもの（全国健康保険協会HPより）
*3「令和４年（概要）薬事工業生産動態統計調査」より。</t>
  </si>
  <si>
    <t>【p.2】
.補助事業の概要 寧薬化学工業株式会社
2
医療用医薬品受託製造事業を行うための高性能製造設備の導入、当該設備を設置できる新工場の建設、既存工
場の改修を行うことで、省人化された生産体制を実現し、賃上目標値を達成するとともに、製品の安定した供給を実現
する。
補助事業の • 省人化された生産体制を実現するため、高性能製造設備の導入、当該設備設置のための新 事業費 38億円
背景・目的 工場建設、既存工場改修が必要となっている。 （補助額） （12億円）
【工場建物】
①設備の概要
• 医療用医薬品受託製造のための高性能製造設備導入のため、新工場の建
設、既存工場の改修工事を行う。
②現在抱えている課題
• 既存工場で使用している包装機械では500錠/分の処理能力を有している
が、より処理能力の高い包装機械は大型であり既存工場には収まらないため
導入が困難であり、当社の生産向上の課題となっている。
• 製品の安定供給のために原材料、製品を一定量ストックし、急な受注増加に
設備投資の 対応できる体制が必要であるが、既存工場では在庫保管のための十分なス
内容 ペース確保が困難である。
③課題解決、労働生産性向上
• 新工場の建設、既存工場の改修工事を行うことで、高性能製造設備の導
入が可能となる。これにより現行設備の12倍の処理能力を有する包装機械
（6,000錠/分）の導入が可能となり、生産性向上が実現できる。
• 生産性をより向上させるため、現在手作業で実施している錠剤の供給や各
種包装品の検査等を自動化できる工場設計とするとともに、一部設備で夜
間無人運転が可能となる設計とし、省人化を図る。
• 新工場に約500パレット分の保管スペースを確保し、必要な原材料、製品の
在庫を確保し安定供給を実現する。
2026年度 2029年度
項目
（基準年度） （基準年度＋３年後）
労働生産性 1,180万円/人
984万円/人
（単位：万円/人） （年平均上昇率＋6％）
目標値 従業員1人あたり給与支給総額 478万円/人
413万円/人
（単位：万円/人） （年平均上昇率＋5％）
役員１人あたり給与支給総額 ―
―
（単位：万円/人） （年平均上昇率＋5％）
補助事業に係る従業員数
113人 143人
（単位：人）</t>
  </si>
  <si>
    <t>1.長期成長ビジョン デーバー加工サービス株式会社
“業界21社共同出資”の鉄筋加工ファウンドリとして、業界をリードしその発展に寄与する。
鉄筋業界の発展を通じて当社も成長し、従業員の待遇もアップさせる。
• 当社は、鉄筋工事・加工会社21社が共同出資して設立した鉄筋加工を受託する会社である。都心に近い埼玉県に国内最大の鉄筋加工工場を持つ。
• 「ファウンドリ」という言葉は現在では主に半導体製造を受託する企業を指すが、原義は「鋳造所」であり、特定の製品や加工に特化した製造所を意味する。
• 鉄筋工事業者の多くは自社工場を持ち、自社が使う分だけの加工をしている。しかしそれでは①スケールメリットがないし、②高度な加工・特殊な加工に対
応できない。そのため、業界21社が協力し、①規模の利益が追求できるだけの大きな工場を持ち、②高度な加工や特殊な加工に対応できる設備も導
入した会社を設立した。当社は鉄筋業界のファウンドリであり、業界をリードする立場であると自負している。今後さらに最新鋭の設備の導入やノウハウの蓄
積をして行くと同時に、自動化とIoT化による生産性向上も実現して行く。
• 当社に業界の高度な加工を委託することにより、各社は一般的な加工に集中し生産性を向上させることができる。これにより、業界全体の生産性が向上す
る。当社には高度な加工に特化した設備やノウハウが蓄積するため、事業が高付加価値化し、従業員の待遇のアップにも繋げることができる。</t>
  </si>
  <si>
    <t>長期成長ビジョン（目指す姿・ビジネスモデル）
建設現場の省力化工法に対応した最新鋭の自動化設備を
優れた労働環境に導入することにより、鉄筋業界共同出資の
ファウンドリ（外注製造会社）としての使命を果たす。省力化
工法の普及に貢献し、鉄筋業界全体の発展に貢献する。
（１）建設現場の省力化工法への対応強化
これにより、小規模鉄筋業者でも、自社でできない部分だけ
を当社に外注することによって、省力化工法を含む物件に参
入できる。省力化的工法の普及に貢献する。
（２）最新鋭の自動化・IoT設備の導入
鉄筋加工ファウンドリの要は、工場である。他社より生産性の
高い設備と優秀な作業員を備えることに、存在意義がある。
（３）労働環境の整備と高い待遇の実現（賃上げ）
優秀な作業員の確保に必要。黒字企業の義務。</t>
  </si>
  <si>
    <t>外発的動機＝人手不足で建設現場が回らない。建設現場の
省力化工法を採用すれば解決するが、鉄筋加工業者が対応
できていない。業界のため、当社が立ち上がるしかない！
• 建設物価が急騰している。世界分断というメガトレンドを背景とした原材
料価格上昇が要因の一つであるが、もう一つの要因は建設技能労働者
の不足で、工期の長期化をも引き起こしている。必要な工事ができておら
ず、建設業界全体の足も引っ張っている。解決策としては、建設現場の
省力化を実現する工法の採用が有効であるが、普及していない。
• 建設現場の省力化工法が普及しない要因の１つに、鉄筋加工業者が
対応できないことがある。対応するには新たな設備投資が必要だが、それ
ができる鉄筋加工業者は少ない。</t>
  </si>
  <si>
    <t>内発的動機＝人手不足と工場環境整備の必要性
• 工場作業員の確保が難しくなっている。労働生産性を上げなければ、い
ずれは売上高も下がってしまう。
• 対策の１つは、工場内自動化の推進である。これにより、経験の浅い作
業員でも作業ができるようになる効果も見込める。
• もう一つの対策は、労働環境整備である。増大する需要に対応するため、
当社の東松山工場の一部では屋根がないラインがある。猛暑や雨天時
の労働環境は劣悪であり、人手が集まらない一因となっている。</t>
  </si>
  <si>
    <t>【p.1／その他Box 1】
• 当社は、鉄筋工事・加工会社21社が共同出資して設立した鉄筋加工を受託する会社である。都心に近い埼玉県に国内最大の鉄筋加工工場を持つ。
• 「ファウンドリ」という言葉は現在では主に半導体製造を受託する企業を指すが、原義は「鋳造所」であり、特定の製品や加工に特化した製造所を意味する。
• 鉄筋工事業者の多くは自社工場を持ち、自社が使う分だけの加工をしている。しかしそれでは①スケールメリットがないし、②高度な加工・特殊な加工に対
応できない。そのため、業界21社が協力し、①規模の利益が追求できるだけの大きな工場を持ち、②高度な加工や特殊な加工に対応できる設備も導
入した会社を設立した。当社は鉄筋業界のファウンドリであり、業界をリードする立場であると自負している。今後さらに最新鋭の設備の導入やノウハウの蓄
積をして行くと同時に、自動化とIoT化による生産性向上も実現して行く。
• 当社に業界の高度な加工を委託することにより、各社は一般的な加工に集中し生産性を向上させることができる。これにより、業界全体の生産性が向上す
る。当社には高度な加工に特化した設備やノウハウが蓄積するため、事業が高付加価値化し、従業員の待遇のアップにも繋げることができる。
【p.1／売上成長目標】
売上成長目標
• 2030年８月期までの会社全体の売上高成長率40％超
• 2030年８月期までの会社全体の売上高増加額16億円超</t>
  </si>
  <si>
    <t>【p.1】
1.長期成長ビジョン デーバー加工サービス株式会社
“業界21社共同出資”の鉄筋加工ファウンドリとして、業界をリードしその発展に寄与する。
鉄筋業界の発展を通じて当社も成長し、従業員の待遇もアップさせる。
• 当社は、鉄筋工事・加工会社21社が共同出資して設立した鉄筋加工を受託する会社である。都心に近い埼玉県に国内最大の鉄筋加工工場を持つ。
• 「ファウンドリ」という言葉は現在では主に半導体製造を受託する企業を指すが、原義は「鋳造所」であり、特定の製品や加工に特化した製造所を意味する。
• 鉄筋工事業者の多くは自社工場を持ち、自社が使う分だけの加工をしている。しかしそれでは①スケールメリットがないし、②高度な加工・特殊な加工に対
応できない。そのため、業界21社が協力し、①規模の利益が追求できるだけの大きな工場を持ち、②高度な加工や特殊な加工に対応できる設備も導
入した会社を設立した。当社は鉄筋業界のファウンドリであり、業界をリードする立場であると自負している。今後さらに最新鋭の設備の導入やノウハウの蓄
積をして行くと同時に、自動化とIoT化による生産性向上も実現して行く。
• 当社に業界の高度な加工を委託することにより、各社は一般的な加工に集中し生産性を向上させることができる。これにより、業界全体の生産性が向上す
る。当社には高度な加工に特化した設備やノウハウが蓄積するため、事業が高付加価値化し、従業員の待遇のアップにも繋げることができる。
長期成長ビジョン（目指す姿・ビジネスモデル） 外発的動機＝人手不足で建設現場が回らない。建設現場の
省力化工法を採用すれば解決するが、鉄筋加工業者が対応
建設現場の省力化工法に対応した最新鋭の自動化設備を
できていない。業界のため、当社が立ち上がるしかない！
優れた労働環境に導入することにより、鉄筋業界共同出資の
• 建設物価が急騰している。世界分断というメガトレンドを背景とした原材
ファウンドリ（外注製造会社）としての使命を果たす。省力化
料価格上昇が要因の一つであるが、もう一つの要因は建設技能労働者
工法の普及に貢献し、鉄筋業界全体の発展に貢献する。
の不足で、工期の長期化をも引き起こしている。必要な工事ができておら
（１）建設現場の省力化工法への対応強化 ず、建設業界全体の足も引っ張っている。解決策としては、建設現場の
省力化を実現する工法の採用が有効であるが、普及していない。
これにより、小規模鉄筋業者でも、自社でできない部分だけ
• 建設現場の省力化工法が普及しない要因の１つに、鉄筋加工業者が
を当社に外注することによって、省力化工法を含む物件に参
対応できないことがある。対応するには新たな設備投資が必要だが、それ
入できる。省力化的工法の普及に貢献する。
ができる鉄筋加工業者は少ない。
（２）最新鋭の自動化・IoT設備の導入
鉄筋加工ファウンドリの要は、工場である。他社より生産性の
内発的動機＝人手不足と工場環境整備の必要性
高い設備と優秀な作業員を備えることに、存在意義がある。
• 工場作業員の確保が難しくなっている。労働生産性を上げなければ、い
（３）労働環境の整備と高い待遇の実現（賃上げ）
ずれは売上高も下がってしまう。
優秀な作業員の確保に必要。黒字企業の義務。
• 対策の１つは、工場内自動化の推進である。これにより、経験の浅い作
業員でも作業ができるようになる効果も見込める。
売上成長目標
• もう一つの対策は、労働環境整備である。増大する需要に対応するため、
• 2030年８月期までの会社全体の売上高成長率40％超
当社の東松山工場の一部では屋根がないラインがある。猛暑や雨天時
• 2030年８月期までの会社全体の売上高増加額16億円超
の労働環境は劣悪であり、人手が集まらない一因となっている。</t>
  </si>
  <si>
    <t>【p.2】
.補助事業の概要 デーバー加工サービス株式会社
2
自動化機能を備えた最新設備の導入、およびIoT化により、当社の労働生産性が大幅に向上する。
（波及効果：省力化工法が普及し、建設現場の人手不足が解消され、工事が増え、当社売上も増える。）
補助事業の 建設現場の労働生産性を上げる新工法に対応した鉄筋加工が求められているが、対応できる工 事業費 2 億円
1
背景・目的 場は少ない。そこで、新工場を立ち上げ、新工法への対応と生産性向上を同時に実現する。 （補助額） （ 億円）
6.7
• 鉄筋工の不足から、建設現場の省力化工法の採用が急務である。対応には高精度が必要なため、新たな設備投資が必要と
なり、対応できる鉄筋加工業者は少ない。それが省力化工法普及の障害となっている。
• そこで、本事業では、当社の主力工場である東松山工場の隣地に第２工場を建設し、省力化工法に対応するための設備と、
工場全体としての生産能力増強のための設備導入（IoT化と自動化の推進を含む）を行う（詳細はP17、P18参照）。
• 当社は、鉄筋加工業者から鉄筋加工を請け負う鉄筋加工ファンドリーである。顧客の鉄筋加工業者は、自らは省力化工法に
対応した設備投資をすることなく、当社に外注することにより、省力化工法を利用した物件の鉄筋加工を受注できる。当社が設
備投資することにより、業界全体の省力化工法への対応率が高まる。それは、多くの建設現場の労働生産性向上に結び付く。
設備投資の 建設業界全体に大きな波及効果を及ぼす。
内容 • 鉄筋加工工場は、当社を含め、IT化が遅れ 第3ヤード
ているところがほとんどである。新工場ではIoT 第１工場
（第３工場建
化と自動化を推進するため、労働生産性が
第2工場
設計画あり）
大きく向上する。
建設予定地
• 補助事業終了後、第３ヤードに第３工場を
建設する計画があり、具体的に動いている
（自己資金）。
2026年度（2027/8期） 2029年度（2030/8期）
項目
（基準年度） （基準年度＋３年後）
労働生産性 1,194
827
（単位：万円/人） （年平均上昇率＋13.0％）
目標値 従業員1人あたり給与支給総額 501
433
（単位：万円/人） （年平均上昇率＋5.0％）
役員１人あたり給与支給総額 999
863
（単位：万円/人） （年平均上昇率＋5.0％）
補助事業に係る従業員数
195 195
（単位：人）</t>
  </si>
  <si>
    <t>1.長期成長ビジョン
サン工業株式会社
サン工業株式会社長期成長ビジョン
技術開発の深化により高機能性めっき量産と環境負荷低減の実現
• 高付加価値の追求により技術開発型めっき企業に進化を遂げる。技術難易度が高い機能性めっき（※１）の拡販と共に
経済産業省「2050年カーボンニュートラルに伴うグリーン成長戦略」にも掲げられている脱炭素・環境負荷低減に貢献する。
（※１）機能性めっき…装飾や防錆性以外の機能を付与することができるめっきのことである。機能としては、電気的特性、機械的特性、物理的特性、
化学的特性、光的特性、熱的特性があり、めっき特性について顧客を含めた技術開発が必要になる。</t>
  </si>
  <si>
    <t>• 高付加価値の追求により技術開発型めっき企業に進化を遂げる。技術難易度が高い機能性めっき（※１）の拡販と共に
経済産業省「2050年カーボンニュートラルに伴うグリーン成長戦略」にも掲げられている脱炭素・環境負荷低減に貢献する。</t>
  </si>
  <si>
    <t>長期成長ビジョン（目指す姿・ビジネスモデル）
• 高機能性めっき工場の実現・顧客と自社のCO2排出低減
• 製造工程のFA化による、さらなる生産性の向上により、人に頼らな
い現場の構築
• 技術開発型企業として付加価値の高い機能性めっきの拡充
• 環境対応・利益率・従業員付加価値日本トップのめっき企業へ
• 3K(きつい・臭い・汚い)職場からの脱却
• 成長分野である半導体製造装置・電気自動車関連部品(ヒート
シンク・コネクタ)への生産シフトによる生産量の拡大
• 新規オリジナルめっき技術(高硬度クロムめっき・アルミ・マグネシウム
など軽量化素材に対するめっき、耐次亜塩素酸めっき、高潤滑性
めっき処理等)製品化による他社との差別化と新規市場の開拓
• 工場Co2排出量の削減</t>
  </si>
  <si>
    <t>外発的動機
• 世界的な電動化、半導体分野の成長とニーズ拡大
• カーボンニュートラル実現に向けた潮流の加速
• めっき専業者の減少と二極化
• 高精度なめっきニーズの増加
• 電気・重油などのエネルギー価格の高騰
• ニッケル・金・銀・銅などの各種材料価格の高騰
• 地元有効求人倍率の増加
• 継続的人口減少、賃金上昇圧力の増加
• 日本製スチールシャフトの海外展開</t>
  </si>
  <si>
    <t>内発的動機
• 社員の夢の実現
• 環境対応新規めっき
• 開発営業スタッフの充実
• 温暖化による
工場内労働環境の悪化
• 既存工場エリアにおける
新規設備導入スペースの不足
• 技術試作依頼件数の増加
• 労働力不足</t>
  </si>
  <si>
    <t>【p.1／上段要旨】
• 高付加価値の追求により技術開発型めっき企業に進化を遂げる。技術難易度が高い機能性めっき（※１）の拡販と共に
経済産業省「2050年カーボンニュートラルに伴うグリーン成長戦略」にも掲げられている脱炭素・環境負荷低減に貢献する。
【p.1／化学的特性、光的特性、熱的特性があり、めっき特性について顧客を含めた技術開発が必要になる。】
（※１）機能性めっき…装飾や防錆性以外の機能を付与することができるめっきのことである。機能としては、電気的特性、機械的特性、物理的特性、
化学的特性、光的特性、熱的特性があり、めっき特性について顧客を含めた技術開発が必要になる。
【p.1／売上成長目標】
売上成長目標
• 30年までの会社全体の売上高成長率196％
• 30年までの会社全体の売上高増加額34.4億円
【p.2／設備投資の内容】
• 補助事業の目的…高機能めっきの開発及び量産ライン確立
• 補助額、設備投資内容、工夫点、労働生産性・賃上げの目標値は以下の通り</t>
  </si>
  <si>
    <t>【p.1】
1.長期成長ビジョン
サン工業株式会社
サン工業株式会社長期成長ビジョン
技術開発の深化により高機能性めっき量産と環境負荷低減の実現
• 高付加価値の追求により技術開発型めっき企業に進化を遂げる。技術難易度が高い機能性めっき（※１）の拡販と共に
経済産業省「2050年カーボンニュートラルに伴うグリーン成長戦略」にも掲げられている脱炭素・環境負荷低減に貢献する。
（※１）機能性めっき…装飾や防錆性以外の機能を付与することができるめっきのことである。機能としては、電気的特性、機械的特性、物理的特性、
化学的特性、光的特性、熱的特性があり、めっき特性について顧客を含めた技術開発が必要になる。
長期成長ビジョン（目指す姿・ビジネスモデル） 外発的動機
• 高機能性めっき工場の実現・顧客と自社のCO2排出低減 • 世界的な電動化、半導体分野の成長とニーズ拡大
• 製造工程のFA化による、さらなる生産性の向上により、人に頼らな • カーボンニュートラル実現に向けた潮流の加速
い現場の構築 • めっき専業者の減少と二極化
• 技術開発型企業として付加価値の高い機能性めっきの拡充 • 高精度なめっきニーズの増加
• 環境対応・利益率・従業員付加価値日本トップのめっき企業へ • 電気・重油などのエネルギー価格の高騰
• 3K(きつい・臭い・汚い)職場からの脱却 • ニッケル・金・銀・銅などの各種材料価格の高騰
• 成長分野である半導体製造装置・電気自動車関連部品(ヒート • 地元有効求人倍率の増加
シンク・コネクタ)への生産シフトによる生産量の拡大 • 継続的人口減少、賃金上昇圧力の増加
• 新規オリジナルめっき技術(高硬度クロムめっき・アルミ・マグネシウム • 日本製スチールシャフトの海外展開
など軽量化素材に対するめっき、耐次亜塩素酸めっき、高潤滑性
めっき処理等)製品化による他社との差別化と新規市場の開拓 内発的動機
• 工場Co2排出量の削減 • 社員の夢の実現
• 環境対応新規めっき
• 開発営業スタッフの充実
• 温暖化による
工場内労働環境の悪化
• 既存工場エリアにおける
新規設備導入スペースの不足
売上成長目標
• 技術試作依頼件数の増加
• 30年までの会社全体の売上高成長率196％ • 労働力不足
• 30年までの会社全体の売上高増加額34.4億円</t>
  </si>
  <si>
    <t>【p.2】
.補助事業の概要
2
サン工業株式会社
・高機能製品開発に必要な次世代めっきの研究と量産化を実施
・環境負荷低減や生産性向上を目的とした新工場及び生産ラインで新たな付加価値を提供
• 補助事業の目的…高機能めっきの開発及び量産ライン確立
• 補助額、設備投資内容、工夫点、労働生産性・賃上げの目標値は以下の通り
補助事業の • 背景：ターゲット顧客のめっき要求性能の高機能化と大規模量産化 事業費 39億円
目的：顧客要求性能に対して研究開発加速と量産化環境負荷低減・カーボンニュートラル対応
背景・目的 （補助額） （13億円）
●高機能めっきの開発促進と
●次世代めっきライン（高機能開発品の量産へ特化）
環境負荷低減や生産性向上を目的とした新工場
①産業機器継ぎ手向け自動めっき設備
・生産能力を従来工法よりも25％向上
・産業ロボットの導入で一人当たりの労働生産性を2倍に向上
・鉛を使用しない材料へのめっき工程を開発し、燃料使用量を
½に削減
設備投資の ②車載用次世代半導体デバイス向け開発試作ライン
内容 ・デバイス冷却性能向上や電気伝導性に優れた新な付加価値
を持っためっき技術の開発
③国産ゴルフシャフト向け自動めっき設備
・生産能力を従来工法よりも約20％向上
・工程の自動化で一人当たりの労働生産性を2倍に向上
ZEB対応実施…GHP・自己発電用の太陽光パネル
・六価クロムフリーめっきへの転用を可能とする
（再エネ）活用により年間152ｔ/CO2排出削減
2026年度 2030年度
項目
（基準年度） （基準年度＋4年後）
（単
労
位
働
：
生
万
産
円
性
/人）
724万円/人
（
94
+
3
6
万
.5
円
％
/人
）
目標値
従業員
（
1
単
人
位
あ
：
た
万
り給
円
与
/人
支
）
給総額
570万円
（年平均
64
上
2
昇
万
率
円
＋4％）
役員１人あたり給与支給総額 ‐
‐
（単位：万円/人） （年平均上昇率＋4％）
補助事業に係る従業員数
（単位：人） 220 270</t>
  </si>
  <si>
    <t>1.⾧期成⾧ビジョン
株式会社ヒサダ
環境変化に対応した⾧期成⾧ビジョン
• 車両構造転換に不可欠な技術開発推進と電動車向け技術獲得による脱炭素社会への貢献
• モデル企業となるべく「2050年カーボンニュートラルに伴うグリーン成⾧戦略」実践</t>
  </si>
  <si>
    <t>⾧期成⾧ビジョン（目指す姿・ビジネスモデル）
• 自動車業界の電動化に伴いEV自動車向け製品拡販
• カーボンニュートラルや物流業界24年度問題に向けて 国内
グローバル体制、納入先（トヨタ自動車九州）に近い九州
地区での生産体制を強化し、輸送CO2排出削減、生産効
率化、自動化により脱炭素社会向けた貢献
既存製品 シート事業 EV事業領域
40.00
事業拡大領域
35.00
EV事業領域EV事業領域EV事業領域EV事業領域
30.00
25.00 EV事業領域
シート事業 シート事業 シート事業
20.00 シート事業
シート事業
15.00
10.00
既存製品 既存製品 既存製品 既存製品 既存製品 既存製品
5.00
0.00
2023年 2024年 2025年 2026年 2027年 2028年</t>
  </si>
  <si>
    <t>2030年に向けた電動車の増加（万台/年）
外発的動機
300
• 今後、電動車市場は大きく成⾧
電動車市場は2022年～2035年で 200
年率11.6%の成⾧見込
100
• 当社製品の車体部品は
0
EVモジュールへの転換により
'22'23'24'25'26'27'28'29'30
製品仕様が大きく変わる対象品となる。
• 世界的なカーボンニュートラルへの潮流による今後の電動車市場の
成⾧、エンジン車市場衰退が確実視される状況を受け、当社の蓄
積資産の強みを活用し、電動車向けに必要となる技術を備えた
EV関連部品の製造に挑戦していく</t>
  </si>
  <si>
    <t>内発的動機
• 重要部品で培った技術蓄積を生かし、新規EV事業として電池
骨格センターモジュール構想のメイン部品のクロスフレームを製造
• 他の製造品目は、ドア回りのパーツとシートの関連パーツであり、コア
コンピタンスとしてクルマの快適な居住性能を約束するとともに、ドア
の強度を高める構造材としての機能も求められている重要な自動
車部品であり、寸法や強度は高い精度を確保が必要
• 特許技術や積み上げた独自のノウハウを発展させ、世界中の自動
車部品サプライヤーにお届けできるよう、技術力と体制を強化。
• 本事業を通じて電動車専用の設備への大規模な投資を行い、課
題解決を図るとともに、地域での雇用を創出、賃上げを行い従業
員への還元も積極的に進める</t>
  </si>
  <si>
    <t>【p.1／車両構造転換に不可欠な技術開発推進と電動車向け技術獲得による脱炭素社会への貢献】
• 車両構造転換に不可欠な技術開発推進と電動車向け技術獲得による脱炭素社会への貢献
• モデル企業となるべく「2050年カーボンニュートラルに伴うグリーン成⾧戦略」実践
【p.1／売上成長目標】
売上成⾧目標
• 28年までの九州生産製品の売上高成⾧率260％
• 28年までの会社全体の売上高増加額20.2億円
【p.2／保と必要設備へ大規模投資を実施】
• 本事業の目的は電動車・自動運転に必須の自動車部品製造と必要数量を供給することを目的に、九州熊本に新工場を建設し、生産スペース確
保と必要設備へ大規模投資を実施
• 付加価値向上を実現し、省力化施策推進により生産性向上、従業員1人あたり給与支給総額上昇を達成する。
【p.2／省スペース自動化ライン】
省スペース自動化ライン
九州新工場
自動化ラインの展開スピードUP
）
自動組付
ライン
カシメ自動化
ライン
住所:熊本県熊本市南区城南町藤山字正達885-5
面積:敷地10,962㎡ 延床5,346㎡
用途:自動車部品工場
土地:2024年4月時点 買取済
）
【p.2／2025年度 2028年度】
2025年度 2028年度
項目
（基準年度） （基準年度＋３年後）</t>
  </si>
  <si>
    <t>【p.1】
1.⾧期成⾧ビジョン
株式会社ヒサダ
環境変化に対応した⾧期成⾧ビジョン
• 車両構造転換に不可欠な技術開発推進と電動車向け技術獲得による脱炭素社会への貢献
• モデル企業となるべく「2050年カーボンニュートラルに伴うグリーン成⾧戦略」実践
⾧期成⾧ビジョン（目指す姿・ビジネスモデル） 外発的動機 2030年に向けた電動車の増加（万台/年）
300
• 今後、電動車市場は大きく成⾧
• 自動車業界の電動化に伴いEV自動車向け製品拡販 電動車市場は2022年～2035年で 200
• カーボンニュートラルや物流業界24年度問題に向けて 国内 年率11.6%の成⾧見込
100
グローバル体制、納入先（トヨタ自動車九州）に近い九州 • 当社製品の車体部品は
0
EVモジュールへの転換により
地区での生産体制を強化し、輸送CO2排出削減、生産効
'22'23'24'25'26'27'28'29'30
製品仕様が大きく変わる対象品となる。
率化、自動化により脱炭素社会向けた貢献
• 世界的なカーボンニュートラルへの潮流による今後の電動車市場の
成⾧、エンジン車市場衰退が確実視される状況を受け、当社の蓄
既存製品 シート事業 EV事業領域
積資産の強みを活用し、電動車向けに必要となる技術を備えた
40.00 EV関連部品の製造に挑戦していく
事業拡大領域
35.00
30.00
EV事業領域EV事業領域EV事業領域EV事業領域
内発的動機
25.00 EV事業領域 • 重要部品で培った技術蓄積を生かし、新規EV事業として電池
シート事業 シート事業 シート事業
20.00 シート事業 骨格センターモジュール構想のメイン部品のクロスフレームを製造
15.00 シート事業
• 他の製造品目は、ドア回りのパーツとシートの関連パーツであり、コア
10.00
コンピタンスとしてクルマの快適な居住性能を約束するとともに、ドア
既存製品 既存製品 既存製品 既存製品 既存製品 既存製品
5.00
の強度を高める構造材としての機能も求められている重要な自動
0.00
車部品であり、寸法や強度は高い精度を確保が必要
2023年 2024年 2025年 2026年 2027年 2028年
• 特許技術や積み上げた独自のノウハウを発展させ、世界中の自動
売上成⾧目標 車部品サプライヤーにお届けできるよう、技術力と体制を強化。
• 本事業を通じて電動車専用の設備への大規模な投資を行い、課
• 28年までの九州生産製品の売上高成⾧率260％
題解決を図るとともに、地域での雇用を創出、賃上げを行い従業
• 28年までの会社全体の売上高増加額20.2億円
員への還元も積極的に進める</t>
  </si>
  <si>
    <t>【p.2】
2.補助事業の概要
株式会社ヒサダ
補助事業実施の背景と設備投資概要及び労働生産性・賃上げ目標値について
• 本事業の目的は電動車・自動運転に必須の自動車部品製造と必要数量を供給することを目的に、九州熊本に新工場を建設し、生産スペース確
保と必要設備へ大規模投資を実施
• 付加価値向上を実現し、省力化施策推進により生産性向上、従業員1人あたり給与支給総額上昇を達成する。
補助事業の • 自動車業界のEV化による生産品目増加と生産数量増加に対応 事業費 19億円
背景・目的 • カーボンニュートラル・物流業界の24年度問題解決（現地生産化によるCO2排出低減） （補助額） （4.4億円）
省スペース自動化ライン
• 生産工場・建屋の増築 九州新工場
自動化ラインの展開スピードUP
電動化事業拡大の新拠点とする
（生産スペース・輸送・発送場スペース）
自動組付
• EV車用バンパー（C-BOX）ライン ライン
①切断工程 ②溶接工程
設備投資の ③熱処理工程 ④組付け工程 カシメ自動化
内容 ⑤その他工程用治工具・検具 ライン
・EV車用バッテリー格納ケースフレーム
①ロール成形②プレス工程③溶接工程 住所:熊本県熊本市南区城南町藤山字正達885-5
④その他工程に要する治工具＋検具 面積:敷地10,962㎡ 延床5,346㎡
用途:自動車部品工場
土地:2024年4月時点 買取済
・シートフレーム設備（PWRランバー）
2025年度 2028年度
項目
（基準年度） （基準年度＋３年後）
労働生産性 1,656万円
393万円/人
（万円/人） （年平均94％＋421％）
目標値
従業員1人あたり 501.2万円
448.6万円
給与支給総額（万円/人） （年平均3.77％＋117.2％）
役員1人あたり 1,404万円
1,254.2万円
給与支給総額（万円/人） （年平均3.83％＋112.8％）</t>
  </si>
  <si>
    <t>株式会社マグナ・ワイヤレス
1.⾧期成⾧ビジョン
超低遅延半導体チップを用いた小型基地局と通信端末でローカル5Gの普及を実現する。ローカル5Gの普及
により自社のみならず様々な利活用場面での労働生産性の向上、人手不足等の社会課題解決に貢献する。
• ローカル5Gの普及は、農林水産、工場、インフラ、モビリティ、防災・減災、医療、観光など多岐に渡っての利用に加え、Society5.0の実現、地方創
生などにおいても期待されている。
• 当社は、⾧年培ってきた無線通信と半導体技術の融合により、ローカル5G普及において課題とされる「基地局と通信端末の低価格化」「通信品質の
安定化」を実現した、超低遅延半導体チップを用いた小型基地局と通信端末の量産化及び市場投入を目指している。
• 将来的に様々な利活用場面における労働生産性の向上、人手不足等の社会課題解決に貢献できる企業へと成⾧する。</t>
  </si>
  <si>
    <t>⾧期成⾧ビジョン（目指す姿・ビジネスモデル）
① ⾧年培ってきた卓越した無線通信と半導体技術の融合により、
社会と産業のデジタル変革を推進し、持続可能な発展に貢献す
る。
② 独自の技術を通じ、安全性と効率性を重視した次世代通信基盤
を創出することで、産業構造の変革をリードするビジネスモデルを
構築する。
• 高速・超低遅延な通信を実現する半導体チップの国内開発により、
工場の自動化、V2X通信、IoTデバイスの応用を加速させる。
• 日本製半導体の国際競争力を高め、グローバル市場での販売拡
大を実現する。
• エコシステム全体の持続可能な成⾧を実現させるため、国内外の
パートナーとの連携を深めて、技術革新を社会実装へと繋げる。</t>
  </si>
  <si>
    <t>外発的動機
① ローカル5G普及による地方創生等への期待
• ローカル5Gの普及は、農林水産、工場、インフラ、モビリティ、防災・減災、
医療、観光など多岐に渡っての利用に加え、Society5.0の実現、地方創
生などにおいても期待されている。
② 人手不足への対応、省人化等への需要の高まり
• ローカル5G向け小型基地局と通信端末の普及により、様々な場面（農林
水産・工場・インフラ・防災・医療・観光）で人手不足等の社会課題解決
への貢献が可能となる。</t>
  </si>
  <si>
    <t>内発的動機
① 小型基地局及び通信端末商用化への思い
• ローカル5G向けの半導体チップを用いた小型基地局と通信端末の商用化は、
当社の収益基盤や企業価値向上への契機となる。
• また、国内5G事業発展の突破口と同時にグローバル市場においても競合と
の差別化を図るものと考えている。
② 地域社会への貢献、日本の通信技術発展への思い
• ローカル5Gの普及を通じて各所での労働生産性向上、人手不足等の社会
課題解決への貢献、日本の通信技術発展に貢献したいという思いのもと、事
業活動を行っている。</t>
  </si>
  <si>
    <t>【p.1／生などにおいても期待されている。】
• ローカル5Gの普及は、農林水産、工場、インフラ、モビリティ、防災・減災、医療、観光など多岐に渡っての利用に加え、Society5.0の実現、地方創
生などにおいても期待されている。
• 当社は、⾧年培ってきた無線通信と半導体技術の融合により、ローカル5G普及において課題とされる「基地局と通信端末の低価格化」「通信品質の
安定化」を実現した、超低遅延半導体チップを用いた小型基地局と通信端末の量産化及び市場投入を目指している。
• 将来的に様々な利活用場面における労働生産性の向上、人手不足等の社会課題解決に貢献できる企業へと成⾧する。
【p.1／売上成長目標】
売上成⾧目標
• 年間売上目標 104.7億円（2030年10月期）
• 2030年10月期まで本事業の基準年度（2027年10月
期）から起算して年平均売上高成⾧率91.1％、売上高増
加額約90億円
【p.2／その他Box 1】
• ローカル5Gの普及において期待される低価格かつ通信品質の安定化を実現し、労働生産性及び従業員1人あたり給与支給総額目標を実現
する。また、ローカル5Gの普及を後押しすることで、自社のみならず様々な利活用シーンでの生産性向上や課題解決に貢献する。
【p.2／補足説明】
補足説明
• 量産設計:量産化に向けた基本的な仕様や回路構成の設計を行
う。
• IP開発:再利用可能な特定の機能や構成要素を持つコア部分の
開発を行う。
• FE設計:設計プロセスの初期段階で行われる活動を指し、設計の
概念化から論理設計、検証までの一連のステップを含む。
• BE開発:FE設計で設計された論理回路を物理的なレイアウトに変
換し、製造プロセスで製造可能な形にする。。
• フルマスク製造:半導体デバイスの製造
• モジュール開発:上記半導体を流通可能な製品（量産製品）と
なるように開発する
• 検証:フルマスクやモジュールの検証を行う。
【p.2／2026年度】
2026年度
項目
（基準年度）</t>
  </si>
  <si>
    <t>【p.1】
株式会社マグナ・ワイヤレス
1.⾧期成⾧ビジョン
超低遅延半導体チップを用いた小型基地局と通信端末でローカル5Gの普及を実現する。ローカル5Gの普及
により自社のみならず様々な利活用場面での労働生産性の向上、人手不足等の社会課題解決に貢献する。
• ローカル5Gの普及は、農林水産、工場、インフラ、モビリティ、防災・減災、医療、観光など多岐に渡っての利用に加え、Society5.0の実現、地方創
生などにおいても期待されている。
• 当社は、⾧年培ってきた無線通信と半導体技術の融合により、ローカル5G普及において課題とされる「基地局と通信端末の低価格化」「通信品質の
安定化」を実現した、超低遅延半導体チップを用いた小型基地局と通信端末の量産化及び市場投入を目指している。
• 将来的に様々な利活用場面における労働生産性の向上、人手不足等の社会課題解決に貢献できる企業へと成⾧する。
⾧期成⾧ビジョン（目指す姿・ビジネスモデル） 外発的動機
① ローカル5G普及による地方創生等への期待
① ⾧年培ってきた卓越した無線通信と半導体技術の融合により、
社会と産業のデジタル変革を推進し、持続可能な発展に貢献す • ローカル5Gの普及は、農林水産、工場、インフラ、モビリティ、防災・減災、
医療、観光など多岐に渡っての利用に加え、Society5.0の実現、地方創
る。
生などにおいても期待されている。
② 独自の技術を通じ、安全性と効率性を重視した次世代通信基盤
② 人手不足への対応、省人化等への需要の高まり
を創出することで、産業構造の変革をリードするビジネスモデルを
• ローカル5G向け小型基地局と通信端末の普及により、様々な場面（農林
構築する。
水産・工場・インフラ・防災・医療・観光）で人手不足等の社会課題解決
への貢献が可能となる。
• 高速・超低遅延な通信を実現する半導体チップの国内開発により、
工場の自動化、V2X通信、IoTデバイスの応用を加速させる。
• 日本製半導体の国際競争力を高め、グローバル市場での販売拡 内発的動機
大を実現する。
① 小型基地局及び通信端末商用化への思い
• エコシステム全体の持続可能な成⾧を実現させるため、国内外の
• ローカル5G向けの半導体チップを用いた小型基地局と通信端末の商用化は、
パートナーとの連携を深めて、技術革新を社会実装へと繋げる。
当社の収益基盤や企業価値向上への契機となる。
• また、国内5G事業発展の突破口と同時にグローバル市場においても競合と
売上成⾧目標
の差別化を図るものと考えている。
• 年間売上目標 104.7億円（2030年10月期）
• 2030年10月期まで本事業の基準年度（2027年10月 ② 地域社会への貢献、日本の通信技術発展への思い
期）から起算して年平均売上高成⾧率91.1％、売上高増
• ローカル5Gの普及を通じて各所での労働生産性向上、人手不足等の社会
加額約90億円 課題解決への貢献、日本の通信技術発展に貢献したいという思いのもと、事
業活動を行っている。</t>
  </si>
  <si>
    <t>【p.2】
2.補助事業の概要
ローカル5G普及において期待される低価格で通信品質を安定化させた小型基地局と通信端末を製造販売することで、自社の生産性向上のみ
ならず様々な利活用シーンでの生産性向上、社会課題解決に貢献する。
• ローカル5Gの普及において期待される低価格かつ通信品質の安定化を実現し、労働生産性及び従業員1人あたり給与支給総額目標を実現
する。また、ローカル5Gの普及を後押しすることで、自社のみならず様々な利活用シーンでの生産性向上や課題解決に貢献する。
補助事業の • ローカル5G市場向けの半導体チップを用いて小型基地局と通信端末を市場投入し、従来より 事業費 21億円
背景・目的 も低価格でローカル5Gの普及に貢献することで収益機会の獲得、生産性向上を図る。 （補助額） （5.9億円）
• ローカル5G市場において期待される低価格で通信品質を安定化させた小型基地局と通信端末を製造販売する。
• 開発完了予定の半導体チップを用いて、低価格で早期の小型基地局と通信端末と市場投入が可能となる。
• ローカル5G普及による様々な利活用シーンでの生産性向上や社会課題解決に貢献する。
設計・開発フェーズ
設備投資の
内容
量
産
設
計
2026年度 2029年度
項目
（基準年度） （基準年度＋３年後）
労働生産性 17,781万円/人
1,803万円/人
（単位:万円/人） （年平均上昇率＋114.4％）
目標値 従業員1人あたり給与支給総額 868万円/人
708万円/人
（単位:万円/人） （年平均上昇率＋7.0％）
役員１人あたり給与支給総額 1,709万円/人
1,395万円/人
（単位:万円/人） （年平均上昇率＋7.0％）
補助事業に係る従業員数
23人 26人
（単位:人）
IP
開
発
FE
設
計
BE
株式会社マグナ・ワイヤレス
小型基地局、通信端末の市場投入までの流れ 補足説明
検証 • 量産設計:量産化に向けた基本的な仕様や回路構成の設計を行
製造フェーズ 量産フェーズ
フェーズ う。
• IP開発:再利用可能な特定の機能や構成要素を持つコア部分の
フ モ 市 開発を行う。
ル ジ 場 • FE設計:設計プロセスの初期段階で行われる活動を指し、設計の
マ ュ 量 投
検 概念化から論理設計、検証までの一連のステップを含む。
開 ス ー 産 入
証 • BE開発:FE設計で設計された論理回路を物理的なレイアウトに変
発 ク ル 化 ・
製 開 拡 換し、製造プロセスで製造可能な形にする。。
造 発 販 • フルマスク製造:半導体デバイスの製造
• モジュール開発:上記半導体を流通可能な製品（量産製品）と
なるように開発する
補助事業範囲 • 検証:フルマスクやモジュールの検証を行う。</t>
  </si>
  <si>
    <t>1.長期成長ビジョン マルコ工業株式会社
・溶融亜鉛めっき加工では有害物質が大気へ放出されるが、国内企業は未整備の状態
・マーケットの動向や環境問題に取り組むだけでなく情報発信も行い、今後の業界の発展に寄与する</t>
  </si>
  <si>
    <t>長期成長ビジョン（目指す姿・ビジネスモデル）
〈基本方針〉
めっき加工の大型化や環境配慮に対応し、地域の労働人口を創出す
るだけでなく、国内めっき加工の環境問題に対応した先進的企業とし
て自社の優位性の強化および国内めっき加工業界の活性化を図る
〈重点戦略〉
• 大型サイズめっき加工に対応
現在は小～中型サイズのめっき加工のみが対応可能であり、大型サイズの
依頼は他社に流れている状態である。そのため、大型サイズにも対応するこ
とで機会ロスを防ぐ。
シェア拡大
•
現在の溶融亜鉛めっき市場規模に対する当社シェアは4%程度で、
これを2029年度までに市場成長も考慮した上でシェア倍増を目指す。
• 環境配慮式めっき加工の実現
国内のめっき加工企業はヨーロッパのように環境対応型加工ができていない。
当社が国内の環境対応式めっき加工のパイオニアとなることでSDGs等に対
応した製品加工を実現し、海外加工企業の参入を防ぐ。
• 労働環境の改善
加工現場の一部をオートメーション化することで労働者の負担を削減する。
また、めっき加工で発生する有害物質を効率良く吸引することで 現場環
境の改善も併せて行う。</t>
  </si>
  <si>
    <t>外発的動機
・建設現場や組立現場で効率重視シフトによる顧客ニーズ
の変化
・物流倉庫等や国土強靭化による公共物等の建設市場
の拡大
・SDGsやエシカル消費等の社会環境課題に対応
・海外加工企業による国内のめっき市場参入リスク</t>
  </si>
  <si>
    <t>内発的動機
・従業員のワークライフバランスの充実と新たな人材確保に
よる地域雇用促進を実施したい
・小～大型サイズのめっき加工を可能とし顧客がめっき加
工各社に発注する負担を軽減したい
・海外めっき加工を視察により日本の環境対応の遅れを
痛感</t>
  </si>
  <si>
    <t>【p.1／売上成長目標】
売上成長目標
■2029年度の会社全体の売上高２.2倍
■2029年までに営業利益200百万円
■溶融亜鉛めっき市場でのシェア8.0％</t>
  </si>
  <si>
    <t>【p.1】
1.長期成長ビジョン マルコ工業株式会社
・溶融亜鉛めっき加工では有害物質が大気へ放出されるが、国内企業は未整備の状態
・マーケットの動向や環境問題に取り組むだけでなく情報発信も行い、今後の業界の発展に寄与する
長期成長ビジョン（目指す姿・ビジネスモデル）
〈基本方針〉
めっき加工の大型化や環境配慮に対応し、地域の労働人口を創出す
るだけでなく、国内めっき加工の環境問題に対応した先進的企業とし
て自社の優位性の強化および国内めっき加工業界の活性化を図る 外発的動機
・建設現場や組立現場で効率重視シフトによる顧客ニーズ
〈重点戦略〉 の変化
• 大型サイズめっき加工に対応 ・物流倉庫等や国土強靭化による公共物等の建設市場
の拡大
現在は小～中型サイズのめっき加工のみが対応可能であり、大型サイズの
依頼は他社に流れている状態である。そのため、大型サイズにも対応するこ ・SDGsやエシカル消費等の社会環境課題に対応
とで機会ロスを防ぐ。
・海外加工企業による国内のめっき市場参入リスク
シェア拡大
•
現在の溶融亜鉛めっき市場規模に対する当社シェアは4%程度で、
これを2029年度までに市場成長も考慮した上でシェア倍増を目指す。
• 環境配慮式めっき加工の実現
国内のめっき加工企業はヨーロッパのように環境対応型加工ができていない。 内発的動機
当社が国内の環境対応式めっき加工のパイオニアとなることでSDGs等に対 ・従業員のワークライフバランスの充実と新たな人材確保に
応した製品加工を実現し、海外加工企業の参入を防ぐ。
よる地域雇用促進を実施したい
• 労働環境の改善
・小～大型サイズのめっき加工を可能とし顧客がめっき加
加工現場の一部をオートメーション化することで労働者の負担を削減する。
工各社に発注する負担を軽減したい
また、めっき加工で発生する有害物質を効率良く吸引することで 現場環
境の改善も併せて行う。 ・海外めっき加工を視察により日本の環境対応の遅れを
痛感
売上成長目標
■2029年度の会社全体の売上高２.2倍
■2029年までに営業利益200百万円
■溶融亜鉛めっき市場でのシェア8.0％</t>
  </si>
  <si>
    <t>【p.2】
.補助事業の概要 マルコ工業株式会社
2
・総額35.98億円の設備投資により、マーケット状況にあった環境配慮式のめっき加工の大型を可能とする
・本事業により＋238.9万円/人の労働生産性の向上を見込む
3 億円
補助事業の ■背景・目的：マーケット状況を踏まえ、環境配慮式の大型サイズのめっき加工に取り組む 事業費 7
（1 億円）
背景・目的 （補助額） 2
■課題：①環境配慮式めっき加工に未対応 ②現在の設備では大型サイズのめっき加工不可
■課題：③要望のある加工量を実現するため難しい
※設備について：ヨーロッパ製の環境対応式のオーダーメイド設備を導入のため相見積もりの取得は困難
工場(研究棟兼事務所併設型)
溶融亜鉛めっき設備一式 釜周り一式
空気ろ過装置一式 クレーン・タンク・プログラム装置等
設備投資の
内容
課題①～③に対応
課題①に対応 課題②・③に対応 課題③に対応
前処理やめっき加工工程をそれぞ 有害物質が発生した際にフード めっき加工の12mサイズの
釜を4方向から加熱し、効
れブースを作り、有害物質を外部 の吸引機が自動で反応 大型化に対応
率よくムラなく温めることが
に漏れないようにする 有害物質を完全に吸い取り、ろ プログラム装置と連動し前
可能で 加工量の向上に
大型サイズの加工や増産に対応 過装置を通じて空気を洗浄し 処理や治具設置のオート
寄与する
した工場を新設する 大気へ放出する メーションが可能となる
2026年度 2029年度
項目
（基準年度） （基準年度＋３年後）
労働生産性 1,008万円/人
767万円/人
（単位：万円/人） （年平均上昇率：9.5％）
目標値 従業員1人あたり給与支給総額 494万円/人
415万円/人
（単位：万円/人） （年平均上昇率：6％）
役員１人あたり給与支給総額 ー
ー
（単位：万円/人） （年平均上昇率：6％）
補助事業に係る従業員数
94人 104人
（単位：人）</t>
  </si>
  <si>
    <t>【p.2／2】
2
41
13</t>
  </si>
  <si>
    <t>トーカロ株式会社
1.⻑期成⻑ビジョン
「⼈と⾃然の豊かな未来に貢献する」という⻑期ビジョンを掲げ、「ESGを重視した継続的な成⻑による企業価値
の向上」をミッションとし、2030年までに売上⾼603億円（23年3月期から201億円増）の成⻑を目指す。</t>
  </si>
  <si>
    <t>⻑期成⻑ビジョン（2030年の目指す姿・ビジネスモデル）
「人と自然の豊かな未来に貢献する」
ミッション
「ESGを重視した継続的な成⻑による企業価値の向上」
•
⾼品質・⾼付加価値商品（皮膜）を生み出し顧客に提供すること
•
いつまでも顧客・株主・取引先・地域の皆様から信頼されること
•
地球環境保全に資する技術に貢献すること
•
トーカロでイキイキと安全に働くことが従業員やその家族の誇りに思えること</t>
  </si>
  <si>
    <t>外発的動機
•
2050年のカーボンニュートラル（脱炭素社会）実現に向け、以下の3点を
当社の成⻑の鍵となるトレンドとして捉え、成⻑戦略に落とし込んでいる。
•
環境問題の深刻化
•
ICT/デジタル化へのテクノロジーシフト
•
資源・⾷料不⾜・⼈⼝増加
•
また、現在、日本は国策として半導体産業の国内工場誘致を推進している。
新設される半導体製造⼯場群が⾼い競争⼒を有し、グローバル市場でも
競合他社に打ち勝つことができるよう、当社は保有する表面改質加工技術
を通じて、その体制構築に貢献する所存である。</t>
  </si>
  <si>
    <t>内発的動機
•
当社は、従来から「ものづくり」を重視してきており、これを基礎にして、ビジョ
ンに掲げているESGに関する取組みに注⼒したいと考えている。
•
その上で、ものづくりに欠かせないのは、それに真摯に取り組む⼈財であり、資
本投⼊を惜しまず、生産効率の向上や作業環境の改善、継続的な賃上げ
の実施等により、従業員エンゲージメントを高めることが重要である。
•
上記の施策を通じて、従業員⼀人ひとりの成⻑を⽀援し、ひいては当社全
体の持続的な成⻑につなげていきたいという思いを込めて、上記のビジョン及
びミッションを掲げるに至った。</t>
  </si>
  <si>
    <t>【p.1／売上成長目標】
売上成⻑目標
•
30年3月期までに会社全体の売上⾼成⻑率6.0％
（23年3月期を基準とした年平均成⻑率）
•
30年3月期までに会社全体の売上⾼増加額201億円
（23年3月期を基準とした増加額）
【p.2／設備投資の内容】
設備投資の内容
半導体分野の需要拡
概要 ⼯場新設に伴い、③の
ウを活用し、高い労働生
当社主要顧客である
鈴⾝事業所
①新工場の建設 鈴⾝事業所の近隣で
（千葉県船橋市）
を予定。
北九州工場 上記と同様の目的で、
（福岡県京都郡） 体制を強化する。建設
②既存工場での ⾏⽥事業所、鈴⾝事
概要
先端設備の導入 受注キャパシティの増</t>
  </si>
  <si>
    <t>【p.1】
トーカロ株式会社
1.⻑期成⻑ビジョン
「⼈と⾃然の豊かな未来に貢献する」という⻑期ビジョンを掲げ、「ESGを重視した継続的な成⻑による企業価値
の向上」をミッションとし、2030年までに売上⾼603億円（23年3月期から201億円増）の成⻑を目指す。
⻑期成⻑ビジョン（2030年の目指す姿・ビジネスモデル）
「人と自然の豊かな未来に貢献する」
売上成⻑目標 ミッション
• 「ESGを重視した継続的な成⻑による企業価値の向上」
30年3月期までに会社全体の売上⾼成⻑率6.0％
•
⾼品質・⾼付加価値商品（皮膜）を生み出し顧客に提供すること
（23年3月期を基準とした年平均成⻑率）
•
• いつまでも顧客・株主・取引先・地域の皆様から信頼されること
30年3月期までに会社全体の売上⾼増加額201億円
•
地球環境保全に資する技術に貢献すること
（23年3月期を基準とした増加額）
•
トーカロでイキイキと安全に働くことが従業員やその家族の誇りに思えること
外発的動機 内発的動機
•
2050年のカーボンニュートラル（脱炭素社会）実現に向け、以下の3点を
•
当社は、従来から「ものづくり」を重視してきており、これを基礎にして、ビジョ
当社の成⻑の鍵となるトレンドとして捉え、成⻑戦略に落とし込んでいる。
• ンに掲げているESGに関する取組みに注⼒したいと考えている。
環境問題の深刻化
•
• その上で、ものづくりに欠かせないのは、それに真摯に取り組む⼈財であり、資
ICT/デジタル化へのテクノロジーシフト
本投⼊を惜しまず、生産効率の向上や作業環境の改善、継続的な賃上げ
•
資源・⾷料不⾜・⼈⼝増加
の実施等により、従業員エンゲージメントを高めることが重要である。
•
また、現在、日本は国策として半導体産業の国内工場誘致を推進している。 •
上記の施策を通じて、従業員⼀人ひとりの成⻑を⽀援し、ひいては当社全
新設される半導体製造⼯場群が⾼い競争⼒を有し、グローバル市場でも
体の持続的な成⻑につなげていきたいという思いを込めて、上記のビジョン及
競合他社に打ち勝つことができるよう、当社は保有する表面改質加工技術
びミッションを掲げるに至った。
を通じて、その体制構築に貢献する所存である。</t>
  </si>
  <si>
    <t>【p.2】
トーカロ株式会社
2.補助事業の概要
今後も市場の伸びが予測される半導体・FPD分野の拡大を主眼に置き、①新⼯場の建設、②既存⼯場での
先端設備の導⼊、③先端技術開発のための研究設備の導⼊の3本⽴ての設備投資を実⾏する。
•
今後も市場の伸びが予測される半導体・FPD分野の拡大を主眼に置き、生産性向上及び受注キャパシ
ティの拡大、先端技術の蓄積を企図した投資実⾏により、市場成⻑率以上の売上⾼成⻑を実現する。
•
補助事業の また、自動化・省人化が実現可能な先端設備の導入により、⼈⼿不⾜の状況下においても、⼈員数を 事業費 112億円
背景・目的 維持しながら売上・付加価値増加の達成を目指す。 （補助額） （34億円）
•
ひいては、増加した付加価値額を原資とした持続的な賃上げや人的資本投資を実施し、従業員が個性
と能⼒を発揮してイキイキと働くことができるような環境整備に繋げる。
目標値
（万円/⼈） 27年3月期（基準年度） 30年3月期（基準年度＋３年後）
労働生産性 1,889万円 2,191万円（年平均上昇率＋5.1％）
従業員1⼈あたり給与⽀給総額 779万円 876万円（年平均上昇率＋4.0％）
役員１⼈あたり給与⽀給総額 6,244万円 7,024万円（年平均上昇率＋4.0％）
補助事業に係る従業員数 1,124⼈ 1,214人（年平均上昇率+2.6%）
設備投資の内容
半導体分野の需要拡大を受けて、既存⼯場にて新たな工場棟を新設する。
概要 ⼯場新設に伴い、③の投資によって開発した先端技術や②の投資によって蓄積された先端設備導⼊のノウハ
ウを活用し、高い労働生産性・付加価値創出を実現する。
当社主要顧客である半導体製造装置メーカーから、今後の受注増加を⾒込んでおり、現在の東京⼯場
鈴⾝事業所
①新工場の建設 鈴⾝事業所の近隣で取得した用地に新⼯場を建設し、増産体制を整えていく方針。建設費は56億円
（千葉県船橋市）
を予定。
北九州工場 上記と同様の目的で、北九州⼯場の敷地内でも現在の遊休地（駐⾞場）に新⼯場を建設し、増産
（福岡県京都郡） 体制を強化する。建設費31億円を予定。
②既存工場での ⾏⽥事業所、鈴⾝事業所、北九州⼯場、明⽯⼯場を中心に、自動化・省人化を実現する生産設備や、
概要
先端設備の導入 受注キャパシティの増加・高機能化を企図した先端設備を導入する。
当社の⾼度な技術開発⼒を⽀える「溶射技術開発研究所」において、①の半導体・FPD分野に関連する「微
③先端技術開発のため
概要 細化技術」への対応を筆頭に、新事業領域の展開に向けた先端技術開発のための研究装置、測定・評価
の研究設備の導入
設備を導⼊する。</t>
  </si>
  <si>
    <t>1.長期成長ビジョン 株式会社創味食品
先進的な食品製造工場を新設し、国内シェア拡大を図りつつ、海外市場拡大の足掛かりとし、外食向け高品
質調味料メーカーNo1を目指す。国内外の消費者向けに「食」を通じた「心豊かな生活の実現」に貢献する。</t>
  </si>
  <si>
    <t>長期成長ビジョン（目指す姿・ビジネスモデル）
• 当社は「美味しい」を追求し続ける企業として、国内市場に加
え、海外市場とのシナジーを図りつつ、先行き不透明な食品市
場において差別化戦略を更に進化させます。
• 中華調味料やつゆ、パスタソースなどのラインナップ拡充による高
付加価値商品開発を推進。人気商品「ハコネーゼ」パスタソー
スが累計出荷数2,600万食突破などの実績に基づき、新商品
拡充と既存商品改良で、多様化する消費者ニーズへの対応を
図ります。
• 第5次中計記載の”新たなる挑戦”として関東工場を新設し、
生産能力の増加を図り、国内シェア拡大を図るとともに、海外
市場拡大の足掛かりともすることで、「外食向け高品質調味料
メーカーNo1」を目指します。
• 当社は、社会変化への迅速な対応とともに、社会的責任を果
たすため、ビジョン実現に向けた具体的取組みを進めてまいりま
す。このビジョンの下、「安心・安全」で高品質な食品を提供し
続け、国内外の消費者の皆様に「食」を通じた「心豊かな生活
の実現」に貢献し、「積小為大」の精神で着実な成長を遂げて
まいります。</t>
  </si>
  <si>
    <t>外発的動機：
「外的リスク回避と外的変化に対する対応力強化」
• 生産拠点の一極集中状態のリスク回避（BCPの要請）
• 首都圏の巨大な外食市場
• 人口・働き手の減少（人口の減少＝食品消費者の減少）
• 消費量・消費額の減少（ロングセラー商品の減少傾向）
• ライフスタイル変化（核家族化、共働き、利便性追求）
• 商品ライフサイクル短期化（ニーズの変化が速い）
• 他業種と比べて食品製造業は生産性が低い傾向</t>
  </si>
  <si>
    <t>内発的動機：
「全天候型経営実現に向けた新市場開拓、新品種開発、
海外市場拡大に向けた布石」
• 日本の食文化の素晴らしさを世界に広めたい。
• 如何なる経済状況にも対処できるよう、常に企業の基礎体力づ
くりに励み、安全なる経営、全天候型経営に向かって努力する。
• ハコネーゼシリーズの拡充が一段落した後は、レトルトカレーや雑
炊等の新たな市販市場への挑戦も検討。
• 業務用においては商品の幅を広げる為、シロップ類・フィリング類・
クリーム類・飲料等の新たな品種の開発にも全力を注ぐ。
• 海外子会社による北南米市場拡大、国内工場によるインドな
どのアジア・オセアニア・中東市場への輸出拡大、将来的には巨
大市場EUへの販売強化も狙う。</t>
  </si>
  <si>
    <t>【p.1／売上成長目標】
売上成長目標
• 2028年に国内外で売上高537億円を達成。
• 2028年までに会社全体の売上高成長率 150％
• 2028年までに会社全体の売上高増加額 180億円
【p.2／各種充填機、パウチ充填後ライン、ニーダー、その他生産】
各種充填機、パウチ充填後ライン、ニーダー、その他生産
に必要不可欠な機械装置等</t>
  </si>
  <si>
    <t>【p.1】
1.長期成長ビジョン 株式会社創味食品
先進的な食品製造工場を新設し、国内シェア拡大を図りつつ、海外市場拡大の足掛かりとし、外食向け高品
質調味料メーカーNo1を目指す。国内外の消費者向けに「食」を通じた「心豊かな生活の実現」に貢献する。
長期成長ビジョン（目指す姿・ビジネスモデル） 外発的動機：
「外的リスク回避と外的変化に対する対応力強化」
• 当社は「美味しい」を追求し続ける企業として、国内市場に加
え、海外市場とのシナジーを図りつつ、先行き不透明な食品市 • 生産拠点の一極集中状態のリスク回避（BCPの要請）
場において差別化戦略を更に進化させます。 • 首都圏の巨大な外食市場
• 人口・働き手の減少（人口の減少＝食品消費者の減少）
• 中華調味料やつゆ、パスタソースなどのラインナップ拡充による高 • 消費量・消費額の減少（ロングセラー商品の減少傾向）
付加価値商品開発を推進。人気商品「ハコネーゼ」パスタソー • ライフスタイル変化（核家族化、共働き、利便性追求）
スが累計出荷数2,600万食突破などの実績に基づき、新商品 • 商品ライフサイクル短期化（ニーズの変化が速い）
拡充と既存商品改良で、多様化する消費者ニーズへの対応を • 他業種と比べて食品製造業は生産性が低い傾向
図ります。
• 第5次中計記載の”新たなる挑戦”として関東工場を新設し、
生産能力の増加を図り、国内シェア拡大を図るとともに、海外
内発的動機：
市場拡大の足掛かりともすることで、「外食向け高品質調味料
「全天候型経営実現に向けた新市場開拓、新品種開発、
メーカーNo1」を目指します。
海外市場拡大に向けた布石」
• 当社は、社会変化への迅速な対応とともに、社会的責任を果 • 日本の食文化の素晴らしさを世界に広めたい。
たすため、ビジョン実現に向けた具体的取組みを進めてまいりま • 如何なる経済状況にも対処できるよう、常に企業の基礎体力づ
す。このビジョンの下、「安心・安全」で高品質な食品を提供し くりに励み、安全なる経営、全天候型経営に向かって努力する。
続け、国内外の消費者の皆様に「食」を通じた「心豊かな生活 • ハコネーゼシリーズの拡充が一段落した後は、レトルトカレーや雑
の実現」に貢献し、「積小為大」の精神で着実な成長を遂げて 炊等の新たな市販市場への挑戦も検討。
まいります。 • 業務用においては商品の幅を広げる為、シロップ類・フィリング類・
クリーム類・飲料等の新たな品種の開発にも全力を注ぐ。
売上成長目標
• 海外子会社による北南米市場拡大、国内工場によるインドな
• 2028年に国内外で売上高537億円を達成。
どのアジア・オセアニア・中東市場への輸出拡大、将来的には巨
• 2028年までに会社全体の売上高成長率 150％
大市場EUへの販売強化も狙う。
• 2028年までに会社全体の売上高増加額 180億円</t>
  </si>
  <si>
    <t>【p.2】
.補助事業の概要 株式会社創味食品
2
国内シェア拡大と海外シェア拡大の足掛かりとする関東工場を新設し、最新の食品製造設備を導入することを
もって、自動化・省力化による生産性向上及び賃上げの両方を実現する。
補助事業の • 低成長傾向の食品製造業でさらなる自動化・省力化を実現する関東工場を新設し、自動化・ 事業費 1 億円
34
背景・目的 省力化による生産性向上を高度化し、国内外のシェアを拡大するとともに、賃上げを実現する。 （補助額） （4 億円）
1
投資設備項目 投資金額(億円) 概要
工場建屋等の新設 82 物流センター含めた新工場建屋建設、排水処理施設工事
各種充填機、パウチ充填後ライン、ニーダー、その他生産
生産設備等の導入 40
に必要不可欠な機械装置等
• 高品質確保のために必要な手作業工程を除いた、工程の自動化・省
設備投資の
力化を高度化した機械設備を擁する和洋中の各種液体調味料を製
内容
造する関東工場（物流センター含む）を新設する。
• 工場の建物費、大量の水を使用するため排水処理施設の工事費、充
填機、ボイラー、コンプレッサー、冷凍機、抽出機、調合タンクなどいずれ
も生産に必要不可欠なものである。
• 今回の設備投資により、課題の一つとして人手不足で一人あたりの業
務負担が大きくなりがちな点を解消することができる。特に調合、出
荷梱包の各工程の自動化・省力化を実現する機械装置を導入する
自動充填機 パレタイズ
ことによって、労働生産性を向上させる。
イメージ イメージ
2025年度 2028年度
項目
（基準年度） （基準年度＋３年後）
労働生産性 3,797万円
2,827万円
（単位：万円/人） （年平均上昇率＋10.3％）
従業員1人あたり給与支給総額 &lt;埼玉&gt;534万円 ＜埼玉＞592万円（年平均上昇率＋3.51％）
目標値
（単位：万円/人） &lt;京都&gt;534万円 ＜京都＞592万円（年平均上昇率＋3.51％）
役員１人あたり給与支給総額 &lt;埼玉&gt;（役員なし） &lt;埼玉&gt;（役員なし）
（単位：万円/人） &lt;京都&gt;ー ＜京都＞ー（年平均上昇率＋3.35％）
補助事業に係る従業員数
200人 236人
（単位：人）</t>
  </si>
  <si>
    <t>京西テクノス株式会社
1.長期成長ビジョン
デジタルプラットフォームの構築やグローバルニーズへの対応によりトータルマルチベンダーサービスを更に進め、世界に
通用するサービス企業を目指す</t>
  </si>
  <si>
    <t>（長期成長ビジョン（目指す姿・ビジネスモデル）
京都第2本社の設置により、自社のビジネスモデルを西日本地域において更に推進し、お客様に選ばれ、
結果を出すことで、持続可能な社会の実現に貢献する企業を目指す。
｟現状｠
➢2002年に創業し、電子計測機器や医療機器の修理、メンテナンスを中心としたサービスを業として
おり、2019年に大手電機メーカーより校正事業を譲受し、更に2021年には他の大手電機メー
カーより校正事業を譲受している。 2020年には売上高も100億円を突破するなど急成長しており、
当社代表取締役社長が中小企業庁より会議への出席を求められることがあるなど、時代から受け入
れられていると自負している。
➢ 経済産業省より、2017年に「地域未来牽引企業」に選定された他、2020年に「グローバルニッチ
トップ企業100選」に、2006年、2020年の2回にわたって、「新連携事業」の認定を受けている。
➢毎年、半期毎に利益の40%を賞与原資として、社員に還元している。
｟ビジネスモデル｠
◆ トータルマルチベンダーサービス新たな取組
➢サポートセンター
リモート監視・操作からトラブル時の受付、テクニカルサポートまで24時間365日対応する。
➢ フィールドサービス
お客様のニーズに合わせ、当社エンジニアが全国で対応する。
➢ リペアショップ
様々な業界で使用されている機器をメーカーを問わず修理する。
➢ 機器・パーツ管理センター
お客様要求時、フィールドエンジニア到着時、必要なパーツをタイムリーに配給。また、貸出機器の
管理も行う。
◆ デジタルプラットフォーム開発・構築の推進
➢ 常時監視データからトラブル発生のアルゴリズムを解析し、故障/トラブルを予見する。
➢ AIを活用し、ハイスキルエンジニアによる電話（一次対応）での高解決率を実現、GPS機能を
用いトラブル発生場所より最寄りのエンジニアを迅速にアサインする。
◆ グローバルニーズへの対応(In JAPAN for Global)
➢ 世界中のどのような機器・装置にも対応可能な自社開発のリモート監視ツールを用いて監視・制
御を行う。
➢ 関西国際空港内保税区内サービスセンターにおいて国内外で使用される製品の修理・校正を行う。</t>
  </si>
  <si>
    <t>外発的動機
• 日本の人口推移と日本の労働需給シミュレーションより人出不足の長期化、深刻化
が想定される。そのため、西日本エリアの有能な人財の確保にも取り組む必要がある。
※出典：ﾘｸﾙｰﾄﾜｰｸｽ研究所 Works Report「未来予測2040 労働供給制約社会がやってくる」
• AI(人工知能)の発達により10~20年後には仕事に大きな変化が想定される。
※出典：英オックスフォード大学准教授オズボーン「論文」「雇用の未来」
• 社会的責任への対応として、サーキュラーエコノミーの必要性に対して持続可能な社
会を検討する3つの視座（モノ、エネルギー、情報）に基づく対応が求められている。
• SDGｓの目標達成に向けた取組も同様に求められている。なお、京西グループでは
KLES事業や脱炭素への取組により対応している。
※KLES事業（Kyosai Life Extension Service）とは、メーカー保証が終了した電子機器の装
置延命の一環として「修理」・「予防保全」・「再設計」を行うサービス</t>
  </si>
  <si>
    <t>内発的動機
【創業に至る動機】
• 平成10年：現事業立ち上げ前
当社現代表取締役社長が電子機器製造部門を担当⇒ アジアのローコスト企業が競合、
企業各社との厳しいコスト競争⇒ 限界（下請け企業として、将来性に疑問）
※コストよりスピード／技術力が要求される「サービス事業」に着眼
【創業と会社の方向性に影響を与えた3本の電話】
• 平成11年：サービスビジネスの事業化プロジェクトを発足
※運命の電話 ①・・・医療機器サービス事業に参入
・医療機器（脳波計、心電計）の修理依頼
〔外資系医療機器メーカー様より〕
• 平成14年：京西テクノス（株）を設立 代表取締役社長就任
※運命の電話 ②・・・脱下請け
・メーカーが対応しない古い航空機のコックピット内計測器修理依頼
〔外資系計測機器メーカー様より〕
※運命の電話 ③・・・環境／エネルギー分野に参入（平成24年）
・メガソーラー・風力発電機器の設置、修理、メンテナンス依頼
〔外資系エネルギー関連機械メーカー様より〕
【現状の課題】
• 西日本エリアのマーケットに十分な対応ができていない。
※当社が新規開拓または深耕を考えている複数の企業が、京都を拠点としている。また、 国策
として成長著しい半導体分野について当社も新たに取り組んでいるが、関連する企業の拠点が
西日本エリアに多く存在していることから、その拠点としての第2本社設置の意義は大きい。</t>
  </si>
  <si>
    <t>【p.1／売上成長目標】
売上成長目標：2030年に向けて売上高5,542百万円増加、成長率38.3%
単位：百万円 FY24 FY25 FY26 FY27 FY28 FY29 FY30
テクノス 15,115 15,582 16,052 16,712 17,371 18,128 18,882
ﾃｸﾉﾄﾚﾝﾄﾞ 252 260 268 279 290 302 315
Mテック 460 475 489 509 529 552 575
ﾄﾚﾝﾄﾞﾒﾃﾞｨｶﾙ 142 147 151 158 164 171 178
京西科技 30 37 40 42 46 46 50
合計 16,000 16,500 17,000 17,700 18,400 19,200 20,000</t>
  </si>
  <si>
    <t>【p.1】
京西テクノス株式会社
1.長期成長ビジョン
デジタルプラットフォームの構築やグローバルニーズへの対応によりトータルマルチベンダーサービスを更に進め、世界に
通用するサービス企業を目指す
（長期成長ビジョン（目指す姿・ビジネスモデル） 外発的動機
京都第2本社の設置により、自社のビジネスモデルを西日本地域において更に推進し、お客様に選ばれ、 • 日本の人口推移と日本の労働需給シミュレーションより人出不足の長期化、深刻化
結果を出すことで、持続可能な社会の実現に貢献する企業を目指す。
が想定される。そのため、西日本エリアの有能な人財の確保にも取り組む必要がある。
｟現状｠ ※出典：ﾘｸﾙｰﾄﾜｰｸｽ研究所 Works Report「未来予測2040 労働供給制約社会がやってくる」
• AI(人工知能)の発達により10~20年後には仕事に大きな変化が想定される。
➢2002年に創業し、電子計測機器や医療機器の修理、メンテナンスを中心としたサービスを業として
※出典：英オックスフォード大学准教授オズボーン「論文」「雇用の未来」
おり、2019年に大手電機メーカーより校正事業を譲受し、更に2021年には他の大手電機メー
カーより校正事業を譲受している。 2020年には売上高も100億円を突破するなど急成長しており、 • 社会的責任への対応として、サーキュラーエコノミーの必要性に対して持続可能な社
当社代表取締役社長が中小企業庁より会議への出席を求められることがあるなど、時代から受け入 会を検討する3つの視座（モノ、エネルギー、情報）に基づく対応が求められている。
れられていると自負している。 • SDGｓの目標達成に向けた取組も同様に求められている。なお、京西グループでは
➢ 経済産業省より、2017年に「地域未来牽引企業」に選定された他、2020年に「グローバルニッチ KLES事業や脱炭素への取組により対応している。
トップ企業100選」に、2006年、2020年の2回にわたって、「新連携事業」の認定を受けている。 ※KLES事業（Kyosai Life Extension Service）とは、メーカー保証が終了した電子機器の装
置延命の一環として「修理」・「予防保全」・「再設計」を行うサービス
➢毎年、半期毎に利益の40%を賞与原資として、社員に還元している。
｟ビジネスモデル｠
内発的動機
◆ トータルマルチベンダーサービス新たな取組
➢サポートセンター 【創業に至る動機】
リモート監視・操作からトラブル時の受付、テクニカルサポートまで24時間365日対応する。 • 平成10年：現事業立ち上げ前
➢ フィールドサービス 当社現代表取締役社長が電子機器製造部門を担当⇒ アジアのローコスト企業が競合、
お客様のニーズに合わせ、当社エンジニアが全国で対応する。 企業各社との厳しいコスト競争⇒ 限界（下請け企業として、将来性に疑問）
➢ リペアショップ ※コストよりスピード／技術力が要求される「サービス事業」に着眼
様々な業界で使用されている機器をメーカーを問わず修理する。
【創業と会社の方向性に影響を与えた3本の電話】
➢ 機器・パーツ管理センター
• 平成11年：サービスビジネスの事業化プロジェクトを発足
お客様要求時、フィールドエンジニア到着時、必要なパーツをタイムリーに配給。また、貸出機器の
※運命の電話 ①・・・医療機器サービス事業に参入
管理も行う。
・医療機器（脳波計、心電計）の修理依頼
◆ デジタルプラットフォーム開発・構築の推進
➢ 常時監視データからトラブル発生のアルゴリズムを解析し、故障/トラブルを予見する。 〔外資系医療機器メーカー様より〕
➢ AIを活用し、ハイスキルエンジニアによる電話（一次対応）での高解決率を実現、GPS機能を • 平成14年：京西テクノス（株）を設立 代表取締役社長就任
用いトラブル発生場所より最寄りのエンジニアを迅速にアサインする。 ※運命の電話 ②・・・脱下請け
◆ グローバルニーズへの対応(In JAPAN for Global) ・メーカーが対応しない古い航空機のコックピット内計測器修理依頼
➢ 世界中のどのような機器・装置にも対応可能な自社開発のリモート監視ツールを用いて監視・制 〔外資系計測機器メーカー様より〕
御を行う。
※運命の電話 ③・・・環境／エネルギー分野に参入（平成24年）
➢ 関西国際空港内保税区内サービスセンターにおいて国内外で使用される製品の修理・校正を行う。
・メガソーラー・風力発電機器の設置、修理、メンテナンス依頼
売上成長目標：2030年に向けて売上高5,542百万円増加、成長率38.3% 〔外資系エネルギー関連機械メーカー様より〕
単位：百万円 FY24 FY25 FY26 FY27 FY28 FY29 FY30 【現状の課題】
テクノス 15,115 15,582 16,052 16,712 17,371 18,128 18,882 • 西日本エリアのマーケットに十分な対応ができていない。
ﾃｸﾉﾄﾚﾝﾄﾞ 252 260 268 279 290 302 315
※当社が新規開拓または深耕を考えている複数の企業が、京都を拠点としている。また、 国策
Mテック 460 475 489 509 529 552 575
ﾄﾚﾝﾄﾞﾒﾃﾞｨｶﾙ 142 147 151 158 164 171 178 として成長著しい半導体分野について当社も新たに取り組んでいるが、関連する企業の拠点が
京西科技 30 37 40 42 46 46 50 西日本エリアに多く存在していることから、その拠点としての第2本社設置の意義は大きい。
合計 16,000 16,500 17,000 17,700 18,400 19,200 20,000</t>
  </si>
  <si>
    <t>【p.2】
.補助事業の概要 京西テクノス株式会社
2
西日本エリアの産業をターゲットとする事業活動の要となる第2本社（京都事業所）の設置
補助事業の • 現在大阪にある事業所を京都に移設し、マーケティング上、不十分となっている関西以西エリアを統 事業費 億円
25
背景・目的 括する第2本社として拡充させることにより、事業の効率化を図り生産性を向上させる。 （補助額） （ 億円）
7.9
• 京都市内に購入した土地に、延べ床面積1,220坪程度の建物を建設する。
• 当該施設を第2本社とし、西日本エリアを統括することによるマーケティング体制
の充実を図るとともにDXを活かした物流や人的活動の効率化を推進することに
より全社の労働生産性を向上させ、利益率上昇の実現を意図している。
• 当該土地建物を賃貸ではなく自社所有とする理由としては、インハウス業務の
変化に対して迅速な作業エリア対応を可能とする他、BCPの観点から業務の相
互補完態勢の構築や有事の初動対応の迅速化などがある。
• この第2本社では、電子機器サービス事業、情報システムサービス事業、校正事
設備投資の 業、サポートセンター事業の全てに対応する計画であり、今まで対応が不十分で
写真等
内容 あった京都府内に本拠を置くお客様企業に対するお取引の拡大を目指す。
• 西日本地域のお客様の利便性向上に向け、東京本社等東日本地域で現在
対応している関西エリアの業務を移管し、リードタイムの短縮と物流コストの減少
を図る他、DXの活用などによるコスト削減、生産性向上を社員の働き方改
革にも繋げていく。
• 太陽光発電や蓄電池の設置を計画しているが、これは、電力需要の一部を賄
うとともに、再生エネルギーを活用することで、当社のKLES事業（メーカーサポー
トの終了した電子計測器、産業用電子機器等の修理・延命事業）に共通す
る循環型経済の理念を具現化するものとなる。
2026年度 2029年度
項目
（基準年度） （基準年度＋３年後）
（単
労
位
働
：
生
万
産
円
性
/人）
1,912万円
（年平均
2
上
,19
昇
6
率
万
＋
円
4.7％）
目標値 従業員
（
1
単
人
位
あ
：
た
万
り給
円
与
/人
支
）
給総額 634万円
（年平均
7
上
1
昇
3万
率
円
＋4.0％）
役員１人あたり給与支給総額 ー
ー
（単位：万円/人） （年平均上昇率＋Ｘ％）
補助事業に係る従業員数
29人 87人
（単位：人）</t>
  </si>
  <si>
    <t>株式会社Pale Blue
1.長期成長ビジョン
安全性・入手性・コストの観点で圧倒的な優位性を持つ水を推進剤に用いた衛星用推進機の量産体制を確
立して、世界を代表する推進機メーカーとなり、宇宙産業のコアとなるモビリティを創成する。</t>
  </si>
  <si>
    <t>長期成長ビジョン（目指す姿・ビジネスモデル）
令和5年6月13日に閣議決定された宇宙基本計画においても、民
間による商業宇宙活動が加速していることが述べられており、宇宙産
業を日本における成長産業とするため、 2020年に4.0兆の市場規
模を、2030年代早期に2倍の8.0兆円にするという目標が掲げられ
ている。
当社は、小型衛星用の「水」を推進剤として用いた推進機の開発・
製造・販売を行うスタートアップであり、ミッションとして「人類の可能性
を拡げ続ける」、ビジョンとして「宇宙産業のコアとなるモビリティの創成」
を掲げている。安全性・入手性・コストの観点で圧倒的な優位性を持
つ水を推進剤に用いた衛星用推進機を社会実装することで世界を
代表する推進機メーカーとなり、衛星コンステレーションや宇宙ゴミの低
減による持続可能な宇宙開発・利用の実現により、宇宙産業全体
の成長に貢献することを目指している。
すでに一部製品の宇宙空間における動作実証を達成しつつあるた
め、顧客である衛星メーカーからの推進機需要に応えられる十分な生
産能力を獲得することで、中長期的に大きく事業を拡大させていく。</t>
  </si>
  <si>
    <t>外発的動機
• 従来の人工衛星は、政府主導で、巨額の開発費や長い開発期
間が必要な重量1トン級以上の大型衛星が中心だったが、2010
年頃から、低コストかつ短期間で開発可能な小型・超小型衛星が
登場し、民間企業の宇宙産業参入が増加した。
• なかでも、多数の小型・超小型衛星を打ち上げてお互いに協調、
連携させる「衛星コンステレーション」を用いた高速通信や地球観
測サービスを提案する事業者が世界中で台頭してきている。
• 衛星コンステレーションを実現するには軌道投入や軌道維持を行う
ための推進機が必要だが、従来の大型衛星用推進機は安全性・
入手性・コストの観点で小型衛星への適用に課題がある。</t>
  </si>
  <si>
    <t>内発的動機
• 当社の創業メンバーらは、「水」推進機の研究において世界をリー
ドする東京大学の小泉研究室において、10年以上に渡って人工
衛星用の推進機に関する基礎研究、及び実際の衛星に搭載する
推進機の開発、実運用を行ってきた。
• しかし、大学では研究としての先進性が注目される一方、ユーザー
が求める製品として必要な推進機システム全体の成熟度・信頼性
向上などは重視されずらい状況があり、開発者としてユーザーの期
待に応えたい、大学での基礎研究を実利用につなげたいという強い
想いを持って当社を創業し、事業を推進している。</t>
  </si>
  <si>
    <t>【p.1／売上成長目標】
売上成長目標
• 2029年度までの会社全体の売上高成長率195倍</t>
  </si>
  <si>
    <t>【p.1】
株式会社Pale Blue
1.長期成長ビジョン
安全性・入手性・コストの観点で圧倒的な優位性を持つ水を推進剤に用いた衛星用推進機の量産体制を確
立して、世界を代表する推進機メーカーとなり、宇宙産業のコアとなるモビリティを創成する。
長期成長ビジョン（目指す姿・ビジネスモデル） 外発的動機
令和5年6月13日に閣議決定された宇宙基本計画においても、民 • 従来の人工衛星は、政府主導で、巨額の開発費や長い開発期
間による商業宇宙活動が加速していることが述べられており、宇宙産 間が必要な重量1トン級以上の大型衛星が中心だったが、2010
業を日本における成長産業とするため、 2020年に4.0兆の市場規 年頃から、低コストかつ短期間で開発可能な小型・超小型衛星が
模を、2030年代早期に2倍の8.0兆円にするという目標が掲げられ 登場し、民間企業の宇宙産業参入が増加した。
ている。
• なかでも、多数の小型・超小型衛星を打ち上げてお互いに協調、
当社は、小型衛星用の「水」を推進剤として用いた推進機の開発・ 連携させる「衛星コンステレーション」を用いた高速通信や地球観
製造・販売を行うスタートアップであり、ミッションとして「人類の可能性 測サービスを提案する事業者が世界中で台頭してきている。
を拡げ続ける」、ビジョンとして「宇宙産業のコアとなるモビリティの創成」
• 衛星コンステレーションを実現するには軌道投入や軌道維持を行う
を掲げている。安全性・入手性・コストの観点で圧倒的な優位性を持
ための推進機が必要だが、従来の大型衛星用推進機は安全性・
つ水を推進剤に用いた衛星用推進機を社会実装することで世界を
入手性・コストの観点で小型衛星への適用に課題がある。
代表する推進機メーカーとなり、衛星コンステレーションや宇宙ゴミの低
減による持続可能な宇宙開発・利用の実現により、宇宙産業全体
の成長に貢献することを目指している。
内発的動機
すでに一部製品の宇宙空間における動作実証を達成しつつあるた
め、顧客である衛星メーカーからの推進機需要に応えられる十分な生 • 当社の創業メンバーらは、「水」推進機の研究において世界をリー
ドする東京大学の小泉研究室において、10年以上に渡って人工
産能力を獲得することで、中長期的に大きく事業を拡大させていく。
衛星用の推進機に関する基礎研究、及び実際の衛星に搭載する
推進機の開発、実運用を行ってきた。
売上成長目標 • しかし、大学では研究としての先進性が注目される一方、ユーザー
• 2029年度までの会社全体の売上高成長率195倍 が求める製品として必要な推進機システム全体の成熟度・信頼性
向上などは重視されずらい状況があり、開発者としてユーザーの期
待に応えたい、大学での基礎研究を実利用につなげたいという強い
想いを持って当社を創業し、事業を推進している。</t>
  </si>
  <si>
    <t>【p.2】
.補助事業の概要 株式会社Pale Blue
2
世界的な小型衛星用推進機の需要増に対応するために、茨城県つくば市に新たに生産技術開発拠点を建設
し、生産技術開発の能力の向上を図る。
世界的な小型衛星の打上げ台数が増加に伴い推進機の需要も伸びているが、当社の既存
補助事業の 事業費 1 億円
3
設備では、技術開発規模や生産能力の観点でも顧客需要に十分に応えることができないため、
背景・目的 （補助額） （3.4億円）
本事業において生産技術開発拠点の新設を行い、生産技術開発の能力の向上を図る。
水推進機の研究・開発・生産にはクリーン室が必要だが、既存の施設
では面積が狭い。製品化の目処が立った製品については、量産化を見据
えた設計・組立の簡素化、製造原価の低減、試験・検査手法の確立が
必要であり、実際の生産工程を見据えた機材を導入し、これに取り組む
ことにより工数削減等の将来的な生産効率の向上につながる。
そこでつくば生産技術開発拠点として、茨城県つくば市内に当社が保
設備投資の 有する土地 (1,911㎡) に、十分な面積のクリーン室を備えた生産技術
内容 開発のための施設の建設を行う。そして、完成した施設内に、測定装置
や試験装置等の設備を導入することで、生産技術開発の能力を向上さ
せる。また、生産や販売の効率化を図るために、プラットフォームシステムと
なるソフトウェア導入も行う。
この大規模設備投資によって、水推進機の生産技術開発工程の短縮
が見込まれ、労働生産性が向上するとともに、納期短縮、原価低減を実
つくば生産技術開発拠点の完成予想図
現できる。
2026年度 2029年度
項目
（基準年度） （基準年度＋３年後）
労働生産性 4,324
-517
（単位：万円/人） （年平均上昇額＋1,614万円）
目標値 従業員1人あたり給与支給総額 757
690
（単位：万円/人） （年平均上昇率＋3.16％）
役員１人あたり給与支給総額 -
-
（単位：万円/人） （年平均上昇率＋3.48％）
補助事業に係る従業員数
84 132
（単位：人）</t>
  </si>
  <si>
    <t>【p.2／設備投資の内容】
•
設備投資の内容︓⼯場建屋、製造設備の導⼊
•
設備投資が課題を解決し得ること
①省⼒化に資する⼯場建屋及び省⼒化能⼒の⾼い新型の製造設
ることで、⼈⼿不⾜への対応、賃上げへの対応を図り、労働⽣産性
②四国⼯場から⻄⽇本エリアへの直接輸送が可能となり、輸送効率
③四国⼯場を設置することで、⻄⽇本エリアの営業⼒が強化されると
梁の受注も可能となり、付加価値を向上できる。
•
労働生産性向上につながる点
①⻄⽇本エリアの営業⼒強化、供給できる橋梁製品
の拡⼤等により売上⾼が増加。また、輸送効率化
等によりコストが削減され、付加価値が向上する。
②省⼒化に配慮した⼯場、省⼒化能⼒の⾼い設備
の導⼊により最小限の⼈員で⼯場を稼働できる。
このため、労働⽣産性が向上する。</t>
  </si>
  <si>
    <t>【p.2】
2.補助事業の概要 矢田工業株式会社
(cid:1)
四国⼯場を建設し、省⼒化能⼒の⾼い新型の製造設備⼀式を導⼊
(cid:1)
省⼒化の推進、輸送コスト削減、機会損失の解消等により、付加価値及び⽣産性向上を実現
•
補助事業の背景︓⻄⽇本エリアからの受注が増加しているが、輸送コスト負担が⼤きく、⼊札に影響を及ぼす
など機会損失が発⽣。また、海上輸送が必要な⼤型案件も受注機会を逃していた。このため、⻄⽇本エリアをカ
補助事業の バーする拠点として、四国⼯場を建設することとなった。
•
背景・目的 補助事業の目的︓四国⼯場の付加価値向上、⽣産性向上を図り、⼈⼿不⾜や賃上げに対応する。
事業費 20億円
•
現在抱えている課題感︓⼈⼿不⾜を解消する省⼒化の推進、輸送効率化、⻄⽇本エリア営業⼒強化、海
（補助額） （6.7億円）
上輸送体制の整備による付加価値および⽣産性の向上。
•
設備投資の内容︓⼯場建屋、製造設備の導⼊
⼯場建設予定地
•
設備投資が課題を解決し得ること
①省⼒化に資する⼯場建屋及び省⼒化能⼒の⾼い新型の製造設備⼀式を導⼊す
ることで、⼈⼿不⾜への対応、賃上げへの対応を図り、労働⽣産性を向上できる。
②四国⼯場から⻄⽇本エリアへの直接輸送が可能となり、輸送効率化を推進できる。
③四国⼯場を設置することで、⻄⽇本エリアの営業⼒が強化されるとともに、⼤型橋
設備投資の
梁の受注も可能となり、付加価値を向上できる。 写真等
•
内容 労働生産性向上につながる点
導⼊設備の⼀例（切断機） （溶接ロボット ツイントーチ）
①⻄⽇本エリアの営業⼒強化、供給できる橋梁製品
の拡⼤等により売上⾼が増加。また、輸送効率化
等によりコストが削減され、付加価値が向上する。
②省⼒化に配慮した⼯場、省⼒化能⼒の⾼い設備
の導⼊により最小限の⼈員で⼯場を稼働できる。
このため、労働⽣産性が向上する。
2025年度 2028年度
項目
（基準年度） （基準年度＋３年後）
労働生産性
762万円/⼈ 1,327万円/⼈（年平均上昇率＋15％）
（単位︓万円/人）
従業員1人あたり給与支給総額
目標値 618万円/⼈ 716万円/⼈（年平均上昇率＋5％）
（単位︓万円/人）
役員１人あたり給与支給総額
0万円/⼈ 0万円/⼈（年平均上昇率＋0％）
（単位︓万円/人）
補助事業に係る従業員数
126⼈ 144⼈
（単位︓人）</t>
  </si>
  <si>
    <t>1.長期成長ビジョン アサヒフォージ株式会社
・製造拠点の国内回帰や円安による輸出増といった機会を活かし、グローバル市場でのシェア拡大に挑む。
・生産の効率化と安全な製造環境を構築し労働力を確保、国内自動車産業の発展へと貢献を続ける。</t>
  </si>
  <si>
    <t>長期成長ビジョン（目指す姿・ビジネスモデル）
• グローバル市場でのシェア拡大へ向けた生産能力の強化
後述する設備投資により、大規模な生産能力と次世代車両の製
造課題へ対応できる体制を確立。グローバル市場での持続的な成
長とシェア拡大を可能とする強靭な製造基盤を生み出していく。
• 少子高齢化に伴う労働力確保と生産性向上
AIやロボットを活用したFA化により、鍛造事業の過酷な環境におい
て、女性や高齢者まで快適に働ける環境を構築する。
さらに一人当たりの労働生産性を高め、筋肉質の組織体制に。
• 地域経済の活性化と持続可能な社会へ向けた取り組み
高効率生産や見える化、再エネ利用などの脱炭素化を進め環境負
荷の低減を図る。また、産学連携や大規模な賃上げと雇用を安定
的に創出することで、地域経済の活性化へ貢献していく。
• 国内企業の自動車産業の発展へ向けた貢献
EVシフトなどを要因とした自動車産業の国際競争が激化する中、
当社が部品開発や安定供給を持続的に行うことで、得意先である
日本の大手企業各社の競争力強化へ貢献し続ける。</t>
  </si>
  <si>
    <t>外発的動機(社会課題の変化やトレンドからの影響)
• 円安による輸出増や製造拠点の国内回帰に伴う需要拡大
鍛造産業は、自動車業界だけでなく幅広い分野に多くの基礎部品を
供給する重要な役割を担う。製造拠点の国内回帰や輸出増加に合
わせた供給量の確保が最優課題となる。
• EVシフトや国際競争の激化に対する製造技術の確立
今後、グローバル市場での競争や技術革新が加速する中で、製品の
品質向上とコストメリットを生み出すため、技術力強化が必要。
• 少子高齢化による労働力の減少
少子高齢化による労働人口の減少が進む中、生産性の向上に加え
て女性や高齢者などが安全に働ける環境を整えることで労働力を確
保、長期的な雇用を生み出し地域活性化にも繋げていく。</t>
  </si>
  <si>
    <t>内発的動機(ビジョンを掲げるに至った、原体験や動機)
• 国内産業を支える鍛造産業の環境改善に向けて
代表(朝日)の入社時には、鍛造産業は当社に限らず、3K(きつい,
汚い,危険)の労働環境で若手従業員はごくわずか、入社してもすぐに
退職する状況であった。
そんな中、国内産業の基礎である鍛造産業を維持するには、若手
が定着する職場環境を生み出す抜本的な改革が必要という危機感
から、「3C 職場」(きれい(CLEAN),快適(COMFORTABLE)・かっこい
い(COOL))を目標に掲げ、環境改善に取り組み続けてきた。
本事業をきっかけに国内自動車産業の国際市場における競争力
強化に加えて、従業員へより良い作業環境を提供し、賃金の引上げ
や雇用創出に対しても永続的に取り組む強い意志がある。</t>
  </si>
  <si>
    <t>【p.1／売上成長目標】
2029年度へ向けた売上成長目標
• 全社の売上高成長率30％(2022年度比)
• 全社の売上高増加額92億円の達成に向け取り組む。
【p.2／グローバル市場向けの大規模な生産要求に対応できる】
グローバル市場向けの大規模な生産要求に対応できる
工場の建設と鍛造生産ラインなど各種生産設備の導入。
【p.2／生産数量の増加(既存比約200％)】
・生産数量の増加(既存比約200％)
・高重量プレス機導入による大型製品への対応。
・最先端設備＋独自のライン構築技術による生産自動化
【p.2／最先端設備の導入で1ライン当たりの生産速度を高め、】
・最先端設備の導入で1ライン当たりの生産速度を高め、
さらにライン数を増加させ生産数量を従来比2倍以上に。
・従来は人手が必要であったボトルネック工程を自動化、
自動搬送や最先端設備導入により生産性向上を図る
・製造環境も整え、女性などの製造進出を促進させる。
・次世代車両など高難度製造へも着手できる体制により、
付加価値額ＵＰによる利益率の改善も図る。</t>
  </si>
  <si>
    <t>【p.1】
1.長期成長ビジョン アサヒフォージ株式会社
・製造拠点の国内回帰や円安による輸出増といった機会を活かし、グローバル市場でのシェア拡大に挑む。
・生産の効率化と安全な製造環境を構築し労働力を確保、国内自動車産業の発展へと貢献を続ける。
外発的動機(社会課題の変化やトレンドからの影響)
長期成長ビジョン（目指す姿・ビジネスモデル）
• 円安による輸出増や製造拠点の国内回帰に伴う需要拡大
• グローバル市場でのシェア拡大へ向けた生産能力の強化 鍛造産業は、自動車業界だけでなく幅広い分野に多くの基礎部品を
後述する設備投資により、大規模な生産能力と次世代車両の製
供給する重要な役割を担う。製造拠点の国内回帰や輸出増加に合
造課題へ対応できる体制を確立。グローバル市場での持続的な成
わせた供給量の確保が最優課題となる。
長とシェア拡大を可能とする強靭な製造基盤を生み出していく。
• EVシフトや国際競争の激化に対する製造技術の確立
• 少子高齢化に伴う労働力確保と生産性向上
今後、グローバル市場での競争や技術革新が加速する中で、製品の
AIやロボットを活用したFA化により、鍛造事業の過酷な環境におい
品質向上とコストメリットを生み出すため、技術力強化が必要。
て、女性や高齢者まで快適に働ける環境を構築する。
さらに一人当たりの労働生産性を高め、筋肉質の組織体制に。
• 少子高齢化による労働力の減少
少子高齢化による労働人口の減少が進む中、生産性の向上に加え
• 地域経済の活性化と持続可能な社会へ向けた取り組み
て女性や高齢者などが安全に働ける環境を整えることで労働力を確
高効率生産や見える化、再エネ利用などの脱炭素化を進め環境負
保、長期的な雇用を生み出し地域活性化にも繋げていく。
荷の低減を図る。また、産学連携や大規模な賃上げと雇用を安定
的に創出することで、地域経済の活性化へ貢献していく。
内発的動機(ビジョンを掲げるに至った、原体験や動機)
• 国内企業の自動車産業の発展へ向けた貢献
• 国内産業を支える鍛造産業の環境改善に向けて
EVシフトなどを要因とした自動車産業の国際競争が激化する中、
代表(朝日)の入社時には、鍛造産業は当社に限らず、3K(きつい,
当社が部品開発や安定供給を持続的に行うことで、得意先である
汚い,危険)の労働環境で若手従業員はごくわずか、入社してもすぐに
日本の大手企業各社の競争力強化へ貢献し続ける。
退職する状況であった。
そんな中、国内産業の基礎である鍛造産業を維持するには、若手
が定着する職場環境を生み出す抜本的な改革が必要という危機感
2029年度へ向けた売上成長目標
から、「3C 職場」(きれい(CLEAN),快適(COMFORTABLE)・かっこい
• 全社の売上高成長率30％(2022年度比)
い(COOL))を目標に掲げ、環境改善に取り組み続けてきた。
• 全社の売上高増加額92億円の達成に向け取り組む。 本事業をきっかけに国内自動車産業の国際市場における競争力
強化に加えて、従業員へより良い作業環境を提供し、賃金の引上げ
や雇用創出に対しても永続的に取り組む強い意志がある。</t>
  </si>
  <si>
    <t>【p.2】
.補助事業の概要 アサヒフォージ株式会社
2
・グローバル市場への事業拡大に向け、大規模かつ独自技術を結集させた高効率化を実現した旗艦工場を建設。
・本事業により、付加価値額と労働生産性を大きく伸ばし、大規模な賃上げを持続的に行っていく。
• グローバル市場や国内回帰に伴う増産計画、次世代車両へ対する新製品開発といった事業
機会へ対し、大規模かつ効率的な生産能力の確立と、次世代車両へ向けたの高付加価値
補助事業の 事業費 億円
製造へ対応できる技術力を併せ持つ、生産拠点を新たに構築する。 168
背景・目的 （補助額） （ 億円）
• 鍛造ラインは、高重量かつ連続的な工程となるため自動化が難しい。しかし、本設備投資と、 50
長年の事業で培った独自技術を組み合わせ自動化を実現、生産性の飛躍的な向上を図る。
グローバル市場向けの大規模な生産要求に対応できる
投資内容
工場の建設と鍛造生産ラインなど各種生産設備の導入。
・生産数量の増加(既存比約200％)
本投資で解決
・高重量プレス機導入による大型製品への対応。
できる技術課題
・最先端設備＋独自のライン構築技術による生産自動化
設備投資の
内容 ・最先端設備の導入で1ライン当たりの生産速度を高め、
さらにライン数を増加させ生産数量を従来比2倍以上に。
労働生産性向上 ・従来は人手が必要であったボトルネック工程を自動化、
などへつながる 自動搬送や最先端設備導入により生産性向上を図る
工夫点 ・製造環境も整え、女性などの製造進出を促進させる。
・次世代車両など高難度製造へも着手できる体制により、
付加価値額ＵＰによる利益率の改善も図る。
2026年度(2027年5月末決算) 2029年度(2030年5月末決算)
項目
(基準年度) （基準年度＋３年後）
労働生産性 1,941万円
1,156万円
（単位：万円/人） （年平均上昇率＋18.8％）
目標値 従業員1人あたり給与支給総額 588万円
522万円
（単位：万円/人） （年平均上昇率 ＋ 4.03％）
役員１人あたり給与支給総額 ー
ー
（単位：万円/人） （年平均上昇率＋4.01％）
補助事業に係る従業員数
195 230
（単位：人）</t>
  </si>
  <si>
    <t>ウィング株式会社
1.長期成長ビジョン
職人の人口減少する施工現場において省人化が可能な建築材である2x4の普及を進め、業界トップシェアとし
て2x4コンポーネント事業の全国展開を実現することでカーボンニュートラルの達成を目指す</t>
  </si>
  <si>
    <t>長期成長ビジョン（目指す姿・ビジネスモデル）
• 職人の人口減少する施工現場において省人化が可能な建築材で
ある2x4の普及を進め、業界トップシェアとして2x4コンポーネント事
業の全国展開を実現することで、木造建築の増加による脱炭素を
実現し、日本社会におけるカーボンニュートラルの達成を目指す
1. 建設現場の人口減少の解決策として、現場負担の少ない省人
化・短納期化した2x4工法の普及、および住宅・非住宅における
2x4国内シェアの20%獲得
2. 脱個の技能依存、省人化を進め障害者や高齢者、女性の働き
やすい雇用におけるダイバーシティを生み出す環境の整備
3. 全国の各地域に拠点を建設、物流コスト削減、木材の地産地消
等の国産木材利用促進を通じて、脱炭素によるカーボンニュートラ
ルの達成を目指す</t>
  </si>
  <si>
    <t>外発的動機
• ウッドショックにより木材調達が困難になり国内木材の必要性の再
認識により需要の増加
• 中長期的には、木造建築がカーボンニュートラルに寄与することから、
政策による国産材推進への期待
• 木造建築を担う大工人口の急激な減少と高齢化による人材不足
から、住宅建設において現場での効率化・省人化が求められている</t>
  </si>
  <si>
    <t>内発的動機
• お客様を大切に、良い製品を提供し安心できる家作りに貢献する
ことを企業理念とし、創業期より2x4建材の開発および活用に取り
組んでいる
• 民間事業者で初めて、農林水産省と『建築物木材利用促進協
定』を締結し国産木材が、川上~川下まで安定供給される効率的
なサプライチェーン構築の取り組みを進めている
• 多様性に富んだ人材の登用を目指し、女性の活躍の場を広げるた
め「育児時短勤務制度」の導入や、日本人と同じ給与体系での外
国人雇用、障障碍者学校児童の雇用、高齢者の再雇用などに取
り組んでいる</t>
  </si>
  <si>
    <t>【p.1／売上成長目標】
売上成長目標
• 2030年までに会社全体の売上高 25億円増(＋15%)売
上200億円、2035年までに会社全体の売上高 53億円増
(+30%)売上230億円を目指す</t>
  </si>
  <si>
    <t>【p.1】
ウィング株式会社
1.長期成長ビジョン
職人の人口減少する施工現場において省人化が可能な建築材である2x4の普及を進め、業界トップシェアとし
て2x4コンポーネント事業の全国展開を実現することでカーボンニュートラルの達成を目指す
長期成長ビジョン（目指す姿・ビジネスモデル） 外発的動機
• ウッドショックにより木材調達が困難になり国内木材の必要性の再
• 職人の人口減少する施工現場において省人化が可能な建築材で
認識により需要の増加
ある2x4の普及を進め、業界トップシェアとして2x4コンポーネント事
• 中長期的には、木造建築がカーボンニュートラルに寄与することから、
業の全国展開を実現することで、木造建築の増加による脱炭素を
政策による国産材推進への期待
実現し、日本社会におけるカーボンニュートラルの達成を目指す
• 木造建築を担う大工人口の急激な減少と高齢化による人材不足
から、住宅建設において現場での効率化・省人化が求められている
1. 建設現場の人口減少の解決策として、現場負担の少ない省人
化・短納期化した2x4工法の普及、および住宅・非住宅における
2x4国内シェアの20%獲得
2. 脱個の技能依存、省人化を進め障害者や高齢者、女性の働き
やすい雇用におけるダイバーシティを生み出す環境の整備
内発的動機
3. 全国の各地域に拠点を建設、物流コスト削減、木材の地産地消
等の国産木材利用促進を通じて、脱炭素によるカーボンニュートラ • お客様を大切に、良い製品を提供し安心できる家作りに貢献する
ルの達成を目指す ことを企業理念とし、創業期より2x4建材の開発および活用に取り
組んでいる
• 民間事業者で初めて、農林水産省と『建築物木材利用促進協
売上成長目標
定』を締結し国産木材が、川上~川下まで安定供給される効率的
• 2030年までに会社全体の売上高 25億円増(＋15%)売 なサプライチェーン構築の取り組みを進めている
上200億円、2035年までに会社全体の売上高 53億円増
• 多様性に富んだ人材の登用を目指し、女性の活躍の場を広げるた
(+30%)売上230億円を目指す
め「育児時短勤務制度」の導入や、日本人と同じ給与体系での外
国人雇用、障障碍者学校児童の雇用、高齢者の再雇用などに取
り組んでいる</t>
  </si>
  <si>
    <t>【p.2】
.補助事業の概要 ウィング株式会社
2
省力化設備の導入により、外注業務の内製化を実施するとともに、熟練した職人ではなく障がい者や高齢者の
働ける環境を整備し、生産効率を高めるとともに雇用ダイバーシティを生み出す
補助事業の • 特定の個人に依存する技能依存脱却のため、外注業務の内製化及び多様な省人化設備導 事業費 2 億円
1
背景・目的 入により、生産効率の高い2x4コンポーネント工場モデルを確立する （補助額） （6.6億円）
2x4コンポーネントの加工工程において、多様な省人化設備（中央集塵機、自動カッ
トソー、設備パネルライン等）を導入した生産効率の高い工場を新設
＜目的＞
• 省人化による生産効率の高い2x4コンポーネント工場モデルの確立
• 技能依存がなく多様な人材が活躍できる工場の実現
• 業務を内製化しリードタイムを短縮することによる生産性向上
設備投資の
＜労働生産性の大幅な向上の根拠＞
内容
• 省人化設備の導入による生産性の向上、1工程における人員削減により1人当たり
生産効率は最大100%増
• 最新設備導入により、今まで職人しかできなかった業務を高齢者や障害者等の多様
な人材が行うことが可能となる。同時に、熟練した職人はより高付加価値の業務に当
たることが可能
上記を行うことで2x4コンポーネントの年間生産量を108千坪※から144千坪まで引き
上げる ※ここでの「坪」は2x4コンポーネントの生産単位として使用
項目 2027年度（基準年度） 2030年度（基準年度＋３年後）
労働生産性 24,107千円
9,853千円
（千円/人） （年平均上昇率＋34.8％）
目標値 従業員1人あたり 6,305千円
5,565千円
給与支給総額（千円/人） （千葉県5,741千円、東京都8,375千円）
（千葉県5,060千円、東京都7,381千円）
（年平均上昇率＋4.3％）
役員1人あたり —
―
給与支給総額（千円/人） （年平均上昇率＋4.3％）</t>
  </si>
  <si>
    <t>株式会社友和環境
1.⾧期成⾧ビジョン
■社会課題や顧客ニーズの変化等を踏また、⾧期的な社会への価値提供のビジョンと売上成⾧目標</t>
  </si>
  <si>
    <t>⾧期成⾧ビジョン（目指す姿・ビジネスモデル）
【当社が目指す姿】
企業理念:仕事を通じて地域社会に貢献する
事業目標:「徹底した分別と最大限のリサイクル」を追求し、環境と地
球のために新しい技術、新しい環境問題に挑戦する
【具体的なビジネスモデル】
（全体像）
当社は「リサイクル」を基軸としたビジネスにより、環境負荷低減を通じて、地域社
会の発展、環境保全の両面から、持続可能な社会の形成に貢献する。
（具体的なバリューチェーン）
当社は中間処理事業者として様々な産業廃棄物を処理している。その中で
も特にプラスチック再生に注力しており、当該分野にて効率的なリサイクルを目
指す。またその過程において、生産技術の高度化により労働生産性の向上、
創出付加価値の最大化によって、社会貢献と事業成⾧を同時に達成する。
具体的には、現在地元企業から受け入れている産業廃棄物量を年間約
15,000トン増強する。また本補助事業で導入する設備によって中間処理技
術の高度化により、最終処分(埋立処理)を7%低減すると同時に新製品であ
る「フラフ燃料」の生産を実現する。
これにより、中⾧期計画成⾧ビジョンにおいて「産業廃棄物の受け入れ増強」、
「最終処分の低減」、「新燃料の生産」を実現し、地域貢献と持続可能な社
会の実現に貢献する。</t>
  </si>
  <si>
    <t>び外発的動機を踏まえた、当社の持続的な成⾧への思い
外発的動機
【社会課題からの動機】
環境保全に対する世界的な取り組み強化において、国内においても各種法令整
備や民間企業の取り組みが促進されている。プラスチック廃棄物の削減とリサイクル
の促進を通じて、循環型社会の構築が推進されている。
【法令に関する動機】
「プラスチックリサイクル推進宣言(2018年)」
「環境推進基本計画(2018年)」
「プラスチック資源循環推進法(2020年)」
「プラスチック製品の分別収集・再利用に関する指針(2020年)」
【技術革新と新たな顧客ニーズ】
廃プラスチックの新たな活用方法として注目されている、「フラフ燃料」の生産技術
の進歩により、新たな顧客ニーズが生まれている。
当社が顧客として想定している国内セメント産業においては、セメント生産の際に
窯で燃焼させる石炭や天然ガスの代替燃料として廃プラスチックの「フラフ燃料」によ
るサーマルリサイクルニーズが高まっている。</t>
  </si>
  <si>
    <t>の内発的動機及び外発
）
を追求し、環境と地
題に挑戦する
負荷低減を通じて、地域社
内発的動機
【社会的責任】
当社はグループ指針である「地域社会の発展と環境づくりに貢献する企業グループ
を目指す。」を軸に、環境負荷低減を下支えする企業グループとして20年以上事業
を営んでいる。
昨今加速する環境保全への取り組みにさらなる貢献をすべく、本補助事業にて環
境負荷低減の施策を促進し、当社の社会的責任を果たす。
【事業性の認識】
「フラフ燃料」の生産については、国内で対応できる事業者が少なく、市場ニーズと
供給体制のギャップから事業性が高いと見込んでいる。また当社の既存技術や経営
リソースを活かすことで、十分に事業化が見込める分野であると見込んでいる。</t>
  </si>
  <si>
    <t>売上成⾧目標
• 2030年までに会社全体の売上高成⾧率145％
• 2030年までに会社全体の売上高増加額7.1億円</t>
  </si>
  <si>
    <t>【p.1／売上成長目標】
売上成⾧目標
• 2030年までに会社全体の売上高成⾧率145％
• 2030年までに会社全体の売上高増加額7.1億円
【p.2／2027年度】
2027年度
項目
（基準年度）</t>
  </si>
  <si>
    <t>【p.1】
株式会社友和環境
1.⾧期成⾧ビジョン
■社会課題や顧客ニーズの変化等を踏また、⾧期的な社会への価値提供のビジョンと売上成⾧目標
■ビジョン策定に至るまでの経営者の内発的動機及び外発的動機を踏まえた、当社の持続的な成⾧への思い
⾧期成⾧ビジョン（目指す姿・ビジネスモデル） 外発的動機
【社会課題からの動機】
【当社が目指す姿】
環境保全に対する世界的な取り組み強化において、国内においても各種法令整
企業理念:仕事を通じて地域社会に貢献する 備や民間企業の取り組みが促進されている。プラスチック廃棄物の削減とリサイクル
の促進を通じて、循環型社会の構築が推進されている。
事業目標:「徹底した分別と最大限のリサイクル」を追求し、環境と地
球のために新しい技術、新しい環境問題に挑戦する 【法令に関する動機】
「プラスチックリサイクル推進宣言(2018年)」
【具体的なビジネスモデル】
「環境推進基本計画(2018年)」
（全体像） 「プラスチック資源循環推進法(2020年)」
「プラスチック製品の分別収集・再利用に関する指針(2020年)」
当社は「リサイクル」を基軸としたビジネスにより、環境負荷低減を通じて、地域社
会の発展、環境保全の両面から、持続可能な社会の形成に貢献する。
【技術革新と新たな顧客ニーズ】
（具体的なバリューチェーン） 廃プラスチックの新たな活用方法として注目されている、「フラフ燃料」の生産技術
の進歩により、新たな顧客ニーズが生まれている。
当社は中間処理事業者として様々な産業廃棄物を処理している。その中で
当社が顧客として想定している国内セメント産業においては、セメント生産の際に
も特にプラスチック再生に注力しており、当該分野にて効率的なリサイクルを目
窯で燃焼させる石炭や天然ガスの代替燃料として廃プラスチックの「フラフ燃料」によ
指す。またその過程において、生産技術の高度化により労働生産性の向上、
るサーマルリサイクルニーズが高まっている。
創出付加価値の最大化によって、社会貢献と事業成⾧を同時に達成する。
具体的には、現在地元企業から受け入れている産業廃棄物量を年間約
内発的動機
15,000トン増強する。また本補助事業で導入する設備によって中間処理技
【社会的責任】
術の高度化により、最終処分(埋立処理)を7%低減すると同時に新製品であ
当社はグループ指針である「地域社会の発展と環境づくりに貢献する企業グループ
る「フラフ燃料」の生産を実現する。
を目指す。」を軸に、環境負荷低減を下支えする企業グループとして20年以上事業
これにより、中⾧期計画成⾧ビジョンにおいて「産業廃棄物の受け入れ増強」、
を営んでいる。
「最終処分の低減」、「新燃料の生産」を実現し、地域貢献と持続可能な社
昨今加速する環境保全への取り組みにさらなる貢献をすべく、本補助事業にて環
会の実現に貢献する。
境負荷低減の施策を促進し、当社の社会的責任を果たす。
売上成⾧目標 【事業性の認識】
• 2030年までに会社全体の売上高成⾧率145％ 「フラフ燃料」の生産については、国内で対応できる事業者が少なく、市場ニーズと
供給体制のギャップから事業性が高いと見込んでいる。また当社の既存技術や経営
• 2030年までに会社全体の売上高増加額7.1億円
リソースを活かすことで、十分に事業化が見込める分野であると見込んでいる。</t>
  </si>
  <si>
    <t>【p.2】
株式会社友和環境
2.補助事業の概要
■補助事業の目的、補助額、設備投資内容、解決する課題、労働生産性向上への効果
■補助事業における労働生産性・賃上げの目標値
・ 当社顧客より、新燃料（フラフ燃料）の生産依頼を頂いた。しかし当社現有設備では、産廃受入量、生
産品の品質担保の両面から当該要求に対応することが出来ない。ため大規模な設備投資を行い、この課題
補助事業の 事業費 16億円
を解決する。
背景・目的 （補助額） （5.3億円）
・また同時に、最新設備導入による省力化・省人化によって、労働生産性の向上を図るとともに、人材不足の
課題解決を目指す。
【導入設備】
・ 新工場建設
・ 選別フラフ製造ライン一式
（バリソート、選別プラント、フラフ燃料製造プラント）
【課題解決の根拠】
設備投資の
・ 本設備の導入により、顧客要求のフラフ燃料を製造出来るようになる。
内容
・ 設備ラインの新設によって、月間1,300トンの廃棄物受入が可能となる
【労働生産性向上の根拠】
・高付加価値再生材の生産 （フラフ燃料製造）
・省人化による労働生産性の向上（ラインの自動化による省人化）
【フラフ製造ラインイメージ写真】
2027年度 2030年度
項目
（基準年度） （基準年度＋３年後）
労働生産性 1,765万円/人
1,133万円/人
（単位:万円/人） （年平均上昇率16.1％）
目標値 従業員1人あたり給与支給総額 623万円/人
509万円/人
（単位:万円/人） （年平均上昇率＋7.0％）
役員１人あたり給与支給総額 ー
ー
（単位:万円/人） （年平均上昇率＋5.98％）
補助事業に係る従業員数
20人 20人
（単位:人）</t>
  </si>
  <si>
    <t>1.長期成長ビジョン ナミックス株式会社
半導体原材料市場にて、市場環境から求められる製品の供給体制整備及び顧客志向での投資・カスタマイズ
を通じてオンリーワンかつナンバーワンとなる製品を供給し、持続的な成長を目指します。</t>
  </si>
  <si>
    <t>長期成長ビジョン（目指す姿・ビジネスモデル）*¹
〈目指す姿〉
• 半導体原材料市場において、他社が真似できない特徴
を持つオンリーワンの製品を供給し、それぞれの市場でシェ
アナンバーワンを目指す
• 既存顧客を大切にしながら長期取引の顧客を増やし、
自社が先行して顧客ニーズの変化に対応した製品開発
を行い、顧客の変化を実現する
〈ビジネスモデル〉
• 世界大手の半導体企業等、700社以上の既存取引先
に対し、それぞれの細かなニーズに応じたオーダーメイドの
製品を提供
• 市場シェアの過半を占める製品やトップシェアの製品を複
数ラインナップし、プライスリーダーとして利益率の高い価
格設定で販売
*1 長期成長ビジョンに係る補足情報（当社の基本方針・これまでの取組）は26頁に掲載</t>
  </si>
  <si>
    <t>市場環境から求められること（外発的動機）
• 市場の成長とニーズ変化への対応
利用用途の多様化に伴い、半導体市場は年平均5%の成長が予想されて
おり、さらに製品へのニーズは常に変化する。継続的に市場の期待に応える
ためには、生産能力向上や変化するニーズに対応する製品供給、安定した
生産キャパシティが求められる
• 継続的かつ積極的な投資
当社は半導体のバリューチェーンにて上流に位置し、下流（最終製品）の
急速な変化に対し一定の柔軟性を持って対応可能なため、継続的・積極
的投資を通じて長期的に収益を創出する
• 安定的な人財確保
社会全体で人手不足が深刻化する一方、自社の強みである各人が保有
するノウハウやスキル・知見の継続的な蓄積と伝承が求められる。契約社員
の正社員化を進め、安定的な生産体制を整える</t>
  </si>
  <si>
    <t>自社が志向していること（内発的動機）
• 顧客志向での先行投資
将来的な顧客ニーズ予測・不確実性のリスクをとった先行投資を行い、顧客
が必要とするタイミングで供給可能となる体制を目指している
• 細やかな個別ニーズへの対応
長期取引の顧客を大切にし、顧客が描く夢を一緒に実現するための製品を
提供したいと考えている。そのために、他社が取り組まない製品製造や細や
かなカスタマイズ要望に対して積極的に対応している</t>
  </si>
  <si>
    <t>【p.1／売上成長目標】
売上成長目標
• 2029年度の全社売上高755億円、営業利益163
億円
• 2024～2029年度までの売上高成長率7.2％、
売上高増加額220億円</t>
  </si>
  <si>
    <t>【p.1】
1.長期成長ビジョン ナミックス株式会社
半導体原材料市場にて、市場環境から求められる製品の供給体制整備及び顧客志向での投資・カスタマイズ
を通じてオンリーワンかつナンバーワンとなる製品を供給し、持続的な成長を目指します。
長期成長ビジョン（目指す姿・ビジネスモデル）*¹ 市場環境から求められること（外発的動機）
〈目指す姿〉 • 市場の成長とニーズ変化への対応
• 半導体原材料市場において、他社が真似できない特徴 利用用途の多様化に伴い、半導体市場は年平均5%の成長が予想されて
を持つオンリーワンの製品を供給し、それぞれの市場でシェ おり、さらに製品へのニーズは常に変化する。継続的に市場の期待に応える
アナンバーワンを目指す ためには、生産能力向上や変化するニーズに対応する製品供給、安定した
生産キャパシティが求められる
• 既存顧客を大切にしながら長期取引の顧客を増やし、
自社が先行して顧客ニーズの変化に対応した製品開発 • 継続的かつ積極的な投資
を行い、顧客の変化を実現する 当社は半導体のバリューチェーンにて上流に位置し、下流（最終製品）の
急速な変化に対し一定の柔軟性を持って対応可能なため、継続的・積極
的投資を通じて長期的に収益を創出する
〈ビジネスモデル〉
• 世界大手の半導体企業等、700社以上の既存取引先 • 安定的な人財確保
に対し、それぞれの細かなニーズに応じたオーダーメイドの 社会全体で人手不足が深刻化する一方、自社の強みである各人が保有
製品を提供 するノウハウやスキル・知見の継続的な蓄積と伝承が求められる。契約社員
の正社員化を進め、安定的な生産体制を整える
• 市場シェアの過半を占める製品やトップシェアの製品を複
数ラインナップし、プライスリーダーとして利益率の高い価
格設定で販売
自社が志向していること（内発的動機）
• 顧客志向での先行投資
売上成長目標
将来的な顧客ニーズ予測・不確実性のリスクをとった先行投資を行い、顧客
• 2029年度の全社売上高755億円、営業利益163 が必要とするタイミングで供給可能となる体制を目指している
億円
• 細やかな個別ニーズへの対応
• 2024～2029年度までの売上高成長率7.2％、
長期取引の顧客を大切にし、顧客が描く夢を一緒に実現するための製品を
売上高増加額220億円
提供したいと考えている。そのために、他社が取り組まない製品製造や細や
かなカスタマイズ要望に対して積極的に対応している
*1 長期成長ビジョンに係る補足情報（当社の基本方針・これまでの取組）は26頁に掲載</t>
  </si>
  <si>
    <t>【p.2】
2 .補助事業の概要 ナミックス株式会社
半導体市場成長に伴う需要の高まりに対応するため、工場を新設し、生産能力の向上を目指します。売上を
拡大し、業務効率化により労働生産性を高めることで、安定的な賃上げを実現します。
補助事業の • 製品需要の高まりを背景に、安定供給を通じて「持続的な成長」を実現するため、工場の新 事業費 2 億円
29
背景・目的 設により生産能力を増強する。同時に既存工場の一部を再編し、生産の効率化を図る （補助額） （50億円）
• 設備投資内容
• 工場上屋（床面積17,690.44平米）新設と設備導入を計画（総額約250億円）
• うち、上屋の新設に対し補助金を申請
（建設費総額約200億円の内、50億円を補助金から充当）
• 補助額を上回る上屋及び設備導入投資（約50億円）は、自己資金に加え、
設備投資の 銀行借り入れ等を活用し資金を確保する計画
内容 • 設備投資による効果
• 生産能力増強により需要変動に対応した製品の安定供給を狙う（増強の規模は、最終的に現在の本社工場と同程度を
想定）
• 新鋭設備導入により生産を省力化し、1人当たりの売上高増加・労働生産性向上を見込む。増加分は賃上げ原資にも充
て、1人当たり給与支給総額の増加を図る（当該プロセスには、「契約社員の正社員化」も含む）
• 製造設備や空調設備等が最新化されることにより、消費エネルギーの低減につながり環境配慮（脱炭素化）にも寄与
2026年度 2029年度
項目
（基準年度） （基準年度＋３年後）
労働生産性* 3,275
3,192
（単位：万円/人） （年平均上昇率＋2.4％）
目標値 従業員1人あたり給与支給総額 1,017
930
（単位：万円/人） （年平均上昇率＋3.0％）
役員１人あたり給与支給総額 -
-
（単位：万円/人） （年平均上昇率＋3.0％）
補助事業に係る従業員数
801 868
（単位：人）
* 当社では、想定為替レート1ドル=100円で計画を策定
役員を除いた従業員数で計算しているため、様式2と数値が異なる</t>
  </si>
  <si>
    <t>大岡技研株式会社
1.長期成長ビジョン
カーボンニュートラル実現に向けたEVシフトで主事業の売上減少が見込まれる中、
新市場への挑戦で更なる会社成長を目指す。
長期成長ビジョン
２０年後を見据えた企業経営の実現のため、強みを伸ばし弱
みを克服していく。</t>
  </si>
  <si>
    <t>長期成長ビジョン
２０年後を見据えた企業経営の実現のため、強みを伸ばし弱
みを克服していく。
EV関連・非自動車事業において
顧客ニーズに応える技術開発と提案力で、
新市場の創造と開拓
技術で差別化 ニーズ対応
技術開発・集積 生産能力の増加と効率化
売上高
・鍛造の高度開発 ・切削能力増加
向上
・切削の高度化と集積 ・新しい鍛造部品の生産
生産性向上 原価低減
・トコトン「集約化」 ・3M合理化
収益性
・デジタル活用（IoT) ・インライン計測、自動
向上
搬送
超高効率工場 物価高騰対応
営業活動
・PUSH型の開発提案
・アフターフォロー</t>
  </si>
  <si>
    <t>外発的動機
• 売上の88.3%をガソリン車部品に依存している。2029年に
ガソリン車減少で売上高27%減少の見込んでおり、新事業
の拡大が急務にある。
• EVは電費向上、コスト削減、NVH改善に課題が多く、今後
もユニットコンパクト化、部品点数削減、精度向上のニー
ズが高く技術の差別化による参入チャンスが高まっている。
• 工作機、工具の進歩で切削加工のコスト優位が高くなり、
ニーズが高い。
• 材料費、電力費、輸送費のコスト増加しており、コスト競
争力の強化が必要である。</t>
  </si>
  <si>
    <t>内発的動機
• 鉄道から自動車への事業転換に成功した経験
• 欧州自動車メーカーは保守的で新規参入が非常に難しい中、
顧客ニーズに応える技術提案で顧客を創造した経験
• 主力事業の売上が減少していく危機感
• 失敗を恐れず、世界ナンバーワンの技術・生産体制を目指
す企業風土</t>
  </si>
  <si>
    <t>【p.1／売上成長目標】
売上成長目標(2029年)
• EV関連・非自動車事業で売上80億円(成長率1,476%)
• 全社売上高 260億円（売上高成長率 18%）</t>
  </si>
  <si>
    <t>【p.1】
大岡技研株式会社
1.長期成長ビジョン
カーボンニュートラル実現に向けたEVシフトで主事業の売上減少が見込まれる中、
新市場への挑戦で更なる会社成長を目指す。
長期成長ビジョン
２０年後を見据えた企業経営の実現のため、強みを伸ばし弱
みを克服していく。
外発的動機
• 売上の88.3%をガソリン車部品に依存している。2029年に
EV関連・非自動車事業において
ガソリン車減少で売上高27%減少の見込んでおり、新事業
顧客ニーズに応える技術開発と提案力で、
の拡大が急務にある。
新市場の創造と開拓
• EVは電費向上、コスト削減、NVH改善に課題が多く、今後
もユニットコンパクト化、部品点数削減、精度向上のニー
ズが高く技術の差別化による参入チャンスが高まっている。
技術で差別化 ニーズ対応
• 工作機、工具の進歩で切削加工のコスト優位が高くなり、
技術開発・集積 生産能力の増加と効率化
ニーズが高い。
売上高
・鍛造の高度開発 ・切削能力増加
向上 • 材料費、電力費、輸送費のコスト増加しており、コスト競
・切削の高度化と集積 ・新しい鍛造部品の生産
争力の強化が必要である。
生産性向上 原価低減
・トコトン「集約化」 ・3M合理化
収益性
・デジタル活用（IoT) ・インライン計測、自動
向上
搬送 内発的動機
超高効率工場 物価高騰対応
• 鉄道から自動車への事業転換に成功した経験
• 欧州自動車メーカーは保守的で新規参入が非常に難しい中、
営業活動
顧客ニーズに応える技術提案で顧客を創造した経験
・PUSH型の開発提案
• 主力事業の売上が減少していく危機感
・アフターフォロー
• 失敗を恐れず、世界ナンバーワンの技術・生産体制を目指
す企業風土
売上成長目標(2029年)
• EV関連・非自動車事業で売上80億円(成長率1,476%)
• 全社売上高 260億円（売上高成長率 18%）</t>
  </si>
  <si>
    <t>【p.2】
大岡技研株式会社
.補助事業の概要
2
EV関連事業での売上・利益拡大を目的にして、新工場・ラインの立ち上げとデジタル技術の導入
を行う。量産対応、技術集積、超効率化で競争力を高めて新たな事業の柱づくりを実現する。
EV関連市場での顧客ニーズへの対応、生産性向上と原価低減を実現するため新工場の建設、切削
補助事業の ライン、計測と搬送の自動化、IoTセンサの導入を行い受注対応と収益向上を実現する。生産余力 事業費 52億円
背景・目的 が生じる既存の鍛造ラインではラインの集約化と生産性向上に加えて、技術開発によって非自動 （補助額） （15億円）
車市場でも新規受注を実現する。
EV関連部品向け生産ライン 本社工場 IoTシステム 室蘭工場 IoTシステム
田籾工場（新工場）
建屋、物流倉庫、変電所、クーリングタワー、空調等、2スピンドル
CNC旋盤11台、 CNC旋盤3台、インライン計測機3台、ブローチ盤1台、鋸
切断機1台、立型マシニングセンタ1台、インライン計測機1台、自動搬
送装置1式、生産管理システム1式、IoTシステム1式、自動倉庫2式、浸
炭炉1式、洗浄機1式、焼きもどし炉1式、浸炭炉自動搬送システム1式、
自動倉庫1式、三次元測定器1台、形状測定機1台、自動外観検査装置2台、
AGF搬送機4台、浸炭測定器1式 熱間冷間鍛造、切削 熱間冷間鍛造、切削
設備投資の
内容 本社工場 篠原工場 IoTシステム 田籾工場(新工場)、物流倉庫、
生産管理システム、IoTシステム
歯車測定1式、IoTシステム1式
室蘭工場 切削加工の大量
生産、技術集積
2スピンドルCNC旋盤8台、自動搬送装置2式、インライン計測機2台 、
立型マシニングセンタ1台、IoTシステム1式、ブローチ盤2台 を図る
構想レイアウト
篠原工場
冷間鍛造・熱処理 切削
IoTシステム1式
2026年度 2029年度
項目
（基準年度） （基準年度＋３年後）
労働生産性 797.7
681.8
（単位：万円/人） （年平均上昇率＋5.37％）
従業員1人あたり給与支給総額（愛知県） 599.1
547.3
（単位：万円/人） （年平均上昇率＋3.06％）
目標値
従業員1人あたり給与支給総額（北海道） 567.5
518.6
（単位：万円/人） （年平均上昇率＋3.05％）
役員１人あたり給与支給総額 -
-
（単位：万円/人） （年平均上昇率＋3.13％）
補助事業に係る従業員数
768 796
（単位：人）</t>
  </si>
  <si>
    <t>1.長期成長ビジョン</t>
  </si>
  <si>
    <t>の外発的動機
社会課題の解決と持続的な社会価値創造に対応するため</t>
  </si>
  <si>
    <t>の内発的動機
ビリティ経営を主軸に社会・企業価値の最大化を目指す。</t>
  </si>
  <si>
    <t>【p.4／各事業に横串を差し、事業シナジーの最大化とM&amp;A加速による】
各事業に横串を差し、事業シナジーの最大化とM&amp;A加速による
事業成長を図るためにホールディングス化を検討中
【p.5／滋賀湖南新工場 イメージ図】
滋賀湖南新工場 イメージ図</t>
  </si>
  <si>
    <t>【p.1】
1.長期成長ビジョン
フクシマガリレイ株式会社
ガリレイグループのありたい姿と社会への提供価値
パーパス「食といのちの未来を拓く」の実現に向け、社会課題の解決を通して、新たな社会価値を提供し続けます。
【p.2】
1.長期成長ビジョン
フクシマガリレイ株式会社
経営者の外発的動機
新たな社会課題の解決と持続的な社会価値創造に対応するため、パーパスを新たに策定。
気候変動対応、フードロス低減、健康寿命、再生医療などの新たな社会課題の解決と持
続的な社会価値創造に対応するため、新たにパーパスを策定。従来の食という事業領域に
とどまらず、人のいのち(メディカル、ヘルスケア)、食材のいのち（フードロス・社会問題）、地
球のいのち(環境負荷低減)へも事業領域を拡大
【p.3】
1.長期成長ビジョン
フクシマガリレイ株式会社
経営者の内発的動機
サステナビリティ経営を主軸に社会・企業価値の最大化を目指す。
企業理念をベースに、社会課題の解決と企業の成長の両方を追い求めることで、社会価値と企業価値の最大化を図ることが
重要だと認識。ありたい姿としてパーパスを定め、サステナビリティ経営を主軸に社会・企業価値の最大化を目指す。
【p.4】
1.長期成長ビジョン
フクシマガリレイ株式会社
ガリレイグループの持続的な成長ビジョン
Purpose
「食といのちの未来を拓く」
・・・・・・ ありたい姿
グループ売上2,000億円
・・・・・・・・・・・・・・・・・ ターゲット
営業利益率10%以上
サステナビリティ経営を主軸に社会・企業価値の最大化 ・・・・・・・・ 戦略の方向性
社会課題解決による事業領域の拡大
シ 業 パ フ サ エ メ 自
事 ス ー ョ 冷 庫 ル ネ 事 ー リ 業 ー ビ グ ン ジ ン 事 デ ィ 事 ン 動 化 ・・・ 事業ドメイン
業 事 ニ 業
業 ケ 事 事 ザ ス カ 業 ラ
業 ア
ー 業 業 ー 事 リ ル イ
各事業に横串を差し、事業シナジーの最大化とM&amp;A加速による
事業成長を図るためにホールディングス化を検討中
・・・ 経営戦略
GALILEI Global Vison2030 GALILEI Academy
Dramatic Future 2050 Zero Call Company
アジアのコールドチェーン 人的資本への投資
持続的な社会価値創造 「直す」から「止めない」へ
発展に貢献 働きがいあふれる会社
食のインフラを川上から川下まで支えるオンリーワン企業
・・・ ケイパビリティ
企業理念「幸せ四則」
・・・ 存在意義</t>
  </si>
  <si>
    <t>【p.5】
.補助事業の概要
2
フクシマガリレイ株式会社
新工場稼働による事業拡大
• 冷凍冷蔵ショーケースの省エネルギー化や冷媒規制対応、また冷凍食品の需要の高まりや、
補助事業の 店舗形態の変化等への対応を受け、本事業への投資を実施し、冷凍冷蔵ショーケース事業 事業費 137 億円
背景・目的 の更なる拡大を図る （補助額） （2 8 億円）
• 東南アジア圏の拡大する食品小売店舗の新規出店への対応
滋賀湖南新工場 イメージ図
• 生産・物流リードタイムの短縮と多様な顧客ニーズに対応するため、受注
から生産計画までの一貫生産体制の構築と、24時間稼働の自動生産
装置により、従来に比べ3.2倍の生産性向上を図る生産設備とする。
• 人ありきのモノづくりから脱却し、多品種少量生産に対応した生産工程
の自動化や自動搬送機を導入することで省力省人化を図る。
設備投資の • ショーケースのマザー工場として次世代の高付加価値製品の研究開発
拠点を設置
内容
• 環境に配慮した生産時のCO2排出量フリーを目指し、建物は省エネ構
造とし、自家消費型太陽光発電設備を設置
• 最新設備の導入等、安全で働きやすい魅力ある職場環境の整備
2026年度 2029年度
項目
（基準年度） （基準年度＋３年後）
労働生産性 4,634.1万円/人
目標値 3,201.6万円/人
（万円/人） （年平均上昇率＋13.2％）
従業員1人あたり 611.6万円/人
560.0万円/人
給与支給総額（万円/人） （年平均上昇率＋2.98％）</t>
  </si>
  <si>
    <t>株式会社オーレック
1.長期成長ビジョン
・当社製造の農業用機器の普及促進により、日本及び世界の「農業」の活性化を目指していく
・工場や営業所の新設による雇用創出、継続的な賃上げ ・世の中に役立つものを誰よりも先に創る</t>
  </si>
  <si>
    <t>長期成長ビジョン（目指す姿・ビジネスモデル）
〈基本方針〉
・当社製造の農業用機器の普及促進により、日本及び世界の「農業」の活性
化を目指していく。
・工場や営業所の新設による雇用創出、継続的な賃上げ ・世の中に役立つ
ものを誰よりも先に創る
〈重点戦略〉
• 農業用機器の生産量の増加
営業部門が好調であり、販売数や納品依頼が増加しているものの、
生産が追い付いていない状況。早期に生産体制を見直す必要がある。
• 雇用の創出と継続的な賃上げ
福岡県に新工場を建設し、工場従業員は現地採用を計画している。
また、営業所を増加させることで、本社のある福岡以外の地域においても、雇
用の創出を実現し、地域経済への貢献を目指す。
• スマート農業化に対応した新商品開発の加速
スマート農業化に対応すべく、試作開発部門（株式会社オーレックR＆D）の
強化を図る。新商品開発の加速・製品のラインナップ増加により、農業業界の
活性化に貢献する。
• 商圏の拡大
農業が盛んな北海道・東北・関西エリアへの販売強化と物流強化し、
品質の高い当社製品のより速い提供体制の構築、アフターサービスの
強化、全国的な普及を目指す。</t>
  </si>
  <si>
    <t>外発的動機
・農業従事者の減少により農業用機器の需要が増加
・スマート農業化の促進
・気候変動と資源不足</t>
  </si>
  <si>
    <t>内発的動機
・従業員のワークライフバランスの充実と地域雇用の創出を
実現したい
・取引先からの納品依頼に対応するために、新たな設備
投資が必要
・販売網の強化により「農業業界」の生産性向上に貢献
したい</t>
  </si>
  <si>
    <t>【p.1／売上成長目標】
売上成長目標
■2029年までの会社全体の売上高成長率50％
■2029年までに会社全体の売上高増加額100億円
【p.2／新たに試作開発棟を新設する。現在の開発】
新たに試作開発棟を新設する。現在の開発
棟は2棟あるが、今後の開発スピード向上に
向けてもう1棟新設する。さらに、開発品を
保管する倉庫は老朽化＋容量満杯のため、
新たに保管
倉庫を新設し、開発プロセスを円滑にする</t>
  </si>
  <si>
    <t>【p.1】
株式会社オーレック
1.長期成長ビジョン
・当社製造の農業用機器の普及促進により、日本及び世界の「農業」の活性化を目指していく
・工場や営業所の新設による雇用創出、継続的な賃上げ ・世の中に役立つものを誰よりも先に創る
長期成長ビジョン（目指す姿・ビジネスモデル）
〈基本方針〉
・当社製造の農業用機器の普及促進により、日本及び世界の「農業」の活性
化を目指していく。
・工場や営業所の新設による雇用創出、継続的な賃上げ ・世の中に役立つ
外発的動機
ものを誰よりも先に創る
〈重点戦略〉
・農業従事者の減少により農業用機器の需要が増加
・スマート農業化の促進
• 農業用機器の生産量の増加
営業部門が好調であり、販売数や納品依頼が増加しているものの、 ・気候変動と資源不足
生産が追い付いていない状況。早期に生産体制を見直す必要がある。
• 雇用の創出と継続的な賃上げ
福岡県に新工場を建設し、工場従業員は現地採用を計画している。
また、営業所を増加させることで、本社のある福岡以外の地域においても、雇
用の創出を実現し、地域経済への貢献を目指す。
• スマート農業化に対応した新商品開発の加速
スマート農業化に対応すべく、試作開発部門（株式会社オーレックR＆D）の
強化を図る。新商品開発の加速・製品のラインナップ増加により、農業業界の 内発的動機
活性化に貢献する。
• 商圏の拡大
・従業員のワークライフバランスの充実と地域雇用の創出を
農業が盛んな北海道・東北・関西エリアへの販売強化と物流強化し、
実現したい
品質の高い当社製品のより速い提供体制の構築、アフターサービスの
強化、全国的な普及を目指す。 ・取引先からの納品依頼に対応するために、新たな設備
投資が必要
売上成長目標 ・販売網の強化により「農業業界」の生産性向上に貢献
■2029年までの会社全体の売上高成長率50％ したい
■2029年までに会社全体の売上高増加額100億円</t>
  </si>
  <si>
    <t>【p.2】
株式会社オーレック
.補助事業の概要
2
・総額48.1億円の設備投資により、下記課題を解決し、当社の目的を達成する
・㈱オーレック：年平均＋12.0％、㈱オーレックホールディングス：年平均＋7.1％の労働生産性の向上を見込む
■背景・目的
補助事業の ①農業用機器の生産量拡大 54 億円
事業費
背景・目的 ②農業用機器のラインナップ増加 （16億円）
（補助額）
③販売網の強化
③営業所＆物流倉庫の新設
①工場の新設及び生産設備の導入 ②試作開発棟及び保管倉庫の新設
下記は彦根のイメージ図
設備投資の
内容 新たに生産工場を建設する。集約さ 新たに試作開発棟を新設する。現在の開発
新たに営業所＆物流倉庫を仙台（規
れていた塗装工程と組立工程を別々 棟は2棟あるが、今後の開発スピード向上に
模拡大）と彦根に建設する。販売網
の工場で対応することが出来る。また、 向けてもう1棟新設する。さらに、開発品を
に課題があった東北・関西圏への販売
前工程である部品生産工程に設備 保管する倉庫は老朽化＋容量満杯のため、
網を強化する。また、営業所では農業
投資をすることで、取引先からの要望 新たに保管
用機器の展示やイベントの開催などを
に対応する。 倉庫を新設し、開発プロセスを円滑にする
行い、地域の農家との連携を強化
2026年度 2029年度
項目
（基準年度） （基準年度＋３年後）
労働生産性 3,148（万円/人）
2,239（万円/人）
（単位：万円/人） （年平均上昇率＋12.0％）
従業員1人あたり給与支給総額 702（万円/人）
目標値 ㈱オーレック （単位：万円/人） 617（万円/人） （年平均上昇率＋5.0％）
役員１人あたり給与支給総額 ー
ー
（単位：万円/人） （年平均上昇率＋5.0％）
補助事業に係る従業員数
285人 324人
（単位：人）</t>
  </si>
  <si>
    <t>1.長期成長ビジョン アサヒセイレン中部株式会社
“技“
88年の歴史の中で培った で自動車（部品）メーカーと圧延メーカーの安定生産に貢献し、
国内産業・雇用を守ることが自社の使命であると位置づけている。</t>
  </si>
  <si>
    <t>長期成長ビジョン（目指す姿・ビジネスモデル）
• 国内産業を支える素材メーカーとして、
自動車メーカーと圧延メーカーの
サプライチェーン（SC）の強靭化に貢献する
・２０２６年までの
会社全体の売上高成長率：１８％
会社全体の売上高増加額：１５１億円
①自動車メーカーとのSC強化
自動車メーカー（及び部品メーカー）のCO２削減ニーズ
を取り込み、サプライチェーン強靭化と
省エネルギーに貢献する。
→今後ますます、自動車に使用されるアルミは
増加する見通しであり、素材メーカーとして
サプライチェーンの強靭化で
自動車業界の安定操業を支える。
8８年培ってきたリサイクル技術を生かし、
溶解効率の良い環境配慮型製品（合金小型塊）の
開発～供給を行い、CO2削減目標の達成を支援する。
②圧延メーカーとのSC強化
圧延メーカー各社の脱炭素ニーズを取り込み、
日本国内でアルミのゼロエミッションを達成する。
→増加傾向にあるアルミニウムドロスを有効活用し、
資源を活かしきる。</t>
  </si>
  <si>
    <t>外発的動機
①日本国内でのアルミニウム需要の高まり
（2019年：4,218千ｔ→2050年6,020千ｔ）
輸送用機械（自動車）
特に の伸びが著しい。
1.7
（2019年：1,700千ｔ→2050年：2,900千ｔ 約 倍）
②圧延メーカーのリサイクルアルミ利用の高まり
（展伸材における循環使用率：
５
2019年10％程度 → 2050年50% 約 倍）</t>
  </si>
  <si>
    <t>内発的動機
国内産業・雇用を守りたい
創業８８年、社員とその家族の幸せ・取引先との共存共栄
を旨として続けてきた。
資源や技術の海外流出が危ぶまれる中、自分たちの存在意
義として、国内で稀有なアルミニウム総合リサイクルメー
カーとして、産業のハブとしての役割を果たしたい。
国内ものづくりの持続可能性を高めることで、社員の雇用
維持、更に賃上げにて努力に報い、恩返しをしたい。</t>
  </si>
  <si>
    <t>【p.1】
1.長期成長ビジョン アサヒセイレン中部株式会社
“技“
88年の歴史の中で培った で自動車（部品）メーカーと圧延メーカーの安定生産に貢献し、
国内産業・雇用を守ることが自社の使命であると位置づけている。
長期成長ビジョン（目指す姿・ビジネスモデル） 外発的動機
①日本国内でのアルミニウム需要の高まり
• 国内産業を支える素材メーカーとして、
自動車メーカーと圧延メーカーの （2019年：4,218千ｔ→2050年6,020千ｔ）
輸送用機械（自動車）
サプライチェーン（SC）の強靭化に貢献する 特に の伸びが著しい。
1.7
（2019年：1,700千ｔ→2050年：2,900千ｔ 約 倍）
・２０２６年までの
会社全体の売上高成長率：１８％
会社全体の売上高増加額：１５１億円 ②圧延メーカーのリサイクルアルミ利用の高まり
（展伸材における循環使用率：
①自動車メーカーとのSC強化 ５
2019年10％程度 → 2050年50% 約 倍）
自動車メーカー（及び部品メーカー）のCO２削減ニーズ
を取り込み、サプライチェーン強靭化と
省エネルギーに貢献する。
→今後ますます、自動車に使用されるアルミは
増加する見通しであり、素材メーカーとして
内発的動機
サプライチェーンの強靭化で
国内産業・雇用を守りたい
自動車業界の安定操業を支える。
8８年培ってきたリサイクル技術を生かし、
溶解効率の良い環境配慮型製品（合金小型塊）の
創業８８年、社員とその家族の幸せ・取引先との共存共栄
開発～供給を行い、CO2削減目標の達成を支援する。
を旨として続けてきた。
資源や技術の海外流出が危ぶまれる中、自分たちの存在意
②圧延メーカーとのSC強化 義として、国内で稀有なアルミニウム総合リサイクルメー
圧延メーカー各社の脱炭素ニーズを取り込み、 カーとして、産業のハブとしての役割を果たしたい。
日本国内でアルミのゼロエミッションを達成する。 国内ものづくりの持続可能性を高めることで、社員の雇用
→増加傾向にあるアルミニウムドロスを有効活用し、 維持、更に賃上げにて努力に報い、恩返しをしたい。
資源を活かしきる。</t>
  </si>
  <si>
    <t>【p.2】
アサヒセイレン中部株式会社
.補助事業の概要
2
自動車産業・圧延産業ののCO2削減、リサイクル率向上に寄与する製品製造、選別加工について、省人化
が可能な設備を備えた工場を発生元/使用先に近いロケーションで、安全・環境に配慮して設置する。
補助事業の • 需要が高い環境配慮型製品の供給能力を、特に需要が高い地域で増強する。 事業費 1 88 億円
背景・目的 • リサイクル需要に応じたスクラップ選別・加工及び発生ドロスの処理能力を増強する。 （補助額） （50億円）
• 溶解炉（写真・左）/保持炉/回転炉（写真・真ん中）/リジェネバーナー/灰絞り機/冷灰ｸｰﾗｰ/脱ガス装置(RDF)/鋳造用
湯道/連続鋳造機/自動タップ装置(タップｱｸﾁｭｴｰﾀｰ)/インゴット検知器/鋳造用ﾀｰﾝﾃｰﾌﾞﾙ/ｽﾀｯｷﾝｸﾞ・ロボット/5k塊自動梱包
機/分析機/旋盤/小型塊選別機/アルミ切粉乾燥/集塵機/計量器/燃料タンク(重油・LPガス・窒素・軽油)/ｴｱｰｺﾝﾌﾟﾚｯｻｰ/
変電所/アルミﾄﾞﾛｽ粉砕機/アルミドロス混錬機/ﾄﾞﾛｽ鉄選別機/酸分解分析装置/原料破砕機/磁選機/振動フルイ機/X線
選別機/ﾚｰｻﾞｰ誘起ﾌﾞﾚｰｸﾀﾞｳﾝ分光法（LIBS）（写真・右）/自動梱包機 など
設備投資の
内容
2026年度 2029年度
項目
（基準年度） （基準年度＋３年後）
労働生産性 中部:1,849 中部:2,225(年平均上昇率 6.4%)
（単位：万円/人） SAN:1,725 SAN:2,205(年平均上昇率 8.5%)
目標値 従業員1人あたり給与支給総額 中部:889 中部:981(年平均上昇率 3.33%)
（単位：万円/人） SAN:400 SAN:441(年平均上昇率 3.33%)
役員１人あたり給与支給総額 中部:384 中部:424(年平均上昇率 3.33%)
（単位：万円/人） SAN:500 SAN:552(年平均上昇率 3.33%)
補助事業に係る従業員数 中部:59 中部:78
（単位：人） SAN:17 SAN:20</t>
  </si>
  <si>
    <t>株式会社ホテルニューアワジ
1.⻑期成⻑ビジョン
「訪⽇外国⼈旅⾏者」の市場規模拡⼤を踏まえ、淡路島内初となる『世界に通⽤する都市近郊型⽇本版リゾート
ホテル』を新設することで、地域未来牽引企業として「島内観光GDP766億円」と「地域の雇⽤創出」を達成する</t>
  </si>
  <si>
    <t>⻑期成⻑ビジョン（⽬指す姿・ビジネスモデル）
【⾯的な地域経済の活性に向けて】
• 地域未来牽引企業として、平⽇利⽤や⻑期滞在が期待できる 「訪⽇外国
⼈旅⾏者」の誘客・滞在促進を⽬的に、当グループのみならず島内全域に
おいても新しい取り組みとなる「訪⽇外国⼈旅⾏者」向けに特化したリゾー
トホテルを新設。⾼評価により、延べ宿泊者数に占める割合を30％以上
に引き上げており、⾯的な観光消費の拡⼤に貢献している。
• 官⺠連携事業である『世界⼀の⾷の島』構想を牽引している。飲⾷店を含
めた観光施設、淡路島ならではのコト体験型コンテンツを共同開発している
農漁業事業者、商⼯会議所や商⼯会、淡路島観光協会等と連携し、⾯
的な観光消費を拡⼤。「淡路島総合観光戦略」が掲げる島内観光
GDP766億円以上（2019年⽐︓110%UP ）を達成している。
【地域の雇⽤創出に向けて】
• 売上⾼成⻑率や⽣産性向上率が⼤幅にUPしており、県内宿泊業におい
て最⾼⽔準となる年4.5％の賃⾦上昇率UPを実現。また、事業計画以
上の営業利益を創出しており、正社員のみならずパート社員においても賞
与⽀給を増額している。
• 当補助事業での成功を基に、「訪⽇外国⼈旅⾏者」向けホテルや既存施
設の改修等への投資を持続的に実施すると共に、連携先事業者において
も語学を活⽤できる職場を増⼤。島内の若者等へ向けて遣り甲斐のある職
場を創出し⼈財育成に務めることで、島外への⼈⼝流失を抑制。また、島
外からのUIJターン就・転職の促進により、洲本市と南あわじ市の2040年
までの社会動態増減計画値である±０の達成に寄与している。
売上成⻑⽬標︓2029年までに
ホテルニューアワジ あわじ浜離宮
売上⾼ 100.7億円 25.3億円
売上⾼成⻑率 148.6％UP 218.7％UP
売上⾼増加額 32.9億円 13.7億円</t>
  </si>
  <si>
    <t>外発的動機
【⾯的な地域経済の活性】
• 島内の観光⼊込客数は、関⻄圏からの休⽇利⽤の１泊や⽇帰り客が多くを占め
ており、地域全体の観光消費額の向上が課題となっている。また、令和４年度の
兵庫県ならびに島内全域における延べ宿泊者数に対する「訪⽇外国⼈旅⾏者」の
占める割合は⼤阪府7.0％、京都府6.8％と⽐較し、1.0％と⼤きく低迷しており、
特化した宿泊施設が必要である。
• 政府の観光⽴国推進基本計画が掲げる「訪⽇外国⼈旅⾏者」の市場規模拡⼤
に合わせて、島内における平⽇利⽤や２泊以上の滞在促進に取り組みたい。
• 今後の関⻄圏における「訪⽇外国⼈旅⾏者数」につき、2025年「⼤阪・関⻄万
博」の開催による350万⼈、2030年代「⼤阪IR」開業による年間600万⼈、
2030年「神⼾空港」国際化による年間190万⼈が⾒込まれており、訪⽇外国⼈
旅⾏者向け宿泊施設を新設したい。
【地域の雇⽤創出】
• 島北部にあたる淡路市において、2020年の県外⼤⼿資本企業による⼀部の本社
機能の移転に伴い、複数施設が開業されたことで地域の雇⽤創出が促進されてい
ることから、⼀体的に推進したい。</t>
  </si>
  <si>
    <t>内発的動機
【⾯的な地域経済の活性】
• 本島の基幹産業である「宿泊業」を営む後継者として、また⽣まれ育った⾝として、
島内における「宿泊業」の衰退を防⽌すべく、阪神淡路⼤震災、リーマンショック、
新型コロナウィルス感染症拡⼤等の数々の難局を乗り越えてきた（次⾴参照）。
国内⽇本⼈旅⾏者からご愛好いただいている少⼈数から⼤⼈数（宴会需要含
む）まで対応できるグランドホテルを継続すると共に、新規顧客層となる「訪⽇外国
⼈旅⾏者」の市場規模拡⼤を踏まえ、島内全体の推進役を継続して担いたい。
• 「地域未来牽引企業」として、ニューラグジュアリー層が嗜好する上質な意匠を施し
た滞在型の世界に通⽤する⽇本版リゾートホテルを新設することで、誘客を促進
すると共に島内事業者と連携した⾯的な観光消費の拡⼤に寄与したい。
【地域の雇⽤創出】
• 「訪⽇外国⼈旅⾏者」の島内滞在促進により、現従業員の『語学をフルに活かして
働きたい』との要望を適えることで離職防⽌につなげたい。
• 島内の若者等に向けて遣り甲斐のある職場を提供し、⾃治体と連携した⼈⼝流
失の抑制に寄与したい。</t>
  </si>
  <si>
    <t>【p.3／経済産業省 経済産業省 観光庁 観光庁】
経済産業省、観光庁、兵庫県等の各種制度や基準に沿った運営を実施しており、「地域貢献」、「顧客への満⾜度および安全・安⼼の提供」、「働き
やすい職場環境づくり」等に⽇々取り組んでおります。⼤半の認証制度につき、制度発⾜初年度に認証および登録を実施しております。
経済産業省 経済産業省 観光庁 観光庁
地域未来牽引企業 パートナーシップ構築宣⾔登録企業 ⾼付加価値経営旅館 ⼼のバリアフリー認定施設
淡路島内のサプライチェーンの
構築において
中⼼的な役割を担っている
株式会社ホテルニューアワジ 株式会社ホテルニューアワジ
初年度となる2018年に、 高旅第KKT00107号 観参第359号
宿泊業では全国13企業の１社
株式会社あわじ浜離宮 株式会社あわじ浜離宮
として、全国に先駆けて選定された 高旅第KKT00039A号 観産第214号
兵庫県 兵庫県 ⽇本健康会議 兵庫県
ひょうご産業SDGs認定企業 ひょうごユニバーサルなお宿 健康経営優良法⼈ ひょうご⼥性活躍推進企業
宣⾔・登録企業 中⼩企業法⼈部⾨ （ミモザ企業）
兵庫県初のゴールドステージ企業
として認証された
【p.4／淡路島観光協会と連携し、『本物体験コンテンツ』の共同開発に主体的に取り組んでいる。】
「淡路島総合観光戦略2023〜2027」（兵庫県淡路県⺠局、洲本市、南あわじ市、淡路市、淡路島観光協会）が掲げる
国⽣みの島ならびに美⾷地質学に基づいて繁栄してきた『⽇本三⼤・御⾷国（みけつくに）』を⽀えている島内農漁業者および
淡路島観光協会と連携し、『本物体験コンテンツ』の共同開発に主体的に取り組んでいる。
主な取組
観光庁の 空⾶ぶクルマ
2025年「AWAJI島博」
⾼単価商品造成事業 淡路島フライト検討会
2025年「⼤阪・関⻄万博」の開催に向けて 今年度の観光庁「特別な体験の提供等によ 海外のスーパーラグジュアリー層に向けた付
兵庫県が推進しているSDGs体験プログラム るインバウンド消費の拡⼤・質向上推進事 加価値の⾼い交通⼿段として、次世代モビリ
につき、淡路島ならではの農漁業者や伝統 業」に当社として採択。左記にて共同開発し ティ「空⾶ぶクルマ」を活⽤し、京都市・⼤阪
産業、淡路島観光協会と連携し『本物体験 ている事業者に加え、付加価値の⾼い新た 市とをダイレクトに結ぶた新規周遊ルートを開
コンテンツ』を60個造成の上、販売を⾏って な⾷の⽣産者とも連携の上、地域の⾷⽂化 発。当社ヘリポートを活⽤した実証実験を本
おり、島内事業者の所得向上に寄与してい に対し知的好奇⼼の⾼い海外のニューラグ 年６⽉より開始した。京都市・⼤阪市等の
る。 ジュアリー層向けに、⽣産現場での本物体 オーバーツーリズムの課題解消にも寄与する
験と温泉宿を掛け合わせた⾼単価(従来単 ビジネスモデルとしている。
価の３倍以上）のパッケージツアー商品の 【検討会メンバー】経済産業省、兵庫県、淡
造成、販売に取り組んでいる。 路県⺠局、洲本市、南あわじ市、淡路市、
ホテルニューアワジグループ、パソナグループ、
丸紅株式会社ほか
両社（幹事および共同申請企業）の代表者が、⼀般社団法⼈ 淡路島観光協会⻑ならびに本協会南あわじ地区会⻑をそれぞれ務めており、島内全
域にまたがる当プロジェクトの推進役を担う宿泊施設として、⾏政機関や地域からの⾼い期待や後押しも受け、地産地消、⾷⽂化コンテンツの
⾼付加価値化、訪⽇外国⼈旅⾏者の誘客を官⺠連携として推進している。
【p.5／スペイン・バスク地⽅にある美⾷の街「サンセバスチャン」をモデルとし、】
スペイン・バスク地⽅にある美⾷の街「サンセバスチャン」をモデルとし、
淡路島を『世界⼀の美⾷の島』にすることを⽬指すプロジェクトに主体的に取り組んでいる。
主な取組
世界⼀の⾷の島を先導する
御⾷国ブランドの⾷⽂化
スペイン・サンセバスチャン視察
「⾷の街区」検討委員会
⾷糧⾃給率110％を誇る淡路島は、⽇本 2019・2023・2024年に渡り、スペインのサ 2024年より、南あわじ市の守本市⻑を座⻑
最古の書物古事記・⽇本書紀に描かれてい ンセバスチャンに訪問し、MIMOクッキングクラ とした検討会議を実施している。
るとおり『国⽣みの島』として、現在の⽇本列 ス、市場、バル街区、観光協会、飲⾷組合 【検討会メンバー】南あわじ市、淡路県⺠局、
島の始まりと伝承されている。また、温暖な気 ほかを継続して、視察交流を実施している。 南あわじ市商⼯会、淡路島観光協会、福
候、肥沃な⼟壌や⽇本⼀速い潮流が育む 良漁業協同組合、株式会社うずのくに南あ
⾷産品は 、昔から朝廷や天皇家に納める わじ、兵庫県飲⾷業⽣活衛⽣同業組合、
『⽇本三⼤・御⾷国』として栄えてきた歴史を 兵庫県⽴⼤学 等
誇る。
淡路島⽟ねぎ、淡路⽜、淡路島えびす鯛、
⻩⾦ハモ、⾚ウニ、淡路島なるとオレンジ、
3年とらふぐ、淡路島サクラマスをはじめとした
御⾷国ブランドの⾷材を有している。
共同申請企業の代表者は、⼀般社団法⼈ 淡路島観光協会⻑の南あわじ地区会⻑であり、
当プロジェクトの推進役を担う宿泊施設として、⾏政機関や地域からの⾼い期待や後押しも受け、地産地消、
⾷⽂化コンテンツの⾼付加価値化、訪⽇外国⼈旅⾏者の誘客に向けた取り組みを官⺠連携として推進している。</t>
  </si>
  <si>
    <t>【p.1】
株式会社ホテルニューアワジ
1.⻑期成⻑ビジョン
「訪⽇外国⼈旅⾏者」の市場規模拡⼤を踏まえ、淡路島内初となる『世界に通⽤する都市近郊型⽇本版リゾート
ホテル』を新設することで、地域未来牽引企業として「島内観光GDP766億円」と「地域の雇⽤創出」を達成する
⻑期成⻑ビジョン（⽬指す姿・ビジネスモデル） 外発的動機
【⾯的な地域経済の活性】
【⾯的な地域経済の活性に向けて】
• 島内の観光⼊込客数は、関⻄圏からの休⽇利⽤の１泊や⽇帰り客が多くを占め
• 地域未来牽引企業として、平⽇利⽤や⻑期滞在が期待できる「訪⽇外国
ており、地域全体の観光消費額の向上が課題となっている。また、令和４年度の
⼈旅⾏者」の誘客・滞在促進を⽬的に、当グループのみならず島内全域に
兵庫県ならびに島内全域における延べ宿泊者数に対する「訪⽇外国⼈旅⾏者」の
おいても新しい取り組みとなる「訪⽇外国⼈旅⾏者」向けに特化したリゾー
占める割合は⼤阪府7.0％、京都府6.8％と⽐較し、1.0％と⼤きく低迷しており、
トホテルを新設。⾼評価により、延べ宿泊者数に占める割合を30％以上 特化した宿泊施設が必要である。
に引き上げており、⾯的な観光消費の拡⼤に貢献している。 • 政府の観光⽴国推進基本計画が掲げる「訪⽇外国⼈旅⾏者」の市場規模拡⼤
• 官⺠連携事業である『世界⼀の⾷の島』構想を牽引している。飲⾷店を含 に合わせて、島内における平⽇利⽤や２泊以上の滞在促進に取り組みたい。
めた観光施設、淡路島ならではのコト体験型コンテンツを共同開発している • 今後の関⻄圏における「訪⽇外国⼈旅⾏者数」につき、2025年「⼤阪・関⻄万
農漁業事業者、商⼯会議所や商⼯会、淡路島観光協会等と連携し、⾯ 博」の開催による350万⼈、2030年代「⼤阪IR」開業による年間600万⼈、
2030年「神⼾空港」国際化による年間190万⼈が⾒込まれており、訪⽇外国⼈
的な観光消費を拡⼤。「淡路島総合観光戦略」が掲げる島内観光
旅⾏者向け宿泊施設を新設したい。
GDP766億円以上（2019年⽐︓110%UP）を達成している。
【地域の雇⽤創出】
【地域の雇⽤創出に向けて】
• 島北部にあたる淡路市において、2020年の県外⼤⼿資本企業による⼀部の本社
• 売上⾼成⻑率や⽣産性向上率が⼤幅にUPしており、県内宿泊業におい
機能の移転に伴い、複数施設が開業されたことで地域の雇⽤創出が促進されてい
て最⾼⽔準となる年4.5％の賃⾦上昇率UPを実現。また、事業計画以
ることから、⼀体的に推進したい。
上の営業利益を創出しており、正社員のみならずパート社員においても賞
与⽀給を増額している。 内発的動機
• 当補助事業での成功を基に、「訪⽇外国⼈旅⾏者」向けホテルや既存施
【⾯的な地域経済の活性】
設の改修等への投資を持続的に実施すると共に、連携先事業者において
• 本島の基幹産業である「宿泊業」を営む後継者として、また⽣まれ育った⾝として、
も語学を活⽤できる職場を増⼤。島内の若者等へ向けて遣り甲斐のある職 島内における「宿泊業」の衰退を防⽌すべく、阪神淡路⼤震災、リーマンショック、
場を創出し⼈財育成に務めることで、島外への⼈⼝流失を抑制。また、島 新型コロナウィルス感染症拡⼤等の数々の難局を乗り越えてきた（次⾴参照）。
外からのUIJターン就・転職の促進により、洲本市と南あわじ市の2040年 国内⽇本⼈旅⾏者からご愛好いただいている少⼈数から⼤⼈数（宴会需要含
までの社会動態増減計画値である±０の達成に寄与している。 む）まで対応できるグランドホテルを継続すると共に、新規顧客層となる「訪⽇外国
⼈旅⾏者」の市場規模拡⼤を踏まえ、島内全体の推進役を継続して担いたい。
売上成⻑⽬標︓2029年までに • 「地域未来牽引企業」として、ニューラグジュアリー層が嗜好する上質な意匠を施し
た滞在型の世界に通⽤する⽇本版リゾートホテルを新設することで、誘客を促進
ホテルニューアワジ あわじ浜離宮
すると共に島内事業者と連携した⾯的な観光消費の拡⼤に寄与したい。
売上⾼ 100.7億円 25.3億円 【地域の雇⽤創出】
• 「訪⽇外国⼈旅⾏者」の島内滞在促進により、現従業員の『語学をフルに活かして
売上⾼成⻑率 148.6％UP 218.7％UP
働きたい』との要望を適えることで離職防⽌につなげたい。
売上⾼増加額 32.9億円 13.7億円 • 島内の若者等に向けて遣り甲斐のある職場を提供し、⾃治体と連携した⼈⼝流
失の抑制に寄与したい。
【p.2】
株式会社ホテルニューアワジ
【p.3】
株式会社ホテルニューアワジ
1.⻑期成⻑ビジョン
全国ならびに兵庫県全域に先駆けて取り組んでいる「地域経済の再⽣と活性」、「⾼付加価値化による顧客満
⾜度の向上」、「安全・安⼼の提供」、「働きやすい職場環境づくり」への各種取り組み
経済産業省、観光庁、兵庫県等の各種制度や基準に沿った運営を実施しており、「地域貢献」、「顧客への満⾜度および安全・安⼼の提供」、「働き
やすい職場環境づくり」等に⽇々取り組んでおります。⼤半の認証制度につき、制度発⾜初年度に認証および登録を実施しております。
経済産業省 経済産業省 観光庁 観光庁
地域未来牽引企業 パートナーシップ構築宣⾔登録企業 ⾼付加価値経営旅館 ⼼のバリアフリー認定施設
淡路島内のサプライチェーンの
構築において
中⼼的な役割を担っている
株式会社ホテルニューアワジ 株式会社ホテルニューアワジ
初年度となる2018年に、 高旅第KKT00107号 観参第359号
宿泊業では全国13企業の１社 株式会社あわじ浜離宮 株式会社あわじ浜離宮
として、全国に先駆けて選定された 高旅第KKT00039A号 観産第214号
兵庫県 兵庫県 ⽇本健康会議 兵庫県
ひょうご産業SDGs認定企業 ひょうごユニバーサルなお宿 健康経営優良法⼈ ひょうご⼥性活躍推進企業
宣⾔・登録企業 中⼩企業法⼈部⾨ （ミモザ企業）
兵庫県初のゴールドステージ企業
として認証された
【p.4】
株式会社ホテルニューアワジ
1.⻑期成⻑ビジョン
地域未来牽引企業として取り組む⻑期成⻑ビジョンの達成に向けた官⺠連携事業 その１
地域のレジリエンスを⾼めるサプライチェーンモデル『⾷の⽣産体験コンテンツの⾼付加価値化プロジェクト』の推進
「淡路島総合観光戦略2023〜2027」（兵庫県淡路県⺠局、洲本市、南あわじ市、淡路市、淡路島観光協会）が掲げる
国⽣みの島ならびに美⾷地質学に基づいて繁栄してきた『⽇本三⼤・御⾷国（みけつくに）』を⽀えている島内農漁業者および
淡路島観光協会と連携し、『本物体験コンテンツ』の共同開発に主体的に取り組んでいる。
主な取組
観光庁の 空⾶ぶクルマ
2025年「AWAJI島博」
⾼単価商品造成事業 淡路島フライト検討会
2025年「⼤阪・関⻄万博」の開催に向けて 今年度の観光庁「特別な体験の提供等によ 海外のスーパーラグジュアリー層に向けた付
兵庫県が推進しているSDGs体験プログラム るインバウンド消費の拡⼤・質向上推進事 加価値の⾼い交通⼿段として、次世代モビリ
につき、淡路島ならではの農漁業者や伝統 業」に当社として採択。左記にて共同開発し ティ「空⾶ぶクルマ」を活⽤し、京都市・⼤阪
産業、淡路島観光協会と連携し『本物体験 ている事業者に加え、付加価値の⾼い新た 市とをダイレクトに結ぶた新規周遊ルートを開
コンテンツ』を60個造成の上、販売を⾏って な⾷の⽣産者とも連携の上、地域の⾷⽂化 発。当社ヘリポートを活⽤した実証実験を本
おり、島内事業者の所得向上に寄与してい に対し知的好奇⼼の⾼い海外のニューラグ 年６⽉より開始した。京都市・⼤阪市等の
る。 ジュアリー層向けに、⽣産現場での本物体 オーバーツーリズムの課題解消にも寄与する
験と温泉宿を掛け合わせた⾼単価(従来単 ビジネスモデルとしている。
価の３倍以上）のパッケージツアー商品の 【検討会メンバー】経済産業省、兵庫県、淡
造成、販売に取り組んでいる。 路県⺠局、洲本市、南あわじ市、淡路市、
ホテルニューアワジグループ、パソナグループ、
丸紅株式会社ほか
両社（幹事および共同申請企業）の代表者が、⼀般社団法⼈ 淡路島観光協会⻑ならびに本協会南あわじ地区会⻑をそれぞれ務めており、島内全
域にまたがる当プロジェクトの推進役を担う宿泊施設として、⾏政機関や地域からの⾼い期待や後押しも受け、地産地消、⾷⽂化コンテンツの
⾼付加価値化、訪⽇外国⼈旅⾏者の誘客を官⺠連携として推進している。
【p.5】
株式会社ホテルニューアワジ
1.⻑期成⻑ビジョン
地域未来牽引企業として取り組む⻑期成⻑ビジョンの達成に向けた官⺠連携事業 その２
地域のレジリエンスを⾼めるサプライチェーンモデル『世界⼀の⾷の島プロジェクト』の推進
スペイン・バスク地⽅にある美⾷の街「サンセバスチャン」をモデルとし、
淡路島を『世界⼀の美⾷の島』にすることを⽬指すプロジェクトに主体的に取り組んでいる。
主な取組
世界⼀の⾷の島を先導する
御⾷国ブランドの⾷⽂化 スペイン・サンセバスチャン視察
「⾷の街区」検討委員会
⾷糧⾃給率110％を誇る淡路島は、⽇本 2019・2023・2024年に渡り、スペインのサ 2024年より、南あわじ市の守本市⻑を座⻑
最古の書物古事記・⽇本書紀に描かれてい ンセバスチャンに訪問し、MIMOクッキングクラ とした検討会議を実施している。
るとおり『国⽣みの島』として、現在の⽇本列 ス、市場、バル街区、観光協会、飲⾷組合 【検討会メンバー】南あわじ市、淡路県⺠局、
島の始まりと伝承されている。また、温暖な気 ほかを継続して、視察交流を実施している。 南あわじ市商⼯会、淡路島観光協会、福
候、肥沃な⼟壌や⽇本⼀速い潮流が育む 良漁業協同組合、株式会社うずのくに南あ
⾷産品は、昔から朝廷や天皇家に納める わじ、兵庫県飲⾷業⽣活衛⽣同業組合、
『⽇本三⼤・御⾷国』として栄えてきた歴史を 兵庫県⽴⼤学 等
誇る。
淡路島⽟ねぎ、淡路⽜、淡路島えびす鯛、
⻩⾦ハモ、⾚ウニ、淡路島なるとオレンジ、
3年とらふぐ、淡路島サクラマスをはじめとした
御⾷国ブランドの⾷材を有している。
共同申請企業の代表者は、⼀般社団法⼈ 淡路島観光協会⻑の南あわじ地区会⻑であり、
当プロジェクトの推進役を担う宿泊施設として、⾏政機関や地域からの⾼い期待や後押しも受け、地産地消、
⾷⽂化コンテンツの⾼付加価値化、訪⽇外国⼈旅⾏者の誘客に向けた取り組みを官⺠連携として推進している。</t>
  </si>
  <si>
    <t>【p.6】
株式会社ホテルニューアワジ
2.補助事業の概要
当グループ企業ならびに淡路島初となる『訪⽇外国⼈旅⾏者』に特化したリゾートホテルの開業
異なる顧客層の滞在を促進し、洲本市および南あわじ市にまたがる⾯的な観光消費拡⼤を⽬的とした共同申請
加速する少⼦⾼齢化に伴い⽇本⼈による国内観光消費額は 減少傾向にある。そのた ２社 計 82億円（26億円）
め、国が推進する「訪⽇外国⼈旅⾏者」に着⽬し、誘客促進につながる平均２泊以上
補助事業の 事業費
の『世界に通⽤する都市近郊型⽇本版リゾートホテルリゾートホテル』を新設し、官⺠ ㈱ホテルニューアワジ 41億円（13億円）
背景・⽬的 （補助額）
連携にて地域の⾯的な観光消費を拡⼤する。また、滞在者数の 最⼤化を⽬的に、異
なる顧客層に合わせて、２社による共同申請により、２市にまたがる⾯にて滞在を促進。 ㈱あわじ浜離宮 41億円（13億円）
株式会社ホテルニューアワジ（洲本市） 株式会社あわじ浜離宮（南あわじ市）
主なター 「⽇本三⼤・御⾷国」を背景にした⾷⽂化や⾷の⽣産者に対し知的好 「⽇本三⼤・御⾷国」を背景にした⾷⽂化や⾷の⽣産者に対し知的好
ゲット層 奇⼼の⾼いラグジュアリー層 奇⼼の⾼いミドルクラス層
• ２種類の露天⾵呂を備えた和の上質な意匠を施した全室100平⽶ • 夜間に街中に外出する傾向が⾼いことから、⾷べたい時にいつでも利
主な特徴 以上の広い客室、親⼦３世代が気兼ねなく過ごせる客室設計 ⽤可能にするオールディダイニングを導⼊
• ⽬の前に広がる紀淡海峡の絶景と和装による徹底したおもてなし • 島内随⼀の景勝地である慶野松原に佇むレジデンススタイル
設備投資の 省⼈化の 料飲サービスにて、部屋⾷→会⾷場の導⼊による従業員のオペレーション 料飲サービスにて、オールデイダイニングスタイルの導⼊により、従来の従
ポイント ⼯数を⼤幅に削減 業員の１／２程の⼈数で対応が可能
内容
• 世界標準となるオールインクルーシブの導⼊
• 客室インフォメーション、清算のキャッシュレス化、AIチャットボット、オーダーエントリー、セルフチェックインチェックアウト、アンケート分析、客室の遠隔操作
システム等の省⼈化につながる設備を導⼊
共通
• SDGs推進企業として、持続可能な施⼯およ び環境に配慮した資材選び、省エネ等のGSTC-I基準に沿った施設とする。このことにより、海外在
住者の76%が旅にSDGs推進の取り組みを希求していることから、ターゲット層に向けたプロモーションを展開できる
• 語学を活⽤したいスタッフに対し遣り甲斐のある職場を提供することができ、離職の抑制や島内の若者の雇⽤創出につなげることができる
売上⾼ 平均客室単価300千円× 25室×365⽇×稼働率90％＝24.6億円 平均客室単価89千円× 40室×365⽇×稼働率90％＝11.7億円
株式会社ホテルニューアワジ 株式会社あわじ浜離宮
項⽬
2026年度（基準年度） 2029年度（基準年度＋３年後） 2026年度（基準年度） 2029年度（基準年度＋３年後）
労働⽣産性 1590万円／⼈ 1043万円／⼈
1036万円／⼈ 713万円／⼈
（単位︓万円/⼈） （年平均上昇率＋15.3％） （年平均上昇率＋13.5％）
⽬標値
従業員1⼈あたり給与⽀給総額 371万円／⼈ 394万円／⼈
325万円／⼈ 345万円／⼈
（単位︓万円/⼈） （年平均上昇率＋4.5％） （年平均上昇率＋4.5％）
役員１⼈あたり給与⽀給総額 409万円／⼈ 310万円／⼈
364万円／⼈ 276万円／⼈
（単位︓万円/⼈） （年平均上昇率＋4.0％） （年平均上昇率＋4.0％）
補助事業に係る従業員数（単位︓⼈） 126⼈ 147⼈ 77⼈ 115⼈
【p.7】
株式会社ホテルニューアワジ
2.補助事業の概要
「株式会社ホテルニューアワジ」（幹事企業）が新設する
「全室100平⽶以上の広い客室」、「親⼦３世代が気兼ねなく過ごせる客室」「唯⼀無⼆の紀淡海峡の眺望」
株式会社ホテルニューアワジ
⻑期滞在に適した
紀淡海峡に⾯した⽴地 インフィニティ⽔盤を施した最上階フロア 全室100平⽶以上の客室
⽴地平⾯図
紀淡海峡に昇る客室からの朝⽇の眺望 メゾネットスタイルの客室 席をゆったり配置された会⾷場
全体パース
淡路島の伝統産業である 親⼦３世代向けに
淡路⽡・⼟壁・タイルを設えた客室 リトリートできる（仕切られた）客室 上質な和の意匠空間
【p.8】
株式会社ホテルニューアワジ
2.補助事業の概要
「株式会社あわじ浜離宮」（共同申請企業）
新設する平均２泊以上の滞在型オールインクルーシブリゾートホテルの平⾯図およびイメージについて
株式会社あわじ浜離宮
淡路島随⼀の景勝地「慶野松原」に佇む 平⾯図 ⽴⾯図
レジデンススタイルの外観
時間を気にせず地産地消のメニューを堪能できる 露天⾵呂付きの広い客室 開放感溢れるスパ・⼤浴場
オールディダイニングスタイルの会⾷場
【p.9】
株式会社ホテルニューアワジ
2.補助事業の概要
グループ全体のアセットである「セントラルキッチン」、「キッチンアカデミー」の活⽤、
「部屋⾷→会⾷場」、「オールディダイニング」の導⼊による新たなオペレーションによる省⼈化の実現
グループ全体のアセット 両社共通
省⼈化を図るキッチンアカデミー（セントラルキッチン） 省⼈化を図るDX化システム
施設毎に、全ての調理⼯程を賄うと８⼈必要となるが、１施設あたり４⼈での対応が 予約、会計、お客様対応等の業務をDX化により省⼈化。業務は、既存施設の従業員に
可能となる。更に、⾷材の仕⼊れ、ロス削減にもつながっている。 て対応が可能となる。
【⼣朝⾷100⾷あたりの⼈数削減数】 ① セルフセルフオーダーシステム
• ⾷材仕込み業務の 削減 -2.5⼈ お客様のスマホから飲料等オーダーいただき、PMS（販売管理システム）に連動して
• ⾷材の⼀括発注による 発注管理業務と仕⼊原価を削減 -0.5⼈ おり、⼿配、起票、伝票⼊⼒を省⼈化
• 衛⽣管理に従事する業務の 削減 -0.5⼈ ② チャットポッド（AI搭載型）
• 最新厨房機器の 活⽤（スモーク、３Dフリーザ、低温調理機など） -0.5⼈ お客様への案内、説明にチャットポッドを活⽤して省⼈化
③ アンケート集計システム
また、⼊社１年⽬から ⼿書きアンケートをなくしネットアンケートを導⼊することで、⼿配、集計、分析を⾃動化
調理師として体系的に することで省⼈化
技術を習得できる ④ セルフチェックイン、チェックアウトシステム
「キッチンアカデミー」の お客様⾃⾝で⼿続いただき、PMS連動により省⼈化
導⼊により、質の向上に ⑤ 客室テレビ内デジタルインフォメーションの導⼊
つながっている。 各種インフォメーション、混雑状況確認（⼤浴場、レストラン等）
株式会社ホテルニューアワジ 株式会社あわじ浜離宮
料飲サービスにて、部屋⾷→会⾷場の導⼊により、
料飲サービスにて、従来のコース料理からブッフェおよび⾷事時間の設定無しでの提供となる
• 従来の従業員数の１／２程の⼈数で対応が可 能となる
オールディダイニングスタイルの導⼊により、10⼈でのオペレーションが可能となり、従来の
• ⾼度な接遇スキルが必要となる仲居に依存しなくなるため、⼈材確保が 容易になる
従業員数の１／２程の⼈数で対応が可 能となる
• 熱いものや冷たい料理など出来⽴ての提供が可能となる
下記業務を、同⼀スペースにて実施することで、スタッフのマルチタスク化により、４⼈での
部屋⾷︓
オペレーションを可能にする
１客室あたり、仲居0.5⼈、ランナー0.2⼈、デシャップ0.04⼈でのサービス提供となり、
• チェックイン・アウトラウンジ
新館25室では18.5⼈が必要となる
• ゲスト専⽤バーラウンジ
会場⾷︓
• ⼣⾷・朝⾷ブッフェダイニングの受付
１卓あたり、サービススタッフ0.3⼈、デシャップ0.04⼈でのサービス提供となり、新館25室の
では8.5⼈での対応が可能となる</t>
  </si>
  <si>
    <t>1.長期成長ビジョン 埼玉機器株式会社
本事業を通じて新工場を建設し将来に向けた成長発展を加速させることで、従業員が安心・安全に働ける職場
づくりとステークホルダーへの利益共有、社会貢献を実現させる</t>
  </si>
  <si>
    <t>長期成長ビジョン（目指す姿・ビジネスモデル）
• 当社ではトラック・バスのブレーキ、ステアリング、サスペンション
の重要保安部品や、産業機械用油圧機器、鉄道車両機
器の分野まで積極的に市場進出を行ってきた
• 建物・設備の老朽化や業界構造の変化に伴って、従業員が
安心・安全に働ける職場の確保やステークホルダーが期待す
る成長を遂げることができない状況となっている
• 新工場を建設し、本社工場の移転を行うことで、従業員が
安心・安全に働ける職場づくりと従業員を含めた全てのステー
クホルダーへの利益共有を実現する
• 補助事業では、新工場の建設及び新規事業に必要となる
生産ラインの増設を行う
• 事業化後に製造体制の効率化を図り、生産能力のさらなる
増強及び利益率の改善を実現する</t>
  </si>
  <si>
    <t>外発的動機
• トラック業界では、EV化や自動運転システムへの対応そして大手
メーカーの経営統合といった「100年に一度」といわれる業界構造
の変化が起こっている
• また、トラックの国内販売台数は国内産業の成熟に伴い、更新需
要が主となっており、ASEANを中心とした海外への輸出が国内生
産台数の半数以上を占めている
• 業界構造の変化に伴い、競合となる一部のサプライヤーではトラック
事業からの撤退が起こっており、当社にとっては大きな事業機会と
なっている</t>
  </si>
  <si>
    <t>内発的動機
• 当社は創立以来、故西海敏夫初代会長の体験から生まれた『人
間尊重の精神』を企業経営の基盤として、企業を形成している
『人』を重視し、『従業員の幸福なくして企業の繁栄なし』とする理
念を掲げている
• 上記の理念を達成するための具体的な方策としての『従業
員教育』と『やる気と高いモラールの育成』を積極的に行
うことにより、経営者と従業員の間に醸成される相互信頼
の中にこそ『信頼のおける製品が生まれる』との考えで企
業運営がなされている
• 本社工場は築60年を超えており、老朽化に伴う安全性への
懸念や生産効率の低下が生じている</t>
  </si>
  <si>
    <t>【p.1／売上成長目標】
売上成長目標
• 2030年までに会社全体の売上高年平均成長率13％
• 2030年までに会社全体の売上高を162億円
• 2030年までに小型トラック等の新規ビジネス売上高29億円</t>
  </si>
  <si>
    <t>【p.1】
1.長期成長ビジョン 埼玉機器株式会社
本事業を通じて新工場を建設し将来に向けた成長発展を加速させることで、従業員が安心・安全に働ける職場
づくりとステークホルダーへの利益共有、社会貢献を実現させる
長期成長ビジョン（目指す姿・ビジネスモデル） 外発的動機
• 当社ではトラック・バスのブレーキ、ステアリング、サスペンション • トラック業界では、EV化や自動運転システムへの対応そして大手
メーカーの経営統合といった「100年に一度」といわれる業界構造
の重要保安部品や、産業機械用油圧機器、鉄道車両機
の変化が起こっている
器の分野まで積極的に市場進出を行ってきた
• また、トラックの国内販売台数は国内産業の成熟に伴い、更新需
• 建物・設備の老朽化や業界構造の変化に伴って、従業員が
要が主となっており、ASEANを中心とした海外への輸出が国内生
安心・安全に働ける職場の確保やステークホルダーが期待す
産台数の半数以上を占めている
る成長を遂げることができない状況となっている
• 業界構造の変化に伴い、競合となる一部のサプライヤーではトラック
• 新工場を建設し、本社工場の移転を行うことで、従業員が 事業からの撤退が起こっており、当社にとっては大きな事業機会と
安心・安全に働ける職場づくりと従業員を含めた全てのステー なっている
クホルダーへの利益共有を実現する
• 補助事業では、新工場の建設及び新規事業に必要となる
内発的動機
生産ラインの増設を行う
• 当社は創立以来、故西海敏夫初代会長の体験から生まれた『人
• 事業化後に製造体制の効率化を図り、生産能力のさらなる
間尊重の精神』を企業経営の基盤として、企業を形成している
増強及び利益率の改善を実現する
『人』を重視し、『従業員の幸福なくして企業の繁栄なし』とする理
念を掲げている
• 上記の理念を達成するための具体的な方策としての『従業
売上成長目標
員教育』と『やる気と高いモラールの育成』を積極的に行
• 2030年までに会社全体の売上高年平均成長率13％ うことにより、経営者と従業員の間に醸成される相互信頼
の中にこそ『信頼のおける製品が生まれる』との考えで企
• 2030年までに会社全体の売上高を162億円
業運営がなされている
• 2030年までに小型トラック等の新規ビジネス売上高29億円
• 本社工場は築60年を超えており、老朽化に伴う安全性への
懸念や生産効率の低下が生じている</t>
  </si>
  <si>
    <t>【p.2】
.補助事業の概要 埼玉機器株式会社
2
本事業では、さいたま市の西側に位置する富士見市に新工場を建設し、新規事業に必要となる生産ラインを導
入することで生産能力の増強及び生産効率を改善し、小型トラック市場への参入を実現する
• 当社の主要事業であるトラック事業では業界構造の変化により大手メーカーによるサプライヤー
補助事業の の見直し等が行われており、当社にとって大きな事業機会となっている 事業費 億円
91
背景・目的 （補助額） （2 億円）
• 当社では老朽化した本社工場や非効率的な生産体制ににより、従業員の安全性への懸念や 5
生産性の低下につながっている
• 本事業では、さいたま市の西側に位置する富士見市の産業団地内に本社工場を新たに建設（=GoWest）し、生産能力
の大幅な増強を行う
実現する • 生産能力の増強に伴い、現在はほとんど対応出来ていなかった小型トラックの部品製造へも積極的に参入していくことで、さら
内容 なる成長を実現させる
• 老朽化した建物・生産設備によって生じていた安全性への懸念を払拭し、従業員が安心して働く職場を整備することで、新たな
人材の採用にもつなげる
• 新工場は、現在の本社/与野工場の1.5倍以上の建物面積となっており、新たに数十台の生産設備を導入することで大幅な
設備投資の 生産能力の増強が期待できる
内容
• 工場レイアウトを最適化することで、生産効率を高め収益性の向上が見込まれる
2026年度 2029年度
項目
（基準年度） （基準年度＋３年後）
（単
労
位
働
：
生
万
産
円
性
/人）
693
（年平均上
1
昇
,1
率
85
＋19.6％）
目標値 従業員
（
1
単
人
位
あ
：
た
万
り給
円
与
/人
支
）
給総額 534
（年平均上
6
昇
1
率
9
＋5.1％）
役員
（
１
単
人
位
あた
：
り
万
給
円
与
/
支
人
給
）
総額 1,624
（年平均上
1
昇
,88
率
0
＋5.0％）
補助事業に係る従業員数
287 385
（単位：人）</t>
  </si>
  <si>
    <t>スズキハイテック株式会社
1.長期成長ビジョン
2030年5月期までに売上96億円規模まで事業成長させる。工場増設と生産設備に約33.3億円を投資し、
事業完了後３年間で「１人当たり給与支給総額の年平均上昇率目標「5％(要件3.4%)」を必ず達成させる。</t>
  </si>
  <si>
    <t>長期成長ビジョン（目指す姿・ビジネスモデル）
(cid:127) 主力事業の自動車分野における社会課題は、2050年カーボン
ニュートラルに伴うグリーン成長戦略を描いていくことである。また、
自動車業界の顧客ニーズの変化は、つながる、自動運転、シェ
アリングサービス、電動化である「CASE」へと大転換している。こ
のような100年に一度の大変革時代の中、成長する電動車部品
とパワー半導体の両方を長年量産する唯一無二のめっき老舗メー
カーの当社に絶好のチャンスが到来した。
(cid:127) 5～10年後の社会に価値提供する自社のありたい姿は具体化し
ている。それは既存顧客向けの電動車向けめっき事業３本柱で
ある直噴インジェクター(xEV及びICE)、パワーコントロールユニット
(xEV)、電動車バッテリー(xEV)へ投資を継続して事業拡大する
ことである。直噴インジェクターの補助事業をやるからこそ、その成
果で企業価値が高まり、新しいまた次の事業である電動車バッ
テリー事業の投資と拡大ができる。更にGo‐Tech研究開発事業
の成果により新規顧客向けの新事業創出に挑む。
(cid:127) 本補助事業では2025年5月期から本社工場増設と生産設備に
「33.3億円を投資」し、事業完了後の2028年5月期～2030
年5月期において「１人当たり給与支給総額の年平均上昇率目
標「5％(要件3.4%)」を必ず達成させ、中堅企業を目指す。</t>
  </si>
  <si>
    <t>外発的動機
(cid:127) 社会課題認識として、2050年カーボンニュートラルに伴うグリー
ン成長戦略をあらゆる産業や社会生活で描いていくことがを大切。
(cid:127) 成長投資を行う自動車分野の社会課題として、国内の地域におけ
る国民生活移動手段の約７割が自家用車である実態を考えると、
移動の安全性や利便性の向上、事故の削減、移動弱者への対
応、交通渋滞ゼロなど、自動車そのものの進化が求められる。
(cid:127) そのような背景から顧客ニーズはつながる・
自動運転・シェアリングサービス・電動化で
ある「CASE」へと大転換している。
(cid:127) それを解決する優れた企画、魅力あるめっき
製品を常に提供し、お客様に目を向け存在
力のある期待される会社を目指している。
(cid:127) それが当社のコンセプト「めっきでレボリューション」である。</t>
  </si>
  <si>
    <t>内発的動機
(cid:127) 既存事業の低迷により2020年5月期に売上11億円まで下落した
が、2015年5月期に５代目社長になり「受託生産中心」だったビ
ジネスモデルを「開発主導型」へ転換し、補助事業対象の電動車
部品めっき加工への開発参画と量産化により2022年5月期に
17.6億円、2023年5月期に創業以来最高額の25.8億円まで
売り上げを伸長させてきた経験がある。
(cid:127) その原動力は、ガソリン車から事業転換してきた成長投資する電動
車部品のめっき加工である。自動車部品Tier1メーカーと7〜8年
前から技術検討を始め、3年前から量産を開始し、現状は現有工
場フルキャパの22時間/日の大量生産を行っている。
(cid:127) 経営者が先頭に立って成長と幸せを実感できる会社を目指す。</t>
  </si>
  <si>
    <t>【p.1／売上成長目標】
売上成長目標
（補助事業完了の2027年5月期を基準に）
【補助事業】
(cid:127) 2030年5月期までの売上高成長率+107.9％
(cid:127) 〃 売上高増加額+37.5億円
【会社全体】
(cid:127) 2030年5月期までの売上高成長率+72.0％
(cid:127) 〃 売上高増加額+40.2億円
【p.2／設備投資の内容】
投資No 設備投資の内容
【p.2／項目 2027年5月期（基準年度）】
項目 2027年5月期（基準年度）</t>
  </si>
  <si>
    <t>【p.1】
スズキハイテック株式会社
1.長期成長ビジョン
2030年5月期までに売上96億円規模まで事業成長させる。工場増設と生産設備に約33.3億円を投資し、
事業完了後３年間で「１人当たり給与支給総額の年平均上昇率目標「5％(要件3.4%)」を必ず達成させる。
長期成長ビジョン（目指す姿・ビジネスモデル） 外発的動機
(cid:127) 社会課題認識として、2050年カーボンニュートラルに伴うグリー
(cid:127) 主力事業の自動車分野における社会課題は、2050年カーボン
ン成長戦略をあらゆる産業や社会生活で描いていくことがを大切。
ニュートラルに伴うグリーン成長戦略を描いていくことである。また、
(cid:127) 成長投資を行う自動車分野の社会課題として、国内の地域におけ
自動車業界の顧客ニーズの変化は、つながる、自動運転、シェ
る国民生活移動手段の約７割が自家用車である実態を考えると、
アリングサービス、電動化である「CASE」へと大転換している。こ
移動の安全性や利便性の向上、事故の削減、移動弱者への対
のような100年に一度の大変革時代の中、成長する電動車部品
応、交通渋滞ゼロなど、自動車そのものの進化が求められる。
とパワー半導体の両方を長年量産する唯一無二のめっき老舗メー
(cid:127) そのような背景から顧客ニーズはつながる・
カーの当社に絶好のチャンスが到来した。
自動運転・シェアリングサービス・電動化で
(cid:127) 5～10年後の社会に価値提供する自社のありたい姿は具体化し
ある「CASE」へと大転換している。
ている。それは既存顧客向けの電動車向けめっき事業３本柱で
(cid:127) それを解決する優れた企画、魅力あるめっき
ある直噴インジェクター(xEV及びICE)、パワーコントロールユニット
製品を常に提供し、お客様に目を向け存在
(xEV)、電動車バッテリー(xEV)へ投資を継続して事業拡大する
力のある期待される会社を目指している。
ことである。直噴インジェクターの補助事業をやるからこそ、その成
(cid:127) それが当社のコンセプト「めっきでレボリューション」である。
果で企業価値が高まり、新しいまた次の事業である電動車バッ
テリー事業の投資と拡大ができる。更にGo‐Tech研究開発事業
の成果により新規顧客向けの新事業創出に挑む。 内発的動機
(cid:127) 本補助事業では2025年5月期から本社工場増設と生産設備に (cid:127) 既存事業の低迷により2020年5月期に売上11億円まで下落した
「33.3億円を投資」し、事業完了後の2028年5月期～2030
が、2015年5月期に５代目社長になり「受託生産中心」だったビ
年5月期において「１人当たり給与支給総額の年平均上昇率目
ジネスモデルを「開発主導型」へ転換し、補助事業対象の電動車
標「5％(要件3.4%)」を必ず達成させ、中堅企業を目指す。
部品めっき加工への開発参画と量産化により2022年5月期に
17.6億円、2023年5月期に創業以来最高額の25.8億円まで
売上成長目標
（補助事業完了の2027年5月期を基準に）
売り上げを伸長させてきた経験がある。
【補助事業】
(cid:127) その原動力は、ガソリン車から事業転換してきた成長投資する電動
(cid:127) 2030年5月期までの売上高成長率+107.9％
車部品のめっき加工である。自動車部品Tier1メーカーと7〜8年
(cid:127) 〃 売上高増加額+37.5億円
前から技術検討を始め、3年前から量産を開始し、現状は現有工
【会社全体】
場フルキャパの22時間/日の大量生産を行っている。
(cid:127) 2030年5月期までの売上高成長率+72.0％
(cid:127) 経営者が先頭に立って成長と幸せを実感できる会社を目指す。
(cid:127) 〃 売上高増加額+40.2億円</t>
  </si>
  <si>
    <t>【p.2】
スズキハイテック株式会社
.補助事業の概要
2
直噴インジェクターめっきラインに2025年5月期から3年間で総額33.3億円を投資し生産性を向上させ、2027年5月
期を基準に2030年5月期までの期間、補助事業１人当たり給与支給総額を年平均上昇率5%まで引き上げる。
現在の本社工場生産能力では、顧客要請の増産計画に応えられない
33億円
補助事業の 事業費
ため、新工場建設と新規設備等への成長投資により生産性を高め、省
背景・目的 （補助額） （ 億円）
8.9
力化した分を成長投資ラインへ人員配置し目標の賃上げを実行する。
直噴インジェクター めっき・検査ライン
投資No 設備投資の内容 投資金額(百万円)
1 建屋増築・改修 1,053
設備投資の
2 機械装置費 2,191
内容
ソフトウェア・
3 86
外注費他
合計 3,330
項目 2027年5月期（基準年度） 2030年5月期（基準年度+3年後）
労働生産性 1,695
925
（単位：万円/人） （年平均上昇率＋22.4％）
目標値
従業員1人あたり給与支給総額 446
385
補助事業 （単位：万円/人） （年平均上昇率＋5.0％）
役員１人あたり給与支給総額 1,205
1,041
（単位：万円/人） （年平均上昇率＋5.0％）
補助事業に係る従業員数
190 208
（単位：人）
※労働生産性＝付加価値額÷従業員数=(営業利益+給与支給総額＋減価償却費)÷従業員数</t>
  </si>
  <si>
    <t>1.長期成長ビジョン 泉南乳業株式会社
泉南乳業株式会社は、乳業メーカーとして持続可能な会社となるため、2030年度に売上高200億円、関西
№１の乳業メーカーを目指します</t>
  </si>
  <si>
    <t>長期成長ビジョン（目指す姿・ビジネスモデル）
創業82年の地域に根付いた乳業メーカーであり、FSSC 22000をか
なり早い時期に取得したこともり、業界内でも品質管理体制に定評
がある
• 先進的な設備を導入することで、顧客ニーズや高い品質を維持、
消費者に安心してご利用いただける商品をとどける
• 学校給食無償化に伴い、牛乳パックを安定して供給できる体制
構築
• 海外輸出、量販店向けPB商品や清涼飲料水のOEM受託等に
より、更なる成長を図る</t>
  </si>
  <si>
    <t>外発的動機
2024年問題により、2024年度には14％、2030年度には34％
•
の輸送力不足の可能性が指摘されており、荷待ち・荷役の削減な
どに取り組む必要性※１
生産年齢人口は減少傾向にあり、労働力確保が難しくなるなか、
•
設備投資による省人化は必須 ※２
牛乳の生産量は、2011年以降において、新型コロナウイルスによる
•
家庭内需要の高まりなどで増減あるものの、概ね3,000千kl超で
推移 ※3
インバウンド活況により日本の牛乳のおいしさが認知され、海外から
•
の引き合いが増加</t>
  </si>
  <si>
    <t>内発的動機
持続可能な会社を目指すため、品質を高めつつ、多様な顧客ニー
•
ズにこたえるため、継続的に先進的な設備投資を実施する計画
2024年度より大阪市において学校給食の無償化が本格実施され
•
るため（中学校における昼食持参→給食化）、生産設備を増強
し、安定供給できる体制を構築
海外輸出売上が増加傾向にあり、計画を前倒しで生産設備を拡
•
充する必要あり
2024年問題対応や、生産性向上、省エネ化といった視点において
•
も設備導入が必要であるという認識</t>
  </si>
  <si>
    <t>【p.1／売上成長目標】
売上成長目標
• 2030年までに売上高成長率185％
• 2030年までに売上高増加額96億円
※ 2023年度比較（2024年3月期売上高113億円）
【p.3／冷蔵倉庫拡張】
冷蔵倉庫拡張
キャパシティ不足解消目的
冷蔵倉庫拡張・新設（外部倉庫を利用可能性が減少）</t>
  </si>
  <si>
    <t>【p.1】
1.長期成長ビジョン 泉南乳業株式会社
泉南乳業株式会社は、乳業メーカーとして持続可能な会社となるため、2030年度に売上高200億円、関西
№１の乳業メーカーを目指します
長期成長ビジョン（目指す姿・ビジネスモデル） 外発的動機
• 2024年問題により、2024年度には14％、2030年度には34％
創業82年の地域に根付いた乳業メーカーであり、FSSC 22000をか
の輸送力不足の可能性が指摘されており、荷待ち・荷役の削減な
なり早い時期に取得したこともり、業界内でも品質管理体制に定評 どに取り組む必要性※１
がある • 生産年齢人口は減少傾向にあり、労働力確保が難しくなるなか、
設備投資による省人化は必須 ※２
• 先進的な設備を導入することで、顧客ニーズや高い品質を維持、
• 牛乳の生産量は、2011年以降において、新型コロナウイルスによる
消費者に安心してご利用いただける商品をとどける 家庭内需要の高まりなどで増減あるものの、概ね3,000千kl超で
推移 ※3
• 学校給食無償化に伴い、牛乳パックを安定して供給できる体制
• インバウンド活況により日本の牛乳のおいしさが認知され、海外から
構築
の引き合いが増加
• 海外輸出、量販店向けPB商品や清涼飲料水のOEM受託等に
内発的動機
より、更なる成長を図る
• 持続可能な会社を目指すため、品質を高めつつ、多様な顧客ニー
ズにこたえるため、継続的に先進的な設備投資を実施する計画
売上成長目標 • 2024年度より大阪市において学校給食の無償化が本格実施され
• 2030年までに売上高成長率185％ るため（中学校における昼食持参→給食化）、生産設備を増強
• 2030年までに売上高増加額96億円 し、安定供給できる体制を構築
※ 2023年度比較（2024年3月期売上高113億円）
• 海外輸出売上が増加傾向にあり、計画を前倒しで生産設備を拡
充する必要あり
• 2024年問題対応や、生産性向上、省エネ化といった視点において
も設備導入が必要であるという認識
出典 ※1 農林水産省東海農政局経営・事業支援部 「物流2024問題に向けた対応について」
https://wwwtb.mlit.go.jp/chubu/jidosya/ouensaito/nouseikyoku.pdf
※2 関西広域連合「関西圏域の現状及び将来推計」https://www.kouiki-kansai.jp/material/files/group/3/1428479123.pdf
※3 農林水産省「最近の牛乳乳製品をめぐる情勢について」 https://www.maff.go.jp/j/chikusan/gyunyu/lin/attach/pdf/index-80.pdf</t>
  </si>
  <si>
    <t>【p.2】
.補助事業の概要 泉南乳業株式会社
2
生産設備の増強により、ボトルネックとなっていた生産能力を向上させ、売上成長へとつなげる。
省人化・効率化を図り、労働生産性の向上を図る。
補助事業の • 需要に対する生産能力不足、労働力確保の困難性、2024年物流問題といった課題感 事業費 12億円
背景・目的 • 最新設備による生産能力の増強により、牛乳の学校給食や輸出需要にこたえる （補助額） （ 億円）
1.3
学校給食・海外輸出用（量販用含む）牛乳等の生産設備を増強
（投資内容の目的、及び期待される投資効果）
生産能力がボトルネックとなり、現有設備では海外需要、新規取引先の増産に応えることができないが、生産設備増強によりボ
トルネックが解消される。
• 受乳タンク：
① タンクの大型化により受入在庫量が130％に増加、受入回数減少により、洗浄等に要する時間と工数を大幅削減
設備投資の ② トラック受入台数が2倍となることで待機時間が大幅に縮小
内容
• 学給・海外輸出用（量販用含む）充填機：学校向けで120～130%、海外向けで130%程度の増産能力UP
• 冷蔵倉庫拡張：外部倉庫を借りた場合、物流リードタイムが長くなる→品質にも影響
以上より、販売数量増加による売上成長が見込まれるとともに、省人化・効率化を図ることが可能となるため、労働生産性が向
上する。
2025年度 2028年度
項目
（基準年度） （基準年度＋３年後）
労働生産性 1,957
1,39
（単位：万円/人） 2 （年平均上昇率＋1 ％）
2
従業員1人あたり給与支給総額
目標値 603
（単位：万円/人） 520 （年平均上昇率＋5.0％）
役員１人あたり給与支給総額 -
-
（単位：万円/人） （年平均上昇率＋5.0％）
補助事業に係る従業員数
104 117
（単位：人）
【p.3】
.補助事業の概要 泉南乳業株式会社
2
設備増強により、生産能力の引き上げ（120~130%）と、当社作業員の工数削減を両立させるとともに、タ
ンクローリーのドライバーの待機時間短縮、全国的に不足している冷蔵倉庫不足に対応
学給・海外輸出用（量
受乳タンク 冷蔵倉庫拡張
販用含む）充填機
- 50tタンク×3基 新設 - 学校給食向け：200ml用
キャパシティ不足解消目的
- タンクの大型化により受入在 - 一般流通・海外向け：1L用
冷蔵倉庫拡張・新設（外部倉庫を利用可能性が減少）
庫量130％
導
入
設
備
【p.4】
.補助事業の概要 泉南乳業株式会社
2
製造工程における投資ポイントは下図のとおり。受入、充填、出荷の各ポイントの増強により、生産能力を120
～130％引き上げる計画
ポイント①
タンクの大型化により、タ
ポイント③
ンクローリーの受入台数が
1台から2台に 冷蔵倉庫増設（生産キ
（投資効果） ャパシティに影響）
• ドライバーの待機時間の （投資効果）
短縮化→2024年物 • 保管量 120％UP
流問題対応 • 庫内作業効率化（工
• 受入量UP→工数、残 数、残業時間短縮）
業時間短縮、在庫量 • 出荷作業（積込み作
増により天候による供給 業）の円滑化（工数、
リスクを軽減（供給の 残業時間短縮）
安定化）
具体的に・・・
ｰ 庫内作業の効率化…現状は
ポイント②
庫内が狭いため製品の置き換え
生産能力大幅UP
などの余分な作業が発生している
（投資効果）
- 出荷作業の円滑化…出荷ス
- 学校向けで120～
ペース確保のため出荷作業（ピッ
130%
キングや積込み）、配車（車両
- 海外向けで130%程
待機時間短縮や混雑の解消）
度の増産能力UP
問題の解消</t>
  </si>
  <si>
    <t>1.長期成長ビジョン 山城金属株式会社
EV分野に進出して、中規模企業を卒業して中堅企業(資本金１億円)を目指す。
世界の自動車のオイル芯金シュア10％→15％を目指す。</t>
  </si>
  <si>
    <t>長期成長ビジョン（目指す姿・ビジネスモデル）
・業績目標
自己資本利益率
(ROE)＝4.2％(現状)→10％(10年後)
・事業目標
現在、主に内燃自動車分野で事業活動
→EV自動車分野でも発展したい。
世界の自動車の芯金シェア10％→15％(10年後)
・組織目標
資本金7千万円→1億円(10年後)
中規模企業を卒業して、将来中堅企業を目指す。</t>
  </si>
  <si>
    <t>外発的動機
新型コロナウイルス感染症の影響で自動車業界は、これま
で以上地球温暖化対策への意識が世界的に高まってきてい
る。それは、国連気候変動枠組条約第3回締約国会議
(COP3)で採択された京都議定書では、気温が1～2℃上
昇するだけで感染症の流行リスクが高まると予測されている。
そのため、化石燃料を使う内燃自動車からEV自動車の需
要増が出てきた。</t>
  </si>
  <si>
    <t>内発的動機
当社[山城金属㈱]は、香川県で地域牽引企業として選
定されている。
私は、松下幸之助氏の大番頭だった稲井隆義氏を同郷
のよしみで敬愛している。稲井隆義氏が四国で興した旧稲
井電子工業㈱は、点灯管、豆電球、導入線など管球部品
で高いシェアを持ち、極めて独自色の強い会社だった。このよ
うに、会社を成長させるためには、時流(現在：EV化)に
沿って、高いシェアと独自技術を強く持つことが重要と考える。
ぜひ、「大規模投資補助金」を活用させていただき地域貢
献とともに大きく成長したい。</t>
  </si>
  <si>
    <t>【p.1／売上成長目標】
売上成長目標
・2029年までに、会社全体の売上高成長率
基準年度(2026年9月期)比 170％
・2029年までに、会社全体の売上高増加額
基準年度(2026年9月期)から＋38億円</t>
  </si>
  <si>
    <t>【p.1】
1.長期成長ビジョン 山城金属株式会社
EV分野に進出して、中規模企業を卒業して中堅企業(資本金１億円)を目指す。
世界の自動車のオイル芯金シュア10％→15％を目指す。
長期成長ビジョン（目指す姿・ビジネスモデル）
外発的動機
・業績目標 新型コロナウイルス感染症の影響で自動車業界は、これま
自己資本利益率 で以上地球温暖化対策への意識が世界的に高まってきてい
る。それは、国連気候変動枠組条約第3回締約国会議
(ROE)＝4.2％(現状)→10％(10年後)
(COP3)で採択された京都議定書では、気温が1～2℃上
・事業目標
昇するだけで感染症の流行リスクが高まると予測されている。
現在、主に内燃自動車分野で事業活動
そのため、化石燃料を使う内燃自動車からEV自動車の需
→EV自動車分野でも発展したい。
要増が出てきた。
世界の自動車の芯金シェア10％→15％(10年後)
・組織目標
内発的動機
資本金7千万円→1億円(10年後) 当社[山城金属㈱]は、香川県で地域牽引企業として選
中規模企業を卒業して、将来中堅企業を目指す。 定されている。
私は、松下幸之助氏の大番頭だった稲井隆義氏を同郷
売上成長目標 のよしみで敬愛している。稲井隆義氏が四国で興した旧稲
・2029年までに、会社全体の売上高成長率 井電子工業㈱は、点灯管、豆電球、導入線など管球部品
基準年度(2026年9月期)比 170％ で高いシェアを持ち、極めて独自色の強い会社だった。このよ
・2029年までに、会社全体の売上高増加額 うに、会社を成長させるためには、時流(現在：EV化)に
基準年度(2026年9月期)から＋38億円 沿って、高いシェアと独自技術を強く持つことが重要と考える。
ぜひ、「大規模投資補助金」を活用させていただき地域貢
献とともに大きく成長したい。</t>
  </si>
  <si>
    <t>【p.2】
.補助事業の概要 山城金属株式会社
2
補助事業の概要：満濃工場第5工場＋省力化設備＋プレス・立形マシニング
目標(2029年度)：労働生産性・年平均12％UP、給与支給総額5％UP
金型・プレス・集荷・結束・倉庫部門の工程に省力化設備、高性能設備や建屋を導入し精密
補助事業の 金属部品で培った強みの金属プレス加工技術で需要が増えてきている新規EV用オイルシール 事業費 1 5 億円
（補助額）
背景・目的 芯金部品へ本格進出する。生産工程を省力化し加工精度を高め、売上や収益と生産性を高 （5. 億円）
0
める。
・工場建物(満濃工場第5工場)
・工場付帯設備(電気設備工事等)
内訳 空調設備工事
電気設備工事他
・省力化設備
内訳 ケース立体自動倉庫
設備投資の
自動製品取り機 写真等
内容
他省力化機器
・生産設備
内訳 プレス NC2-1600(160t)
プレス NC2-2000(200t)
プレス NC2-2500(250t)
立形マシニングセンタV99L
2026年度（基 2029年度
項目
準年度） （基準年度＋３年後）
労働生産性
780
656
（万円/人） （年平均上昇率＋ ％）
5.9
目標値
従業員1人あたり 645
556
給与支給総額（万円/人） （年平均上昇率＋5.1％）
役員1人あたり 1,
1,3 804
給与支給総額（万円/人） 55 （年平均上昇率＋10.0％）
補助事業に係る従業員数
311 496
（単位：人）</t>
  </si>
  <si>
    <t>1.⻑期成⻑ビジョン 長﨑ジャッキ株式会社
真摯なモノづくり、微細なニーズのキャッチアップにより、モノづくりを通し新しい価値を創造し創業100年を⽬指す</t>
  </si>
  <si>
    <t>⻑期成⻑ビジョン（⽬指す姿・ビジネスモデル）
• 真摯なモノづくり、微細なニーズのキャッチアップにより、モノづくり
を通し新しい価値を創造し創業100年を⽬指す
1. 「100年に⼀度の⼤変⾰時代」の⾃動⾞業界において、ニッチ
ニーズに応え続け裾野の広いユーザー層に⽀持される強固な基
盤を築く
2. 魅⼒的な職場を⽬指し、賃⾦アップ、労働環境の整備を⾏い、
⼈材強化に努めることで⽇本のものづくりの発展に寄与する
3. ⾃動⾞整備⼠の需要過多を、ものづくりで解決し、サプライチェー
ン全体での更なる成⻑を⽬指す
売上成⻑⽬標
• 2030年までに会社全体の売上⾼16.8億円(+134.1%)
増、売上29.2億円を⽬指す。</t>
  </si>
  <si>
    <t>外発的動機
• 次世代⾃動⾞(EV, PHV)の台頭による顧客ニーズの多様化
• EC市場の拡⼤によるBtoC顧客の増加による商社の製品需要増
• ⾃動⾞整備⼠の需要過多による省⼒化・補助具ニーズの増加
• ラストワンマイル配送の需要による宅配業者の増加
• カーシェアリング・カーレンタル事業者の成⻑</t>
  </si>
  <si>
    <t>内発的動機
• 顧客ニーズに柔軟に対応することで、取引先とともに成⻑してきた、
当社、取引先ともにさらに成⻑するためには、次世代⾃動⾞(EV,
FCV等)の対応により更なる多品種⽣産が必要
• 増産要求を受けているが⼯場の⽣産キャパシティオーバーのため断っ
ている</t>
  </si>
  <si>
    <t>【p.1】
1.⻑期成⻑ビジョン 長﨑ジャッキ株式会社
真摯なモノづくり、微細なニーズのキャッチアップにより、モノづくりを通し新しい価値を創造し創業100年を⽬指す
⻑期成⻑ビジョン（⽬指す姿・ビジネスモデル） 外発的動機
• 次世代⾃動⾞(EV, PHV)の台頭による顧客ニーズの多様化
• 真摯なモノづくり、微細なニーズのキャッチアップにより、モノづくり
を通し新しい価値を創造し創業100年を⽬指す • EC市場の拡⼤によるBtoC顧客の増加による商社の製品需要増
• ⾃動⾞整備⼠の需要過多による省⼒化・補助具ニーズの増加
1. 「100年に⼀度の⼤変⾰時代」の⾃動⾞業界において、ニッチ • ラストワンマイル配送の需要による宅配業者の増加
• カーシェアリング・カーレンタル事業者の成⻑
ニーズに応え続け裾野の広いユーザー層に⽀持される強固な基
盤を築く
2. 魅⼒的な職場を⽬指し、賃⾦アップ、労働環境の整備を⾏い、
⼈材強化に努めることで⽇本のものづくりの発展に寄与する
3. ⾃動⾞整備⼠の需要過多を、ものづくりで解決し、サプライチェー
内発的動機
ン全体での更なる成⻑を⽬指す
• 顧客ニーズに柔軟に対応することで、取引先とともに成⻑してきた、
当社、取引先ともにさらに成⻑するためには、次世代⾃動⾞(EV,
売上成⻑⽬標 FCV等)の対応により更なる多品種⽣産が必要
• 2030年までに会社全体の売上⾼16.8億円(+134.1%) • 増産要求を受けているが⼯場の⽣産キャパシティオーバーのため断っ
増、売上29.2億円を⽬指す。 ている</t>
  </si>
  <si>
    <t>【p.2】
長﨑ジャッキ株式会社
2.補助事業の概要
工場新設により、生産キャパシティがなく増産や製品開発に対応することが困難な現状から脱却し、売上・利益
率増による大幅な労働生産性の向上を実現する
• 取引先からは増産要求がある中で現状の生産設備では対応が困難 22億円
補助事業の 事業費
• 次世代自動車の普及や、商用車の設備機械の増加により更なる生産性の強化により事業の （6.3億円）
背景・目的 （補助額）
拡大を行う
• 安城市に工場を新設にし、既存工場と連動させることで生産量198.7%を
実現する
• 建設場所は高棚福釜ICの付近であり、商品出荷の観点から物流の効率化
による、短納期への対応も可能となる
• 以下3点より大幅な労働生産性の増加を見込む
設備投資の  売り上げ104.8%像に対し、工場の従業員27.4%の増加で足りる
 生産量の増加に伴い大量発注で原材料仕入れ額を低減し、新設
内容
工場必要電力の30%を太陽光発電することで大幅な原価低減
 事業拡大による利益は賃上げの原始とし、拡張後は毎年現状の2
倍以上となる賃上げ7%を実施する
2027年度 2030年度
項目
（基準年度） （基準年度＋３年後）
労働生産性 2045
1013
（単位：万円/人） （年平均上昇率＋26.4％）
従業員1人あたり給与支給総額 531
目標値 433
（単位：万円/人） （年平均上昇率＋7.0％）
役員１人あたり給与支給総額 1706
1473
（単位：万円/人） （年平均上昇率＋5.0％）
補助事業に係る従業員数
60 75
（単位：人）</t>
  </si>
  <si>
    <t>株式会社GOTENリゾート
1.長期成長ビジョン
インバウンド需要の回復・拡大を機会と捉え、佐賀の美味しい食材を使った『観光特産品』の開発を地元関係者と推進し、佐賀のグローバルでの認知
度・誘客力向上を図る。また、DX投資で省力化・接客品質の高度化を図り、当社の強みである『歓声の上がるおもてなし体験』と観光メニューを組み
合わせた、高収益型高級リゾート旅館の成長モデルを実現し、全国のリゾート旅館のモデルとなる、佐賀県No.1のリゾート旅館グループを実現する。</t>
  </si>
  <si>
    <t>長期成長ビジョン(目指す姿・ビジネスモデル)
• VISION2029(売上24.7億、営利6.3億、従業員数127名)
• 佐賀県の個性的で高品質な食材を用い、高付加価値の観光特産品
（※）開発を地元関係者と推進、誘客力向上（地産来消）を図る。
• 独自価値創出型の既存施設（国内富裕層が満足する個性的なリ
ゾート旅館）に加え、成長市場（インバウンド富裕層）向け高付加
価値型リゾート旅館への成長投資により、佐賀県の魅力を最大限に
伸ばす高収益型リゾート旅館群（ゼブラ企業）を創出する。
• 上記より、観光特産品（地産来消）×リゾート旅館のビジネスモデ
ルを構築し、国内外からのゲストの満足度向上を図る。
• また地場企業としての地域の「観光DX」を推進する担い手となり、人手
不足社会の中で省力化・上質なおもてなしの進化に取組む。
※観光特産品：地域で消費されている特色のある観光資源を用い（地産地消）
た特産品を地域外で販売（地産外消）し知名度UP・ファン化を行い、地元に訪
れて貰う（地産来消）ことで、地域活性化を図る特産品（日本観光士会）
模の拡大を行うには現場のスタッフ育成に加え、経営人材の育成も必須。
社の長期ビジョン「旅のチカラで世界を変える」。観光特産品×リゾート旅館という
の魅力を掛け合わせた新しいビジネスモデルを実現し、長期ビジョンを達成する。
特産品×リゾート旅館という
し、長期ビジョンを達成する。
体験を提供する『リゾート旅
DX化による省力化・上質な
ンド需要を取り込みながら、</t>
  </si>
  <si>
    <t>外発的動機
＜メガトレンド＞
・観光立国の推進。東京五輪や大阪万博開催に対応し、高級ホテル建設が増加。
・富裕層において、原料や製法の丁寧さに拘る高付加価値な日本食などに人気
・地域の社会課題解決の担い手となる企業（ゼブラ企業※）創出機運の高まり
※「新しい資本主義のグランドデザイン及び実行計画」（2023年閣議決定）では、
「地域の中小企業から、地域の社会課題解決の担い手となるゼブラ企業の創出」を提言。
＜成長機会＞
・佐賀県観光アクションを協議する役職（観光連盟福会長、旅館組合理事）就任
・インバウンド需要の回復と（地方への関心が高い）訪日リピート客の増加
・新幹線開通により、欧米からの訪日客が多い長崎からのアクセスが向上
＜脅威＞
・人口減少による国内旅行需要の減少及び働き手の不足
・物流費、原材料・エネルギー価格のさらなる高騰
・感染症やウクライナ情勢などによる、地政学的リスクの増大による人流の混乱</t>
  </si>
  <si>
    <t>内発的動機
・国内旅行市場の成熟に伴い、客を奪い合うビジネスモデルからの脱却が必須。
・今後は、インバウドの誘客力向上を、地元関係者と共同で行うことが不可欠である。
・佐賀県観光連盟副会長、旅館組合理事に就任（観光戦略推進責任者）。
・佐賀の美味しい食材等の高付加価値化が、魅力向上・地域の稼ぐ力向上に繋がる。
・既存旅館２施設で、23期連続黒字経営の高付加価値・高収益性を実現するも、客
室稼働率が90％超と高く、更なる成長（売上、宿泊客）が厳しい。
・旅館業は装置産業のため長期投資回収が前提。コロナ危機を含む、23期連続黒字
化達成の高収益力を背景に、新館投資による成長のタイミングと決断。
・経営理念は「お客様の笑顔のために、私たちの笑顔のために」。経営理念の実践には、
働く私たちの『働きがい』が重要である。（働きがい＝生きがい×やりがい）
・規模の拡大を行うには現場のスタッフ育成に加え、経営人材の育成も必須。
・当社の長期ビジョン「旅のチカラで世界を変える」。観光特産品×リゾート旅館という
２つの魅力を掛け合わせた新しいビジネスモデルを実現し、長期ビジョンを達成する。</t>
  </si>
  <si>
    <t>【p.1／売上成長目標】
売上成長目標
（対2022年10月期比：事務局指示）
• 2029年10月期までの会社全体の売上高24.7億円
• 2029年10月期までの会社全体の売上高成長率243％
• 2029年10月期までの会社全体の売上高増加額17.5億円
※2022年【事務局指示】売上高７.2億円、営業利益0.8億円、従業員数70人
既存２施設＋新館１施設、全３施設での実現を目指す
• 旅館(既存)太良嶽温泉蟹御殿（16室） 売上高 6.1億円
• 旅館【既存】奥武雄温泉風の森（11室） 売上高 3.6億円
• 旅館【新館】奥嬉野温泉無名滝（22室） 売上高 11.5億円
• 観光特産品事業 売上高 3.0億円
【p.1／その他Box 7】
現在、佐賀県を代表する温泉地に2つの旅館を運営。1991年の創業以来、大切な人に喜んで頂けるような安らぎの時間と歓声の上がる驚きの体験を提供する『リゾート旅
館』として23期連続黒字経営を達成。日本の旅館には海外の宿泊施設にはない独特の文化・魅力があり、国内外から多くの方が来館。今後は、DX化による省力化・上質な
おもてなしのさらなる進化、地元観光業者と協力した地元特産品の地産来消（世界に佐賀の魅力を発信）の推進により、成長分野のインバウンド需要を取り込みながら、
全国のリゾート旅館のモデルとなる高収益モデルを構築。日本を代表するリゾート旅館グループへの成長を目指す。</t>
  </si>
  <si>
    <t>【p.1】
株式会社GOTENリゾート
1.長期成長ビジョン
インバウンド需要の回復・拡大を機会と捉え、佐賀の美味しい食材を使った『観光特産品』の開発を地元関係者と推進し、佐賀のグローバルでの認知
度・誘客力向上を図る。また、DX投資で省力化・接客品質の高度化を図り、当社の強みである『歓声の上がるおもてなし体験』と観光メニューを組み
合わせた、高収益型高級リゾート旅館の成長モデルを実現し、全国のリゾート旅館のモデルとなる、佐賀県No.1のリゾート旅館グループを実現する。
長期成長ビジョン(目指す姿・ビジネスモデル) 外発的動機
＜メガトレンド＞
• VISION2029(売上24.7億、営利6.3億、従業員数127名)
・観光立国の推進。東京五輪や大阪万博開催に対応し、高級ホテル建設が増加。
• 佐賀県の個性的で高品質な食材を用い、高付加価値の観光特産品 ・富裕層において、原料や製法の丁寧さに拘る高付加価値な日本食などに人気
（※）開発を地元関係者と推進、誘客力向上（地産来消）を図る。 ・地域の社会課題解決の担い手となる企業（ゼブラ企業※）創出機運の高まり
• 独自価値創出型の既存施設（国内富裕層が満足する個性的なリ ※「新しい資本主義のグランドデザイン及び実行計画」（2023年閣議決定）では、
「地域の中小企業から、地域の社会課題解決の担い手となるゼブラ企業の創出」を提言。
ゾート旅館）に加え、成長市場（インバウンド富裕層）向け高付加
＜成長機会＞
価値型リゾート旅館への成長投資により、佐賀県の魅力を最大限に
・佐賀県観光アクションを協議する役職（観光連盟福会長、旅館組合理事）就任
伸ばす高収益型リゾート旅館群（ゼブラ企業）を創出する。
・インバウンド需要の回復と（地方への関心が高い）訪日リピート客の増加
• 上記より、観光特産品（地産来消）×リゾート旅館のビジネスモデ ・新幹線開通により、欧米からの訪日客が多い長崎からのアクセスが向上
ルを構築し、国内外からのゲストの満足度向上を図る。 ＜脅威＞
・人口減少による国内旅行需要の減少及び働き手の不足
• また地場企業としての地域の「観光DX」を推進する担い手となり、人手
・物流費、原材料・エネルギー価格のさらなる高騰
不足社会の中で省力化・上質なおもてなしの進化に取組む。
・感染症やウクライナ情勢などによる、地政学的リスクの増大による人流の混乱
※観光特産品：地域で消費されている特色のある観光資源を用い（地産地消）
た特産品を地域外で販売（地産外消）し知名度UP・ファン化を行い、地元に訪
内発的動機
れて貰う（地産来消）ことで、地域活性化を図る特産品（日本観光士会）
・国内旅行市場の成熟に伴い、客を奪い合うビジネスモデルからの脱却が必須。
売上成長目標（対2022年10月期比：事務局指示）
・今後は、インバウドの誘客力向上を、地元関係者と共同で行うことが不可欠である。
• 2029年10月期までの会社全体の売上高24.7億円 ・佐賀県観光連盟副会長、旅館組合理事に就任（観光戦略推進責任者）。
・佐賀の美味しい食材等の高付加価値化が、魅力向上・地域の稼ぐ力向上に繋がる。
• 2029年10月期までの会社全体の売上高成長率243％
・既存旅館２施設で、23期連続黒字経営の高付加価値・高収益性を実現するも、客
• 2029年10月期までの会社全体の売上高増加額17.5億円
室稼働率が90％超と高く、更なる成長（売上、宿泊客）が厳しい。
※2022年【事務局指示】売上高７.2億円、営業利益0.8億円、従業員数70人
・旅館業は装置産業のため長期投資回収が前提。コロナ危機を含む、23期連続黒字
既存２施設＋新館１施設、全３施設での実現を目指す
化達成の高収益力を背景に、新館投資による成長のタイミングと決断。
• 旅館(既存)太良嶽温泉蟹御殿（16室） 売上高 6.1億円 ・経営理念は「お客様の笑顔のために、私たちの笑顔のために」。経営理念の実践には、
• 旅館【既存】奥武雄温泉風の森（11室） 売上高 3.6億円 働く私たちの『働きがい』が重要である。（働きがい＝生きがい×やりがい）
• 旅館【新館】奥嬉野温泉無名滝（22室） 売上高 11.5億円 ・規模の拡大を行うには現場のスタッフ育成に加え、経営人材の育成も必須。
・当社の長期ビジョン「旅のチカラで世界を変える」。観光特産品×リゾート旅館という
• 観光特産品事業 売上高 3.0億円
２つの魅力を掛け合わせた新しいビジネスモデルを実現し、長期ビジョンを達成する。
現在、佐賀県を代表する温泉地に2つの旅館を運営。1991年の創業以来、大切な人に喜んで頂けるような安らぎの時間と歓声の上がる驚きの体験を提供する『リゾート旅
館』として23期連続黒字経営を達成。日本の旅館には海外の宿泊施設にはない独特の文化・魅力があり、国内外から多くの方が来館。今後は、DX化による省力化・上質な
おもてなしのさらなる進化、地元観光業者と協力した地元特産品の地産来消（世界に佐賀の魅力を発信）の推進により、成長分野のインバウンド需要を取り込みながら、
全国のリゾート旅館のモデルとなる高収益モデルを構築。日本を代表するリゾート旅館グループへの成長を目指す。</t>
  </si>
  <si>
    <t>【p.2】
株式会社GOTENリゾート
.補助事業の概要
2
2019年末からのコロナ禍においても右肩上がりの売上高と23期連続黒字を実現した、当社の高付加価値＆高収益型ビジネス
モデルを、今後のインバウンド需要の拡大、人口減少などのトレンドを睨みつつ、収益構造を抜本的に変える新たなビジネスモデル
【観光（地産来消）×高級リゾート旅館】へ進化。地方旅館が、今後生き残るためのロールモデルの構築を目指す。
魅力ある観光特産品や観光メニューの開発により、佐賀県の誘客力と地域の稼ぐ力を強化する。今後の
事業費
成長拡大には、宿泊キャパの拡大が必須であり、政府が目指すコロナ後の観光振興には、富裕層インバウ
補助事業の 事業費 ２ 8 億円
ンド層の取り込みが必須。インバウンド誘客では、観光特産品を越境ECを活用した積極的な海外販路拡
背景・目的 (補助額) 補助額
大に取り組む。また、今後の深刻化する人手不足に対応し、徹底的な省力化投資を実行。観光（地産来
(８ 億円)
.0
消）×リゾート旅館という新しいビジネスモデルを構築することにより、地方の旅館の収益構造を変える。
＜新館概要＞
• 嬉野温泉に、緑豊かな周辺の景観を活かし、さらに、目の前に滝がある唯一無二の22部屋の高級旅館（新館）を建設
• 全室露天風呂付き客室、富裕層インバウンドが好む伝統工芸や景観を活かした高単価リゾート旅館
＜省力化・生産性向上＞
• グループ施設(今後計画分も合わせた5施設)全体で労働生産性向上をしていくために、DX化を推進していく。
• スマホ1つで施設内の全てが完結するシステムやレベニューマネジメントの自動化、日本旅館初の客室配達ロボット、掃除ロボットなどを導入
主な • 湯量センサーや客室家電のコントロールシステム導入による人手によるオペレーションの簡略化を実現
＜低環境負荷＞
設備投資
内容 • 日本庭園の『借景』を援用し日本文化のワビサビを具現化する手
法や日本建築の省エネの知恵を応用したパッシブな館内環境制御
技術を、新館（本補助事業）設計に応用。リゾート旅館開発に
おける、低環境負荷型開発を実現
• 省エネ・脱炭素を実現する高効率ボイラーや空調、LED照明採用
• 仕入れ、在庫管理のシステム導入による廃棄ロスの削減
目の前の滝を利用した環境配慮型の小水力発電の実施
新館 無名滝（借景）
2025年度（2026年10月期） 2028年度（2029年10月期）
項目
（基準年度） （基準年度＋３年後）
労働生産性
671 万円/人
973 万円/人
（単位：万円/人） （年平均上昇率＋13.2％）
目標値 従業員1人あたり給与支給総額 373 万円/人
292 万円/人
（単位：万円/人） （年平均上昇率＋8.5％）
役員１人あたり給与支給総額
1100 万円/人
1290 万円/人
（単位：万円/人） （年平均上昇率＋5.5％）
補助事業に係る従業員数
106 人 127 人
（単位：人）</t>
  </si>
  <si>
    <t>1.長期成長ビジョン 株式会社カナイ
大規模成長投資と当社の強みを活かし中大規模木造向け接合金具事業の市場へ本格的に進出し、
「サプライチェーン全体の生産性向上」及び「継続的賃上げ」を図り、売上・成長目標を達成する。</t>
  </si>
  <si>
    <t>長期成長ビジョン（目指す姿・ビジネスモデル）
当社は自動化物流倉庫への大規模投資及び木造住宅接合金具市場で
培った強みを活かし、新規市場(中大規模木造建築の接合金具事業)へ
の本格的な参入及び既存事業(木造住宅の接合金具)のシェア拡大を行
い、2029年における単体売上高400億円、2023年比売上高成長率
33%を達成する。
また、売上高の成長のみならず、『当社及びサプライチェーン全体の生産性
の向上』及び『継続的な賃上げによる従業員還元』を、木造建築業界全
体の持続的な発展のための、当社の長期成長ビジョンとする。
①サプライチェーン全体の生産性の向上
新市場への取り組みの過程で、大規模投資による物流機能の強化を行い、
既存事業も含めたサプライチェーンに関わる人々(当社従業員、建設現場、
配送業者等)の生産性の向上や労働力不足の解決に貢献する。
②継続的な賃上げによる従業員還元
新市場進出、既存事業拡大には安定した人材の確保が必要となる。その
ため、賃上げによる継続的な従業員還元(従業員１人あたりの給与支給
総額の年平均+7%増加の達成)を図ることで、人材の確保を図り事業の
安定した成長を実現する。</t>
  </si>
  <si>
    <t>外発的動機
• 人口減少や高齢化社会を背景として、新築の住宅着工件数は
2022年度の86万戸から、2040年度は55万戸への減少が予測
(*1)される。それに伴い、当社の主たる事業である木造住宅向けの
接合金具市場についても縮小が見込まれる。
• 一方で、国の施策(脱炭素等)により、中大規模の木造建物を含む
国内非住宅木造市場は、2021年の5,952億円から、2025年には
7,700億円(成長率+130%)への拡大が予測(*2)されており、当
社の強みを生かし本格的な市場参入を行う。
• 2024年4月からの「時間外労働の上限規制」や労働力不足は、当
社が下請として属する木造建築業界にも大きな影響を与えている。
当社はサプライチェーンの一社として物流機能を強化し、当社のみなら
ず建設現場や配送業者の生産性向上に貢献したいと考えている。</t>
  </si>
  <si>
    <t>内発的動機
• 当社は木造住宅建築を支える下請企業として、震災の多い日本にお
いて『人の命を守る』を使命とし、多種多様で高品質の接合金具を供
給してきた。そして、創業60周年の節目である2023年に、大阪万博
の木造建造物に当社製品の供給を行い、従業員の誇りやモチベー
ションへの繋がりを見て、ランドマークとなる中大規模の木造建築により
深く携わりたいと感じた。
• 一方で、当社は知名度不足から人材採用に苦心している。新市場
進出や既存事業拡大のためには人材の確保が不可欠であり、継続
的な賃上げや福利厚生の拡充等の更なる従業員還元が必要である
と考えている。
• そのためには、今まで以上に多種多様の製品の取扱いや物流の更な
る効率化による売上、収益向上が必要であり、大規模成長投資(補
助事業である自動化倉庫の建設等)の実施が不可欠である。</t>
  </si>
  <si>
    <t>【p.1／売上成長目標】
売上成長目標(2023年比)
• 2029年まで当社単体の売上高成長率33％
• 2029年まで当社単位の売上高増加額100億円
単体売上高 2023年度 当社 300億円
2029年度 当社 400億円
【p.2／設備投資の内容】
• 設備投資の内容（詳細はP12に記載）
埼玉県内の既存の物流倉庫3拠点を1拠点に集約し、地上4階
当物流倉庫は、既存の物流倉庫にて人で管理・運営していた倉
、自動搬送装置等を導入し、商品の入庫から出庫まで最大限
また、地上4階建てとすることで保管スペースの拡大も図るもので
• 設備投資による効果(詳細はP13に記載)
①倉庫業務の自動化による、省人化及び出荷短縮による生産
②省人化により人材の付加価値業務(ピッキング等)への転用
より当社の製品の付加価値が向上(建設現場の利便性向上に
③人材の転用のみならず、ピッキングやシェア拡大のための営業人
④上記により、当社グループの収益性、労働生産性が向上し、</t>
  </si>
  <si>
    <t>【p.1】
1.長期成長ビジョン 株式会社カナイ
大規模成長投資と当社の強みを活かし中大規模木造向け接合金具事業の市場へ本格的に進出し、
「サプライチェーン全体の生産性向上」及び「継続的賃上げ」を図り、売上・成長目標を達成する。
外発的動機
長期成長ビジョン（目指す姿・ビジネスモデル）
• 人口減少や高齢化社会を背景として、新築の住宅着工件数は
当社は自動化物流倉庫への大規模投資及び木造住宅接合金具市場で
2022年度の86万戸から、2040年度は55万戸への減少が予測
培った強みを活かし、新規市場(中大規模木造建築の接合金具事業)へ
(*1)される。それに伴い、当社の主たる事業である木造住宅向けの
の本格的な参入及び既存事業(木造住宅の接合金具)のシェア拡大を行
接合金具市場についても縮小が見込まれる。
い、2029年における単体売上高400億円、2023年比売上高成長率
• 一方で、国の施策(脱炭素等)により、中大規模の木造建物を含む
33%を達成する。
国内非住宅木造市場は、2021年の5,952億円から、2025年には
また、売上高の成長のみならず、『当社及びサプライチェーン全体の生産性 7,700億円(成長率+130%)への拡大が予測(*2)されており、当
の向上』及び『継続的な賃上げによる従業員還元』を、木造建築業界全 社の強みを生かし本格的な市場参入を行う。
体の持続的な発展のための、当社の長期成長ビジョンとする。 • 2024年4月からの「時間外労働の上限規制」や労働力不足は、当
社が下請として属する木造建築業界にも大きな影響を与えている。
①サプライチェーン全体の生産性の向上
当社はサプライチェーンの一社として物流機能を強化し、当社のみなら
新市場への取り組みの過程で、大規模投資による物流機能の強化を行い、 ず建設現場や配送業者の生産性向上に貢献したいと考えている。
既存事業も含めたサプライチェーンに関わる人々(当社従業員、建設現場、
配送業者等)の生産性の向上や労働力不足の解決に貢献する。
内発的動機
②継続的な賃上げによる従業員還元
• 当社は木造住宅建築を支える下請企業として、震災の多い日本にお
新市場進出、既存事業拡大には安定した人材の確保が必要となる。その
いて『人の命を守る』を使命とし、多種多様で高品質の接合金具を供
ため、賃上げによる継続的な従業員還元(従業員１人あたりの給与支給
給してきた。そして、創業60周年の節目である2023年に、大阪万博
総額の年平均+7%増加の達成)を図ることで、人材の確保を図り事業の
の木造建造物に当社製品の供給を行い、従業員の誇りやモチベー
安定した成長を実現する。
ションへの繋がりを見て、ランドマークとなる中大規模の木造建築により
深く携わりたいと感じた。
売上成長目標(2023年比) • 一方で、当社は知名度不足から人材採用に苦心している。新市場
進出や既存事業拡大のためには人材の確保が不可欠であり、継続
• 2029年まで当社単体の売上高成長率33％
的な賃上げや福利厚生の拡充等の更なる従業員還元が必要である
• 2029年まで当社単位の売上高増加額100億円
と考えている。
単体売上高 2023年度 当社 300億円
• そのためには、今まで以上に多種多様の製品の取扱いや物流の更な
2029年度 当社 400億円
る効率化による売上、収益向上が必要であり、大規模成長投資(補
助事業である自動化倉庫の建設等)の実施が不可欠である。
*1(株)野村総合研究所 日本における「2023～2040年度の新設住宅着工戸数」の推計・予測(2023/6/22)
*2株)矢野経済研究所 2022年版 非住宅木造市場の実態と展望(2022/10/16)</t>
  </si>
  <si>
    <t>【p.2】
株式会社カナイ
.補助事業の概要
2
大規模成長投資として自動化物流倉庫を建設し、物流機能の強化及び付加価値向上を図ることで、既存事業
及び新市場でのシェア拡大及び継続的な賃上げを実施する。
• 木造住宅市場の着工減少が予測される中、既存市場(住宅木造向け)のシェア拡大及び新規市場(中大規
模木造向け)への進出が必須である。既存市場及び新規市場でのシェア拡大のために、物流機能の強化(出
補助事業の 荷能力向上、省人化、大量保管等)が必要となる。 事業費 億円
45
背景・目的 • 当社製品は震災時に『人の命を守る』接合金物であり、納品ミスがないように品質統制を徹底している。しかし、 （補助額） （ 億円）
6.9
取り扱い製品の増加や人材採用難を見据えて、自動化、標準化による品質統制が急務である。
• 人材獲得・定着の観点から、労働生産性の向上による従業員への継続的な賃上げを行う必要がある。
• 設備投資の内容（詳細はP12に記載） 計
埼玉県内の既存の物流倉庫3拠点を1拠点に集約し、地上4階建ての自動化物流倉庫を建設する。 画
当物流倉庫は、既存の物流倉庫にて人で管理・運営していた倉庫内の作業を、倉庫管理システム、自動ラック パ
ー
、自動搬送装置等を導入し、商品の入庫から出庫まで最大限の自動化を図る。
ス
また、地上4階建てとすることで保管スペースの拡大も図るものである。
設備投資の
内容 • 設備投資による効果(詳細はP13に記載)
①倉庫業務の自動化による、省人化及び出荷短縮による生産性の向上、業務標準化による品質統制の向上(納品ミス削減)に繋がる。
②省人化により人材の付加価値業務(ピッキング等)への転用が可能となり、 『邸別配送＋階層別』及び『工程別配送』を実現する。これに
より当社の製品の付加価値が向上(建設現場の利便性向上に寄与)し、新市場及び既存市場でのシェア拡大及び収益性アップに繋がる。
③人材の転用のみならず、ピッキングやシェア拡大のための営業人員等の新規人材も必要であり、地域の新たな雇用創出に繋げる。
④上記により、当社グループの収益性、労働生産性が向上し、継続的な賃上げによる従業員還元により安定した人材の確保が可能となる。
2026年度 2029年度
項目
（基準年度） （基準年度＋３年後）
（単
労
位
働
：
生
万
産
円
性
/人）
1,668
（年平均上
2
昇
,5
率
9
＋
2
15.8％）
目標値 従業員1人あたり給与支給総額 536
（単位：万円/人）
438
（年平均上昇率＋7.0％）
役員１人あたり給与支給総額
1,000
1,125
（単位：万円/人） （年平均上昇率＋4.0％）
補助事業に係る従業員数
100人 140人
（単位：人）
【p.3】
2 .補助事業の概要 株式会社カナイ
補助事業の概要の補足資料
自動倉庫平面図設計図及び導入設備の詳細と効果、物流拠点の集約について
1.自動倉庫 平面図設計図及び導入設備の詳細 ③AIパレタイズ/デバレタイズロボット
パレタイズとは荷物をパレットに積み上げる作業である。倉庫内の「取る・置く」を自動化により省人化、
自動倉庫の平面図及び導入設備一覧
出荷スピード向上が期待できる。
①自動倉庫ラック ④シャトル＆サーバ
電動式の移動棚であり、高層化での大量保管、格納効率の向上、省人化等の効果 「高能力自動倉庫」高速で走行する複数のシャトルが高速で同時に入出庫を行い、
が期待 荷揃え・仕分け・ピッキング・補充能率を行い、省人化、出荷スピード向上が期待できる。
②WMS(倉庫管理システム) ⑤AGV（物流送台車）
倉庫への貨物、資材、商品の入出庫管理や在庫管理などの機能を搭載したシステム 「無人搬送車」工場や倉庫で従来は人が行っていた搬送作業を代替するロボットである。
である。入出荷情報等の一元管理の効果が期待できる。 ⑥Goods to Personシステム
物流倉庫内のピッキングや運搬業務をサポートするシステムであり、ロボットが商品のある棚を運んでくる
ため、省人化・ピッキング業務の効率化、正確性の向上が期待できる
⑦垂直搬送機
荷物を垂直に上げ下げして異なる階層に移送させるための設備であり、省人化が期待できる。
⑧RGV（有軌道台車）
設置されたレール上を移動するように設計された台車で、倉庫内での資材運搬や製品搬出などを目的
に使用する。省2.化が期待できる。
⑨太陽光発電パネル
上記の①～⑧までの自動化設備より、毎月最大稼働で200万円の電気代が見込まれることから、倉
庫内の自社利用として太陽光パネルを設置する。
2.物流拠点の集約 ①第二物流倉庫(埼玉県八潮市西袋540)
埼玉県内の右記の既存物流倉庫を
下記の新物流倉庫に集約する
①補助事業住所
埼玉県八潮市大字浮塚20他 ②幸手物流倉庫(埼玉県幸手市木立1830-15)
②敷地面積
7,605㎡
③建物床面積
1階：5,135㎡
2階：2,363㎡
③第四物流倉庫（埼玉県八潮市浮塚20）
3階：1,196㎡
4階： 806㎡
合計：9,502㎡</t>
  </si>
  <si>
    <t>池田糖化工業株式会社
1.⾧期成⾧ビジョン
売上成⾧目標 ※2023年度対比
• 国内の深掘りと新領域への挑戦
• 2029年までの会社全体の売上高成⾧率84％
• 海外輸出向け商材の拡大
• 2029年までの会社全体の売上高増加額471億円</t>
  </si>
  <si>
    <t>⾧期成⾧ビジョン（目指す姿・ビジネスモデル）
ステークホルダーの「笑顔」のために、常に環境の変化に対応しながら、食を通じて
「未来をつくる会社」を目指します
■国内の深掘りと新領域への挑戦
• ウェルネスフードに向けた健康食品商材の拡大（微生物培養事業、ステビアヘ
ルス、乳酸菌商材、納豆菌商材、ジンジャーエキス商材）
• プラントベースフードに向けて品質向上商材の拡大（プラントdeリッチシリーズ）
• カーボンニュートラルへの事業参画とサーキュラーフードへの活用（藻類産業
（MATSURIプロジェクト）への参画と藻残渣の食品への活用）
• インバウンド需要に向けた外食及びコンビニ向け調味料、デザートソース、微粉砕
品、色素の拡販
■海外輸出向け商材の拡大
• 即席めんへの調味料、米飯用製剤、冷凍スイーツへのデザーソースの販売
• 国内外食チェーンの海外出店時の調味料販売
■粉末事業への注力
• 新規設備と自社独自技術を掛け合わせた高付加価値商材の開発・販売
• 海外への輸送や⾧期・常温保存に適した粉末商材の拡大
• 高価な設備の更新を止める企業の商材の取り込み
⾧期成⾧ビジョン実現のための課題
省力化
市場のニーズにマッチした 海外および国内の
人手不足の解消 製造キャパの拡張
新製品開発 市場開拓
賃上げ原資の確保
上記課題解決により、高付加価値企業への転換を図りたい</t>
  </si>
  <si>
    <t>外発的動機
• 高齢化社会による健康寿命の延伸ニーズの高まり
• SDGｓに基づいたサステナブル経営の要求
• 感染症（コロナ）の終息による訪日外国人の回復
• 食の多様性（ビーガン食、ハラール食対応）
• 国内労働人口の減少（人手不足）
• 国内人口の減少
• 国内外食チェーンの海外出店加速
• カーボンニュートラルへ向けた脱炭素経営の要求
• 国内外でのペット市場の拡大</t>
  </si>
  <si>
    <t>内発的動機
• 酵素検査事業で培った微生物培養技術
• 創業120年の中での主事業変遷の歴史
• 創業時:水あめ製造→現在:カラメル色素・調味
料などを幅広く製造
• 当社の存在意義「働く人の幸福」「お客様の満足」
「社会への貢献」
• 創業120年の歴史の中で培ってきた国内食品メー
カーとのつながり</t>
  </si>
  <si>
    <t>売上成⾧目標 ※2023年度対比
• 2029年までの会社全体の売上高成⾧率84％
• 2029年までの会社全体の売上高増加額471億円</t>
  </si>
  <si>
    <t>【p.1／売上成長目標】
売上成⾧目標 ※2023年度対比
• 2029年までの会社全体の売上高成⾧率84％
• 2029年までの会社全体の売上高増加額471億円
【p.2／（A）事業に要する経費 （B）補助対象経費】
（A）事業に要する経費 （B）補助対象経費
単位:千円 （C）補助金交付申請額
（税抜き） （税抜き）
【p.2／2026年度】
2026年度
項目
（基準年度）</t>
  </si>
  <si>
    <t>【p.1】
池田糖化工業株式会社
1.⾧期成⾧ビジョン
売上成⾧目標 ※2023年度対比
• 国内の深掘りと新領域への挑戦
• 2029年までの会社全体の売上高成⾧率84％
• 海外輸出向け商材の拡大
• 2029年までの会社全体の売上高増加額471億円
⾧期成⾧ビジョン（目指す姿・ビジネスモデル）
外発的動機
ステークホルダーの「笑顔」のために、常に環境の変化に対応しながら、食を通じて
• 高齢化社会による健康寿命の延伸ニーズの高まり
「未来をつくる会社」を目指します
• SDGｓに基づいたサステナブル経営の要求
■国内の深掘りと新領域への挑戦
• 感染症（コロナ）の終息による訪日外国人の回復
• ウェルネスフードに向けた健康食品商材の拡大（微生物培養事業、ステビアヘ
• 食の多様性（ビーガン食、ハラール食対応）
ルス、乳酸菌商材、納豆菌商材、ジンジャーエキス商材）
• 国内労働人口の減少（人手不足）
• プラントベースフードに向けて品質向上商材の拡大（プラントdeリッチシリーズ）
• 国内人口の減少
• カーボンニュートラルへの事業参画とサーキュラーフードへの活用（藻類産業
• 国内外食チェーンの海外出店加速
（MATSURIプロジェクト）への参画と藻残渣の食品への活用）
• カーボンニュートラルへ向けた脱炭素経営の要求
• インバウンド需要に向けた外食及びコンビニ向け調味料、デザートソース、微粉砕
• 国内外でのペット市場の拡大
品、色素の拡販
内発的動機
■海外輸出向け商材の拡大
• 酵素検査事業で培った微生物培養技術
• 即席めんへの調味料、米飯用製剤、冷凍スイーツへのデザーソースの販売
• 創業120年の中での主事業変遷の歴史
• 国内外食チェーンの海外出店時の調味料販売
• 創業時:水あめ製造→現在:カラメル色素・調味
料などを幅広く製造
■粉末事業への注力
• 当社の存在意義「働く人の幸福」「お客様の満足」
• 新規設備と自社独自技術を掛け合わせた高付加価値商材の開発・販売
「社会への貢献」
• 海外への輸送や⾧期・常温保存に適した粉末商材の拡大
• 創業120年の歴史の中で培ってきた国内食品メー
• 高価な設備の更新を止める企業の商材の取り込み
カーとのつながり
⾧期成⾧ビジョン実現のための課題
省力化
市場のニーズにマッチした 海外および国内の
人手不足の解消 製造キャパの拡張
新製品開発 市場開拓
賃上げ原資の確保
上記課題解決により、高付加価値企業への転換を図りたい</t>
  </si>
  <si>
    <t>【p.2】
池田糖化工業株式会社
2.補助事業の概要
• 世界に通用する技術で、補助事業を池田糖化成⾧のエンジンに
• 高付加価値製品の増産と効率化で、労働生産性の大幅アップ
補助事業の • 将来的に予測される人手不足に対応した省力化工場の建設および、新規導入設備で高付 事業費 162億円
背景・目的 加価値製品の増産を行い、従業員の賃金アップを目指す。 （補助額） （50億円）
• 新工場の新設および、製造設備の導入を行う（設備の詳細については、次頁以降で説明）
（A）事業に要する経費 （B）補助対象経費
単位:千円 （C）補助金交付申請額
（税抜き） （税抜き）
建物費 10,267,000 10,000,000 3,333,333
設備投資の
機械装置費 5,924,253 5,000,000 1,666,667
内容
合計 16,191,253 15,000,000 5,000,000
• 設備投資により、市場の拡大が見込まれるペットフード、ウェルネス市場の開拓に注力するとともに、現在市場の需要に供給
が追い付いていない微粉砕商材市場やオーブン市場、海外市場へ増産体制を構築する。
• また製品単価の高い物に注力し、付加価値額をアップさせることで、労働生産性を2026年度から年平均126.5％増加さ
せる
2026年度 2029年度
項目
（基準年度） （基準年度＋３年後）
労働生産性 8,748万円／人
753万円／人
（単位:万円/人） （年平均上昇率＋126.5％）
目標値 従業員1人あたり給与支給総額 641万円 742万円
（単位:万円/人） （年平均上昇率＋5.0％）
役員１人あたり給与支給総額
0 0
（単位:万円/人）
補助事業に係る従業員数
110人 150人
（単位:人）</t>
  </si>
  <si>
    <t>ＺＡＣＲＯＳ株式会社
1.長期成長ビジョン
積極投資により事業競争力を強化し、2030年度を目標にROEを12%まで押し上げます。</t>
  </si>
  <si>
    <t>長期成長ビジョン（目指す姿・ビジネスモデル）
• 2030年度のROE12％達成を目指し、2030年度までに累計
1,100億円の投資を実行します。このうち、向こう3年間を積極投
資による構造改革期と位置付け、2026年度までに700億円の投
資を実行します。「ビジネスモデル進化」、「ポートフォリオ変革」、「バ
ランスシート改革」を断行し、持続的な企業価値向上を図ります。
• 世の中の潜在的な「困り事」に先行して挑み、社内外の様々な製
品や技術、サービスを組み合わせ、ユニークな解決策や新しい文化
や価値を生み続けるソリューション創造企業であり続けます。その
結果として持続的な企業価値向上を果たします。
数値目標</t>
  </si>
  <si>
    <t>外発的動機
• 近年の社会課題（例えば循環経済の実現、代替食品の普及など）は、モ
ノの提供だけ・1社単独では解決できなくなっています。お客様もこれまで以上
に、モノの提供だけではなく、社会のあたりまえを変えるソリューションの提案を
求めています。当社の創業以来のビジネスモデルは「世の中に新しい“モノ“を
提案し、カスタム対応を含む受注生産をする」ことです。過去3年間の営業利
益目標未達の中でも、サービスや外部資源活用により高付加価値事業
（例えばBioPhaSや建材）が生まれています。
この「ソリューション創造活動」を加速し、他事業に拡大しようとしていますが、
それにはポートフォリオ変革・バランスシート改革が必須です。株式市場からも
資本コストを重視した経営を求められており、企業価値向上を図るための目
標値としてROE12％を設定しました。</t>
  </si>
  <si>
    <t>内発的動機
• 過去3年間で投資案件の準備は進展しましたが、実際の支出は179億円に
留まりました。一部既存事業は成熟化し、過度な安全性・足許収益性の重
視により投資案件探索活動も進まず、新商材・新事業の候補が不足してい
ます。
投資の遅れにより未活用資金が蓄積しており、業務改革(BPR)、DX推進、
AI、IOT、ロボティックスなど先端技術の進展も途上であり、生産現場も疲弊
しています。希少資源である人財への投資の充実も課題です。
この状況を立て直すため、安定的にフリーキャッシュフローを生み出し、資本効
率の観点から企業価値向上を図る企業体質になることを目標に、2030年
度ROE12％を設定しました。株主資本の有効活用と適正な利益の確保に
より、事業としても、従業員が働く場としても、企業価値の大前提であるサス
テナビリティを実現する企業を目指します。</t>
  </si>
  <si>
    <t>【p.1】
ＺＡＣＲＯＳ株式会社
1.長期成長ビジョン
積極投資により事業競争力を強化し、2030年度を目標にROEを12%まで押し上げます。
長期成長ビジョン（目指す姿・ビジネスモデル） 外発的動機
• 近年の社会課題（例えば循環経済の実現、代替食品の普及など）は、モ
• 2030年度のROE12％達成を目指し、2030年度までに累計
ノの提供だけ・1社単独では解決できなくなっています。お客様もこれまで以上
1,100億円の投資を実行します。このうち、向こう3年間を積極投
に、モノの提供だけではなく、社会のあたりまえを変えるソリューションの提案を
資による構造改革期と位置付け、2026年度までに700億円の投 求めています。当社の創業以来のビジネスモデルは「世の中に新しい“モノ“を
資を実行します。「ビジネスモデル進化」、「ポートフォリオ変革」、「バ 提案し、カスタム対応を含む受注生産をする」ことです。過去3年間の営業利
ランスシート改革」を断行し、持続的な企業価値向上を図ります。 益目標未達の中でも、サービスや外部資源活用により高付加価値事業
（例えばBioPhaSや建材）が生まれています。
• 世の中の潜在的な「困り事」に先行して挑み、社内外の様々な製
この「ソリューション創造活動」を加速し、他事業に拡大しようとしていますが、
品や技術、サービスを組み合わせ、ユニークな解決策や新しい文化
それにはポートフォリオ変革・バランスシート改革が必須です。株式市場からも
や価値を生み続けるソリューション創造企業であり続けます。その
資本コストを重視した経営を求められており、企業価値向上を図るための目
結果として持続的な企業価値向上を果たします。 標値としてROE12％を設定しました。
数値目標
内発的動機
• 過去3年間で投資案件の準備は進展しましたが、実際の支出は179億円に
留まりました。一部既存事業は成熟化し、過度な安全性・足許収益性の重
視により投資案件探索活動も進まず、新商材・新事業の候補が不足してい
ます。
投資の遅れにより未活用資金が蓄積しており、業務改革(BPR)、DX推進、
AI、IOT、ロボティックスなど先端技術の進展も途上であり、生産現場も疲弊
しています。希少資源である人財への投資の充実も課題です。
この状況を立て直すため、安定的にフリーキャッシュフローを生み出し、資本効
率の観点から企業価値向上を図る企業体質になることを目標に、2030年
度ROE12％を設定しました。株主資本の有効活用と適正な利益の確保に
より、事業としても、従業員が働く場としても、企業価値の大前提であるサス
テナビリティを実現する企業を目指します。</t>
  </si>
  <si>
    <t>【p.2】
ＺＡＣＲＯＳ株式会社
2.補助事業の概要
業界初となる3m幅対応塗工機械を含む大規模設備投資を実施し、偏光板用プロテクトフィルムの生産体制を
1.3倍に拡大します。
• 近年、液晶パネルは大型化が進んでおり、今後も生産面積は右肩上がりで推移することが見込まれます。
補助事業の 事業費 129億円
• そのような市場環境下、当社は大規模投資により偏光板用プロテクトフィルムの生産能力拡大を図り、更なる
背景・目的 （補助額） （41億円）
競争力の強化を図ってまいります。
• 生産最適化を目的に、沼田生産拠点のレイアウトを変更し、新たに建屋を建築し
ます。
• 建築した建屋にて、液晶ディスプレイ製品の大画面化と世界的な需要増に対応
した偏光板用プロテクトフィルムの生産体制を構築します。業界初となる最大3m
幅に対応する塗工機を新設し、生産能力を面積ベースで約1.3倍まで引き上げ
ます。
設備投資の
内容 • この設備投資により、品質・コスト改善を図るほか、生産能力を拡大し、更なる競
争優位性を確保します。また、業界初となる3m幅生産設備を導入することで、
業界内でイニシアチブをとり、今以上のシェアの拡大を図ります。
• 生産能力が拡大する一方で、既存生産拠点のレイアウト変更を伴う生産の最適
化により、労働投入量を抑制することが可能となります。これにより労働生産性が
レイアウト変更・新設備の設置を予定している群馬県 沼田生産拠点
向上するため、増加した労働生産性を原資に賃上げの実施へとつなげます。
2026年度 2029年度
項目
（基準年度） （基準年度＋３年後）
労働生産性 4,375
2,352
（単位：万円/人） （年平均上昇率＋23.0％）
従業員1人あたり給与支給総額 766
目標値 661
（単位：万円/人） （年平均上昇率＋5.0％）
役員１人あたり給与支給総額 -
-
（単位：万円/人） （年平均上昇率 - ％）
補助事業に係る従業員数
384 384
（単位：人）</t>
  </si>
  <si>
    <t>1.長期成長ビジョン アシザワ・ファインテック株式会社
電池や電子部品市場の拡大を機会と捉え、当社のコア技術である「微粒子技術」を軸に、研究開発・生産・受託加工・拡販
体制を強化。次の100年に向け、『グローバルシェア拡大』・『受託加工の体制強化』・『新素材製造の量産化』に取り組む。</t>
  </si>
  <si>
    <t>長期成長ビジョン（目指す姿・ビジネスモデル）
世界トップレベルの微粒子テクノロジーで
微粒子の「製造機械」・「受託加工」・「素材製造」の総合メーカーへ躍進する
①グローバルシェア拡大と人・地域社会・地球環境への貢献
➢ 微粉砕機の国内トップメーカーとして、世界トップブランドの仲間入りを果たすと共に、
低環境負荷製品、地域サプライチェーン、人材への投資により、SDGsに貢献する。
②受託加工の高付加価値化～電池・電子部品等の材料開発拠点化へ
➢ 微粒子加工の実機テスト及び受託加工体制の強化により、拡大する電池・電子部
品分野等における受託加工のニーズに対応、顧客の製品開発力強化等に貢献する。
③新素材開発製造の量産化による新たな付加価値の提供
➢ 世界トップレベルの微粒子技術及び長年蓄積してきたノウハウを生かし、リチウムイオン
電池（LiB）向け等の機能性材料を当社が開発、製造する事業を軌道に乗せる。
売上成長目標
2029年度までに以下の成長を目指す
60
会社全体売上高 ： 億円
31.6
売上高増加額 ： 億円 (23年度比)
111.5
売上高成長率 ： % (23年度比)</t>
  </si>
  <si>
    <t>外発的動機
微粉砕機や材料開発・製造分野におけるメガトレンド
• 製品開発競争激化による、材料の高機能化及び製品ライフサイクルの短期化
• 製品開発及び製造工程における効率化、環境負荷低減・脱炭素化
• セグメントとしては、電池・電子部品、医薬品市場が世界的に伸長
⇒微粉砕機（ビーズミル）の需要は世界的に拡大傾向
当社の注力セグメントである電池市場における成長機会
• xEV等カーボンニュートラルのキーデバイスとしてLiBを中心に世界的に生産量拡大
• 電池開発の高度化・短納期化・人手不足による電池材料の受託加工の需要増加
• LiBの高容量化、高出力化、長寿命化等に寄与する新たな素材・材料へのニーズ
⇒当社の「微粒子技術」が国内外自動車・電池メーカー等から注目されている
リスク・脅威
• 微粉砕機の販売数は顧客企業の設備投資意欲（景気）の影響を大きく受ける
• 微粉砕機の部品や原材料の価格が高騰、またリードタイムも長納期化している
• 国内の労働人口減少を受け、人材の確保・育成や生産性向上が課題</t>
  </si>
  <si>
    <t>内発的動機
①当社のコアテクノロジーである「微粒子技術」のポテンシャルの高さ
当社は大学等の研究機関や大企業の研究開発部門等とも連携し、微粒子技術
(粒子をより効率的に、より細かく、より高品質に生成する技術)を長年研究してきた。
経営者自身も技術者として研究に携わる中で、微粒子技術のグローバルなニーズの
高さを肌で感じると共に当該技術が今後も我が国のものづくりにおける重要な基盤
技術であることを再認識した。
②次の100年に向けた、「五方良し」の経営の重要性
カーボンニュートラルに向けた取組み加速や国内人口減少といった社会課題の中で
従来の売り手・買い手・世間の三方良しの経営から、低環境負荷製品の提供や
従業員が安心して働き続けることができる「五方良し」の重要性を強く感じた。</t>
  </si>
  <si>
    <t>当社の概要
当社は、創業120年となる微粉砕・分散機（以下、『ビーズミル』という）を主力とした混合・
「ビーズ」を用い、その衝突や摩擦の力によって、粒子を細かくする機械であり、電池や電子部
トルという世界最小の微粒子製造能力を有しており、ナノレベルの高性能ビーズミル分野では
当社の概要
当社は、創業120年となる微粉砕・分散機（以下、『ビーズミル』という）を主力とした混合・混錬・攪拌等の産業用粉体処理機械のメーカーである。ビーズミルとは、セラミックス等の
「ビーズ」を用い、その衝突や摩擦の力によって、粒子を細かくする機械であり、電池や電子部品、化粧品等の材料の開発や製造に用いられている。当社製品は10万分の1ミリメー
トルという世界最小の微粒子製造能力を有しており、ナノレベルの高性能ビーズミル分野では、国内トップ（世界第6位）のシェアである。</t>
  </si>
  <si>
    <t>売上成長目標
2029年度までに以下の成長を目指す
60
会社全体売上高 ： 億円
31.6
売上高増加額 ： 億円 (23年度比)
111.5
売上高成長率 ： % (23年度比)</t>
  </si>
  <si>
    <t>【p.1／売上成長目標】
売上成長目標
2029年度までに以下の成長を目指す
60
会社全体売上高 ： 億円
31.6
売上高増加額 ： 億円 (23年度比)
111.5
売上高成長率 ： % (23年度比)
【p.1／当社・会社の概要】
当社の概要
当社は、創業120年となる微粉砕・分散機（以下、『ビーズミル』という）を主力とした混合・
「ビーズ」を用い、その衝突や摩擦の力によって、粒子を細かくする機械であり、電池や電子部
トルという世界最小の微粒子製造能力を有しており、ナノレベルの高性能ビーズミル分野では
【p.1／当社・会社の概要】
当社の概要
当社は、創業120年となる微粉砕・分散機（以下、『ビーズミル』という）を主力とした混合・混錬・攪拌等の産業用粉体処理機械のメーカーである。ビーズミルとは、セラミックス等の
「ビーズ」を用い、その衝突や摩擦の力によって、粒子を細かくする機械であり、電池や電子部品、化粧品等の材料の開発や製造に用いられている。当社製品は10万分の1ミリメー
トルという世界最小の微粒子製造能力を有しており、ナノレベルの高性能ビーズミル分野では、国内トップ（世界第6位）のシェアである。
【p.2／設備投資の内容】
設備投資の内容
① 本社遊休地に、実機テスト及び受託加工をメインで行う「微粒子工
② 微粒子工場は、従来スペースの2倍を確保すると共に、防爆構造、
ルームを設置し、電池・電子部品材料等の実機テスト・受託加工
③ 最新の高性能ビーズミルや測定器等の微粒子加工設備を導入す
等を設置し、加工運転の自動化・24時間化を図る。
課題解決による労働生産性の向上
① 実機テスト・受託加工の対応件数増及び高付加価値化を実現す
省力化及び加工コストの削減
② 実機テスト・受託加工の対応強化による、国内外への高性能ビー
③ 微粒子加工設備を活用した新素材における開発加速・商業化（
2026年度
項目 （基準年度）
補助事業全体 千葉 大阪</t>
  </si>
  <si>
    <t>【p.1】
1.長期成長ビジョン アシザワ・ファインテック株式会社
電池や電子部品市場の拡大を機会と捉え、当社のコア技術である「微粒子技術」を軸に、研究開発・生産・受託加工・拡販
体制を強化。次の100年に向け、『グローバルシェア拡大』・『受託加工の体制強化』・『新素材製造の量産化』に取り組む。
長期成長ビジョン（目指す姿・ビジネスモデル） 外発的動機
微粉砕機や材料開発・製造分野におけるメガトレンド
世界トップレベルの微粒子テクノロジーで
• 製品開発競争激化による、材料の高機能化及び製品ライフサイクルの短期化
微粒子の「製造機械」・「受託加工」・「素材製造」の総合メーカーへ躍進する
• 製品開発及び製造工程における効率化、環境負荷低減・脱炭素化
• セグメントとしては、電池・電子部品、医薬品市場が世界的に伸長
①グローバルシェア拡大と人・地域社会・地球環境への貢献
⇒微粉砕機（ビーズミル）の需要は世界的に拡大傾向
➢ 微粉砕機の国内トップメーカーとして、世界トップブランドの仲間入りを果たすと共に、
当社の注力セグメントである電池市場における成長機会
低環境負荷製品、地域サプライチェーン、人材への投資により、SDGsに貢献する。
• xEV等カーボンニュートラルのキーデバイスとしてLiBを中心に世界的に生産量拡大
②受託加工の高付加価値化～電池・電子部品等の材料開発拠点化へ • 電池開発の高度化・短納期化・人手不足による電池材料の受託加工の需要増加
➢ 微粒子加工の実機テスト及び受託加工体制の強化により、拡大する電池・電子部 • LiBの高容量化、高出力化、長寿命化等に寄与する新たな素材・材料へのニーズ
⇒当社の「微粒子技術」が国内外自動車・電池メーカー等から注目されている
品分野等における受託加工のニーズに対応、顧客の製品開発力強化等に貢献する。
リスク・脅威
③新素材開発製造の量産化による新たな付加価値の提供 • 微粉砕機の販売数は顧客企業の設備投資意欲（景気）の影響を大きく受ける
➢ 世界トップレベルの微粒子技術及び長年蓄積してきたノウハウを生かし、リチウムイオン • 微粉砕機の部品や原材料の価格が高騰、またリードタイムも長納期化している
電池（LiB）向け等の機能性材料を当社が開発、製造する事業を軌道に乗せる。 • 国内の労働人口減少を受け、人材の確保・育成や生産性向上が課題
内発的動機
①当社のコアテクノロジーである「微粒子技術」のポテンシャルの高さ
当社は大学等の研究機関や大企業の研究開発部門等とも連携し、微粒子技術
(粒子をより効率的に、より細かく、より高品質に生成する技術)を長年研究してきた。
売上成長目標 経営者自身も技術者として研究に携わる中で、微粒子技術のグローバルなニーズの
2029年度までに以下の成長を目指す 高さを肌で感じると共に当該技術が今後も我が国のものづくりにおける重要な基盤
会社全体売上高 ：60億円 技術であることを再認識した。
売上高増加額 ：31.6億円 (23年度比) ②次の100年に向けた、「五方良し」の経営の重要性
カーボンニュートラルに向けた取組み加速や国内人口減少といった社会課題の中で
売上高成長率 ：111.5% (23年度比)
従来の売り手・買い手・世間の三方良しの経営から、低環境負荷製品の提供や
従業員が安心して働き続けることができる「五方良し」の重要性を強く感じた。
当社の概要
当社は、創業120年となる微粉砕・分散機（以下、『ビーズミル』という）を主力とした混合・混錬・攪拌等の産業用粉体処理機械のメーカーである。ビーズミルとは、セラミックス等の
「ビーズ」を用い、その衝突や摩擦の力によって、粒子を細かくする機械であり、電池や電子部品、化粧品等の材料の開発や製造に用いられている。当社製品は10万分の1ミリメー
トルという世界最小の微粒子製造能力を有しており、ナノレベルの高性能ビーズミル分野では、国内トップ（世界第6位）のシェアである。</t>
  </si>
  <si>
    <t>【p.2】
.補助事業の概要 アシザワ・ファインテック株式会社
2
今後、当社がさらなる成長を目指すために、成長ドライバとなる実機テスト・受託加工サービスについて、高付加価値化及び事業
規模拡大に取り組むと共に、自動化・省力化への設備投資を行い、労働生産性を飛躍的に向上させる。
当社の今後の成長拡大に向けては、実機テスト及び受託加工の対応力がボトルネックとなっており、機会損失も発
補助事業の 事業費 2 億円
5
生している。実機テスト・受託加工体制の強化を成長ドライバとして、国内外で拡大する高性能ビーズミルの需要
背景・目的 （補助額） （8. 億円）
1
を取り込むと共に、これまで培ってきた微粒子技術・ノウハウ及び設備を活かした新素材の開発製造にも注力する。
問題点・課題
① 高性能ビーズミルのスケールアップ受注や拡販においては、実機テスト及び受託加工が重
要なサービスとなるが、旺盛な需要に対応できておらずボトルネックとなっている。
② 既存の受託加工エリアは、防爆室が少なく危険物の取り扱いが制限されている上、クリーン
ルームやドライルームが無く、電池・電子部品材料等の実機テスト及び加工対応が限定的。
③ また、スペースの制約上、機械設置台数が不足しており、かつ運転も自動化できていない。
設備投資の内容
① 本社遊休地に、実機テスト及び受託加工をメインで行う「微粒子工場」を新設。
設備投資の ② 微粒子工場は、従来スペースの2倍を確保すると共に、防爆構造、クリーンルーム・ドライ
内容 ルームを設置し、電池・電子部品材料等の実機テスト・受託加工に対応。
③ 最新の高性能ビーズミルや測定器等の微粒子加工設備を導入すると共に、自動洗浄機
等を設置し、加工運転の自動化・24時間化を図る。
課題解決による労働生産性の向上
① 実機テスト・受託加工の対応件数増及び高付加価値化を実現すると共に、自動化による
省力化及び加工コストの削減
② 実機テスト・受託加工の対応強化による、国内外への高性能ビーズミル販売増
微粒子工場完成イメージ
③ 微粒子加工設備を活用した新素材における開発加速・商業化（量産製造）
2026年度 2029年度
項目 （基準年度） （基準年度＋３年後）
補助事業全体 千葉 大阪 栃木 補助事業全体 千葉 大阪 栃木
労働生産性 1,169万円
805万円 - - - - - -
（単位：万円/人） (CAGR+13.3%)
目標値 従業員1人あたり給与支給総額 650万円 639万円 736万円 873万円
569万円 560万円 645万円 765万円
（単位：万円/人） (CAGR+4.5%) (CAGR+4.5%) (CAGR+4.5%) (CAGR+4.5%)
役員１人あたり給与支給総額 1,323万円 1,323万円
1,160万円 1,160万円 - - - -
（単位：万円/人） (CAGR+4.5%) (CAGR+4.5%)
補助事業に係る従業員数
168人 156人 7人 5人 180人 168人 7人 5人
（単位：人）</t>
  </si>
  <si>
    <t>株式会社八立製作所
1.長期成長ビジョン
• 建設業界では人手不足・カーボンニュートラルへの対応が社会課題
• 当社継続的な成長に向けて、生産体制の強靭化・従業員の給与増に向けて生産性向上が必要</t>
  </si>
  <si>
    <t>長期成長ビジョン（目指す姿・ビジネスモデル）
【国内製造業の強靭化・効率化による継続的賃上げ】
建機メーカーは『建設業』における労働力不足・生産性向上ニーズや
カーボンニュートラルに向けた社会課題に対応すべく、『ICT建機』や
『省エネ建機』等の製品開発を進めていく。
■当社立ち位置（市場：コマツ大阪工場ブラケット部門）
量的経営資源
大 小
大
質
リーダー
ニッチャー
的
（当社：シェア8割）
経
営
チャレンジャー
資 フォロワー
（競合他社等：シェア2割）
源 小
当社はコマツ大阪工場のブラケット部門において8割の市場シェアを誇
り、マーケットリーダーにあたる。大阪工場でのシェア拡大を図りながら、
コマツ茨城工場等の他工場へと市場拡大を図っていく。
その結果、継続的な売上成長・賃上げを実現する。</t>
  </si>
  <si>
    <t>外発的動機
1.人口構造変化（国内・海外メガトレンド）
少子高齢化進行・労働力不足が日本だけでなくグローバル市場に
おいても課題となっており、『労働生産性向上』が社会課題として
需要が高まっている。また、それに伴い、建機におけるICT技術利
活用は至上命題となり、『製品開発』が進んでいる。
2.2024年問題（国内メガトレンド）
国内労働力不足が建設業で課題となり、当該問題への取組み急務
3.カーボンニュートラル（国内・海外メガトレンド）
気温上昇・水面上昇を受け、温暖化対策や省エネ・エネルギー効
率向上の需要は『建機』においても強く求められている。</t>
  </si>
  <si>
    <t>内発的動機
1.国内サプライヤーの地位を強靭化
㈱小松製作所のサプライヤーとして一定の地位を築けているものの、
物価高騰・インフラに伴うコスト増によって、国内サプライチェーンを維
持していくには『生産性向上』が不可欠となっている。
メーカーにおける製品開発・国際競争力強化にあたって、コスト減は
重要であり、海外生産拠点への流出を防ぐことも重要である。
2.インフレに対応した従業員の給与アップ
物価高騰によって従業員の可処分所得は減少している。また、生産
年齢人口が減少する中、事業継続・成長に向けて他社と差別化した
給与体制の構築は不可欠となる。</t>
  </si>
  <si>
    <t>【p.1／売上成長目標】
売上成長目標
• 2030年6月期の会社全体の売上高年平均成長率7.0％
• 2030年6月期の会社全体の売上高増加額7.7億円
【p.2／設備投資の内容】
【設備投資の内容】（具体的な『課題』『設備投
経費区分
建物費
③
機械装置費 ②ソリッドストッカー
⑤サーボドライブベンダー
【p.2／①粉体塗装ライン】
①粉体塗装ライン</t>
  </si>
  <si>
    <t>【p.1】
株式会社八立製作所
1.長期成長ビジョン
• 建設業界では人手不足・カーボンニュートラルへの対応が社会課題
• 当社継続的な成長に向けて、生産体制の強靭化・従業員の給与増に向けて生産性向上が必要
長期成長ビジョン（目指す姿・ビジネスモデル） 外発的動機
1.人口構造変化（国内・海外メガトレンド）
【国内製造業の強靭化・効率化による継続的賃上げ】
少子高齢化進行・労働力不足が日本だけでなくグローバル市場に
建機メーカーは『建設業』における労働力不足・生産性向上ニーズや
おいても課題となっており、『労働生産性向上』が社会課題として
カーボンニュートラルに向けた社会課題に対応すべく、『ICT建機』や
需要が高まっている。また、それに伴い、建機におけるICT技術利
『省エネ建機』等の製品開発を進めていく。
活用は至上命題となり、『製品開発』が進んでいる。
■当社立ち位置（市場：コマツ大阪工場ブラケット部門）
2.2024年問題（国内メガトレンド）
量的経営資源 国内労働力不足が建設業で課題となり、当該問題への取組み急務
大 小
大
質 3.カーボンニュートラル（国内・海外メガトレンド）
リーダー
的 ニッチャー 気温上昇・水面上昇を受け、温暖化対策や省エネ・エネルギー効
（当社：シェア8割）
経 率向上の需要は『建機』においても強く求められている。
営
チャレンジャー
資 フォロワー
（競合他社等：シェア2割）
源 小 内発的動機
1.国内サプライヤーの地位を強靭化
当社はコマツ大阪工場のブラケット部門において8割の市場シェアを誇 ㈱小松製作所のサプライヤーとして一定の地位を築けているものの、
り、マーケットリーダーにあたる。大阪工場でのシェア拡大を図りながら、 物価高騰・インフラに伴うコスト増によって、国内サプライチェーンを維
コマツ茨城工場等の他工場へと市場拡大を図っていく。 持していくには『生産性向上』が不可欠となっている。
その結果、継続的な売上成長・賃上げを実現する。 メーカーにおける製品開発・国際競争力強化にあたって、コスト減は
重要であり、海外生産拠点への流出を防ぐことも重要である。
売上成長目標
2.インフレに対応した従業員の給与アップ
• 2030年6月期の会社全体の売上高年平均成長率7.0％
物価高騰によって従業員の可処分所得は減少している。また、生産
• 2030年6月期の会社全体の売上高増加額7.7億円
年齢人口が減少する中、事業継続・成長に向けて他社と差別化した
給与体制の構築は不可欠となる。</t>
  </si>
  <si>
    <t>【p.2】
株式会社八立製作所
.補助事業の概要
2
• 総額13.4億円の建物・設備投資により、取引先需要や生産ラインの課題解決に取り組む
• 本事業によって、1,519万円/人の労働生産性を実現する
補助事業の • 【背景】：建機メーカーの製品開発・国内サプライチェーンの強靭化に向けた生産性向上 事業費 1 3 億円
• 【目的】：工場のレイアウト最適化と最新設備導入による生産性向上とコスト最適化
背景・目的 （補助額） （4. 億円）
2
• 【課題】：工程分散による段取り非効率と各工程における低生産性
【設備投資の内容】（具体的な『課題』『設備投資による解決方法』については次葉にて記載）
経費区分
建物費 新築工場
設備投資の
内容
①粉体塗装ライン
機械装置費 ②ソリッドストッカー ③立形マシニングセンタ ④ファイバーレーザー切断加工機
⑤サーボドライブベンダー ⑥コンプレッサー ⑦ショットブラスト
2027年度 2030年度
項目
（基準年度） （基準年度＋３年後）
労働生産性 1,519万円/人
1,157万円/人
（単位：万円/人） （年平均上昇率＋9.5％）
従業員1人あたり給与支給総額 633
目標値 563万円
（単位：万円/人） （年平均上昇率＋4.0％）
役員１人あたり給与支給総額 -
-
（単位：万円/人） （年平均上昇率＋3.7％）
補助事業に係る従業員数
79人 89人
（単位：人）</t>
  </si>
  <si>
    <t>1.長期成長ビジョン 株式会社 福山臨床検査センター
中四国の地域診療を支えていくというミッション達成のため、補助事業により医療機関から求められている高度な
検査技術の導入を行いつつ、創出した利益を原資とした従業員への還元は必須の取り組みと考えている。</t>
  </si>
  <si>
    <t>長期成長ビジョン（目指す姿・ビジネスモデル）
当社は、「人の健康こそ幸福への第一歩である」という理念のもと、倫理・法を
厳格に遵守する臨床検査センターとして、顧客の期待と要求を的確に捉え、常
に提供し、高い顧客満足を追求することを目指していく。
＜中四国における地域医療の中核としてのポジション強化と高度化＞
• 地域に密着した臨床検査サービスを通じて、地域医療の中核的存在となる
ことを目指す。特に、超高齢化社会の到来に備え、がん検診や慢性疾患の
モニタリングといった高度な医療ニーズに応えるためのサービスを充実させてい
く。これにより、地域の医療機関と連携し、地域社会の健康増進に貢献する
＜労働生産性向上による従業員への還元・健康経営の実現＞
• 最新技術の導入による生産性向上を図り、その成果を従業員への賃上げ
や福利厚生の充実として還元する。特に、自動化技術を活用し、検査プロ
セスの効率化と迅速化を進めることで、生産性を大幅に向上させる。この生
産性向上の成果は、従業員の給与改善や働きやすい環境の整備に充て、
従業員のモチベーション向上と企業の持続的な成長を促進する
＜医療技術の進化と地域医療への還元＞
• 最新の検査技術を積極的に導入し、その成果を地域医療に還元する。こ
れにより、地域の医療機関が提供する診療サービスの質を向上させ、患者に
対する迅速で正確な診断をサポートしていく。地域医療の発展に寄与する
企業として、地域社会の健康を支え続けることを目指します</t>
  </si>
  <si>
    <t>外発的動機
＜高度医療・特殊検査の需要増加＞
• 高付加価値型の検査が増え、予防医療や高度医療の中で新しい価値を生
み出す可能性があるため、遺伝子検査などの領域に対して最新設備の投資
が必要となる
• 特に、個別化医療の進展に伴うヒト遺伝子検査などの遺伝子検査領域は、
個々の病院レベルで検査を本格的に手掛ける状況にないことから需要も増
加しており、これらの検査項目に対応できる検査機器や設備の導入が地域
医療を支えていくためにも求めらている
＜診療報酬引き下げに伴うコスト削減への対応＞
• 臨床検査費用は診療報酬点数で決められているなか、近年の診療報酬全
体の引き下げ傾向に連動し、検査費用も引き下げが続いている。ゆえに、収
益を確保するためには低コストで効率性の高い検査体制を構築することが求
められている
＜国家資格である臨床検査技師をはじめとした人材確保難＞
• 人材確保に苦慮する施設が71.4%*を超えており、地方での人材不足が深
刻化している。特に国家資格である臨床検査技師はより確保が難しく、省力
化設備などの導入による要員の最小化が必要となっている</t>
  </si>
  <si>
    <t>内発的動機
＜地域医療への貢献に対する想い＞
• 当社は臨床検査センターとして創業50年以上の歴史を有しており、
COVID-19が蔓延した際も一早く検査体制を整えることで中四国を中心に
地域医療を支えてきた。今後も変化し続ける患者や医療機関のニーズを的
確に捉えながら、対応できる環境を構築しつつ地域医療を支えていきたい
＜健康経営の取り組み推進＞
• 当社では健康経営の取り組みを推進すべく、健康宣言をHP上でも実施して
おり、社員一人ひとりがわが社の財産として長く安心して活き活きと働くことの
できる社内環境づくりを目指している</t>
  </si>
  <si>
    <t>2029年度の売上成長目標
※数値は2025年度対比
57.7 12.1
 売上高成長率 ％（年平均上昇率+ %）
58
 売上高増加額 億円</t>
  </si>
  <si>
    <t>【p.1／売上成長目標】
2029年度の売上成長目標
※数値は2025年度対比
57.7 12.1
 売上高成長率 ％（年平均上昇率+ %）
58
 売上高増加額 億円</t>
  </si>
  <si>
    <t>【p.1】
1.長期成長ビジョン 株式会社 福山臨床検査センター
中四国の地域診療を支えていくというミッション達成のため、補助事業により医療機関から求められている高度な
検査技術の導入を行いつつ、創出した利益を原資とした従業員への還元は必須の取り組みと考えている。
長期成長ビジョン（目指す姿・ビジネスモデル） 外発的動機
＜高度医療・特殊検査の需要増加＞
当社は、「人の健康こそ幸福への第一歩である」という理念のもと、倫理・法を
• 高付加価値型の検査が増え、予防医療や高度医療の中で新しい価値を生
厳格に遵守する臨床検査センターとして、顧客の期待と要求を的確に捉え、常
み出す可能性があるため、遺伝子検査などの領域に対して最新設備の投資
に提供し、高い顧客満足を追求することを目指していく。
が必要となる
• 特に、個別化医療の進展に伴うヒト遺伝子検査などの遺伝子検査領域は、
＜中四国における地域医療の中核としてのポジション強化と高度化＞
個々の病院レベルで検査を本格的に手掛ける状況にないことから需要も増
• 地域に密着した臨床検査サービスを通じて、地域医療の中核的存在となる
加しており、これらの検査項目に対応できる検査機器や設備の導入が地域
ことを目指す。特に、超高齢化社会の到来に備え、がん検診や慢性疾患の
医療を支えていくためにも求めらている
モニタリングといった高度な医療ニーズに応えるためのサービスを充実させてい
＜診療報酬引き下げに伴うコスト削減への対応＞
く。これにより、地域の医療機関と連携し、地域社会の健康増進に貢献する
• 臨床検査費用は診療報酬点数で決められているなか、近年の診療報酬全
体の引き下げ傾向に連動し、検査費用も引き下げが続いている。ゆえに、収
＜労働生産性向上による従業員への還元・健康経営の実現＞
益を確保するためには低コストで効率性の高い検査体制を構築することが求
• 最新技術の導入による生産性向上を図り、その成果を従業員への賃上げ
められている
や福利厚生の充実として還元する。特に、自動化技術を活用し、検査プロ
＜国家資格である臨床検査技師をはじめとした人材確保難＞
セスの効率化と迅速化を進めることで、生産性を大幅に向上させる。この生
• 人材確保に苦慮する施設が71.4%*を超えており、地方での人材不足が深
産性向上の成果は、従業員の給与改善や働きやすい環境の整備に充て、
刻化している。特に国家資格である臨床検査技師はより確保が難しく、省力
従業員のモチベーション向上と企業の持続的な成長を促進する
化設備などの導入による要員の最小化が必要となっている
＜医療技術の進化と地域医療への還元＞
• 最新の検査技術を積極的に導入し、その成果を地域医療に還元する。こ 内発的動機
れにより、地域の医療機関が提供する診療サービスの質を向上させ、患者に ＜地域医療への貢献に対する想い＞
対する迅速で正確な診断をサポートしていく。地域医療の発展に寄与する • 当社は臨床検査センターとして創業50年以上の歴史を有しており、
企業として、地域社会の健康を支え続けることを目指します COVID-19が蔓延した際も一早く検査体制を整えることで中四国を中心に
地域医療を支えてきた。今後も変化し続ける患者や医療機関のニーズを的
確に捉えながら、対応できる環境を構築しつつ地域医療を支えていきたい
2029年度の売上成長目標 ＜健康経営の取り組み推進＞
※数値は2025年度対比
57.7 12.1 • 当社では健康経営の取り組みを推進すべく、健康宣言をHP上でも実施して
 売上高成長率 ％（年平均上昇率+ %）
おり、社員一人ひとりがわが社の財産として長く安心して活き活きと働くことの
 売上高増加額 58 億円 できる社内環境づくりを目指している
※：一般社団法人日本臨床衛生検査技師会2023年度施設実態調査</t>
  </si>
  <si>
    <t>【p.2】
.補助事業の概要
2 株式会社 福山臨床検査センター
最新鋭の検査設備を導入した新検査棟を設立することにより、臨床検査プロセスを抜本的に見直し、生産性向
上と検査キャパシティの増強をめざす。
既存検査棟のスペース上の制約や、検査工程における手作業の多さから検査キャパシティが限界
補助事業の 事業費 億円
17
を迎えていた。補助事業にてレイアウトを工夫した新検査棟と業界最先端の検査設備を導入する
背景・目的 （補助額） （ 億円）
4.4
ことで、生産性の向上と検査キャパシティの増強を図る
＜投資概要＞
 5階建ての新棟を既存の中央ラボと連結する形で建設。併せて、遺伝子検
査や病理検査、細菌検査、生化学検査などの領域で業界最先端の検査
新棟
設備を導入し、検査能力の向上と検査項目の拡充を図る
＜設備投資詳細＞ 既存の
 新検査棟：15億円 中央ラボ
 検査装置等：9.5億円（全自動塗布装置、自動標本振分装置、バー
設備投資の チャル標本サービス、HPV前処理装置、物品一元管理システム等）
内容 ＜投資効果＞
• 前回のCOVID-19発生時は検査キャパシティが限界を迎え、職員に無理を
させる形で対応を図っていたが、今回の設備投資により最大1.5倍程度まで
キャパシティが増加。仮に今後パンデミックが発生時した際の対応も十分に可
能となる
• 一連の臨床検査プロセスにおいては、検体の滞留や人手での作業が多く発生
していたが、本設備投資で各種作業の自動化設備の導入や、業務プロセス
新棟の完成イメージ
の刷新を図ることにより生産性を向上させることが可能となる。
2026年度 2029年度
項目
（基準年度） （基準年度＋３年後）
労働生産性
564 894（年平均上昇率＋16.6％）
（単位：万円/人）
目標値 従業員1人あたり給与支給総額 434 495（年平均上昇率＋4.5％）
（単位：万円/人）
役員１人あたり給与支給総額
1,645 1,877（年平均上昇率＋4.5％）
（単位：万円/人）
補助事業に係る従業員数
422 431（＋9人）
（単位：人）</t>
  </si>
  <si>
    <t>ユニコム株式会社
1.長期成長ビジョン
循環型社会の実現に向け、高度な油圧トータルシステムで市場を創造し、社会課題を解決できる
「油圧総合メーカー」となる。</t>
  </si>
  <si>
    <t>長期成長ビジョン（目指す姿・ビジネスモデル）
• 目指す姿：設計から製作・メンテナンスまで高度な油圧技術を基
盤とした油圧トータルシステムを社会に提供することで、環境問題
をはじめとした社会課題を解決できる油圧総合メーカーとして、
高度な循環型社会の実現に寄与する。
• ビジネスモデル：創業44年間で培った油圧技術がビジネス基盤で
ある。油圧システムの設計・製作・メンテナンスまでの全てのプロセス
を内製化し、ノウハウの蓄積と効率化、リードタイムの圧縮を実現し、
高付加価値経営を維持する。
• 多くの産業分野・生活基盤を支える油圧技術は近年ますます専
門性を高めている。当社は大型で特殊な油圧システムを得意とし、
顧客ニーズへの高い対応力を武器としている。
• 現在、当社には開発専門の部門がないが、補助事業（共同開
発、応用設計）をきっかけに自社オリジナル製品開発による新たな
市場の創発を加速し、競争力を強化し、持続可能な成長への道
筋を描く。</t>
  </si>
  <si>
    <t>外発的動機
• 高度な循環型社会の実現に向けて、カーボンニュートラル、環境汚
染対策、災害対策、資源リサイクル等の環境問題をはじめとした社
会課題への積極的な対応が企業に求められるようになった。
• 油圧機器に対する顧客のニーズが、油圧本来の力強さだけでなく、
省エネ、省スペース、高精度、長寿命、省人化といった高度な水準
に変化した。</t>
  </si>
  <si>
    <t>内発的動機
• 創業44年間で培った油圧技術は、社員一丸となって妥協を許さな
い姿勢で獲得したコア・コンピタンスである。
• ユニコムの社名は、「調和、和合」という意味のユニゾンと「競争、試
合」という意味のコンペティション、二つの単語を組み合わせた「調和
と競争」の意味を持つ造語である。
• 調和と競争、それは、厳しい競争の時代にあってこそ、正しいルール
のもと、互いに切磋琢磨し、競争の中に成長を見い出し、調和の中
に成長を見出すことが、ユニコムの目標である。
• 社員にも仕事を通じて人格を高め、一隅を照らす人材となり、業界
の進歩発展並びに地域社会と日本の繁栄に貢献してもらいたい。</t>
  </si>
  <si>
    <t>【p.1／売上成長目標】
売上成長目標
• 2029年度までの会社全体の売上高成長率 103.7％
• 2029年度までの会社全体の売上高増加額 27.3億円
* (事業化報告3年目)－(基準年)で算出
【p.2／新工場 イメージパース】
新工場 イメージパース
最新鋭マシニングセンタ(生産効率・付加価値向上）
*2025年導入予定(本補助金対象外)</t>
  </si>
  <si>
    <t>【p.1】
ユニコム株式会社
1.長期成長ビジョン
循環型社会の実現に向け、高度な油圧トータルシステムで市場を創造し、社会課題を解決できる
「油圧総合メーカー」となる。
長期成長ビジョン（目指す姿・ビジネスモデル）
外発的動機
• 目指す姿：設計から製作・メンテナンスまで高度な油圧技術を基 • 高度な循環型社会の実現に向けて、カーボンニュートラル、環境汚
盤とした油圧トータルシステムを社会に提供することで、環境問題 染対策、災害対策、資源リサイクル等の環境問題をはじめとした社
をはじめとした社会課題を解決できる油圧総合メーカーとして、 会課題への積極的な対応が企業に求められるようになった。
高度な循環型社会の実現に寄与する。
• 油圧機器に対する顧客のニーズが、油圧本来の力強さだけでなく、
• ビジネスモデル：創業44年間で培った油圧技術がビジネス基盤で 省エネ、省スペース、高精度、長寿命、省人化といった高度な水準
ある。油圧システムの設計・製作・メンテナンスまでの全てのプロセス に変化した。
を内製化し、ノウハウの蓄積と効率化、リードタイムの圧縮を実現し、
高付加価値経営を維持する。
• 多くの産業分野・生活基盤を支える油圧技術は近年ますます専
門性を高めている。当社は大型で特殊な油圧システムを得意とし、
顧客ニーズへの高い対応力を武器としている。 内発的動機
• 創業44年間で培った油圧技術は、社員一丸となって妥協を許さな
• 現在、当社には開発専門の部門がないが、補助事業（共同開 い姿勢で獲得したコア・コンピタンスである。
発、応用設計）をきっかけに自社オリジナル製品開発による新たな • ユニコムの社名は、「調和、和合」という意味のユニゾンと「競争、試
市場の創発を加速し、競争力を強化し、持続可能な成長への道 合」という意味のコンペティション、二つの単語を組み合わせた「調和
筋を描く。 と競争」の意味を持つ造語である。
• 調和と競争、それは、厳しい競争の時代にあってこそ、正しいルール
のもと、互いに切磋琢磨し、競争の中に成長を見い出し、調和の中
売上成長目標
に成長を見出すことが、ユニコムの目標である。
• 社員にも仕事を通じて人格を高め、一隅を照らす人材となり、業界
• 2029年度までの会社全体の売上高成長率 103.7％ の進歩発展並びに地域社会と日本の繁栄に貢献してもらいたい。
• 2029年度までの会社全体の売上高増加額 27.3億円
* (事業化報告3年目)－(基準年)で算出</t>
  </si>
  <si>
    <t>【p.2】
.補助事業の概要 ユニコム株式会社
2
生産能力がボトルネックとなっている既存の油圧ユニット設計製作事業及びマニホールド製作事業を、生産設備の拡大によって
油圧グリーンシステム事業として発展させ、労働生産性の年平均上昇率72.4%、賃金の年平均上昇率6.0％を実現する。
• 高度な循環型社会の実現に向けて、当社は顧客からの共同開発（設計、試作）や応用設
補助事業の 事業費 1 億円
8
計製作品の供給に対応してきたが、現状では、量産時の設備が不足しており新規設備投資を
背景・目的 （補助額） （5. 億円）
0
検討してきた。
新工場 イメージパース
• 補助事業実現のため、下記の設備投資を計画
• 油圧ユニット設計製作の新工場及びマネジメントオフィス
• 油圧ユニット及びマニホールドの量産
• 舶用二重配管システムの量産
• 販売管理/生産管理システムの更新
(生産の見える化、DX化、在庫管理）
設備投資の
• 設備投資による課題解決、労働生産性向上につながる点：
内容 最新鋭マシニングセンタ(生産効率・付加価値向上）
１）生産能力が成長のボトルネックのため生産設備拡大をする
２）大型設備投資により３つの生産拠点の地理的分散によるロス・リス
クを削減。効率的な動線設計、生産性の高いマシニングセンタ導入と販
売管理/生産管理システムの更新により労働生産性向上を実現する
量産体制を整備し、信頼性の高い高品質製品及びサービスを継続して
提供することが可能となる。
*2025年導入予定(本補助金対象外)
2026年度 2029年度
項目
（基準年度） （基準年度＋３年後）
労働生産性 3,157
（単位：万円/人） 548 （年平均上昇率＋79.2％）
目標値 従業員
（
1
単
人
位
あ
：
た
万
り給
円
与
/人
支
）
給総額 451
（年平均上
5
昇
3
率
7
＋6.0％）
役員１人あたり給与支給総額
- -
（単位：万円/人）
補助事業に係る従業員数
30 44
（単位：人）</t>
  </si>
  <si>
    <t>1 .長期成長ビジョン 株式会社ティー・シー・ピー
サプライチェーンの国内回帰
IP・コンテンツ保護を基軸とした、国内生産の回帰、ブランドの高付加価値化
• アニメ・IPコンテンツは使い捨てではなく、愛好者にとっては唯一無二の価値を持つ。その価値を安定して提供することが社長の強い動機である。
• 現在、アニメ・IPコンテンツは短命な消費サイクルで扱われがちだが、より長期間にわたり価値を享受できるよう変革を目指す。
• 安定して品質の高い製造を継続できる企業としての地位を確立することを目標とする。</t>
  </si>
  <si>
    <t>「サプライチェーンの国内回帰と知的財産保護を軸にした当社の成長戦略のための新規設備投資」</t>
  </si>
  <si>
    <t>長期成長ビジョン（目指す姿・ビジネスモデル）
• TCP グループはかつて、アジアの提携工場で製造したデザイ
ンアニメグッズを輸入・販売していましたが、新型コロナウイル
スの影響で製造インフラが停止した際、千葉県印西市の自社
工場で増産体制を確立しました。国内製造には、納期短縮、
品質保持、 の付加価値向上、模倣品リス
"MADE IN JAPAN"
ク軽減などの利点があります。エンタメ商品の製造は 年前
30
に中国へ移転しましたが、国内製造拠点の回帰は最優先課
題です。 グループは品質向上、短納期対応、 保護を実
TCP IP
現する企業を目指しています。
グループは、長期的（ ～ 年後）には、社会に対して以
• TCP 5 10
下のような価値を提供する企業を目指します：
高品質な 製品の提供を通じて、日本の製
1. “MADE IN JAPAN”
造業の信頼性とブランド価値を向上させる。
短納期と高品質の両立により、顧客満足度の向上を実現す
2.
る。
確実な 保護とコンテンツ管理を通じて、日本のコンテンツ産
3. IP
業の発展に貢献する。
• 対応、IPとコンテンツの確実な保護を実現する企業としての役割を
果たしたいと考えています。
売上成長目標
• 2029年までに会社全体の売上高成長率目標100％成長</t>
  </si>
  <si>
    <t>外発的動機
• 新型コロナウイルスの影響で、海外製造が主流となっていたアニメを
含む雑貨商品の流通が、運送インフラの停止により大幅に遅れ、こ
れらの商品の流通優先順位が下がりました。
• この状況を受け、各メーカーは仕入れルートを見直し、輸入可能な
卸業者へと変更を余儀なくされましたが、当社が提案する国内製造
への関心を持つようになりました。
• 知的財産の保護を重視する現代においては、販売業者からの国内
製造へのシフトが求められ、国内での生産ニーズが高まっています。</t>
  </si>
  <si>
    <t>内発的動機
• 「利は源にあり」が、当社社長の主張（モットー）です。
• 当社はもともとシール印刷業からスタートしましたが、その後、コスト
削減を目的として中国の工場に製造を委託し、自社工場の運営も
行ってきました。この過程で製造ノウハウの蓄積と商品ラインナップの
拡充を実現しましたが、海外外注の商流では製造コミュニケーション
の難しさ、模倣品の発生、オンデマンド対応の遅延といった課題が
生じていました。
• 当業界の同業他社や競合企業の多くは輸入して販売するビジネス
モデルを採用しており、アニメや漫画などの知的財産（IP）を十分
に評価していない状況です。これらの事情を踏まえ、国内への製造
回帰により市場で差別化を図ることが可能だと当社は判断しました。</t>
  </si>
  <si>
    <t>【p.1／上段要旨】
「サプライチェーンの国内回帰と知的財産保護を軸にした当社の成長戦略のための新規設備投資」
【p.1／はじめに】
はじめに
1. TCPグループはこれまで、雑貨を中心にアジアを主要市場として海外からの輸入および国内外での発注により商品を販売する
ビジネスモデルを展開してきました。近年でも40％以上の商品が海外輸入によるものです。
2. 特にアジアで製造される当社の主力商品であるコンテンツ雑貨においては、知的財産（IP）の保護を軽んじる傾向が見られ
る製造・販売体制が問題となっています。また、製造リードタイムの長さや検品の不十分さも当社の課題であると分析していま
す。当社は、自社工場での国内製造を進める一方で、アジア製造に伴う問題点（海賊版や模倣品の出現、納期の遅れ、
不良品の混入など）を鑑み、国内製造の強化が国内の企業にとって求められる方向性であると予測し、このたび新たな国内
製造強化のビジョンを策定しました。
3. 経営者の視点から見た場合、海外製造はコストパフォーマンスの面ではメリットがありますが、模倣品や海賊版が市場に出回
るリスクがあり、IPやコンテンツの管理意識が低いのが現状です。一方で、日本国内での製造に移行することにより、品質向上、
短納期対応、小ロット多品種の提供が可能になります。これらを踏まえ、当社はサプライチェーンを国内に回帰させ、IPコンテン
ツビジネスを自国での生産体制に組み込むことによる成長が見込めると判断し、本申請を行います。日本発のコンテンツは、国
内でのコンテンツ管理に基づき生産され、消費者から愛されることが望ましいです。国内で評価されたキャラクターが、企画は国
内で行われるものの、製造・生産がIP意識が低く品質維持が困難な海外企業によって行われることがブランド価値の低下に
繋がっていると当社は考えます。
【p.2／安定して品質の高い製造を継続できる企業としての地位を確立することを目標とする。】
• アニメ・IPコンテンツは使い捨てではなく、愛好者にとっては唯一無二の価値を持つ。その価値を安定して提供することが社長の強い動機である。
• 現在、アニメ・IPコンテンツは短命な消費サイクルで扱われがちだが、より長期間にわたり価値を享受できるよう変革を目指す。
• 安定して品質の高い製造を継続できる企業としての地位を確立することを目標とする。
【p.2／売上成長目標】
売上成長目標
• 2029年までに会社全体の売上高成長率目標100％成長
• 2029年までに会社全体の売上高増加額41億円</t>
  </si>
  <si>
    <t>【p.1】
1.長期成長ビジョン 株式会社ティー・シー・ピー
「サプライチェーンの国内回帰と知的財産保護を軸にした当社の成長戦略のための新規設備投資」
はじめに
1. TCPグループはこれまで、雑貨を中心にアジアを主要市場として海外からの輸入および国内外での発注により商品を販売する
ビジネスモデルを展開してきました。近年でも40％以上の商品が海外輸入によるものです。
2. 特にアジアで製造される当社の主力商品であるコンテンツ雑貨においては、知的財産（IP）の保護を軽んじる傾向が見られ
る製造・販売体制が問題となっています。また、製造リードタイムの長さや検品の不十分さも当社の課題であると分析していま
す。当社は、自社工場での国内製造を進める一方で、アジア製造に伴う問題点（海賊版や模倣品の出現、納期の遅れ、
不良品の混入など）を鑑み、国内製造の強化が国内の企業にとって求められる方向性であると予測し、このたび新たな国内
製造強化のビジョンを策定しました。
3. 経営者の視点から見た場合、海外製造はコストパフォーマンスの面ではメリットがありますが、模倣品や海賊版が市場に出回
るリスクがあり、IPやコンテンツの管理意識が低いのが現状です。一方で、日本国内での製造に移行することにより、品質向上、
短納期対応、小ロット多品種の提供が可能になります。これらを踏まえ、当社はサプライチェーンを国内に回帰させ、IPコンテン
ツビジネスを自国での生産体制に組み込むことによる成長が見込めると判断し、本申請を行います。日本発のコンテンツは、国
内でのコンテンツ管理に基づき生産され、消費者から愛されることが望ましいです。国内で評価されたキャラクターが、企画は国
内で行われるものの、製造・生産がIP意識が低く品質維持が困難な海外企業によって行われることがブランド価値の低下に
繋がっていると当社は考えます。
2024年3月期部門別 単位百万円 当社商品例
TCPグループ 売上高 粗利
NIC事業／ 輸入 1,543 651
OEM事業 外注 802 176
自社製造 1,564 476
その他 180
合計 4,089 1303
【p.2】
1 .長期成長ビジョン 株式会社ティー・シー・ピー
サプライチェーンの国内回帰
IP・コンテンツ保護を基軸とした、国内生産の回帰、ブランドの高付加価値化
• アニメ・IPコンテンツは使い捨てではなく、愛好者にとっては唯一無二の価値を持つ。その価値を安定して提供することが社長の強い動機である。
• 現在、アニメ・IPコンテンツは短命な消費サイクルで扱われがちだが、より長期間にわたり価値を享受できるよう変革を目指す。
• 安定して品質の高い製造を継続できる企業としての地位を確立することを目標とする。
長期成長ビジョン（目指す姿・ビジネスモデル）
外発的動機
• TCPグループはかつて、アジアの提携工場で製造したデザイ • 新型コロナウイルスの影響で、海外製造が主流となっていたアニメを
ンアニメグッズを輸入・販売していましたが、新型コロナウイル 含む雑貨商品の流通が、運送インフラの停止により大幅に遅れ、こ
スの影響で製造インフラが停止した際、千葉県印西市の自社 れらの商品の流通優先順位が下がりました。
工場で増産体制を確立しました。国内製造には、納期短縮、 • この状況を受け、各メーカーは仕入れルートを見直し、輸入可能な
品質保持、"MADE IN JAPAN"の付加価値向上、模倣品リス 卸業者へと変更を余儀なくされましたが、当社が提案する国内製造
ク軽減などの利点があります。エンタメ商品の製造は30年前 への関心を持つようになりました。
に中国へ移転しましたが、国内製造拠点の回帰は最優先課 • 知的財産の保護を重視する現代においては、販売業者からの国内
題です。TCPグループは品質向上、短納期対応、IP保護を実 製造へのシフトが求められ、国内での生産ニーズが高まっています。
現する企業を目指しています。
• TCPグループは、長期的（5～10年後）には、社会に対して以
下のような価値を提供する企業を目指します：
内発的動機
1. 高品質な“MADE IN JAPAN”製品の提供を通じて、日本の製
造業の信頼性とブランド価値を向上させる。 • 「利は源にあり」が、当社社長の主張（モットー）です。
2. 短納期と高品質の両立により、顧客満足度の向上を実現す • 当社はもともとシール印刷業からスタートしましたが、その後、コスト
削減を目的として中国の工場に製造を委託し、自社工場の運営も
る。
行ってきました。この過程で製造ノウハウの蓄積と商品ラインナップの
3. 確実なIP保護とコンテンツ管理を通じて、日本のコンテンツ産
拡充を実現しましたが、海外外注の商流では製造コミュニケーション
業の発展に貢献する。
の難しさ、模倣品の発生、オンデマンド対応の遅延といった課題が
• 対応、IPとコンテンツの確実な保護を実現する企業としての役割を
生じていました。
果たしたいと考えています。
• 当業界の同業他社や競合企業の多くは輸入して販売するビジネス
売上成長目標
モデルを採用しており、アニメや漫画などの知的財産（IP）を十分
• 2029年までに会社全体の売上高成長率目標100％成長 に評価していない状況です。これらの事情を踏まえ、国内への製造
• 2029年までに会社全体の売上高増加額41億円 回帰により市場で差別化を図ることが可能だと当社は判断しました。</t>
  </si>
  <si>
    <t>【p.3】
.補助事業の概要 2
設備投資概要
• 自社加工部門のさらなる強化、サプライチェーンの回帰、知的財産管理保護（コンテンツブラン 事業費 21億円
補助事業の
ド・版権の保護・版権の保護）意識の低い生産国から自国シフト （補助額） （7 .0 億円）
背景・目的
• 既存印西工場は７階建の多層構造、北陸工場は低層建で計画中、効率化が推進可能
設備投資の
内容
目標値
中 2025/3/ 旬 北 陸 工
レ
場
ー
：
ザ
株
ー
台 60
式
カ
会
ッ
社
ト
テ ィ ー
合
・
計
シ
：
ー ・
台 95
ピ ー 北 陸 工 場
ミ マ
中 2025/03/
キ
旬
ア
北
ク
イ
陸
リ
ン
工
ル
ク
場 ：
製
ジ
造 設
ェ ッ
台 35
ト
備
プ リ ン タ 7 1 5 1 新( )
工場イメージ図
：建坪1200坪程度で設計
見積中
設
小
建
合
土
備
計
物
計
地
投 資
ア
カ
成
白
補
白
ク
ッ
形
山
助
山
リ
タ
ル
ー
機
市
金
市
印
機
建
対
旭
刷
坪
象
工
機
1
設
業
2 0
備
団
0
投
地
坪
資
4 7 9 8 坪
台
取
数
得 済
3
6
5
0
8
1
金 額 （ 単 位
1
2
：
,
,
2
5
1
9
2
1
5
千
9
3
3
5
2
7
7
円
2
2
0
5
0
5
0
）
, 6
, 2
, 8
, 6
, 0
, 6
, 0
0
2
0
2
0
2
6
0
0
0
0
0
0
0
①
株 式 会
①② 原原
社
料料
テ
用の
ィ
乾余
ー
燥 機
計 な
・
粉
シ
を 除
ー
去
・
す
ピ
る
ー
装 置
北 陸 工 場 成 形 機 設 備
②
①
株式会社ティー・シー・ピー
2026年度 2029年度
単位：万円 ・人
（基準年度） （基準年度＋３年後）
労働生産性 １，５０６/1人
１，４０６/１人
（付加価値額÷(就業時間換算の従業員数+役員数)） （年平均上昇率：2.3%）
従業員1人当たり給与支給総額 795
550
（給与支給総額÷就業時間換算の従業員数） （年平均上昇率：13.1%）
役員1人当たり給与支給総額 1,700
750
（給与支給総額（役員）÷役員数） （年平均上昇率：31.4%）
常時使用する従業員数 15 40</t>
  </si>
  <si>
    <t>株式会社イズミテクノ
1.⻑期成⻑ビジョン
技術開発により⼀層⼒を⼊れ、表⾯処理分野において『オンリーワン』『ナンバーワン』企業となる
“The Only One Technology Company” を⽬指す
Mission
「The Only One Technology Company」を⽬指して。</t>
  </si>
  <si>
    <t>Mission
「The Only One Technology Company」を⽬指して。
⻑期成⻑ビジョン
• 業界トップレベルの⾃社独⾃技術(ハイスペックアルマイト処理)を活かし、
さらなる創造と⾰新を通じて、CSV経営の追求そしてコーポレートレジリ
エンスの強化を図る。
ビジョンについて⼤切にしていること
〜⼈材育成〜
• 現状に満⾜することなく、従業員⼀⼈⼀⼈の⾃⼰成⻑、⾃⼰実現を通
して会社と従業員が共に成⻑し続ける。
〜価値の向上〜
• 新たな価値を⽣み出すことに挑戦し続けることで、⽬まぐるしく変化する
半導体製造装置の要求を満たす価値を提供する。
売上成⻑⽬標_最⾼売上(2022年度)との⽐較
• 2030年までの会社全体の売上⾼成⻑率200％
• 2030年までの会社全体の売上⾼増加額25億円
• 2030年までの会社全体の利益成⻑率231％
• 2030年までの会社全体の利益増加額7億円</t>
  </si>
  <si>
    <t>外発的動機
• 半導体市場の旺盛な需要を受け、半導体製造装置市場も⾮常
に⾼い成⻑が⾒込まれるとともに、⽇本政府も国を挙げて強化に取
り組んでいる分野である。
• ⼀⽅、半導体微細化のためには、半導体製造装置メーカーおよび
その部品サプライヤーに対しても⾼い技術が常に求められている。
• ⾃社の成⻑とお客さまへの貢献のみならず、従業員の幸福や環境
への配慮、地域経済の発展への寄与等、様々なステークホルダーに
対して社会的価値の提供が求められている。</t>
  </si>
  <si>
    <t>内発的動機
社員⼀⼈ひとりが⾃主性と創造性を発揮する事ができるのは、やる気
に満ちて仕事をしている時です。
半導体業界の多様化するニーズにスピーディーに応えるために⽇々進
化する装置に対する繊細化や⾼エネルギー化の要求を弊社が培ってき
た挑戦する⾵⼟であれば、この課題を表⾯処理業界のトップランナーと
して解決していけると確信し、社員の継続的な成⻑と会社の継続的
成⻑をさらに加速させるべく、挑戦を決意しました。</t>
  </si>
  <si>
    <t>【p.1】
株式会社イズミテクノ
1.⻑期成⻑ビジョン
技術開発により⼀層⼒を⼊れ、表⾯処理分野において『オンリーワン』『ナンバーワン』企業となる
“The Only One Technology Company” を⽬指す
Mission
「The Only One Technology Company」を⽬指して。
外発的動機
⻑期成⻑ビジョン • 半導体市場の旺盛な需要を受け、半導体製造装置市場も⾮常
• 業界トップレベルの⾃社独⾃技術(ハイスペックアルマイト処理)を活かし、 に⾼い成⻑が⾒込まれるとともに、⽇本政府も国を挙げて強化に取
り組んでいる分野である。
さらなる創造と⾰新を通じて、CSV経営の追求そしてコーポレートレジリ
• ⼀⽅、半導体微細化のためには、半導体製造装置メーカーおよび
エンスの強化を図る。
その部品サプライヤーに対しても⾼い技術が常に求められている。
ビジョンについて⼤切にしていること • ⾃社の成⻑とお客さまへの貢献のみならず、従業員の幸福や環境
〜⼈材育成〜 への配慮、地域経済の発展への寄与等、様々なステークホルダーに
対して社会的価値の提供が求められている。
• 現状に満⾜することなく、従業員⼀⼈⼀⼈の⾃⼰成⻑、⾃⼰実現を通
して会社と従業員が共に成⻑し続ける。
〜価値の向上〜
内発的動機
• 新たな価値を⽣み出すことに挑戦し続けることで、⽬まぐるしく変化する
社員⼀⼈ひとりが⾃主性と創造性を発揮する事ができるのは、やる気
半導体製造装置の要求を満たす価値を提供する。
に満ちて仕事をしている時です。
半導体業界の多様化するニーズにスピーディーに応えるために⽇々進
売上成⻑⽬標_最⾼売上(2022年度)との⽐較
化する装置に対する繊細化や⾼エネルギー化の要求を弊社が培ってき
• 2030年までの会社全体の売上⾼成⻑率200％
た挑戦する⾵⼟であれば、この課題を表⾯処理業界のトップランナーと
• 2030年までの会社全体の売上⾼増加額25億円
して解決していけると確信し、社員の継続的な成⻑と会社の継続的
• 2030年までの会社全体の利益成⻑率231％
成⻑をさらに加速させるべく、挑戦を決意しました。
• 2030年までの会社全体の利益増加額7億円</t>
  </si>
  <si>
    <t>【p.2】
2.補助事業の概要 株式会社イズミテクノ
高成長実現のための新工場建設計画
～次世代アルマイト処理技術で半導体製造装置分野へ貢献～
・当社が開発したパーティクル（ナノサイズの塵）抑制⽪膜は、国内で当社のみが生産可能な技術である。この技術 事業費 17億円
はアルマイト処理において、パーティクル発生を劇的に抑えることが出来る。半導体製造においてはパーティクルが大きな
（補助額） （5.3億円）
補助事業の 課題になっているため、半導体製造装置向けのニーズが高まっており、今後の大きな成長性が期待できる。
背景・目的 ・今回、設備投資により増産体制を構築することで、半導体製造装置メーカーへの供給を増加、半導体製造における
歩留まり向上に貢献するとともに、全自動ラインを構築することで、省人化や労働生産性を向上させ、賃上げを実施し
ていく。
＜投資内容＞
 宮城第⼆工場の新設
 次世代半導体製造装置対応のパーティクル抑制⽪膜生産設備
・パーティクル抑制処理ライン_2基 ほか付随設備
＜現状設備の課題＞
現在の生産設備ではパーティクル抑制⽪膜の特殊な処理を行う設備が整っておらず、
パーティクル抑制処理を行うためには、薬品等へ入替る⾮効率業務が発生しており、要
設備投資の 求クリーン度と増産に向けた生産対応が困難となっている。
内容
＜補助事業による設備＞
・パーティクル抑制⽪膜生産設備に特化することで、現状の課題である薬品等の入替作
業が無くなることから、大幅な増産が可能となる。
・半導体製造装置関連のアルマイト処理は多品種⼩ロットであり、生産設備の自動化は
困難だったが、本事業設備においては当社のノウハウを活かし投入から完了までを一貫し
てシステム制御し、各槽の状態を管理することで、フルオートメーション化を実現する。
2026年度11月期 2029年度11月期
項目
（基準年度） （基準年度＋３年後）
労働生産性 1,417
1,064
（単位：万円/人） （年平均上昇率＋10.0％）
従業員1人あたり給与支給総額 406
目標値 372
（単位：万円/人） （年平均上昇率＋3.0％）
役員１人あたり給与支給総額 2,987
2,733
（単位：万円/人） （年平均上昇率＋3.0％）
補助事業に係る従業員数
130 164
（単位：人）</t>
  </si>
  <si>
    <t>株式会社イートアンドフーズ
1.長期成長ビジョン
食を通じて持続可能な社会とワクワクする未来を実現し、ホールディングスとして長期的にはグローバル売上高
1,000億円を目指す</t>
  </si>
  <si>
    <t>長期成長ビジョン（目指す姿・ビジネスモデル）
「Eat＆チャレンジ2030」
長期 ふとした気づき、ちょっとした工夫を積み重ね、食シーン
ﾋﾞｼﾞｮﾝ に、新しい価値を生み出し、
グローバル売上高1,000億円を目指します。
食を通じて、持続可能な社会の実現に貢献し、
ﾊﾟｰﾊﾟｽ
＋＆の発想で、ワクワクする未来を生み出し続けます。
株式会社イートアンドホールディングスは、上記の長期ビジョン及び
パーパスを掲げ、持続的な社会の実現に向けた、社会の一員としての
責任を果たします。具体的には、基幹となる外食事業と食品事業の、
相乗効果（シナジー）による競争優位を確立することによる、唯一
無二の食品メーカーへと進化いたします。
ブランド認知獲得 両輪経営による
外食 食品
外食ノウハウを活用 相乗効果（シナジー）
冷凍食品の宣伝効果
を活かした唯一無二の
食品メーカーへ
食品メーカー</t>
  </si>
  <si>
    <t>外発的動機：「ｺﾛﾅｼｮｯｸによる社会環境と価値観の変容」
生活様式の変化
【在宅時間の長時間化】
• リモート会議、テレワーク、オンラインMTGの浸透、インフラの進化
【居住空間や生活環境の変化】
• 自宅での長時間滞在による快適な暮らし追求、引っ越しやリノベーションの増加
【巣ごもり消費】:
• EC、デリバリーを利用する顧客拡大、サブスクリプションの普及
消費支出の変化
【消費支出の減少と食消費の偏り】:
• 外出機会の減少によるレジャーや交通費の減少により、食の消費が伸長
【外食から内食へのシフト】:
• コロナ禍で居酒屋需要を中心に外食が減退。内食、中食へシフト
【消費・販売拠点やチャネルの変化】:
• 繁華街立地から、生活立地への消費のシフト、ECやﾃﾞﾘﾊﾞﾘｰの拡大</t>
  </si>
  <si>
    <t>内発的動機
【常に新しい食シーンを提案し続けたいという想い】
• 客層を一気にファミリー層に広げた「大阪王将」の全国展開
• 冷凍餃子界に革新をもたらす「羽根つき餃子」の急拡大
• 独自の麺ジャンルを構築した「太陽のトマト麺」のヒット
→時代の変化とニーズをとらえた、様々な業態やブランドを開発してきた
【イノベーションによる成長】
• 水なし油なし、フタいらずで調理できる冷凍餃子
• 独自の茹で工程で、ぷるもち食感を実現した冷凍水餃子
• 焼きたてを急速冷凍し、いつでも焼きたてが楽しめる冷凍パン
• 洋菓子の技法を取り入れた新食感中華「ふわとろ天津飯」
→革新的なイノベーションにより、新しい顧客と市場を生み出してきた</t>
  </si>
  <si>
    <t>【p.1／売上成長目標】
売上成長目標
連結
• 2026年度までに会社全体の売上高成長率66.0％
• 2026年度までに会社全体の売上高増加額170億円
※イートアンドフーズ単体売上はP.8に記載</t>
  </si>
  <si>
    <t>【p.1】
株式会社イートアンドフーズ
1.長期成長ビジョン
食を通じて持続可能な社会とワクワクする未来を実現し、ホールディングスとして長期的にはグローバル売上高
1,000億円を目指す
長期成長ビジョン（目指す姿・ビジネスモデル） 外発的動機：「ｺﾛﾅｼｮｯｸによる社会環境と価値観の変容」
生活様式の変化
「Eat＆チャレンジ2030」
【在宅時間の長時間化】
長期 ふとした気づき、ちょっとした工夫を積み重ね、食シーン • リモート会議、テレワーク、オンラインMTGの浸透、インフラの進化
ﾋﾞｼﾞｮﾝ に、新しい価値を生み出し、 【居住空間や生活環境の変化】
グローバル売上高1,000億円を目指します。 • 自宅での長時間滞在による快適な暮らし追求、引っ越しやリノベーションの増加
【巣ごもり消費】:
• EC、デリバリーを利用する顧客拡大、サブスクリプションの普及
食を通じて、持続可能な社会の実現に貢献し、 消費支出の変化
ﾊﾟｰﾊﾟｽ
＋＆の発想で、ワクワクする未来を生み出し続けます。 【消費支出の減少と食消費の偏り】:
• 外出機会の減少によるレジャーや交通費の減少により、食の消費が伸長
株式会社イートアンドホールディングスは、上記の長期ビジョン及び 【外食から内食へのシフト】:
パーパスを掲げ、持続的な社会の実現に向けた、社会の一員としての • コロナ禍で居酒屋需要を中心に外食が減退。内食、中食へシフト
責任を果たします。具体的には、基幹となる外食事業と食品事業の、 【消費・販売拠点やチャネルの変化】:
相乗効果（シナジー）による競争優位を確立することによる、唯一 • 繁華街立地から、生活立地への消費のシフト、ECやﾃﾞﾘﾊﾞﾘｰの拡大
無二の食品メーカーへと進化いたします。
内発的動機
【常に新しい食シーンを提案し続けたいという想い】
ブランド認知獲得 両輪経営による
外食 食品 • 客層を一気にファミリー層に広げた「大阪王将」の全国展開
外食ノウハウを活用 相乗効果（シナジー）
冷凍食品の宣伝効果 • 冷凍餃子界に革新をもたらす「羽根つき餃子」の急拡大
を活かした唯一無二の
• 独自の麺ジャンルを構築した「太陽のトマト麺」のヒット
食品メーカー 食品メーカーへ →時代の変化とニーズをとらえた、様々な業態やブランドを開発してきた
【イノベーションによる成長】
• 水なし油なし、フタいらずで調理できる冷凍餃子
売上成長目標
• 独自の茹で工程で、ぷるもち食感を実現した冷凍水餃子
連結
• 焼きたてを急速冷凍し、いつでも焼きたてが楽しめる冷凍パン
• 2026年度までに会社全体の売上高成長率66.0％
• 洋菓子の技法を取り入れた新食感中華「ふわとろ天津飯」
• 2026年度までに会社全体の売上高増加額170億円
→革新的なイノベーションにより、新しい顧客と市場を生み出してきた
※イートアンドフーズ単体売上はP.8に記載</t>
  </si>
  <si>
    <t>【p.2】
株式会社イートアンドフーズ
.補助事業の概要
2
国内需要拡大へ対応するため関東工場に次ぐ規模の九州工場を新設し、最新設備による生産効率増加×物
流の至便化を実現し賃上げ及び生産性向上を実現する。BCP観点でも当社にとって重要な取り組みである
• コロナ禍以降続いている需要拡大に対応するため、西日本エリアでの新たな生産拠点として宮
補助事業の 事業費 6 億円
7
崎県都城市に新工場を計画し、加えて、関西工場・岡山工場などの西日本生産拠点に新設
背景・目的 （補助額） （21億円）
備の導入等を進めることにより弊社主力商品の生産体制を強化する
設備投資の概要
所在地 宮崎県都城市高城町
操業開始時期 2026年予定
敷地面積 8,259.88㎡
設備投資の 設備投資のポイント
内容 • 新技術導入による生産の効率化
• 主力商品である「大阪王将羽根つき餃子」「大阪王将羽根つきスタミナ肉餃子」「大阪王将ぷるもち水餃子」「大阪王将たれつ
き肉焼売」などの生産体制を強化
• 陸路・海路での輸送の至便化と、地勢上のメリットによるサプライチェーンの効率化
• 冷凍冷蔵設備への自然冷媒の採用による環境への配慮
• 当社主力工場の関東工場だけでなく、西日本（九州）に新鋭工場を建設することでBCP対策の実行
項目 2026年度（基準年度） 2029年度（基準年度＋３年後）
拠点 九州 大阪 岡山 九州 大阪 岡山
労働生産性 1, 705 万円/人
1, 万円/人
(単位：万円/人) 125 （年平均上昇率＋1 ％）
4.9
従業員1人あたり
52 万円/人 519万円/人 571万円/人
2
給与支給総額
45 万円/人 44 万円/人 493万円/人 （年平均上昇 （年平均上昇率 （年平均上昇率
1 9
目標値 （単位：万円/
率＋5.0％） ＋5.0％） ＋5.0％）
人）
役員１人あたり給与
支給総額 0 0 0 0
（単位：万円/人）
補助事業に係る
従業員数 72人 90人 4人 224人 102人 4人
（単位：人）</t>
  </si>
  <si>
    <t>1.長期成長ビジョン アライドコーヒーロースターズ株式会社
コーヒーの持つ様々な価値を追求し2050年に業界No.1を目指す</t>
  </si>
  <si>
    <t>長期成長ビジョン（目指す姿・ビジネスモデル）
【目指す姿】
1. 環境に配慮した焙煎技術をコアコンピタンス*として、「コーヒー
2050年問題」を克服する！
2. 業界におけるシェアを高め、ドメイン（生存領域）を獲得する！
3. コーヒーグラウンズのバイオコークス化とグリーン焙煎技術の開発
による産業廃棄物の削減及びCO 排出削減
2
4. 都市ガスや化石燃料の代替品としてコーヒーグラウンズペレット
（固形燃料）の商品化を目指すことで事業成長を実現する。
5. グリーン焙煎スケールアップの大規模な設備投資を行い、地域で
の雇用を創出、賃上げを行い、従業員への還元を積極的に行っ
ていく。
6. 新工場の建設、最新設備の導入により、働く環境の整備をする
ことで、多様な人材が活躍できる職場作りを目指す。（障がい者
雇用）
*コアコンピタンス＝他社に真似できない核となる能力
2050年3月期
売上高
1,280億円増加
12倍 1,400億円
（2024年3月期比）
売上高
売上高 275億円
120億円
2050年3月期
業界No.1
を目指す！
2024年 2030年 2050年
3月期 3月期 3月期</t>
  </si>
  <si>
    <t>【外発的動機】
• 日本のコーヒー業界は、世界各国から輸入される様々な種類のコー
ヒー豆にアクセスし、高品質なコーヒーを楽しむことができる。日本は世
界第４位のコーヒー消費大国である。
• 日本の消費者はコーヒーに対して高い知識と期待を持ち、品質やサス
テナビリティに敏感である。
• 気候変動や生産者の貧困による離農に伴う生産量の減少「コーヒー
2050年問題」が課題となっている。
• 気候変動や環境意識の高まりに対応するため、持続可能なコーヒー
豆へ移行が求められている。
• 国際協力と技術交流：世界的なコーヒー業界との協力による新技
術や栽培方法の導入が期待される。</t>
  </si>
  <si>
    <t>【内発的動機】
• 会社合併により、東西に拠点をもつOEMに特化したコーヒー専業の
製造会社として業界内で確固たる地位を確立する。
• 創業50年以上にわたる歴史の中で変化する顧客の期待に応え続け
る仕組みづくりの必要がある。
• 設備の処理能力の限界が課題となっており、顧客ニーズに応えるため
の最新設備を導入することで生産性向上を図る。
• 関西圏では、「ひょうご小野産業団地」に新基幹工場を新設すること
で事業規模を拡大する。
• 最新設備の導入による労働環境の改善。
• コーヒーグラウンズの利活用を推進し、産業廃棄物の大幅削減、グ
リーン焙煎のスケールアップを図りたい。
• コーヒーグラウンズをペレットへ加工し、都市ガスや化石燃料の代替と
して商品化、災害時の備蓄燃料としての実用化。</t>
  </si>
  <si>
    <t>売上成長目標</t>
  </si>
  <si>
    <t>【p.1／売上成長目標】
売上成長目標</t>
  </si>
  <si>
    <t>【p.1】
1.長期成長ビジョン アライドコーヒーロースターズ株式会社
コーヒーの持つ様々な価値を追求し2050年に業界No.1を目指す
長期成長ビジョン（目指す姿・ビジネスモデル） 【外発的動機】
【目指す姿】 • 日本のコーヒー業界は、世界各国から輸入される様々な種類のコー
ヒー豆にアクセスし、高品質なコーヒーを楽しむことができる。日本は世
1. 環境に配慮した焙煎技術をコアコンピタンス*として、「コーヒー
界第４位のコーヒー消費大国である。
2050年問題」を克服する！
• 日本の消費者はコーヒーに対して高い知識と期待を持ち、品質やサス
2. 業界におけるシェアを高め、ドメイン（生存領域）を獲得する！
テナビリティに敏感である。
3. コーヒーグラウンズのバイオコークス化とグリーン焙煎技術の開発
• 気候変動や生産者の貧困による離農に伴う生産量の減少「コーヒー
による産業廃棄物の削減及びCO 排出削減
2 2050年問題」が課題となっている。
4. 都市ガスや化石燃料の代替品としてコーヒーグラウンズペレット
• 気候変動や環境意識の高まりに対応するため、持続可能なコーヒー
（固形燃料）の商品化を目指すことで事業成長を実現する。
豆へ移行が求められている。
5. グリーン焙煎スケールアップの大規模な設備投資を行い、地域で
• 国際協力と技術交流：世界的なコーヒー業界との協力による新技
の雇用を創出、賃上げを行い、従業員への還元を積極的に行っ
術や栽培方法の導入が期待される。
ていく。
6. 新工場の建設、最新設備の導入により、働く環境の整備をする
【内発的動機】
ことで、多様な人材が活躍できる職場作りを目指す。（障がい者
雇用）
• 会社合併により、東西に拠点をもつOEMに特化したコーヒー専業の
製造会社として業界内で確固たる地位を確立する。
*コアコンピタンス＝他社に真似できない核となる能力
• 創業50年以上にわたる歴史の中で変化する顧客の期待に応え続け
売上成長目標
る仕組みづくりの必要がある。
2050年3月期 • 設備の処理能力の限界が課題となっており、顧客ニーズに応えるため
売上高
1,280億円増加 の最新設備を導入することで生産性向上を図る。
12倍 1,400億円
• 関西圏では、「ひょうご小野産業団地」に新基幹工場を新設すること
（2024年3月期比）
で事業規模を拡大する。
• 最新設備の導入による労働環境の改善。
売上高
• コーヒーグラウンズの利活用を推進し、産業廃棄物の大幅削減、グ
売上高 275億円
120億円 リーン焙煎のスケールアップを図りたい。
2050年3月期
• コーヒーグラウンズをペレットへ加工し、都市ガスや化石燃料の代替と
業界No.1 を目指す！ して商品化、災害時の備蓄燃料としての実用化。
2024年 2030年 2050年
3月期 3月期 3月期</t>
  </si>
  <si>
    <t>【p.2】
.補助事業の概要 アライドコーヒーロースターズ株式会社
2
最新鋭設備導入により労働生産性を向上させる
1.生産現場の雇用確保・人手不足・高齢化対策
補助事業の ⇒最新型生産機器による自動化・省人化 事業費 54 億円
背景・目的 2.ハイレベルな顧客要求に対応出来る工場設計 （補助額） (16億円）
⇒食品の安心・安全向上による顧客の確保・拡大
1.生産機器の自動化・省人化による生産性向上
コーヒー
精選 焙煎 粉砕 包装 積付・保管 出荷
生豆入庫
⑤ロボットアームによるクラフト製品
③自動計量充填クラフト包装機による
②最先端技術搭載のドイツ パレットはい付け作業省力化
①ロボットアーム＋生豆自動
省力化・省人化
製自動制御焙煎機導入設
設備投資の 開袋機導入による省力化
置 ・自動化により、女性や高年齢も ・包装後の運搬は有人で行っていた
内容
作業が可能となる。 が、③クラフト包装から運搬までの一
連の流れが自動化（省力化）
→労働環境の改善
2. GFSI(食品安全 )・ISO14001・有機JAS・レイン
フォレスト.アライアンス認証をクリアする工場設計
⑥フードディフェンス・手洗い、エアシャ
ワー・陽圧吸気扇・エアシャッター等
④自動計量充填フレキシブルコンテナ
包装機による省人化
➡食品安全の強化
・自動化により、女性や高年齢も作業
が可能となる。
【p.3】
.補助事業の概要 アライドコーヒーロースターズ株式会社
2
最新鋭設備導入により労働生産性を向上させる
3.環境保全推進 : コーヒーグラウンズリサイクルによるCO 削減 ・ グリーン焙煎技術確立
補助事業の 2
⇒世界初のグリーン焙煎により業務の拡大を図り、雇用確保と収益向上に繋げて行く
背景・目的
３.段階的なグリーン焙煎技術の確立 プロト(試作)⇨中型⇨大型へ 開発済みプロトタイプ30㎏焙煎機
●コーヒーペレット燃焼炉を熱源とした国産コーヒー焙煎機 ⑦
(ガスバーナー搭載のハイブリット型グリーン焙煎）
現在、当社焙煎コーヒーの納入先工場ではコーヒーグラウンズを
産業廃棄物として有償にて廃棄処理をしている。
このコーヒーグラウンズを当社にて買取り、ペレット燃料化。
再生エネルギーとして焙煎機熱源とし、廃棄物と都市ガス(化石燃料)の
設備投資の 使用削減に加えCO 削減につなげる。
2
内容
step1 プロトタイプ30kg焙煎機導入による焙煎テスト(済)
⇩
Step2 中型120kg焙煎機導入による焙煎技術確立と製品化
コーヒーペレットを
⇩
熱源にした燃焼炉
Step3 大型250kg焙煎機導入による製品化・顧客獲得・製品販売
●昇温ガスバーナー(都市ガス)を連続使用しないRTO（Regenerative
Thermal Oxidizer）＝蓄熱式脱臭装置を付帯設備として導入 RTO
項目 2026年度（基準年度） 2029年（基準年度＋３年後）
3,845
労働生産性（単位：万円/人） 2,551
（年平均上昇率＋14.6％）
目標値 従業員1人あたり給与支給総額 715
580
（単位：万円/人） （年平均上昇率＋7.2％）
役員１人あたり給与支給総額 1,350
1,200
（単位：万円/人） （年平均上昇率＋4.0％）
補助事業に係る従業員数（単位：人） 6 47</t>
  </si>
  <si>
    <t>1.長期成長ビジョン 株式会社東映京都スタジオ
㈱東映京都スタジオ（テーマパーク名：東映太秦映画村）は、従来の観る場所から「リアル体験」する場所へ、
更には「バーチャル体験」も融合させることで、“ものがたり“の体験価値をより一層高め、成長戦略を推進していきます。
㈱東映京都スタジオ 長期ビジョン</t>
  </si>
  <si>
    <t>㈱東映京都スタジオ 長期ビジョン
『日本・京都の”ものがたり“を世界へ』
東映京都撮影所で培ってきた資産（技術、オープンセット、役者）を基盤に、新しい「人、こと、もの」を
吸収しながら、「京都」という“ものがたり”を生み出し、世界中を魅了していきます。
また、デジタルツインを活用し、千年の都で時空を超えたテーマパークの創生を目指します。
出所：東映太秦映画村リニューアルサイトより
㈱東映京都スタジオの成長戦略
①体験型テーマパークへのアップデート
エンタメ 飲食
東映太秦映画村
日本・京都の文化を「観る」場所から
(体験型テーマパーク)
「体験する」場所へとアップデート。
物販 温浴
飲食、物販、エンタメ、温浴の4つの「体験」を軸に、
リアルとバーチャルの体験を融合させ
世界中で愛される映画村を目指します。
これまでの「観る」場所
②東映グループとの連携による相乗効果 映像事業
東映太秦映画村では、顧客が
“映像の世界観をリアルに体験”することができます。 映像 東映太秦映画村 イベント・
ライセンス事業 (体験型テーマパーク) 演劇事業
その顧客体験価値は、東映グループの映像事業を
はじめとした各事業への相乗効果が高く、
グループ収益の最大化に寄与します。 物販、ホテル事業
③海外へのコンテンツ輸出の発信拠点
東映太秦
日本の文化やアニメ等のコンテンツに高い関心をもつ
外国人観光客に対し、リアルとバーチャルを活用し 映画村
旅前・旅中・旅後の体験価値を提供していきます。
例えば“「聖地巡礼」型観光”や”越境EC”等を通じ、
グローバルコンテンツ事業の拡大を図っていきます。</t>
  </si>
  <si>
    <t>【外発的動機】
・「体験経済」の台頭
消費者動向として、単なる観賞から、体験型
エンターテインメントへの需要が高まっています。
・エンターテインメントの多様化
映画セットや歴史再現、アクション体験に加え、
マンガ/アニメ/ゲームなど、消費者はマルチな
エンターテインメントを求めるようになっています。
・テクノロジーの進化
WEB3、メタバース、ARやMRなどデジタル技術の
発展により、消費者はリアル、映像、仮想空間が
融合した、没入感のあるインタラクティングな体験を
求めるようになっています。</t>
  </si>
  <si>
    <t>【内発的動機】
・ユーザーエクスペリエンスの向上
顧客がより深く楽しめるように、テクノロジーを活用
した新しいリアル、映像、バーチャルの体験・サービ
スの提供に取り組んでいきます。
・京都の観光コンテンツの持続的発展
京都力を生かした観光コンテンツ(歴史・文化 、
伝統産業、映画・マンガ・アニメ等)の海外展開、
またオーバーツーリズム解消を促進するリーディング
カンパニーとして成長していきます。
・世界観の拡大
東映グループと連携し、世界中の人々に感動を
届けることで、国際的な価値を高めていきます。</t>
  </si>
  <si>
    <t>【p.1／売上成長目標】
2033年度の売上成長目標(対2023年度) 売上高成長率470％、売上高増加額67億円
【p.2／設備投資の内容】
主な設備投資の内容
【p.3／設備投資の内容】
主な設備投資の内容</t>
  </si>
  <si>
    <t>【p.1】
1.長期成長ビジョン 株式会社東映京都スタジオ
㈱東映京都スタジオ（テーマパーク名：東映太秦映画村）は、従来の観る場所から「リアル体験」する場所へ、
更には「バーチャル体験」も融合させることで、“ものがたり“の体験価値をより一層高め、成長戦略を推進していきます。
㈱東映京都スタジオ 長期ビジョン
【外発的動機】
『日本・京都の”ものがたり“を世界へ』
東映京都撮影所で培ってきた資産（技術、オープンセット、役者）を基盤に、新しい「人、こと、もの」を ・「体験経済」の台頭
吸収しながら、「京都」という“ものがたり”を生み出し、世界中を魅了していきます。 消費者動向として、単なる観賞から、体験型
また、デジタルツインを活用し、千年の都で時空を超えたテーマパークの創生を目指します。 エンターテインメントへの需要が高まっています。
・エンターテインメントの多様化
出所：東映太秦映画村リニューアルサイトより
㈱東映京都スタジオの成長戦略
映画セットや歴史再現、アクション体験に加え、
マンガ/アニメ/ゲームなど、消費者はマルチな
①体験型テーマパークへのアップデート
エンタメ 飲食 エンターテインメントを求めるようになっています。
東映太秦映画村
日本・京都の文化を「観る」場所から ・テクノロジーの進化
(体験型テーマパーク)
「体験する」場所へとアップデート。 WEB3、メタバース、ARやMRなどデジタル技術の
物販 温浴
飲食、物販、エンタメ、温浴の4つの「体験」を軸に、 発展により、消費者はリアル、映像、仮想空間が
リアルとバーチャルの体験を融合させ 融合した、没入感のあるインタラクティングな体験を
世界中で愛される映画村を目指します。 これまでの「観る」場所 求めるようになっています。
②東映グループとの連携による相乗効果 映像事業 【内発的動機】
東映太秦映画村では、顧客が
“映像の世界観をリアルに体験”することができます。 映像 東映太秦映画村 イベント・ ・ユーザーエクスペリエンスの向上
その顧客体験価値は、東映グループの映像事業を ライセンス事業 (体験型テーマパーク) 演劇事業 顧客がより深く楽しめるように、テクノロジーを活用
はじめとした各事業への相乗効果が高く、 した新しいリアル、映像、バーチャルの体験・サービ
グループ収益の最大化に寄与します。 物販、ホテル事業 スの提供に取り組んでいきます。
・京都の観光コンテンツの持続的発展
③海外へのコンテンツ輸出の発信拠点 京都力を生かした観光コンテンツ(歴史・文化 、
伝統産業、映画・マンガ・アニメ等)の海外展開、
日本の文化やアニメ等のコンテンツに高い関心をもつ 東映太秦 またオーバーツーリズム解消を促進するリーディング
外国人観光客に対し、リアルとバーチャルを活用し 映画村 カンパニーとして成長していきます。
旅前・旅中・旅後の体験価値を提供していきます。 ・世界観の拡大
例えば“「聖地巡礼」型観光”や”越境EC”等を通じ、
東映グループと連携し、世界中の人々に感動を
グローバルコンテンツ事業の拡大を図っていきます。
届けることで、国際的な価値を高めていきます。
2033年度の売上成長目標(対2023年度) 売上高成長率470％、売上高増加額67億円</t>
  </si>
  <si>
    <t>【p.2】
.補助事業の概要 株式会社東映京都スタジオ
2
補助事業は、アトラクションや物販、飲食など顧客体験価値向上による集客力・顧客単価向上を目指す設備投資と
なっています。また、その投資には省力化や生産性向上を促進する設備、システム、オフィスも含まれています。
• 「東映太秦映画村全面リニューアル投資事業」では、映像の世界観をリアルに体験できる場として、
補助事業の 事業費 億円
顧客体験価値と集客力を高めると同時に、足元の人手不足に対応した省力化等の建物・設備を導入 35
背景・目的 （補助額） （ 億円）
することで労働生産性を高め、賃上げを持続的に実施していくことを目的とします。 9.5
主な設備投資の内容 労働生産性向上につながる点
①町並み ■人手不足に対応し、労働生産性を高めるオペレーションの工夫
（物販・飲食施設） ＜物販＞ ・自動レジや在庫管理システムを導入し、作業時間と人手不足を軽減
・伝統的な建物と品揃え豊富なお土産品が、訪 ・商品の陳列、在庫管理等のオペレーション業務の効率化を図り、店舗面積当たりの人員を削減
れる人々を魅了、歴史とエンターテインメントが融 ＜飲食＞ ・WEBオーダーシステムの導入、発券機の導入
物
合し、貴重な体験と思い出を提供 ・人手をかけない省人化対応の調理設備の導入
販
・多彩な飲食体験が楽しめるエンターテインメント ・商品管理システムを導入し、無駄な仕入れを削減
・
を揃え、時代情緒溢れる京都の味覚と雰囲気
飲 ■顧客単価の向上
食 で訪れる人を魅了
＜物販＞ ・商品購入と合わせて体験サービスを提供することで滞在時間を伸ばし、商品の購入頻度を増加
施
・多様なバリエーションの商品を提供し、顧客自身にあう商品を訴求
設 ②注文・支払システム、商品管理システム
・外国人観光客のニーズに適用した高付加価値な商品や限定アイテムの導入
（物販・飲食施設）
＜飲食＞ ・特別な体験で顧客が長居することで飲食機会の増加
・省人化、効率化を実現するためのシステム導
・物販と組み合わせることで、購買意欲を高め、平均客単価をアップ
設備投資の 入による生産性の向上
・通常では体験できないエンターテインメント性により、高付加価値な飲食で単価をアップ
内容
③新アトラクション ■人手不足に対応し、労働生産性を高めるオペレーションの工夫
「日本の故郷灯館」 • 最新の映像及び照明技術を活用した、人に頼らないアトラクションの導入
日本の原風景を感じる灯りを巡るウォークスルー • スタッフは配置せず、顧客自身がアトラクション施設を使用しながら体験していく工夫
アトラクション
■集客力の向上
ア 「潜入忍者屋敷」
ト 忍者屋敷で起こる出来事の登場人物として体 • 他のエンターテインメント施設にはない魅力向上
ラ • 京都観光の外国人観光客を対象とした集客力向上（日本のアニメや忍者・サムライ・妖怪等に興味関心
験できるアトラクション
ク のある層、ナイトタイムエコノミーを楽しむ層）
「IP体験ショップ」
シ • デジタルを活用したコスプレ体験等による魅力向上
ョ テレビ、アニメやドラマのキャラクター商品を豊富の
• シニア層をはじめとして、ユニバーサルでやさしいエンターテインメント体験の提供
ン 取り揃え、ファンに喜びと興奮を提供
■顧客単価の向上
④お化け屋敷リニューアル
• 入村料を約20％アップ予定 （現在入村料大人2,400円、中高生1,400円、子供1,200円）
からくり屋敷や遊郭と連携し、映像技術も活用し • アトラクションの価格を約20%アップ予定（現在600円）
たウォークスルー型のお化け屋敷アトラクション
【p.3】
.補助事業の概要
2 株式会社東映京都スタジオ
主な設備投資の内容 労働生産性向上につながる点
⑤自動入場ゲートシステム ■人手不足に対応し、労働生産性を高めるオペレーションの工夫
ゲ
ー （ゲート、システム） • チケット販売窓口数を縮小（3か所から1か所）、対応業務の人員を削減
設備投資の ト オンラインチケット販売のシステム導入と合わせ • 入場時のチケット確認業務を省力化し、対応業務の人員を削減
・ て、効率的で迅速な入場プロセスを実現 • デジタル化することで、事前予約の獲得に加え、個人データ及び園内での行動データを取得することがで
内容
オ きるため、データ分析活用の向上と来場者分析業務の効率化も促進
フ ⑥事務所・食堂（オフィス家具・設備） • 機能的なオフィス家具を導入し、効率的な作業環境の整備
ィ
快適な環境と効率的な設備を導入し、従業 • オフィスの機能性を高めることで、事務作業を減らし、顧客対応の人員を増加
ス
員のモチベーションを高め、生産性を向上
棟
2026年度 2029年度
項目
（基準年度） （基準年度＋３年後）
労働生産性
1530
670
（単位：万円/人） （年平均上昇率＋ ％）
31.7
従業員1人あたり給与支給総額
目標値 501
413
（単位：万円/人） （年平均上昇率＋6. ％）
7
役員１人あたり給与支給総額 1,828
1,314
（単位：万円/人） （年平均上昇率＋11.6％）
補助事業に係る従業員数
115 172
（単位：人）</t>
  </si>
  <si>
    <t>メック株式会社
1.長期成長ビジョン
独創の技術で新たな価値を創造し、お客様とともに持続可能な社会の実現に挑戦する</t>
  </si>
  <si>
    <t>長期成長ビジョン（目指す姿・ビジネスモデル）
【2030年ビジョン】
「独創の技術で新たな価値を創造し、お客様とともに持続可能な社
会の実現に挑戦する」
当社グループは、エレクトロニクス関連の界面処理を核とする技術開
発力を最大の特長として、高付加価値のある製品をグローバルに顧客
に提供する研究開発型企業です。
市場のニーズに的確に応え、革新的なテクノロジーの実用化に貢献で
きるようなシーズを生み出し育めるよう、独創的な技術開発力に磨きを
かけるとともに、エレクトロニクス業界および関連する業界、参入が可能な
事業領域についてのグローバルな動向把握と潜在需要の掘り起こしに
努め、高い品質の製品と技術サービスの提供を図っています。
それにより、独創的で価値が高く市場ニーズに合った製品を開発し続
け、これまで培ったコア技術で、IoT端末を始めとする電子機器の高機
能化、信頼性向上に貢献しています。世界中のどの地域の顧客に対し
ても高付加価値で高品質な製品を生産し、営業を行うことで事業の拡
大を目指し、また、企業価値向上や持続的成長に取り組んでいます。</t>
  </si>
  <si>
    <t>外発的動機
• 当社グループの主要市場であるエレクトロニクス業界は、技術革新
のスピードが速く、昨今、積極的な研究開発・設備投資が行われて
います。IoTやAI、５G、クルマの電動化・自動化・コネクテッド化
やDX（デジタルトランスフォーメーション）・GX（グリーントラン
スフォーメーション）の進展等の社会的動向を背景に、新しい社
会が出現する転機を迎える等、技術革新が進んでおり、中長期的
に当社関連市場は拡大すると予測しています。</t>
  </si>
  <si>
    <t>内発的動機
• 当社グループは、企業価値の源泉である社是「仕事を楽しむ」を掲
げ、経営理念「わたしたちは『独創の技術』『信頼の品質』『万全の
サービス』を信条に、自由に着想し、グローバルな事業活動を通して
界面価値創造を実現することで豊かで潤いのある社会と環境づくり
に貢献します。」を基本方針として事業を展開しています。
• それぞれの人生で大切な時間をかける仕事を、精一杯楽しみ、どの
ような仕事も自分たちのこととして真剣に取り組み、その成果が人々
の豊かな暮らしに役立つ。私たちは、仕事を楽しむ自分たちの手で
楽しい社会の実現に寄与し、自らの心豊かで幸ある人生と、明るく
楽しい社会への貢献を同時に追い求めています。</t>
  </si>
  <si>
    <t>【p.1／売上成長目標】
売上成長目標
2025年（基準年度） ：単体売上高116億円
2030年 ：約1.7倍相当を達成
【p.2／補助事業全体での投資の概要・狙い】
補助事業全体での投資の概要・狙い</t>
  </si>
  <si>
    <t>【p.1】
メック株式会社
1.長期成長ビジョン
独創の技術で新たな価値を創造し、お客様とともに持続可能な社会の実現に挑戦する
長期成長ビジョン（目指す姿・ビジネスモデル）
【2030年ビジョン】
外発的動機
「独創の技術で新たな価値を創造し、お客様とともに持続可能な社
• 当社グループの主要市場であるエレクトロニクス業界は、技術革新
会の実現に挑戦する」
のスピードが速く、昨今、積極的な研究開発・設備投資が行われて
当社グループは、エレクトロニクス関連の界面処理を核とする技術開 います。IoTやAI、５G、クルマの電動化・自動化・コネクテッド化
発力を最大の特長として、高付加価値のある製品をグローバルに顧客 やDX（デジタルトランスフォーメーション）・GX（グリーントラン
に提供する研究開発型企業です。 スフォーメーション）の進展等の社会的動向を背景に、新しい社
会が出現する転機を迎える等、技術革新が進んでおり、中長期的
市場のニーズに的確に応え、革新的なテクノロジーの実用化に貢献で に当社関連市場は拡大すると予測しています。
きるようなシーズを生み出し育めるよう、独創的な技術開発力に磨きを
かけるとともに、エレクトロニクス業界および関連する業界、参入が可能な
事業領域についてのグローバルな動向把握と潜在需要の掘り起こしに
内発的動機
努め、高い品質の製品と技術サービスの提供を図っています。
• 当社グループは、企業価値の源泉である社是「仕事を楽しむ」を掲
それにより、独創的で価値が高く市場ニーズに合った製品を開発し続 げ、経営理念「わたしたちは『独創の技術』『信頼の品質』『万全の
け、これまで培ったコア技術で、IoT端末を始めとする電子機器の高機 サービス』を信条に、自由に着想し、グローバルな事業活動を通して
能化、信頼性向上に貢献しています。世界中のどの地域の顧客に対し 界面価値創造を実現することで豊かで潤いのある社会と環境づくり
ても高付加価値で高品質な製品を生産し、営業を行うことで事業の拡 に貢献します。」を基本方針として事業を展開しています。
大を目指し、また、企業価値向上や持続的成長に取り組んでいます。
• それぞれの人生で大切な時間をかける仕事を、精一杯楽しみ、どの
ような仕事も自分たちのこととして真剣に取り組み、その成果が人々
売上成長目標
の豊かな暮らしに役立つ。私たちは、仕事を楽しむ自分たちの手で
2025年（基準年度） ：単体売上高116億円
楽しい社会の実現に寄与し、自らの心豊かで幸ある人生と、明るく
2030年 ：約1.7倍相当を達成
楽しい社会への貢献を同時に追い求めています。</t>
  </si>
  <si>
    <t>【p.2】
メック株式会社
2.補助事業の概要
発展を続けるエレクトロニクス分野（半導体産業）のテクノロジーに対して、当社がソリューションを提供し
続けながら事業拡大をするために必要不可欠な、工場の省力化・生産性向上投資内容
デジタル社会(5G・ビッグデータ・AI・IoT・自動運転・ロボティクス・スマートシティ・DX・GX等)の
急速な進展に伴い拡大を続けるエレクトロニクス市場において、当社と関連の深い半導体パッケー
補助事業の 事業費 23億円
ジ基板の更なる需要拡大・技術進化に対応すべく、当社製品の安定供給を目的とした既存工場
背景・目的 （補助額） （5.5億円）
への設備投資や生産技術開発機能も兼ね備えた新工場建設を決定。尚、「重要技術の保護」
「自国産業の強化」「地政学的リスクの回避」のため、これらは全て日本国内投資とした。
投資額
補助事業全体での投資の概要・狙い
（億円）
既
存 当社戦略製品の生産設備を追加・増強し、
工 生産性向上及び今後の需要増加、BCP等への 1.7
補助事業 場 対応能力を強化。
全体での
設備投資の
新工場の完成イメージ図
・当社製品の生産能力を全体で約4割増強し、
内容 北
需要増加やBCPへの対応能力を強化。
九
州 ・生産工程を自動化することで、年齢/性別を
新 問わない多様性のあるモノづくり体制を確立。 38.8
工 ・クリーンルームや新設備を導入し、先端半導体
場 製造等に向けた製品の試作/プロセス開発/ ※土地取得費用
量産技術確立を目指す。 除く
2026年度 2029年度
項目
（基準年度） （基準年度＋３年後）
労働生産性 2,215
1,937
補助事業 （単位：万円/人） （年平均上昇率+4.6％）
従業員1人あたり給与支給総額 918
全体での 830
（単位：万円/人） （年平均上昇率＋3.4％）
目標値
役員１人あたり給与支給総額 2,938
2,688
（単位：万円/人） （年平均上昇率＋3.0％）
補助事業に係る従業員数
318 392
（単位：人）</t>
  </si>
  <si>
    <t>ヤマシンスチール株式会社
1.⾧期成⾧ビジョン
「ワンチームで錆びない未来を」をグループスローガンに掲げ、半導体向けステンレス鋼材のトップメーカーとして市
場需要の拡大に対応することで、産業の発展に貢献する</t>
  </si>
  <si>
    <t>⾧期成⾧ビジョン（目指す姿・ビジネスモデル）
当社が属するYAMCOグループは、ステンレスを中心とした特殊鋼鋼材の仕入
れ、加工、販売を一気通貫で対応している。
グループスローガンとして「ワンチームで錆びない未来を」掲げている。これはス
テンレスの特⾧が錆びにくく、いつまでも美しく輝いていることから、人、会社、社
会、地球も錆びない未来にしたいという想いを込めている。
ヤマシンスチール㈱はYAMCOグループの中核企業として、以下の⾧期成
⾧ビジョンを掲げる。
１）ステンレス棒鋼材のマーケットリーダーとしての社会的責任の遂行
当社が主要市場とする半導体関連産業は現在のAIの高度化等の先端技
術の進展や電気・水素自動車の拡大などで需要が急拡大することが
予想され、国家間競争力維持のために、その成⾧を止めることは許されない。
従って、半導体装置部品供給のサプライチェーンの中核にある当社はマーケッ
トリーダーとして、需要のピークをカバーできる生産体制の構築等社会的責任
を果たしたいと考える。
２）グループ力で社会への貢献と使命の達成
YAMCOグループは、錆びない未来を目指し、持続可能なビジネスと社会へ
の貢献を両立させることを使命とする。製品やサービスの品質向上と安全性の
確保を通じて、顧客や社会に価値を提供し続ける。</t>
  </si>
  <si>
    <t>外発的動機
• 自動車における電動化の進展、情報・通信分野におけるAI用途拡大・
高度化などを背景とした半導体市場の成⾧に伴い、世界の半導体市場
及び日本製半導体製造装置市場の規模は2030年にかけて約2倍とな
る見通しである
• 半導体製造装置市場は半導体需要の堅調な伸びによりCAGR10.0%
で推移する見通し
• 当社の主力製品であるクリーンステンレスは耐食性に優れ、強度が高いと
いう特性があり、半導体製造装置において必要不可欠な素材であるため、
今後の大幅な需要拡大が見込まれる
• 当社の国内におけるクリーンステンレス棒鋼のシェアは約7割を占めており、
取引先からは半導体需要の拡大を見据えた増産要請を受けている
• クリーンステンレスは①加工難易度の高い点②材料の製造リードタイムが
⾧く在庫を保有する必要がある点③需要の変動が大きい点から参入障
壁の高い市場となっており、当社は確固たる地位を築いているが同時に市
場における供給責任も大きくなっている</t>
  </si>
  <si>
    <t>内発的動機
• 当社はクリーンステンレス市場において多くの同業者が参入・撤退を繰り
返す中、粘り強く市場需要に対応することで特殊鋼メーカーとの信頼関係
を築きマーケットリーダーとしての地位を築いてきた
• 2021~2022年のシリコンサイクルのピーク時には製品の供給が追い付か
ず、国内の半導体不足の一因となってしまったことで製品を供給することの
社会的責任を痛感した
• 産業構造の転換期において半導体市場の拡大は確実であり、製品需要
の急拡大が見込まれることから、供給責任を果たすためにも生産能力の
増強は急務である
• 持続的な成⾧に向けては、高齢となった熟練技術者からの技能の承継、
若手技術者でも対応可能な生産体制の構築に取り組む必要がある</t>
  </si>
  <si>
    <t>【p.1／売上成長目標】
売上成⾧目標
• 2028年までの会社全体の売上高成⾧率+71%
• 2028年までの会社全体の売上高増加額+9,630百万円
※どちらも2025年を基準とした3年後
2025年までシリコンサイクルのボトム期に入り、現状より売上
減少額50億円程度既に見込まれているため、本事業による
その時点からの復活目標
【p.2／2025年度】
2025年度
項目
（基準年度）</t>
  </si>
  <si>
    <t>【p.1】
ヤマシンスチール株式会社
1.⾧期成⾧ビジョン
「ワンチームで錆びない未来を」をグループスローガンに掲げ、半導体向けステンレス鋼材のトップメーカーとして市
場需要の拡大に対応することで、産業の発展に貢献する
外発的動機
⾧期成⾧ビジョン（目指す姿・ビジネスモデル）
• 自動車における電動化の進展、情報・通信分野におけるAI用途拡大・
当社が属するYAMCOグループは、ステンレスを中心とした特殊鋼鋼材の仕入 高度化などを背景とした半導体市場の成⾧に伴い、世界の半導体市場
れ、加工、販売を一気通貫で対応している。 及び日本製半導体製造装置市場の規模は2030年にかけて約2倍とな
る見通しである
グループスローガンとして「ワンチームで錆びない未来を」掲げている。これはス
テンレスの特⾧が錆びにくく、いつまでも美しく輝いていることから、人、会社、社 • 半導体製造装置市場は半導体需要の堅調な伸びによりCAGR10.0%
会、地球も錆びない未来にしたいという想いを込めている。 で推移する見通し
• 当社の主力製品であるクリーンステンレスは耐食性に優れ、強度が高いと
ヤマシンスチール㈱はYAMCOグループの中核企業として、以下の⾧期成
いう特性があり、半導体製造装置において必要不可欠な素材であるため、
⾧ビジョンを掲げる。
今後の大幅な需要拡大が見込まれる
１）ステンレス棒鋼材のマーケットリーダーとしての社会的責任の遂行
• 当社の国内におけるクリーンステンレス棒鋼のシェアは約7割を占めており、
当社が主要市場とする半導体関連産業は現在のAIの高度化等の先端技
取引先からは半導体需要の拡大を見据えた増産要請を受けている
術の進展や電気・水素自動車の拡大などで需要が急拡大することが
• クリーンステンレスは①加工難易度の高い点②材料の製造リードタイムが
予想され、国家間競争力維持のために、その成⾧を止めることは許されない。
⾧く在庫を保有する必要がある点③需要の変動が大きい点から参入障
従って、半導体装置部品供給のサプライチェーンの中核にある当社はマーケッ
壁の高い市場となっており、当社は確固たる地位を築いているが同時に市
トリーダーとして、需要のピークをカバーできる生産体制の構築等社会的責任
を果たしたいと考える。 場における供給責任も大きくなっている
２）グループ力で社会への貢献と使命の達成
内発的動機
YAMCOグループは、錆びない未来を目指し、持続可能なビジネスと社会へ
• 当社はクリーンステンレス市場において多くの同業者が参入・撤退を繰り
の貢献を両立させることを使命とする。製品やサービスの品質向上と安全性の
確保を通じて、顧客や社会に価値を提供し続ける。 返す中、粘り強く市場需要に対応することで特殊鋼メーカーとの信頼関係
を築きマーケットリーダーとしての地位を築いてきた
売上成⾧目標 • 2021~2022年のシリコンサイクルのピーク時には製品の供給が追い付か
ず、国内の半導体不足の一因となってしまったことで製品を供給することの
• 2028年までの会社全体の売上高成⾧率+71%
社会的責任を痛感した
• 2028年までの会社全体の売上高増加額+9,630百万円
• 産業構造の転換期において半導体市場の拡大は確実であり、製品需要
※どちらも2025年を基準とした3年後
の急拡大が見込まれることから、供給責任を果たすためにも生産能力の
2025年までシリコンサイクルのボトム期に入り、現状より売上
増強は急務である
減少額50億円程度既に見込まれているため、本事業による
• 持続的な成⾧に向けては、高齢となった熟練技術者からの技能の承継、
その時点からの復活目標
若手技術者でも対応可能な生産体制の構築に取り組む必要がある</t>
  </si>
  <si>
    <t>【p.2】
ヤマシンスチール株式会社
2.補助事業の概要
第2工場の建設と最新設備の導入で、従来の生産工程を刷新し、生産力の増強と生産性の向上を実現し、シ
リコンサイクルのピーク時の需要にも対応可能な製造体制を構築する
• 第2工場の建設でシリコンサイクルのピーク時の需要にも対応できる製造体制を構築する
補助事業の 事業費 29億円
• 最新設備の導入に伴う、生産工程の刷新で工程所用時間を削減し27%の生産性向上を
背景・目的 （補助額） （8.3億円）
実現する
①生産能力の向上 ▼新工場建設 ▼新設備導入
金額単位:百万円
第2工場の増設及び最新設備の導入により、 計画:恵那第２工場建設計画
項目 導入設備・工事 導入メーカー 金額
総生産量は現在880t/月から1,260t/月
場所:岐阜県恵那市武並町竹折他
工事関連 建物 吉川工務店 他 1,380
(+43%)に拡大し、シリコンサイクルのピーク時
（恵那西工業団地C区画）
電機設備工事等 正栄電機 400
の需要にも対応可能な生産体制を構築する
面積:30,852.70㎡
設備関連 異形ロール口付機 川崎製作所 20
②生産性の改善
新設備の導入により、従来の生産工程を刷新し、 引き抜き加工装置① 川崎製作所 157
工程所用時間を大幅に削減することで、27%の 引き抜き加工装置② 川崎製作所 250
設備投資の 生産性向上を実現 プレス矯正機 未定 50
内容 ③労働環境の改善 材料切断機 コーキ 43
過酷工程である酸洗をウェットブラスト洗浄機による
ウェットブラスト洗浄機 マコー 200
酸を使用しない洗浄方法に切り替えることで、従業
その他書装置 未定 200
員の作業負荷を軽減する
補助対象事業費 合計 2,700
④環境負荷の軽減
新規設備を導入し、生産工程を刷新することで、 補助対象外経費 270
酸洗工程を省き、酸の排水をゼロにして環境負荷 事業費 2,970
を低減。また、熱処理工程の回数を減らすことで
CO2排出量の削減も実現
2025年度 2028年度
項目
（基準年度） （基準年度＋３年後）
労働生産性 3,883万円/人
2,358万円/人
（単位:万円/人） （年平均上昇率＋18.1％）
目標値 従業員1人あたり給与支給総額 817万円/人
643万円/人
（単位:万円/人） （年平均上昇率＋8.3％）
役員１人あたり給与支給総額 11,057万円/人
9,988万円/人
（単位:万円/人） （年平均上昇率＋3.4％）
補助事業に係る従業員数
93人 101人
（単位:人）</t>
  </si>
  <si>
    <t>上山製紙株式会社
1.長期成長ビジョン
生活必需品であるトイレットペーパー・ちり紙のメーカーとして社会的責任を果たすと共に、東北唯一となるペー
パータオル製造に進出。人口減少が続く東北地方においても、長期に亘って持続的な成長を達成する。</t>
  </si>
  <si>
    <t>長期成長ビジョン（目指す姿・ビジネスモデル）
【地域企業としての社会貢献】
• 当社は東北最大のトイレットペーパー製造メーカーであり、今後も
生活必需品供給者としての社会的責任を果たし続ける。創業以
来74年間に亘って地元東北で地域密着型のサプライチェーンを構
築し、災害時・感染症発生時にも安定的に供給できる体制を維
持している。これを更に発展させることで地域社会に貢献する。
• 再生紙ペーパータオルは手拭き用衛生紙として定着しているが、東
北地方には製造メーカーがなく、静岡以西からの供給に頼っている。
衛生意識の高まりから今後更なる成長が見込めるペーパータオル
の一貫生産に進出し、東北地方への安定供給を実現することで
地域社会に貢献する。
【地域リサイクルによる持続的成長】
• ボイラ燃料としてバーク（樹皮）を活用。製材所やチップ工場から
不要物として排出され、バイオマス発電でも利用が進まないバーク
を有効活用し、サーマルリサイクルで地域に貢献している。
• 再生紙製造において、今後原料古紙の減少が見込まれるが、現
在殆ど再利用されず焼却されているペーパータオル古紙を原料とし
てリサイクルすることで、原料の安定確保による持続的成長を達成
し、東北地方の可燃ゴミ減量化に貢献する。</t>
  </si>
  <si>
    <t>外発的動機
• 安く・軽く・嵩張るトイレットペーパーやペーパータオルは物流ホワイト
化に伴い長距離輸送が困難となるため、問屋・小売店は、地元
メーカーからの調達志向が強まっている。特に東北は広大で他地域
との接点が南しかないため物流問題が深刻。
• 東北のトイレットペーパーメーカーは当社含め4社と少なく、約75%
の製品は他の地域からの調達と推測される。供給と消費のアンバラ
ンスが顕著で、メーカーとしての供給責任が問われる。
• トイレットペーパーはわずかながらも着実に需要が伸びており、市場
は安定している。代替不能な生活必需品としての地位は不動。
• 東北にはペーパータオルのメーカーがなく、現状では他の地域からの
調達に頼らざるを得ない。
• ペーパータオルは年率数％の伸びを続けており、衛生紙カテゴリーの
中でも成長率が高い。今後も更なる成長が見込まれる。</t>
  </si>
  <si>
    <t>内発的動機
• 東日本大震災では当社も大きなダメージを負ったが、製品出荷は2
日で再開、生産設備は3日で復旧し、東北地域のお客様に商品
をお届けすることが出来た。
• 当社は古紙原料在庫約1ヶ月分を備蓄して操業しており、災害時
でも製品を生産・供給できる体制を構築しているが、東北の需要に
応えるにはまだ力不足。今回の設備投資により東北地方でのトイ
レットペーパー・ペーパータオルの自給率が向上し、安定供給に貢献
するとともに、当社の地域における優位性が高まる。これによって長
期に亘って持続的に成長可能なモデル構築が可能となる。</t>
  </si>
  <si>
    <t>【p.1／売上成長目標】
売上成長目標
• 2030年までの会社全体の売上高成長率88％
• 2030年までの会社全体の売上高増加額20億円
• 2030年の東北地方でのトイレットペーパーシェア17%、ペー
パータオルシェア21％</t>
  </si>
  <si>
    <t>【p.1】
上山製紙株式会社
1.長期成長ビジョン
生活必需品であるトイレットペーパー・ちり紙のメーカーとして社会的責任を果たすと共に、東北唯一となるペー
パータオル製造に進出。人口減少が続く東北地方においても、長期に亘って持続的な成長を達成する。
長期成長ビジョン（目指す姿・ビジネスモデル） 外発的動機
• 安く・軽く・嵩張るトイレットペーパーやペーパータオルは物流ホワイト
【地域企業としての社会貢献】
化に伴い長距離輸送が困難となるため、問屋・小売店は、地元
• 当社は東北最大のトイレットペーパー製造メーカーであり、今後も
メーカーからの調達志向が強まっている。特に東北は広大で他地域
生活必需品供給者としての社会的責任を果たし続ける。創業以
との接点が南しかないため物流問題が深刻。
来74年間に亘って地元東北で地域密着型のサプライチェーンを構
• 東北のトイレットペーパーメーカーは当社含め4社と少なく、約75%
築し、災害時・感染症発生時にも安定的に供給できる体制を維
の製品は他の地域からの調達と推測される。供給と消費のアンバラ
持している。これを更に発展させることで地域社会に貢献する。
ンスが顕著で、メーカーとしての供給責任が問われる。
• 再生紙ペーパータオルは手拭き用衛生紙として定着しているが、東
• トイレットペーパーはわずかながらも着実に需要が伸びており、市場
北地方には製造メーカーがなく、静岡以西からの供給に頼っている。
は安定している。代替不能な生活必需品としての地位は不動。
衛生意識の高まりから今後更なる成長が見込めるペーパータオル
• 東北にはペーパータオルのメーカーがなく、現状では他の地域からの
の一貫生産に進出し、東北地方への安定供給を実現することで
調達に頼らざるを得ない。
地域社会に貢献する。
• ペーパータオルは年率数％の伸びを続けており、衛生紙カテゴリーの
中でも成長率が高い。今後も更なる成長が見込まれる。
【地域リサイクルによる持続的成長】
• ボイラ燃料としてバーク（樹皮）を活用。製材所やチップ工場から
不要物として排出され、バイオマス発電でも利用が進まないバーク
を有効活用し、サーマルリサイクルで地域に貢献している。
• 再生紙製造において、今後原料古紙の減少が見込まれるが、現 内発的動機
在殆ど再利用されず焼却されているペーパータオル古紙を原料とし • 東日本大震災では当社も大きなダメージを負ったが、製品出荷は2
てリサイクルすることで、原料の安定確保による持続的成長を達成 日で再開、生産設備は3日で復旧し、東北地域のお客様に商品
し、東北地方の可燃ゴミ減量化に貢献する。 をお届けすることが出来た。
• 当社は古紙原料在庫約1ヶ月分を備蓄して操業しており、災害時
売上成長目標 でも製品を生産・供給できる体制を構築しているが、東北の需要に
• 2030年までの会社全体の売上高成長率88％ 応えるにはまだ力不足。今回の設備投資により東北地方でのトイ
• 2030年までの会社全体の売上高増加額20億円 レットペーパー・ペーパータオルの自給率が向上し、安定供給に貢献
• 2030年の東北地方でのトイレットペーパーシェア17%、ペー するとともに、当社の地域における優位性が高まる。これによって長
期に亘って持続的に成長可能なモデル構築が可能となる。
パータオルシェア21％</t>
  </si>
  <si>
    <t>【p.2】
上山製紙株式会社
2.補助事業の概要
最新設備の導入＋スケールメリットの追及で高効率な生産工場を実現
「薄くても強い」紙の質的変化によって急成長する長尺トイレットペーパーや薄型ペーパータオルが製造可能に
• 旧設備は構造的に紙の強度が弱いため薄く出来なかったが新設備導入により解消
補助事業の 事業費 30億円
• 最新トイレットペーパー・ペーパータオル製造設備導入による生産性向上
背景・目的 （補助額） （9.9億円）
• 東北地方のトイレットペーパー自給率向上・東北初の再生紙ペーパータオル供給開始
• 2024年基準の最新型製造設備導入＝抄紙幅拡大＆抄紙速度上昇
によるエネルギー効率・生産性・品質の向上と環境対応
• 紙が薄くても強度が出る＝長尺トイレットペーパー・薄型ペーパータオル
が製造可能に＝歩留り向上・古紙原料削減
• 作業環境改善による労働生産性向上
旧抄紙機
設備投資の 設備名 機能 旧設備 新設備能力
内容 写真等
抄紙機 原料を乾燥し紙を作る 330t/月x3台 1,800t/月x1台
トイレットペーパー加工 300t/月x4ライン 900t/月x2ライン
加工機
ペーパータオル加工 加工機なし 600t/月x1ライン
ボイラ 紙を乾かす蒸気を供給 4,000t/月x1台 6,000t/月x1台
新抄紙機
水処理施 330t/月x3台 1,800t/月x1台
排水を処理する施設
設 （生産量換算） (生産量換算)
2026年度 2029年度
項目
（基準年度） （基準年度＋３年後）
労働生産性 1,432
460
（単位：万円/人） （年平均上昇率＋46.0％）
目標値 従業員1人あたり給与支給総額 436
363
（単位：万円/人） （年平均上昇率＋6.3％）
役員１人あたり給与支給総額 1,373
1,172
（単位：万円/人） （年平均上昇率＋5.4％）
補助事業に係る従業員数
103 103
（単位：人）</t>
  </si>
  <si>
    <t>1. 長期成長ビジョン 株式会社ジェイ・イー・ティ
• 技術優位の差別化された製品にて、世界市場で然るべき立場を獲得する
中長期ビジョン 中長期の数値目標
技術優位の差別化された製品にて
売上高CAGR：8.3％
世界市場で然るべき立場を獲得する 2033年
2027年 技術優位の
差別化された製品にて
技術開発の重要性 中期経営計画 世界市場でポジション獲得
Challenge 2026
• 当社は技術力を軸にニッチャーとして業界内でポジションを確立してきた 2023年
• 著しく変化の速い半導体業界で「技術力」を軸に世界で戦うために、
研究開発に注力し技術力を更に高めたい
内
発 半導体の国産化への思い
的 • かつて我が国は「技術立国ニッポン」として半導体業界でも世界を牽引 2023年度 2027年度 2033年度
動 した。半導体の国内回帰や、先端半導体の国産化機運の高まりを契
売上高 244億円 300億円 500億円
機 機に、半導体分野における日本のプレゼンスを高めたい
営業利益 22億円 45億円 100億円
事業機会を逃さない投資の必要性
営業利益率 9.1％ 15.0％ 20.0％
• 当社の高い技術力を評価し「ジェイ・イー・ティの装置を使いたい」と要
望してくださる顧客に応えられる組織体制・生産体制を整えたい
• 各種カスタマイズへ対応できよう研究開発に注力
技術力 • 枚葉式の高温高粘度処理技術の開発
世界的・長期的な半導体需要の強さ
• 硫酸を使用しない洗浄装置の開発
• AI、5G、IoTの進化は今後20年間は続くと予想されており、エレクトロ
外 ニクスの心臓部である半導体需要は今後も世界的に拡大する見通し
• 売上拡大に伴い生産能力の増強を図る
発 半導体性能向上に伴う製造装置の技術的高度化要請 生産力 (現在の1.5倍を想定)
的
• 半導体性能の向上（微細化・集積化）がますます進み、製造装置 • 自動化工程を増やし、労働生産性向上を実現
動 の高度化要請が予想される
機
国家安全保障政策による急速な国内回帰 • 主要市場(韓国・台湾・中国)は取引関係を維持
• 地政学的リスク回避やパンデミック想定から国内回帰の動きと、国策で 営業力 • 2024年以降、日本市場・米国市場へ進出し、
国内メーカーの積極選定の動きが強まっている 取引拡大・増収増益を目指す
©J.E.T CO.,LTD. All rights reserved</t>
  </si>
  <si>
    <t>中長期ビジョン
技術優位の差別化された製品にて
世界市場で然るべき立場を獲得する</t>
  </si>
  <si>
    <t>【p.1／技術開発の重要性】
技術開発の重要性
• 当社は技術力を軸にニッチャーとして業界内でポジションを確立してきた
• 著しく変化の速い半導体業界で「技術力」を軸に世界で戦うために、
研究開発に注力し技術力を更に高めたい
半導体の国産化への思い
• かつて我が国は「技術立国ニッポン」として半導体業界でも世界を牽引
した。半導体の国内回帰や、先端半導体の国産化機運の高まりを契
機に、半導体分野における日本のプレゼンスを高めたい
事業機会を逃さない投資の必要性
• 当社の高い技術力を評価し「ジェイ・イー・ティの装置を使いたい」と要
望してくださる顧客に応えられる組織体制・生産体制を整えたい
【p.1／各種カスタマイズへ対応できよう研究開発に注力】
• 各種カスタマイズへ対応できよう研究開発に注力
• 枚葉式の高温高粘度処理技術の開発
• 硫酸を使用しない洗浄装置の開発
【p.1／世界的・長期的な半導体需要の強さ】
世界的・長期的な半導体需要の強さ
• AI、5G、IoTの進化は今後20年間は続くと予想されており、エレクトロ
ニクスの心臓部である半導体需要は今後も世界的に拡大する見通し
半導体性能向上に伴う製造装置の技術的高度化要請
• 半導体性能の向上（微細化・集積化）がますます進み、製造装置
の高度化要請が予想される
国家安全保障政策による急速な国内回帰
• 地政学的リスク回避やパンデミック想定から国内回帰の動きと、国策で
国内メーカーの積極選定の動きが強まっている
【p.1／売上拡大に伴い生産能力の増強を図る】
• 売上拡大に伴い生産能力の増強を図る
(現在の1.5倍を想定)
• 自動化工程を増やし、労働生産性向上を実現
【p.1／主要市場(韓国・台湾・中国)は取引関係を維持】
• 主要市場(韓国・台湾・中国)は取引関係を維持
• 2024年以降、日本市場・米国市場へ進出し、
取引拡大・増収増益を目指す
【p.2／設備投資の内容】
岡山県浅口郡里庄町新庄金山6078
 設備投資の内容
• 本社工場の新築
※ 面積拡張により作業スペースが1.6倍に拡大
※ 部品の自動倉庫を導入し、省人化・効率化を図る
※ 研究開発室の酸給排管を拡張し3台同時に実験
※ 現本社工場は倉庫として活用し、外部倉庫を集約
• その他、製造に必要な設備一式を導入
(例：工作機械、純水設備、荷受・荷出設備 等)
項目 2
労働生産性 （単位：万円/人）
従業員1人あたり給与支給総額 （単位：万円/人）</t>
  </si>
  <si>
    <t>【p.1】
1. 長期成長ビジョン 株式会社ジェイ・イー・ティ
• 技術優位の差別化された製品にて、世界市場で然るべき立場を獲得する
中長期ビジョン 中長期の数値目標
技術優位の差別化された製品にて
売上高CAGR：8.3％
世界市場で然るべき立場を獲得する 2033年
2027年 技術優位の
差別化された製品にて
技術開発の重要性 中期経営計画 世界市場でポジション獲得
Challenge 2026
• 当社は技術力を軸にニッチャーとして業界内でポジションを確立してきた 2023年
• 著しく変化の速い半導体業界で「技術力」を軸に世界で戦うために、
研究開発に注力し技術力を更に高めたい
内
発 半導体の国産化への思い
的 • かつて我が国は「技術立国ニッポン」として半導体業界でも世界を牽引 2023年度 2027年度 2033年度
動 した。半導体の国内回帰や、先端半導体の国産化機運の高まりを契
売上高 244億円 300億円 500億円
機 機に、半導体分野における日本のプレゼンスを高めたい
営業利益 22億円 45億円 100億円
事業機会を逃さない投資の必要性
営業利益率 9.1％ 15.0％ 20.0％
• 当社の高い技術力を評価し「ジェイ・イー・ティの装置を使いたい」と要
望してくださる顧客に応えられる組織体制・生産体制を整えたい
• 各種カスタマイズへ対応できよう研究開発に注力
技術力 • 枚葉式の高温高粘度処理技術の開発
世界的・長期的な半導体需要の強さ
• 硫酸を使用しない洗浄装置の開発
• AI、5G、IoTの進化は今後20年間は続くと予想されており、エレクトロ
外 ニクスの心臓部である半導体需要は今後も世界的に拡大する見通し
• 売上拡大に伴い生産能力の増強を図る
発 半導体性能向上に伴う製造装置の技術的高度化要請 生産力 (現在の1.5倍を想定)
的
• 半導体性能の向上（微細化・集積化）がますます進み、製造装置 • 自動化工程を増やし、労働生産性向上を実現
動 の高度化要請が予想される
機
国家安全保障政策による急速な国内回帰 • 主要市場(韓国・台湾・中国)は取引関係を維持
• 地政学的リスク回避やパンデミック想定から国内回帰の動きと、国策で 営業力 • 2024年以降、日本市場・米国市場へ進出し、
国内メーカーの積極選定の動きが強まっている 取引拡大・増収増益を目指す
©J.E.T CO.,LTD. All rights reserved</t>
  </si>
  <si>
    <t>【p.2】
補助事業の概要
2. 株式会社ジェイ・イー・ティ
岡山県浅口市鴨方町に新本社工場を建設
.
面積拡張による生産能力拡大、②省人化・効率化による生産性向上、③研究開発の加速を実現する
①
生産能力の問題：増改築を繰り返してきた本社工場が手狭になってきており、生産能力が不足しつつある
①
② 生産性の問題：
事業費
・洗浄装置1台製造するのに必要な部品は2～3万点。生産数の増加に伴い、従来の人力による部品の
（補助額）
補助事業の 保管・管理・ピッキングでは非効率となっている
背景・目的 ・本社工場で部品保管する場所が不足し外部倉庫を賃貸、コスト増加に繋がっている
③ 研究開発の問題：本社工場は築27年で老朽化が進む。洗浄薬液(硫酸、リン酸等)を使用するが、薬液
11 億円
の給排管が実験機1台分しかなく、同時並行で実験を行えない（顧客対応や開発スピード遅滞の原因） 5
（3 億円）
8
→ 補助事業で新本社工場を建設し、①～③の問題を解決する
 事業実施場所
• 岡山県浅口郡里庄町新庄金山6078
 設備投資の内容
現本社工場
• 本社工場の新築 新本社工場
設備投資の
※ 面積拡張により作業スペースが1.6倍に拡大
内容
※ 部品の自動倉庫を導入し、省人化・効率化を図る
※ 研究開発室の酸給排管を拡張し3台同時に実験可能に
※ 現本社工場は倉庫として活用し、外部倉庫を集約
• その他、製造に必要な設備一式を導入
(例：工作機械、純水設備、荷受・荷出設備 等)
項目 2026年度（基準年度） 2029年度（基準年度＋３年後）
労働生産性 （単位：万円/人） 2,791 3,609 （年平均上昇率＋8.9％）
目標値 従業員1人あたり給与支給総額 （単位：万円/人） 699 767 （年平均上昇率＋3.20％）
役員１人あたり給与支給総額 （単位：万円/人） 4,662 5,397 （年平均上昇率＋5.00％）
補助事業に係る従業員数 （単位：人） 180 240
©J.E.T CO.,LTD. All rights reserved</t>
  </si>
  <si>
    <t>1.長期成長ビジョン 日本電波工業株式会社
２次公
募
周波数でデジタル社会の未来を創るという経営ビジョンを基に、内部の既存資産を積極活用した新たなビジネ
スモデルを先端技術で創出し、水晶専業メーカーとしてグローバル競争力を向上させる。</t>
  </si>
  <si>
    <t>長期成長ビジョン（目指す姿・ビジネスモデル）
• 「周波数でデジタル社会の未来を創る」
– モビリティ、次世代通信インフラ、医療ロボット、人工衛星などデジタル
技術を用いたプロダクトの成長を、安定した周波数製品で下支えし、
持続可能な社会の実現を目指す。
– 外部環境を鑑みると、既存事業の成長に加え、新規領域の開拓は
必要不可欠。当社の強みである製品の小型化・高周波化・高信頼
性を武器としつつ、壮大なDX構想を必達し、6Gのトップランナーにな
る。
– 経営を縮小均衡から拡大均衡へ舵を切り、今後の成長戦略を実現
するために、組織風土の一新と革新を図る人材育成を徹底する。
– 上記実現のために、先端技術を活用したDXにより、顧客価値を創
出する新ビジネスモデルとスマートファクトリーを構築する</t>
  </si>
  <si>
    <t>外発的動機
• 市場の状況
– 半導体製品の市場伸長に伴い、半導体製品に必須である弊社の水
晶・周波数製品も同様に成長が見込まれ、周波数ニーズもあらゆる市場
で伸長している
– CASE(*2)を背景とした技術的アーキテクチャの変化や地域市場別の変
化(EV・ハイブリッドの均衡市場など)などの市場変化が激しい
– 加えて、海外を中心とした新興メーカーが台頭している脅威が顕在化して
いる
• 顧客の要求高度化
– 開発サイクルの短縮
– 技術ニーズ(5G対応の高周波、小型化、安定性など)
– チップメーカーの高度な品質要求</t>
  </si>
  <si>
    <t>内発的動機
• 経営者の原体験
– 2018年度(*3)～2021年度まで、トップラインを向上させずとも利益を出
せる体制へシフトするために、構造改革を行った
– トップライン成長のために注力していた研究開発が奏功して、構造改革の
前倒しが実現した
– その経験を踏まえ、今は成長フェーズとしてトップラインを向上させ、研究開
発など積極的な大規模投資を行い、利益を確保して社員に還元する
• 内部環境状況
– セグメント別戦略の体制変革の必要性
– 車載分野における市場シェア50%の実績や、新興メーカーに負けない約
75年の歴史を活かした顧客データ資産の活用による差別化戦略が必要</t>
  </si>
  <si>
    <t>【p.1／売上成長目標】
売上成長目標(*1)
• 2030年に連結の売上高498億円増加（成長率199％）(*1)
– 単体(日本電波工業株式会社)の売上高319億円増加
– 函館エヌ・デー・ケー(株)の売上高65億円増加
– 古川エヌ・デー・ケー(株)の売上高52億円増加</t>
  </si>
  <si>
    <t>【p.1】
1.長期成長ビジョン 日本電波工業株式会社
２次公
募
周波数でデジタル社会の未来を創るという経営ビジョンを基に、内部の既存資産を積極活用した新たなビジネ
スモデルを先端技術で創出し、水晶専業メーカーとしてグローバル競争力を向上させる。
長期成長ビジョン（目指す姿・ビジネスモデル） 外発的動機
• 市場の状況
• 「周波数でデジタル社会の未来を創る」
– 半導体製品の市場伸長に伴い、半導体製品に必須である弊社の水
晶・周波数製品も同様に成長が見込まれ、周波数ニーズもあらゆる市場
– モビリティ、次世代通信インフラ、医療ロボット、人工衛星などデジタル
で伸長している
技術を用いたプロダクトの成長を、安定した周波数製品で下支えし、
– CASE(*2)を背景とした技術的アーキテクチャの変化や地域市場別の変
持続可能な社会の実現を目指す。
化(EV・ハイブリッドの均衡市場など)などの市場変化が激しい
– 外部環境を鑑みると、既存事業の成長に加え、新規領域の開拓は – 加えて、海外を中心とした新興メーカーが台頭している脅威が顕在化して
必要不可欠。当社の強みである製品の小型化・高周波化・高信頼 いる
性を武器としつつ、壮大なDX構想を必達し、6Gのトップランナーにな • 顧客の要求高度化
– 開発サイクルの短縮
る。
– 技術ニーズ(5G対応の高周波、小型化、安定性など)
– 経営を縮小均衡から拡大均衡へ舵を切り、今後の成長戦略を実現 – チップメーカーの高度な品質要求
するために、組織風土の一新と革新を図る人材育成を徹底する。
– 上記実現のために、先端技術を活用したDXにより、顧客価値を創
内発的動機
出する新ビジネスモデルとスマートファクトリーを構築する
• 経営者の原体験
– 2018年度(*3)～2021年度まで、トップラインを向上させずとも利益を出
せる体制へシフトするために、構造改革を行った
– トップライン成長のために注力していた研究開発が奏功して、構造改革の
売上成長目標(*1) 前倒しが実現した
• 2030年に連結の売上高498億円増加（成長率199％）(*1) – その経験を踏まえ、今は成長フェーズとしてトップラインを向上させ、研究開
– 単体(日本電波工業株式会社)の売上高319億円増加 発など積極的な大規模投資を行い、利益を確保して社員に還元する
– 函館エヌ・デー・ケー(株)の売上高65億円増加 • 内部環境状況
– 古川エヌ・デー・ケー(株)の売上高52億円増加 – セグメント別戦略の体制変革の必要性
– 車載分野における市場シェア50%の実績や、新興メーカーに負けない約
75年の歴史を活かした顧客データ資産の活用による差別化戦略が必要
(*1)売上高増加額および成長率は、2023年度(交付申請直近年度)から2029年度の増加額・成長率の数値であり、かつ売上高は海外連結子会社の数値も含む
(*2)CASE：自動車業界に変化をもたらす要素の頭文字（Connected、Autonomous【自動運転】、Shared&amp;Service、Electric【電動化】）
(*3)当社は、決算期間が4月～3月であるため、2018年度の場合は、2018年4月～2019年3月を指す</t>
  </si>
  <si>
    <t>【p.2】
日本電波工業株式会社
2.補助事業の概要
スマートファクトリーのための機械リプレイス、顧客PFの先端技術の検証とソフトウェア開発、それらを実現する
ためのデータインフラ整備投資によって収益向上をめざす。
• 当社は顧客への対応力が評価され、その結果、特に車載分野では50%の市場シェアを獲得するに
補助事業 至っている。一方、市場成長の中、海外メーカーの台頭や顧客ニーズの多様化、要求高度化など、機
事業費 10４億円
の背景・ 会と脅威双方にさらされている経営環境である、そこで従来とは異なるビジネスモデルの創発と労働生
（補助額） （31億円）
目的 産性を抜本的に改革する生産体制を同時追求し、海外メーカーに対する競争力を構築し、売上高と
営業利益率ポイント倍増計画を作り、実行する。
• 補助事業の構成要素（1）【製造現場のスマートファクトリー化】（83.8億円） 設備投資例
 スマートファクトリーに資する設備投資によって生産効率を向上
• 機械設備費（66.６億円）ラインの設備リプレイスおよび新規設備投資
• ソフトウェア費（7.7億円）スマートファクトリー全体開発費
• 外注費（9.5億円）ユーティリティ工事費・FA・OT設計、設備カスタマイズ・構築・現地試運転費用・
サイバーセキュリティ構築費用 など
設備投資
• 補助事業の構成要（2）【新たな顧客価値を提供する顧客PF】（7億円）
の内容  間接作業の労働生産性の抜本的改革と売上向上
• ソフトウェア費（7億円）
• 補助事業の構成要素（3）【構成要素（1）と（2）を実現するためのデータインフラ】 (13.16億円)
 データでの差別化による持続的な競争力向上が主目的
• ソフトウェア費（10.7億円）
• 外注費（2.46億円）
日本電波工業株式会社 函館エヌ・デー・ケー(株) 古川エヌ・デー・ケー(株)
2026年度 2029年度 2026年度 2029年度 2026年度 2029年度
（基準年度） (基準年度+3年後) （基準年度） (基準年度+3年後) （基準年度） (基準年度+3年後)
32,798千円 31.553千円 18,009千円
労働生産性
16,835千円 （年平均上昇率 14,674千円 （年平均上昇率 10,210千円 （年平均上昇率
(単位：千円/人)
+24.9％） ＋29.1％） ＋20.8％）
従業員1人あたり 8,215千円 6,335千円 5,990千円
目標値 給与支給総額 7,097千円 （年平均上昇率 5,473千円 （年平均上昇率 5,174千円 （年平均上昇率
（単位：千円/人） ＋5.0％） ＋5.0％） ＋5.0％）
役員1人あたり ー ー ー
給与支給総額 ー （年平均上昇率 ー （年平均上昇率 ー （年平均上昇率
(単位：千円/人) ＋2.5％） ＋2.8％） ＋3.0％）
補助事業にかかる従業員数
(単位：人) 736 736 182 182 316 316
就業時間換算</t>
  </si>
  <si>
    <t>株式会社角藤
1.長期成長ビジョン
再開発や経済安全保障、生成AI等の成長を背景とした超高層・大空間建築等の大規模建築の需要増加を成長機会と捉え、
国内トップのファブリケーターとして、最高品質の鉄骨の国内生産規模を拡大することで、売上高1,000億円を実現する。</t>
  </si>
  <si>
    <t>長期成長ビジョン（目指す姿・ビジネスモデル）
品質における国内最高水準の鉄骨工場と高い施工技術力で、鉄骨工事事業を拡大、
社会インフラを支える中核企業として、我が国の暮らしと産業の持続的な発展に貢献する
①Ｓグレード認定の鉄骨工場の生産規模拡大、国内生産基盤強化
➢ 国内最高ランク「Ｓグレード」の国土交通省認定を受けている当社鉄骨工場において生
産規模を拡大。旺盛な需要に対応すると共に国内生産基盤を強化する。
②超高層・大規模建築など高い品質が要求される分野でのニッチトップ実現
➢ 鉄骨におけるSグレード品質と設計、製作、施工までの一貫体制を武器に超高層ビルや
半導体工場、データセンター等の先端分野の鉄骨工事受注を拡大する。
③持続可能な社会の実現に向けた新たな付加価値の提供
➢ 長野県における地域未来牽引企業として、高い成長性を実現。ヒトやサプライチェーンへ
の投資を行い、地域の産業や雇用に貢献。単なる生産設備の増強にとどまらず、技術
者育成や地域産業の基盤強化を視野に入れた成長戦略を描く。</t>
  </si>
  <si>
    <t>外発的動機
メガトレンド
• 老朽化対応や都市機能集約を背景とした都心及び地方都市での再開発
• 地政学リスクや海外依存リスクを背景とした我が国における経済安全保障の推進
• 社会生活、企業活動におけるDX化やAI活用の加速
成長機会
• 再開発による高層ビル、大型複合施設、大型物流施設等の建設需要拡大
• 半導体をはじめ特定重要物資等の国内生産回帰による先端工場建設需要拡大
• 生成AIやクラウドサービスの急成長によるデータセンターの建設需要拡大
⇒当社の高品質な鉄骨工事事業を中心にビジネスチャンスとなっている。
リスク・脅威
• 関税政策など通商政策や地政学リスクによる鋼材仕入価格の不安定化
• 国内労働人口減少や技能労働者の高齢化による人材確保難</t>
  </si>
  <si>
    <t>内発的動機
• 国内最高水準であるSグレード認定ファブリケーターとして、国家レベルの信頼と責任
を背負っていると自負。当社の潜在力をさらに発揮し、我が国の社会的基盤の高度
化に必要不可欠な超高層・大空間建築などの大規模建築における鉄骨工事の品
質と供給体制を高めたいという強い思いがある。
• 創業から間もなく100年を迎える企業として、培ってきた信頼と責任を次世代につな
ぐ使命感を持っている。地域未来牽引企業として選定されている立場からも、人材
育成や地域雇用の創出を通じて、地域と共に成長する持続可能な経営を実現を
目指している。2024年には次世代ものづくり人材の育成を目的に一般財団法人角
藤奨学財団を設立し、2025年4月には公益財団法人として認定。長野県内の学
生を対象とした奨学支援を本格的に展開予定。
• 技術革新や社会構造の変化が急速に進む中で、当社の事業展開においても従来
の延長線上では持続的な成長が困難になるという危機感を抱いてる。よりチャレンジ
ングな目標を掲げることで、変革へのモチベーションを高めたい。</t>
  </si>
  <si>
    <t>当社の概要
当社は、鉄骨工事を中心に外装や基礎といった建築工事や土木工事、橋梁工事を手掛ける
マークから、北陸新幹線などのインフラ整備、商業施設、学校、病院、工場などの幅広いジャン
有数の規模のビッグプロジェクトまで年間1,500件の工事に携わっている。特に鉄骨工事におい
高い技術力を保有している点が強み。全国2,140社のうちわずか18社(0.8%)のSグレード認</t>
  </si>
  <si>
    <t>【p.1／売上成長目標】
会社全体の売上成長目標 1,000
2031年1月期までに売上高 億円を目指す
現状売上高 目標売上高 売上高 売上高
単位:百万円
2025年1月期 2031年1月期 増加額 成長率
会社全体 61,887 100,000 38,113 61.6%
うち補助事業 25,572 50,000 24,428 95.5%
【p.1／会社全体の賃上げ目標】
会社全体の賃上げ目標
以下のとおり賃上げを実現する
期間 賃上げ率
直近事業年度～基準年度 CAGR：2.5%
基準年度～事業化報告3年目 CAGR：5.0%
【p.1／当社・会社の概要】
当社の概要
当社は、鉄骨工事を中心に外装や基礎といった建築工事や土木工事、橋梁工事を手掛ける
マークから、北陸新幹線などのインフラ整備、商業施設、学校、病院、工場などの幅広いジャン
有数の規模のビッグプロジェクトまで年間1,500件の工事に携わっている。特に鉄骨工事におい
高い技術力を保有している点が強み。全国2,140社のうちわずか18社(0.8%)のSグレード認
【p.1／その他Box 7】
当社は、鉄骨工事を中心に外装や基礎といった建築工事や土木工事、橋梁工事を手掛ける創業90年を超える専門工事業である。国立競技場や東京国際空港といったランド
マークから、北陸新幹線などのインフラ整備、商業施設、学校、病院、工場などの幅広いジャンルの建設に関わると共に、本社がある長野県等の地域に密着した工事から、全国でも
有数の規模のビッグプロジェクトまで年間1,500件の工事に携わっている。特に鉄骨工事においては、鉄骨の設計、製作、施工まで一貫して対応できる点、継続した研究開発による
高い技術力を保有している点が強み。全国2,140社のうちわずか18社(0.8%)のSグレード認定ファブリケーターとして、受注シェアは国内トップクラスである。
【p.2／生産規模拡大 省力化への対応】
生産規模拡大 省力化への対応
大型化への対応
【p.2／設備投資の内容】
設備投資の内容
① 生産規模拡大への対応として、日滝原工場を拡張すると共に同工
産設備及びクレーン等の大型マテハン設備を増強する。
② 大型化への対応として、回転機や一次加工機といった大型生産設
レーンなどの重量級搬送設備を導入する。
③ 省力化への対応として、溶接ロボットや組立治具、電動台車等の作
自動化設備も導入する。
課題解決による労働生産性の向上
① 生産規模拡大による短納期対応力強化、鉄骨工事受注件数の
② ビルドボックス柱等の鉄骨製品の大型化対応による高付加価値化
③ 労働集約的な工程における自動化・省力化による労働生産性向
2028年
項目
（基準年</t>
  </si>
  <si>
    <t>【p.1】
株式会社角藤
1.長期成長ビジョン
再開発や経済安全保障、生成AI等の成長を背景とした超高層・大空間建築等の大規模建築の需要増加を成長機会と捉え、
国内トップのファブリケーターとして、最高品質の鉄骨の国内生産規模を拡大することで、売上高1,000億円を実現する。
長期成長ビジョン（目指す姿・ビジネスモデル） 外発的動機
メガトレンド
品質における国内最高水準の鉄骨工場と高い施工技術力で、鉄骨工事事業を拡大、
社会インフラを支える中核企業として、我が国の暮らしと産業の持続的な発展に貢献する • 老朽化対応や都市機能集約を背景とした都心及び地方都市での再開発
• 地政学リスクや海外依存リスクを背景とした我が国における経済安全保障の推進
①Ｓグレード認定の鉄骨工場の生産規模拡大、国内生産基盤強化
• 社会生活、企業活動におけるDX化やAI活用の加速
➢ 国内最高ランク「Ｓグレード」の国土交通省認定を受けている当社鉄骨工場において生
成長機会
産規模を拡大。旺盛な需要に対応すると共に国内生産基盤を強化する。
• 再開発による高層ビル、大型複合施設、大型物流施設等の建設需要拡大
②超高層・大規模建築など高い品質が要求される分野でのニッチトップ実現 • 半導体をはじめ特定重要物資等の国内生産回帰による先端工場建設需要拡大
➢ 鉄骨におけるSグレード品質と設計、製作、施工までの一貫体制を武器に超高層ビルや • 生成AIやクラウドサービスの急成長によるデータセンターの建設需要拡大
半導体工場、データセンター等の先端分野の鉄骨工事受注を拡大する。
⇒当社の高品質な鉄骨工事事業を中心にビジネスチャンスとなっている。
③持続可能な社会の実現に向けた新たな付加価値の提供 リスク・脅威
➢ 長野県における地域未来牽引企業として、高い成長性を実現。ヒトやサプライチェーンへ • 関税政策など通商政策や地政学リスクによる鋼材仕入価格の不安定化
の投資を行い、地域の産業や雇用に貢献。単なる生産設備の増強にとどまらず、技術 • 国内労働人口減少や技能労働者の高齢化による人材確保難
者育成や地域産業の基盤強化を視野に入れた成長戦略を描く。
内発的動機
会社全体の売上成長目標 2031年1月期までに売上高1,000億円を目指す • 国内最高水準であるSグレード認定ファブリケーターとして、国家レベルの信頼と責任
を背負っていると自負。当社の潜在力をさらに発揮し、我が国の社会的基盤の高度
単位:百万円 現状売上高 目標売上高 売上高 売上高 化に必要不可欠な超高層・大空間建築などの大規模建築における鉄骨工事の品
2025年1月期 2031年1月期 増加額 成長率
質と供給体制を高めたいという強い思いがある。
会社全体 61,887 100,000 38,113 61.6% • 創業から間もなく100年を迎える企業として、培ってきた信頼と責任を次世代につな
うち補助事業 25,572 50,000 24,428 95.5% ぐ使命感を持っている。地域未来牽引企業として選定されている立場からも、人材
育成や地域雇用の創出を通じて、地域と共に成長する持続可能な経営を実現を
会社全体の賃上げ目標 以下のとおり賃上げを実現する 目指している。2024年には次世代ものづくり人材の育成を目的に一般財団法人角
藤奨学財団を設立し、2025年4月には公益財団法人として認定。長野県内の学
期間 賃上げ率
生を対象とした奨学支援を本格的に展開予定。
直近事業年度～基準年度 CAGR：2.5%
• 技術革新や社会構造の変化が急速に進む中で、当社の事業展開においても従来
基準年度～事業化報告3年目 CAGR：5.0%
の延長線上では持続的な成長が困難になるという危機感を抱いてる。よりチャレンジ
ングな目標を掲げることで、変革へのモチベーションを高めたい。
当社の概要
当社は、鉄骨工事を中心に外装や基礎といった建築工事や土木工事、橋梁工事を手掛ける創業90年を超える専門工事業である。国立競技場や東京国際空港といったランド
マークから、北陸新幹線などのインフラ整備、商業施設、学校、病院、工場などの幅広いジャンルの建設に関わると共に、本社がある長野県等の地域に密着した工事から、全国でも
有数の規模のビッグプロジェクトまで年間1,500件の工事に携わっている。特に鉄骨工事においては、鉄骨の設計、製作、施工まで一貫して対応できる点、継続した研究開発による
高い技術力を保有している点が強み。全国2,140社のうちわずか18社(0.8%)のSグレード認定ファブリケーターとして、受注シェアは国内トップクラスである。</t>
  </si>
  <si>
    <t>【p.2】
株式会社角藤
.補助事業の概要
2
当社鉄骨工事事業の拡大においては、当社の有する高品質な鉄骨について供給力の増加及び大型化対応が必須となる。既
存工場の拡張による生産規模拡大やロボット等の省力化の設備投資を行い、労働生産性を飛躍的に向上させる。
建設市場における構造物の大型化・高層化・高精度化が進む中で、Sグレードファブリケーターとしてさらなる対応
補助事業の 事業費 2 億円
1
強化が求められている。当社が有するSグレード品質の競争優位性を維持・拡大するため、『生産能力の拡大』・
背景・目的 （補助額） （ 億円）
5.3
『鉄骨の大型化等の高付加価値化』・『省力化等の生産性向上』を同時に実現するための設備投資を実行する。
問題点・課題
① 鉄骨工事全体の需要・引合は旺盛なものの、工事に使用する鉄骨の生産能力が律速。
② 超高層や大空間建築等の大規模建築向けにはビルドボックス柱といった主要構造部材に
おいて大型化へのニーズに対応していく必要がある。
③ 鉄骨の生産工程においては、溶接工程を中心に職人による手作業への依存度が高い工
程があるなど、生産方式にも改善の余地がある。
設備投資の内容
① 生産規模拡大への対応として、日滝原工場を拡張すると共に同工場及び長野工場に生 生産規模拡大 省力化への対応
設備投資の 産設備及びクレーン等の大型マテハン設備を増強する。
内容 ② 大型化への対応として、回転機や一次加工機といった大型生産設備の導入及び20tク
レーンなどの重量級搬送設備を導入する。
③ 省力化への対応として、溶接ロボットや組立治具、電動台車等の作業やマテハンにおける
自動化設備も導入する。
課題解決による労働生産性の向上
① 生産規模拡大による短納期対応力強化、鉄骨工事受注件数の増加、全体収益の拡大
② ビルドボックス柱等の鉄骨製品の大型化対応による高付加価値化、受注単価の向上 大型化への対応
③ 労働集約的な工程における自動化・省力化による労働生産性向上及びコスト低減
2028年1月期 2031年1月期
項目
（基準年度） （基準年度＋３年後）
労働生産性 3,070万円
2,241万円
（単位：万円/人） （年平均上昇率＋11.1％）
従業員1人あたり給与支給総額 831万円
目標値 718万円
（単位：万円/人） （年平均上昇率＋5.0％）
役員１人あたり給与支給総額
-
-
（単位：万円/人） （年平均上昇率＋5.0％）
補助事業に係る従業員数
350人 380人
（単位：人）</t>
  </si>
  <si>
    <t>安藤パラケミー株式会社
1.長期成長ビジョン
化学品を取り扱う企業として組織の力で“パートナー”と未来をつなぐ「夢の架け橋」を目指す</t>
  </si>
  <si>
    <t>長期成長ビジョン（目指す姿・ビジネスモデル）
化学品を取り扱う企業として組織の力で“パートナー”と
未来をつなぐ「夢の架け橋」を目指す
• お客様の困り事「コト」の解決ができる化学品創造企業（商社
×製造×デジタルプラットフォーム）へと進化
単なる「モノ」売りに留まらず、顧客の課題に応えるソリューション提供
型企業となり、真に選ばれる専門商社を目指す
• カガクの力で日本のモノづくりを支えるTSP（テクニカルソリュー
ションパートナー）
世界に誇る先端技術を持つ日本のモノづくりは日本の重要な基幹
産業であり、世界中から原材料を安定的に調達し顧客供給
• 自走する組織作り
経営戦略や経営方針に則った上で、各従業員が課題を把握し、そ
れに取り組み、成果をあげられる組織になる</t>
  </si>
  <si>
    <t>外発的動機
• 国内化学品製造プラントの縮小や再編による海外原料ニーズ増
• 物流2024年問題による物流の制約やコスト高に伴う固定費削
減志向、慢性的な人手不足等の日本の社会的課題の顕在化
• 自然災害・ロシア ウクライナ紛争等による物流の混乱と、エネル
ギー関連・物流・包材含むコストの高騰
• 人員削減等に伴い、仕入先が従来担っていた物流・品質保証機
能等の外部委託ニーズ増
• 価格面のみならず、付加価値面も含めた顧客ニーズの増加
• 半導体や電子部品製造の国内回帰やAI社会の到来、EV化の加
速などのメガトレンド</t>
  </si>
  <si>
    <t>内発的動機
• 「感謝と誇り」を経営理念に、顧客や社員、その家族を含むパート
ナーから感謝され、従業員が誇れる会社となることが当社の使命
• 日本国内では自社倉庫に加え、40カ所以上の在庫物流拠点の
ネットワークを軸に、よりキメ細かな配送ができる営業体制の構築お
よび品質管理のできる組織作りを進めてきた
• 多岐に亘る情報網と知見を活用して、中国品だけではなく、世界
中の原材料の輸出入提案が可能なことも当社の強み
• 行田事業所の生産・ブレンド・保管・品質管理等の機能を活かし、
パートナーである取引先の機能(技術力)を掛け合わせた、高付加
価値サービスも拡大</t>
  </si>
  <si>
    <t>会社全体の売上成長目標（～31年）
• 売上高成長率10.4％
• 売上高増加額263億円
会社全体の賃上げ目標
• 1.2%（直近事業年度～基準年度）
• 7.0%（基準年度～事業化報告3年目）</t>
  </si>
  <si>
    <t>【p.1／売上成長目標】
会社全体の売上成長目標（～31年）
• 売上高成長率10.4％
• 売上高増加額263億円
会社全体の賃上げ目標
• 1.2%（直近事業年度～基準年度）
• 7.0%（基準年度～事業化報告3年目）</t>
  </si>
  <si>
    <t>【p.1】
安藤パラケミー株式会社
1.長期成長ビジョン
化学品を取り扱う企業として組織の力で“パートナー”と未来をつなぐ「夢の架け橋」を目指す
長期成長ビジョン（目指す姿・ビジネスモデル） 外発的動機
• 国内化学品製造プラントの縮小や再編による海外原料ニーズ増
化学品を取り扱う企業として組織の力で“パートナー”と
• 物流2024年問題による物流の制約やコスト高に伴う固定費削
未来をつなぐ「夢の架け橋」を目指す
減志向、慢性的な人手不足等の日本の社会的課題の顕在化
• お客様の困り事「コト」の解決ができる化学品創造企業（商社 • 自然災害・ロシア ウクライナ紛争等による物流の混乱と、エネル
×製造×デジタルプラットフォーム）へと進化
ギー関連・物流・包材含むコストの高騰
単なる「モノ」売りに留まらず、顧客の課題に応えるソリューション提供
• 人員削減等に伴い、仕入先が従来担っていた物流・品質保証機
型企業となり、真に選ばれる専門商社を目指す
能等の外部委託ニーズ増
• 価格面のみならず、付加価値面も含めた顧客ニーズの増加
• カガクの力で日本のモノづくりを支えるTSP（テクニカルソリュー
ションパートナー） • 半導体や電子部品製造の国内回帰やAI社会の到来、EV化の加
世界に誇る先端技術を持つ日本のモノづくりは日本の重要な基幹 速などのメガトレンド
産業であり、世界中から原材料を安定的に調達し顧客供給
内発的動機
• 自走する組織作り
経営戦略や経営方針に則った上で、各従業員が課題を把握し、そ • 「感謝と誇り」を経営理念に、顧客や社員、その家族を含むパート
ナーから感謝され、従業員が誇れる会社となることが当社の使命
れに取り組み、成果をあげられる組織になる
• 日本国内では自社倉庫に加え、40カ所以上の在庫物流拠点の
会社全体の売上成長目標（～31年） ネットワークを軸に、よりキメ細かな配送ができる営業体制の構築お
よび品質管理のできる組織作りを進めてきた
• 売上高成長率10.4％
• 売上高増加額263億円 • 多岐に亘る情報網と知見を活用して、中国品だけではなく、世界
会社全体の賃上げ目標 中の原材料の輸出入提案が可能なことも当社の強み
• 1.2%（直近事業年度～基準年度） • 行田事業所の生産・ブレンド・保管・品質管理等の機能を活かし、
• 7.0%（基準年度～事業化報告3年目） パートナーである取引先の機能(技術力)を掛け合わせた、高付加
価値サービスも拡大</t>
  </si>
  <si>
    <t>【p.2】
安藤パラケミー株式会社
.補助事業の概要
2
現在建設中の津事業所に製造棟を立ち上げ、西日本エリアにおける需要への対応力を強化すると共に、物流
効率化や高付加価値製品への注力、外部倉庫コスト削減による利益率向上を目指す
補助事業の • 西日本エリアの需要への対応力と倉庫・製造キャパシティの限界 事業費 40億円
背景・目的 • 物流2024年問題に伴う物流コストや外部倉庫コストの上昇による収益性低下 （補助額） （13億円）
津事業所の製造棟立ち上げによる高付加価値サービスの拡充
【具体的な投資内容】
① 現在設立中の津事業所に製造棟を建設
「安全」「品質」「効率」を運営の柱とし、「無駄」を徹底的に排除したシンプルで
効率的なオペレーションの確立
設備投資の ② 製造棟への環境に配慮した省人化システムの導入
内容 顧客要求に合致した高いコスト競争力と高付加価値商品、ならびに品質管
理を実現
【補助事業により見込まれる効果】
• 西日本エリアの取引拡大による売上増（ 30年度VC製品売上100％増）
• VC製品取扱増による利益率向上（全社粗利益率+3%の改善）
• 外部倉庫コスト削減（現状から約20％の物流費削減を見込む）
2027年度 2030年度
項目 （基準年度） （基準年度＋３年後）
安藤パラケミー ANPケミカルズ 安藤パラケミー ANPケミカルズ
労働生産性 3,010万円/人 569万円/人
1,385万円/人 476万円/人
（単位：万円/人） （年平均上昇率＋29.5％） （年平均上昇率＋6.1％）
目標値
従業員1人あたり給与支給総額 828万円/人 431万円/人
676万円/人 352万円/人
（単位：万円/人） （年平均上昇率＋7.0％） （年平均上昇率＋7.0％）
役員１人あたり給与支給総額 2,169万円/人 571万円/人
1,874万円/人 493万円/人
（単位：万円/人） （年平均上昇率＋5.0％） （年平均上昇率＋5.0％）
補助事業に係る従業員数
112人 38人 122人 56人
（単位：人）</t>
  </si>
  <si>
    <t>ベストアメニティ株式会社
1.長 期成長 ビジョン
未活用資源の有効活用やペット フード事業の拡大等により高い売上成 率と高収益を実現する。その利益を
長
賃金アップと追加投資の資金に活用することで、持続的な成 を目指す。地域経済への貢献や環境保全を促
長
進し、「食」を通じて社会に貢献する。</t>
  </si>
  <si>
    <t>外発的動機( 社会課題・顧客ニーズの変化とメ ガト レンド)
■ペット フードの増産依頼
・既存取引業者（ 大手ナチュラル系店舗、大手通信販売業者など）
から栄養価・安全性を評価していただき増産依頼
・ペットフード世界シェアを持つM社が、当社のフレッシュフードを知り、「生
肉を使用したレトルトの冷凍商品」の共同開発を要請
■食の安全性・高品質化の要請
・食の安全性や高品質化の要請は人間だけではなくペット にも広がって
いる。ペットフード市場が拡大する中で、ペットフードにも「ヒューマング
レード」の安全性や品質の要求が高まっている。
■社会的価値の創出（ 企業の使命・社会的役割の要請）
・地域のリーディングカンパニーとして環境問題や地域経済の波及など、
企業の使命や社会的役割を果たす必要がある。また、人間とペット の
食の企業として、食糧不足への対応が必要である。</t>
  </si>
  <si>
    <t>内発的動機（ 経営者の原体験と動機・ビジョン）
■企業の理念・健康へのこだわり
・3 5 年前に「雑穀米」という造語を作り、一粒の雑穀から創業
・当時、雑穀は「ゴミだ」と言われた中、自身の体調回復体験から、「皆
様の健康に貢献したい! 」との強い信念で様々な食品を開発・製造
（ 例） 雑穀米、雑穀米発酵調味液、雑穀米発酵甘酒・焼酎、調味料等
・阿蘇郡小国町で耕作放棄地を1 7 ヘクタール再生、自社農園で有機
栽培を実施
・全国1 ,5 0 0 軒以上の契約農家と協力関係を構築
■ペット フード事業
・1 9 9 9 年1 0 月からペット フードの製造を開始
・愛犬の皮膚炎改善体験をもとに雑穀米を使用した製品を開発
・九州産の生肉を使用し、人間と同じ基準の品質の原材料を使用</t>
  </si>
  <si>
    <t>【p.1／期成 ビジョン（ 目指す姿・ビジネスモデル）】
期成 ビジョン（ 目指す姿・ビジネスモデル）
長 長
■目指す姿（ To Be )
食を通じて、「人・動物・地球環境」に対して責任を果たし続ける
・持続的成 の実現
長
・新規雇用と持続的賃金アップにより地域経済に貢献
・原材料の安定的仕入による地元の農業・漁業者の収益に寄与
・関連する事業者（ サプライチェーン） 全ての収益向上への貢献
・未利用資源の活用による環境保全や食料不足への対応
・製造プロセスにおける環境負担軽減による環境保全に貢献
■ビジネスモデル( To Do )
1 .ニーズ・メガトレンドに合致した製品の開発 ⇒ 売上・利益アップ
①ペット事業の拡大
②高品質と健康志向の強化
2 .未利用資源の有効活用 ⇒ コスト削減、環境保全、経済波及
3 .ヒトとモノに対する有効な投資 ⇒ 成 の好循環を創出
長
収益の従業員への大幅な還元
①有効な設備投資と製造プロセスの改善
②賃金アップと情報共有化
③収益の従業員への大幅な還元と追加投資
会社全体の売上成 目標（ 2 0 3 4 年）
長
• 売上高成 率1 5 0 ％
長
• 売上高増加額1 4 5 億円
会社全体の賃上げ目標
• 1 .3 7 % （ 直近事業年度～基準年度）
• 3 .7 1% （ 基準年度～事業化報告3 年目）
【p.1／会社全体の売上成 目標（ 2 0 3 4 年）】
会社全体の売上成 目標（ 2 0 3 4 年）
長
• 売上高成 率1 5 0 ％
長
• 売上高増加額1 4 5 億円
会社全体の賃上げ目標
• 1 .3 7 % （ 直近事業年度～基準年度）
• 3 .7 1% （ 基準年度～事業化報告3 年目）
【p.2／設備投資の内容】
【設備投資の内容】
設備投資の内容
【p.2／設備投資の内容】
【設備投資の内容】 単
設備投資の内容 建物費</t>
  </si>
  <si>
    <t>【p.1】
ベストアメニティ株式会社
1.長 期成長 ビジョン
未活用資源の有効活用やペット フード事業の拡大等により高い売上成 率と高収益を実現する。その利益を
長
賃金アップと追加投資の資金に活用することで、持続的な成 を目指す。地域経済への貢献や環境保全を促
長
進し、「食」を通じて社会に貢献する。
長 期成 長 ビジョン（ 目指す姿・ビジネスモデル） 外発的動機( 社会課題・顧客ニーズの変化とメガト レンド)
■ペット フードの増産依頼
■目指す姿（ To Be)
・既存取引業者（ 大手ナチュラル系店舗、大手通信販売業者など）
食を通じて、「人・動物・地球環境」に対して責任を果たし続ける
から栄養価・安全性を評価していただき増産依頼
・持続的成長 の実現
・ペットフード世界シェアを持つM社が、当社のフレッシュフードを知り、「生
・新規雇用と持続的賃金アップにより地域経済に貢献
肉を使用したレトルトの冷凍商品」の共同開発を要請
・原材料の安定的仕入による地元の農業・漁業者の収益に寄与
■食の安全性・高品質化の要請
・関連する事業者（ サプライチェーン） 全ての収益向上への貢献
・食の安全性や高品質化の要請は人間だけではなくペットにも広がって
・未利用資源の活用による環境保全や食料不足への対応
いる。ペットフード市場が拡大する中で、ペットフードにも「ヒューマング
・製造プロセスにおける環境負担軽減による環境保全に貢献
レード」の安全性や品質の要求が高まっている。
■社会的価値の創出（ 企業の使命・社会的役割の要請）
■ビジネスモデル( ToDo )
・地域のリーディングカンパニーとして環境問題や地域経済の波及など、
1.ニーズ・メガトレンドに合致した製品の開発 ⇒ 売上・利益アップ
企業の使命や社会的役割を果たす必要がある。また、人間とペットの
①ペット事業の拡大
食の企業として、食糧不足への対応が必要である。
②高品質と健康志向の強化
2.未利用資源の有効活用 ⇒ コスト削減、環境保全、経済波及
内発的動機（ 経営者の原体験と動機・ビジョン）
3.ヒトとモノに対する有効な投資 ⇒ 成長 の好循環を創出 ■企業の理念・健康へのこだわり
収益の従業員への大幅な還元 ・35年前に「雑穀米」という造語を作り、一粒の雑穀から創業
①有効な設備投資と製造プロセスの改善 ・当時、雑穀は「ゴミだ」と言われた中、自身の体調回復体験から、「皆
②賃金アップと情報共有化 様の健康に貢献したい! 」との強い信念で様々な食品を開発・製造
③収益の従業員への大幅な還元と追加投資 （ 例） 雑穀米、雑穀米発酵調味液、雑穀米発酵甘酒・焼酎、調味料等
・阿蘇郡小国町で耕作放棄地を17ヘクタール再生、自社農園で有機
会社全体の売上成 目標（ 2 0 3 4 年） 栽培を実施
長
• 売上高成長 率150％ ・全国1,500軒以上の契約農家と協力関係を構築
■ペット フード事業
• 売上高増加額145億円
・1999年10月からペットフードの製造を開始
会社全体の賃上げ目標
・愛犬の皮膚炎改善体験をもとに雑穀米を使用した製品を開発
• 1.37% （ 直近事業年度～基準年度）
・九州産の生肉を使用し、人間と同じ基準の品質の原材料を使用
• 3.71% （ 基準年度～事業化報告3年目）
【p.2】
ベストアメニティ株式会社
補2 助事業の概要
当社のペットフードは高品質と特殊技術が評価され、大手メーカーから増産の要請を受けているが、キャパシティ
不足で対応できない状況にある。本事業では、工場及び製造ラインの増設と効率化を進め、生産力と労働生
産性の向上を図るとともに当社の強みである技術と高品質を活かしてペット フード事業の拡大を実現する。
当社のペットフードは、高品質であり評判が良く、特殊な製造技術で他社が真似できないことから、大手メー
カーから増産要請を受けているが、キャパシティ不足により断っている状況にある。本事業では、工場や製造ライン
億5 円1
補助事業の 事業費
の増設、自動化を進めることで、生産力を大幅にアップさせるとともに労働生産性の向上を図る。今後、品質・安 （ １1６7 億円）
背景・目的 （ 補助額）
全性への意識が高まる中で、当社のペットフードはさらなる優位性を確立できると考えている。本事業によりペット
フード事業を大幅に拡大し、当社の基幹事業へと発展させる方針である。
【設備投資の内容】 単位: 百万円 工場と物流センター機能の併設で効率化
（ 冷蔵保管完備で高品質保持と廃棄０ ）
設備投資の内容 建物費 機械装置費
第２工場・ライン増 ドライフード １６０ ８８２
設改修
第３工場・新築 ドライフード（キャットフード専用） １,０００ ８８２
第４工場・新築 フレッシュフード・レトルト等 ８００ ４００ 製造ライン
（ エクストルーダーで生産能力向上） 梱包ライン
設備投資の 物流センター・新築 第1～第3工場の材料・製品を一元管理 ８２７ － （ パレタイザー
合 計 ２,７８７ ２,１６４ で省力化）
内容
【労働生産性につながる点・効果】
■製造数量・売上金額の大幅アップ
梱包ライン
ドックフード 製造2,821トン 売上2,959百万円 → 製造6,110トン 売上7,300百万円 計量袋詰めライン
（ パレタイザーで省力化）
（ 自動計量・自動充填
キャットフード 製造 15トン 売上 26百万円 → 製造2,030トン 売上3,700百万円
で省力化）
合 計 製造2,836トン 売上2,985百万円 → 製造8,140トン 売上11,000百万円
■自動化による効率化・属人化の解消、高品質な製品製造・高度な品質管理、
ニーズに応じた機動的製品開発・多種多様な製造に対応可能
2027年度（ 28年3月期） 2030年度（ 31年3月期）
項目
（ 基準年度） （ 基準年度＋３ 年後）
労働生産性
２ ０ ３ ６ 万円
（ 単位: 万円/人） （
目標値 従業員1人あたり給与支給総額 ５ １ ６ 万円
（ 単位: 万円/人） （ 年平均上昇率＋８ ％）
役員１ 人あたり給与支給総額 - ７ ７ ５ -７ 万円
（ 単位: 万円/人） （ 年平均上昇率＋５ ％）
補助事業に係る従業員数
１ ２ ５ 人
（ 単位: 人）</t>
  </si>
  <si>
    <t>1.長期成長ビジョン 内発的動機・外発的動機 アイサービス株式会社</t>
  </si>
  <si>
    <t>＜長期成長ビジョン達成のポイント＞</t>
  </si>
  <si>
    <t>機・外発的動機
上前から宣伝されてきた2025年問
となった時代に必要とされる食事
外発的動機
 人件費高騰、人手不足による医療・福祉給食運営費の負担増
• 医療・福祉の厨房現場における調理員の人件費負担が年々
増加している。100床未満の病院では給食提供コストが公定
価格を上回っており赤字運営の病院が多数発生している。
• 既存の自前調理や委託会社による給食運営によりコストを抑え
た、安全な給食提供の仕組みの必要性が顕在化している。
 病院・施設厨房現場の人手不足
• 一日三食365日現場の医療・福祉の厨房では人手不足が深
刻化し、給食の質の向上以前に明日の給食の提供に不安を抱
いている現場が多い。厨房の省人化、無人化の仕組みの構築
が急がれる。
 高齢化の進行に伴い、高齢者施設のみならず、在宅高齢者への
食の安定供給の必要性拡大
• 現在、在宅高齢者向けの弁当配食企業も店舗運営の人材難
に直面しており、業績が頭打ち気味の傾向である。ネット通販を
始めとした、運送企業の配送機能を活用した冷凍弁当の供給
の市場が拡大する傾向が顕在化している。
 病院向けの給食は治療食対応が複雑で院外からの提供は困難
• 医療施設に向けて、日々変動する入院患者に応じた治療食中
心の給食を外部から共有する事は困難であり、委託金額が高
騰した現在でもなお、給食会社への委託率が高い。自前調理
が無理な場合、委託会社への給食委託以外に選択肢がない。</t>
  </si>
  <si>
    <t>ン 内発的動機・外発的動機
に10年以上前から宣伝されてきた2025年問
が高齢者」となった時代に必要とされる食事
内発的動機
 冷凍弁当ビジネスの黄金期に向けて体制を備える
• 現在の当社の主力商品であるパック商品は、ユーザーは調理不要
で、加熱後お皿に盛りつけて提供する。高齢者施設厨房では、盛
付の人員確保まで困難になる傾向があり、徐々に容器に盛りつけ
られた冷凍弁当の需要の高まりを感じている。
• 当社は現在1日15万食の製造実績と、ミキサー食、ムース食等
様々な形態の食事に対応できる技術を有しているが、現状の工場
では冷凍弁当製造力は限定的である。今後の冷凍弁当の需要
の高まりに備えて開発力と製造能力を強化したい。
 新事業軸の創設と幅広い消費者への商品提供
• 現在、当社工場製造部門では高齢者福祉施設向けの事業が主
軸となっているが、新たな事業軸の創設を計画している。
今後病院向け市場（推測：約7500億円/約1,500,000床/
年）に向けて療養食冷凍弁当販売にチャレンジしたい。
• 日々変動する入院患者に応じた治療食を外部から供給する事は
困難で同業者も手をこまねいている分野ではあるが、既に当社は
複数の大型急性期病院に冷凍弁当（常食、嚥下対応食）を
提供している実績を有している。
• 今後、新工場において治療食冷凍弁当の開発に着手し、各病院
で多額のコスト（人件費、光熱費）を支出している病院内調理
業務の代替能力を有して病院経営の効率化に貢献していく。</t>
  </si>
  <si>
    <t>会社全体の売上成長目標（2023～2030年度）
売上高成長率：233％
売上高増加額：＋123億円
会社全体の賃上げ目標（2023～2030年度）
2.82%
（直近事業年度～基準年度）
5.92%※従業員数の増加要因除き:9.66％
（基準年度～事業化報告3年目）
⇒従業員 6.00％、役員6.00％
売上成長目標（～2030年度）
219億円
増加額：123億円
94億円
24/6 工場建設の3年後</t>
  </si>
  <si>
    <t>【p.1／売上成長目標】
会社全体の売上成長目標（2023～2030年度）
売上高成長率：233％
売上高増加額：＋123億円
会社全体の賃上げ目標（2023～2030年度）
2.82%
（直近事業年度～基準年度）
5.92%※従業員数の増加要因除き:9.66％
（基準年度～事業化報告3年目）
⇒従業員 6.00％、役員6.00％
【p.1／高齢者施設向け冷凍弁当開発力・製造の強化】
高齢者施設向け冷凍弁当開発力・製造の強化
医療・福祉の給食会社としての生い立ちを持ち、給食現場運営のノウハウを
以って、使い勝手の良い製品企画ができる強みを磨く。及び既存工場運営
で培った開発力・製造力を最大限生かし、変動する市場の要求にタイムリー
に応える体制を強化する。
【p.1／売上成長目標】
売上成長目標（～2030年度）
219億円
増加額：123億円
94億円
24/6 工場建設の3年後
【p.1／原料仕入から商品配送まで独自内製分野の強化】
原料仕入から商品配送まで独自内製分野の強化
現在実施している主要原料の海外と直接貿易仕入、製造した商品の仕分
けと関東・関西地区までの幹線便配送等の自社内製分野において、今後
更なる物量の増加に伴い、質・コスト・スピード共に優位性を磨く。
【p.1／従業員への還元】
従業員への還元
自社の成長で得た利益は、積極的に従業員に還元する。賃上げだけでなく
従業員(の両親)向け福祉施設の整備計画を進める事により、従業員の収
入増加に加えて支出抑制の支援体制を企業として構築する。</t>
  </si>
  <si>
    <t>【p.1】
1.長期成長ビジョン アイサービス株式会社
設備投資、製造能力拡張によって、現業の高齢者福祉向け商材の開発・製造・販売において強みを更に強化し
て他社の追随を許さない質・価格ともに圧倒的な差別化を図る
目 標
＜長期成長ビジョン達成のポイント＞
会社全体の売上成長目標（2023～2030年度）
売上高成長率：233％
売上高増加額：＋123億円
高齢者施設向け冷凍弁当開発力・製造の強化 会社全体の賃上げ目標（2023～2030年度）
2.82%（直近事業年度～基準年度）
医療・福祉の給食会社としての生い立ちを持ち、給食現場運営のノウハウを 5.92%※従業員数の増加要因除き:9.66％
ポイント
（基準年度～事業化報告3年目）
以って、使い勝手の良い製品企画ができる強みを磨く。及び既存工場運営
１ ⇒従業員 6.00％、役員6.00％
で培った開発力・製造力を最大限生かし、変動する市場の要求にタイムリー
に応える体制を強化する。
売上成長目標（～2030年度）
219億円
増加額：123億円
原料仕入から商品配送まで独自内製分野の強化
94億円
ポイント 現在実施している主要原料の海外と直接貿易仕入、製造した商品の仕分
2
けと関東・関西地区までの幹線便配送等の自社内製分野において、今後
24/6 工場建設の3年後
更なる物量の増加に伴い、質・コスト・スピード共に優位性を磨く。
会社全体の賃上げ目標
従業員への還元
6％
ポイント 自社の成長で得た利益は、積極的に従業員に還元する。賃上げだけでなく
3
従業員(の両親)向け福祉施設の整備計画を進める事により、従業員の収
3％
入増加に加えて支出抑制の支援体制を企業として構築する。
24/6 基準年度 工場建設後3年間
※一人当たり給与支給総額の伸び率 人数の増加によりずれあり
【p.2】
1.長期成長ビジョン 内発的動機・外発的動機 アイサービス株式会社
今年はまさに10年以上前から宣伝されてきた2025年問題の真っ只中
「4人に1人が高齢者」となった時代に必要とされる食事サービスを提供したい
外発的動機 内発的動機
 人件費高騰、人手不足による医療・福祉給食運営費の負担増  冷凍弁当ビジネスの黄金期に向けて体制を備える
• 医療・福祉の厨房現場における調理員の人件費負担が年々 • 現在の当社の主力商品であるパック商品は、ユーザーは調理不要
増加している。100床未満の病院では給食提供コストが公定 で、加熱後お皿に盛りつけて提供する。高齢者施設厨房では、盛
価格を上回っており赤字運営の病院が多数発生している。 付の人員確保まで困難になる傾向があり、徐々に容器に盛りつけ
られた冷凍弁当の需要の高まりを感じている。
• 既存の自前調理や委託会社による給食運営によりコストを抑え
た、安全な給食提供の仕組みの必要性が顕在化している。 • 当社は現在1日15万食の製造実績と、ミキサー食、ムース食等
様々な形態の食事に対応できる技術を有しているが、現状の工場
 病院・施設厨房現場の人手不足 では冷凍弁当製造力は限定的である。今後の冷凍弁当の需要
の高まりに備えて開発力と製造能力を強化したい。
• 一日三食365日現場の医療・福祉の厨房では人手不足が深
刻化し、給食の質の向上以前に明日の給食の提供に不安を抱
 新事業軸の創設と幅広い消費者への商品提供
いている現場が多い。厨房の省人化、無人化の仕組みの構築
が急がれる。 • 現在、当社工場製造部門では高齢者福祉施設向けの事業が主
軸となっているが、新たな事業軸の創設を計画している。
 高齢化の進行に伴い、高齢者施設のみならず、在宅高齢者への 今後病院向け市場（推測：約7500億円/約1,500,000床/
食の安定供給の必要性拡大 年）に向けて療養食冷凍弁当販売にチャレンジしたい。
• 現在、在宅高齢者向けの弁当配食企業も店舗運営の人材難 • 日々変動する入院患者に応じた治療食を外部から供給する事は
に直面しており、業績が頭打ち気味の傾向である。ネット通販を 困難で同業者も手をこまねいている分野ではあるが、既に当社は
始めとした、運送企業の配送機能を活用した冷凍弁当の供給 複数の大型急性期病院に冷凍弁当（常食、嚥下対応食）を
の市場が拡大する傾向が顕在化している。 提供している実績を有している。
 病院向けの給食は治療食対応が複雑で院外からの提供は困難 • 今後、新工場において治療食冷凍弁当の開発に着手し、各病院
で多額のコスト（人件費、光熱費）を支出している病院内調理
• 医療施設に向けて、日々変動する入院患者に応じた治療食中
業務の代替能力を有して病院経営の効率化に貢献していく。
心の給食を外部から共有する事は困難であり、委託金額が高
騰した現在でもなお、給食会社への委託率が高い。自前調理
が無理な場合、委託会社への給食委託以外に選択肢がない。</t>
  </si>
  <si>
    <t>【p.3】
.補助事業の概要 アイサービス株式会社
2
原料保管能力・製造能力・製造機能・商品仕分け能力・製品保管能力を向上させ効率を上げる
既存事業の拡大により従業員への賃上げを実現し、更に新規事業へのステップアップを図る
補助事業の 事業費 億円
82
• 今後需要が伸びる冷凍弁当事業の拡大と業務効率化による事業拡大を目指す。
背景・目的 （補助額） （2 億円）
1
• 冷凍弁当専用工場として、岡山県笠岡市に工場を新設。更なる増産でコスト効率化と事業拡大を目指す。
• 新たに米飯・玉子商品製造を開始し、エンドユーザーでの利便性向上とたんぱく質摂取強化等、新たな付加価値を生み出す。
• 自動倉庫導入により原料・製品の冷凍保管能力を大幅拡大し、入出荷業務と国内物流コストを効率化する。
補助事業イメージ
設備投資の • 【主な設備投資内容】（税抜）
内容 ・工場建屋：44.07億円
・自動倉庫：3.0億円
・ピッキング設備：1.2億円
※そのほか製造設備を多数導入。
2027年度 2030年度
項目
（基準年度） （基準年度＋３年後）
労働生産性 660万円
416万円
（単位：万円/人） （年平均上昇率＋16.7％）
従業員1人あたり給与支給総額 374万円
目標値
314万円
（単位：万円/人） （年平均上昇率＋6.0％）
役員１人あたり給与支給総額 -
（単位：万円/人） - （年平均成長率＋6.0％）
補助事業に係る従業員数
685人 795人
（単位：人）</t>
  </si>
  <si>
    <t>株式会社シード
1.長期成長ビジョン
無限の新分野に種をまき、 結実した「成果」を収穫し続けることで、多様な「みえる」喜びを創造できる社会の実
現を目指す</t>
  </si>
  <si>
    <t>長期成長ビジョン（目指す姿・ビジネスモデル）
「種子」に因んだ社名を持つ当社は、無限の新分野に種をまき、 結
実した「成果」を収穫し続けることで、多様な「みえる」喜びを創造で
きる社会の実現を目指す
• お客様の「みえる」に関するニーズに応え、多様なソリューションと付
加価値を提供
• 「ジャパンクオリティ」に誇りを持ち、すべての製品を高品質かつ安
定的に供給
• 既存技術の継承と新技術の探求、専門スキルの研鑽により、自ら
を高め続ける
• ステークホルダーとの多様な接点を生み出し、対話を通じた満足
度の向上と信頼構築に努める</t>
  </si>
  <si>
    <t>外発的動機
• 国内のコンタクトレンズ市場は近視人口の増加による市場の拡大
が続いており、2030年頃までは成長を続ける見通しである
• 海外のコンタクトレンズ市場も成長を続けており、特に東南アジアな
ど経済成長率の高い地域での市場拡大が見込まれる
• 円安の状況下では、国内製造品を輸出するメリットが大きく、今後
の輸出拡大にチャンスがある
• 近視進行抑制効果などコンタクトレンズに新たな価値を付加させる
ことで需要の拡大が見込まれる</t>
  </si>
  <si>
    <t>内発的動機
• 世界市場はメーカー出荷額ベースで約１兆円以上と見られ、その
中で市場に影響力を持ち、変化の速い市場で生き残る為には業
容の拡大が必要
• 中長期的には連結売上高500億円を目指す
• アジアにおいても、月産1億枚程度の製造力が標準となっている状
況から、当社も設備の増設を行い世界で戦うための生産能力を有
する必要がある
• アフターコロナの需要増加に対して当社の商品供給力（生産能
力）が不足しており、国内外の受注に対してバックオーダーでの対
応をせざるを得ない状況から、機会損失が発生している</t>
  </si>
  <si>
    <t>会社全体の売上成長目標（～31年）
• 売上高成長率6.0％
• 売上高増加額151億円
会社全体の賃上げ目標
• 3.8%（直近事業年度～基準年度）
• 5.5%（基準年度～事業化報告3年目）</t>
  </si>
  <si>
    <t>【p.1／売上成長目標】
会社全体の売上成長目標（～31年）
• 売上高成長率6.0％
• 売上高増加額151億円
会社全体の賃上げ目標
• 3.8%（直近事業年度～基準年度）
• 5.5%（基準年度～事業化報告3年目）</t>
  </si>
  <si>
    <t>【p.1】
株式会社シード
1.長期成長ビジョン
無限の新分野に種をまき、 結実した「成果」を収穫し続けることで、多様な「みえる」喜びを創造できる社会の実
現を目指す
長期成長ビジョン（目指す姿・ビジネスモデル） 外発的動機
• 国内のコンタクトレンズ市場は近視人口の増加による市場の拡大
「種子」に因んだ社名を持つ当社は、無限の新分野に種をまき、 結
が続いており、2030年頃までは成長を続ける見通しである
実した「成果」を収穫し続けることで、多様な「みえる」喜びを創造で
きる社会の実現を目指す • 海外のコンタクトレンズ市場も成長を続けており、特に東南アジアな
ど経済成長率の高い地域での市場拡大が見込まれる
• 円安の状況下では、国内製造品を輸出するメリットが大きく、今後
• お客様の「みえる」に関するニーズに応え、多様なソリューションと付
の輸出拡大にチャンスがある
加価値を提供
• 近視進行抑制効果などコンタクトレンズに新たな価値を付加させる
• 「ジャパンクオリティ」に誇りを持ち、すべての製品を高品質かつ安
ことで需要の拡大が見込まれる
定的に供給
• 既存技術の継承と新技術の探求、専門スキルの研鑽により、自ら
を高め続ける
内発的動機
• ステークホルダーとの多様な接点を生み出し、対話を通じた満足
度の向上と信頼構築に努める • 世界市場はメーカー出荷額ベースで約１兆円以上と見られ、その
中で市場に影響力を持ち、変化の速い市場で生き残る為には業
容の拡大が必要
• 中長期的には連結売上高500億円を目指す
会社全体の売上成長目標（～31年）
• アジアにおいても、月産1億枚程度の製造力が標準となっている状
• 売上高成長率6.0％ 況から、当社も設備の増設を行い世界で戦うための生産能力を有
• 売上高増加額151億円 する必要がある
会社全体の賃上げ目標
• アフターコロナの需要増加に対して当社の商品供給力（生産能
• 3.8%（直近事業年度～基準年度） 力）が不足しており、国内外の受注に対してバックオーダーでの対
• 5.5%（基準年度～事業化報告3年目） 応をせざるを得ない状況から、機会損失が発生している</t>
  </si>
  <si>
    <t>【p.2】
株式会社シード
.補助事業の概要
2
国内外市場での高成長を実現するため、鴻巣研究所4号棟の建設による生産能力拡張と共に、省人化設備
の導入による生産性向上と3号棟にて新素材商品の生産開始による売上増加を目指す
補助事業の • 需要が供給を上回る状況が継続しており、国内外の販売機会損失が発生 事業費 億円
127
背景・目的 • 顧客ニーズの多様化とコスト高・人手不足等の外部圧力 （補助額） （4 億円）
1
鴻巣研究所4号棟の建設による生産能力増強
【具体的な投資内容】
① コンタクトレンズ製造工場建設： 159.4億円（補助金対象外）
生産能力が約1400万枚/月増加
② コンタクトレンズ製造設備導入：130億円（補助金対象）
設備投資の
生産能力が約1000万枚/月増加、省人化による生産性向上と新素材商品
内容
による売上向上
【補助事業により見込まれる効果】
• 生産能力増・顧客ニーズへの対応強化に伴う販売増による売上増
（30年度までに50％増を見込む）
• 生産性向上に伴う原価低減による利益率向上
（全社粗利益率+6%の改善）
2027年度 2030年度
項目 （基準年度） （基準年度＋３年後）
埼玉 東京 埼玉 東京
労働生産性 1,385万円/人
1,190万円/人
（単位：万円/人） （年平均上昇率＋5.2％）
目標値
従業員1人あたり給与支給総額 589万円/人 666万円/人
502万円/人 567万円/人
（単位：万円/人） （年平均上昇率＋5.5％） （年平均上昇率＋5.5％）
役員１人あたり給与支給総額 828万円/人 828万円/人
716万円/人 716万円/人
（単位：万円/人） （年平均上昇率＋5.0％） （年平均上昇率＋5.0％）
補助事業に係る従業員数
829人 341人 864人 341人
（単位：人）</t>
  </si>
  <si>
    <t>河淳株式会社
1.⾧期成⾧ビジョン
限定的な需要の商品でも、市場拡大をすることで 大きな売上を目指すことができます。
河淳スタイルの課題解決を 世の中に広げるために、私たちは絶え間ない拡大と成⾧を遂げる必要があります。
“Japan Concept &amp; Japan Design” 日本発の ものづくりイノベーションで世界の課題を解決します。
× × ×
顧客の声を迅速に反映する企業DNA アイテムの深さ 洗練されたデザイン 河淳クオリティの品質管理</t>
  </si>
  <si>
    <t>⾧期成⾧ビジョン（目指す姿・ビジネスモデル）
世界に誇る「店舗ソリューション企業＆ライフスタイル専門店」へ
顧客の声を迅速に反映する企業DNAと、高品質・デザイン性を兼ね備えた
商品開発を深化させ、世界の顧客ニーズに応え、持続的な成⾧を目指します。
①KEYUCAブランドの全国展開
首都圏、関西地域が中心のKEYUCAを全都道府県に出店を目指します。
千店を超える最大手競合に対し当社は102店。一層成⾧可能な市場です。
②世界展開の推進
東アジアを中心に事業を展開、欧米市場にも進出します。現地の文化や消費
者ニーズに合わせた商品を開発し、グローバル市場でも高い評価を狙います。
③環境・地域貢献・国内生産の強化
環境保護や地域社会への貢献を推進し、持続可能な活動を展開します。
地元企業との連携を強化し地域経済に寄与します。年々、国内生産比率を
向上させ現在は40％を占めますが、さらに国内生産を進めていきます。</t>
  </si>
  <si>
    <t>外発的動機
顧客ニーズの多様化とライフスタイルの変化、複雑性
高品質低価格を売りにした商品が市場の主流となっている一方で、顧客のニーズは
多様化しています。消費者は単に価格だけでなく、品質、デザイン、そしてブランドの
背景にあるストーリーや価値を重視する傾向が強まっています。さらに、良いものを⾧く
使い続けるサステナブルなライフスタイルが広がり、自分独自のライフスタイルを築くことに
対する関心も高まっています。このような変化に伴い、消費者は個々のニーズに合った
商品を求め、パーソナライズされた体験を重視するようになっています。また、環境意識
の高まりやエシカル消費の拡大も無視できない要因として存在しています。これらの
外発的動機に対応するためには、多様なニーズに応じた柔軟な商品開発と、消費者
の価値観に寄り添った企業としての姿勢が求められています。</t>
  </si>
  <si>
    <t>内発的動機
顧客の声に寄り添い続ける信念。その想いは企業DNAへ
“顧客の声を重視し、常に寄り添い、課題解決に努めること”が、当社の信念です。
過去の経験から様々な海外の文化、商品に触れた結果、日本クオリティの商品と
洗練されたデザインを融合させることを目指しています。地産地消の理念を持ち、国内
製品の増加に努める一方で、海外にも目を向け、ベトナムに自社工場を設立するなど、
世界に貢献できる体制を整えています。顧客に寄り添い、ニーズを製品化するDNAは
企業文化として受け継がれており、現在では27万以上のアイテムを取り扱っています。
企業の成⾧は社会貢献と密接に結びついており、よりニッチな顧客のニーズに応えるた
め、1人1人のライフスタイルに寄り添うためには、絶え間ない成⾧が必要です。この信
念は企業全体に浸透し、持続可能な成⾧を追求する強力な原動力となっています。</t>
  </si>
  <si>
    <t>会社全体の売上成⾧目標（～2030年）
• 売上高成⾧率 +39.6％
• 売上高増加額 304億円
会社全体の賃上げ目標
• 2.7%（直近事業年度～基準年度）
• 7.4%（基準年度～事業化報告3年目）</t>
  </si>
  <si>
    <t>【p.1／売上成長目標】
会社全体の売上成⾧目標（～2030年）
• 売上高成⾧率 +39.6％
• 売上高増加額 304億円
会社全体の賃上げ目標
• 2.7%（直近事業年度～基準年度）
• 7.4%（基準年度～事業化報告3年目）
【p.2／設備投資の内容】
設備投資の内容
■新倉庫【 KAWAJUN今市テクニカル Seven 】の建設
栃木県日光市に延床約23,000㎡の鉄骨造平屋倉庫を新設し
置で入出荷を円滑化。地域企業への発注を積極的に行い、雇用
■物流自動化機器の導入
GTPロボット、AGV、ラックフォーク、自動仕分などを導入し、歩行
処理能力は約2.3倍向上し、補充・搬送工数を50％以上削減
■ソフトウェアと外部専門家の活用
自動化機器と仕入情報、販売情報を連携させた統合ダッシュボー
グレーター、物流コンサルタントなど専門家が導入から継続改善ま
自動化による省力化指数 0.87（87％削減）</t>
  </si>
  <si>
    <t>【p.1】
河淳株式会社
1.⾧期成⾧ビジョン
限定的な需要の商品でも、市場拡大をすることで 大きな売上を目指すことができます。
河淳スタイルの課題解決を 世の中に広げるために、私たちは絶え間ない拡大と成⾧を遂げる必要があります。
“Japan Concept &amp; Japan Design” 日本発の ものづくりイノベーションで世界の課題を解決します。
× × ×
顧客の声を迅速に反映する企業DNA アイテムの深さ 洗練されたデザイン 河淳クオリティの品質管理
⾧期成⾧ビジョン（目指す姿・ビジネスモデル） 外発的動機
顧客ニーズの多様化とライフスタイルの変化、複雑性
世界に誇る「店舗ソリューション企業＆ライフスタイル専門店」へ
高品質低価格を売りにした商品が市場の主流となっている一方で、顧客のニーズは
多様化しています。消費者は単に価格だけでなく、品質、デザイン、そしてブランドの
顧客の声を迅速に反映する企業DNAと、高品質・デザイン性を兼ね備えた
背景にあるストーリーや価値を重視する傾向が強まっています。さらに、良いものを⾧く
商品開発を深化させ、世界の顧客ニーズに応え、持続的な成⾧を目指します。
使い続けるサステナブルなライフスタイルが広がり、自分独自のライフスタイルを築くことに
対する関心も高まっています。このような変化に伴い、消費者は個々のニーズに合った
①KEYUCAブランドの全国展開
商品を求め、パーソナライズされた体験を重視するようになっています。また、環境意識
首都圏、関西地域が中心のKEYUCAを全都道府県に出店を目指します。
の高まりやエシカル消費の拡大も無視できない要因として存在しています。これらの
千店を超える最大手競合に対し当社は102店。一層成⾧可能な市場です。
外発的動機に対応するためには、多様なニーズに応じた柔軟な商品開発と、消費者
の価値観に寄り添った企業としての姿勢が求められています。
②世界展開の推進
東アジアを中心に事業を展開、欧米市場にも進出します。現地の文化や消費
者ニーズに合わせた商品を開発し、グローバル市場でも高い評価を狙います。 内発的動機
顧客の声に寄り添い続ける信念。その想いは企業DNAへ
③環境・地域貢献・国内生産の強化
“顧客の声を重視し、常に寄り添い、課題解決に努めること”が、当社の信念です。
環境保護や地域社会への貢献を推進し、持続可能な活動を展開します。
地元企業との連携を強化し地域経済に寄与します。年々、国内生産比率を
過去の経験から様々な海外の文化、商品に触れた結果、日本クオリティの商品と
向上させ現在は40％を占めますが、さらに国内生産を進めていきます。
洗練されたデザインを融合させることを目指しています。地産地消の理念を持ち、国内
製品の増加に努める一方で、海外にも目を向け、ベトナムに自社工場を設立するなど、
会社全体の売上成⾧目標（～2030年）
世界に貢献できる体制を整えています。顧客に寄り添い、ニーズを製品化するDNAは
• 売上高成⾧率 +39.6％
企業文化として受け継がれており、現在では27万以上のアイテムを取り扱っています。
• 売上高増加額 304億円
会社全体の賃上げ目標
企業の成⾧は社会貢献と密接に結びついており、よりニッチな顧客のニーズに応えるた
• 2.7%（直近事業年度～基準年度）
め、1人1人のライフスタイルに寄り添うためには、絶え間ない成⾧が必要です。この信
• 7.4%（基準年度～事業化報告3年目）
念は企業全体に浸透し、持続可能な成⾧を追求する強力な原動力となっています。</t>
  </si>
  <si>
    <t>【p.2】
河淳株式会社
2.補助事業の概要
栃木県日光市に新たな物流拠点 【 KAWAJUN今市テクニカル Seven 】を設立し、
自動化技術を積極的に導入にする事により生産性向上と地域経済の活性化を図ります。
本補助事業は、栃木県日光市における当社物流拠点の新設を通じて、全国への店舗展開によ
補助事業の
る雇用創出と地域の経済活性化を目指しています。特に、現行の物流倉庫の能力を大幅に向上
事業費
85億円
させるために、最新の自動化技術を導入することで、作業効率を高め従業員の労働環境を改善し
背景・目的 (補助額) (23億円)
ます。労働生産性及び在庫回転効率の向上を図りながら全国への店舗拡大と売上増加を推進
させる事でひいては地域の企業や住民に対しても波及効果をもたらすことを達成します。
設備投資の内容
■新倉庫【 KAWAJUN今市テクニカル Seven 】の建設
栃木県日光市に延床約23,000㎡の鉄骨造平屋倉庫を新設します。従来比1.5倍の収容力と高い耐震性を備え、ゆとりのトラックバース配
置で入出荷を円滑化。地域企業への発注を積極的に行い、雇用創出と地元経済の活性化にも寄与します。
設備投資の
■物流自動化機器の導入
内容
GTPロボット、AGV、ラックフォーク、自動仕分などを導入し、歩行を伴わないピッキングと高密度収納を実現。これにより保管効率は最大40％、
処理能力は約2.3倍向上し、補充・搬送工数を50％以上削減します。
■ソフトウェアと外部専門家の活用
自動化機器と仕入情報、販売情報を連携させた統合ダッシュボードで在庫・設備稼働・KPIをリアルタイム可視化。さらにPMO、システムインテ
グレーター、物流コンサルタントなど専門家が導入から継続改善まで伴走し、投資効果の最大化を図ります。
自動化による省力化指数 0.87（87％削減） 本事業における目標値
2027年度 2030年度
項目
（基準年度） （基準年度＋３年後）
労働生産性 5,771
3,252
（単位:万円/人） (年平均上昇率21.1%)
従業員1人あたり
351
目標値 給与支給総額 295
(年平均上昇率6.0%)
（単位:万円/人）
役員１人あたり
-
給与支給総額 -
（単位:万円/人）
(年平均上昇率17.0%)
補助事業に係る従業員数
62 72
（単位:人）</t>
  </si>
  <si>
    <t>株式会社丸杉
1.長期成長ビジョン
複雑・多品種加工への対応と省力化を両立する「高度加工対応型流通モデル」へ進化。
業界の人材・資金課題を補完し、社会・顧客・従業員すべてに貢献する持続的成長を目指す。</t>
  </si>
  <si>
    <t>長期成長ビジョン（目指す姿・ビジネスモデル）
流通加工の強みを活かし、複雑・多品種鋼材への対応を可能とする「高度加工対応型流通モデ
ル」への進化を進めている。加工にかかる設備投資・人材育成が困難な鉄骨加工業者に代わり、当
社がその役割を担うことで、業界全体の持続的発展と構造課題の解決に貢献する。
社会課題 従業員への
の解決 顧客ニーズ 還元
への対応
 鋼材供給力を強化し、国土  生産性向上による利益を
強靭化災害復旧・インフラ再  複雑・多品種加工を当社が 年次昇給や職場環境改
生に貢献 代行することで、顧客の資 善に再投資
 熟練技術の機械化・デジタル 金・人材負担を軽減  地域雇用の創出と若手育
化によって、技術継承の課題  一括納品・短納期・高精度 成を進め、持続可能な人
を解消 加工により、顧客の本業集中 材戦略を実現
を支援</t>
  </si>
  <si>
    <t>外発的動機
• 鉄骨加工業者の深刻な人材不足と後継者不
在により、加工代替ニーズが急増
• 鋼材価格の高騰により、付加価値ある加工で
の収益確保が急務
• 建設市場の短納期化・複雑化により、業界の
中間工程を担う機能が求められている</t>
  </si>
  <si>
    <t>内発的動機
• 創業100年超の歴史の中で顧客と共に歩んで
きた使命感
• 自社が担うことで顧客の課題を解決し、恩返し
の気持ちで産業を支えたい
• 社員への還元と誇りある職場づくりへの意志
• 社会インフラ維持・震災復興を通じた社会的責
任の遂行</t>
  </si>
  <si>
    <t>会社全体の売上成長目標（～2030年）
• 売上高目標 1,693億円
• 会社全体の売上高成長率 49.4％
• 会社全体の売上高増加額 857億円
会社全体の賃上げ目標
• 1.89％（直近事業年度～基準年度）
• 6.00％（基準年度～事業家報告３年目）</t>
  </si>
  <si>
    <t>【p.1／売上成長目標】
会社全体の売上成長目標（～2030年）
• 売上高目標 1,693億円
• 会社全体の売上高成長率 49.4％
• 会社全体の売上高増加額 857億円
会社全体の賃上げ目標
• 1.89％（直近事業年度～基準年度）
• 6.00％（基準年度～事業家報告３年目）</t>
  </si>
  <si>
    <t>【p.1】
株式会社丸杉
1.長期成長ビジョン
複雑・多品種加工への対応と省力化を両立する「高度加工対応型流通モデル」へ進化。
業界の人材・資金課題を補完し、社会・顧客・従業員すべてに貢献する持続的成長を目指す。
長期成長ビジョン（目指す姿・ビジネスモデル）
流通加工の強みを活かし、複雑・多品種鋼材への対応を可能とする「高度加工対応型流通モデ
ル」への進化を進めている。加工にかかる設備投資・人材育成が困難な鉄骨加工業者に代わり、当 外発的動機
社がその役割を担うことで、業界全体の持続的発展と構造課題の解決に貢献する。 • 鉄骨加工業者の深刻な人材不足と後継者不
在により、加工代替ニーズが急増
• 鋼材価格の高騰により、付加価値ある加工で
の収益確保が急務
社会課題 従業員への
• 建設市場の短納期化・複雑化により、業界の
の解決 顧客ニーズ 還元
中間工程を担う機能が求められている
への対応
 鋼材供給力を強化し、国土  生産性向上による利益を
強靭化災害復旧・インフラ再  複雑・多品種加工を当社が 年次昇給や職場環境改
生に貢献 代行することで、顧客の資 善に再投資
内発的動機
 熟練技術の機械化・デジタル 金・人材負担を軽減  地域雇用の創出と若手育
• 創業100年超の歴史の中で顧客と共に歩んで
化によって、技術継承の課題  一括納品・短納期・高精度 成を進め、持続可能な人
きた使命感
を解消 加工により、顧客の本業集中 材戦略を実現
を支援
• 自社が担うことで顧客の課題を解決し、恩返し
会社全体の売上成長目標（～2030年） の気持ちで産業を支えたい
• 売上高目標 1,693億円
• 社員への還元と誇りある職場づくりへの意志
• 会社全体の売上高成長率 49.4％
• 会社全体の売上高増加額 857億円 • 社会インフラ維持・震災復興を通じた社会的責
会社全体の賃上げ目標 任の遂行
• 1.89％（直近事業年度～基準年度）
• 6.00％（基準年度～事業家報告３年目）</t>
  </si>
  <si>
    <t>【p.2】
株式会社丸杉
2.補助事業の概要
鋼材事業の生産性・収益性・持続性を高めるための中核的な設備・DX投資を実施。
全拠点の機能強化と地域連携を通じて、構造的な競争力の底上げを図る。
• 人手不足・高齢化・外注加工依存など、鋼材業界が抱える構造課題が深刻化
補助事業の • 自社の既存資産・拠点を活かし、高度加工・省力化・脱炭素・安全性・地域連携を備えた“次世代鋼材 事業費 12億円
背景・目的 流通モデル”を構築 （補助額） （3.9億円）
• 加工対応力の強化、物流DX、安全性向上、GX対応を同時に実現し、全社成長をけん引する基盤とする
■ハードウェア 約17.1億円（複合加工機、一次加工ライン（津工場）、建屋改修、IoTセンサー、アンドン、EMS・太陽光・蓄電設備）
■ソフトウェア約1.6億円（WMS、AIアルゴリズム、危険行動予測AI、CO₂モニタリング制御システム、地域連携マッチングシステム）
【投資対象の概要】
• 加工製造モデル拠点（津・長浜・長野）複合加工機を導入・建屋改修→ 高付加価値な内製加工体制を整備し、生産能力1.5倍に
• 物流最適化拠点（関東・稲沢・産業機器開発部）にWMS・AI分析を導入 → 作業動線・歩数の定量把握により、物流効率を向上
• IoT・GX・地域連携拠点（営業所中心の13拠点）
設備投資の ① IoT・AIセンサー／アンドン → 労災予防・稼働率向上
内容 ② EMS・太陽光・蓄電池 → CO₂削減・エネルギー自給
③ 地域連携マッチングシステム → 近隣鉄工所と加工・物流リソースを相互活用し、CO₂排出・機会損失を低減
【想定される効果】
• 内製化・物流最適化・省力化を通じて、属人性を排除し、労働生産性を19.96％向上
• 複雑加工の内製化により、粗利率が改善し、品質の安定にも貢献
• 生産性の向上による利益は、年6.14％の賃上げ原資として従業員に還元
2027年度 2030年度
項目
（基準年度） （基準年度＋３年後）
労働生産性 2,975万円/人
1,723万円/人
（単位：万円/人） （年平均上昇率＋20.0%）
従業員1人あたり給与支給総額 560万円/人
目標値 469万円/人
（単位：万円/人） （年平均上昇率＋6.1％）
役員１人あたり給与支給総額
- -
（単位：万円/人）
補助事業に係る従業員数
161人 167人
（単位：人）</t>
  </si>
  <si>
    <t>株式会社ヤマイシ
1.長期成長ビジョン
自信があります！！より良いサービスを追求しステークホルダーを笑顔にします。 地域の食文化を豊かにし、自分
の子供を入れたくなる、 愛され続ける会社を目指します</t>
  </si>
  <si>
    <t>長期成長ビジョン（目指す姿・ビジネスモデル）
自信があります！！より良いサービスを追求しステークホルダーを笑顔
にします。 地域の食文化を豊かにし、自分の子供を入れたくなる、 愛
され続ける会社を目指します。
創業100周年へ向けての「ヤマイシ宣言」
私たちの子供がヤマイシで働きたいと思えるよう、青森が世
界に誇れるねぶた祭りに負けない情熱で、 才能と笑顔あふ
れる企業を創ります。お客様の笑顔の為に、目指せ、咲か
せよう笑顔の輪。百年見据えた明るい未来へ！
◼ 食品流通業界において県内の『かなめ』となる企業となり、お客様
を笑顔にする
◼ 自分の子供を入れたくなる、 愛され続ける会社を目指す
◼ 在青森の地域未来牽引企業として、青森という地域に根差し、
地域社会に貢献する</t>
  </si>
  <si>
    <t>外発的動機
• 冷凍・チルド食品需要の増加、食の安全性がより重視されるなど、
コールドチェーンに対するニーズは高くなってきている
• 多品種小ロット化によって一つ一つの品物が嵩むようになった結果、
保管効率が下がっており、冷蔵倉庫不足が業界の課題
• 冷蔵倉庫の老朽化が進んでおり（90年代以前に建設された冷蔵
倉庫が業界の半数を占める）、老朽化により建替え等が必要にな
るが、投資ハードルは高く、冷蔵倉庫の供給能力に不安視
• 和食文化の浸透による世界的な日本食ニーズの高まり
• 水産品の養殖が盛んな青森県の生産強化と海外輸出強化の取り
組みによる地域活性化</t>
  </si>
  <si>
    <t>内発的動機
• 「お客様第一主義」「お客様と共に躍進」が当社のモットーであり、
安心・安全な食品を提供することで、地域のお客様を笑顔にするこ
とが当社の使命
• 地域に支えられ、未来に向けて共に発展していきたいとの思いから、
青森県の魅力を他県、そして海外にまで発信していくことで青森県
の地域活性化に貢献する
• 倉庫キャパシティは逼迫しており、今後のさらなる成長・地域貢献を
実現するには倉庫能力の拡張が必要
• 人手不足が顕在化しており、生産性を高めたビジネスモデルへと転
換することで社員が幸せに働ける環境作りが重要</t>
  </si>
  <si>
    <t>会社全体の売上成長目標（～31年）
• 売上高成長率10％
• 売上高増加額123億円
会社全体の賃上げ目標
• 2.7%（直近事業年度～基準年度）
• 7.0%（基準年度～事業化報告3年目）</t>
  </si>
  <si>
    <t>【p.1／売上成長目標】
会社全体の売上成長目標（～31年）
• 売上高成長率10％
• 売上高増加額123億円
会社全体の賃上げ目標
• 2.7%（直近事業年度～基準年度）
• 7.0%（基準年度～事業化報告3年目）</t>
  </si>
  <si>
    <t>【p.1】
株式会社ヤマイシ
1.長期成長ビジョン
自信があります！！より良いサービスを追求しステークホルダーを笑顔にします。 地域の食文化を豊かにし、自分
の子供を入れたくなる、 愛され続ける会社を目指します
長期成長ビジョン（目指す姿・ビジネスモデル） 外発的動機
• 冷凍・チルド食品需要の増加、食の安全性がより重視されるなど、
自信があります！！より良いサービスを追求しステークホルダーを笑顔
コールドチェーンに対するニーズは高くなってきている
にします。 地域の食文化を豊かにし、自分の子供を入れたくなる、 愛
され続ける会社を目指します。 • 多品種小ロット化によって一つ一つの品物が嵩むようになった結果、
保管効率が下がっており、冷蔵倉庫不足が業界の課題
創業100周年へ向けての「ヤマイシ宣言」 • 冷蔵倉庫の老朽化が進んでおり（90年代以前に建設された冷蔵
倉庫が業界の半数を占める）、老朽化により建替え等が必要にな
私たちの子供がヤマイシで働きたいと思えるよう、青森が世
界に誇れるねぶた祭りに負けない情熱で、 才能と笑顔あふ るが、投資ハードルは高く、冷蔵倉庫の供給能力に不安視
れる企業を創ります。お客様の笑顔の為に、目指せ、咲か • 和食文化の浸透による世界的な日本食ニーズの高まり
せよう笑顔の輪。百年見据えた明るい未来へ！ • 水産品の養殖が盛んな青森県の生産強化と海外輸出強化の取り
組みによる地域活性化
◼ 食品流通業界において県内の『かなめ』となる企業となり、お客様
を笑顔にする
内発的動機
◼ 自分の子供を入れたくなる、 愛され続ける会社を目指す
• 「お客様第一主義」「お客様と共に躍進」が当社のモットーであり、
安心・安全な食品を提供することで、地域のお客様を笑顔にするこ
◼ 在青森の地域未来牽引企業として、青森という地域に根差し、
とが当社の使命
地域社会に貢献する
• 地域に支えられ、未来に向けて共に発展していきたいとの思いから、
青森県の魅力を他県、そして海外にまで発信していくことで青森県
会社全体の売上成長目標（～31年）
の地域活性化に貢献する
• 売上高成長率10％
• 売上高増加額123億円 • 倉庫キャパシティは逼迫しており、今後のさらなる成長・地域貢献を
実現するには倉庫能力の拡張が必要
会社全体の賃上げ目標
• 2.7%（直近事業年度～基準年度） • 人手不足が顕在化しており、生産性を高めたビジネスモデルへと転
換することで社員が幸せに働ける環境作りが重要
• 7.0%（基準年度～事業化報告3年目）</t>
  </si>
  <si>
    <t>【p.2】
株式会社ヤマイシ
.補助事業の概要
2
増加傾向にある冷凍食材・冷凍食品や地場取引先からの多様なニーズへの対応力強化、倉庫運営の効率化
を目的とした、最新自動倉庫システムを備える冷蔵倉庫の増築
補助事業の • 地域の倉庫キャパシティの逼迫と冷蔵倉庫の老朽化 事業費 2 億円
6
背景・目的 • 少量多品種取引対応や人手不足への対応、労働生産性改善が必須 （補助額） （7.7億円）
本社倉庫における冷蔵倉庫増築・自動倉庫システム導入による倉庫能力拡充と生産性向上
【具体的な投資内容】
本社倉庫における冷蔵倉庫増築
①
庫腹3,500トンの冷蔵倉庫を本社倉庫隣接地に建設
設備投資の
内容
【補助事業により見込まれる効果】
• 倉庫能力増や商品多品種を含む多様な取引への対応強化による売上増
（冷蔵庫増築のみで30年度までに37％増を見込む）
• 外部倉庫費削減や自動バゲット式倉庫導入による少人数での倉庫運営
実現による営業利益率改善（+1.5%の改善）
• 作業員の負担減と人の出入り削減による衛生管理改善・品質安定化
2027年度 2030年度
項目
（基準年度） （基準年度＋３年後）
労働生産性 1,019万円/人
523万円/人
（単位：万円/人） （年平均上昇率＋24.9％）
目標値 従業員1人あたり給与支給総額 462万円/人
377万円/人
（単位：万円/人） （年平均上昇率＋7.0％）
役員１人あたり給与支給総額
-
（単位：万円/人） - （年平均上昇率＋5.0％）
補助事業に係る従業員数
221人 230人
（単位：人）</t>
  </si>
  <si>
    <t>たまご＆ファーマーズ株式会社
.長期成長ビジョン
1
・たまごの付加価値を高め、安心かつ安全なたまごを安定的に供給し続ける
・検査や包装工程の自動化や包装工場を集約することで輸送効率を高める
・ゆで卵や温泉卵、液卵などの加工品を新規に開発して、国内外の販売量を増やす</t>
  </si>
  <si>
    <t>・たまごの付加価値を高め、安心かつ安全なたまごを安定的に供給し続ける
・検査や包装工程の自動化や包装工場を集約することで輸送効率を高める
・ゆで卵や温泉卵、液卵などの加工品を新規に開発して、国内外の販売量を増やす
・需要＜供給・海外市場拡大・他社からの卵受入拡大により数量増が確実である。重点拠点の生産性を大幅に向上させる必要がある
・重点拠点への検査、洗浄・選別・包装工程への最新設備導入と建物改装による動線改善・能力向上➨生産性向上・生産能力向上の実現</t>
  </si>
  <si>
    <t>長期成長ビジョン（目指す姿・ビジネスモデル）
メガトレンド
• 海外輸出の増加（殻付き卵、液卵、粉卵など）。
• 国内中食需要増加で、ゆで卵などの販売伸びる。
• 安定供給の重要性増す（飼料価格高騰で鶏卵生産者苦境、
市場需要変動、鳥インフルなど）。
目指す姿とビジネスモデル
市場需要と連動した効率的で安定した生産体制の確立
• 検査の自動化：検査プロセスの自動化/DXを進める。
• 包装工場の集約による包装業務・製品輸送の効率化：従来は
検査・包装工場が養鶏場に隣接しており、規模の小さい工場が多
数あり、不効率であった。大規模包装工場を市場に近い位置に集
約し、包装業務と物流を効率化する。
• 新商品開発：産直事業者である当社が、市場ニーズにあった卵
加工製品を多数販売することで、鶏卵生産者のたまご生産量を
確約できる（業界は鶏卵生産者、卸売、販売店と分断しており、
マーケットアウトであったが、これをマーケットインに変革する）。
＜新規商品＞
（国内）味付きゆで卵、温泉卵など
（海外）殻付き卵、液卵など</t>
  </si>
  <si>
    <t>外発的動機
• 鳥インフルエンザや飼料価格の高騰など、養鶏業に大きな影響を与
える外部的要因が頻繁に発生。
• 農業従事者の高齢化に伴う、継続的な養鶏事業者数の減少。
• 卵不足と卵過剰の状況が頻繁に起こり適切な市場を保てていない。
鶏卵生産者→検査・包装→問屋・卸→加工業者・小売と、
生産者と消費者が分断されたシステムでは、市場ニーズが生産者に伝
わらず、卵不足と卵過剰が頻繁におこる。
当社は国内最大の鶏卵販売業者であり、また鶏卵生産から販売ま
で扱う産直事業者として業界の問題を解決する立場にある。</t>
  </si>
  <si>
    <t>内発的動機
• 過去の経営方針では、生産量拡大に注力しており、効率化のため
の設備投資が十分でなかった。
• 一昨年より続く、ウクライナ情勢に伴う国際危機が飼料価格を急騰
させたことでコストが嵩み、資金繰りが悪化したことから、どのような市
況であっても利益が出せる体制に転換することを強く意識した。
• 一方で、当社の主力商品である「森のたまご」が市場に定着して以
降は、マーケティング戦略を駆使した差別化をしてこなかったため、単
純な価格競争が主な差別化手段となっており、独自の戦略で利益
を上げることが困難な状況であった。
生産の自動化（例：手作業の検査を自動化する）。
製品輸送の効率化。
新製品販売による価格競争からの脱却。</t>
  </si>
  <si>
    <t>会社全体の売上成長目標（直近決算～2031年）
• 売上高成長率9.6％
• 売上高増加額324億円
（25年1月期442億/31年1月期767億）
会社全体の賃上げ目標
• 7.0%（直近事業年度～基準年度）
• 2.0%（基準年度～事業化報告3年目）</t>
  </si>
  <si>
    <t>【p.1／上段要旨】
・たまごの付加価値を高め、安心かつ安全なたまごを安定的に供給し続ける
・検査や包装工程の自動化や包装工場を集約することで輸送効率を高める
・ゆで卵や温泉卵、液卵などの加工品を新規に開発して、国内外の販売量を増やす
【p.1／売上成長目標】
会社全体の売上成長目標（直近決算～2031年）
• 売上高成長率9.6％
• 売上高増加額324億円
（25年1月期442億/31年1月期767億）
会社全体の賃上げ目標
• 7.0%（直近事業年度～基準年度）
• 2.0%（基準年度～事業化報告3年目）
【p.2／上段要旨】
・需要＜供給・海外市場拡大・他社からの卵受入拡大により数量増が確実である。重点拠点の生産性を大幅に向上させる必要がある
・重点拠点への検査、洗浄・選別・包装工程への最新設備導入と建物改装による動線改善・能力向上➨生産性向上・生産能力向上の実現</t>
  </si>
  <si>
    <t>【p.1】
たまご＆ファーマーズ株式会社
.長期成長ビジョン
1
・たまごの付加価値を高め、安心かつ安全なたまごを安定的に供給し続ける
・検査や包装工程の自動化や包装工場を集約することで輸送効率を高める
・ゆで卵や温泉卵、液卵などの加工品を新規に開発して、国内外の販売量を増やす
長期成長ビジョン（目指す姿・ビジネスモデル）
外発的動機
メガトレンド
• 鳥インフルエンザや飼料価格の高騰など、養鶏業に大きな影響を与
える外部的要因が頻繁に発生。
• 海外輸出の増加（殻付き卵、液卵、粉卵など）。
• 国内中食需要増加で、ゆで卵などの販売伸びる。 • 農業従事者の高齢化に伴う、継続的な養鶏事業者数の減少。
• 安定供給の重要性増す（飼料価格高騰で鶏卵生産者苦境、 • 卵不足と卵過剰の状況が頻繁に起こり適切な市場を保てていない。
鶏卵生産者→検査・包装→問屋・卸→加工業者・小売と、
市場需要変動、鳥インフルなど）。
生産者と消費者が分断されたシステムでは、市場ニーズが生産者に伝
目指す姿とビジネスモデル
わらず、卵不足と卵過剰が頻繁におこる。
市場需要と連動した効率的で安定した生産体制の確立 当社は国内最大の鶏卵販売業者であり、また鶏卵生産から販売ま
• 検査の自動化：検査プロセスの自動化/DXを進める。 で扱う産直事業者として業界の問題を解決する立場にある。
• 包装工場の集約による包装業務・製品輸送の効率化：従来は
検査・包装工場が養鶏場に隣接しており、規模の小さい工場が多
内発的動機
数あり、不効率であった。大規模包装工場を市場に近い位置に集
• 過去の経営方針では、生産量拡大に注力しており、効率化のため
約し、包装業務と物流を効率化する。
の設備投資が十分でなかった。
• 新商品開発：産直事業者である当社が、市場ニーズにあった卵
• 一昨年より続く、ウクライナ情勢に伴う国際危機が飼料価格を急騰
加工製品を多数販売することで、鶏卵生産者のたまご生産量を
させたことでコストが嵩み、資金繰りが悪化したことから、どのような市
確約できる（業界は鶏卵生産者、卸売、販売店と分断しており、
況であっても利益が出せる体制に転換することを強く意識した。
マーケットアウトであったが、これをマーケットインに変革する）。
• 一方で、当社の主力商品である「森のたまご」が市場に定着して以
＜新規商品＞
降は、マーケティング戦略を駆使した差別化をしてこなかったため、単
（国内）味付きゆで卵、温泉卵など
純な価格競争が主な差別化手段となっており、独自の戦略で利益
（海外）殻付き卵、液卵など
を上げることが困難な状況であった。
会社全体の売上成長目標（直近決算～2031年） 生産の自動化（例：手作業の検査を自動化する）。
• 売上高成長率9.6％ 製品輸送の効率化。
• 売上高増加額324億円 新製品販売による価格競争からの脱却。
（25年1月期442億/31年1月期767億）
会社全体の賃上げ目標
• 7.0%（直近事業年度～基準年度）
• 2.0%（基準年度～事業化報告3年目）</t>
  </si>
  <si>
    <t>【p.2】
たまご＆ファーマーズ株式会社
.補助事業の概要
2
・需要＜供給・海外市場拡大・他社からの卵受入拡大により数量増が確実である。重点拠点の生産性を大幅に向上させる必要がある
・重点拠点への検査、洗浄・選別・包装工程への最新設備導入と建物改装による動線改善・能力向上➨生産性向上・生産能力向上の実現
• 【背景】需要＜供給・海外市場拡大・他社からの卵受入拡大により数量増が確実である。
重点拠点の生産性を大幅に向上させる必要がある。
補助事業の • 【目的】検査工程、洗卵選別包装工程の高度化と建屋改装・設備配置改善による生産性改善 事業費 75億円
背景・目的 • 【施策】 以下重点拠点の生産性を大幅に改善する。 （補助額） （25億円）
岡山工場：洗卵選別包装と検査工程への最新設備導入と自動化・効率化。建屋改装。
色麻工場・関西工場・伊賀工場：洗卵選別包装工程への最新設備導入と自動化・効率化。建屋改装。
＜補助事業/投資内容＞
★検査の自動化：検査プロセスの自動化/DXを進める。
★工場の集約による包装業務・製品輸送の効率化：従来は検査・包装工場が養鶏場に隣接しており、規
模の小さい工場が多数あり、不効率であった。重点拠点において市場に近い位置に大規模工場として集約し、
包装業務と物流を効率化する。
設備投資の ■岡山工場：建物改装工事、検査設備（バーコンベアライン）、洗卵選別包装自動化設備
■色麻工場：建物改装工事、洗卵選別包装自動化設備
内容
■関西工場：建物改装工事、洗卵選別包装自動化設備
■伊賀工場：建物改装工事、洗卵選別包装自動化設備
＜補助事業外＞
■在庫管理・ゲートでの識別・検査・包装・出荷までデータ管理実施を進めている。（伊賀工場）
➨全工場で展開を計画する。
項目 2028年1月期（基準年度） 2031年1月期（基準年度＋３年後）
労働生産性 658万円/人 1,291万円/人（年平均上昇率＋25.2％）
岡山：従業員1人あたり給与支給総額 344万円/人 422万円/人（年平均上昇率＋7.0％）
色麻：従業員1人あたり給与支給総額 344万円/人 422万円/人（年平均上昇率＋7.0％）
関西：従業員1人あたり給与支給総額 344万円/人 422万円/人（年平均上昇率＋7.0％）
伊賀：従業員1人あたり給与支給総額 344万円/人 422万円/人（年平均上昇率＋7.0％）
目標値 岡山：役員１人あたり給与支給総額 ― ―（年平均上昇率+-%)
色麻：役員１人あたり給与支給総額 ― ―（年平均上昇率+-%)
関西：役員１人あたり給与支給総額 ― ―（年平均上昇率+-%)
伊賀：役員１人あたり給与支給総額 ― ―（年平均上昇率+-%)
岡山：補助事業に係る従業員数(役員含む） 165人 180人
色麻：補助事業に係る従業員数(役員含む） 176人 196人
関西：補助事業に係る従業員数(役員含む） 45人 80人
伊賀：補助事業に係る従業員数(役員含む） 74人 94人</t>
  </si>
  <si>
    <t>学校法人花沢学園
1.⾧期成⾧ビジョン
花沢学園の⾧期成⾧ビジョン</t>
  </si>
  <si>
    <t>⾧期成⾧ビジョン（目指す姿・ビジネスモデル）
• 地球規模で深刻化する社会課題（気候変動、格差拡大、人口
流動など）に対応し、国際社会で課題解決型リーダーシップを発
揮できる学生を育成する
• 異文化理解、多文化共生の力を育み、人種・宗教・国籍を問わ
ず包摂できるグローバル市民を育成する
• AI・データサイエンスを活用した教育DX（デジタルトランスフォー
メーション）を推進し、個別最適化されたアクティブラーニング環境
を構築する
• 不登校生徒や外国人生徒を積極的に受け入れ、リアルとバーチャ
ルを融合したキャンパスで交流・共学を推進し、自己肯定感と多
様性受容力を高める
• 世界標準の教育を目指し、国内外の教育機関・企業・自治体と
連携しながら、次世代を担うグローバル人材の育成基盤を確立す
る</t>
  </si>
  <si>
    <t>外発的動機
• コロナ禍による生活・学習環境の変化で、不登校生徒が全国的に
増加し、心理的不安や社会的孤立が深刻化
• 国の「不登校支援強化方針」策定により、学校には早期発見・支
援体制整備の迅速な対応が求められている
• 外国人労働者の増加により、外国人生徒の来日が進み、日本語
教育や生活支援のニーズが拡大している
• 外国人生徒の学力・言語・文化差への対応力が不足する教育機
関が多く、社会的な課題となっている
• SDGsにおけるインクルーシブ教育推進により、多文化共生を実現
する教育機関への期待が高まっている</t>
  </si>
  <si>
    <t>内発的動機
• 教員がカウンセリングやメンタルヘルス、異文化理解に関する専門研
修を受け、多様な生徒に対応できる体制を構築
• 教職員の資格取得を推進し、心のケアや個別支援の専門性を高
める取り組みを実施
• 20年以上の通信制教育のノウハウを活かし、個別最適な学習支
援体制を確立
• Webと対面を組み合わせたハイブリッド型学習モデルで、生徒の多
様な学び方に柔軟対応
• AI技術を活用し、個別に最適化された進路指導や学習支援を提
供する体制を整備</t>
  </si>
  <si>
    <t>会社全体の売上成⾧目標（～30年）
• 売上高成⾧率110％
• 売上高増加額14億円
会社全体の賃上げ目標
• 年平均5.0%（直近事業年度～基準年度）
• 年平均5.6%（基準年度～事業化報告3年目）</t>
  </si>
  <si>
    <t>【p.1／売上成長目標】
会社全体の売上成⾧目標（～30年）
• 売上高成⾧率110％
• 売上高増加額14億円
会社全体の賃上げ目標
• 年平均5.0%（直近事業年度～基準年度）
• 年平均5.6%（基準年度～事業化報告3年目）
【p.2／補助事業の背景・目的】
補助事業の背景・目的
補助事業の • 不登校生徒や外国人生徒が増加し、多様な生徒に対応
背景・目的 る。これらの生徒を受け入れ、個別の教育を行い、グローバ
不登校生徒・外国人生徒のコミュニケーション障害、言語の
応を可能とする、メタバース、AIを活用したリアル×バーチャル
プラットフォームを構築する。
・6階建て校舎建設費:25億円（8.33億円）
【p.2／2026年度】
2026年度
項目
（基準年度）</t>
  </si>
  <si>
    <t>【p.1】
学校法人花沢学園
1.⾧期成⾧ビジョン
花沢学園の⾧期成⾧ビジョン
外発的動機
⾧期成⾧ビジョン（目指す姿・ビジネスモデル）
• コロナ禍による生活・学習環境の変化で、不登校生徒が全国的に
• 地球規模で深刻化する社会課題（気候変動、格差拡大、人口 増加し、心理的不安や社会的孤立が深刻化
流動など）に対応し、国際社会で課題解決型リーダーシップを発 • 国の「不登校支援強化方針」策定により、学校には早期発見・支
揮できる学生を育成する 援体制整備の迅速な対応が求められている
• 異文化理解、多文化共生の力を育み、人種・宗教・国籍を問わ • 外国人労働者の増加により、外国人生徒の来日が進み、日本語
ず包摂できるグローバル市民を育成する 教育や生活支援のニーズが拡大している
• AI・データサイエンスを活用した教育DX（デジタルトランスフォー • 外国人生徒の学力・言語・文化差への対応力が不足する教育機
メーション）を推進し、個別最適化されたアクティブラーニング環境 関が多く、社会的な課題となっている
を構築する • SDGsにおけるインクルーシブ教育推進により、多文化共生を実現
• 不登校生徒や外国人生徒を積極的に受け入れ、リアルとバーチャ する教育機関への期待が高まっている
ルを融合したキャンパスで交流・共学を推進し、自己肯定感と多
様性受容力を高める
• 世界標準の教育を目指し、国内外の教育機関・企業・自治体と
連携しながら、次世代を担うグローバル人材の育成基盤を確立す
内発的動機
る
• 教員がカウンセリングやメンタルヘルス、異文化理解に関する専門研
修を受け、多様な生徒に対応できる体制を構築
会社全体の売上成⾧目標（～30年） • 教職員の資格取得を推進し、心のケアや個別支援の専門性を高
める取り組みを実施
• 売上高成⾧率110％
• 20年以上の通信制教育のノウハウを活かし、個別最適な学習支
• 売上高増加額14億円
援体制を確立
会社全体の賃上げ目標
• Webと対面を組み合わせたハイブリッド型学習モデルで、生徒の多
• 年平均5.0%（直近事業年度～基準年度）
様な学び方に柔軟対応
• 年平均5.6%（基準年度～事業化報告3年目）
• AI技術を活用し、個別に最適化された進路指導や学習支援を提
供する体制を整備</t>
  </si>
  <si>
    <t>【p.2】
学校法人花沢学園
2.補助事業の概要
補助事業の背景・目的
補助事業の • 不登校生徒や外国人生徒が増加し、多様な生徒に対応できる教育機関の重要性が高まって 事業費 29億円
背景・目的 る。これらの生徒を受け入れ、個別の教育を行い、グローバルに活躍できる人材を育成する。 （補助額） （6.8億円）
不登校生徒・外国人生徒のコミュニケーション障害、言語の壁、異文化対
応を可能とする、メタバース、AIを活用したリアル×バーチャルを繋げた教育
プラットフォームを構築する。
・6階建て校舎建設費:25億円（8.33億円）
・メタバースキャンパス:1.5億円（0.5億円）
設備投資の
リアルとバーチャルのキャンパスで生徒間のコミュニケーションを促進 写真等
内容
・AIカウンセラー:1億円（0.33億円）
不登校生徒の悩み相談、外国人生徒の日本語学習、進路相談
・スクールコミュニティプラットフォーム:0.5億円（0.17億円）
生徒・教員・保護者間のコミュニケーションを促進
2026年度 2029年度
項目
（基準年度） （基準年度＋３年後）
労働生産性 1,815
1,171
（単位:万円/人） （年平均上昇率＋15.7％）
目標値 従業員1人あたり給与支給総額 887
745
（単位:万円/人） （年平均上昇率＋6.0％）
役員１人あたり給与支給総額 1,259
1,087
（単位:万円/人） （年平均上昇率＋5.0％）
補助事業に係る従業員数
58 94
（単位:人）</t>
  </si>
  <si>
    <t>株式会社フルサワ
1.長期成長ビジョン
カーボンニュートラル、サーキュラーエコノミーの観点から高炉の電炉化が進む中で、本事業により、解体機能の強化・効率化
を図り、プラント・風力発電・船舶解体による鉄スクラップ調達量を拡大し、製鉄事業者へ高品質な鉄スクラップを安定的に
供給出来るようになることで、ビジネスモデルの更なる強化を実現します</t>
  </si>
  <si>
    <t>長期成長ビジョン（目指す姿・ビジネスモデル）
【目指す姿】
• 当社は、鉄・非鉄等の再資源化に取り組むことにより、高品質な
鉄スクラップを鉄鋼メーカーに安定的に供給し、低炭素社会・循環
型社会の実現に向けた役割を果たすと考えている
【現状】
• 当社は、プラント・風力発電・船舶等の大型構造物の解体から
鉄・非鉄等のスクラップの再資源化までの一貫した機能を保有し、
循環型社会の一端を担っている
• 安定した高品質な資源を供給していく為には、更なる調達先の確
保と人工作業(手作業：以下人工作業とする)に依存した工程を
改善する必要があると捉えている
【補助事業の取組み】
• プラント・風力発電・船舶解体をターゲットとした鉄資源の調達量
拡大と、大型クローラークレーン・解体機・プレスシャー等の新規設
備を導入することで生産性を高めて供給量の拡大を実現し、当社
ビジネスモデルの更なる強化により、賃上げと事業成長に繋げてい
きます</t>
  </si>
  <si>
    <t>外発的動機
• 環境保護への関心の高まりとともに適切な廃棄物処理とリサイクル・リ
ユース・リデュースを前提とした循環型社会の重要性が高まっている
• プラント解体は、煙突・高構造物と風力発電の高所作業について高い
安全性が求められる
• シップリサイクルは、労働環境・環境保護・人権問題の観点から、これら
に配慮した船舶処理の需要が高まっている。特に環境意識の高い欧州
船主は、船舶の処分を労働環境・環境保護・人権問題に配慮した事
業者に依頼したいといったニーズを抱えている
• 製鉄事業者は、カーボンニュートラルの観点から、CO2排出量抑制に
向けた電炉への転換により、高品質な鉄スクラップの安定的な供給を
必要としている</t>
  </si>
  <si>
    <t>内発的動機
• 当社は、多様な設備を保有し、解体技術・再資源化の専門知識を持
つ社員が多く在籍しており、ハード/ソフトの両面のリソースを活用した事
業成長を目指している
• 当社は、機械設備が増える中、資格者育成や設備管理の体制を整え
ている
• 他の解体業者は再資源化のヤードを殆どが保有していない。当社の強
みである再資源化は人工作業に依存しており、鉄スクラップの供給量を
拡大するには生産性の改善が必要であると認識している
• 当社は、環境規制や労働体制等で高いレベルでの作業環境を備えて
おり、シップリサイクルではインド・トルコへの現地視察を実施し、欧州船
主からの視察を受け入れている
• プラント・船舶解体における調達先との交渉を継続実施している</t>
  </si>
  <si>
    <t>会社全体の売上成長目標（2024-2029/12期）
• 売上高成長率：208％
• 売上高増加額：+40億円
会社全体の賃上げ目標
• 年平均0.76%（直近事業年度～基準年度）
• 年平均7.00%（基準年度～事業化報告3年目）</t>
  </si>
  <si>
    <t>【p.1／売上成長目標】
会社全体の売上成長目標（2024-2029/12期）
• 売上高成長率：208％
• 売上高増加額：+40億円
会社全体の賃上げ目標
• 年平均0.76%（直近事業年度～基準年度）
• 年平均7.00%（基準年度～事業化報告3年目）
【p.2／設備投資の内容】
【設備投資の内容】
① 1350tクローラクレーン 2,768百万円
② 200tクローラクレーン 490百万円
③ バックホー（ラバンテ） 642百万円
④ 2000ｔプレスシャー 360百万円
⑤ ナゲット 60百万円
【生産性向上につながる点】
現状、ガス溶接やバックホーにより運搬可能な小ブロックに
再資源化していた。設備導入により、大ブロックの状態でプ
入出来るようになり、人工作業の工程が縮小する
本事業では1,350tクローラクレーンを中心として省力化設
【p.3／＜既存解体方法との違い＞】
＜既存解体方法との違い＞

既存のプラント解体（現状）
煙突/高構築物の上部に人が直接あがり、人力で斫り作業を行い解体していく為、人工作業に
よる工数負荷が高いことや、安全性の確保が難しい

新規のプラント解体（補助事業後）
ワイヤーソーで大ブロックに切断したものを大型クローラクレーンを使用して吊り降ろした後に、地上
にて重機解体を行う為、人工作業の工数削減と安全性の確保が図られる。また、220ｍまでの
高所対応が可能となる
＜新規解体方法の優位性＞

安全性の向上
煙突/高構築物の解体は、大型クローラクレーンにより、ブロックの大型化が実現することから、コン
クリート等の落下物のリスクが大幅に減少し、安全性が確保される。今後は機械作業による安全
性と環境保護に配慮した業者が受注する方向にある

作業効率性の改善
煙突/高構造物(50ｍ以上)は既存の方法であれば人工作業が多く掛かっていた。ブロックの大
きさを3倍程度のサイズにしても対応が可能となり、人工作業を約50％に削減出来る</t>
  </si>
  <si>
    <t>【p.1】
株式会社フルサワ
1.長期成長ビジョン
カーボンニュートラル、サーキュラーエコノミーの観点から高炉の電炉化が進む中で、本事業により、解体機能の強化・効率化
を図り、プラント・風力発電・船舶解体による鉄スクラップ調達量を拡大し、製鉄事業者へ高品質な鉄スクラップを安定的に
供給出来るようになることで、ビジネスモデルの更なる強化を実現します
外発的動機
長期成長ビジョン（目指す姿・ビジネスモデル）
• 環境保護への関心の高まりとともに適切な廃棄物処理とリサイクル・リ
【目指す姿】
• 当社は、鉄・非鉄等の再資源化に取り組むことにより、高品質な ユース・リデュースを前提とした循環型社会の重要性が高まっている
鉄スクラップを鉄鋼メーカーに安定的に供給し、低炭素社会・循環 • プラント解体は、煙突・高構造物と風力発電の高所作業について高い
型社会の実現に向けた役割を果たすと考えている 安全性が求められる
• シップリサイクルは、労働環境・環境保護・人権問題の観点から、これら
【現状】
に配慮した船舶処理の需要が高まっている。特に環境意識の高い欧州
• 当社は、プラント・風力発電・船舶等の大型構造物の解体から
船主は、船舶の処分を労働環境・環境保護・人権問題に配慮した事
鉄・非鉄等のスクラップの再資源化までの一貫した機能を保有し、
業者に依頼したいといったニーズを抱えている
循環型社会の一端を担っている
• 安定した高品質な資源を供給していく為には、更なる調達先の確 • 製鉄事業者は、カーボンニュートラルの観点から、CO2排出量抑制に
保と人工作業(手作業：以下人工作業とする)に依存した工程を 向けた電炉への転換により、高品質な鉄スクラップの安定的な供給を
改善する必要があると捉えている 必要としている
内発的動機
【補助事業の取組み】
• プラント・風力発電・船舶解体をターゲットとした鉄資源の調達量 • 当社は、多様な設備を保有し、解体技術・再資源化の専門知識を持
拡大と、大型クローラークレーン・解体機・プレスシャー等の新規設 つ社員が多く在籍しており、ハード/ソフトの両面のリソースを活用した事
備を導入することで生産性を高めて供給量の拡大を実現し、当社 業成長を目指している
ビジネスモデルの更なる強化により、賃上げと事業成長に繋げてい • 当社は、機械設備が増える中、資格者育成や設備管理の体制を整え
きます ている
会社全体の売上成長目標（2024-2029/12期） • 他の解体業者は再資源化のヤードを殆どが保有していない。当社の強
• 売上高成長率：208％ みである再資源化は人工作業に依存しており、鉄スクラップの供給量を
• 売上高増加額：+40億円 拡大するには生産性の改善が必要であると認識している
• 当社は、環境規制や労働体制等で高いレベルでの作業環境を備えて
会社全体の賃上げ目標
おり、シップリサイクルではインド・トルコへの現地視察を実施し、欧州船
• 年平均0.76%（直近事業年度～基準年度）
主からの視察を受け入れている
• 年平均7.00%（基準年度～事業化報告3年目）
• プラント・船舶解体における調達先との交渉を継続実施している</t>
  </si>
  <si>
    <t>【p.2】
株式会社フルサワ
2.補助事業の概要
補助事業を通じて、鉄・非鉄スクラップを製鉄事業者に安定的に供給し、低炭素社会・循環型社会の実現に
向けた役割を果たすとともに持続的な賃上げを含む地域雇用の拡充と更なる事業成長の基盤を構築します
補助事業の • 既存の解体業の取組みは、人工作業に依存しており、省力化・機械化による労働生産性 事業費 43億円
背景・目的 の改善を進めることで、鉄・非鉄スクラップ取扱量を拡大し、更なる事業成長を目指す （補助額） （14億円）
【設備投資の内容】
1350tクローラクレーン
（リープヘル社製）
① 1350tクローラクレーン 2,768百万円
② 200tクローラクレーン 490百万円
③ バックホー（ラバンテ） 642百万円
④ 2000ｔプレスシャー 360百万円
⑤ ナゲット 60百万円
設備投資の
内容 【生産性向上につながる点】
• 現状、ガス溶接やバックホーにより運搬可能な小ブロックに切り分けたものを
再資源化していた。設備導入により、大ブロックの状態でプレスシャーに投
入出来るようになり、人工作業の工程が縮小する
• 本事業では1,350tクローラクレーンを中心として省力化設備を導入する事
で生産性向上と資源の付加価値を高め、労働・安全環境を整え作業員
の負担を軽減する
2026年度 2029年度
項目
（基準年度） （基準年度＋３年後）
労働生産性 1,704
723
（単位：万円/人） （年平均上昇率＋33.1％）
従業員1人あたり給与支給総額 516
目標値 421
（単位：万円/人） （年平均上昇率＋7.0％）
役員１人あたり給与支給総額 -
-
（単位：万円/人） （年平均上昇率＋7.0％）
補助事業に係る従業員数
160 190
（単位：人）
【p.3】
株式会社フルサワ
2.補助事業の概要
補助事業を通じて、プラント・風力発電は煙突や高構造物を降ろすブロックの大型化を図り、船舶解体もブロック
の大型化を図る事で、人工作業を削減し安全施工・環境保護を確立します
プラント解体｜煙突/高構築物の解体工法 船舶解体｜大型船舶の解体工法
従来工法 補助事業を活用した工法
200m 200m
クレーンで地上
に大きなブロックを降ろす
ワイヤーソーで切断
人力で小さく斫り解体していく
25m
100m 100m 遠浅の海底
クレーン＋ラバンテ解体
クレーン＋ラバンテ解体
500tcc、sk480 1350tcc
＜既存解体方法との違い＞ ＜既存解体方法との違い＞
 既存のプラント解体（現状）  インド・バングラデシュの船舶解体(現状）
煙突/高構築物の上部に人が直接あがり、人力で斫り作業を行い解体していく為、人工作業に 船首から浜辺に座礁させてウィンチで固定した後に、潮の干満を活用して解体する工法である。干
よる工数負荷が高いことや、安全性の確保が難しい 潮時に人工作業中心で解体する工法で、安全具装着が無く人権問題や環境問題を抱えている
 新規のプラント解体（補助事業後）  当社の船舶解体（補助事業後）
ワイヤーソーで大ブロックに切断したものを大型クローラクレーンを使用して吊り降ろした後に、地上 当社の解体工法は、船尾から満潮時に座礁させ、大型クローラクレーン等の重機で陸上に揚陸す
にて重機解体を行う為、人工作業の工数削減と安全性の確保が図られる。また、220ｍまでの る工法である。座礁させにくい場合は、船首のバラストタンクに水を注入し、船尾を浮かせ満潮時に
高所対応が可能となる 座礁させ解体する。高い技術ノウハウを必要とする工法である。
＜新規解体方法の優位性＞ ＜当社解体方法の優位性＞
 安全性の向上  解体ヤードの違いによる物理的要因
煙突/高構築物の解体は、大型クローラクレーンにより、ブロックの大型化が実現することから、コン コンテナ船が大型化しており、船体が重く、吃水も9ｍ前後と深くなっている。インド・バングラデシュ
クリート等の落下物のリスクが大幅に減少し、安全性が確保される。今後は機械作業による安全 の海底が遠浅になっており、ヤード近くに入港できない。当社は水深の25ｍあり対応が可能
性と環境保護に配慮した業者が受注する方向にある  環境負荷に配慮した解体方法
 作業効率性の改善 インド・バングラデシュではエンジンルームが設置されている船尾部分が海上に露呈している為、解
煙突/高構造物(50ｍ以上)は既存の方法であれば人工作業が多く掛かっていた。ブロックの大 体時の油・廃棄物の流出しているが、当社は船尾を陸上に引き上げて油除去後に解体する為、
きさを3倍程度のサイズにしても対応が可能となり、人工作業を約50％に削減出来る 海上への影響がない</t>
  </si>
  <si>
    <t>東洋ケアサービス株式会社
1.長期成長ビジョン
未来をTSUNAGU BEST PARTNER企業へ
「スタッフの大切な人に入社させたい！って思っていただける会社を創る！」</t>
  </si>
  <si>
    <t>長期成長ビジョン（目指す姿・ビジネスモデル）
未来をTSUNAGU BEST PARTNER企業へ
「スタッフの大切な人に入社させたい！って思っていただける会社を
創る！」
• ヘルスケアソリューションを提供するイノベーションカンパニー
ヘルスケア分野において、お客様、スタッフ、協力会社、仕入先、地
域社会のベストパートナーを目指し、より豊かで充実した生活を実現
• 大切な人を入社させたい企業
「思いやり」と「優しさ」を持つ事で働き甲斐のある職場環境を作り、大
切な人を入社させたいと思っていただける企業を創造
• 地域貢献と社会課題解決への貢献
ヘルスケア分野における顧客目線のプロダクトを生み続けるイノベーショ
ンカンパニーとしてロマンあるれる発想と行動力で地域社会人貢献</t>
  </si>
  <si>
    <t>外発的動機
• 企業・施設・病院の調理スタッフ不足や厨房業務負担の増大が深
刻化し、給食外部調達が主流に
• 感染症対策への意識高まりから、洗浄・消毒・清潔維持の外注需
要の高まり
• 高齢者人口は2040年に3,900万人超へ、福祉・介護関連サー
ビス市場は継続拡大が確実
• 介護人材不足や介護現場における業務負担は特に深刻であり、
介護食の外注ニーズが大きい
• 介護食市場は2024年で約1,200億円、2030年に1,400億円
以上への成長が見込まれる（富士経済）</t>
  </si>
  <si>
    <t>内発的動機
• ヘルスケアソリューションを提供するワクワクイノベーションカンパニーと
なり、地域のベストパートナーとして社会課題の解決に貢献すること、
従業員が誇れる会社となることが当社の使命
• 常にマーケットインの発想で「お客様の困った」「こんなサービスあれ
ば便利なのに」のお声を拾い上げ確実な課題解決を提案・実行し
てきたことで、直近10年で売上高は10倍に増加
• 給食事業は人材不足に悩む企業のニーズを確実に捉えているが、
多様化するニーズ（栄養・美味しさ・安全・バラエティ）への対応
と品質強化が課題
• 福祉用具レンタル業界では希少な法人対応・全国対応により、介
護・医療・福祉に係るサービス拡充により社会課題の解決が可能</t>
  </si>
  <si>
    <t>会社全体の売上成長目標（〜30年）
• 売上高成長率30.3％
• 売上高増加額80億円
会社全体の賃上げ目標
• 2.5%（直近事業年度～基準年度）
• 7.0%（基準年度～事業化報告3年目）</t>
  </si>
  <si>
    <t>【p.1／売上成長目標】
会社全体の売上成長目標（〜30年）
• 売上高成長率30.3％
• 売上高増加額80億円
会社全体の賃上げ目標
• 2.5%（直近事業年度～基準年度）
• 7.0%（基準年度～事業化報告3年目）</t>
  </si>
  <si>
    <t>【p.1】
東洋ケアサービス株式会社
1.長期成長ビジョン
未来をTSUNAGU BEST PARTNER企業へ
「スタッフの大切な人に入社させたい！って思っていただける会社を創る！」
長期成長ビジョン（目指す姿・ビジネスモデル） 外発的動機
• 企業・施設・病院の調理スタッフ不足や厨房業務負担の増大が深
未来をTSUNAGU BEST PARTNER企業へ
刻化し、給食外部調達が主流に
「スタッフの大切な人に入社させたい！って思っていただける会社を
• 感染症対策への意識高まりから、洗浄・消毒・清潔維持の外注需
創る！」
要の高まり
• ヘルスケアソリューションを提供するイノベーションカンパニー • 高齢者人口は2040年に3,900万人超へ、福祉・介護関連サー
ヘルスケア分野において、お客様、スタッフ、協力会社、仕入先、地 ビス市場は継続拡大が確実
域社会のベストパートナーを目指し、より豊かで充実した生活を実現 • 介護人材不足や介護現場における業務負担は特に深刻であり、
介護食の外注ニーズが大きい
• 大切な人を入社させたい企業 • 介護食市場は2024年で約1,200億円、2030年に1,400億円
「思いやり」と「優しさ」を持つ事で働き甲斐のある職場環境を作り、大 以上への成長が見込まれる（富士経済）
切な人を入社させたいと思っていただける企業を創造
内発的動機
• 地域貢献と社会課題解決への貢献
ヘルスケア分野における顧客目線のプロダクトを生み続けるイノベーショ • ヘルスケアソリューションを提供するワクワクイノベーションカンパニーと
ンカンパニーとしてロマンあるれる発想と行動力で地域社会人貢献 なり、地域のベストパートナーとして社会課題の解決に貢献すること、
従業員が誇れる会社となることが当社の使命
会社全体の売上成長目標（〜30年） • 常にマーケットインの発想で「お客様の困った」「こんなサービスあれ
ば便利なのに」のお声を拾い上げ確実な課題解決を提案・実行し
• 売上高成長率30.3％
てきたことで、直近10年で売上高は10倍に増加
• 売上高増加額80億円
会社全体の賃上げ目標 • 給食事業は人材不足に悩む企業のニーズを確実に捉えているが、
• 2.5%（直近事業年度～基準年度） 多様化するニーズ（栄養・美味しさ・安全・バラエティ）への対応
• 7.0%（基準年度～事業化報告3年目） と品質強化が課題
• 福祉用具レンタル業界では希少な法人対応・全国対応により、介
護・医療・福祉に係るサービス拡充により社会課題の解決が可能</t>
  </si>
  <si>
    <t>【p.2】
東洋ケアサービス株式会社
.補助事業の概要
2
給食製造工場立ち上げ及び高品質かつ少量多品種対応の製造設備導入による、施設向け介護食への展開
を含めた給食事業の強化
補助事業の • 外部仕入では多様化するニーズや高品質な給食提供が難しい 事業費 2 億円
2
背景・目的 • 超高齢化社会の到来に伴う介護現場の人手不足・労働負担軽減 （補助額） （6.7億円）
THE 統合型フードイノベーションファクトリー計画（健康と福祉と笑顔を支える未来型工場）
【具体的な投資内容】
① 本社近接地に給食製造工場を建設
「安全」「品質」「効率」を運営の柱とし、「無駄」を徹底的に排除したシ
ンプルで効率的なオペレーションの確立
② 省人化・環境配慮を実現する製造設備の導入
設備投資の
企業・施設の多様なニーズや課題に柔軟に対応できる製造設備と、消
内容
費者の生活の質向上を実現する高品質かつ美味しい給食を製造
【補助事業により見込まれる効果】
• 給食事業強化及びサービス拡充による福祉用具事業の取引拡大によ
る売上・利益増（29年度までに売上390％増を見込む）
• 介護現場の人手不足や業務負荷軽減への貢献による高齢化社会が
進む日本の社会的課題解決への貢献
2026年度 2029年度
項目 （基準年度） （基準年度＋３年後）
東洋ケアサービス ESキッチン 東洋ケアサービス ESキッチン
労働生産性 1,707万円/人 1,511万円/人
599万円/人 438万円/人
（単位：万円/人） （年平均上昇率＋41.8％） （年平均上昇率＋51.1％）
目標値
従業員1人あたり給与支給総額 512万円/人 594万円/人
407万円/人 471万円/人
（単位：万円/人） （年平均上昇率＋8.0％） （年平均上昇率＋8.0％）
役員１人あたり給与支給総額 1,133万円/人
（単位：万円/人） 979万円/人 - （年平均上昇率＋5.0％） -
補助事業に係る従業員数
104人 35人 106人 50人
（単位：人）</t>
  </si>
  <si>
    <t>株式会社タカラ倉庫運輸サービス
1.⾧期成⾧ビジョン
海老名に建設する新倉庫を起点に、自社の物流ノウハウと実行力を活かし、業界の構造課題に挑む。共同配
送を含む総合的な物流力で、次世代の標準をつくる。</t>
  </si>
  <si>
    <t>⾧期成⾧ビジョン:
「顧客と共に課題を解決し、未来を創る物流パートナー企業へ」
物流を単なる「運ぶ」役割にとどめず、
顧客の課題解決に寄り添い、
ともに未来を切り拓く存在を目指します
１．“選ばれる企業”へ
安心・安全・誠実な物流を軸とした、荷主・地域・従業員から信頼さ
れる企業へ
２.輸出入・保税対応を備えた国際物流拠点へ
内陸型の保税倉庫機能（インランドデポ）を備え、海外荷主ともつ
ながる国際物流拠点を目指す
３．全国規模で価値を提供する物流ネットワーク企業へ
M&amp;Aによる拠点拡大と共同配送モデルで、全国どこでも柔軟に対応
できる体制を確立</t>
  </si>
  <si>
    <t>外発的動機
• 2024年の時間外労働規制（いわゆる「2024年問
題」）に加え、ドライバーの高齢化や少量多頻度輸送の
拡大により、2030年には国内の物流キャパシティが約
34％（約9億トン）不足すると試算されている。(※1)
• 物流業界では、運賃抑制・荷主囲い込みによる価格競
争の激化を背景に、M&amp;Aやメーカー物流子会社の統合・
再編が加速しており、信頼性・拠点網・提案力を持つ事
業者への選別が進んでいる。
• 荷主企業からは、物流事業者に対して単なる運送や保
管にとどまらず、在庫の最適化・納品管理・ESG対応（コ
ンプライアンス順守を含む）など、サプライチェーン全体を支
える機能が求められている。</t>
  </si>
  <si>
    <t>内発的動機
• 現在、倉庫機能が複数拠点に分散しており、庫内作業
や人員配置・配車の面で非効率が発生。今後の事業拡
大に向けては、オペレーションの集約・統合が不可欠。
• 主力である自動車関連分野への依存が高く、市場変動リ
スクへの備えが脆弱。事業ポートフォリオの見直しが求めら
れている。
• トラック輸送における全国平均の積載率は約40％(※2)
とされており、物流業界全体として「積載効率の低さ」が慢
性的な課題。当社でも単独配送が主流であったが、大手
３社のメーカーと協力してタイヤ事業での共同配送を開始、
本格的な共同配送体制の構築と多品目・複数荷主対
応の物流モデル転換が急がれる。</t>
  </si>
  <si>
    <t>売上成⾧目標［コンソーシアム］
会社全体の売上成⾧目標（2024年8月期／2031年8月期）
・売上高成⾧率 215.6％
・売上高増加額 73.5億円
会社全体の賃上げ目標
・0.9%（直近事業年度～基準年度）
・6.0%（基準年度～事業化報告3年目）</t>
  </si>
  <si>
    <t>【p.1／売上成長目標】
売上成⾧目標［コンソーシアム］
会社全体の売上成⾧目標（2024年8月期／2031年8月期）
・売上高成⾧率 215.6％
・売上高増加額 73.5億円
会社全体の賃上げ目標
・0.9%（直近事業年度～基準年度）
・6.0%（基準年度～事業化報告3年目）
【p.2／基準年度:2028年8月期（2027年度） 最終年度:2031年度8月期（2030年度）】
基準年度:2028年8月期（2027年度） 最終年度:2031年度8月期（2030年度）
幹事企業 コンソーシアム参加者 幹事企業 コンソーシアム参加者
（㈱タカラ倉庫運輸サービス） （㈱タカラグループ） （㈱タカラ倉庫運輸サービス） （㈱タカラグループ）</t>
  </si>
  <si>
    <t>【p.1】
株式会社タカラ倉庫運輸サービス
1.⾧期成⾧ビジョン
海老名に建設する新倉庫を起点に、自社の物流ノウハウと実行力を活かし、業界の構造課題に挑む。共同配
送を含む総合的な物流力で、次世代の標準をつくる。
⾧期成⾧ビジョン: 外発的動機
• 2024年の時間外労働規制（いわゆる「2024年問
「顧客と共に課題を解決し、未来を創る物流パートナー企業へ」
題」）に加え、ドライバーの高齢化や少量多頻度輸送の
物流を単なる「運ぶ」役割にとどめず、 拡大により、2030年には国内の物流キャパシティが約
顧客の課題解決に寄り添い、 34％（約9億トン）不足すると試算されている。(※1)
ともに未来を切り拓く存在を目指します • 物流業界では、運賃抑制・荷主囲い込みによる価格競
争の激化を背景に、M&amp;Aやメーカー物流子会社の統合・
１．“選ばれる企業”へ 再編が加速しており、信頼性・拠点網・提案力を持つ事
安心・安全・誠実な物流を軸とした、荷主・地域・従業員から信頼さ 業者への選別が進んでいる。
れる企業へ • 荷主企業からは、物流事業者に対して単なる運送や保
管にとどまらず、在庫の最適化・納品管理・ESG対応（コ
２.輸出入・保税対応を備えた国際物流拠点へ
ンプライアンス順守を含む）など、サプライチェーン全体を支
内陸型の保税倉庫機能（インランドデポ）を備え、海外荷主ともつ
える機能が求められている。
ながる国際物流拠点を目指す
３．全国規模で価値を提供する物流ネットワーク企業へ
内発的動機
M&amp;Aによる拠点拡大と共同配送モデルで、全国どこでも柔軟に対応
• 現在、倉庫機能が複数拠点に分散しており、庫内作業
できる体制を確立
や人員配置・配車の面で非効率が発生。今後の事業拡
大に向けては、オペレーションの集約・統合が不可欠。
• 主力である自動車関連分野への依存が高く、市場変動リ
売上成⾧目標［コンソーシアム］ スクへの備えが脆弱。事業ポートフォリオの見直しが求めら
れている。
会社全体の売上成⾧目標（2024年8月期／2031年8月期）
• トラック輸送における全国平均の積載率は約40％(※2)
・売上高成⾧率 215.6％
とされており、物流業界全体として「積載効率の低さ」が慢
・売上高増加額 73.5億円
性的な課題。当社でも単独配送が主流であったが、大手
会社全体の賃上げ目標
３社のメーカーと協力してタイヤ事業での共同配送を開始、
・0.9%（直近事業年度～基準年度）
本格的な共同配送体制の構築と多品目・複数荷主対
・6.0%（基準年度～事業化報告3年目）
応の物流モデル転換が急がれる。
(※1)出典:「物流の2024年問題について」 (※2)出典:「自動車輸送統計年報」（1・2、共に国土交通省）</t>
  </si>
  <si>
    <t>【p.2】
株式会社タカラ倉庫運輸サービス
2.補助事業の概要
創業の地・海老名に自社倉庫を建設し、分散拠点と本社機能を統合することで業務効率を向上。将来の共同
配送拠点・インランドデポ機能も見据え、柔軟かつ安定した物流基盤を構築する。
補助事業の
自社物流の中核として拠点と本社機能を統合、共同配送・保税対応・新商材への対応力を高め、変化する物 事業費 46億円
背景・目的
流ニーズに即応できる体制を整える。インランドデポとしての活用も視野に、次世代型の総合物流モデルを構築。 （補助額） （14億円）
①倉庫建設:4,600百万円（税抜）
②その他付随設備等:325百万円（税抜）
①所在地:神奈川県海老名市中新田1丁目629-1
面 積: 21,612.41㎡
②その他付随設備:インタンク、ドッグレベラー、移動ラック、
フォークリフト、バース予約管理システム、運送販売システム 等
• 事業内容:倉庫新設により業務効率を高め、処理能力の増加と共同配送機能の強化を通じて、
売上・利益の拡大を目指す。
設備投資の
• 事業の成果:
内容
コスト面の訴求効果 新倉庫へのシステム導入やスペースの確保により、共同配送体制の整備が進み、
本格的な運用が可能となる。これにより運送コストは約15％削減される。さらに、動線を最適化した倉
庫設計と移動ラック導入により、省スペース化と作業効率の向上が実現し、倉庫運営費も約5％削減。
全体として、固定費の大幅な圧縮が期待される。
売上の訴求効果 新倉庫により積載率向上・共同配送の効率化・保税貨物の受託・新規貨物の取
扱拡大といった複数の取り組みを一体的に進行。従来の主力製品に加え、建材・医療などの新分野を
取り込み、売上基盤を多角化。さらに、インランドデポ機能による輸出入対応の強化やWMS(倉庫管
理システム)導入による庫内オペレーションの最適化などを通じて次世代倉庫としての役割を果たす。
基準年度:2028年8月期（2027年度） 最終年度:2031年度8月期（2030年度）
項目 幹事企業 コンソーシアム参加者 幹事企業 コンソーシアム参加者
（㈱タカラ倉庫運輸サービス） （㈱タカラグループ） （㈱タカラ倉庫運輸サービス） （㈱タカラグループ）
労働生産性 1,222 32,635
714 7,234
（単位:万円/人） （年平均上昇率+19.6％） （年平均上昇率+65.2％）
目標値
従業員1人あたり 543 従業員1人あたり 486
従業員・役員 1人あたり給与支給総額 従業員1人あたり 456 従業員1人あたり 408 （年平均上昇率＋6.0％） （年平均上昇率＋6.0％）
（単位:万円/人） 役員1人あたり - 役員1人あたり - 役員1人あたり - 役員1人あたり -
（年平均上昇率＋5.0％） （年平均上昇率＋5.0％）
補助事業に係る従業員数・役員数
従業員数 365 ・ 役員数 4 従業員数 2 ・ 役員数 1 従業員数 368・ 役員数 4 従業員数 2 ・ 役員数 1
（単位:人）</t>
  </si>
  <si>
    <t>フジセイコー株式会社
1.長期成長ビジョン
従業員・お客様・工場が共に成長し、他社に真似できない技術力で石英ガラスやシリコン等の
硬質脆性素材の加工において日本をリードする受託メーカーとなり、持続的な成長を実現する</t>
  </si>
  <si>
    <t>長期成長ビジョン（目指す姿・ビジネスモデル）
• 政府の半導体・デジタル産業戦略に基づき、国内の半導体製造拠点
整備が相次いでいる。当社が加工を手掛けるシリコンや石英ガラスは、
半導体製造装置において欠かせない製品であり、大きな需要拡大が
見込まれており、取引先からの引合いも増加傾向にある。
• 当社では、こうした外部環境の変化や経営課題を解決し、企業としての
新たなステージへとステップアップするため、2023年に10年ビジョンを
策定。
＜10年ビジョン＞
従業員・お客様・工場が共に成長し、他社にまねできない技術力
で日本をリードする硬質脆性素材の受託メーカーになる
＜本事業の取組み＞
• 10年ビジョンを実現するため、本事業を通じて、工場新築、廃水処理
設備の機能強化、自動加工機の導入等の大規模成長投資を実施し、
生産能力の拡充や省力化による大幅な生産性向上に取組む。
• 本事業の実施により、売上高35億円、営業利益14億円の達成を実
現し、持続的な成長を遂げていく。また、成長の源泉である従業員に
対して、年率平均6.5％の高い賃上げを実現する。</t>
  </si>
  <si>
    <t>外発的動機
＜政府による半導体・デジタル産業戦略＞
◆ 日本政府は「半導体・デジタル産業戦略」に基づき、国内の半導体製造
拠点整備に多額の予算を投じることとしており、国内の半導体製造拠点
の整備が進んでいる。
＜半導体のニーズ・需要＞
◆ 5G、IoT化の進展や、それに伴うデータセンター能力拡張の必要性など、
半導体の潜在需要は引き続き強く、加えて、自動車のEV化に伴い、自
動車に搭載される半導体の点数は増大しており、これらの領域における
半導体需要も高まっている。
＜取引先からの引合い増加＞
◆ 半導体需要の高まりを受け、取引先から増産要請の引合いが増加して
おり、生産体制を強化していく必要がある。</t>
  </si>
  <si>
    <t>内発的動機
＜生産キャパシティの限界＞
◆ 主力の「形状加工、研磨加工」の増産対応には、加工設備の増強や研
磨工程での大量に消費する給水受水設備・廃水処理設備の機能強化
を行っていく必要がある。
＜経営課題の解決（省人化・自動化対応）＞
◆ 加工や情報管理において人の手に頼る工程・業務が多く、企業としてス
テップアップするためには、製造工程の自動化・情報管理のシステム化を
行っていく必要がある。
＜職場環境の改善、福利厚生の充実＞
◆ 安定的な新規採用、雇用の維持を実現するためには、職場環境の改善、
福利厚生の充実、給与待遇の改善に取組んでいく必要がある。</t>
  </si>
  <si>
    <t>売上成長目標
• 2029年度までに会社全体の売上高成長率195％
2029年度までに会社全体の売上高増加額23億円
2023年度売上高11.8億円 → 2029年度売上高35億円
• 会社全体の賃上げ目標
3.94%（直近事業年度～基準年度）
6.39%（基準年度～事業化報告3年目）</t>
  </si>
  <si>
    <t>【p.1／売上成長目標】
売上成長目標
• 2029年度までに会社全体の売上高成長率195％
2029年度までに会社全体の売上高増加額23億円
2023年度売上高11.8億円 → 2029年度売上高35億円
• 会社全体の賃上げ目標
3.94%（直近事業年度～基準年度）
6.39%（基準年度～事業化報告3年目）</t>
  </si>
  <si>
    <t>【p.1】
フジセイコー株式会社
1.長期成長ビジョン
従業員・お客様・工場が共に成長し、他社に真似できない技術力で石英ガラスやシリコン等の
硬質脆性素材の加工において日本をリードする受託メーカーとなり、持続的な成長を実現する
長期成長ビジョン（目指す姿・ビジネスモデル） 外発的動機
＜政府による半導体・デジタル産業戦略＞
• 政府の半導体・デジタル産業戦略に基づき、国内の半導体製造拠点
◆日本政府は「半導体・デジタル産業戦略」に基づき、国内の半導体製造
整備が相次いでいる。当社が加工を手掛けるシリコンや石英ガラスは、
拠点整備に多額の予算を投じることとしており、国内の半導体製造拠点
半導体製造装置において欠かせない製品であり、大きな需要拡大が
の整備が進んでいる。
見込まれており、取引先からの引合いも増加傾向にある。
＜半導体のニーズ・需要＞
• 当社では、こうした外部環境の変化や経営課題を解決し、企業としての ◆5G、IoT化の進展や、それに伴うデータセンター能力拡張の必要性など、
新たなステージへとステップアップするため、2023年に10年ビジョンを 半導体の潜在需要は引き続き強く、加えて、自動車のEV化に伴い、自
策定。 動車に搭載される半導体の点数は増大しており、これらの領域における
半導体需要も高まっている。
＜10年ビジョン＞ ＜取引先からの引合い増加＞
従業員・お客様・工場が共に成長し、他社にまねできない技術力 ◆半導体需要の高まりを受け、取引先から増産要請の引合いが増加して
で日本をリードする硬質脆性素材の受託メーカーになる おり、生産体制を強化していく必要がある。
＜本事業の取組み＞
• 10年ビジョンを実現するため、本事業を通じて、工場新築、廃水処理 内発的動機
設備の機能強化、自動加工機の導入等の大規模成長投資を実施し、 ＜生産キャパシティの限界＞
生産能力の拡充や省力化による大幅な生産性向上に取組む。 ◆主力の「形状加工、研磨加工」の増産対応には、加工設備の増強や研
磨工程での大量に消費する給水受水設備・廃水処理設備の機能強化
• 本事業の実施により、売上高35億円、営業利益14億円の達成を実
を行っていく必要がある。
現し、持続的な成長を遂げていく。また、成長の源泉である従業員に
＜経営課題の解決（省人化・自動化対応）＞
対して、年率平均6.5％の高い賃上げを実現する。
◆加工や情報管理において人の手に頼る工程・業務が多く、企業としてス
テップアップするためには、製造工程の自動化・情報管理のシステム化を
売上成長目標
行っていく必要がある。
• 2029年度までに会社全体の売上高成長率195％
＜職場環境の改善、福利厚生の充実＞
2029年度までに会社全体の売上高増加額23億円
2023年度売上高11.8億円 → 2029年度売上高35億円 ◆安定的な新規採用、雇用の維持を実現するためには、職場環境の改善、
• 会社全体の賃上げ目標 福利厚生の充実、給与待遇の改善に取組んでいく必要がある。
3.94%（直近事業年度～基準年度）
6.39%（基準年度～事業化報告3年目）</t>
  </si>
  <si>
    <t>【p.2】
フジセイコー株式会社
.補助事業の概要
2
需要が拡大する半導体製造装置向け、硬質脆性素材加工の生産体制強化を図る
売上拡大・省力化により、労働生産性年平均＋26.09％、賃上げ年平均＋6.5％を実現する
• 自動運転やロボット等の新技術には半導体が多く利用され、今後も半導体の需要拡大が予
測されており、日本国内においても半導体製造拠点が次々に整備されている。
補助事業の 事業費
背景・目的 • 一方、当社では生産キャパシティが不足しており、生産体制に課題を有している。 （補助額） 1 6 億円
• 本事業を通じて、製造スペースを拡充するとともに、効率的な生産体制を構築すことにより、 （5. 0 億円）
市場が拡大する半導体製造装置需要を取り込み、飛躍的な成長を実現していく。
＜事業の内容＞
群馬県安中市内に新たに工場を建設し、最新鋭の硬質脆性素材加工機等の加工設備を導入する。
（１）建物費
①本社第２工場 金額：664,220千円
②廃水処理設備工事 金額：175,750千円
（２）機械装置費
設備投資の 導入設備：グラインディングセンタ、純水設備、自動グライデイングセンタ、遠心分離機
内容 ミストコレクター、ワイヤーソー、くりぬき加工機 合計：357,944千円（税抜）
＜労働生産性の向上＞
• 形状加工の生産キャパシティを現状比2.5倍へ拡充
• 自動化ラインの導入による省人化、夜間の稼働を実現 岡本工作機械製作所製
• 廃水処理設備の機能強化による研磨加工の生産キャパシティを現状比2.5倍へ拡充 グライディングセンタ
• 加工難易度が高い付加価値のある製品に特化した受注これらの取組みにより、労働生産性
新工場レイアウト図
の向上に取組んでいく。
2026年度 2029年度
項目
（基準年度） （基準年度＋３年後）
労働生産性
1,049万円
2,104万円
（単位：万円/人） （年平均上昇率＋26.1％）
目標値 従業員1人あたり給与支給総額 590万円
（単位：万円/人）
489万円
（年平均上昇率＋6.5％）
役員１人あたり給与支給総額
-
（単位：万円/人） - （年平均上昇率＋6.0）
補助事業に係る従業員数
94人 100人
（単位：人）</t>
  </si>
  <si>
    <t>スギムラ化学工業株式会社
1.長期成長ビジョン
環境意識の高まり、顧客の産業構造転換によるニーズの変化に伴い、研究開発力に強みを持つ当社が市場か
ら求められる製品を提供し、文字通り日本産業の潤滑油のような存在を目指す。</t>
  </si>
  <si>
    <t>長期成長ビジョン（目指す姿・ビジネスモデル）
【目指す姿（5～10年後における企業像）】
当社は、持続可能な社会に貢献するマテリアル開発型企業を目指
す。バイオマス原料への切替や製品リサイクル提案、油剤の高性能化
を通じて、顧客のカーボンニュートラル実現に貢献し、「高機能×環境
配慮」分野で中核的役割を担う。
【目指すビジネスモデル】
多様な試作・用途開発の実績をもとに、製造業の現場ニーズに応
じた機能材料を柔軟に提案。100％受注生産体制のもと、小ロット
試作から量産まで柔軟に対応し、再生油や環境配慮素材の開発を
強化。加工油事業を中心に、提案型・高付加価値モデルへの転換
を図り、多品種少量でも収益性を確保する。これにより得た利益を原
資に積極的な賃上げを行い、継続的な組織力の強化を図る。
【社会に提供する価値】
機能性と環境性を備えた材料により、顧客製品の性能向上や脱
炭素対応を支援する。製品仕様や工程への適合性を踏まえた提案
を通じて、製造現場に寄り添うソリューションパートナーとなる。バイオマ
ス原料への切替、リサイクル提案、高性能油剤による省エネ支援を通
じ、顧客のカーボンニュートラル実現に貢献する。
を背景に、自社の進むべき方向を中長期的に明確化する必要性
じ、長期ビジョンの策定に至った。</t>
  </si>
  <si>
    <t>外発的動機
• 気候変動や資源制約の深刻化により、製造業全体で脱炭素や資
源循環への対応が強く求められている。加えて、製品性能と環境配
慮の両立が前提となり、素材にも機能性と環境性の両立が求めら
れるようになった。
• 自動車分野では、HV市場拡大やEV市場停滞、海外EVメーカー
の進出など構造変化が進み、環境対応素材の採用も加速。素材
サプライヤーには高い技術対応力が求められている。
こうした変化に対応できなければ、選ばれ続けることはできないという
強い危機感があった。そこで当社では、個別の製品対応に留まらず、
企業としての進むべき方向を明確にすべく、中長期的な視点からビジョ
ンを策定した。</t>
  </si>
  <si>
    <t>内発的動機
• 当社はこれまで、用途や工程に応じた素材処方の提供を通じ、顧
客の製品づくりを支えてきた。従来は仕様通りの受託が主流だった
が、近年は製品特性や開発スピードに応じた提案型のニーズが増
加している。
• 経営陣としても、これまで培ってきた設計力や試作対応力を、単な
る製造受託ではなく「付加価値のある素材提案」として活かすべき
局面を迎えていると認識している。
再生油や環境配慮型素材を扱う中で、素材を通じた社会課題への
貢献や、企業としての責任の高まりを実感するようになった。こうした気
づきを背景に、自社の進むべき方向を中長期的に明確化する必要性
を感じ、長期ビジョンの策定に至った。</t>
  </si>
  <si>
    <t>会社全体の売上成長目標（～2031年）
• 売上高成長率178.6％
• 売上高増加額114億円（2031年売上高：259億円）
会社全体の賃上げ目標
• 0.1%（直近事業年度～基準年度）
• 6.0%（基準年度～事業化報告3年目）</t>
  </si>
  <si>
    <t>【p.1／売上成長目標】
会社全体の売上成長目標（～2031年）
• 売上高成長率178.6％
• 売上高増加額114億円（2031年売上高：259億円）
会社全体の賃上げ目標
• 0.1%（直近事業年度～基準年度）
• 6.0%（基準年度～事業化報告3年目）
【p.2／写真等】
写真等
【建物】1.9倍に拡張 【1階】ゆとりある作業空間 【2階】広い作業スペース 【1階】柔軟な生産レイアウト</t>
  </si>
  <si>
    <t>【p.1】
スギムラ化学工業株式会社
1.長期成長ビジョン
環境意識の高まり、顧客の産業構造転換によるニーズの変化に伴い、研究開発力に強みを持つ当社が市場か
ら求められる製品を提供し、文字通り日本産業の潤滑油のような存在を目指す。
長期成長ビジョン（目指す姿・ビジネスモデル） 外発的動機
【目指す姿（5～10年後における企業像）】 • 気候変動や資源制約の深刻化により、製造業全体で脱炭素や資
源循環への対応が強く求められている。加えて、製品性能と環境配
当社は、持続可能な社会に貢献するマテリアル開発型企業を目指
慮の両立が前提となり、素材にも機能性と環境性の両立が求めら
す。バイオマス原料への切替や製品リサイクル提案、油剤の高性能化
れるようになった。
を通じて、顧客のカーボンニュートラル実現に貢献し、「高機能×環境
配慮」分野で中核的役割を担う。 • 自動車分野では、HV市場拡大やEV市場停滞、海外EVメーカー
の進出など構造変化が進み、環境対応素材の採用も加速。素材
【目指すビジネスモデル】
サプライヤーには高い技術対応力が求められている。
多様な試作・用途開発の実績をもとに、製造業の現場ニーズに応
じた機能材料を柔軟に提案。100％受注生産体制のもと、小ロット
こうした変化に対応できなければ、選ばれ続けることはできないという
試作から量産まで柔軟に対応し、再生油や環境配慮素材の開発を
強い危機感があった。そこで当社では、個別の製品対応に留まらず、
強化。加工油事業を中心に、提案型・高付加価値モデルへの転換
企業としての進むべき方向を明確にすべく、中長期的な視点からビジョ
を図り、多品種少量でも収益性を確保する。これにより得た利益を原
ンを策定した。
資に積極的な賃上げを行い、継続的な組織力の強化を図る。
【社会に提供する価値】
機能性と環境性を備えた材料により、顧客製品の性能向上や脱 内発的動機
炭素対応を支援する。製品仕様や工程への適合性を踏まえた提案 • 当社はこれまで、用途や工程に応じた素材処方の提供を通じ、顧
を通じて、製造現場に寄り添うソリューションパートナーとなる。バイオマ 客の製品づくりを支えてきた。従来は仕様通りの受託が主流だった
ス原料への切替、リサイクル提案、高性能油剤による省エネ支援を通 が、近年は製品特性や開発スピードに応じた提案型のニーズが増
じ、顧客のカーボンニュートラル実現に貢献する。 加している。
• 経営陣としても、これまで培ってきた設計力や試作対応力を、単な
会社全体の売上成長目標（～2031年）
る製造受託ではなく「付加価値のある素材提案」として活かすべき
• 売上高成長率178.6％ 局面を迎えていると認識している。
• 売上高増加額114億円（2031年売上高：259億円）
再生油や環境配慮型素材を扱う中で、素材を通じた社会課題への
会社全体の賃上げ目標
貢献や、企業としての責任の高まりを実感するようになった。こうした気
• 0.1%（直近事業年度～基準年度）
づきを背景に、自社の進むべき方向を中長期的に明確化する必要性
• 6.0%（基準年度～事業化報告3年目）
を感じ、長期ビジョンの策定に至った。</t>
  </si>
  <si>
    <t>【p.2】
スギムラ化学工業株式会社
.補助事業の概要
2
柔軟な供給体制への転換を目的に、新工場の建設と一連の生産設備の最適配置を実施する。
生産性向上と多品種対応を両立し、生産能力3倍、労働生産性＋30.8%、給与支給総額＋6.0%を見込む。
補助事業の 高機能・多品種製品への対応力や供給安定性の確保を含め、生産体制を再構築し、柔軟で 事業費 億円
47
背景・目的 効率的な製造プロセスへ転換する。生産能力と収益性を高める供給基盤を確立する。 （補助額） （1 億円）
2
• 本補助事業では、主に新工場の建設と一連の生産設備の導入を実施する。
• 工場面積は1.9倍に拡張され、生産動線も再設計されることで作業効率が向上する。
• 撹拌槽・撹拌機・加温槽などを製品のロットや用途に応じて最適配置し、段取り時間や不良の発生を抑制する。
これにより生産能力は実質3倍に拡張され、多品種・高性能な潤滑剤や再生油などの量産に対応可能となる。
• 従来対応が難しかった小ロットや試作にも柔軟に対応できる体制となり、売上拡大と利益率の改善が期待される。
設備投資の
内容
写真等
【建物】1.9倍に拡張 【1階】ゆとりある作業空間 【2階】広い作業スペース 【1階】柔軟な生産レイアウト
2028年度 2031年度
項目
（基準年度） （基準年度＋３年後）
（単
労
位
働
：
生
万
産
円
性
/人）
1,426
（年平均上
3
昇
,1
率
92
＋30.8％）
目標値 従業員1人あたり給与支給総額
626
746
（単位：万円/人） （年平均上昇率＋6.0％）
役員１人あたり給与支給総額
-
（単位：万円/人） - （年平均上昇率＋6.0％）
補助事業に係る従業員数
192 198
（単位：人）</t>
  </si>
  <si>
    <t>都吹株式会社
1.長期成長ビジョン
大規模成長投資で地元(島根県)の雇用創出・経済の活性化・インフラ整備の発展に寄与するとともに、企
業規模を拡大させ、グローバル市場での競争力を高める</t>
  </si>
  <si>
    <t>長期成長ビジョン(目指す姿・ビジネスモデル)
「冷凍食品を通じて社会貢献する」、「お客様の食卓に笑顔を届け
る」を基本方針とし、創立40年の知見、急速冷凍技術等を武器に
会社規模の拡大を図り、従業員、地域社会への還元を実現させる
 冷凍豆腐・冷凍厚揚げの販売シェア日本一へと成長を遂げ、全
社員の大幅且つ、持続的な賃上げを実現させる
 補助事業実施により、省人化を図り、長期的な大規模成長を見
据えた省人化・自動化を推進し、柔軟な生産対応を可能とする
工場により生産効率を大幅に向上させる
 2035年までに補助事業対象商品である冷凍豆腐・冷凍厚揚げ
の海外輸出を拡大し、日本初の高品質冷凍豆腐として、アジア・
欧米市場への進出、ヴィーガン・ハラル対応により、幅広い食文化
に適応させる
 栄養価が高く、地球環境負荷の低い良質な植物性タンパク質で
ある地元の「大豆」を利用した冷凍商品の開発拡大を行い、持続
可能な社会実現に寄与する</t>
  </si>
  <si>
    <t>外発的動機
• 労働人口の減少(人手不足)に伴う、簡便で“美味しい”冷凍食品
のニーズの高まり
• 「冷凍食品＝手抜き、美味しくない」のイメージを覆す、最新の冷凍
技術(＝美味しさを守る技術)と素材へのこだわり
• コロナ禍以降、チルド商品から冷凍食品への移行が進行
• 賞味期限が短く、売れ残った場合に大量廃棄が発生
チルド商品
• 流通過程での温度管理が厳しく、廃棄率が高い
• 賞味期限が数か月～1年以上と長く、在庫管理しやすい
冷凍商品
• 品質安定、フードロス削減し、グローバルな食品流通可能
• 既存取引先より、「大豆」を利用した冷凍食品開発ニーズ高く、豆
腐市場において冷凍豆腐・冷凍厚揚げの引き合いが強くなっている</t>
  </si>
  <si>
    <t>内発的動機
• 補助事業を計画している島根工場は過疎地域に立地しているため、
地元の雇用を創出し、少しでも地元に貢献したい
※島根県雇用対策計画(令和7年3月策定)において、県内就業率
は低い。県内高校卒業生の約49.0％が県外に就職(島根県雇
用対策計画内数値)しており、地方創生に注力する必要性が高い
• 本来冷凍保存が困難とされる豆腐を特殊技術により、急速冷凍を
行うことができる技術力を保有
• 島根工場の位置する島根県で栽培された大豆を使用した商品を
生産し、地元農業が活性化するよう応援したい
• 輸入大豆仕入にあたり、地元の港湾施設を利用することで、地元
に寄り添う企業として共に発展したい
• 島根工場の生産能力が限界に到達し、機会損失が発生
• 震災、コロナ禍等外部環境の急変に苦労した時代があり、社会的
なニーズや価値観の変化に柔軟に対応する企業を目指したい</t>
  </si>
  <si>
    <t>会社全体の売上成長目標
※基準年度～事業化報告3年
• 年平均売上高成長率 16.89％
• 売上高増加額 45億円
会社全体の賃上げ目標
• 年平均上昇率(従業員) 7.35%
• 年平均上昇率(役員) 6.00％</t>
  </si>
  <si>
    <t>【p.1／売上成長目標】
会社全体の売上成長目標
※基準年度～事業化報告3年
• 年平均売上高成長率 16.89％
• 売上高増加額 45億円
会社全体の賃上げ目標
• 年平均上昇率(従業員) 7.35%
• 年平均上昇率(役員) 6.00％
【p.2／現在の工場生産キャパシティでは顧客からの増産依頼に対して、全ての対応が困難】
 現在の工場生産キャパシティでは顧客からの増産依頼に対して、全ての対応が困難
 補助事業での生産商品は顧客からの引き合いが強く、販売網確保も実現でき、事業規模拡大(＝賃上げ実施)に繋がる</t>
  </si>
  <si>
    <t>【p.1】
都吹株式会社
1.長期成長ビジョン
大規模成長投資で地元(島根県)の雇用創出・経済の活性化・インフラ整備の発展に寄与するとともに、企
業規模を拡大させ、グローバル市場での競争力を高める
長期成長ビジョン(目指す姿・ビジネスモデル) 外発的動機
• 労働人口の減少(人手不足)に伴う、簡便で“美味しい”冷凍食品
「冷凍食品を通じて社会貢献する」、「お客様の食卓に笑顔を届け
のニーズの高まり
る」を基本方針とし、創立40年の知見、急速冷凍技術等を武器に
• 「冷凍食品＝手抜き、美味しくない」のイメージを覆す、最新の冷凍
会社規模の拡大を図り、従業員、地域社会への還元を実現させる
技術(＝美味しさを守る技術)と素材へのこだわり
• コロナ禍以降、チルド商品から冷凍食品への移行が進行
 冷凍豆腐・冷凍厚揚げの販売シェア日本一へと成長を遂げ、全 • 賞味期限が短く、売れ残った場合に大量廃棄が発生
チルド商品
社員の大幅且つ、持続的な賃上げを実現させる • 流通過程での温度管理が厳しく、廃棄率が高い
 補助事業実施により、省人化を図り、長期的な大規模成長を見 • 賞味期限が数か月～1年以上と長く、在庫管理しやすい
冷凍商品
• 品質安定、フードロス削減し、グローバルな食品流通可能
据えた省人化・自動化を推進し、柔軟な生産対応を可能とする
工場により生産効率を大幅に向上させる • 既存取引先より、「大豆」を利用した冷凍食品開発ニーズ高く、豆
腐市場において冷凍豆腐・冷凍厚揚げの引き合いが強くなっている
 2035年までに補助事業対象商品である冷凍豆腐・冷凍厚揚げ
の海外輸出を拡大し、日本初の高品質冷凍豆腐として、アジア・
内発的動機
欧米市場への進出、ヴィーガン・ハラル対応により、幅広い食文化
に適応させる • 補助事業を計画している島根工場は過疎地域に立地しているため、
地元の雇用を創出し、少しでも地元に貢献したい
 栄養価が高く、地球環境負荷の低い良質な植物性タンパク質で
※島根県雇用対策計画(令和7年3月策定)において、県内就業率
ある地元の「大豆」を利用した冷凍商品の開発拡大を行い、持続
は低い。県内高校卒業生の約49.0％が県外に就職(島根県雇
可能な社会実現に寄与する
用対策計画内数値)しており、地方創生に注力する必要性が高い
• 本来冷凍保存が困難とされる豆腐を特殊技術により、急速冷凍を
会社全体の売上成長目標 行うことができる技術力を保有
※基準年度～事業化報告3年 • 島根工場の位置する島根県で栽培された大豆を使用した商品を
• 年平均売上高成長率 16.89％ 生産し、地元農業が活性化するよう応援したい
• 輸入大豆仕入にあたり、地元の港湾施設を利用することで、地元
• 売上高増加額 45億円
に寄り添う企業として共に発展したい
会社全体の賃上げ目標
• 島根工場の生産能力が限界に到達し、機会損失が発生
• 年平均上昇率(従業員) 7.35% • 震災、コロナ禍等外部環境の急変に苦労した時代があり、社会的
• 年平均上昇率(役員) 6.00％ なニーズや価値観の変化に柔軟に対応する企業を目指したい</t>
  </si>
  <si>
    <t>【p.2】
都吹株式会社
.補助事業の概要
2
既存島根工場の増築、新設備導入により、工場全体オペレーションを見直し、労働生産性の向上を
実現させる = 継続的な賃上げの実施
 現在の工場生産キャパシティでは顧客からの増産依頼に対して、全ての対応が困難
 補助事業での生産商品は顧客からの引き合いが強く、販売網確保も実現でき、事業規模拡大(＝賃上げ実施)に繋がる
補助事業の ＜課題＞ 国内外の競争激化による商品差別化および既存島根工場の労働生産性 事業費 3 億円
2
背景・目的 ＜目的＞ 労働生産性の抜本的な向上と事業規模拡大により、継続的な賃上げを実現 （補助額） (1 億円)
0
豆乳抽出設備 フリーザー
“ 既存島根工場の増設を行い、冷凍豆腐・厚揚げの製造を拡大 ”
 事業規模の拡大
2019年に島根工場新設後、空きスペースの有効活用を継続的に検討
今後の調理済食品市場の需要拡大を見据え、生産能力の拡大を図る
 持続的な賃上げ
従来より賃上げを継続的に行ってきたが、本件投資による労働生産性向上 ※ 一部の機械
設備投資の 設備を掲載
実現により、日本企業全体の平均賃上げ率を上回る賃上げが可能となる
内容  製造ライン、製造体制の見直し
既存島根工場
スマートファクトリー化、既存事業×DX化による事業変革や省人化を図り、
製造ライン、製造体制全体の見直しを実施し労働生産性向上に繋げる
 環境負荷の軽減
補助事業実施と同時並行で太陽光パネルの設置を実施する。加えて、自然
冷媒フリーザー導入による脱フロン化、蒸気加熱式フライヤー導入によるCO2
削減が可能となる
2027年度 2030年度
項目
（基準年度） （基準年度＋３年後）
労働生産性 975
605
（単位：万円/人） （年平均上昇率＋17.2％）
目標値 従業員1人あたり給与支給総額 442
357
（単位：万円/人） （年平均上昇率＋7.3％）
役員１人あたり給与支給総額 1,872
1,572
（単位：万円/人） （年平均上昇率＋6.0％）
補助事業に係る従業員数
318 336
（単位：人）</t>
  </si>
  <si>
    <t>賀谷セロファン株式会社
1.長期成長ビジョン
北陸エリアで業界における圧倒的No.1企業となる</t>
  </si>
  <si>
    <t>長期成長ビジョン（目指す姿・ビジネスモデル）
• 常に顧客から何が求められるているかを敏感にキャッチする。そして、
最先端の設備を揃え、最高の仕事をする。
• 具長体的期に成は長、労ビ務ジ自ョン動（化目比率指＊すを姿現・在ビのジ5ネ5%スかモらデ、ル5年）後(本事業
終了時)に75%、そして15年後(次期大型工場建築時)に90%まで
• （会社（又はグループ全体）が長期的（５～10年後）に目指
引き上げる。
す姿として、社会に対しどのような価値を提供するか等のビジョンに
ついてご記載ください）
• 工場の自動化促進に合わせて、効率を徹底追求した基幹システムを
計画的に導入する。
• 上記は自ずと安全面と働きやすさが伴うものであり、働き方改革に叶う。
常に最先端を追い求め、働くことがワクワクする会社にすることで、人材
を確保する。高収益を達成し、力強い賃上げを持続する。
• 上記を成し遂げ、北陸エリアで業界における圧倒的No.1企業となる。
会社全体の売上成長目標（～2030年）
•
•
• 4.0
•</t>
  </si>
  <si>
    <t>外発的動機
1. 環境規制と顧客要求の高まり
日本のプラスチック資源循環法により、揮発性有機溶剤（VOC）を使わないラミネート技術へ
の転換がグローバルスタンダードに。サステナブル調達を推進する大手食品・医薬品メーカーの
指名条件でもある。
2. 硬質容器から軟包装へのシフト加速
少量・多頻度・リフィル需要の拡大で、紙箱・ガラス瓶から軽量なスタンドパック／スパウトパウチ
への置き換えが急速に進行。
3. 物流2024年問題とカーボンコストの顕在化
人手不足によるリードタイム長期化・運賃高騰により、調達から納品までのリスクを自社内に吸
収できる高効率一貫生産の価値が上昇。CO₂排出量可視化義務化への対応としても、輸送
回数を減らす軽量・省スペース包装への切り替えが不可避。
4. 地域経済への波及と政府補助金の活用機会
「持続的賃上げ」を掲げる政策と、大規模投資を後押しする補助金制度を活かし、北陸発・最
新鋭自動化工場のモデルケースとなる好機。</t>
  </si>
  <si>
    <t>内発的動機
1. 自動化ロードマップの実現
先進他社視察で痛感した残り20～35ポイントのオートメーション・ギャップを埋め、5 年後には
労務自動化率75%、15年後90% を達成して北陸エリア No.1 の座を確固たるものにする。
2. 多様な人材が活躍できる“安全・クリーン工場”の実装
重量物搬送や溶剤臭による身体的・衛生的負担を根本解消し、女性・シニア・外国人実習生
を含む多様なチームが安心して働ける環境を構築。
3. 繁忙期の二交替＋残業からの脱却
AGV・立体倉庫・ノンソルベントラミネータ導入により、段取り・搬送のムダ時間を 40 % 以上
削減。残業削減と休日確保でエンゲージメントを向上させ、優秀人材の定着を図る。
4. “賃上げ 6 %／年” を継続できる利益体質への転換
高付加価値製品比率を引き上げ、限界利益率 72 % を実現。生産性向上と価格競争力
強化を両立させ、従業員への還元と次期投資を好循環させる。
5. データドリブン経営と現場イノベーションの加速
基幹システム刷新でリアルタイム原価・品質データを可視化し、現場発の改善提案を即 PDCA
に反映。属人的ノウハウをデジタル資産に転換する。</t>
  </si>
  <si>
    <t>社全体の売上成長目標（～2030年）
会社全体の売上成長目標（～XX年）
売上高成長率17.1％
• 売上高成長率XX％
売上高増加額27.8億円
• 売上高増加額XX億円
会社全体の賃上げ目標
社全体の賃上げ目標
• XX.X%（直近事業年度～基準年度）
.0%（直近事業年度～基準年度）
• XX.X%（基準年度～事業化報告3年目）
.0%（基準年度～事業化報告3年目）</t>
  </si>
  <si>
    <t>【p.1／売上成長目標】
社全体の売上成長目標（～2030年）
会社全体の売上成長目標（～XX年）
売上高成長率17.1％
• 売上高成長率XX％
売上高増加額27.8億円
• 売上高増加額XX億円
会社全体の賃上げ目標
社全体の賃上げ目標
• XX.X%（直近事業年度～基準年度）
.0%（直近事業年度～基準年度）
• XX.X%（基準年度～事業化報告3年目）
.0%（基準年度～事業化報告3年目）
【p.2／設備投資の内容】
【設備投資の内容】 A：建物費18億円、B:機械装置費10
A：本社工場を増設工事を施し、そこにAGV,AGF,立体自動
B：高付加価値製品の生産性向上・自動化比率向上を目指
C：基幹システムの抜本改革。上記A・Bの設備投資と連携す
【課題解決手段・労働生産性向上策】
• 非防爆型工場の新設による作業効率向上及び労働環境改
• 環境配慮型工場とすることでの省エネ・脱炭素化とTier1か
• スパウトインサータ、スタンド製袋機の導入によるスパウト付包
スタンドパック製造による高付加価値化（右写真：主要設
• 工程間の段取工程における手作業の自動化・省力化
• 熟練技術者のノウハウのデジタル化・機械化による品質安定</t>
  </si>
  <si>
    <t>【p.1】
賀谷セロファン株式会社
1.長期成長ビジョン
北陸エリアで業界における圧倒的No.1企業となる
外発的動機
長期成長ビジョン（目指す姿・ビジネスモデル）
1. 環境規制と顧客要求の高まり
• 常に顧客から何が求められるているかを敏感にキャッチする。そして、 日本のプラスチック資源循環法により、揮発性有機溶剤（VOC）を使わないラミネート技術へ
最先端の設備を揃え、最高の仕事をする。 の転換がグローバルスタンダードに。サステナブル調達を推進する大手食品・医薬品メーカーの
指名条件でもある。
• 具長体的期に成は長、労ビ務ジ自ョン動（化目比率指＊すを姿現・在ビのジ5ネ5%スかモらデ、ル5年）後(本事業 2. 硬質容器から軟包装へのシフト加速
終了時)に75%、そして15年後(次期大型工場建築時)に90%まで 少量・多頻度・リフィル需要の拡大で、紙箱・ガラス瓶から軽量なスタンドパック／スパウトパウチ
• （会社（又はグループ全体）が長期的（５～10年後）に目指 への置き換えが急速に進行。
引き上げる。
す姿として、社会に対しどのような価値を提供するか等のビジョンに 3. 物流2024年問題とカーボンコストの顕在化
ついてご記載ください） 人手不足によるリードタイム長期化・運賃高騰により、調達から納品までのリスクを自社内に吸
• 工場の自動化促進に合わせて、効率を徹底追求した基幹システムを
収できる高効率一貫生産の価値が上昇。CO₂排出量可視化義務化への対応としても、輸送
計画的に導入する。
回数を減らす軽量・省スペース包装への切り替えが不可避。
4. 地域経済への波及と政府補助金の活用機会
• 上記は自ずと安全面と働きやすさが伴うものであり、働き方改革に叶う。 「持続的賃上げ」を掲げる政策と、大規模投資を後押しする補助金制度を活かし、北陸発・最
常に最先端を追い求め、働くことがワクワクする会社にすることで、人材 新鋭自動化工場のモデルケースとなる好機。
を確保する。高収益を達成し、力強い賃上げを持続する。
内発的動機
1. 自動化ロードマップの実現
• 上記を成し遂げ、北陸エリアで業界における圧倒的No.1企業となる。
先進他社視察で痛感した残り20～35ポイントのオートメーション・ギャップを埋め、5 年後には
労務自動化率75%、15年後90% を達成して北陸エリア No.1 の座を確固たるものにする。
会社全体の売上成長目標（～2030年） 2. 多様な人材が活躍できる“安全・クリーン工場”の実装
• 売上 会 高 社 成 全 長 体 率 の 1 売 7. 上 1％ 成長目標（～XX年） 重量物搬送や溶剤臭による身体的・衛生的負担を根本解消し、女性・シニア・外国人実習生
• 売上• 高 売 増 上 加 高成 額 長 2 率 7. X 8 X 億 ％ 円 を含む多様なチームが安心して働ける環境を構築。
3. 繁忙期の二交替＋残業からの脱却
• 売上高増加額XX億円
AGV・立体倉庫・ノンソルベントラミネータ導入により、段取り・搬送のムダ時間を 40 % 以上
会社全体の賃上げ目標
会社全体の賃上げ目標 削減。残業削減と休日確保でエンゲージメントを向上させ、優秀人材の定着を図る。
• XX.X%（直近事業年度～基準年度） 4. “賃上げ 6 %／年” を継続できる利益体質への転換
• 4.0 • % X （ X. 直 X% 近 （ 事 基 業 準 年 年 度 度～ ～ 事 基 業 準 化 年 報 度 告 ） 3年目） 高付加価値製品比率を引き上げ、限界利益率 72 % を実現。生産性向上と価格競争力
• 6.0%（基準年度～事業化報告3年目） 強化を両立させ、従業員への還元と次期投資を好循環させる。
5. データドリブン経営と現場イノベーションの加速
基幹システム刷新でリアルタイム原価・品質データを可視化し、現場発の改善提案を即 PDCA
＊労務自動化率＝工程要員のうち、常時ラインに張り付く必要がなくなる割合 に反映。属人的ノウハウをデジタル資産に転換する。</t>
  </si>
  <si>
    <t>【p.2】
賀谷セロファン株式会社
.補助事業の概要
2
最新鋭自動化工場と高付加価値製品による持続賃上げ基盤構築事業
• 従来の「安い売値に合わせて製造原価を抑制する」ビジネスモデルから脱却し、高付加価値製品の開発・
製造に注力することで、より高い売値を実現し、安定した給与原資の確保するビジネスモデルへ変革する。
補助事業の 事業費 3 億円
• 「高付加価値製品を安定供給できるサプライヤー」と「一般商材を低価格で提供するサプライヤー」では、 1
背景・目的 （補助額） （ 億円）
7.5
事業安定性が全く異なる。本補助金を活用した大規模投資により、高付加価値製品の製造体制を構
築し、地域における持続的な賃上げの実現に貢献する。
スタンド製袋機
【設備投資の内容】 A：建物費18億円、B:機械装置費10億円、C：システム構築費2億円
A：本社工場を増設工事を施し、そこにAGV,AGF,立体自動倉庫を設置する(P14-15)
B：高付加価値製品の生産性向上・自動化比率向上を目指す(P16)
C：基幹システムの抜本改革。上記A・Bの設備投資と連携する（P17）
設備投資の 【課題解決手段・労働生産性向上策】
スパウトインサータ
内容 • 非防爆型工場の新設による作業効率向上及び労働環境改善 ノンソルベントラミネータ
• 環境配慮型工場とすることでの省エネ・脱炭素化とTier1からの受注拡大
• スパウトインサータ、スタンド製袋機の導入によるスパウト付包装や
スタンドパック製造による高付加価値化（右写真：主要設備）
• 工程間の段取工程における手作業の自動化・省力化
• 熟練技術者のノウハウのデジタル化・機械化による品質安定性・ロス削減
2026年度（2027/4月期） 2029年度（2030年4月期）
項目
（基準年度） （基準年度＋３年後）
（単
労
位
働
：
生
万
産
円
性
/人）
1,076万円/人
（年平
2
均
,0
上
2
昇
4万
率
円
＋
/
2
人
3.4％）
目標値 従業員
（
1
単
人
位
あ
：
た
万
り給
円
与
/人
支
）
給総額 526万円/人
（年平均
62
上
6
昇
万
率
円
＋
/人
6.0％）
役員１人あたり給与支給総額
-
（単位：万円/人） - （年平均上昇率＋6.0％）
補助事業に係る従業員数
74人 88人
（単位：人）</t>
  </si>
  <si>
    <t>株式会社清水インダストリー
1.長期成長ビジョン
バイオマス発電の燃料となるウッドチップの生産強化や物流問題解決に向けたトレーラー車への
ウォーキングフロア架装事業を通じて、2030年に売上高37億円と飛躍的な成長を実現する</t>
  </si>
  <si>
    <t>長期成長ビジョン（目指す姿・ビジネスモデル）
• 自然に寄り添った仕事がしたいという想いから林業を主業とし
て創業。その後、土木工事・産業廃棄物収集運搬、産業
廃棄物処理業、事業に使用する重機やトラックの販売・整
備事業まで多角的に事業を展開している。
• 1990年の設立以来、自然環境に配慮した事業を社会に
提供することにより、持続的な成長を遂げてきた。当社を取り
巻く事業環境は急速に変化しており、時代や顧客ニーズに
適した新たな価値を提供し続けることにより、更なる成長を遂
げていくことを成長ビジョンに位置付けている。
• 本事業を通じて、需要が拡大している①ウッドチップの生産
能力強化及び高品質化、②トレーラー車へのウォーキング
フロアの架装事業を展開していく。
• 外部環境や内部環境を踏まえ、需要が増加する分野への
積極的な大型設備投資を実行することで競争優位性を確
立し、2030年には、売上高37億円・営業利益5億円の野
心的な目標を設定し、飛躍的な成長を実現していく。</t>
  </si>
  <si>
    <t>外発的動機
• カーボンニュートラル実現に向け、バイオマス発電所の増加
に伴い、豊富な森林資源を活用したウッドチップの需要が
増加している
• 2024年問題により物流業界におけるドライバー不足して
おり、効率的な輸送ができるウォーキングフロア仕様のトレー
ラー車の需要の増加している
（グループ会社でウォーキングフロアの架装事業を行ってい
るが、納品まで２年待ちの状況）
• 円安や海外情勢による燃料費等の資源価格の高止まり
による収益悪化や人口減少による労働者不足等の社会
的な課題に直面している</t>
  </si>
  <si>
    <t>内発的動機
• 木くずの処理能力に限界があり、依頼が多いものの処理で
きない状況、処理能力を拡大していく必要性がある
• 重機での作業工程が多く、慢性的に時間外労働が増加、
作業効率の改善や自動化に取組んでいく必要性がある
• 木くずをウッドチップへ処理する際におが屑が混じってしまい、
ウッドチップとしての商品価値が低下しているため、おが屑を
除去する振るい機等の設備導入を行い、商品価値を高め
ていく必要性がある
• 人材募集を行っても人材が集まりにくい状況であり、労働
環境の改善や企業の魅力度を高める取り組みを行っていく
必要性がある</t>
  </si>
  <si>
    <t>会社全体の売上成長目標（～2030年4月期）
• 売上高成長率159.5％
• 売上高増加額23億円
会社全体の賃上げ目標
• 1.55%（直近事業年度～基準年度）
• 6.2%（基準年度～事業化報告3年目）</t>
  </si>
  <si>
    <t>【p.1／売上成長目標】
会社全体の売上成長目標（～2030年4月期）
• 売上高成長率159.5％
• 売上高増加額23億円
会社全体の賃上げ目標
• 1.55%（直近事業年度～基準年度）
• 6.2%（基準年度～事業化報告3年目）</t>
  </si>
  <si>
    <t>【p.1】
株式会社清水インダストリー
1.長期成長ビジョン
バイオマス発電の燃料となるウッドチップの生産強化や物流問題解決に向けたトレーラー車への
ウォーキングフロア架装事業を通じて、2030年に売上高37億円と飛躍的な成長を実現する
長期成長ビジョン（目指す姿・ビジネスモデル） 外発的動機
• カーボンニュートラル実現に向け、バイオマス発電所の増加
• 自然に寄り添った仕事がしたいという想いから林業を主業とし
に伴い、豊富な森林資源を活用したウッドチップの需要が
て創業。その後、土木工事・産業廃棄物収集運搬、産業
増加している
廃棄物処理業、事業に使用する重機やトラックの販売・整
• 2024年問題により物流業界におけるドライバー不足して
備事業まで多角的に事業を展開している。
おり、効率的な輸送ができるウォーキングフロア仕様のトレー
• 1990年の設立以来、自然環境に配慮した事業を社会に ラー車の需要の増加している
提供することにより、持続的な成長を遂げてきた。当社を取り
（グループ会社でウォーキングフロアの架装事業を行ってい
巻く事業環境は急速に変化しており、時代や顧客ニーズに
るが、納品まで２年待ちの状況）
適した新たな価値を提供し続けることにより、更なる成長を遂
• 円安や海外情勢による燃料費等の資源価格の高止まり
げていくことを成長ビジョンに位置付けている。
による収益悪化や人口減少による労働者不足等の社会
• 本事業を通じて、需要が拡大している①ウッドチップの生産 的な課題に直面している
能力強化及び高品質化、②トレーラー車へのウォーキング
フロアの架装事業を展開していく。 内発的動機
• 外部環境や内部環境を踏まえ、需要が増加する分野への • 木くずの処理能力に限界があり、依頼が多いものの処理で
きない状況、処理能力を拡大していく必要性がある
積極的な大型設備投資を実行することで競争優位性を確
立し、2030年には、売上高37億円・営業利益5億円の野 • 重機での作業工程が多く、慢性的に時間外労働が増加、
作業効率の改善や自動化に取組んでいく必要性がある
心的な目標を設定し、飛躍的な成長を実現していく。
• 木くずをウッドチップへ処理する際におが屑が混じってしまい、
会社全体の売上成長目標（～2030年4月期） ウッドチップとしての商品価値が低下しているため、おが屑を
• 売上高成長率159.5％ 除去する振るい機等の設備導入を行い、商品価値を高め
• 売上高増加額23億円
ていく必要性がある
会社全体の賃上げ目標
• 人材募集を行っても人材が集まりにくい状況であり、労働
• 1.55%（直近事業年度～基準年度）
環境の改善や企業の魅力度を高める取り組みを行っていく
• 6.2%（基準年度～事業化報告3年目）
必要性がある</t>
  </si>
  <si>
    <t>【p.2】
株式会社清水インダストリー
.補助事業の概要
2
成長分野であるウッドチップ及びウォーキングフロア事業の強化を図るため大型設備投資を実行
売上収益の拡大、労働生産性の抜本的な向上を図ることにより、年平均7％の賃上げを実施
補助事業の目的は、木くず等の中間処理施設及びトレーラー車架装施設の整備の2点である。
① カーボンニュートラル実現に向けバイオマス発電の需要が高まる中、燃料となるウッドチップ
事業費 15億円
補助事業の の需要が増加しているが、当社の処理施設では処理能力が限られていることから、本事
（補助額） （ 億円）
背景・目的 業を通じて木くず等の中間処理施設を整備する。 4.8
② 物流における輸送効率を高めるためウォーキングフロア仕様のトレーラー車の需要が高
まっていることから、ウォーキングフロアの施工・組立てを行う整備工場を整備する。
【完成イメージ】
（１）実施場所
群馬県高崎市にウッドチップ処理工場及びウォーキングフロア架装整備工場を整備する。
【ウッドチップ事業工場】
事業実施場所：群馬県高崎市箕郷町矢原字十二本松2180
事業所名称 ：清水インダストリー 箕郷工場
【ウォーキングフロア事業工場】
設備投資の 事業実施場所：群馬県高崎市金古町１７１６
内容 事業所名称 ：清水インダストリー 金古工場
（２）設備概要
項目 設備金額（税別） 設備内容
建物費 790百万円 木くず処理（ウッドチップ製造）工場、ウォーキングフロア架装整備工場
機械装置費 712百万円 破砕処理機、ふるい機、ホイールローダー、天井クレーン、リフト、塗装ブース 等
2026年度 2029年度
項目
（基準年度） （基準年度＋３年後）
労働生産性 1,946万円
830万円
（単位：万円/人） （年平均上昇率＋32.8％）
従業員1人あたり給与支給総額 627万円
目標値 512万円
（単位：万円/人） （年平均上昇率＋7 .0 ％）
役員１人あたり給与支給総額
-
-
（単位：万円/人） （年平均上昇率＋5.5％）
補助事業に係る従業員数
55人 60人
（単位：人）</t>
  </si>
  <si>
    <t>株式会社ヤマキ
1.長期成長ビジョン
長期成長ビジョンは、鋳造部品のサプライチェーン維持・強靭化により機械等完成品メーカーの成長・発展に寄
与する。売上成長目標は、5年後の2030年までの売上高成長率75％、売上高増加額37.5億円</t>
  </si>
  <si>
    <t>長期成長ビジョン（目指す姿・ビジネスモデル）
• 鋳造部品のサプライチェーン維持・強靭化により機械等完成
品メーカーの成長・発展に寄与する。
⑴鋳造部品のイノベーションを提供していく
・製造機能を強化し、生産能力向上、低コスト化、短納期化を行う。
・技術開発機能を強化し、鋳造部品の高付加価値化を行う。
⑵㈱クボタのティア1サプライヤーとして受注シェアを拡大
国内の農業機械最大手の㈱クボタの鋳造部品のティア1サプライヤーと
して受注シェアを拡大する。
⑶マーケット
㈱クボタ中心から他の農業機械メーカー、非農業機械の自動車・鉄
道・航空・宇宙産業に販路を拡大する。
⑷地場産業である鋳造業界を牽引し、持続可能な発展と地場産業の活
性化を実現。</t>
  </si>
  <si>
    <t>外発的動機
• 市場である銑鉄鋳物製品生産額は、2014年7,072億円、2024年
7,272億円、10年で2.8%増加している(出典：(一社)日本鋳造協会
HP)
• 当社の鋳造部品が最も使われる農業用機械製造業の製造品出荷額は、
2021年12,047億円、2022年12,734億円、5.7％増加している(出
典：経済構造実態調査)
• 主要取引先㈱クボタの売上高は、2020年度18,532億円、2024年度
30,163億円、4年で63％増加している(出典：㈱クボタHP)
• 同業者である機械用銑鉄鋳物の産出事業所数は、2012年750事業
所、2022年700事業所、10年間で約7％減少しているため、転注依頼
がある。(出典：経済センサス活動調査、経済構造実態調査)
• 大手メーカーは、社内で大型鋳造品を量産している。近年では鋳造から
撤退する大手メーカーが増えているため、大型品の転注依頼がある。</t>
  </si>
  <si>
    <t>内発的動機(経営者の思い)
• 鋳造業の意義を正しく認識させることにより鋳造部品の価値を高め、地域
での当社の地位を確立する。
• 形状・材質・強度などの最適鋳造部品の製造により、インプット/アウトプッ
トともに最小の環境負荷を目指す。
• 「大型品・量産・箱型形状を得意とするヤマキ」という位置づけを日本全国
に広める。
• 人の作業比率の高い後処理工程のリニューアルによりDX/IOT/AI/ロボッ
ト使用可能な環境を整え、今からの時代に合った鋳造業を目指す。
• 人にやさしい・人に手厚い鋳造品づくりで働く人もお客様も協力業者様も
集めて、三大鋳造品産地である西尾の力をより高める。</t>
  </si>
  <si>
    <t>る。売上成長目標は、5年後の2030年までの売上高
会社全体の売上成長目標（2030年度）
• 売上高成長率75％
• 売上高増加額37.5億円
会社全体の賃上げ目標
• 3.65%（直近事業年度～基準年度）
• 6.2%（基準年度～事業化報告3年目）</t>
  </si>
  <si>
    <t>【p.1／売上成長目標】
る。売上成長目標は、5年後の2030年までの売上高
【p.1／売上成長目標】
会社全体の売上成長目標（2030年度）
• 売上高成長率75％
• 売上高増加額37.5億円
会社全体の賃上げ目標
• 3.65%（直近事業年度～基準年度）
• 6.2%（基準年度～事業化報告3年目）</t>
  </si>
  <si>
    <t>【p.1】
株式会社ヤマキ
1.長期成長ビジョン
長期成長ビジョンは、鋳造部品のサプライチェーン維持・強靭化により機械等完成品メーカーの成長・発展に寄
与する。売上成長目標は、5年後の2030年までの売上高成長率75％、売上高増加額37.5億円
長期成長ビジョン（目指す姿・ビジネスモデル） 外発的動機
• 鋳造部品のサプライチェーン維持・強靭化により機械等完成 • 市場である銑鉄鋳物製品生産額は、2014年7,072億円、2024年
7,272億円、10年で2.8%増加している(出典：(一社)日本鋳造協会
品メーカーの成長・発展に寄与する。
HP)
• 当社の鋳造部品が最も使われる農業用機械製造業の製造品出荷額は、
⑴鋳造部品のイノベーションを提供していく
2021年12,047億円、2022年12,734億円、5.7％増加している(出
・製造機能を強化し、生産能力向上、低コスト化、短納期化を行う。
典：経済構造実態調査)
・技術開発機能を強化し、鋳造部品の高付加価値化を行う。
• 主要取引先㈱クボタの売上高は、2020年度18,532億円、2024年度
30,163億円、4年で63％増加している(出典：㈱クボタHP)
⑵㈱クボタのティア1サプライヤーとして受注シェアを拡大
• 同業者である機械用銑鉄鋳物の産出事業所数は、2012年750事業
国内の農業機械最大手の㈱クボタの鋳造部品のティア1サプライヤーと
所、2022年700事業所、10年間で約7％減少しているため、転注依頼
して受注シェアを拡大する。
がある。(出典：経済センサス活動調査、経済構造実態調査)
• 大手メーカーは、社内で大型鋳造品を量産している。近年では鋳造から
⑶マーケット
撤退する大手メーカーが増えているため、大型品の転注依頼がある。
㈱クボタ中心から他の農業機械メーカー、非農業機械の自動車・鉄
道・航空・宇宙産業に販路を拡大する。
内発的動機(経営者の思い)
⑷地場産業である鋳造業界を牽引し、持続可能な発展と地場産業の活
性化を実現。 • 鋳造業の意義を正しく認識させることにより鋳造部品の価値を高め、地域
での当社の地位を確立する。
• 形状・材質・強度などの最適鋳造部品の製造により、インプット/アウトプッ
トともに最小の環境負荷を目指す。
会社全体の売上成長目標（2030年度） • 「大型品・量産・箱型形状を得意とするヤマキ」という位置づけを日本全国
に広める。
• 売上高成長率75％
• 人の作業比率の高い後処理工程のリニューアルによりDX/IOT/AI/ロボッ
• 売上高増加額37.5億円
ト使用可能な環境を整え、今からの時代に合った鋳造業を目指す。
会社全体の賃上げ目標
• 人にやさしい・人に手厚い鋳造品づくりで働く人もお客様も協力業者様も
• 3.65%（直近事業年度～基準年度）
集めて、三大鋳造品産地である西尾の力をより高める。
• 6.2%（基準年度～事業化報告3年目）</t>
  </si>
  <si>
    <t>【p.2】
株式会社ヤマキ
.補助事業の概要
2
補助事業で製造・技術開発・物流機能の強化により生産能力向上・高付加価値化、低コスト化を図る。これに
より生産性向上を行い、鋳造部品のサプライチェーンの強靭化を図る。
背景：主要取引先㈱クボタは、鋳造ラインを再編し、農業機械の鋳造部品を委託生産に切り替えているた
め、当社に生産能力向上の要請がある。 事業費 41 億円
補助事業の （補助額） （13億円）
目的：新工場により製造・技術開発・倉庫機能を強化した鋳造部品のサプライチェーンを強靭化する。
背景・目的
課題：主に鋳造工程の生産能力は、年33,500ｔ、仕上げ工程の生産能力は、年21,000ｔで、仕上げ
工程がボトルネックとなっており、受注を制限している。仕上げ工程の生産能力を12,500ｔ向上でき
れば、@30万円/1ｔで37億5千万円の売上拡大が可能である。
投資設備 課題解決 生産性向上
・工場面積拡大で仕上げ設備増設が可能 ・仕上げ設備増設により生産能力向上で売上拡大
工場(仕上げ工場)
・仕上げ工程の集約化によりリードタイム短縮 ・リードタイム短縮により低コスト化・短納期化
・ショットブラスト7台導入によりボトルネックの解消 ・ボトルネック解消により生産能力向上で売上拡大
仕
ショットブラスト ・一層の複雑形状が可能 ・鋳造品の高付加価値化で売上拡大
設備投資の 上
・粉塵や廃材の回収を強化できる ・作業環境の改善、環境負荷の低減
内容 げ
・鋳仕上げ機6台導入によりボトルネックの解消 ・ボトルネック解消により生産能力向上で売上拡大
設
鋳仕上げ機
・一層の寸法精度が向上 ・鋳造品の高精度化により売上拡大
備
集塵機
・鋳仕上げ機の多台持ちが可能 ・自動化・省人化により低コスト化
・入出庫作業が自動化により作業時間が短縮 ・作業時間の短縮より低コスト化。
自動倉庫
・ﾛｹｰｼｮﾝ・在庫・日付管理の自動処理が可能 ・倉庫業務の効率化により低コスト化。
2027年度 2030年度
項目
（基準年度） （基準年度＋３年後）
労働生産性 2,258万円/人
1,439万円/人
（単位：万円/人） （年平均上昇率＋16.2％）
目標値 従業員1人あたり給与支給総額 508万円/人
424万円/人
（単位：万円/人） （年平均上昇率＋6.2％）
役員１人あたり給与支給総額
-
（単位：万円/人） - （年平均上昇率＋6.2％）
補助事業に係る従業員数
75人 111人
（単位：人）</t>
  </si>
  <si>
    <t>日生流通運輸倉庫株式会社
1.長期成長ビジョン
物流業界を取り巻く環境の変化起因で、輸送網の縮小が顕在化しており、コールドチェーンの再編が必須の状
況。大型冷凍冷蔵施設、共同配送ファシリティを装備・活用し、解決に向け主体的に取組みます。</t>
  </si>
  <si>
    <t>長期成長ビジョン（目指す姿・ビジネスモデル）
「冷凍冷蔵食品の関東物流供給網を支える社会インフラ企業へ」
• 当社は埼玉を拠点に、「感動・感激をお届けする」という経営理念のもと、単なる物
流ではなく、荷主様と消費者双方に価値を届けます。
• 物流コールドチェーン崩壊危機に対し、最適地に新設する大型冷凍冷蔵倉庫・物
流センターのファシリティを活かした高効率な輸送ルートへの再構築を実施。従来の
個別配送の限界を打破します。
• 物流網の構築において、複数の顧客や同業他社と共同で持続可能な輸送網を構
築することで、維持が危ぶまれる関東圏への食品流通の維持に主体的に取り組み
ます。
• 上記取組みにより、地域雇用創出と従業員への適正な賃上げを実現。物流課題
を地域発展の原動力に変換します。</t>
  </si>
  <si>
    <t>外発的動機 –コールドサプライチェーンの危機-
• 【拡大する需要】家庭用冷凍食品市場は拡大し（CAGR+2.4%） 、
冷凍冷蔵倉庫の庫腹は逼迫（’22/9月以降100%超で推移）。
• 【労働規制】2024年問題に伴う労働規制により輸送事業者の供給力
は低減。物流業界は変革を迫られる。
• 【具体的影響】特に、長時間労働を前提としていた物流拠点から関東
エリアへの配送網における物流拠点の再編を迫られている。
• 【縮小している供給】少子高齢化の進行、他業種への流出拡大により
乗務員不足が深刻になっている。
• 【社会影響】極めて近い将来において、地方食品生産者の都市部供
給が困難となり、更なる食品価格高騰を招く懸念。
コールドサプライチェーンの持続が危ぶまれる。</t>
  </si>
  <si>
    <t>内発的動機 -食のインフラ企業としての使命と危機感-
• 1976年創業以降、食品の小売や一般家庭に向けた供給を担い、埼
玉県をはじめとした関東の食のインフラを支えてまいりました。
• しかし当社は大規模な冷凍冷蔵倉庫・物流センター保有しておらず、限
定的な物流サービスの提供にとどまっております。
• コールドサプライチェーンの維持に主体的に取り組むとともに、集荷・荷
役・保管・配送という一気通貫サービスの提供により当社成長と荷主様
が企業間競争に勝ち抜くための競争力としての物流サービスをご提供す
るため、今回最適地に大型冷凍冷蔵倉庫・物流センターを備えた新物
流センターの装備検討に至りました。</t>
  </si>
  <si>
    <t>売上成長目標 売上高(実績) 24/5期比 売上高成長率
売上高(見込)
163%
売上高(計画) 152%
139%
108%
（十億円）
100% 102% 101% 102%
13.8
14 12.9
11.8
12
10 8.6 8.7 9.2
8.2 8.5 8.6
7.8
8
6
4
22/5期 23/5期 24/5期 25/5期 26/5期 27/5期 28/5期 29/5期 30/5期 31/5期
➢</t>
  </si>
  <si>
    <t>【p.1／売上成長目標】
売上成長目標 売上高(実績) 24/5期比 売上高成長率
売上高(見込)
163%
売上高(計画) 152%
139%
108%
（十億円）
100% 102% 101% 102%
13.8
14 12.9
11.8
12
10 8.6 8.7 9.2
8.2 8.5 8.6
7.8
8
6
4
22/5期 23/5期 24/5期 25/5期 26/5期 27/5期 28/5期 29/5期 30/5期 31/5期
➢
【p.1／13.8】
13.8
12.9
11.8
9.2
8.2 8.5 8.6 8.6 8.7
7.8
22/5期 23/5期 24/5期 25/5期 26/5期 27/5期 28/5期 29/5期 30/5期 31/5期</t>
  </si>
  <si>
    <t>【p.1】
日生流通運輸倉庫株式会社
1.長期成長ビジョン
物流業界を取り巻く環境の変化起因で、輸送網の縮小が顕在化しており、コールドチェーンの再編が必須の状
況。大型冷凍冷蔵施設、共同配送ファシリティを装備・活用し、解決に向け主体的に取組みます。
長期成長ビジョン（目指す姿・ビジネスモデル）
外発的動機 –コールドサプライチェーンの危機-
「冷凍冷蔵食品の関東物流供給網を支える社会インフラ企業へ」
• 【拡大する需要】家庭用冷凍食品市場は拡大し（CAGR+2.4%） 、
• 当社は埼玉を拠点に、「感動・感激をお届けする」という経営理念のもと、単なる物 冷凍冷蔵倉庫の庫腹は逼迫（’22/9月以降100%超で推移）。
流ではなく、荷主様と消費者双方に価値を届けます。
• 【労働規制】2024年問題に伴う労働規制により輸送事業者の供給力
• 物流コールドチェーン崩壊危機に対し、最適地に新設する大型冷凍冷蔵倉庫・物 は低減。物流業界は変革を迫られる。
流センターのファシリティを活かした高効率な輸送ルートへの再構築を実施。従来の
個別配送の限界を打破します。 • 【具体的影響】特に、長時間労働を前提としていた物流拠点から関東
エリアへの配送網における物流拠点の再編を迫られている。
• 物流網の構築において、複数の顧客や同業他社と共同で持続可能な輸送網を構
築することで、維持が危ぶまれる関東圏への食品流通の維持に主体的に取り組み • 【縮小している供給】少子高齢化の進行、他業種への流出拡大により
ます。 乗務員不足が深刻になっている。
• 上記取組みにより、地域雇用創出と従業員への適正な賃上げを実現。物流課題 • 【社会影響】極めて近い将来において、地方食品生産者の都市部供
を地域発展の原動力に変換します。
給が困難となり、更なる食品価格高騰を招く懸念。
コールドサプライチェーンの持続が危ぶまれる。
売上成長目標 売上高(実績) 24/5期比 売上高成長率
売上高(見込)
163%
売上高(計画) 152%
139%
108% 内発的動機 -食のインフラ企業としての使命と危機感-
（十億円） 100% 102% 101% 102%
13.8 • 1976年創業以降、食品の小売や一般家庭に向けた供給を担い、埼
14 12.9
11.8 玉県をはじめとした関東の食のインフラを支えてまいりました。
12
10 7.8 8.2 8.5 8.6 8.6 8.7 9.2 • しかし当社は大規模な冷凍冷蔵倉庫・物流センター保有しておらず、限
8 定的な物流サービスの提供にとどまっております。
6
4 • コールドサプライチェーンの維持に主体的に取り組むとともに、集荷・荷
22/5期 23/5期 24/5期 25/5期 26/5期 27/5期 28/5期 29/5期 30/5期 31/5期 役・保管・配送という一気通貫サービスの提供により当社成長と荷主様
が企業間競争に勝ち抜くための競争力としての物流サービスをご提供す
長期成長ビジョンの実現に向け、’31/5期までに全社で以下成長を目指します るため、今回最適地に大型冷凍冷蔵倉庫・物流センターを備えた新物
➢ 売上高成長率163%、売上高増加額+53億円 流センターの装備検討に至りました。</t>
  </si>
  <si>
    <t>【p.2】
日生流通運輸倉庫株式会社
.補助事業の概要
2
物流業界におけるドライバーの人手不足や2024年問題等による輸送機能の供給網が崩壊しつつある中、当社
は新物流センターを主軸とした持続可能で効率的な食品供給網を関東圏内に展開し、課題解決を目指します。
◼ 関東全域の食料品供給網を支える社会インフラ企業へ
➢ 物流拠点の新設と輸送網及び輸送手段の再構築を通じて、共同配送プラットフォー 81億円
補助事業の 事業費
背景・目的 ムを構築し、従来の個別配送の限界を打破 （補助額） ( )
17億円
➢ 関東圏の食品流通の効率化を図るとともに、地域雇用の創出と従業員への適正な
賃上げを実現
◼ 新物流センター完成図 ◼ 新物流センター設備概要（次頁以降で詳細記載）
設備名称 施設特徴
冷蔵・冷凍保管倉庫 床面積：約9,000㎡
管理システム 輸配送・倉庫管理・入退室管理・温度管理システム
トラフィックセンター 床面積：約4,600㎡
設備投資
トラックバース 貨物トラックの連結可能台数：24台
内容
事務所棟 本社・輸送・システム事務所の機能を包括
インタンク 40Kℓの軽油を貯蔵可能
太陽光発電設備 約1,000枚のソーラーパネルを拠点の屋上に設置
駐車場 約200台
洗車機 1台
項目 2028年度（基準年度） 2031年度（基準年度＋3年後）
労働生産性（単位：百万円/人） 4 万円/人 1,264万円/人
76
（年平均上昇率＋38.4%）
目標値 従業員1人当たり給与支給総額（単位：百万円/人） 427 万円/人 495万円/人
（年平均上昇率＋5.0％）
役員1人あたり給与支給額（単位：百万円/人） - -
補助事業に係る従業員数（単位：人） 140人
268人</t>
  </si>
  <si>
    <t>栄屋乳業株式会社
1.長期成長ビジョン
・ 生産が追い付かないニッチトップ商品の生産能力を高める
・ 国内シェア拡大・ブランド周知・海外拡販の本格化により売上高成長率+155％、売上高増加額200億円を目指す
・ 増加した利益を従業員へ還元することにより、8%の賃上げ目標を定める</t>
  </si>
  <si>
    <t>・ 生産が追い付かないニッチトップ商品の生産能力を高める
・ 国内シェア拡大・ブランド周知・海外拡販の本格化により売上高成長率+155％、売上高増加額200億円を目指す
・ 増加した利益を従業員へ還元することにより、8%の賃上げ目標を定める
・既存の本社工場がフル生産である現状を鑑み、本社内に新工場を新設する
・新工場を活用し、プリンの国内供給能力向上と海外輸出冷凍製品の製造を実現する
・最新の製造設備を導入して、自動化・省力化による生産性向上及び賃上げの両方を実現する</t>
  </si>
  <si>
    <t>長期成長ビジョン（目指す姿・ビジネスモデル）
メガトレンド
• 高付加価値商品（上質な味、健康志向、無添加）が大人気。
• 海外で日本の果物、料理の人気＝日本のスイーツも人気の兆し。
• 国内コンビニ、ス―パーの販売は頭打ち。
• 就労者人口減少による人手不足。
目指す姿とビジネスモデル
• 国内市場は「アンデイコ」ブランドの訴求に
よる認知度向上によりニッチトップ商品である、
上質アイス、無添加プリンなどのシェアをさらに高める。
• 海外市場は独自製法・冷凍技術で日本の上質・ナチュラルスイー
ツを拡販する。海外に日本の上質かつリーズナブルな価格のスイー
ツを届ける。
省力化、デジタル化した新スマート工場で生産能力の拡大。
全国スーパーへの営業により「アンデイコ」商品の普及拡大。
世界小売りチェーン（Costcoなど）へ上質アイス、無添加プリンを
販売。</t>
  </si>
  <si>
    <t>外発的動機
• ニッチトップ商品、無添加プリン、上質アイスの人気が高く、生産が
追い付かない。（コンビニ向けのNB製品の生産で手一杯で、独自
ブランド製品の生産が十分できない。）
• ニッチトップ商品を大手が追随できないくらい市場普及率を高めたい。
独自ブランドをより普及したい。
（過去、当社生クリーム入りヨーグルト風デザートは大手が進出し撤退）
• 海外市場で日本のスイーツに人気の兆し。早めにシェアを取りたい。
新工場で生産能力向上し、ニッチトップ商品の販売能力拡大。
国内市場の高収益化、独自ブランド商品の営業力強化。
海外市場への営業力強化。</t>
  </si>
  <si>
    <t>内発的動機
生産能力拡大、ブランド普及、国内外営業強化を行い、当社を５年
で高収益型企業に変え、10年後に発展型企業（第2創業）にした
い。これにより、世界に日本の上質スイーツ（無添加、リーズナブル価
格）を届けたい
• 新工場はデジタル化したスマート工場にし、生産性ともに作業環境
を向上させたい。
• 多様な人材を採用・育成し続け、職場環境を改善して、従業員か
ら選ばれる企業になり続ける。
• 商品企画・開発力と冷凍技術も含めた製造工程技術を維持・発
展させたい。</t>
  </si>
  <si>
    <t>会社全体の売上成長目標（直近決算～2031年）
• 売上高成長率+155％
• 売上高増加額：129億円➨329億円 ＋200億円
会社全体の賃上げ目標
• 3.0% (直近事業年度～基準年度）
• 8.0%（基準年度～事業化報告3年目）</t>
  </si>
  <si>
    <t>【p.1／上段要旨】
・ 生産が追い付かないニッチトップ商品の生産能力を高める
・ 国内シェア拡大・ブランド周知・海外拡販の本格化により売上高成長率+155％、売上高増加額200億円を目指す
・ 増加した利益を従業員へ還元することにより、8%の賃上げ目標を定める
【p.1／売上成長目標】
会社全体の売上成長目標（直近決算～2031年）
• 売上高成長率+155％
• 売上高増加額：129億円➨329億円 ＋200億円
会社全体の賃上げ目標
• 3.0% (直近事業年度～基準年度）
• 8.0%（基準年度～事業化報告3年目）
【p.2／上段要旨】
・既存の本社工場がフル生産である現状を鑑み、本社内に新工場を新設する
・新工場を活用し、プリンの国内供給能力向上と海外輸出冷凍製品の製造を実現する
・最新の製造設備を導入して、自動化・省力化による生産性向上及び賃上げの両方を実現する
【p.2／＜新工場概要＞栄屋乳業 新工場】
＜新工場概要＞栄屋乳業 新工場
住所：愛知県岡崎市東牧内町字甲田45
敷地面積：1500㎡ 施工床面積：1780㎡
建築面積：890㎡
■本社工場内に新設し、既存のインフラを活用した効率的な製
造体制を構築
■原料受入から製造、冷凍保管、出荷まで一貫した生産・物
流体制を確立</t>
  </si>
  <si>
    <t>【p.1】
栄屋乳業株式会社
1.長期成長ビジョン
・ 生産が追い付かないニッチトップ商品の生産能力を高める
・ 国内シェア拡大・ブランド周知・海外拡販の本格化により売上高成長率+155％、売上高増加額200億円を目指す
・ 増加した利益を従業員へ還元することにより、8%の賃上げ目標を定める
長期成長ビジョン（目指す姿・ビジネスモデル） 外発的動機
メガトレンド • ニッチトップ商品、無添加プリン、上質アイスの人気が高く、生産が
追い付かない。（コンビニ向けのNB製品の生産で手一杯で、独自
• 高付加価値商品（上質な味、健康志向、無添加）が大人気。 ブランド製品の生産が十分できない。）
• 海外で日本の果物、料理の人気＝日本のスイーツも人気の兆し。 • ニッチトップ商品を大手が追随できないくらい市場普及率を高めたい。
• 国内コンビニ、ス―パーの販売は頭打ち。 独自ブランドをより普及したい。
• 就労者人口減少による人手不足。 （過去、当社生クリーム入りヨーグルト風デザートは大手が進出し撤退）
目指す姿とビジネスモデル • 海外市場で日本のスイーツに人気の兆し。早めにシェアを取りたい。
新工場で生産能力向上し、ニッチトップ商品の販売能力拡大。
• 国内市場は「アンデイコ」ブランドの訴求に
国内市場の高収益化、独自ブランド商品の営業力強化。
よる認知度向上によりニッチトップ商品である、
海外市場への営業力強化。
上質アイス、無添加プリンなどのシェアをさらに高める。
• 海外市場は独自製法・冷凍技術で日本の上質・ナチュラルスイー
ツを拡販する。海外に日本の上質かつリーズナブルな価格のスイー
ツを届ける。
省力化、デジタル化した新スマート工場で生産能力の拡大。
全国スーパーへの営業により「アンデイコ」商品の普及拡大。 内発的動機
世界小売りチェーン（Costcoなど）へ上質アイス、無添加プリンを 生産能力拡大、ブランド普及、国内外営業強化を行い、当社を５年
販売。 で高収益型企業に変え、10年後に発展型企業（第2創業）にした
い。これにより、世界に日本の上質スイーツ（無添加、リーズナブル価
格）を届けたい
会社全体の売上成長目標（直近決算～2031年）
• 新工場はデジタル化したスマート工場にし、生産性ともに作業環境
• 売上高成長率+155％
を向上させたい。
• 売上高増加額：129億円➨329億円 ＋200億円
• 多様な人材を採用・育成し続け、職場環境を改善して、従業員か
会社全体の賃上げ目標
ら選ばれる企業になり続ける。
• 3.0% (直近事業年度～基準年度） • 商品企画・開発力と冷凍技術も含めた製造工程技術を維持・発
• 8.0%（基準年度～事業化報告3年目） 展させたい。</t>
  </si>
  <si>
    <t>【p.2】
栄屋乳業株式会社
.補助事業の概要
2
・既存の本社工場がフル生産である現状を鑑み、本社内に新工場を新設する
・新工場を活用し、プリンの国内供給能力向上と海外輸出冷凍製品の製造を実現する
・最新の製造設備を導入して、自動化・省力化による生産性向上及び賃上げの両方を実現する
・【背景】需要増のため既存工場（本社工場）がフル生産状態。本社内の老朽化した工場をスクラップ＆ビルト
補助事業の 事業費 61 億円
し、その場所にプリン＆カップアイスを製造する工場を新設する。
背景・目的 ・【目的】供給能力の拡大と海外向け高付加価値冷凍製品の販売拡大を狙う。 （補助額） （ 20 億円）
・【施策】本社に新工場を設立し、新設備の導入を行う。⇒プリン＆カップアイス製造工場を補助事業とする。
■新工場設立
生産能力向上/輸出向け高付加価値冷凍新製品製造開始
・大幅な生産能力拡大を図る
・導入する生産ラインで輸出向け/高付加価値/冷凍新製品の製造を行う。
■投資内容
＜新工場設立＞
設備投資の
本社敷地内に２階建ての工場を新設。自動化製造ラインを整備。
内容 ＜新工場概要＞栄屋乳業 新工場
＜設備概要＞
住所：愛知県岡崎市東牧内町字甲田45
・調合設備、充填設備、蒸し・冷却設備、包装・梱包設備・プリン＆カップアイスライン資材置場。
敷地面積：1500㎡ 施工床面積：1780㎡
・プリン＆カップアイスライン増強で冷凍製品生産を拡大して海外販売拡大を図る。 建築面積：890㎡
・当社技術により自動化・省力化を図る。 ■本社工場内に新設し、既存のインフラを活用した効率的な製
造体制を構築
■原料受入から製造、冷凍保管、出荷まで一貫した生産・物
流体制を確立
2028年度 2031年度
項目
（基準年度） （基準年度＋３年後）
労働生産性 2,888
1,088
（単位：万円/人） （年平均上昇率＋38.5％）
目標値 従業員1人あたり給与支給総額 559
444
（単位：万円/人） （年平均上昇率＋8.0％）
役員１人あたり給与支給総額
-
（単位：万円/人） - （年平均上昇率＋6.0％）
補助事業に係る従業員数(役員含む）
30 130
（単位：人）</t>
  </si>
  <si>
    <t>1.長期成長ビジョン DOWAパワーデバイス株式会社
➢ 省エネ・脱炭素化や経済産業省の行う施策は外発的要因として当社にとっても追い風である。
➢ 金属-セラミックス基板において世界トップクラスのシェアを持つ当社が事業伸張により世界シェア№1となることは日本国内のパワーデバイス業界
成長に直接的に貢献することである。</t>
  </si>
  <si>
    <t>長期成長ビジョン（目指す姿・ビジネスモデル）
【中長期目標】
社会インフラ支える技術と品質
省エネ・脱炭素化社会でのニーズの高まりを受け、
金属-セラミックス基板全体において世界ナンバーワンを目指す
【2030年のありたい姿】
顧客が満足する差別化技術・商品を提案し、顧客密着型で低
炭素化社会の実現する製品をつくり、社会に貢献し、事業を伸
長させていく。
【社会価値の提供】
技術革新を通じ、様々なステークホルダーへの価値提供を行うこ
とで、下記を実現する。
①当社の成長と社会の成長が同期する＝サステビリティ経営の
実現
②当社の成長が日本国のパワーデバイス分野の強化へ貢献
たことで、従業員が一丸となって目標に取組む姿があった。今回、
長期成長ビジョンを掲げることで、さらに従業員がモチベーションを
高めながら、活き活きと前向きに仕事に取組む体制を構築したい。</t>
  </si>
  <si>
    <t>外発的動機
✓ 省エネ・脱炭素社会に向けたパワーデバイスに対するニーズが高まっ
ている（市場の高い成長率）。さらに、経済産業省「半導体・デジ
タル産業戦略」では、「日本全体としてパワーデバイスの競争力を向
上する必要がある」とし、また「日本列島をパワー半導体の世界拠
点に」と掲げられており、国を挙げて成長に向けた投資が行われてい
く見込み。
✓ 自社の成長およびお客さまへの貢献のみならず、従業員の幸福や
環境への配慮、地域経済の発展への寄与等、様々なステークホル
ダーに対して社会的な価値の提供が求められている。</t>
  </si>
  <si>
    <t>内発的動機
✓ 企業理念である「豊かな暮らしの創造と環境社会に貢献していく」
にある通り、自社の事業活動を通じて、世界の脱炭素化とサステ
ナブルな社会の構築に貢献する必要がある。
✓ 銅張窒化アルミ基板における世界トップシェアを誇る企業として、
新たな技術や製品開発、供給能力の増強を行い、日本企業の
パワーデバイスにおける優位性をサポートしていく責任がある。
✓ 金属-セラミックス基板において「信州から世界シェアNo.1を目指
す！」という目標を社内で掲げた際、明確な「共通目的」が出来
たことで、従業員が一丸となって目標に取組む姿があった。今回、
長期成長ビジョンを掲げることで、さらに従業員がモチベーションを
高めながら、活き活きと前向きに仕事に取組む体制を構築したい。</t>
  </si>
  <si>
    <t>会社全体の売上成長目標（～2030年度）
• 売上高成長率246％
• 売上高増加額92億円
会社全体の賃上げ目標
• 1.27%（直近事業年度～基準年度）
• 6.52%（基準年度～事業化報告3年目・従業員）</t>
  </si>
  <si>
    <t>【p.1／売上成長目標】
会社全体の売上成長目標（～2030年度）
• 売上高成長率246％
• 売上高増加額92億円
会社全体の賃上げ目標
• 1.27%（直近事業年度～基準年度）
• 6.52%（基準年度～事業化報告3年目・従業員）</t>
  </si>
  <si>
    <t>【p.1】
1.長期成長ビジョン DOWAパワーデバイス株式会社
➢ 省エネ・脱炭素化や経済産業省の行う施策は外発的要因として当社にとっても追い風である。
➢ 金属-セラミックス基板において世界トップクラスのシェアを持つ当社が事業伸張により世界シェア№1となることは日本国内のパワーデバイス業界
成長に直接的に貢献することである。
長期成長ビジョン（目指す姿・ビジネスモデル）
外発的動機
【中長期目標】 ✓ 省エネ・脱炭素社会に向けたパワーデバイスに対するニーズが高まっ
社会インフラ支える技術と品質 ている（市場の高い成長率）。さらに、経済産業省「半導体・デジ
省エネ・脱炭素化社会でのニーズの高まりを受け、 タル産業戦略」では、「日本全体としてパワーデバイスの競争力を向
上する必要がある」とし、また「日本列島をパワー半導体の世界拠
金属-セラミックス基板全体において世界ナンバーワンを目指す
点に」と掲げられており、国を挙げて成長に向けた投資が行われてい
く見込み。
【2030年のありたい姿】
✓ 自社の成長およびお客さまへの貢献のみならず、従業員の幸福や
顧客が満足する差別化技術・商品を提案し、顧客密着型で低 環境への配慮、地域経済の発展への寄与等、様々なステークホル
炭素化社会の実現する製品をつくり、社会に貢献し、事業を伸 ダーに対して社会的な価値の提供が求められている。
長させていく。
【社会価値の提供】
内発的動機
技術革新を通じ、様々なステークホルダーへの価値提供を行うこ
✓ 企業理念である「豊かな暮らしの創造と環境社会に貢献していく」
とで、下記を実現する。
にある通り、自社の事業活動を通じて、世界の脱炭素化とサステ
①当社の成長と社会の成長が同期する＝サステビリティ経営の
ナブルな社会の構築に貢献する必要がある。
実現 ✓ 銅張窒化アルミ基板における世界トップシェアを誇る企業として、
②当社の成長が日本国のパワーデバイス分野の強化へ貢献 新たな技術や製品開発、供給能力の増強を行い、日本企業の
パワーデバイスにおける優位性をサポートしていく責任がある。
✓ 金属-セラミックス基板において「信州から世界シェアNo.1を目指
会社全体の売上成長目標（～2030年度） す！」という目標を社内で掲げた際、明確な「共通目的」が出来
• 売上高成長率246％ たことで、従業員が一丸となって目標に取組む姿があった。今回、
• 売上高増加額92億円 長期成長ビジョンを掲げることで、さらに従業員がモチベーションを
会社全体の賃上げ目標 高めながら、活き活きと前向きに仕事に取組む体制を構築したい。
• 1.27%（直近事業年度～基準年度）
• 6.52%（基準年度～事業化報告3年目・従業員）</t>
  </si>
  <si>
    <t>【p.2】
.補助事業の概要 DOWAパワーデバイス株式会社
2
➢ 白板製造工場を建設し、ボトルネックとなっている材料供給を解消する。
➢ 工場増築と自動化を図る設備投資により、売上高増加とシェア拡大を図るとともに、労働生産性の改善を図る。
• 受注旺盛で現在の生産能力も上限に達しており、今後さらなる受注増が内示されていることから
増産設備投資が急務となっている。増加する需要に応えるためにボトルネックを解消し、当社の
事業費 億円
補助事業の 開発技術力と製品の信頼性の認知を広げることで市場シェア上昇するとともに、更なる売上高 46
背景・目的 獲得が見込める。 （補助額） （ 14 億円）
• 設備投資で製造工程の自動化・効率化を行うことで労働生産性は改善し、積極的な賃金改
善が可能となる。ひいては地域の主要企業として雇用拡大などを通じて積極的な地域貢献を行
うことができるものである。
• 建物費
A棟：2,280m2
D
B棟：1,027m2
①材料である白板製造のための工場建設を行う
C棟：2,737m2
②増産対応の機械設備設置のために工場D棟の増築を行う。
D棟: 2,700m2 (2018年4月竣工) C
③増産による廃液処理のため、廃液タンクヤード、廃液処理施設の増強を行う。 敷地面積：90,000m2
• 機械装置
B
①白板製造のための製造ライン構築
②律速工程となっているろう材印刷工程及びレジスト印刷工程に自動機を
設備投資の
増設し、ボトルネックを解消する。 A
内容
③処理量増加に対応するため積層機、真空炉及びエッチングラインを増設する。
④検査工程の省人化のために自動検査装置を増設する。
⑤品質担保のためにＸ線検査装置及び超音波検査装置を増設する。
• システム
増産に対応し、在庫管理及び原価管理による収益確保のため生産管理システム
を増強する。
2027年度 2030年度
項目
（基準年度） （基準年度＋３年後）
労働生産性 2,379
1,195
（単位：万円/人） （年平均上昇率＋25.8％）
目標値 従業員1人あたり給与支給総額 596
493
（単位：万円/人） （年平均上昇率＋6.5％）
役員１人あたり給与支給総額
-
（単位：万円/人） - （年平均上昇率＋6.5％）
補助事業に係る従業員数
155 191
（単位：人）</t>
  </si>
  <si>
    <t>三日月興業株式会社
1.長期成長ビジョン
地域に貢献し、“観光地域を作る”新たなリゾート事業のモデルを構築することで、日本/地域の観光産業・経済を牽引する︓
拡大する観光/「ならでは」体験需要に対して、創業100年来培った地域社会とのつながりを活かし、継続的・積極的な設備投資
によって、リゾートを中心とした新たな地域づくりモデルを構築し、業界・地域課題の解決と、事業拡大・基盤強化を目指す</t>
  </si>
  <si>
    <t>長期成長ビジョン（目指す姿・ビジネスモデル）
地域“ならでは”を活かしたラグジュアリーリゾートで、千葉県・日本の “
観光地域づくり”を牽引し、全国展開・産業モデル化を目指す
• 社会的な価値観の変容に対して、地域とのつながり・体験やウェルネス・環境を重
視したお客様の「寛ぎ･感動･創造」を追求する、高付加価値・高生産性のラグジ
ュアリーリゾートホテルで持続可能な成長基盤を構築
• 新たな観光地域づくりを通じた雇用創出・経済振興を通じて、千葉県の観光立
県に貢献する観光業のリーティングカンパニーへ
補助事業 リゾートを軸に魅力的な地域を作るビジネスモデル構築
• 千葉県御宿町で新たにラグジュアリーリゾートを開業し、地域の漁業協同組合と
共同した魅力的な観光地域づくり、千葉の主要なリゾートエリアへと育てる
• 高付加価値な事業モデルと地域一帯となった取り組みにより、業界全体の課題
である、低生産性・人材不足の解決を目指す
これまで 従来型ビジネスの限界、コロナ禍を契機にリゾート事業へ挑戦
• ビジネスホテル・カジュアルリゾートは高い稼働率を維持し事業基盤は安定するも、
基本的な顧客価値は価格や利便性であり、売上拡大/収益性には課題が存在
• コロナ禍を契機に、長期滞在・旅館ならではを求める顧客ニーズが台頭。ラグジュア
リーリゾート事業を展開開始</t>
  </si>
  <si>
    <t>外発的動機︓新たなニーズ対応による成長機会の獲得可能性
観光産業の拡大・新たなニーズの台頭
ü
国家/県の観光戦略として、急激な市場拡大が見込まれる*1,2
成長
（例︓訪日外国人旅行消費額は2030年に約2倍*1）
機会
ü
円安を背景にインバウンド客が急増。地方意識／「ならでは」の体験型観光
への意識が高まり、ラグジュアリーリゾート市場拡大*3,4,5
新たなニーズに応えられない業界構造・設備
対処
ü
人口減少に加え、業界全体における低賃金・低労働生産性・高負荷な労
すべ
働環境により、約8割の事業者が人手不足*6,7
き
ü
ニーズに合わない設備や老朽化が残存し、拡大する需要に応えられないうえ、
課題
新たな顧客ニーズに人手で対応するため、人材不足の悪循環</t>
  </si>
  <si>
    <t>内発的動機︓社会変化に合わせた業態転換と、地域社会への貢献
地域 創業110年以上で培った地域・社会との深いつながり、地域への貢献
との ü 1914年の創業から培った世代を問わない高い認知度・集客力
つな
ü
行政他団体と連携した地方創生・雇用創出への貢献によって生まれた、
がり
地域社会との強いつながり、地域金融機関との関係性
社会 社会変化に応じた事業拡大・業態転換の必要性
変化 ü 地域産業の構造やニーズの変化に対して、ビジネスモデルを転換する必要性
への
ü
社会変化に合わせ、「地域×ウェルビーイング×サステナ」等のブランドの再解
対応
釈により、持続的な事業成長基盤の構築が必要
ブラン</t>
  </si>
  <si>
    <t>会社全体の売上成長目標（2025/3～2030/3）
• 売上高成長率+179％（2.79倍）、売上高増加額11.7億円
会社全体の賃上げ目標 役員除く従業員一人当たり給与
• 直近期～基準年度（2025/3～2027/3）︓+5.6%
• 基準年度～2030/3（2027/3～2030/3）︓+23.0%</t>
  </si>
  <si>
    <t>【p.1／売上成長目標】
会社全体の売上成長目標（2025/3～2030/3）
• 売上高成長率+179％（2.79倍）、売上高増加額11.7億円
会社全体の賃上げ目標 役員除く従業員一人当たり給与
• 直近期～基準年度（2025/3～2027/3）︓+5.6%
• 基準年度～2030/3（2027/3～2030/3）︓+23.0%</t>
  </si>
  <si>
    <t>【p.1】
三日月興業株式会社
1.長期成長ビジョン
地域に貢献し、“観光地域を作る”新たなリゾート事業のモデルを構築することで、日本/地域の観光産業・経済を牽引する︓
拡大する観光/「ならでは」体験需要に対して、創業100年来培った地域社会とのつながりを活かし、継続的・積極的な設備投資
によって、リゾートを中心とした新たな地域づくりモデルを構築し、業界・地域課題の解決と、事業拡大・基盤強化を目指す
長期成長ビジョン（目指す姿・ビジネスモデル） 外発的動機︓新たなニーズ対応による成長機会の獲得可能性
地域“ならでは”を活かしたラグジュアリーリゾートで、千葉県・日本の “ 観光産業の拡大・新たなニーズの台頭
観光地域づくり”を牽引し、全国展開・産業モデル化を目指す ü 国家/県の観光戦略として、急激な市場拡大が見込まれる*1,2
成長
• 社会的な価値観の変容に対して、地域とのつながり・体験やウェルネス・環境を重 （例︓訪日外国人旅行消費額は2030年に約2倍*1）
機会
視したお客様の「寛ぎ･感動･創造」を追求する、高付加価値・高生産性のラグジ ü 円安を背景にインバウンド客が急増。地方意識／「ならでは」の体験型観光
ュアリーリゾートホテルで持続可能な成長基盤を構築 への意識が高まり、ラグジュアリーリゾート市場拡大*3,4,5
• 新たな観光地域づくりを通じた雇用創出・経済振興を通じて、千葉県の観光立 新たなニーズに応えられない業界構造・設備
対処
県に貢献する観光業のリーティングカンパニーへ ü 人口減少に加え、業界全体における低賃金・低労働生産性・高負荷な労
すべ
働環境により、約8割の事業者が人手不足*6,7
き
課題 ü ニーズに合わない設備や老朽化が残存し、拡大する需要に応えられないうえ、
補助事業 リゾートを軸に魅力的な地域を作るビジネスモデル構築 新たな顧客ニーズに人手で対応するため、人材不足の悪循環
• 千葉県御宿町で新たにラグジュアリーリゾートを開業し、地域の漁業協同組合と 課題解決・
共同した魅力的な観光地域づくり、千葉の主要なリゾートエリアへと育てる 機会の獲得
設備投資によるサービス付加価値・生産性向上
• 高付加価値な事業モデルと地域一帯となった取り組みにより、業界全体の課題
である、低生産性・人材不足の解決を目指す
内発的動機︓社会変化に合わせた業態転換と、地域社会への貢献
地域 創業110年以上で培った地域・社会との深いつながり、地域への貢献
これまで 従来型ビジネスの限界、コロナ禍を契機にリゾート事業へ挑戦 との ü 1914年の創業から培った世代を問わない高い認知度・集客力
• ビジネスホテル・カジュアルリゾートは高い稼働率を維持し事業基盤は安定するも、 つな ü 行政他団体と連携した地方創生・雇用創出への貢献によって生まれた、
がり
基本的な顧客価値は価格や利便性であり、売上拡大/収益性には課題が存在 地域社会との強いつながり、地域金融機関との関係性
• コロナ禍を契機に、長期滞在・旅館ならではを求める顧客ニーズが台頭。ラグジュア
社会 社会変化に応じた事業拡大・業態転換の必要性
リーリゾート事業を展開開始
変化 ü 地域産業の構造やニーズの変化に対して、ビジネスモデルを転換する必要性
会社全体の売上成長目標（2025/3～2030/3） への ü 社会変化に合わせ、「地域×ウェルビーイング×サステナ」等のブランドの再解
対応
• 売上高成長率+179％（2.79倍）、売上高増加額11.7億円 釈により、持続的な事業成長基盤の構築が必要
会社全体の賃上げ目標 役員除く従業員一人当たり給与
• 直近期～基準年度（2025/3～2027/3）︓+5.6% ブランド/
事業基盤
• 基準年度～2030/3（2027/3～2030/3）︓+23.0% 理念経営への原点回帰による地域・社会への貢献
強化
*1︓観光庁「明日の日本を支える観光ビジョン」、*2︓千葉県「第3次観光立県ちば推進基本計画」、*3︓J.D. パワージャパン「国内旅行に関する消費者意向アンケート」、*4︓RemoteLock「存在感を増す「ラグジュアリーホ
スピタリティ」需要」、*5︓トラベルボイス「急回復する世界の富裕層旅行、「ラグジュアリー2.0」の最新トレンドを取材した、変化する価値観と求められる旅のカタチとは︖」
*6︓帝国データバンク「人手不足に対する企業の動向調査」、*7︓日本政策金融公庫「飲食業・宿泊業における人材確保の課題と対策」</t>
  </si>
  <si>
    <t>【p.2】
三日月興業株式会社
2.補助事業の概要
3公募用
経営理念である“お客様の「寛ぎ･感動･創造」を追求する”に基づき、社会環境の変化に合わせた、ラグジュアリーリゾートブラン
ドを千葉県御宿に開業・拡大。地域との協創によって「地域×ウェルビーイング×サステナビリティ」を体現し、魅力ある観光地域
づくりと、継続的な事業拡大を両立する高付加価値ビジネスモデルを構築する
• 環境や消費者の価値観の変化により、ビジネスホテルなどの中核事業は、維持コスト/価格競争等ビジネスモデル上の課題が顕在化
補助事業の • 政府や千葉県が後押しする観光振興や魅力ある観光地域づくりには、環境変化に対応し、ウェルビーイングや「地域ならでは」の高付加 事業費 11億円
背景・目的 価値な体験を提供する設備や地域社会との共創が必要 （補助額）（2.8億円）
• 創業以来、顧客ニーズを捉え、地域と共生した経営理念に基づき、地域体験を備えたラグジュアリーリゾートモデルを構築
• 千葉県御宿町に、地域漁業組合と連携し、敷地面積約3,000㎡の、「全室スイート」「個別露天× コンセプトイメージ
概要
サウナ×地域食体験」を核とした、唯一無二の“温泉プライベートヴィラ型ラグジュアリー施設”を開業
建築 • 自然と調和した半開放型構造、独立性の高い設計、和の設計美×現代性の融合
設備
思想 • サステナビリティ（持続可能性）を意識した温泉設備・ろ過循環システム導入
構成と
• 露天風呂、サウナ、内湯、水風呂完備の“全室スイート仕様” 10室中5室はプライベートプール付き
特徴 客室
• テラスやサンルーム付きで地域が誇る自然との一体感を演出
労働生産性 • 内装・意匠デザイン・高機能かつ長期滞在に適した設備を完備し、顧客単価増を実現
設備投資の 向上 • 長期滞在顧客の増加による清掃工数の減少とともに、高機能設備による省力化・低コスト運営を実現
内容
将来構想/ • 地域団体との連携による高単価なラグジュアリーリゾート事業・魅力ある観光地域づくりのビジネスモデル
地域貢献 を強固なものとし、千葉県全域に同事業モデルを展開。観光立県に貢献
立地予定の御宿海岸 全室スイート仕様の客室設計。プールも併設 客室イメージ 客室には露天風呂を完備
地元食材を使ったオーベルジュスタイル
項目 ※補助事業は新規事業であるため全社数値を併記 2027年度（基準年度） 2030年度（基準年度＋３年後）
労働生産性（単位︓万円/人） 949万円 2,294万円（年平均上昇率＋34.2％）
目標値 従業員1人あたり給与支給総額（単位︓万円/人） 404万円 482万円（年平均上昇率＋6.0％）
役員１人あたり給与支給総額（単位︓万円/人） - ※補助事業における該当者なし - ※補助事業における該当者なし
補助事業に係る従業員数（単位︓人） 7 27（年平均上昇率 +56.8%）</t>
  </si>
  <si>
    <t>株式会社PXP
1.長期成長ビジョン
クリーンなエネルギーを いつでも どこでも だれでも 自由に使える世界を目指して
• 数十年に及ぶ太陽電池製造ノウハウの結晶である次世代CIGS（カルコパイライト）太陽電池を開発（量産検証中）
• 国産太陽電池を通じ、脱炭素とエネルギー自給率の向上に貢献する</t>
  </si>
  <si>
    <t>長期成長ビジョン（目指す姿・ビジネスモデル）
• 次世代太陽電池製造業のグローバルトップ企業
• CIGS太陽電池（次項詳述）とペロブスカイト型太陽電池のタン
デム化（二重構造）により、世界に類を見ない超軽量・高性能・
高耐久な太陽電池を開発・製造
• 太陽電池の設置場所における自由度を飛躍的に向上し、電力が
必要な場所で発電できる世界を作る
• 我が国のエネルギー自給率の向上、グローバルではインフラ未整備
地域での電力普及に貢献し、以てカーボンニュートラルの実現に大
きく寄与する</t>
  </si>
  <si>
    <t>外発的動機
• 脱炭素に向けた世界的な潮流の中、我が国でも第七次エネルギー
基本計画にて太陽光発電の大幅な増強が求められているが、既に
メガソーラー施設向けの適地は少なく、軽量・フレキシブルな特性に
て設置場所の選択肢を大きく増やす新しい太陽電池が求められて
いる
• このような需要を満たすための次世代太陽電池は、ペロブスカイト型
を中心に注目を集め、市場での認知が浸透しつつあるが、当社の
有する次世代CIGS太陽電池は最も有力な現実的ソリューションで
ある。またペロブスカイト型太陽電池とのタンデム化により、同電池の
可能性を飛躍的に向上させることが出来る
• 更には、中国製のシリコンパネルが市場を席捲する中、エネルギー自
給率向上の観点より、国産太陽電池の実現が切望されている</t>
  </si>
  <si>
    <t>内発的動機
• 当社は国内大手メーカーから開発チームがスピンオフして発足した。
上述の外的要因より軽量・フレキシブルな次世代太陽電池への社
会的需要が高まる中、数十年来積み重ねてきたノウハウをフルに活
かし、早期に社会実装が可能なプロダクトを提供してこれに応えたい
• また、世界的に競争力のある国産太陽電池を開発することで、国
内に原材料サプライヤーを含む新たな産業を創出、工場建設を通
じて雇用を生み出し、賃料水準の引き上げに貢献し、延いては産
業基盤を支える技術力を持つ人材を育成して、日本のモノ作り分
野を盛り上げていきたい
• 長期的には、EOT（Energy of Things、モノにエネルギーを接続
する）を実現し、「クリーンなエネルギーをいつでも、どこでも、だれで
も自由に使える世界」を目指したい</t>
  </si>
  <si>
    <t>会社全体の売上成長目標（～2030年）
• 売上高成長率333倍（vs直前確定決算期）
• 売上高増加額235億円（同上）
※本件はR&amp;Dフェーズから量産化に進む為の投資であり、既存数値と
比べて上昇幅は大きい
会社全体の賃上げ目標
• 4.9%（基準年度～事業化報告3年目）
※補助事業（量産事業）で採用を予定する従業員の報酬水準は、
技能的背景より既存事業（R&amp;D事業）のものよりも一般的に低いた
め、全社員ベースでは直前決算年度～基準年度の一人当たり給与は
下がるが、補助事業推進により同事業の従業員報酬を継続的に上げ
ることで、補助事業３年目には全社ベースで直前決算年度並み（＝
R&amp;D事業の水準）に戻る想定である</t>
  </si>
  <si>
    <t>【p.1／売上成長目標】
会社全体の売上成長目標（～2030年）
• 売上高成長率333倍（vs直前確定決算期）
• 売上高増加額235億円（同上）
※本件はR&amp;Dフェーズから量産化に進む為の投資であり、既存数値と
比べて上昇幅は大きい
会社全体の賃上げ目標
• 4.9%（基準年度～事業化報告3年目）
※補助事業（量産事業）で採用を予定する従業員の報酬水準は、
技能的背景より既存事業（R&amp;D事業）のものよりも一般的に低いた
め、全社員ベースでは直前決算年度～基準年度の一人当たり給与は
下がるが、補助事業推進により同事業の従業員報酬を継続的に上げ
ることで、補助事業３年目には全社ベースで直前決算年度並み（＝
R&amp;D事業の水準）に戻る想定である</t>
  </si>
  <si>
    <t>【p.1】
株式会社PXP
1.長期成長ビジョン
クリーンなエネルギーを いつでも どこでも だれでも 自由に使える世界を目指して
• 数十年に及ぶ太陽電池製造ノウハウの結晶である次世代CIGS（カルコパイライト）太陽電池を開発（量産検証中）
• 国産太陽電池を通じ、脱炭素とエネルギー自給率の向上に貢献する
長期成長ビジョン（目指す姿・ビジネスモデル）
外発的動機
• 次世代太陽電池製造業のグローバルトップ企業 • 脱炭素に向けた世界的な潮流の中、我が国でも第七次エネルギー
基本計画にて太陽光発電の大幅な増強が求められているが、既に
メガソーラー施設向けの適地は少なく、軽量・フレキシブルな特性に
• CIGS太陽電池（次項詳述）とペロブスカイト型太陽電池のタン
て設置場所の選択肢を大きく増やす新しい太陽電池が求められて
デム化（二重構造）により、世界に類を見ない超軽量・高性能・
いる
高耐久な太陽電池を開発・製造
• このような需要を満たすための次世代太陽電池は、ペロブスカイト型
を中心に注目を集め、市場での認知が浸透しつつあるが、当社の
• 太陽電池の設置場所における自由度を飛躍的に向上し、電力が
有する次世代CIGS太陽電池は最も有力な現実的ソリューションで
必要な場所で発電できる世界を作る
ある。またペロブスカイト型太陽電池とのタンデム化により、同電池の
可能性を飛躍的に向上させることが出来る
• 我が国のエネルギー自給率の向上、グローバルではインフラ未整備
地域での電力普及に貢献し、以てカーボンニュートラルの実現に大 • 更には、中国製のシリコンパネルが市場を席捲する中、エネルギー自
給率向上の観点より、国産太陽電池の実現が切望されている
きく寄与する
会社全体の売上成長目標（～2030年） 内発的動機
• 売上高成長率333倍（vs直前確定決算期） • 当社は国内大手メーカーから開発チームがスピンオフして発足した。
• 売上高増加額235億円（同上） 上述の外的要因より軽量・フレキシブルな次世代太陽電池への社
※本件はR&amp;Dフェーズから量産化に進む為の投資であり、既存数値と 会的需要が高まる中、数十年来積み重ねてきたノウハウをフルに活
比べて上昇幅は大きい
かし、早期に社会実装が可能なプロダクトを提供してこれに応えたい
• また、世界的に競争力のある国産太陽電池を開発することで、国
会社全体の賃上げ目標
内に原材料サプライヤーを含む新たな産業を創出、工場建設を通
• 4.9%（基準年度～事業化報告3年目） じて雇用を生み出し、賃料水準の引き上げに貢献し、延いては産
※補助事業（量産事業）で採用を予定する従業員の報酬水準は、
業基盤を支える技術力を持つ人材を育成して、日本のモノ作り分
技能的背景より既存事業（R&amp;D事業）のものよりも一般的に低いた
野を盛り上げていきたい
め、全社員ベースでは直前決算年度～基準年度の一人当たり給与は
• 長期的には、EOT（Energy of Things、モノにエネルギーを接続
下がるが、補助事業推進により同事業の従業員報酬を継続的に上げ
する）を実現し、「クリーンなエネルギーをいつでも、どこでも、だれで
ることで、補助事業３年目には全社ベースで直前決算年度並み（＝
R&amp;D事業の水準）に戻る想定である も自由に使える世界」を目指したい</t>
  </si>
  <si>
    <t>【p.2】
株式会社PXP
.補助事業の概要
2
量産工場の新設による生産性向上、雇用増加
• まずは実績のあるCIGS太陽電池を軽量・フレキシブルな形で生産、市場投入
補助事業の • フレキシブルCIGS太陽電池の量産工場を新たに建造。現在の少量生産（～0.2MW/年) 事業費 億円
37
背景・目的 に起因する不採算性、非効率性を解消し、商用化につなげる （補助額） （9.6億円）
• フレキシブルCIGS太陽電池の製造設備一式及び建屋
• パイロットラインにて量産性の検証を行った設備を、25MW規模の生産
能力で建造する。
• 量産工場については製造工程の徹底的な見直しにより、一般的な工
法に比べて生産効率を8～10倍高めることに成功しており、OPEX、
CAPEX共に大幅な削減となる為、極めて生産性の高いラインを構築す
設備投資の
ることが可能となる
内容
• 当社の製法ではパイロットラインにて検証したサイズの製品をそのまま量
産化するため、製造環境に大きな変化がなく、量産化（大型化）に伴
う工程上の問題はほぼ生じない
（現在のパイロットラインの様子）
2027年度 2030年度
項目
（基準年度） （基準年度＋３年後）
労働生産性
7,685 24,892（年平均上昇率48.0％）
（単位：万円/人）
目標値 従業員1人あたり給与支給総額 1,054
842
（単位：万円/人） （年平均上昇率＋7.8％）
役員１人あたり給与支給総額
-
（単位：万円/人） - （年平均上昇率＋5.0％）
補助事業に係る従業員数
38 66
（単位：人）</t>
  </si>
  <si>
    <t>株式会社ユビタス
1.長期成長ビジョン
クラウド及びAI技術の最先端企業として、世界をリードするクラウドAIソリューションプラットフォームを目指す</t>
  </si>
  <si>
    <t>長期成長ビジョン（目指す姿・ビジネスモデル）
クラウド及びAI技術の最先端企業として、世界をリード
するクラウドAIソリューションプラットフォームを目指す
クラウドAIソリューションプラットフォーム
◼ 世界最高のGPU仮想化テクノロジーとクラウドストリーミングプラット
フォームで社会のデジタルトランスフォーメーション加速に貢献
イノベーション
◼ 「勇敢に夢を追いかけ、失敗を恐れない」という信念で失敗から学
び、イノベーションを実現する
グローバル
◼ 国際的な視点からスタートし、全ての人々に最大の利益をもたらす</t>
  </si>
  <si>
    <t>外発的動機
①日本のAI開発基盤の自立化・強化
• デジタル分野の海外依存加速による日本のデジタル赤字拡大
• 日本市場・文化に適した日本語特化型LLMニーズや機密性の高
い領域におけるAI活用ニーズの増加
• 日本政府のAI・デジタル基盤整備政策（GENIAC等）
②GPU供給不足
• 生成AI需要の爆発的拡大に伴うGPU供給不足と価格高騰
• 日本国内におけるGPUクラウド基盤の不足による国内AI産業の
成長阻害</t>
  </si>
  <si>
    <t>内発的動機
• クラウドゲーミングで培ったGPU仮想化・低遅延技術を活かした、生
成AI領域でのワンストップソリューション提供への挑戦
• 「AI時代のGPU供給インフラを日本国内で確立したい」という創
業者の強い意志
• 国内GPUリソースが限られる中で、NVIDIAとの強固な関係を活
かし、AIスタートアップや中小企業の成長を支援したいという思い
• 「日本発の技術で、世界のAI・コンテンツ産業に貢献したい」という
グローバルな志向</t>
  </si>
  <si>
    <t>会社全体の売上成長目標（～30年）
• 売上高成長率42％
• 売上高増加額159億円
会社全体の賃上げ目標
• 3.4%（直近事業年度～基準年度）
• 10.0%（基準年度～事業化報告3年目）</t>
  </si>
  <si>
    <t>【p.1／売上成長目標】
会社全体の売上成長目標（～30年）
• 売上高成長率42％
• 売上高増加額159億円
会社全体の賃上げ目標
• 3.4%（直近事業年度～基準年度）
• 10.0%（基準年度～事業化報告3年目）</t>
  </si>
  <si>
    <t>【p.1】
株式会社ユビタス
1.長期成長ビジョン
クラウド及びAI技術の最先端企業として、世界をリードするクラウドAIソリューションプラットフォームを目指す
長期成長ビジョン（目指す姿・ビジネスモデル） 外発的動機
①日本のAI開発基盤の自立化・強化
クラウド及びAI技術の最先端企業として、世界をリード
• デジタル分野の海外依存加速による日本のデジタル赤字拡大
するクラウドAIソリューションプラットフォームを目指す
• 日本市場・文化に適した日本語特化型LLMニーズや機密性の高
い領域におけるAI活用ニーズの増加
クラウドAIソリューションプラットフォーム
• 日本政府のAI・デジタル基盤整備政策（GENIAC等）
◼ 世界最高のGPU仮想化テクノロジーとクラウドストリーミングプラット
フォームで社会のデジタルトランスフォーメーション加速に貢献 ②GPU供給不足
• 生成AI需要の爆発的拡大に伴うGPU供給不足と価格高騰
イノベーション
• 日本国内におけるGPUクラウド基盤の不足による国内AI産業の
◼ 「勇敢に夢を追いかけ、失敗を恐れない」という信念で失敗から学
成長阻害
び、イノベーションを実現する
グローバル
内発的動機
◼ 国際的な視点からスタートし、全ての人々に最大の利益をもたらす
• クラウドゲーミングで培ったGPU仮想化・低遅延技術を活かした、生
成AI領域でのワンストップソリューション提供への挑戦
会社全体の売上成長目標（～30年）
• 「AI時代のGPU供給インフラを日本国内で確立したい」という創
• 売上高成長率42％ 業者の強い意志
• 売上高増加額159億円
• 国内GPUリソースが限られる中で、NVIDIAとの強固な関係を活
会社全体の賃上げ目標
かし、AIスタートアップや中小企業の成長を支援したいという思い
• 3.4%（直近事業年度～基準年度）
• 10.0%（基準年度～事業化報告3年目） • 「日本発の技術で、世界のAI・コンテンツ産業に貢献したい」という
グローバルな志向</t>
  </si>
  <si>
    <t>【p.2】
株式会社ユビタス
.補助事業の概要
2
京都府舞鶴市における生成AI向けGPU搭載データセンター新設により国内GPU供給体制を確立し、クラウド
技術を活かした一体的サービス提供により、国内AI開発の活性化と競争力強化を目指す
補助事業の • GPUリソース不足と大手海外クラウド事業者への依存による価格高騰・柔軟性不足 事業費 億円
176
背景・目的 • GPU仮想化・低遅延ストリーミング技術を活かした国内AI開発の活性化 （補助額） （50億円）
京都府舞鶴市における生成AI向けデータセンター新設による国内GPU供給体制の確立
【具体的な投資内容】
① データセンターの建屋建設：20億円（補助対象）
エネルギー効率の高いGPU搭載データセンター用の建屋を新設
② GPUサーバー・ネットワーク機器導入：160億円（補助対象）
NVIDIA Blackwell GPU等の最先端技術を2025年から2026年に掛けて先
行的に導入
設備投資の
内容 ③ GPUサーバー・ネットワーク機器導入：320億円（補助対象外）
電力供給の確保状況に応じて2027年に段階的に導入（最大5,000台規模）
【補助事業により見込まれる効果】
• GPUリソースとGPU運用サービスの一体的提供による売上拡大
• データの国内処理・保全体制を確立し、サイバーセキュリティ・BCP対策を強化
• GPU供給不足・コスト高騰問題を解消し、国内AI産業の競争力強化
• 新規雇用創出（運用・技術職）＋賃上げ実現を通じた地域経済の活性化
2027年度 2030年度
項目
（基準年度） （基準年度＋３年後）
労働生産性 14,857万円/人
3,220万円/人
（単位：万円/人） （年平均上昇率＋66.5％）
従業員1人あたり給与支給総額 1,017万円/人
目標値 764万円/人
（単位：万円/人） （年平均上昇率＋10.0％）
役員１人あたり給与支給総額
-
（単位：万円/人） - （年平均上昇率＋5.0％）
補助事業に係る従業員数
47人 60人
（単位：人）</t>
  </si>
  <si>
    <t>株式会社高木製作所
1.⾧期成⾧ビジョン
• ⾧期成⾧ビジョンを策定し、自動車の電動化というメガトレンドに対応する計画を策定
• 自動車用プレス部品の価値を⾧期的に維持するために、世界で戦える競争力をつける
• 多品種小ロット生産の自動化により、将来にわたって自動車産業に貢献する。プレス部品のビジネスモデル変革を変革し、日本のものづくり力を強める
⾧期成⾧ビジョン</t>
  </si>
  <si>
    <t>自動車用プレス部品の競争激化で世界と戦える競争力が必要
材料投入からに出荷までの一貫完全自動生産システムを構築し、省力化、生産性向上を図り、生産能力を拡大
自動倉庫システム導入などで物流問題に対応し、金型データDX化により生産準備時間の短縮を図る</t>
  </si>
  <si>
    <t>⾧期成⾧ビジョン
「プレス部品の一貫完全自動生産」により世界と戦える競争力を得る
メガトレンドへの対応
◆設計から納品までの一貫自動化・省力化でQCD競争力を高め、
自動車産業のEVシフト、国際競争に貢献する
省力化で採用難に対応し、競争力を高め、自動車製造における
プレス部品の地位を維持・向上
完全自動化生産ができればコスト競争力が得られ、将来は自動車業界以外
への転用も可能（建設、家具などのプレス部品＝ものづくり産業に貢献）
多品種小ロット生産自動化の先駆けとなり、業界のビジネスモデルを変革する
実現の方法
①一貫完全自動生産工場の構築、物流の効率化、自動倉庫の導入
強みである自動化技術を深化させ、プレス加工、溶接、工程間輸送、
集荷・出荷を自動化・省力化・無人化する。最終的に一気通貫の完全自動生
産体制を構築する
②金型データのDX化、設計力強化で技術力強化、付加価値向上
過去の約25,000件の金型設計データを活用し、金型製造を自動的に行う
仕組みを構築。設計力の高度化をし、樹脂材料にQCDで勝る製品開発を行う
③社員の福祉の充実（経営理念）
社員がいきいきと働けるよう、職場環境、ワークライフバランス、給与制度、
教育・研修の拡充を継続的に行う。社員に選ばれる会社になる</t>
  </si>
  <si>
    <t>外発的動機
社会課題
• EVシフトや世界競争激化でプレス部品の付加価値向上が必要
• 物流の2024年問題（トヨタ自動車が効率化を要望）
• EV、ハイブリッド車で電子部品の車体への締結パーツの需要が増大
• 少子化、高齢化で人材採用が困難
時代の変化に合わせた “ものづくり”変革は必要不可欠
（自動化・省力化・付加価値向上・社員主導）
顧客ニーズ（トヨタ自動車）の変化
• 仕入先活用拡大（ホーム＆アウェー戦略）
• 電動化拡大、新技術導入で仕入先にはNo.1ものづくり、
世界的な競争力が求められる
海外企業との競争に勝てないと選ばれない</t>
  </si>
  <si>
    <t>経営者の内発的動機（原体験）
• 海外競合先（特に新興国）との競争激化を感じる
このままでは新興国の現地調達化が進み、国内プレス産業衰退
• 異種材料活用（金属から樹脂活用）が進み脅威
• 少子高齢化により年々採用は厳しさを増す
当社を含め、日本のプレス業界存続に危機感がある
【目指す方向】
ものづくり変革で世界に打ち勝つQCD競争力をつける
省人化、自動化設備の導入
最新技術活用と独自開発技術の組み合わせで競合との差別化
部品屋ではなくシステムサプライヤーの立場に変革</t>
  </si>
  <si>
    <t>会社全体の売上成⾧目標（2030年まで）
・売上高成⾧率 168%
・売上高増加額 304億円
会社全体の賃上げ目標
・106%（直近事業年度～基準年度）
・124%（基準年度～事業化報告３年目） ※コンソーシアムの合計値</t>
  </si>
  <si>
    <t>【p.1／売上成長目標】
会社全体の売上成⾧目標（2030年まで）
・売上高成⾧率 168%
・売上高増加額 304億円
会社全体の賃上げ目標
・106%（直近事業年度～基準年度）
・124%（基準年度～事業化報告３年目） ※コンソーシアムの合計値
【p.2／上段要旨】
自動車用プレス部品の競争激化で世界と戦える競争力が必要
材料投入からに出荷までの一貫完全自動生産システムを構築し、省力化、生産性向上を図り、生産能力を拡大
自動倉庫システム導入などで物流問題に対応し、金型データDX化により生産準備時間の短縮を図る</t>
  </si>
  <si>
    <t>【p.1】
株式会社高木製作所
1.⾧期成⾧ビジョン
• ⾧期成⾧ビジョンを策定し、自動車の電動化というメガトレンドに対応する計画を策定
• 自動車用プレス部品の価値を⾧期的に維持するために、世界で戦える競争力をつける
• 多品種小ロット生産の自動化により、将来にわたって自動車産業に貢献する。プレス部品のビジネスモデル変革を変革し、日本のものづくり力を強める
⾧期成⾧ビジョン
外発的動機
「プレス部品の一貫完全自動生産」により世界と戦える競争力を得る
社会課題
メガトレンドへの対応
• EVシフトや世界競争激化でプレス部品の付加価値向上が必要
• 物流の2024年問題（トヨタ自動車が効率化を要望）
◆設計から納品までの一貫自動化・省力化でQCD競争力を高め、
自動車産業のEVシフト、国際競争に貢献する • EV、ハイブリッド車で電子部品の車体への締結パーツの需要が増大
• 少子化、高齢化で人材採用が困難
省力化で採用難に対応し、競争力を高め、自動車製造における
時代の変化に合わせた “ものづくり”変革は必要不可欠
プレス部品の地位を維持・向上
（自動化・省力化・付加価値向上・社員主導）
完全自動化生産ができればコスト競争力が得られ、将来は自動車業界以外
顧客ニーズ（トヨタ自動車）の変化
への転用も可能（建設、家具などのプレス部品＝ものづくり産業に貢献）
• 仕入先活用拡大（ホーム＆アウェー戦略）
多品種小ロット生産自動化の先駆けとなり、業界のビジネスモデルを変革する
• 電動化拡大、新技術導入で仕入先にはNo.1ものづくり、
実現の方法
世界的な競争力が求められる
海外企業との競争に勝てないと選ばれない
①一貫完全自動生産工場の構築、物流の効率化、自動倉庫の導入
強みである自動化技術を深化させ、プレス加工、溶接、工程間輸送、
集荷・出荷を自動化・省力化・無人化する。最終的に一気通貫の完全自動生 経営者の内発的動機（原体験）
産体制を構築する
• 海外競合先（特に新興国）との競争激化を感じる
②金型データのDX化、設計力強化で技術力強化、付加価値向上 このままでは新興国の現地調達化が進み、国内プレス産業衰退
過去の約25,000件の金型設計データを活用し、金型製造を自動的に行う • 異種材料活用（金属から樹脂活用）が進み脅威
仕組みを構築。設計力の高度化をし、樹脂材料にQCDで勝る製品開発を行う • 少子高齢化により年々採用は厳しさを増す
当社を含め、日本のプレス業界存続に危機感がある
③社員の福祉の充実（経営理念）
社員がいきいきと働けるよう、職場環境、ワークライフバランス、給与制度、
【目指す方向】
教育・研修の拡充を継続的に行う。社員に選ばれる会社になる
ものづくり変革で世界に打ち勝つQCD競争力をつける
会社全体の売上成⾧目標（2030年まで）
省人化、自動化設備の導入
・売上高成⾧率 168%
最新技術活用と独自開発技術の組み合わせで競合との差別化
・売上高増加額 304億円
部品屋ではなくシステムサプライヤーの立場に変革
会社全体の賃上げ目標
・106%（直近事業年度～基準年度）
・124%（基準年度～事業化報告３年目） ※コンソーシアムの合計値</t>
  </si>
  <si>
    <t>【p.2】
株式会社高木製作所
2.補助事業の概要
• 自動車用プレス部品の競争激化で世界と戦える競争力が必要
• 材料投入からに出荷までの一貫完全自動生産システムを構築し、省力化、生産性向上を図り、生産能力を拡大
• 自動倉庫システム導入などで物流問題に対応し、金型データDX化により生産準備時間の短縮を図る
背景:EVシフトや国内自動車生産数頭打ちでプレス部品の競争激化
補助事業の
背景・目的・
目的:世界と戦える競争力を得て競争に勝ち抜き売上を拡大させる 事業費 94億円
方法:①一貫完全自動生産工場の構築、自動倉庫の導入 （補助額） （23億円）
方法
②金型データのDX化、③設計作業の取り込み
①一貫完全自動生産工場の構築、自動倉庫の導入
• 新工場建設（含む造成など）
• 自動倉庫システム
• 入出庫管理ソフト
設備投資の
• AGV（無人搬送車）、AGV関連建設
内容 • 自動溶接ライン無人化※
• 高速プレスライン無人化※
②金型データのDX化
• ビッグデータ、AI化による技術ナレッジと金型自動設計システム
• 金型自動加工ライン※ ※自己資金で導入予定
①採用難が進む 一貫完全自動生産工場で省力化、労働負荷の低減で未経験者・女性・シニアにやさしい労働環境を確立
②生産数増加 一貫完全自動生産工場による省力化、製造リードタイム削減で、人手不足の中でも生産数増加が可能
課題解決
③競争激化 一貫完全自動生産工場で圧倒的な価格競争力を築く。金型データのDX化で短納期化、設計作業取り込みで付加価値を増す
④物流問題による巡回集荷開始 一貫完全自動生産の自動集荷・出荷機能で顧客の要望に合う荷姿を自動で提供。巡回集荷に対応
省力化、生産性向上で、労働生産性が増加
労働生産性 ①プレス、溶接、表面処理、検査、集荷・出荷の各工程を自動で実施
向上 ②工程間はAGV、上下搬送機などで自動輸送化
③パレタイジング自動化で出荷準備の無人化
④新工場（自動倉庫設置）により点在していた完成品置き場を集約し、拠点間物流を整流化（ジグザグ運搬撤廃）
項目 2027年度（基準年度） 2030年度（基準年度＋３年後）
労働生産性（単位:万円/人） 3,668 / 664 6,529（年平均上昇率＋21.2％） /1,117 (同+18.9%)
目標値
従業員1人あたり給与支給総額（単位:万円/人） 599 / 456 719（年平均上昇率＋6.3％） / 558 (同+7.0%)
役員１人あたり給与支給総額（単位:万円/人） ー ー
補助事業に係る従業員数（単位:人） 98 / 95 101（年平均上昇率＋1.0%) / 98 (同＋1.0%)
左:高木製作所 / 右:高木運輸</t>
  </si>
  <si>
    <t>伊藤光学工業株式会社
1.長期成長ビジョン
全世界的に眼鏡レンズ品質の二極化が進む中、MADE IN JAPANの高品質レンズを当社の武器として、市
場拡大を図る。また、雇用を確保し、地域に根差した中小企業として地元に愛される会社を目指していきます。</t>
  </si>
  <si>
    <t>長期成長ビジョン（目指す姿・ビジネスモデル）
• 市場（社会・取引先・個人）の要求するものをきめ細かく開発・
生産・販売していくことで、社会からの⽀持を得る。
• 高齢化に寄り添った形で、快適な視空間を提供し続ける企業とし
て、医療や他産業分野とも広く連携し研究開発を続けていく。
MADE IN JAPANの名前に恥じない、高品質な製品を愛知県
蒲郡から世界に提供し、光に関する様々な課題を解決していく。
• 価格競争に参入するのではなく、設計や表面加工技術を活かした
ハイエンドな商品を国内外に販売し、提供する“小粒でピリリ”とし
たメーカーを目指す。
• 環境負荷物質の代替については専門メーカーと協力しながら技術
開発部門にて改良を目指す。</t>
  </si>
  <si>
    <t>外発的動機
• 海外生産品の大量流入により価格破壊が起こり、市場が安価な製品
を求める層と高級なものを求める層に二極化している。
• 今後人口減少が叫ばれる一方で、眼鏡使用者の低年齢化や降り注ぐ
紫外線が目の健康に与える影響が検証され、眼鏡装用に対する社会
的関心が高まってきている。
• 海外市場では、中国資本のメーカーが市場を席巻しつつあり、安価な製
品が出回っている一方で、仕入れ先の分散や高品質を求める動きも加
速している。
• 欧米でREACH規制等の環境問題への規制強化が求められている。</t>
  </si>
  <si>
    <t>内発的動機
• 現在工場が、市内の３箇所に分散しており、工程毎に搬送が必要とな
り非効率であると同時に設備の老朽化も進んでいる。
• 現在の工場を、生産を継続しながら最新設備に入れ替えていく、あるい
は工程を抜本的に見直していくことは厳しい状況である。
• 現在の生産設備･効率では、高まる紫外線対策ニーズやファッションに対
するニーズに伴う増産、海外からの高機能レンズに対する要求に応えき
れない可能性が高い。
• 海外においては環境面にも配慮したものづくりが強く求められており、現
在の生産設備より前進させる必要がある。
• 世の中の環境に配慮し安全で環境負荷の少ない工程を目指していく。</t>
  </si>
  <si>
    <t>会社全体の売上成長目標（～31年度）
• 売上高成長率103％
• 売上高増加額65.9億円
会社全体の賃上げ目標
• 1.89%（直近事業年度～基準年度）
• 5.50%（基準年度～事業化報告3年目）</t>
  </si>
  <si>
    <t>【p.1／売上成長目標】
会社全体の売上成長目標（～31年度）
• 売上高成長率103％
• 売上高増加額65.9億円
会社全体の賃上げ目標
• 1.89%（直近事業年度～基準年度）
• 5.50%（基準年度～事業化報告3年目）</t>
  </si>
  <si>
    <t>【p.1】
伊藤光学工業株式会社
1.長期成長ビジョン
全世界的に眼鏡レンズ品質の二極化が進む中、MADE IN JAPANの高品質レンズを当社の武器として、市
場拡大を図る。また、雇用を確保し、地域に根差した中小企業として地元に愛される会社を目指していきます。
長期成長ビジョン（目指す姿・ビジネスモデル） 外発的動機
• 海外生産品の大量流入により価格破壊が起こり、市場が安価な製品
• 市場（社会・取引先・個人）の要求するものをきめ細かく開発・
を求める層と高級なものを求める層に二極化している。
生産・販売していくことで、社会からの⽀持を得る。
• 今後人口減少が叫ばれる一方で、眼鏡使用者の低年齢化や降り注ぐ
• 高齢化に寄り添った形で、快適な視空間を提供し続ける企業とし 紫外線が目の健康に与える影響が検証され、眼鏡装用に対する社会
て、医療や他産業分野とも広く連携し研究開発を続けていく。 的関心が高まってきている。
MADE IN JAPANの名前に恥じない、高品質な製品を愛知県 • 海外市場では、中国資本のメーカーが市場を席巻しつつあり、安価な製
蒲郡から世界に提供し、光に関する様々な課題を解決していく。 品が出回っている一方で、仕入れ先の分散や高品質を求める動きも加
速している。
• 価格競争に参入するのではなく、設計や表面加工技術を活かした • 欧米でREACH規制等の環境問題への規制強化が求められている。
ハイエンドな商品を国内外に販売し、提供する“小粒でピリリ”とし
たメーカーを目指す。
内発的動機
• 環境負荷物質の代替については専門メーカーと協力しながら技術
• 現在工場が、市内の３箇所に分散しており、工程毎に搬送が必要とな
開発部門にて改良を目指す。
り非効率であると同時に設備の老朽化も進んでいる。
• 現在の工場を、生産を継続しながら最新設備に入れ替えていく、あるい
会社全体の売上成長目標（～31年度）
は工程を抜本的に見直していくことは厳しい状況である。
• 売上高成長率103％
• 現在の生産設備･効率では、高まる紫外線対策ニーズやファッションに対
• 売上高増加額65.9億円
するニーズに伴う増産、海外からの高機能レンズに対する要求に応えき
会社全体の賃上げ目標
れない可能性が高い。
• 1.89%（直近事業年度～基準年度）
• 海外においては環境面にも配慮したものづくりが強く求められており、現
• 5.50%（基準年度～事業化報告3年目）
在の生産設備より前進させる必要がある。
• 世の中の環境に配慮し安全で環境負荷の少ない工程を目指していく。</t>
  </si>
  <si>
    <t>【p.2】
伊藤光学工業株式会社
2.補助事業の概要
生産拠点の集約と工程の抜本的な効率化、及び生産余力の創出を図り、会社全体の生産性を向上する。
また、付加価値額の拡大により、従業員に対して持続的な賃上げを実現し地元に愛される会社を目指す。
補助事業の • 市内３箇所に分散した工場を集約し、工程の見直しを図り、搬送コスト削減・生産能力増強。 事業費 億円
47
背景・目的 • 老朽化した設備を刷新し、環境面、効率、生産性向上を目的とする。 （補助額） （1 億円）
5
• (建物) 分散している工場を1つの工場に集約することで、
作業の効率化及び動線のムダを省き生産能力増強。
• (ハード) 老朽化した設備に変わり、最新設備を導入することで省エネ、
省人化によるコスト削減、加工時間短縮、大量生産が可能になる。
設備投資の • (蒸着) 生産設備の自動化による抜本的な効率化を図り、生産効率
内容 向上、作業負担軽減、品質の安定化が期待できる。また、移動・搬送
などのコストを削減し、各工程の処理時間の短縮。
• (環境) 新工場建設による快適な労働環境を提供をすることで働きや
すい環境を作り、また、作業環境の改善によりコスト削減が実現し、
従業員の賃上げにつながる。
2028年度 2031年度
項目
（基準年度） （基準年度＋３年後）
労働生産性 1,208万円
630万円
（単位：万円/人） （年平均上昇率＋24.2％）
従業員1人あたり給与支給総額 602万円
目標値 513万円
（単位：万円/人） （年平均上昇率＋5.5％）
役員１人あたり給与支給総額
-
（単位：万円/人） - （年平均上昇率＋5.5％）
補助事業に係る従業員数
349人 360人
（単位：人）</t>
  </si>
  <si>
    <t>株式会社ファイン
1.長期成長ビジョン
パーパス ：全世界の人々のすこやかなくらしのお手伝いを
企業理念 ：従業員の物心両面の幸福を追求し、より美しく、より健康な社会を実現する。
長期成長ビジョン：健康食品・医療食品への継続投資と、医薬品の新工場建設により、 「全方位での高成長」を目指す</t>
  </si>
  <si>
    <t>企業理念 ：従業員の物心両面の幸福を追求し、より美
長期成長ビジョン：健康食品・医療食品への継続投資と、医薬
長期成長ビジョン（目指す姿・ビジネスモデル）
長期成長ビジョン（目指す姿・ビジネスモデル）
【ファイングループ パーパス】
全世界の人々のすこやかなくらしのお手伝いを
「グローバル」×「お客様に近い存在」を両立。
美しくいきいきとした生活を1日でも長く、あなたの健康対策をサポートします。
“いつまでも自分らしく”に寄り添った製品・サービスをお届けします。
【企業理念】
従業員の物心両面の幸福を追求し、より美しく、より健康な社会を実現する。
私たちは医食同源を理念とし、製品の安全性を第一に、新製品の開発と技術の向
上に日々努力し、皆様の健康に奉仕するとともに、従業員の幸せと、社会に貢献で
きる企業であることを目指します。
【長期成長ビジョン達成に向けた今後の取組】
■健康食品・医療食品の製造販売事業の拡大
• 健康食品事業に継続的な投資を行い、製造能力強化、生産性向上を図る。
• 健康食品・医療食品の国内売上を伸ばしていく。
• 健康食品・医療食品の海外展開を強化する。
• 健康食品・医療食品の国内EC事業、越境EC事業を拡大する。
■医薬品製造・販売事業の拡大
• 医薬品製造の大型新工場を建設する。
• 自社OTC医薬品の国内売上を伸ばしていく。
• 自社OTC医薬品の海外展開の開始・拡大を図る。
• 新工場では、他社OTC医薬品の製造受託事業も拡大する。
• 医療用医薬品(ジェネリック医薬品)の受託製造事業への参入に向けた準備をする。
会社全体の売上目標(直近期～2031/3期*） ㈱ファイン オール薬品工業㈱
売上高成長率 +273％ +678％
売上高増加額 +127億円 +44億円
会社全体の賃上げ目標 ㈱ファイン(単) オール薬品工業㈱
会社全体の賃上げ率(直近期～基準年) +2.49%/年 +3.56%/年
会社全体の賃上げ率(基準年～事業化3年目) +5.70%/年 +5.73%/年
＊オール薬品工業㈱は2031/2期</t>
  </si>
  <si>
    <t>外発的動機
• 2025年4月、米国で新たな関税が発動された。
• 2022年に「セルフメディケーション税制」が見直され、一部の「非OTC
薬成分」も当該税制の対象品目に追加された。
• 経済産業省健康・医療新産業協議会が新しい健康社会の実現に
向けた「アクションプラン2023」を策定、以下3点を目標とした。
①2050年のヘルスケア産業の国内市場を77兆円に
②2050年の世界での日本企業の医療機器売上を13兆円に
③2040年の健康寿命を2040年75歳以上に
• 海外でOTC化していて国内でOTC化されていない医薬品について、
早期にOTC化していく促進する方針が示された。
• 「要指導医薬品」のネット販売が解禁される見込となっている。
• 医療用医薬品の供給不足は継続している（OTC医薬品による代替
需要の取込、ジェネリック医薬品の受託製造参入への機会）。
• 「サプリメント・健康食品、OTC・指定医薬部外品等」の市場は長期
的にも堅調な成長が見込まれている。
• 食品・医薬品のEC化率は徐々に高まっている。</t>
  </si>
  <si>
    <t>内発的動機(本補助事業は当社企業理念実現に不可欠)
• 「医食同源」を企業理念にも掲げており、当社製品を通じて、ユー
ザーの健康寿命延伸やQOL向上に寄与するという強い思いがある。
• 現社長は幼少期から当社製品に囲まれて過ごしており、その効き目
効果を実感・記憶しており、製品には確固たる自信がある。
• 現社長は、2012年の社長就任後、基幹工場新設、機能性表示
食品事業への参入、オール薬品工業の買収などを成功させてきた。
• 世界一の高齢化社会の日本で開発した高齢者向け製品（例えば
「とろみ調整食品」などの医療食品）は、海外需要も期待できる。
• 後発薬を中心に、医療用医薬品が不足している、という業界の現状
には、同じ業界に属する者として忸怩たる思いがあり、その解決の一
助になるべく本補助事業を進めていく。</t>
  </si>
  <si>
    <t>【p.1】
株式会社ファイン
1.長期成長ビジョン
パーパス ：全世界の人々のすこやかなくらしのお手伝いを
企業理念 ：従業員の物心両面の幸福を追求し、より美しく、より健康な社会を実現する。
長期成長ビジョン：健康食品・医療食品への継続投資と、医薬品の新工場建設により、 「全方位での高成長」を目指す。
長期成長ビジョン（目指す姿・ビジネスモデル） 外発的動機
【ファイングループ パーパス】 • 2025年4月、米国で新たな関税が発動された。
全世界の人々のすこやかなくらしのお手伝いを • 2022年に「セルフメディケーション税制」が見直され、一部の「非OTC
「グローバル」×「お客様に近い存在」を両立。 薬成分」も当該税制の対象品目に追加された。
美しくいきいきとした生活を1日でも長く、あなたの健康対策をサポートします。 • 経済産業省健康・医療新産業協議会が新しい健康社会の実現に
“いつまでも自分らしく”に寄り添った製品・サービスをお届けします。 向けた「アクションプラン2023」を策定、以下3点を目標とした。
【企業理念】 ①2050年のヘルスケア産業の国内市場を77兆円に
従業員の物心両面の幸福を追求し、より美しく、より健康な社会を実現する。 ②2050年の世界での日本企業の医療機器売上を13兆円に
私たちは医食同源を理念とし、製品の安全性を第一に、新製品の開発と技術の向 ③2040年の健康寿命を2040年75歳以上に
上に日々努力し、皆様の健康に奉仕するとともに、従業員の幸せと、社会に貢献で • 海外でOTC化していて国内でOTC化されていない医薬品について、
きる企業であることを目指します。 早期にOTC化していく促進する方針が示された。
【長期成長ビジョン達成に向けた今後の取組】 • 「要指導医薬品」のネット販売が解禁される見込となっている。
■健康食品・医療食品の製造販売事業の拡大 • 医療用医薬品の供給不足は継続している（OTC医薬品による代替
• 健康食品事業に継続的な投資を行い、製造能力強化、生産性向上を図る。 需要の取込、ジェネリック医薬品の受託製造参入への機会）。
• 健康食品・医療食品の国内売上を伸ばしていく。 • 「サプリメント・健康食品、OTC・指定医薬部外品等」の市場は長期
• 健康食品・医療食品の海外展開を強化する。 的にも堅調な成長が見込まれている。
• 健康食品・医療食品の国内EC事業、越境EC事業を拡大する。 • 食品・医薬品のEC化率は徐々に高まっている。
■医薬品製造・販売事業の拡大
内発的動機(本補助事業は当社企業理念実現に不可欠)
• 医薬品製造の大型新工場を建設する。
• 「医食同源」を企業理念にも掲げており、当社製品を通じて、ユー
• 自社OTC医薬品の国内売上を伸ばしていく。
ザーの健康寿命延伸やQOL向上に寄与するという強い思いがある。
• 自社OTC医薬品の海外展開の開始・拡大を図る。
• 現社長は幼少期から当社製品に囲まれて過ごしており、その効き目
• 新工場では、他社OTC医薬品の製造受託事業も拡大する。
効果を実感・記憶しており、製品には確固たる自信がある。
• 医療用医薬品(ジェネリック医薬品)の受託製造事業への参入に向けた準備をする。
• 現社長は、2012年の社長就任後、基幹工場新設、機能性表示
会社全体の売上目標(直近期～2031/3期*） ㈱ファイン オール薬品工業㈱ 食品事業への参入、オール薬品工業の買収などを成功させてきた。
売上高成長率 +273％ +678％ • 世界一の高齢化社会の日本で開発した高齢者向け製品（例えば
売上高増加額 +127億円 +44億円
「とろみ調整食品」などの医療食品）は、海外需要も期待できる。
会社全体の賃上げ目標 ㈱ファイン(単) オール薬品工業㈱
• 後発薬を中心に、医療用医薬品が不足している、という業界の現状
会社全体の賃上げ率(直近期～基準年) +2.49%/年 +3.56%/年
には、同じ業界に属する者として忸怩たる思いがあり、その解決の一
会社全体の賃上げ率(基準年～事業化3年目) +5.70%/年 +5.73%/年
＊オール薬品工業㈱は2031/2期
助になるべく本補助事業を進めていく。</t>
  </si>
  <si>
    <t>【p.2】
株式会社ファイン
2.補助事業の概要
医薬品の新工場の建設と設備を補助対象とする。新工場に導入する設備は、自動化・効率化・大容量化を進め、また工
場の稼働時間を増やすことで、医薬品の製造能力と生産性を大幅に向上させる。
■課題 ：オール薬品工業の既存の医薬品工場のキャパシティが不足(欠品なども発生してしまっている)。
既存工場は立地上、周辺への配慮が必要で、稼働時間も増やせない。 36億円
補助事業の 事業費
また、既存工場の設備は小型で、自動化も進んでいないので生産性が低い。 (11億円)
背景・目的 （補助額）
■解決策：24時間稼働な立地に新工場を建設し、大型設備を導入して自動化も進めることで、医薬品の製 ＊2社合計額
造キャパシティの大幅拡大、生産性の大幅向上を図る。
【①ファインの投資】 【②オール薬品工業の投資】
■工場概要（1,886百万円）
新工場の運営はオール薬品工業が担う。
・住所：兵庫県たつの市新宮町光都1-11-1
新工場は、ファインの基幹工場の仕様を
（ファインの播磨先端製造技術センターと同敷地）
参考に、設備の大型化と製造工程の効
・建物：３階建（延床面積約5,200㎡）
設備投資の 率化・自動化を図り、オール薬品工業の
・製造品目：医薬品（自社・他社OTC医薬品の他、ジェネ
内容 既存の医薬品工場と比較して、生産性
リック医薬品の製造にも対応可能とする）
を大幅に高める（詳細後述）。
＊拡張性を持たせた仕様にしており、更なる設備増設も可能
■設備内容（1,541百万円） ■設備内容（14百万円）
・造粒ライン×2 ・打錠ライン×2 ・コーティング機×1台 混合機×1台（左記工場内造粒ライン
・瓶充填ライン×1 ・包装ライン×1 他 (詳細後述) の一部設備を導入）
【工場レイアウトイメージ図】
㈱ファイン（幹事企業） オール薬品工業㈱(参加企業)
項目
2028/3期 2031/3期 2028/2期 2031/2期
（基準年度） （基準年度＋３年後） （基準年度） （基準年度＋３年後）
労働生産性 1,310万円/人 1,453万円/人
895万円/人 311万円/人
（単位：万円/人） （年平均上昇率＋13.5％） （年平均上昇率＋67.1％）
目標値 従業員1人あたり給与支給総額 538万円/人 511万円/人
452万円/人 429万円/人
（単位：万円/人） （年平均上昇率＋6.0％） （年平均上昇率＋6.0％）
役員１人あたり給与支給総額 - -
- -
（単位：万円/人） （年平均上昇率＋4.5％） （年平均上昇率＋4.5％）
補助事業に係る従業員数
276人 306人 23人 58人
（単位：人）
＊ファインの事業実施場所は複数あるが「拠点別情報無し」のため上表には全社数値をまとめて記載。賃上対象となる役員・従業員は両社「全事業・全員」としている。</t>
  </si>
  <si>
    <t>ガイア株式会社
1.長期成長ビジョン
人と競走馬がその力をいかんなく発揮できる雇用環境を地域と競馬ファンと従業員のキズナを構築して創出する。
本ミネラルウォーター事業を通じた地方創生モデルを構築し地域の持続可能性向上と楽しい日本づくりに寄与。</t>
  </si>
  <si>
    <t>長期成長ビジョン（目指す姿・ビジネスモデル）
• 当社の目的(コーズ)は「強い競走馬の輩出を実現するために良質な育成環境
を整えて人々の感動・ワクワクを創出する」である。今後は、地域の持続可能性
を向上させて“楽しい日本”の実現にチャレンジすることをそのコーズに加える。
• 海外でも勝てる強い競走馬を輩出するため、その競走馬を育む当社従業員へ
の賃上げ環境とチーム力の強化を図り、世界で勝てる馬づくりを実現する。
• 大山の豊かな自然が育んだ水の魅力を伝えるミネラルウォーターの製造・販売を
行い、このコーズに共感するファンとのキズナを構築して観光振興にも寄与する。
• 伯耆町の地域・若者に支えられている競走馬育成事業に加えミネラルウォーター
事業で加齢後も働く場を提供する地方創生モデルを構築する。
推し馬の活躍の価値
購入・支援
海外での活躍
水提供
競馬ファン・当社見学風景
出典：読売新聞
ミネラルウォーターの販売
利益を賃上げに活用
⇒永続的に働ける場の提供
競走馬育成の質向上
競走馬育成事業 強い馬の活躍</t>
  </si>
  <si>
    <t>外発的動機
• 日本は人口減少社会・少子高齢化がコロナ禍等を通じて加速度
的に進んだ結果、低成長率に陥りＧＤＰが4位に転落。
• 日本がもう一度輝き、夢を持てる国となるためには、世界にも挑戦・
勝てる分野、ワクワクできることを多く育むことが必要となっている。
• 日本の成長・地域に育まれた当社グループの日本への恩返しのため
に、世界に勝てる馬づくりと水づくり、地域と連携した人づくりを通じて
日本の再成長への夢と自信を回復させたい。
• 日本では近年「推し活」というアイドル文化に代表される評価や応
援したい対象を支援することに喜びを強く感じる活動が盛んである。
• 本事業を通じて成長し得られるキャッシュを競走馬育成事業に関わ
る従業員の賃上げとして分配し、成長と分配の好循環を創出する。</t>
  </si>
  <si>
    <t>内発的動機
• 日本の地域の皆様に支えられて、当社は発展することができた。
• 当社Gr.は日本の高度成長の折、社会的な課題の公害問題やゴ
ミ等の環境問題に果敢にチャレンジし解決することで事業拡大した。
• 一流の競走馬を育成する当社の牧場大山ヒルズの隣接地に広大
な土地・水源を保有しており同土地の有効活用が可能。
• 日本の底力を再び取り戻すために、世界にも伍して勝てる分野とし
て馬づくり、水づくり、人づくりを行う。その実現のためにミネラルウォー
ター事業を通じて競馬ファンが強い競走馬づくりに参画できる新たな
キズナ・仕組みを構築する。
• 既存事業で働く人が加齢しても当社で働ける場を提供したい。
• 人口減少社会の原因として大学へ進学のため他県へ進学・就職し
て地域から若者が消えてしまっている。その一つの解として県外の大
学へ進学すること以外の道・伯耆町で住み、子供を育て、働く続け
られる場を提供。伯耆町や地域企業とコラボしたひと・まち・しごとの
大山・伯耆町モデルを構築したい。</t>
  </si>
  <si>
    <t>競走馬育成事業 強い馬の活躍
会社全体の売上成長目標(～2029年度)売上成長目標（2024年度比）
• 2029年度までの会社全体の売上高年平均成長率35.6％
• 2029年度までの会社全体の売上高増加額57億円を目指す。
• 新事業のみのため2024年比較は割愛。2027年度比で149%を目指す。
会社全体の賃上げ目標（１人あたり）
• 3.5%（直近事業年度～基準年度）
• 6.1%（従業員）5.95％（役員）（基準年度～事業化報告3年目）</t>
  </si>
  <si>
    <t>【p.1／売上成長目標】
競走馬育成事業 強い馬の活躍
会社全体の売上成長目標(～2029年度)売上成長目標（2024年度比）
• 2029年度までの会社全体の売上高年平均成長率35.6％
• 2029年度までの会社全体の売上高増加額57億円を目指す。
• 新事業のみのため2024年比較は割愛。2027年度比で149%を目指す。
会社全体の賃上げ目標（１人あたり）
• 3.5%（直近事業年度～基準年度）
• 6.1%（従業員）5.95％（役員）（基準年度～事業化報告3年目）
【p.2／設備投資の内容】
【設備投資の内容】
• ミネラルウォーター製造工場の建物工事
• ミネラルウォーターの製造設備
（ペットボトル自体の製造から水のろ過・充填の自動化装置による一貫生
【本設備投資での課題解決】
①製造計画や生産管理はプラント管理の経験や水質管理ノウハウを豊富
グループ会社（都市クリエイト等）の社員を転属させて管理、従業員へＯ
にて教育を実施し、当社内で生産ノウハウを蓄積する。
②ミネラルウォーターの製造、販売を連携する事業者である三友機器、
岩崎氏から技術指導を受けて品質の高い製造体制と販売体制を構築す
③競走馬の育成環境の向上という課題解決のために、競走馬の育成に関
向上と新たな設備投資を行う。競走馬の育成に関わる人の士気向上と環
い・良質の馬の生産・育成が可能となる。
④ミネラルウォーターの製造販売を通じて当社の事業と競馬の感動を広く世
伝える。大山ヒルズの育成馬のパッケージを商品化したミネラルウォーター
「うらら(PBブランド名)」の販売とマーケティングを行う。従業員の士気向上</t>
  </si>
  <si>
    <t>【p.1】
ガイア株式会社
1.長期成長ビジョン
人と競走馬がその力をいかんなく発揮できる雇用環境を地域と競馬ファンと従業員のキズナを構築して創出する。
本ミネラルウォーター事業を通じた地方創生モデルを構築し地域の持続可能性向上と楽しい日本づくりに寄与。
長期成長ビジョン（目指す姿・ビジネスモデル）
外発的動機
• 当社の目的(コーズ)は「強い競走馬の輩出を実現するために良質な育成環境 • 日本は人口減少社会・少子高齢化がコロナ禍等を通じて加速度
を整えて人々の感動・ワクワクを創出する」である。今後は、地域の持続可能性
的に進んだ結果、低成長率に陥りＧＤＰが4位に転落。
を向上させて“楽しい日本”の実現にチャレンジすることをそのコーズに加える。 • 日本がもう一度輝き、夢を持てる国となるためには、世界にも挑戦・
• 海外でも勝てる強い競走馬を輩出するため、その競走馬を育む当社従業員へ
勝てる分野、ワクワクできることを多く育むことが必要となっている。
の賃上げ環境とチーム力の強化を図り、世界で勝てる馬づくりを実現する。
• 日本の成長・地域に育まれた当社グループの日本への恩返しのため
• 大山の豊かな自然が育んだ水の魅力を伝えるミネラルウォーターの製造・販売を
に、世界に勝てる馬づくりと水づくり、地域と連携した人づくりを通じて
行い、このコーズに共感するファンとのキズナを構築して観光振興にも寄与する。
• 伯耆町の地域・若者に支えられている競走馬育成事業に加えミネラルウォーター 日本の再成長への夢と自信を回復させたい。
事業で加齢後も働く場を提供する地方創生モデルを構築する。 • 日本では近年「推し活」というアイドル文化に代表される評価や応
援したい対象を支援することに喜びを強く感じる活動が盛んである。
• 本事業を通じて成長し得られるキャッシュを競走馬育成事業に関わ
推し馬の活躍の価値 る従業員の賃上げとして分配し、成長と分配の好循環を創出する。
購入・支援
内発的動機
• 日本の地域の皆様に支えられて、当社は発展することができた。
海外での活躍
水提供
競馬ファン・当社見学風景 • 当社Gr.は日本の高度成長の折、社会的な課題の公害問題やゴ
出典：読売新聞 ミ等の環境問題に果敢にチャレンジし解決することで事業拡大した。
• 一流の競走馬を育成する当社の牧場大山ヒルズの隣接地に広大
ミネラルウォーターの販売
利益を賃上げに活用 な土地・水源を保有しており同土地の有効活用が可能。
⇒永続的に働ける場の提供 • 日本の底力を再び取り戻すために、世界にも伍して勝てる分野とし
競走馬育成の質向上 て馬づくり、水づくり、人づくりを行う。その実現のためにミネラルウォー
ター事業を通じて競馬ファンが強い競走馬づくりに参画できる新たな
競走馬育成事業 強い馬の活躍 キズナ・仕組みを構築する。
会社全体の売上成長目標(～2029年度)売上成長目標（2024年度比） • 既存事業で働く人が加齢しても当社で働ける場を提供したい。
• 2029年度までの会社全体の売上高年平均成長率35.6％ • 人口減少社会の原因として大学へ進学のため他県へ進学・就職し
• 2029年度までの会社全体の売上高増加額57億円を目指す。 て地域から若者が消えてしまっている。その一つの解として県外の大
• 新事業のみのため2024年比較は割愛。2027年度比で149%を目指す。
学へ進学すること以外の道・伯耆町で住み、子供を育て、働く続け
会社全体の賃上げ目標（１人あたり）
られる場を提供。伯耆町や地域企業とコラボしたひと・まち・しごとの
• 3.5%（直近事業年度～基準年度）
大山・伯耆町モデルを構築したい。
• 6.1%（従業員）5.95％（役員）（基準年度～事業化報告3年目）</t>
  </si>
  <si>
    <t>【p.2】
ガイア株式会社
2.補助事業の概要
労働集約型の競走馬育成事業からミネラルウォーター製造という装置産業に売上の軸足を移すことで労働生産性は、
劇的改善。従業員へ労働分配を図り、良質な競走馬育成環境を実現！地方創生『伯耆町モデル』を構築する。
• 補助事業により、労働集約型の競走馬育成事業の利益の限界に対し、大山特有の軟水でまろやかな水
補助事業の 事業費 50億円
をペットボトルのミネラルウォーターとして商品化。得られた利益を既存と新規事業の従業員に分配。
背景・目的 （補助額） （17億円）
世界へ水と強い馬、日本の地方・地域の新しい価値を発信する。
【設備投資の内容】
• ミネラルウォーター製造工場の建物工事
• ミネラルウォーターの製造設備
（ペットボトル自体の製造から水のろ過・充填の自動化装置による一貫生産体制）
【本設備投資での課題解決】
①製造計画や生産管理はプラント管理の経験や水質管理ノウハウを豊富に持つ
グループ会社（都市クリエイト等）の社員を転属させて管理、従業員へＯＪＴ
にて教育を実施し、当社内で生産ノウハウを蓄積する。
②ミネラルウォーターの製造、販売を連携する事業者である三友機器、
設備投資の
岩崎氏から技術指導を受けて品質の高い製造体制と販売体制を構築する。
内容
③競走馬の育成環境の向上という課題解決のために、競走馬の育成に関わる人への給与水準の
向上と新たな設備投資を行う。競走馬の育成に関わる人の士気向上と環境改善に繋がるため強
い・良質の馬の生産・育成が可能となる。
④ミネラルウォーターの製造販売を通じて当社の事業と競馬の感動を広く世の中に
伝える。大山ヒルズの育成馬のパッケージを商品化したミネラルウォーター
「うらら(PBブランド名)」の販売とマーケティングを行う。従業員の士気向上を図り
世界に通用する馬づくりを実現。競馬ファン等がミネラルウォーターを購入することで、世界に通用する
馬づくりに参画し、その感動を分かち合うことが可能となる。 工場操業イメージイラスト
⑤鳥取県伯耆町と連携しミネラルウォーターを核とする、まち・ひと・しごとの地方創生モデルを構築。少子高齢化の社会課題を解決する『伯耆町モデル』を構築する。
2026年度（基準年度） 2029年度（基準年度＋３年後）
項目
鳥取 大阪 全社 鳥取 大阪 全社
労働生産性 3,099万円
963万円
（単位：万円/人） （年平均上昇率＋47.6％）
従業員1人あたり給与支給総額 518万円 773万円 575万円
目標値 428万円 615万円 481万円
（単位：万円/人） （年平均上昇率＋6.6％） （年平均上昇率＋7.9％） （年平均上昇率7.0％）
役員１人あたり給与支給総額 - - -（7人） -（7人）
鳥取役員在籍なし 鳥取役員在籍なし （年平均上昇率 （年平均上昇率＋
（単位：万円/人） （7人） （7人）
+5.95％） 5.95％）
補助事業に係る従業員数
60人 24人 84人 84人 24人 108人
（単位：人）</t>
  </si>
  <si>
    <t>八戸酒造株式会社
1.長期成長ビジョン
①八戸観光の振興の核を担う ②伝統文化の継承・海外への食文化発信 ③地域の発展への貢献を合言葉に今後も事業を拡大。
長年の事業拡大に伴う建て増しにより非効率な生産体制が課題。伝統と最新設備の融合による新工場により生産量拡大と新商品開発
を加速。旧工場は重要文化財であることから、八戸市の観光振興の中心をにない、インバウンドに対する日本酒文化の発信基地とする。</t>
  </si>
  <si>
    <t>長期成長ビジョン（目指す姿・ビジネスモデル）
①八戸観光の振興
• 歴史ある酒蔵を観光資源として活用し、地域の活性化を図る。
• 青森・八戸の交流人口を増やす取り組みを意識する。
• 事業規模が大きい酒蔵、知名度の高い酒蔵で蔵見学をしているところは少な
いため、今後も蔵見学を継続していきたい。
• 八戸は魚の食文化が根付いている地域であり、その食文化をアピールして観
光客を呼び込んでいきたい。
②伝統文化の承継、海外への日本食文化の発信（販売強化）
• 当社は1775年に初代駒井庄三郎が開いた酒蔵を源流としており、現代表
は8代目に当たる。
• 歴史を紡いできた中での新たな挑戦（清酒以外の商品の造成、日本酒だけ
でなくそれ以外の新しいカテゴリーの商品化）
• 青森・東北・日本酒業界をけん引することを目指す。
③地域の発展への貢献
• 酒米栽培農業の発展に寄与する。
• 青森の特産物や産業を国内外に発信していく。
• 伝統芸能（えんぶり）を次世代につなげる取り組みを継続する。</t>
  </si>
  <si>
    <t>外発的動機
• 国内の日本酒市場は縮小傾向にあるが、海外においては近年の日本食ブーム
により日本酒の注目度も上がっている。加えて2024年12月に日本の醸造技術
がユネスコ無形文化遺産に登録されたこともあり、日本酒の輸出量がさらに高ま
ることが予想される。
• 2013年に和食がユネスコ無形文化遺産に登録された当時の海外の日本食レ
ストランは5.5万件であったものが、2017年には11.8万件に増えている(農林水
産省データ)。これに伴い、清酒の輸出金額が2013年は10,524百万円であっ
たのが、2017年は18,679百万円に拡大した(財務省データより)。
• 当社でも外国人観光客の酒蔵見学が増加し、昨年度は15,000人に達した。
団体客は台湾、個人客は欧州からの旅行者が多い。</t>
  </si>
  <si>
    <t>内発的動機
• 現在の酒蔵で最も古い蔵は大正５年に建造され、その後、生産量の増加に
伴って、敷地内に所せましと、順次建造された。
• 旧八戸酒類株式会社を離脱し、代表取締役、八代目駒井庄三郎が再独立し、
当社を設立したが、当時の酒質は低く、売上は低迷していた。（次頁）そこで
大きな生産方法の改革を行った。これが瓶詰め火入れである（P8参照）。その
生産方法を改革する上で、敷地外に瓶詰め・火入れラインを作らざるを得ず、公
道を挟んだ非効率な生産体制を取らざるを得なくなった。
• 地域の観光振興や海外展開に向け、多様なニーズに応える商品開発を行いた
いが、冷蔵施設も敷地内に分散しており、効率的な在庫管理が行えない。
• 日本酒文化の発信のため当社も積極的に酒蔵見学を受け入れてきたが、敷地
内に所狭しと蔵が建っており、見学の導線と製造の導線が重なってしまっており、
見学者の増加が生産の足かせとなってしまっている。
• 日本酒はワインに勝てるという漠然とした思いが、近年の海外コンテスト受賞で革
新に変わり、本補助事業（海外展開含む）チャレンジの意向を固めた。</t>
  </si>
  <si>
    <t>当社の概要・特徴
• 現代表である8代目庄三郎は青森県の地酒として県産の米と酵母にこだわり、仕込み水は八戸・蟹沢地区の名水を使用した、時代が求める環境と健康に
配慮した安全で美味しい酒造りに挑戦してきた。創業は1775年ではあるが、当社設立は1997年で現酒蔵を使用できず、仮の酒蔵で新銘柄「八仙」を立
上げ、後述の通り、地域を代表する高級地酒として首都圏で好評価を受け、海外へ日本酒の魅力発信を目指している。</t>
  </si>
  <si>
    <t>会社全体の売上成長目標（～2030年度）
• 売上高 16.4億円
• 売上高成長率 14.28％（2030年度）
• 売上高増加額 7.1億円
会社全体の賃上げ目標
• CAGR 3.8%（直近事業年度～基準年度）
• 12.6%（基準年度～事業化報告3年目）</t>
  </si>
  <si>
    <t>【p.1／売上成長目標】
会社全体の売上成長目標（～2030年度）
• 売上高 16.4億円
• 売上高成長率 14.28％（2030年度）
• 売上高増加額 7.1億円
会社全体の賃上げ目標
• CAGR 3.8%（直近事業年度～基準年度）
• 12.6%（基準年度～事業化報告3年目）
【p.1／当社・会社の概要】
当社の概要・特徴
• 現代表である8代目庄三郎は青森県の地酒として県産の米と酵母にこだわり、仕込み水は八戸・蟹沢地区の名水を使用した、時代が求める環境と健康に
配慮した安全で美味しい酒造りに挑戦してきた。創業は1775年ではあるが、当社設立は1997年で現酒蔵を使用できず、仮の酒蔵で新銘柄「八仙」を立
上げ、後述の通り、地域を代表する高級地酒として首都圏で好評価を受け、海外へ日本酒の魅力発信を目指している。</t>
  </si>
  <si>
    <t>【p.1】
八戸酒造株式会社
1.長期成長ビジョン
①八戸観光の振興の核を担う ②伝統文化の継承・海外への食文化発信 ③地域の発展への貢献を合言葉に今後も事業を拡大。
長年の事業拡大に伴う建て増しにより非効率な生産体制が課題。伝統と最新設備の融合による新工場により生産量拡大と新商品開発
を加速。旧工場は重要文化財であることから、八戸市の観光振興の中心をにない、インバウンドに対する日本酒文化の発信基地とする。
長期成長ビジョン（目指す姿・ビジネスモデル） 外発的動機
• 国内の日本酒市場は縮小傾向にあるが、海外においては近年の日本食ブーム
①八戸観光の振興
により日本酒の注目度も上がっている。加えて2024年12月に日本の醸造技術
• 歴史ある酒蔵を観光資源として活用し、地域の活性化を図る。
がユネスコ無形文化遺産に登録されたこともあり、日本酒の輸出量がさらに高ま
• 青森・八戸の交流人口を増やす取り組みを意識する。
ることが予想される。
• 事業規模が大きい酒蔵、知名度の高い酒蔵で蔵見学をしているところは少な
• 2013年に和食がユネスコ無形文化遺産に登録された当時の海外の日本食レ
いため、今後も蔵見学を継続していきたい。
ストランは5.5万件であったものが、2017年には11.8万件に増えている(農林水
• 八戸は魚の食文化が根付いている地域であり、その食文化をアピールして観
産省データ)。これに伴い、清酒の輸出金額が2013年は10,524百万円であっ
光客を呼び込んでいきたい。
たのが、2017年は18,679百万円に拡大した(財務省データより)。
②伝統文化の承継、海外への日本食文化の発信（販売強化）
• 当社でも外国人観光客の酒蔵見学が増加し、昨年度は15,000人に達した。
• 当社は1775年に初代駒井庄三郎が開いた酒蔵を源流としており、現代表
団体客は台湾、個人客は欧州からの旅行者が多い。
は8代目に当たる。
• 歴史を紡いできた中での新たな挑戦（清酒以外の商品の造成、日本酒だけ 内発的動機
でなくそれ以外の新しいカテゴリーの商品化）
• 現在の酒蔵で最も古い蔵は大正５年に建造され、その後、生産量の増加に
• 青森・東北・日本酒業界をけん引することを目指す。
伴って、敷地内に所せましと、順次建造された。
③地域の発展への貢献
• 旧八戸酒類株式会社を離脱し、代表取締役、八代目駒井庄三郎が再独立し、
• 酒米栽培農業の発展に寄与する。
当社を設立したが、当時の酒質は低く、売上は低迷していた。（次頁）そこで
• 青森の特産物や産業を国内外に発信していく。
大きな生産方法の改革を行った。これが瓶詰め火入れである（P8参照）。その
• 伝統芸能（えんぶり）を次世代につなげる取り組みを継続する。
生産方法を改革する上で、敷地外に瓶詰め・火入れラインを作らざるを得ず、公
道を挟んだ非効率な生産体制を取らざるを得なくなった。
会社全体の売上成長目標（～2030年度）
• 売上高 16.4億円 • 地域の観光振興や海外展開に向け、多様なニーズに応える商品開発を行いた
いが、冷蔵施設も敷地内に分散しており、効率的な在庫管理が行えない。
• 売上高成長率 14.28％（2030年度）
• 売上高増加額 7.1億円 • 日本酒文化の発信のため当社も積極的に酒蔵見学を受け入れてきたが、敷地
内に所狭しと蔵が建っており、見学の導線と製造の導線が重なってしまっており、
会社全体の賃上げ目標
見学者の増加が生産の足かせとなってしまっている。
• CAGR 3.8%（直近事業年度～基準年度）
• 12.6%（基準年度～事業化報告3年目） • 日本酒はワインに勝てるという漠然とした思いが、近年の海外コンテスト受賞で革
新に変わり、本補助事業（海外展開含む）チャレンジの意向を固めた。
当社の概要・特徴
• 現代表である8代目庄三郎は青森県の地酒として県産の米と酵母にこだわり、仕込み水は八戸・蟹沢地区の名水を使用した、時代が求める環境と健康に
配慮した安全で美味しい酒造りに挑戦してきた。創業は1775年ではあるが、当社設立は1997年で現酒蔵を使用できず、仮の酒蔵で新銘柄「八仙」を立
上げ、後述の通り、地域を代表する高級地酒として首都圏で好評価を受け、海外へ日本酒の魅力発信を目指している。</t>
  </si>
  <si>
    <t>【p.2】
八戸酒造株式会社
2.補助事業の概要
補助事業では当社が設立以来、研究を重ねてきた新製法に合致し、製品移送の最適な導線と高品質を実現する温度管理を実現する。これによ
りボトルネックの火入れラインは生産性が3倍に向上する。かつ、温度管理の精度が高まるため、世界に通用する品質を実現する。本事業で得た利
益を従業員給与の向上に振り向け、八戸地域の雇用を支える。
• 次頁の通り、現酒蔵は様々の問題を抱えている。
• 現酒蔵は観光拠点としてさらなる活用ができるよう、製造拠点としての役割から解放する。
補助事業の 事業費 26億円
• 大正時代建造の現酒蔵で新製法を採用したため非効率な作業導線となったことから、現在の
背景・目的 （補助額） （ . 億円）
6 5
導線に合致し、かつ将来に向けた余剰スペース確保が可能な新工場建設が不可欠である。
• 品質をさらに高め、青森県の魅力を世界に発信したい人材を積極採用していきたい。
• 土地の取得（八戸市より購入合意、20,357㎡、692,138千円）
・整地（2025年度）
• 鉄骨造平屋建の新工場の建設（法定耐用年数31年）
• 現在ボトルネックとなっている火入れ工程の設備（パストライザー）を導
入し、1時間あたりの火入れ本数を400本から1,200本に増強する。
• 醸造タンク他、設備に関しては現酒蔵から移設し、必要最小限の費用
設備投資の
となるよう工夫する。
写真等
内容
• 現酒蔵から製造設備を移設することで現酒蔵を観光拠点化するための
企画・準備をスムーズに進める。
• 工場全体について、空調・断熱材を完備することで光熱費を押さえると
ともにカビの発生などのリスクを軽減し、品質の向上を図る。
• 冷蔵倉庫は在庫管理システムと連携し、アイテム点数増加に耐えられ
る管理体制を構築する。
2027年度 2030年度
項目
（基準年度） （基準年度＋３年後）
労働生産性
1,140
1,618
（単位：万円/人） （年平均上昇率＋12.4％）
目標値 従業員1人あたり給与支給総額 542
407
（単位：万円/人） （年平均上昇率＋10.0％）
役員１人あたり給与支給総額 4,160
3,396
（単位：万円/人） （年平均上昇率＋7.0％）
補助事業に係る従業員数
36 42
（単位：人）</t>
  </si>
  <si>
    <t>株式会社ファーストダウン
1.長期成長ビジョン
株式会社ファーストダウンは、 2031年度に全国５工場、売上高150億円の達成を目標とし、社会にインパクト
を与えられる規模、リーダー企業への成長することで社会へ貢献し経営理念の実現を果たします。</t>
  </si>
  <si>
    <t>長期成長ビジョン（目指す姿・ビジネスモデル）
• 2031年、全国5工場、売上高150億円の達成
この補助事業を実施することにより、2027年に西日本№１のカット野
菜メーカーへと成長します。2030年には関東へ進出し、2031年150億
円を目指します。
• 全国への供給網・調達網を持つ業界のリーダー企業として、農業
従事者減少問題（2050年に農業経営体数84%減、生産額
52%減見込（出典：三菱総合研究所））の解決に着手します。
全国での供給工場は全国の産地との取り組みを意味し、仕入金額
の増加は多くの産地、生産者へのインパクトを表します。すでに収穫
支援などの取り組みを開始しており、全国規模で農業従事者減少の
課題へ取り組んでいくことを目指しております。
⇒そして、経営理念である「食の事業を通じて縁ある人を幸せにす
る」の実現</t>
  </si>
  <si>
    <t>外発的動機
高齢化、共働きの増加、核家族化等の社会変化により、 「食の外
•
部化」が拡大、カット野菜市場の急拡大（ 2012年度735億円
から2022年には1,969億円まで成長※ ）。
業界的に自動化が十分に進んでおらず労働集約的であり、供給能
•
力や、食の安全面への要求に対する対応が急務。.
2024年問題、農業従事者減少問題など多くの社会課題があり、
•
リーダー企業による対応が求められる。</t>
  </si>
  <si>
    <t>内発的動機
単一商圏ではなく広域商圏をターゲットとすることで、売上規模の拡
•
大を目指す。
製造拠点間で生産量調整を常に行い、過重労働やキャパシティ
•
オーバーを回避、生産性と品質を高め、企業の競争力を高める。
大きな社会課題に取り組むにはリーダー企業になる必要。
•</t>
  </si>
  <si>
    <t>会社全体の売上成長目標（～2031年）
• 2031年までに売上高成長率267%
• 2031年までに売上高増加額は9,380億円
※最新事業年度比較（24/8期 56億円⇒ 31/8期 150億円）
会社全体の賃上げ目標
• 0.00%（直近事業年度～基準年度）
• 5.00%（基準年度～事業化報告3年目）</t>
  </si>
  <si>
    <t>【p.1／売上成長目標】
会社全体の売上成長目標（～2031年）
• 2031年までに売上高成長率267%
• 2031年までに売上高増加額は9,380億円
※最新事業年度比較（24/8期 56億円⇒ 31/8期 150億円）
会社全体の賃上げ目標
• 0.00%（直近事業年度～基準年度）
• 5.00%（基準年度～事業化報告3年目）
【p.3／新工場に導入する主な設備】
新工場に導入する主な設備
千切りキャベツの
自動脱水装置 自動計量装置
2人体制→完全無人化 2人体制→完全無人化
原料受入 原料下処理 スライス 洗浄・脱水 計量 包装
ラベルチェック
箱詰 出荷
・検品
ラベルチェックの自動化
梱包・積荷
1人体制→完全無人化
180ｐ/分処理に
6人体制→1人体制
【p.4／工場新設後における生産体制の３つの特徴】
工場新設後における生産体制の３つの特徴
①生産能力増強 ②労働生産性UP ③給与アップ・雇用創出効果
新設後 新設後
新設後
労働生産性 1,864百万円
従来の
生産体制の
従前の 現状
生産数
労働生産性 1,085百万円
生産量MAX 生産量MAX
4,114千円 7,582千円 337人 500人
40万パック/日 60万パック/日
2024年と2030年との比較 2024年と2030年との比較
2024年と2030年との比較
省力化投資で労働生産性アップ 人員 163名増
工場新設により生産キャパ1.5倍
労働生産性 3,469千円増 給与支給総額 779百万円増</t>
  </si>
  <si>
    <t>【p.1】
株式会社ファーストダウン
1.長期成長ビジョン
株式会社ファーストダウンは、 2031年度に全国５工場、売上高150億円の達成を目標とし、社会にインパクト
を与えられる規模、リーダー企業への成長することで社会へ貢献し経営理念の実現を果たします。
長期成長ビジョン（目指す姿・ビジネスモデル）
外発的動機
• 2031年、全国5工場、売上高150億円の達成
• 高齢化、共働きの増加、核家族化等の社会変化により、 「食の外
この補助事業を実施することにより、2027年に西日本№１のカット野
部化」が拡大、カット野菜市場の急拡大（ 2012年度735億円
菜メーカーへと成長します。2030年には関東へ進出し、2031年150億
円を目指します。 から2022年には1,969億円まで成長※ ）。
• 業界的に自動化が十分に進んでおらず労働集約的であり、供給能
• 全国への供給網・調達網を持つ業界のリーダー企業として、農業
従事者減少問題（2050年に農業経営体数84%減、生産額 力や、食の安全面への要求に対する対応が急務。.
52%減見込（出典：三菱総合研究所））の解決に着手します。
• 2024年問題、農業従事者減少問題など多くの社会課題があり、
全国での供給工場は全国の産地との取り組みを意味し、仕入金額 リーダー企業による対応が求められる。
の増加は多くの産地、生産者へのインパクトを表します。すでに収穫
支援などの取り組みを開始しており、全国規模で農業従事者減少の
内発的動機
課題へ取り組んでいくことを目指しております。
• 単一商圏ではなく広域商圏をターゲットとすることで、売上規模の拡
⇒そして、経営理念である「食の事業を通じて縁ある人を幸せにす
大を目指す。
る」の実現
• 製造拠点間で生産量調整を常に行い、過重労働やキャパシティ
会社全体の売上成長目標（～2031年）
オーバーを回避、生産性と品質を高め、企業の競争力を高める。
• 2031年までに売上高成長率267%
• 2031年までに売上高増加額は9,380億円 • 大きな社会課題に取り組むにはリーダー企業になる必要。
※最新事業年度比較（24/8期 56億円⇒ 31/8期 150億円）
会社全体の賃上げ目標
• 0.00%（直近事業年度～基準年度）
• 5.00%（基準年度～事業化報告3年目） ※株式会社サラダクラブ調べ</t>
  </si>
  <si>
    <t>【p.2】
株式会社ファーストダウン
.補助事業の概要
2
社会環境の変化により拡大が見込まれるカット野菜市場のニーズに応えるために新工場を設置。人手不足問題に対応
するため、省人化機械を多く導入することで労働生産性を向上、高い売上成長率と、持続的な賃金上昇を実現する。
• 当社は中四国において高いシェアを誇るが、2024年問題によるドライバーの不足で
事業費 3 億円
1
現在当社の立地している京都工場から中四国への長距離輸送に大きな課題を抱
（補助額） （1 億円）
0
えている。中四国エリアへ新工場を設置することでフードマイレージ（食の輸送距
補助事業の 離）の短縮により2024年問題へ対応。
背景・目的 • 現状、中四国にはカット野菜メーカーの数が少なく、中四国エリアにおけるカット野菜
全自動計量器 自動脱水機
ニーズの高まりに対し、供給体制が十分ではない。
• 人手不足にも対応した省人化・省力化機械により、さらなる売上獲得により西日本
ナンバーワンメーカーへの成長を実現することができる。
中四国エリアへのカット野菜工場の新設により、物流問題に対応。省人化・省力化機
械を導入することで、労働者数を減らし喫緊の人手不足問題に対応する。
• 具体例
① 全自動計量器の導入（2名→完全無人化） 自動箱詰め機 カメラ検査装置
設備投資の
② カメラ検査装置による印字チェックの導入（1名→完全無人化）
内容
③ 自動脱水装置（2名→完全無人化）
④ 自動箱詰め機の導入（箱詰め作業者を6名→1名に）
等により、1日の生産に必要な作業者数を大幅に減少させることで労働生産性を高め、
高い賃金上昇率を達成する。
2027年度 2030年度
項目
（基準年度） （基準年度＋３年後）
労働生産性 758
484
（単位：万円/人） （年平均上昇率＋16.1％）
従業員1人あたり給与支給総額 373
目標値 322
（単位：万円/人） （年平均上昇率＋5.0％）
役員１人あたり給与支給総額
-
-
（単位：万円/人） （年平均上昇率＋4.9％）
補助事業に係る従業員数
380 500
（単位：人）
【p.3】
株式会社ファーストダウン
.補助事業の概要
2
省人化・省力化機械を導入することで、下記設備導入で11名必要であった人員数が1名で対応可能に
（△90％）
新工場に導入する主な設備
千切りキャベツの
自動脱水装置 自動計量装置
2人体制→完全無人化 2人体制→完全無人化
原料受入 原料下処理 スライス 洗浄・脱水 計量 包装
ラベルチェック
箱詰 出荷
・検品
ラベルチェックの自動化
梱包・積荷
1人体制→完全無人化
180ｐ/分処理に
6人体制→1人体制
【p.4】
株式会社ファーストダウン
.補助事業の概要
2
省人化・省力化機械を導入することで、労働者数を減らし喫緊の人手不足問題に対応。 地域雇用創出効果
は163人、給与支給総額増加額は799百万円、生産力は1.5倍、労働生産性も1.8倍にUP
工場新設後における生産体制の３つの特徴
①生産能力増強 ②労働生産性UP ③給与アップ・雇用創出効果
新設後 新設後
新設後
労働生産性 1,864百万円
従来の
生産体制の
従前の 現状
生産数
労働生産性 1,085百万円
生産量MAX 生産量MAX
4,114千円 7,582千円 337人 500人
40万パック/日 60万パック/日
2024年と2030年との比較 2024年と2030年との比較
2024年と2030年との比較
省力化投資で労働生産性アップ 人員 163名増
工場新設により生産キャパ1.5倍
労働生産性 3,469千円増 給与支給総額 779百万円増</t>
  </si>
  <si>
    <t>健栄製薬株式会社
1.長期成長ビジョン
長期成長ビジョンは「一人でも多くの人の健康で豊かな生活に貢献する」ことを掲げ、本補助事業を通じて社会的
需要が拡大する医薬品の供給と薬不足問題の解消に取り組み持続的な成長を実現する</t>
  </si>
  <si>
    <t>長期成長ビジョン（目指す姿・ビジネスモデル）
「一人でも多くの人の健康で豊かな生活に貢献する」
医薬品の供給不足に対する不安等、国民の不安を解消していくことで、
「一人でも多くの人が健康で豊かな生活を送る」ことを目指す。そのために、当
社が局方品においてトップシェアを獲得してきたノウハウを生かし、社会的需要
が拡大する医薬品の供給と薬不足問題の解消に取り組み、持続的な成長
を実現する
主力製品の国内および海外のさらなる需要拡大への対応と不足している
後発医薬品の安定的供給を実現し、社会的貢献を果たす
➀将来の国内・海外の需要拡大に対する生産能力増強
• 新工場を建設し生産能力を増強することで、国内・海外需要の増加によ
る市場の成長に対し、安定供給が可能な体制を構築する
②後発医薬品の供給不足に対する安定供給の実現
• ローコストオペレーションのノウハウを生かし、供給不足となっている低薬価
の後発医薬品について採算を確保しながら、安定的な供給を実現するこ
とで社会的課題の解決に貢献する
• 新工場では自動化ラインの導入による労働生産性の向上を図り、将来的
な人材不足にも対応</t>
  </si>
  <si>
    <t>外発的動機
• 厚生労働省医政局によると、医薬品全体の18.5％に当たる 3,103
品目が限定出荷または供給停止状態(2024年11月)にあり、特に需
要がある低薬価の後発医薬品を中心として供給が不安定な状況にある
• 今後も医薬品市場は高齢者数の増加に伴う医薬品需要の増加、後発
医薬品の使用促進政策に伴う供給不足の発生などにより、今後も深刻
な薬不足が続く見通し
• 後発医薬品の使用促進政策等に伴い、後発医薬品の市場規模は
CAGR 6.9%で成長することが見込まれる
• 世界的な高齢者数の増加やライフスタイルの変化によって慢性便秘有病
率の上昇により、世界市場の規模が拡大しており、今後もCAGR
6.3%で成長することが見込まれる
• 治療薬としては、従来の刺激性の便秘症向け医薬品から非刺激性への
移行が進んでいる</t>
  </si>
  <si>
    <t>内発的動機
• 当社は創業以来、局方品のカテゴリーにおいて多くの品目を安定供給して
おり、トップシェアの地位を確保している
• 局方品は汎用性が高く需要量が多い一方で、規格の統一により、製品の
差別化が困難であることから、販売価格が低くなる傾向にあるが、当社は
ローコストオペレーションの構築により低単価でも採算を確保しながら安
定供給を行ってきた
• 低薬価の後発医薬品は、採算性を理由とした他社撤退による供給不
足がさらに深刻化する見通しであり、当社はローコストオペレーションの強
みを生かして後発薬市場に本格参入することで薬不足の解消に貢献で
きると考えている
• 非刺激性の便秘症向け医薬品についても、今後の世界的需要増加に
対してトップメーカーとして供給責任を果たしていきたいと考えている</t>
  </si>
  <si>
    <t>会社全体の売上成長目標（2023年度～2030年度）
• 売上高成長率7.8％
• 売上高増加額186億円
会社全体の年平均賃上げ目標
• 5.2% (2023年度～2027年度）
• 8.7% (2027年度～2030年度）</t>
  </si>
  <si>
    <t>【p.1／売上成長目標】
会社全体の売上成長目標（2023年度～2030年度）
• 売上高成長率7.8％
• 売上高増加額186億円
会社全体の年平均賃上げ目標
• 5.2% (2023年度～2027年度）
• 8.7% (2027年度～2030年度）</t>
  </si>
  <si>
    <t>【p.1】
健栄製薬株式会社
1.長期成長ビジョン
長期成長ビジョンは「一人でも多くの人の健康で豊かな生活に貢献する」ことを掲げ、本補助事業を通じて社会的
需要が拡大する医薬品の供給と薬不足問題の解消に取り組み持続的な成長を実現する
長期成長ビジョン（目指す姿・ビジネスモデル） 外発的動機
• 厚生労働省医政局によると、医薬品全体の18.5％に当たる 3,103
「一人でも多くの人の健康で豊かな生活に貢献する」
品目が限定出荷または供給停止状態(2024年11月)にあり、特に需
医薬品の供給不足に対する不安等、国民の不安を解消していくことで、
要がある低薬価の後発医薬品を中心として供給が不安定な状況にある
「一人でも多くの人が健康で豊かな生活を送る」ことを目指す。そのために、当
• 今後も医薬品市場は高齢者数の増加に伴う医薬品需要の増加、後発
社が局方品においてトップシェアを獲得してきたノウハウを生かし、社会的需要
医薬品の使用促進政策に伴う供給不足の発生などにより、今後も深刻
が拡大する医薬品の供給と薬不足問題の解消に取り組み、持続的な成長
な薬不足が続く見通し
を実現する
• 後発医薬品の使用促進政策等に伴い、後発医薬品の市場規模は
CAGR 6.9%で成長することが見込まれる
主力製品の国内および海外のさらなる需要拡大への対応と不足している
• 世界的な高齢者数の増加やライフスタイルの変化によって慢性便秘有病
後発医薬品の安定的供給を実現し、社会的貢献を果たす
率の上昇により、世界市場の規模が拡大しており、今後もCAGR
6.3%で成長することが見込まれる
➀将来の国内・海外の需要拡大に対する生産能力増強
• 治療薬としては、従来の刺激性の便秘症向け医薬品から非刺激性への
• 新工場を建設し生産能力を増強することで、国内・海外需要の増加によ
移行が進んでいる
る市場の成長に対し、安定供給が可能な体制を構築する
②後発医薬品の供給不足に対する安定供給の実現
• ローコストオペレーションのノウハウを生かし、供給不足となっている低薬価 内発的動機
の後発医薬品について採算を確保しながら、安定的な供給を実現するこ
• 当社は創業以来、局方品のカテゴリーにおいて多くの品目を安定供給して
とで社会的課題の解決に貢献する
おり、トップシェアの地位を確保している
• 新工場では自動化ラインの導入による労働生産性の向上を図り、将来的
• 局方品は汎用性が高く需要量が多い一方で、規格の統一により、製品の
な人材不足にも対応
差別化が困難であることから、販売価格が低くなる傾向にあるが、当社は
ローコストオペレーションの構築により低単価でも採算を確保しながら安
会社全体の売上成長目標（2023年度～2030年度） 定供給を行ってきた
• 売上高成長率7.8％ • 低薬価の後発医薬品は、採算性を理由とした他社撤退による供給不
• 売上高増加額186億円 足がさらに深刻化する見通しであり、当社はローコストオペレーションの強
会社全体の年平均賃上げ目標 みを生かして後発薬市場に本格参入することで薬不足の解消に貢献で
きると考えている
• 5.2% (2023年度～2027年度）
• 非刺激性の便秘症向け医薬品についても、今後の世界的需要増加に
• 8.7% (2027年度～2030年度）
対してトップメーカーとして供給責任を果たしていきたいと考えている</t>
  </si>
  <si>
    <t>【p.2】
健栄製薬株式会社
.補助事業の概要
2
主力製品である便秘症向け医薬品の国内・海外需要の拡大および後発医薬品の供給不足に対し、新工場建設に
よる生産能力の増強、最新設備導入による生産性向上を図り、労働生産性の改善を実現する
• 新工場建設により、主力製品の便秘症向け医薬品の生産能力を増強し、需要拡大に対応 事業費 1 億円
17
補助事業の する （補助額） （35億円）
背景・目的 • 最新設備の導入による自動化ラインの設置により生産性向上を図り、低薬価の後発医薬品
においても採算を確保し、安定供給ができる生産体制を構築する
生産能力増強のための新工場建設
• 新工場である十三第2工場は延べ床面積約5,800㎡・4階建ての建設を予
十三第二工場(新工場)イメージ
定
• 便秘症向け医薬品と後発医薬品の製造ラインを導入し、生産能力の増強を
図る
• 既存工場で製造している便秘症向けのOTC医薬品の製造ラインを新工場に
移管することで、各工場の役割を明確化し、段取時間削減による稼働時間向
設備投資の 上で各工場の生産性改善を実現する
内容 生産性向上のための特注の設備導入・最新設備の導入
• 秤量、調合、洗浄、充填・包装工程へ最新設備を導入し、製造ラインを完全
自動化することで省人化および生産性向上を図り、労働生産性を改善する
• グリセリン浣腸液の充填・包装工程に対しては、製品の複雑な形状に対応した
特注の設備を導入することで、従来の設備では達成できなかった完全自動化
を実現
• 各製造ラインの製造設備を拡大し、段取り替えを削減することで設備稼働効
率を改善し、生産性向上を図る
2027年度 2030年度
項目
（基準年度） （基準年度＋３年後）
労働生産性 2,807
1,982
（単位：万円/人） （年平均上昇率＋12.3％）
目標値 従業員1人あたり給与支給総額 561
433
（単位：万円/人） （年平均上昇率＋9.0％）
役員１人あたり給与支給総額
-
（単位：万円/人） - (年平均上昇率+6.5％)
補助事業に係る従業員数
683 716
（単位：人）</t>
  </si>
  <si>
    <t>キングパーツ株式会社
1.長期成長ビジョン
• ロストワックス精密鋳造による精密部品の安定供給を通じて、日本の精密機械競争力向上に貢献する、 ”キングファン”を
増やしみんなを笑顔にする。その取組みを通じて2030年度に売上高成長率219％、売上高増加額＋53億円を目指す</t>
  </si>
  <si>
    <t>長期成長ビジョン（目指す姿・ビジネスモデル）
１ ロストワックス精密鋳造による精密部品の安定供給を通じて、
日本の精密機械の競争力向上に貢献する
技術力と提案力で顧客の課題解決を図り、
2
”キングファン”を増やす
会社の稼ぐ力を強化し、従業員や地域へ還元、
3
会社・従業員・従業員家族のみんなを笑顔にする
売上高年平均成長率
中長期の数値目標
24.93％(2027～2030年度)
(事業化報告3年目)
(基準年度) 2030年度
2027年度 精密部品の安定供給を
(直近事業年度)
高付加価値化を 通じて
目指し 日本の精密機械の
生産体制の見直し 競争力向上に貢献
2023年度
50億円
97億円
44億円</t>
  </si>
  <si>
    <t>外発的動機
サプライチェーン強靭化の要請（鋳造品の安定供給）
• 特定国へ依存しないグローバルサプライチェーン強靭化の観点から、日
本は鋳造品の安定供給の役割が求められている。
製造の国内回帰の強まり
• 新型コロナやウクライナ侵攻でサプライチェーン寸断を経験し、製造拠点
の国内回帰の動きが急激に強まっており、転注獲得の機会である
経済安全保障に関する重要技術保護の強化
• 「鍵を握る重要物資・技術」の保護・国外流出防止の強化が、国の重
要施策となっており、国内生産メーカーの事業機会となっている
世界的なSDGs対応の要請
• 持続可能な社会の実現に向け、材料ロスを最小限に抑える製法が要
請され、切削と比して金属ロスの少ないロストワックス精密鋳造が優位</t>
  </si>
  <si>
    <t>内発的動機
ロストワックスの可能性を拡げたい
• 当社は中～高難易度・小～中ロット・短納期対応で企業成長してきた
• 人件費が安い海外での生産が増える中、更なる高付加価値化により
当社事業の継続性を高めるとともに、日本のものづくりに貢献したい
作業環境を改善し、熟練工を育てたい
• ものづくりは良い作り手、すなわち熟練の従業員がいてこそ実現する
• 鋳造業は重い・暑い等の厳しい作業を伴うが、作業環境改善で可能
な限り従業員の負担を減らし定着してもらうことで、熟練工を育てたい
従業員が安心して働ける、愛着のわく職場をつくりたい
• 会社の事業継続性・収益力を高め従業員に給与として還元するととも
に、作業環境が整備された、更に魅力的な職場にしていきたい</t>
  </si>
  <si>
    <t>会社全体の売上成長目標（2023～2030年度）
売上高成長率︓219％
売上高増加額︓＋53億円
会社全体の賃上げ目標（2023～2030年度）
0.43%（直近事業年度～基準年度）
5.45%（基準年度～事業化報告3年目）</t>
  </si>
  <si>
    <t>【p.1／売上成長目標】
会社全体の売上成長目標（2023～2030年度）
売上高成長率︓219％
売上高増加額︓＋53億円
会社全体の賃上げ目標（2023～2030年度）
0.43%（直近事業年度～基準年度）
5.45%（基準年度～事業化報告3年目）
【p.2／設備投資の内容】

設備投資の内容
•
新工場の建設、その他製造に必要な設備一式
※ WAXモデル成型、WAXモデル組立、鋳型製作の工
の最適化を図る
※ WAX自動供給装置を導入し、ろうの充填を自動化
※ 自動倉庫を導入し、WAXモデル組立に使用する資
運搬等の自動化・効率化を図る
※ 造形自動ロボットを導入し、鋳型製作の7割を自動
※ 上記より、生産能力の拡大（約2倍）を実現する
※ 温度・湿度管理装置を導入し、鋳型品質の向上と
型製作に取り組む
項目 2</t>
  </si>
  <si>
    <t>【p.1】
キングパーツ株式会社
1.長期成長ビジョン
• ロストワックス精密鋳造による精密部品の安定供給を通じて、日本の精密機械競争力向上に貢献する、 ”キングファン”を
増やしみんなを笑顔にする。その取組みを通じて2030年度に売上高成長率219％、売上高増加額＋53億円を目指す
長期成長ビジョン（目指す姿・ビジネスモデル） 外発的動機
サプライチェーン強靭化の要請（鋳造品の安定供給）
１ ロストワックス精密鋳造による精密部品の安定供給を通じて、 • 特定国へ依存しないグローバルサプライチェーン強靭化の観点から、日
日本の精密機械の競争力向上に貢献する 本は鋳造品の安定供給の役割が求められている。
製造の国内回帰の強まり
2 技術力と提案力で顧客の課題解決を図り、 • 新型コロナやウクライナ侵攻でサプライチェーン寸断を経験し、製造拠点
”キングファン”を増やす
の国内回帰の動きが急激に強まっており、転注獲得の機会である
経済安全保障に関する重要技術保護の強化
3 会社の稼ぐ力を強化し、従業員や地域へ還元、
会社・従業員・従業員家族のみんなを笑顔にする • 「鍵を握る重要物資・技術」の保護・国外流出防止の強化が、国の重
要施策となっており、国内生産メーカーの事業機会となっている
売上高年平均成長率 世界的なSDGs対応の要請
中長期の数値目標
24.93％(2027～2030年度) • 持続可能な社会の実現に向け、材料ロスを最小限に抑える製法が要
(事業化報告3年目) 請され、切削と比して金属ロスの少ないロストワックス精密鋳造が優位
(基準年度) 2030年度
2027年度 精密部品の安定供給を
(直近事業年度)
高付加価値化を 通じて 内発的動機
目指し 日本の精密機械の
ロストワックスの可能性を拡げたい
生産体制の見直し 競争力向上に貢献
2023年度 • 当社は中～高難易度・小～中ロット・短納期対応で企業成長してきた
50億円
97億円
44億円 • 人件費が安い海外での生産が増える中、更なる高付加価値化により
当社事業の継続性を高めるとともに、日本のものづくりに貢献したい
会社全体の売上成長目標（2023～2030年度） 作業環境を改善し、熟練工を育てたい
売上高成長率︓219％ • ものづくりは良い作り手、すなわち熟練の従業員がいてこそ実現する
売上高増加額︓＋53億円 • 鋳造業は重い・暑い等の厳しい作業を伴うが、作業環境改善で可能
な限り従業員の負担を減らし定着してもらうことで、熟練工を育てたい
会社全体の賃上げ目標（2023～2030年度）
従業員が安心して働ける、愛着のわく職場をつくりたい
0.43%（直近事業年度～基準年度）
5.45%（基準年度～事業化報告3年目） • 会社の事業継続性・収益力を高め従業員に給与として還元するととも
に、作業環境が整備された、更に魅力的な職場にしていきたい
© KINGPARTS Co., Ltd. All Rights Reserved.</t>
  </si>
  <si>
    <t>【p.2】
キングパーツ株式会社
２.補助事業の概要
• 本社隣地に新工場を建設
①工程集約・省人化・効率化による生産性向上、②温度・湿度管理強化による品質向上と高難易度鋳型製作、
③生産能力の拡大を実現する
① 生産性の問題︓ 事業費
・拠点間、工場間、階層間で仕掛品の移動が頻発し、非効率となっている （補助額）
補助事業の ・WAXモデル成型におけるろうの充填、WAXモデル組立における資材運搬、鋳型製作が非効率となっている
背景・目的
② 品質の問題︓工場老朽化により温度・湿度管理能力が低下、鋳型の品質低下の原因となっている 34億円
（11億円）
③ 生産能力の問題︓改善活動による生産能力拡大が限界に近付きつつある
 事業実施場所
• 広島県福山市御幸町下岩成879-1付近（本社隣地）
赤枠内が
 設備投資の内容 本社・鋳造工場
敷地
• 新工場の建設、その他製造に必要な設備一式
※ WAXモデル成型、WAXモデル組立、鋳型製作の工程を集約、 動線
の最適化を図る
設備投資の
※ WAX自動供給装置を導入し、ろうの充填を自動化・効率化する
内容
※ 自動倉庫を導入し、WAXモデル組立に使用する資材のピッキング・
運搬等の自動化・効率化を図る
建設予定地
※ 造形自動ロボットを導入し、鋳型製作の7割を自動化する
(現在駐車場)
※ 上記より、生産能力の拡大（約2倍）を実現する
※ 温度・湿度管理装置を導入し、鋳型品質の向上と、高難易度の鋳
型製作に取り組む
項目 2027年度（基準年度） 2030年度（基準年度＋３年後）
労働生産性（単位︓万円/人） 745 1,177（年平均上昇率＋16.5％）
目標値 従業員1人あたり給与支給総額（単位︓万円/人） 390 464（年平均上昇率＋6.0％）
役員１人あたり給与支給総額（単位︓万円/人） - -（年平均上昇率＋5.0％）
補助事業に係る従業員数（単位︓人） 323 372
© KINGPARTS Co., Ltd. All Rights Reserved.</t>
  </si>
  <si>
    <t>株式会社八天堂
1.長期成長ビジョン
・目指す姿は食のイノベーション、つまり携わる人の成長とウェルネスな人生を創造すること。その取組みを通じて当
社は2030年度に売上高成長率273％、売上高増加額＋79億円を目指す
長期成長ビジョン（目指す姿・ビジネスモデル）
社会課題
【目指す姿・ビジネスモデル】八天堂の食のイノベーション サステナブル（社会・環境に配慮した取り組み）
・徹底した付加価値の追求により八天堂【らしい】新たな食文化を提供し、
・人口が減少する一方で大量の食品が廃棄されており、これが環境負荷や資
その営みを通して携わる人の成長とウェルネスな人生を創造する
源の無駄遣いにつながっている。食品製造業は、製造プロセスでのロスを最小
【ビジョン（指針）】 限に抑えるための製造と販売消費がデジタル技術で繋がった新たな業務形態
スイーツパン（冷やして食べるクリームパン）の確立 が求められている
外
・食品製造業は労働集約型産業。健康経営に取組み、労働環境の改善を
・「従来にない」商品カテゴリー又は食感などを作りだし、 発
推進するとともに、業務効率化の取組により賃上げを実現する
「スイーツ」という領域で、世界に需要がある
的
・スイーツパン市場は100億はくだらない 動 多様な食文化への対応 顧客ニーズ
・単なる現状業務の「省力化投資」ではなく、今後の時代、世界の需要に 機
・健康志向の高まりとして全粒粉やグルテンフリー、低糖質、低カロリーのパンの
マッチした新ビジネス（市場）のための「攻めの投資」と強く打ち出したい
需要が増加している
商工農福連携、ノウフクＪＡＳの充実・強化 ・利便性の追求として忙しいライフスタイルに合わせて、手軽に食べられるパンや、
持ち運びしやすい個包装のパン、冷凍パンや長期保存が可能なパンも需要が
・2024年広島県が中心となって農家の人手不足や食品ロスを農福連携で
高まっている。また地元産の原材料を使用したパンも支持されている
解決することを目指し、農福コンソーシアムひろしまを設立。当社グループは
中核事業である商品開発、販売事業を担っており、多様な人材の雇用を
創出することにより、積極的に地域社会の健全な発展に寄与していく
創業者や経営者
基準年度 基準年度＋3年 の原体験
食は生きる元気の源
2030年度
2027年度 ・1933年、世界的な大恐慌の影響を受けて暮らしが苦しくなっていくなか、創
125億円
直近決算 66億円 業者の「甘くておいしい和菓子で、人々を元気づけたい」という想いが現在も
内 受け継がれている。現在でも食の安心安全は重要な社会イシューであり、
2023年
46億円 売上高年平均成長率23.53％（23-30年度） 発 人々のライフにおいて空腹感を満たす以上の幸福感と喜びがある
的
会社全体の売上成長目標（2023～2030年度） 動 事業の目的は社会貢献 経営者の動機
売上高成長率：273％
機
売上高増加額：＋79億円 ・経営が困窮していたとき、事業の縮小を図ったが、障がい者向け“パン教室”は続
会社全体の賃上げ目標（2023～2030年度） けた。障がい者の方々の表情から逆に元気をもらい、困難を乗り越えることがで
きた。そこから「商工農福連携」（次頁）の取組みにつながった。売上を伸ばすだ
0.42%（直近事業年度～基準年度）
けが目的ではなく、どう社会に還元するかである
5.57%（基準年度～事業化報告3年目）</t>
  </si>
  <si>
    <t>・目指す姿は食のイノベーション、つまり携わる人の成長とウェルネスな人生を創造すること。その取組みを通じて当
社は2030年度に売上高成長率273％、売上高増加額＋79億円を目指す
・現工場（みはら臨空工場）のある八天堂ビレッジの敷地内に全て自動化・省力化が図られる新工場を建設
・くりーむパンの生産能力を飛躍的に向上させるとともに全国のパン・菓子製造業からOEMを請け負う</t>
  </si>
  <si>
    <t>1.長期成長ビジョン
・目指す姿は食のイノベーション、つまり携わる人の成長とウェ
社は2030年度に売上高成長率273％、売上高増加額
長期成長ビジョン（目指す姿・ビジネスモデル）
【目指す姿・ビジネスモデル】八天堂の食のイノベーション
・徹底した付加価値の追求により八天堂【らしい】新たな食文化を提供し、
その営みを通して携わる人の成長とウェルネスな人生を創造する
【ビジョン（指針）】
スイーツパン（冷やして食べるクリームパン）の確立
外
・「従来にない」商品カテゴリー又は食感などを作りだし、
発
「スイーツ」という領域で、世界に需要がある
的
・スイーツパン市場は100億はくだらない 動
・単なる現状業務の「省力化投資」ではなく、今後の時代、世界の需要に 機
マッチした新ビジネス（市場）のための「攻めの投資」と強く打ち出したい
商工農福連携、ノウフクＪＡＳの充実・強化
・2024年広島県が中心となって農家の人手不足や食品ロスを農福連携で
解決することを目指し、農福コンソーシアムひろしまを設立。当社グループは
中核事業である商品開発、販売事業を担っており、多様な人材の雇用を
創出することにより、積極的に地域社会の健全な発展に寄与していく
基準年度 基準年度＋3年
2030年度
2027年度
125億円
直近決算 66億円
内
2023年
46億円 売上高年平均成長率23.53％（23-30年度） 発
的</t>
  </si>
  <si>
    <t>2030年度
2027年度
125億円
直近決算 66億円
2023年
46億円
売上高年平均成長率23.53％（23-30年度）
会社全体の売上成長目標（2023～2030年度）
売上高成長率：273％
売上高増加額：＋79億円
会社全体の賃上げ目標（2023～2030年度）
0.42%（直近事業年度～基準年度）
5.57%（基準年度～事業化報告3年目）</t>
  </si>
  <si>
    <t>【p.1／上段要旨】
・目指す姿は食のイノベーション、つまり携わる人の成長とウェルネスな人生を創造すること。その取組みを通じて当
社は2030年度に売上高成長率273％、売上高増加額＋79億円を目指す
【p.1／社会課題】
社会課題
サステナブル（社会・環境に配慮した取り組み）
・人口が減少する一方で大量の食品が廃棄されており、これが環境負荷や資
源の無駄遣いにつながっている。食品製造業は、製造プロセスでのロスを最小
限に抑えるための製造と販売消費がデジタル技術で繋がった新たな業務形態
が求められている
・食品製造業は労働集約型産業。健康経営に取組み、労働環境の改善を
推進するとともに、業務効率化の取組により賃上げを実現する
顧客ニーズ
多様な食文化への対応
・健康志向の高まりとして全粒粉やグルテンフリー、低糖質、低カロリーのパンの
需要が増加している
・利便性の追求として忙しいライフスタイルに合わせて、手軽に食べられるパンや、
持ち運びしやすい個包装のパン、冷凍パンや長期保存が可能なパンも需要が
高まっている。また地元産の原材料を使用したパンも支持されている
【p.1／の原体験】
の原体験
食は生きる元気の源
・1933年、世界的な大恐慌の影響を受けて暮らしが苦しくなっていくなか、創
業者の「甘くておいしい和菓子で、人々を元気づけたい」という想いが現在も
受け継がれている。現在でも食の安心安全は重要な社会イシューであり、
人々のライフにおいて空腹感を満たす以上の幸福感と喜びがある
経営者の動機
事業の目的は社会貢献
・経営が困窮していたとき、事業の縮小を図ったが、障がい者向け“パン教室”は続
けた。障がい者の方々の表情から逆に元気をもらい、困難を乗り越えることがで
きた。そこから「商工農福連携」（次頁）の取組みにつながった。売上を伸ばすだ
けが目的ではなく、どう社会に還元するかである
【p.1／売上成長目標】
2030年度
2027年度
125億円
直近決算 66億円
2023年
46億円
売上高年平均成長率23.53％（23-30年度）
会社全体の売上成長目標（2023～2030年度）
売上高成長率：273％
売上高増加額：＋79億円
会社全体の賃上げ目標（2023～2030年度）
0.42%（直近事業年度～基準年度）
5.57%（基準年度～事業化報告3年目）
【p.2／上段要旨】
・現工場（みはら臨空工場）のある八天堂ビレッジの敷地内に全て自動化・省力化が図られる新工場を建設
・くりーむパンの生産能力を飛躍的に向上させるとともに全国のパン・菓子製造業からOEMを請け負う
【p.2／設備投資の内容】
 設備投資の内容
新工場建設 15.0億円
製造に必要な設備一式 09.9億円
 設備投資が課題を解決し得ること
・現工場では終日工場を3交代制で稼働させても、最大7
か生産できなかったが、新工場では全て自動化・省力化
15万個/日の追加生産が可能となる
・現工場は手間暇かけた付加価値のある商品を製造して
・また現在は賞味期限が3日程度であるがチルドを扱うこと
延びたり、遠方への運搬も可能になる
・新工場ではFSSC22000（食品安全システム認証）の</t>
  </si>
  <si>
    <t>【p.1】
株式会社八天堂
1.長期成長ビジョン
・目指す姿は食のイノベーション、つまり携わる人の成長とウェルネスな人生を創造すること。その取組みを通じて当
社は2030年度に売上高成長率273％、売上高増加額＋79億円を目指す
長期成長ビジョン（目指す姿・ビジネスモデル）
社会課題
【目指す姿・ビジネスモデル】八天堂の食のイノベーション サステナブル（社会・環境に配慮した取り組み）
・徹底した付加価値の追求により八天堂【らしい】新たな食文化を提供し、
・人口が減少する一方で大量の食品が廃棄されており、これが環境負荷や資
その営みを通して携わる人の成長とウェルネスな人生を創造する
源の無駄遣いにつながっている。食品製造業は、製造プロセスでのロスを最小
【ビジョン（指針）】 限に抑えるための製造と販売消費がデジタル技術で繋がった新たな業務形態
スイーツパン（冷やして食べるクリームパン）の確立 が求められている
外
・食品製造業は労働集約型産業。健康経営に取組み、労働環境の改善を
・「従来にない」商品カテゴリー又は食感などを作りだし、 発
推進するとともに、業務効率化の取組により賃上げを実現する
「スイーツ」という領域で、世界に需要がある
的
・スイーツパン市場は100億はくだらない 動 多様な食文化への対応 顧客ニーズ
・単なる現状業務の「省力化投資」ではなく、今後の時代、世界の需要に 機
・健康志向の高まりとして全粒粉やグルテンフリー、低糖質、低カロリーのパンの
マッチした新ビジネス（市場）のための「攻めの投資」と強く打ち出したい
需要が増加している
商工農福連携、ノウフクＪＡＳの充実・強化 ・利便性の追求として忙しいライフスタイルに合わせて、手軽に食べられるパンや、
持ち運びしやすい個包装のパン、冷凍パンや長期保存が可能なパンも需要が
・2024年広島県が中心となって農家の人手不足や食品ロスを農福連携で
高まっている。また地元産の原材料を使用したパンも支持されている
解決することを目指し、農福コンソーシアムひろしまを設立。当社グループは
中核事業である商品開発、販売事業を担っており、多様な人材の雇用を
創出することにより、積極的に地域社会の健全な発展に寄与していく
創業者や経営者
基準年度 基準年度＋3年 の原体験
食は生きる元気の源
2030年度
2027年度 ・1933年、世界的な大恐慌の影響を受けて暮らしが苦しくなっていくなか、創
125億円
直近決算 66億円 業者の「甘くておいしい和菓子で、人々を元気づけたい」という想いが現在も
内 受け継がれている。現在でも食の安心安全は重要な社会イシューであり、
2023年
46億円 売上高年平均成長率23.53％（23-30年度） 発 人々のライフにおいて空腹感を満たす以上の幸福感と喜びがある
的
会社全体の売上成長目標（2023～2030年度） 動 事業の目的は社会貢献 経営者の動機
売上高成長率：273％
機
売上高増加額：＋79億円 ・経営が困窮していたとき、事業の縮小を図ったが、障がい者向け“パン教室”は続
会社全体の賃上げ目標（2023～2030年度） けた。障がい者の方々の表情から逆に元気をもらい、困難を乗り越えることがで
きた。そこから「商工農福連携」（次頁）の取組みにつながった。売上を伸ばすだ
0.42%（直近事業年度～基準年度）
けが目的ではなく、どう社会に還元するかである
5.57%（基準年度～事業化報告3年目）</t>
  </si>
  <si>
    <t>【p.2】
株式会社八天堂
.補助事業の概要
2
・現工場（みはら臨空工場）のある八天堂ビレッジの敷地内に全て自動化・省力化が図られる新工場を建設
・くりーむパンの生産能力を飛躍的に向上させるとともに全国のパン・菓子製造業からOEMを請け負う
①生産能力の問題：現工場（みはら臨空工場）の生産能力（最大7万個/日）は限界
2 億円
補助事業の 製造プロセスに多くの手作業が含まれ技術革新による自動化が必須 事業費 6
（8.3億円）
背景・目的 （補助額）
②品質の問題：現工場ではISO9001やJFS-B適合証明書を取得しているが、FSSC22000
（食品安全システム認証）の取得が求められる
補助事業実施場所：広島県三原市本郷町善入寺
 設備投資の内容
新工場建設 15.0億円 空の駅 ORCHARD 新工場
八天堂ビレッジ
製造に必要な設備一式 09.9億円
りんくう保育園
 設備投資が課題を解決し得ること 広島空港 八天堂カフェリエ 天空カフェ
・現工場では終日工場を3交代制で稼働させても、最大7万個/日までし 八天堂本店
設備投資の か生産できなかったが、新工場では全て自動化・省力化が図られ、最大 八天堂みはら臨空工場
内容 15万個/日の追加生産が可能となる
・現工場は手間暇かけた付加価値のある商品を製造していく予定
新工場 今後、変更となる場合があります。
・また現在は賞味期限が3日程度であるがチルドを扱うことで賞味期限が
延びたり、遠方への運搬も可能になる
・新工場ではFSSC22000（食品安全システム認証）の取得を目指す
・以上により、くりーむパンの生産能力を飛躍的に向上させるとともに全国の
パン・菓子製造業からOEMを請け負うことで高利益体質になる
項目 2027年度（基準年度） 2030年度（基準年度＋３年後）
労働生産性（単位：万円/人） 719 1,284（年平均上昇率＋21.3％）
目標値 従業員1人あたり給与支給総額（単位：万円/人） 38 45 （年平均上昇率＋6.0％）
0 3
役員１人あたり給与支給総額（単位：万円/人） （年平均上昇率＋6.0％）
- -
補助事業に係る従業員数（単位：人） 198 24
1</t>
  </si>
  <si>
    <t>昭和化工株式会社
1.長期成長ビジョン
「愛と創造」の社是のもと、「化学と食で未来を創る」をグループ経営理念に掲げ、時代の変化とニーズを的確に
捉えて、社会の求める化学品を提供し続ける</t>
  </si>
  <si>
    <t>長期成長ビジョン（目指す姿・ビジネスモデル）
企業理念である「愛と創造」を大成することを通じて、社会課題の解
決、持続可能な社会実現に貢献
■ヒトのやりたがらないことをやりつづける
→社会の求める少量多品種の化学品を提供し、
劇物などの危険物を取り扱うなど、
他社のやりたがらない普通のことを普通にやり続ける
■脱属人化
→いかなる状況でも普通のことを普通にできる盤石な組織基盤を
作り、時代が変化すれば時代に合わせて形を変えることができる組
織を目指す
■環境保全・サスティナブル
→無理無駄を省く、法令遵守、自社保有森林活用</t>
  </si>
  <si>
    <t>外発的動機
• 電子部品や半導体の増加により化学品の需要も増加
（半導体市場の2032年までの年平均成長率は14.9%
出典：Fortune Business Insights のレポート「半導体
市場予測 2024-2032」）
• 技術や経験が蓄積されるにともない取引先からの化学品に関する
要望・相談が増加
• 取引先や投資家からのESG重視の選定、最終消費者における環
境意識の高まりなど、市場・顧客から環境・持続可能性への取り組
みが求められている
• 少子化による労働力不足や健康経営などによる労働環境改善へ
の投資の必要性増加</t>
  </si>
  <si>
    <t>内発的動機
• 創業から受け継がれた企業理念
• 先代までの経営による会社の一時的な衰退
そこから経営を立て直し債務超過解消・自己資本比率40％まで
の回復につなげた
• 商社に勤めた経験（モノを右から左へ流すだけで現場が分からな
い）に対して、昭和化工で現場でのモノづくりの楽しさを知った
そのモノづくりの楽しさを、作る人・管理する人・売る人・買う人すべて
に知ってもらいたい</t>
  </si>
  <si>
    <t>会社全体の売上成長目標（～2031年3月度）
• 売上高成長率+98％
• 売上高増加額107億円
会社全体の賃上げ目標
• 平均賃上げ率 2.16%（直近事業年度～基準年度）
• 平均賃上げ率 6.75%（基準年度～事業化報告3年目）</t>
  </si>
  <si>
    <t>【p.1／売上成長目標】
会社全体の売上成長目標（～2031年3月度）
• 売上高成長率+98％
• 売上高増加額107億円
会社全体の賃上げ目標
• 平均賃上げ率 2.16%（直近事業年度～基準年度）
• 平均賃上げ率 6.75%（基準年度～事業化報告3年目）</t>
  </si>
  <si>
    <t>【p.1】
昭和化工株式会社
1.長期成長ビジョン
「愛と創造」の社是のもと、「化学と食で未来を創る」をグループ経営理念に掲げ、時代の変化とニーズを的確に
捉えて、社会の求める化学品を提供し続ける
長期成長ビジョン（目指す姿・ビジネスモデル） 外発的動機
• 電子部品や半導体の増加により化学品の需要も増加
企業理念である「愛と創造」を大成することを通じて、社会課題の解
（半導体市場の2032年までの年平均成長率は14.9%
決、持続可能な社会実現に貢献
出典：Fortune Business Insights のレポート「半導体
市場予測 2024-2032」）
■ヒトのやりたがらないことをやりつづける
• 技術や経験が蓄積されるにともない取引先からの化学品に関する
→社会の求める少量多品種の化学品を提供し、
要望・相談が増加
劇物などの危険物を取り扱うなど、
• 取引先や投資家からのESG重視の選定、最終消費者における環
他社のやりたがらない普通のことを普通にやり続ける
境意識の高まりなど、市場・顧客から環境・持続可能性への取り組
みが求められている
■脱属人化
• 少子化による労働力不足や健康経営などによる労働環境改善へ
→いかなる状況でも普通のことを普通にできる盤石な組織基盤を
の投資の必要性増加
作り、時代が変化すれば時代に合わせて形を変えることができる組
織を目指す
■環境保全・サスティナブル
→無理無駄を省く、法令遵守、自社保有森林活用 内発的動機
• 創業から受け継がれた企業理念
会社全体の売上成長目標（～2031年3月度） • 先代までの経営による会社の一時的な衰退
• 売上高成長率+98％ そこから経営を立て直し債務超過解消・自己資本比率40％まで
• 売上高増加額107億円 の回復につなげた
会社全体の賃上げ目標 • 商社に勤めた経験（モノを右から左へ流すだけで現場が分からな
い）に対して、昭和化工で現場でのモノづくりの楽しさを知った
• 平均賃上げ率 2.16%（直近事業年度～基準年度）
そのモノづくりの楽しさを、作る人・管理する人・売る人・買う人すべて
• 平均賃上げ率 6.75%（基準年度～事業化報告3年目）
に知ってもらいたい</t>
  </si>
  <si>
    <t>【p.2】
昭和化工株式会社
.補助事業の概要
2
生産量の拡大及び全工程の内製化を含めた工程効率化を目的として、半導体用の感光材原料工場及び無
機錫化合物の製造工場を建設する
補助事業の • 半導体関連の需要が増加していることに対して生産量が追いついていないことに課題感 事業費 億円
112
背景・目的 • 無機錫工場の過去の無作為な拡張により非効率的な生産となっていることに課題感 （補助額） （ 億円）
18
• 事業費 ①新クロライド工場増設 30億円
②無機錫工場改築 25億円
• 事業概要
①新クロライド工場の建設
・半導体製造に必要な感光材原料(SK-20C,30C)等の製造工場
・生産量の増大（現状40t → 100t）につながることに加え、一部外注していた工程を内
製化することができ、品質管理の向上及び生産効率化（労働生産性向上）を実現する
設備投資の ・生産量の増加に対して従業員数は微増に留まるため生産効率大幅増
内容 （27年度→30年度対比 売上高+50.9%増に対して人員+1.4%の増員に留まる）
②無機錫工場の建設
・現状の複数棟に分散されている平屋工場を立て直し、導線を見直した効率的な工場を新
たに建設する
・これにより、生産量の増加や、外注していた工程を内製化できることに加え、低品質の原料
を独自に溶解・精製することで、高品質製品に加工することができるようになり、大幅なコスト
削減につながる
（写真は現工場）
2028年3月度 2031年3月度
項目
（基準年度） （基準年度＋３年後）
（単
労
位
働
：
生
万
産
円
性
/人）
1,304万円
（年平均
2
上
,7
昇
15
率
万
＋
円
27.7％）
目標値 従業員
（
1
単
人
位
あ
：
た
万
り給
円
与
/人
支
）
給総額
626万円
（年平均
7
上
6
昇
7万
率
円
＋7.0％）
役員１人あたり給与支給総額
-
（単位：万円/人） - （年平均上昇率5.0％）
補助事業に係る従業員数
160 177
（単位：人）</t>
  </si>
  <si>
    <t>中本Fine Pack株式会社
1.長期成長ビジョン
人と環境にやさしい、全天候型グローバル企業を目指す中本グループの長期成長ビジョンの中核事業として、食品
容器の製造販売を担っている“中本Fine Packの生産拠点再編・環境対応新工場の構造改革事業”を推進</t>
  </si>
  <si>
    <t>長期成長ビジョン（目指す姿・ビジネスモデル）
• 中本Fine Pack（当社）が属する中本パックスグループは、印刷加
工(グラビア印刷)、ラミネート加工(ドライラミネート)、コーティング加
工及び成形加工による製品の販売を主な事業としています。この中
で中本Fine Packは、成形加工事業を担っており、グループ経営方
針『人に、環境にやさしい企業をめざして～クリーン＆セイフティ～」
のもと、企業価値を高め、急速に変化する事業環境に左右されな
い「全天候型グローバル企業」を目指しています。環境問題対応の
最大のテーマとして、プラスチックの中でも特にポリエチレンテレフタレー
ト（PET）樹脂のリサイクル・リデュースを目指し、常に新しい技術に
取り組み、顧客に密着したマーケティング活動を行い、グローバル規
模で顧客や社会のニーズを先取りし、強力に推進しています。現在
の社会課題である食品容器などのリサイクルや廃棄物の削減による
CO2の削減等、社会・環境に対して配慮した商品・サービスの提供、
そして安全性向上・健康に貢献する商品・サービスの提供を行い、
地域社会経済の発展に貢献していきます。
• 当社のビジネスモデルは、①原材料メーカーから材料を仕入れ、②
シート成形（補助事業で一部内製化）、③印刷・コーディネート等
の加工（中本パックス）、④容器成形（当社）、⑤商品納入、で
あり、中本グループで協働したサプライチェーンを構築している。</t>
  </si>
  <si>
    <t>外発的動機
• 地球温暖化の防止・循環型社会の実現するには、原材料の調達・製品加
工・輸送・消費・廃棄に至るプロセスにおけるCO2や廃棄物の削減、植物
由来材料、非化石エネルギーへの転換が急務である。
• 海洋プラスチックごみは、現在海洋ごみの約6割を占め、海の生態系への影
響、海洋生物を通じて人体に入ることが懸念されており、プラスチック削減、
海にプラスチックごみを捨てない取り組みが必要である。
• 日本の人口1人あたりのプラスチック容器包装の廃棄量は米国に次いで多く、
プラスチックの３Ｒを推進し、循環型社会の早期実現が望まれている。
• 容器包装プラスチックは、軽量・安全で食品貯蔵寿命延長や輸送保管量
削減が可能となり、小売店や食品メーカー等から根強い支持を得てプラス
チック容器の市場は拡大している。
• 当社の主要顧客である（株）エフピコより、2027年度以降、リサイクル不
可なOPS製プラ容器から、リサイクル可能なPET製プラ容器への切り替え、
PET製プラ容器の大幅な増産要請を受けている。</t>
  </si>
  <si>
    <t>内発的動機
• 社会課題に対応して食品容器のリサイクル商品の生産比率を高め、更に
生産性向上を高める施策を打ち出して、企業価値最大化を追求していく。
• 戦略投資を実施し、もっとも高品質で環境に配慮した製品を、どこよりも競
争力のある価格で、必要なときに確実にお届けする、方針を追求したい。
• 既存工場は、住宅地等に隣接しており、レイアウトも複雑で生産性向上が
難しい。既存事業拡張や新商品生産用の設備、自動化設備・省エネル
ギー設備等を導入するスペースがなく、夜間操業も騒音等の問題で制限
を受けている。
• 既存工場の土地建物の一部は借用であり、経済的負担が大きい。
• 工場と倉庫の距離が離れており、物流動線も複雑でロスが大きい。
• 自社内で発生した製品端材の再生設備がなく、業者へ転売している。</t>
  </si>
  <si>
    <t>会社全体の売上成長目標（～2030年12月期）
• 売上高成長率 17.01％
• 売上高増加額 33.45億円
会社全体の賃上げ目標
• 2.00%（直近事業年度～基準年度）
• 5.42%（基準年度～事業化報告3年目）</t>
  </si>
  <si>
    <t>【p.1／売上成長目標】
会社全体の売上成長目標（～2030年12月期）
• 売上高成長率 17.01％
• 売上高増加額 33.45億円
会社全体の賃上げ目標
• 2.00%（直近事業年度～基準年度）
• 5.42%（基準年度～事業化報告3年目）
【p.2／設備投資の内容】
• 設備投資の内容
押出成形機 1台新設、真空圧空成形機（PET) ４台
熱板圧空成形機（OPS) ３台移設、付帯機器 1式
梱包・封函装置 １式、段ボール積込装置 １式
破砕機 4台新設・6台移設、基幹業務・生産管理シス
• 設備投資が課題を解決し得ること
素材成形から最終製品まで一貫生産体制を確立し、物
合理化する。
PETシートを購入せずリサイクル材を使用し内製でPET
生産段階で発生した端材を再処理し、再び原料として再
徹底した省人化・自動化を指向し、人手不足の深刻化
徹底した省エネルギー設備・システムにより、CO2の排出
新工場の生産最適レイアウトにより、構内物流の効率
人と環境に優しいモノづくりに取組み、地域社会に貢献す</t>
  </si>
  <si>
    <t>【p.1】
中本Fine Pack株式会社
1.長期成長ビジョン
人と環境にやさしい、全天候型グローバル企業を目指す中本グループの長期成長ビジョンの中核事業として、食品
容器の製造販売を担っている“中本Fine Packの生産拠点再編・環境対応新工場の構造改革事業”を推進
長期成長ビジョン（目指す姿・ビジネスモデル） 外発的動機
• 地球温暖化の防止・循環型社会の実現するには、原材料の調達・製品加
• 中本Fine Pack（当社）が属する中本パックスグループは、印刷加
工・輸送・消費・廃棄に至るプロセスにおけるCO2や廃棄物の削減、植物
工(グラビア印刷)、ラミネート加工(ドライラミネート)、コーティング加
由来材料、非化石エネルギーへの転換が急務である。
工及び成形加工による製品の販売を主な事業としています。この中
• 海洋プラスチックごみは、現在海洋ごみの約6割を占め、海の生態系への影
で中本Fine Packは、成形加工事業を担っており、グループ経営方
響、海洋生物を通じて人体に入ることが懸念されており、プラスチック削減、
針『人に、環境にやさしい企業をめざして～クリーン＆セイフティ～」
海にプラスチックごみを捨てない取り組みが必要である。
のもと、企業価値を高め、急速に変化する事業環境に左右されな
• 日本の人口1人あたりのプラスチック容器包装の廃棄量は米国に次いで多く、
い「全天候型グローバル企業」を目指しています。環境問題対応の
プラスチックの３Ｒを推進し、循環型社会の早期実現が望まれている。
最大のテーマとして、プラスチックの中でも特にポリエチレンテレフタレー
• 容器包装プラスチックは、軽量・安全で食品貯蔵寿命延長や輸送保管量
ト（PET）樹脂のリサイクル・リデュースを目指し、常に新しい技術に
削減が可能となり、小売店や食品メーカー等から根強い支持を得てプラス
取り組み、顧客に密着したマーケティング活動を行い、グローバル規
チック容器の市場は拡大している。
模で顧客や社会のニーズを先取りし、強力に推進しています。現在
• 当社の主要顧客である（株）エフピコより、2027年度以降、リサイクル不
の社会課題である食品容器などのリサイクルや廃棄物の削減による
可なOPS製プラ容器から、リサイクル可能なPET製プラ容器への切り替え、
CO2の削減等、社会・環境に対して配慮した商品・サービスの提供、
PET製プラ容器の大幅な増産要請を受けている。
そして安全性向上・健康に貢献する商品・サービスの提供を行い、
地域社会経済の発展に貢献していきます。
• 当社のビジネスモデルは、①原材料メーカーから材料を仕入れ、② 内発的動機
シート成形（補助事業で一部内製化）、③印刷・コーディネート等
• 社会課題に対応して食品容器のリサイクル商品の生産比率を高め、更に
の加工（中本パックス）、④容器成形（当社）、⑤商品納入、で
生産性向上を高める施策を打ち出して、企業価値最大化を追求していく。
あり、中本グループで協働したサプライチェーンを構築している。
• 戦略投資を実施し、もっとも高品質で環境に配慮した製品を、どこよりも競
争力のある価格で、必要なときに確実にお届けする、方針を追求したい。
• 既存工場は、住宅地等に隣接しており、レイアウトも複雑で生産性向上が
会社全体の売上成長目標（～2030年12月期）
難しい。既存事業拡張や新商品生産用の設備、自動化設備・省エネル
• 売上高成長率 17.01％ ギー設備等を導入するスペースがなく、夜間操業も騒音等の問題で制限
• 売上高増加額 33.45億円 を受けている。
会社全体の賃上げ目標
• 既存工場の土地建物の一部は借用であり、経済的負担が大きい。
• 2.00%（直近事業年度～基準年度） • 工場と倉庫の距離が離れており、物流動線も複雑でロスが大きい。
• 5.42%（基準年度～事業化報告3年目） • 自社内で発生した製品端材の再生設備がなく、業者へ転売している。</t>
  </si>
  <si>
    <t>【p.2】
中本Fine Pack株式会社
.補助事業の概要
2
既存工場の立地環境では制約があり、実現が困難なPET材料の再利用、省人・省力化、物流の効率化、
CO2排出抑制、騒音対策、従業員福利厚生等の課題克服を、新工場にてミニマム投資で実現する。
補助事業の • 中本Fine packが保有している3工場のうち、立地環境から生産制約があり今後の事業展開 事業費 35億円
背景・目的 に支障のある2工場を新工場に生産集約・再編し、企業構造改革を推進する。 （補助額） (9. 億円)
7
• 設備投資の内容 押出成形機(例)
押出成形機 1台新設、真空圧空成形機（PET) ４台新設・３台移設
熱板圧空成形機（OPS) ３台移設、付帯機器 1式
梱包・封函装置 １式、段ボール積込装置 １式
破砕機 4台新設・6台移設、基幹業務・生産管理システム 1式等
真空圧空成形機(例) 段ボール積込装置(例)
• 設備投資が課題を解決し得ること
素材成形から最終製品まで一貫生産体制を確立し、物流プロセスを
合理化する。
設備投資の
PETシートを購入せずリサイクル材を使用し内製でPETシートを成形する。
内容
生産段階で発生した端材を再処理し、再び原料として再利用する。
徹底した省人化・自動化を指向し、人手不足の深刻化に対応する。
徹底した省エネルギー設備・システムにより、CO2の排出を抑制する。 破砕機(例) 封函装置(例)
新工場の生産最適レイアウトにより、構内物流の効率化を図る。
人と環境に優しいモノづくりに取組み、地域社会に貢献する。
• 労働生産性向上につながる点
上記の施策を通じて付加価値比率を上げ、生産の効率化合理化を
推進することで労働生産性を向上させる。
2027年度 2030年度
項目
（基準年度） （基準年度＋３年後）
労働生産性 84
415 7
（単位：万円/人） （年平均上昇率＋26.8％）
目標値 従業員1人あたり給与支給総額 431
367
（単位：万円/人） （年平均上昇率＋5.5％）
役員１人あたり給与支給総額
-
（単位：万円/人） - （年平均上昇率＋5.0％）
補助事業に係る従業員数（単位：人） 64 144</t>
  </si>
  <si>
    <t>味覚糖株式会社
1.長期成長ビジョン
「おいしさは、やさしさ」を理念に、UHA味覚糖グループで2030年に売上1,000億円、
味覚糖（株）として単体売上目標620億円（直近決算期比197.3%）を実現</t>
  </si>
  <si>
    <t>長期成長ビジョン（目指す姿・ビジネスモデル）
理念に基づき、H＆B市場、グローバル市場への展開を図る
おいしさは、やさしさ：H&amp;B市場への展開
おいしいものは、カラダにいい。カラダにいいものはおいしい。
健康・美容に対する意識の高まりを受け、おいしさと栄養を両立させた
商品開発を推し進めていく。
UHA（ユニーク・ヒューマン・アドベンチャー）＝『遊波』：グローバル展開
食べることを通じて、多くの人が大きな夢を心に抱き、快適で健全な生活を送ること。
楽しみ、遊び、ときには人を精神的に、肉体的に向上・リラックスさせる"食"の創造。
そんな食で遊ぶ『遊食』を社会に提供することで、味覚糖から『遊』の『波』を広げてい
きたい。より良い商品をより安く、お客さまに届けることが私たちの社会貢献。
グループおよび味覚糖（株）単体売上目標
好調なグミキャンディなどの製菓に加え、グミサプリなどの健康食品（H＆B）領域に
も力を入れることで、81期にUHA味覚糖グループ で1,000億円、
※
味覚糖（株）で620億円の達成を目指す。
※ UHA味覚糖グループ：味覚糖（株）、UHA味覚糖（株）、UHA（株）、UHAピピン（株）</t>
  </si>
  <si>
    <t>外発的動機
外的変化と外的リスクに対する対応力強化が不可欠
・長期的な日本の人口の減少トレンド（消費量・消費額の減少）
・日本の長高齢化社会の進展と健康寿命延伸への課題（食の安全・安心）
・ライフスタイル変化（共働き、利便性追求、完全栄養食ニーズの高まり）
・生産拠点の一極集中リスクの回避（BCP要請）
・食のエンタメ化（体験型ニーズ、SNS映えを意識した消費者行動）
・食文化のボーダレス化（輸出、現地生産などの即時対応ニーズ）
様々な課題がありつつも、独創的で冒険心溢れたマインドで、革新的な
商品を生み出し持続的な企業成長を目指したい。</t>
  </si>
  <si>
    <t>内発的動機
理念「おいしさは、やさしさ」の元、食の領域で新しい波を起こし続けるの
は私たちの変わることのない使命
当社は、1949年の創業以来お客さまが求めるものを提供する「マーケティング志
向」を大事にしてきた。また、「健康は食べ物が作り上げるもの」であり、お菓子はそ
の中で補助的な役割を果たすものと考えている。
設立当初はカロリーが欠乏している時代で、栄養価の高いものを提供するため主に
飴を製造したが、世の中の変化にあわせてガムやグミ、サプリメントなど次々と商品を
生み出してきた。
当社は、これからも変わることなく、世の中のあこがれや必要なものを提供する会社
であり続けたい。
お菓子というカテゴリーに留まることなく、サプリメントや機能性食品など、
より身体に良いもの、健康・美容を支えるものを世界中のお客様に一人
でも多く届けていく。</t>
  </si>
  <si>
    <t>味覚糖（株）全体の売上成長目標（直近事業年度～2030年9月）
売上高成長率197.3％
売上高増加額305.8億円（75期314.2億→81期620億）
味覚糖（株）会社全体の賃上げ目標
※
0.57%（直近事業年度〜基準年度）
6.08%（基準年度〜事業化報告3年目）
※一人当たり給与支給総額上昇率</t>
  </si>
  <si>
    <t>【p.1／売上成長目標】
味覚糖（株）全体の売上成長目標（直近事業年度～2030年9月）
売上高成長率197.3％
売上高増加額305.8億円（75期314.2億→81期620億）
味覚糖（株）会社全体の賃上げ目標
※
0.57%（直近事業年度〜基準年度）
6.08%（基準年度〜事業化報告3年目）
※一人当たり給与支給総額上昇率</t>
  </si>
  <si>
    <t>【p.1】
味覚糖株式会社
1.長期成長ビジョン
「おいしさは、やさしさ」を理念に、UHA味覚糖グループで2030年に売上1,000億円、
味覚糖（株）として単体売上目標620億円（直近決算期比197.3%）を実現
長期成長ビジョン（目指す姿・ビジネスモデル） 外発的動機
外的変化と外的リスクに対する対応力強化が不可欠
理念に基づき、H＆B市場、グローバル市場への展開を図る
・長期的な日本の人口の減少トレンド（消費量・消費額の減少）
おいしさは、やさしさ：H&amp;B市場への展開 ・日本の長高齢化社会の進展と健康寿命延伸への課題（食の安全・安心）
おいしいものは、カラダにいい。カラダにいいものはおいしい。 ・ライフスタイル変化（共働き、利便性追求、完全栄養食ニーズの高まり）
健康・美容に対する意識の高まりを受け、おいしさと栄養を両立させた ・生産拠点の一極集中リスクの回避（BCP要請）
商品開発を推し進めていく。 ・食のエンタメ化（体験型ニーズ、SNS映えを意識した消費者行動）
・食文化のボーダレス化（輸出、現地生産などの即時対応ニーズ）
UHA（ユニーク・ヒューマン・アドベンチャー）＝『遊波』：グローバル展開
食べることを通じて、多くの人が大きな夢を心に抱き、快適で健全な生活を送ること。 様々な課題がありつつも、独創的で冒険心溢れたマインドで、革新的な
楽しみ、遊び、ときには人を精神的に、肉体的に向上・リラックスさせる"食"の創造。 商品を生み出し持続的な企業成長を目指したい。
そんな食で遊ぶ『遊食』を社会に提供することで、味覚糖から『遊』の『波』を広げてい
きたい。より良い商品をより安く、お客さまに届けることが私たちの社会貢献。
グループおよび味覚糖（株）単体売上目標 内発的動機
理念「おいしさは、やさしさ」の元、食の領域で新しい波を起こし続けるの
好調なグミキャンディなどの製菓に加え、グミサプリなどの健康食品（H＆B）領域に
は私たちの変わることのない使命
も力を入れることで、81期にUHA味覚糖グループ で1,000億円、
※ 当社は、1949年の創業以来お客さまが求めるものを提供する「マーケティング志
味覚糖（株）で620億円の達成を目指す。
向」を大事にしてきた。また、「健康は食べ物が作り上げるもの」であり、お菓子はそ
※ UHA味覚糖グループ：味覚糖（株）、UHA味覚糖（株）、UHA（株）、UHAピピン（株） の中で補助的な役割を果たすものと考えている。
設立当初はカロリーが欠乏している時代で、栄養価の高いものを提供するため主に
飴を製造したが、世の中の変化にあわせてガムやグミ、サプリメントなど次々と商品を
味覚糖（株）全体の売上成長目標（直近事業年度～2030年9月） 生み出してきた。
売上高成長率197.3％ 当社は、これからも変わることなく、世の中のあこがれや必要なものを提供する会社
売上高増加額305.8億円（75期314.2億→81期620億） であり続けたい。
味覚糖（株）会社全体の賃上げ目標 お菓子というカテゴリーに留まることなく、サプリメントや機能性食品など、
※
0.57%（直近事業年度〜基準年度） より身体に良いもの、健康・美容を支えるものを世界中のお客様に一人
6.08%（基準年度〜事業化報告3年目） でも多く届けていく。
※一人当たり給与支給総額上昇率</t>
  </si>
  <si>
    <t>【p.2】
味覚糖株式会社
.補助事業の概要
2
福島県に既存ライン150%の生産効率を誇る第２工場を新設、奈良工場の排水処理能力を強化し
好調なグミを中心とした生産増強を実現、関東・関西２拠点の製造ライン最適化で高効率生産を実現
今回の補助事業は好調な国内グミ市場に対応するため、BCPの観点からも福島県に大規模
補助事業の な製造工場を建設する。加えてマザー工場である奈良工場でボトルネック解消を図ることで生 事業費 11 7 億円
背景・目的 産増強を図り、今後市場の拡大する米国市場へ輸出する商品の生産体制を強化する。 （補助額） （3 9 億円）
＜投資内容と生産効率化ポイント＞
新設の福島第２工場は、原材料の自動溶解など作業効率化、グミ成形にける充填効率
の向上、乾燥工程の能力アップ、搬送作業のAGV化等により、必要労働員数50%減、
既存ラインの150%生産効率アップを実現する。
奈良工場は、ライン新設および既存ライン改修による生産増に対応するため、
排水処理能力を150%に増強。これにより189億円の生産能力増を確保。
関東・関西２拠点の製品構成の最適化により全社で効率性向上を実現。
設備投資の
投資項目 投資額 概要
内容
福島第２工場建設費 54.6億円 本事業を実施する新工場建設費
福島第１工場拡張工事 2.0億円 既存工場の拡張工事
福島グミ製造設備 53.5億円 グミの製造・梱包搬送装置ほか
奈良工場排水処理設備 5.7億円 生産拡大に対応した排水処理の増強
合計 115.8億円 上:福島工場最終完成図／下:本投資対象エリア（紫色）
2027年度 2030年度
項目
（基準年度） （基準年度＋３年後）
2,306
労働生産性
1,331
（単位：万円/人） （年平均上昇率＋20.1％）
目標値 従業員1人あたり給与支給総額 566
472
（単位：万円/人） （年平均上昇率＋6. ％）
3
役員1人あたり給与支給総額
- -
（単位：万円/人）
補助事業に係る従業員数
63 74
8 2
（単位：人）</t>
  </si>
  <si>
    <t>オーディエー株式会社
1.長期成長ビジョン
業務用加工食品流通業界におけるモデルプラントとなる先進的な省力化・省人化物流センターを構築し、働き
方改革・少子高齢化といった社会問題に対応して業界の底上げ・標準化に貢献する。</t>
  </si>
  <si>
    <t>長期成長ビジョン（目指す姿・ビジネスモデル）
当社は、業務用食材のエキスパートから次世代の総合フードサービス
の提供への変革を目指す。
1. 省人化・省力化物流センターの構築
• 関東圏の集団給食向けに省力化・省人化された物流センターを
設立し、事業拡大を図る。
• この第一歩としてまず横浜市の学校給食が個別納入方式から一
括納入方式に変更されることに対応する。省人化・省力化物流セ
ンターを活用し配送コストを削減することで、学校給食物資の納入
価格低減を実現し、児童の献立の充実に繋げる。
2. 最新技術を活用した効率化
• デジタルアソートシステム（DAS）や自動倉庫を導入し、働き方
改革・少子高齢化に対応。安心・安全な食品供給を維持し、集
団給食を中心とした外食産業に貢献し続ける。
3. バリューチェーンの最適化とフードロス削減
• 上流の計画的な発注・配送のニーズや下流の必要な時に、必要
な量の納品ニーズに対応し、バリューチェーン全体の効率化・フード
ロス削減を図り、持続可能な成長に貢献したいと考えている。
4.業界全体のデジタル化と標準化の推進
• 業務用加工食品流通業界に合理化結果を公表し、モデルプラン
トとして公開。業界全体の効率化・デジタル化を促進する。</t>
  </si>
  <si>
    <t>外発的動機
少子高齢化による働き手不足
• 少子高齢化により若い働き手が減少しているが、業務用加工食品
流通業界においては冷蔵・冷凍庫内での在庫管理・荷受業務と
いった高齢者には肉体的に難しい業務が多くなっており、働き手の
減少が著しくなっている。この働き手不足解消のために、業務用加
工食品流通業界においても省力化・省人化が求められている。
物流業界における働き方改革
• 物流業界における働き方改革は当業界における配送にも影響を与
えており、働き方改革による物流コストの増加が学校給食における
児童の献立に影響を与えかねない状況である。</t>
  </si>
  <si>
    <t>内発的動機
大阪本社における成功体験
• 過去当社では手作業でのピッキングや配送ルートごとの仕分けに膨
大な時間を費やし、多くの残業が生じてしまっていた。これを解消す
るために大阪本社では2009年にDAS、2021年に立体自動倉庫
を導入し、労働時間の大幅短縮に成功した。この成功体験を関東
事業でも活かし、働き方改革・少子高齢化という避けては通れない
社会問題に対応し、業界の底上げ・標準化を行いたいと考えている。
中小・零細企業、給食を食べる人のために
• 学校給食の物資の選択は入札形式で公平に調達する制度になっ
ているが、中小・零細企業は製造ができても納品ができず入札をあ
きらめざるを得ないため、十分な競争となっていない恐れがある。
• 一括納入方式への切り替わりにおいて、当社が納品を一括して請
け負うことで、入札に参加する中小企業が増加し、競争の一層の
活発化、学校給食の質向上に貢献できる。</t>
  </si>
  <si>
    <t>トとして公開。業界全体の効率化・デジタル化を促進する。
会社全体の売上成長目標（～30/7期）
• 売上高成長率+85％（直近決算期比）
• 売上高増加額+101億円（直近決算期比）
会社全体の賃上げ目標
• 1.9%（直近事業年度～基準年度）
• 6.1%（基準年度～事業化報告3年目）</t>
  </si>
  <si>
    <t>【p.1／売上成長目標】
トとして公開。業界全体の効率化・デジタル化を促進する。
会社全体の売上成長目標（～30/7期）
• 売上高成長率+85％（直近決算期比）
• 売上高増加額+101億円（直近決算期比）
会社全体の賃上げ目標
• 1.9%（直近事業年度～基準年度）
• 6.1%（基準年度～事業化報告3年目）
【p.2／設備投資の内容】
【設備投資の内容】
• 26/4より中学校給食の一括納入方式が採用され、小学
（300校）にも導入が予定されている横浜市においてデ
トシステム（DAS）、立体自動倉庫を備えた省力化・省
流センターを開設する。大阪本社においても自動倉庫を追
なる効率化を推進する。
【労働生産性の向上】
• 当社は大阪本社で2009年にDASを、2021年に立体自
入し、これまで人が作業していた、商品のピッキングの効率
受けの効率化・自動化を図り、省力化・省人化に成功し
• 大阪本社で蓄積したこの省力化・省人化についてのノウハ
横浜市周辺においても同様の省力化・省人化された物流
設し、労働生産性の向上を図る。
【更なる成長の実現】</t>
  </si>
  <si>
    <t>【p.1】
オーディエー株式会社
1.長期成長ビジョン
業務用加工食品流通業界におけるモデルプラントとなる先進的な省力化・省人化物流センターを構築し、働き
方改革・少子高齢化といった社会問題に対応して業界の底上げ・標準化に貢献する。
長期成長ビジョン（目指す姿・ビジネスモデル） 外発的動機
少子高齢化による働き手不足
当社は、業務用食材のエキスパートから次世代の総合フードサービス
• 少子高齢化により若い働き手が減少しているが、業務用加工食品
の提供への変革を目指す。
流通業界においては冷蔵・冷凍庫内での在庫管理・荷受業務と
1. 省人化・省力化物流センターの構築
いった高齢者には肉体的に難しい業務が多くなっており、働き手の
• 関東圏の集団給食向けに省力化・省人化された物流センターを
減少が著しくなっている。この働き手不足解消のために、業務用加
設立し、事業拡大を図る。
工食品流通業界においても省力化・省人化が求められている。
• この第一歩としてまず横浜市の学校給食が個別納入方式から一
物流業界における働き方改革
括納入方式に変更されることに対応する。省人化・省力化物流セ
• 物流業界における働き方改革は当業界における配送にも影響を与
ンターを活用し配送コストを削減することで、学校給食物資の納入
えており、働き方改革による物流コストの増加が学校給食における
価格低減を実現し、児童の献立の充実に繋げる。
児童の献立に影響を与えかねない状況である。
2. 最新技術を活用した効率化
• デジタルアソートシステム（DAS）や自動倉庫を導入し、働き方
改革・少子高齢化に対応。安心・安全な食品供給を維持し、集 内発的動機
団給食を中心とした外食産業に貢献し続ける。 大阪本社における成功体験
3. バリューチェーンの最適化とフードロス削減 • 過去当社では手作業でのピッキングや配送ルートごとの仕分けに膨
• 上流の計画的な発注・配送のニーズや下流の必要な時に、必要 大な時間を費やし、多くの残業が生じてしまっていた。これを解消す
な量の納品ニーズに対応し、バリューチェーン全体の効率化・フード るために大阪本社では2009年にDAS、2021年に立体自動倉庫
ロス削減を図り、持続可能な成長に貢献したいと考えている。 を導入し、労働時間の大幅短縮に成功した。この成功体験を関東
4.業界全体のデジタル化と標準化の推進 事業でも活かし、働き方改革・少子高齢化という避けては通れない
• 業務用加工食品流通業界に合理化結果を公表し、モデルプラン 社会問題に対応し、業界の底上げ・標準化を行いたいと考えている。
トとして公開。業界全体の効率化・デジタル化を促進する。 中小・零細企業、給食を食べる人のために
• 学校給食の物資の選択は入札形式で公平に調達する制度になっ
会社全体の売上成長目標（～30/7期）
ているが、中小・零細企業は製造ができても納品ができず入札をあ
• 売上高成長率+85％（直近決算期比）
きらめざるを得ないため、十分な競争となっていない恐れがある。
• 売上高増加額+101億円（直近決算期比）
• 一括納入方式への切り替わりにおいて、当社が納品を一括して請
会社全体の賃上げ目標
け負うことで、入札に参加する中小企業が増加し、競争の一層の
• 1.9%（直近事業年度～基準年度）
活発化、学校給食の質向上に貢献できる。
• 6.1%（基準年度～事業化報告3年目）</t>
  </si>
  <si>
    <t>【p.2】
オーディエー株式会社
2.補助事業の概要
学校給食の一括納入方式導入の流れをつかみ、更なる成長を実現するために、横浜市周辺において大阪本社で蓄積した
ノウハウを活かし省力化・省人化された物流センターを開設する。また、大阪本社においても更なる設備投資で効率化を推
進する。
補助事業の • 学校給食の一括納入方式導入の流れをつかみ、更なる成長を実現するために省力化・省人 事業費 31億円
背景・目的 化された物流センターを設置すること等で更なる成長を実現する。 （補助額） （10億円）
【設備投資の内容】
• 26/4より中学校給食の一括納入方式が採用され、小学校給食
（300校）にも導入が予定されている横浜市においてデジタル・アソー 自動倉庫
トシステム（DAS）、立体自動倉庫を備えた省力化・省人化された物
流センターを開設する。大阪本社においても自動倉庫を追加導入し更
なる効率化を推進する。
【労働生産性の向上】 無線DAS
• 当社は大阪本社で2009年にDASを、2021年に立体自動倉庫を導
設備投資の
入し、これまで人が作業していた、商品のピッキングの効率化、商品荷
内容
受けの効率化・自動化を図り、省力化・省人化に成功している。
• 大阪本社で蓄積したこの省力化・省人化についてのノウハウを活用し、
横浜市周辺においても同様の省力化・省人化された物流センターを開
設し、労働生産性の向上を図る。
【更なる成長の実現】
• これにより昨今の採用が難しくなっている状況においても、比較的人員に
余裕のある部署から配置転換を行うこと等で、追加人員の問題を解決
して、更なる成長を実現する。
2027/7期 2030/7期
項目
（基準年度） （基準年度＋３年後）
労働生産性 1,527
762
（単位：万円/人） （年平均上昇率＋26.1％）
従業員1人あたり給与支給総額 488
目標値 409
（単位：万円/人） （年平均上昇率＋6.1％）
役員１人あたり給与支給総額 -
-
（単位：万円/人） （年平均上昇率＋6.1％）
補助事業に係る従業員数
170 205
（単位：人）</t>
  </si>
  <si>
    <t>1.長期成長ビジョン 大和鋼業株式会社
健全な財務基盤を構築し、持続的成長と従業員への還元を両立させながら、次の100年を迎えられる企業とな
ることを目指す。</t>
  </si>
  <si>
    <t>長期成長ビジョン(目指す姿・ビジネスモデル）
〈目指す姿〉
健全な財務基盤を構築し、持続的成長と従業員への還元を両立させ
ながら、次の100年を迎えられる企業となることを目指す。
〈ビジネスモデル〉
• 社長就任直後にリーマンショックを経験し、当時は歴史ある分だけ閉
鎖的で社員に積極性がない会社でした。特殊鋼材という勝てる分
野に特化し、ランチェスター戦略(特定市場での集中戦略）で市場
を拡大してきました。新工場の設立により、これまでの成長戦略を更
に発展させ、高付加価値化と生産性向上を実現を目指す。
• 新工場では、積み降ろし時間を減らす動線の確保や暑さ対策など
労働環境改善に取り組みます。また、鋼板加工に必要な新規設備
導入に加え、ピッキング自動倉庫を導入して生産性をさらに高める。
自社開発システムを活用する事で各工場が連携できる体制を構築
し、生産性向上と組織化を図る。
• 人材育成・技術継承を体系的に進め、社員一人ひとりの成長を支
援するとともに、幹部社員を育成し、自立的な組織体制の構築を
目指します。また、自社と外注協力企業の両方の業績向上を追求
し、共に成長することを目指す。</t>
  </si>
  <si>
    <t>外発的動機
• 物流の2024年問題への対応が業界全体で求められており、完成品
メーカーからも強い要望があります。今後の受注拡大を実現するには、
この課題に対応した体制整備が急務となっている。
• 完成品メーカーの海外調達比率が上昇している状況であり、当該状
況の中で競争力を維持・拡大するには、高付加価値化と生産性向上
の両立が不可欠である。
• 日本の製造業が世界市場で競争力を維持するためには、従業員一
人ひとりの創造力と成長力が求められており、当該人材を育成すること
が社会的責任として求められている。</t>
  </si>
  <si>
    <t>内発的動機
• 外注先からの依頼により買収した経緯があり、後継者問題、単体での
収益性と必要な設備投資額といった課題に対応していく必要がある。
これらの問題は、当社にも置き換えることが出来るものであり、市場情
勢を読みながら先行して設備投資や経営方針の見直しをする事で対
応していく必要があると考えている。
• 鋼板加工においても、工場の再編や見直しによる業務効率化・高付
加価値化が求められており、他社との差別化を行うにはこれらの対応が
必要不可欠である。
• 外注協力企業に依頼している売上が２割近くあるが、それらの外注先
との取引を減らすことなく、当社の内製化を進めていくために高額な製
造設備と広大な工業用地が必要である。
• 従業員の高齢化や技術の承継に課題がある。</t>
  </si>
  <si>
    <t>会社全体の売上成長目標(～2030年度）
• 売上高成長率+59.8％
• 売上高増加額+47.8億円
会社全体の賃上げ目標
• 4.3%(直近事業年度～基準年度）
• 7.5%(基準年度～事業化報告3年目）</t>
  </si>
  <si>
    <t>【p.1／売上成長目標】
会社全体の売上成長目標(～2030年度）
• 売上高成長率+59.8％
• 売上高増加額+47.8億円
会社全体の賃上げ目標
• 4.3%(直近事業年度～基準年度）
• 7.5%(基準年度～事業化報告3年目）</t>
  </si>
  <si>
    <t>【p.1】
1.長期成長ビジョン 大和鋼業株式会社
健全な財務基盤を構築し、持続的成長と従業員への還元を両立させながら、次の100年を迎えられる企業とな
ることを目指す。
長期成長ビジョン(目指す姿・ビジネスモデル）
外発的動機
〈目指す姿〉 • 物流の2024年問題への対応が業界全体で求められており、完成品
健全な財務基盤を構築し、持続的成長と従業員への還元を両立させ メーカーからも強い要望があります。今後の受注拡大を実現するには、
ながら、次の100年を迎えられる企業となることを目指す。 この課題に対応した体制整備が急務となっている。
〈ビジネスモデル〉 • 完成品メーカーの海外調達比率が上昇している状況であり、当該状
• 社長就任直後にリーマンショックを経験し、当時は歴史ある分だけ閉 況の中で競争力を維持・拡大するには、高付加価値化と生産性向上
鎖的で社員に積極性がない会社でした。特殊鋼材という勝てる分 の両立が不可欠である。
野に特化し、ランチェスター戦略(特定市場での集中戦略）で市場 • 日本の製造業が世界市場で競争力を維持するためには、従業員一
を拡大してきました。新工場の設立により、これまでの成長戦略を更 人ひとりの創造力と成長力が求められており、当該人材を育成すること
に発展させ、高付加価値化と生産性向上を実現を目指す。 が社会的責任として求められている。
• 新工場では、積み降ろし時間を減らす動線の確保や暑さ対策など
労働環境改善に取り組みます。また、鋼板加工に必要な新規設備
導入に加え、ピッキング自動倉庫を導入して生産性をさらに高める。
内発的動機
自社開発システムを活用する事で各工場が連携できる体制を構築
• 外注先からの依頼により買収した経緯があり、後継者問題、単体での
し、生産性向上と組織化を図る。
収益性と必要な設備投資額といった課題に対応していく必要がある。
• 人材育成・技術継承を体系的に進め、社員一人ひとりの成長を支
これらの問題は、当社にも置き換えることが出来るものであり、市場情
援するとともに、幹部社員を育成し、自立的な組織体制の構築を
勢を読みながら先行して設備投資や経営方針の見直しをする事で対
目指します。また、自社と外注協力企業の両方の業績向上を追求
応していく必要があると考えている。
し、共に成長することを目指す。
• 鋼板加工においても、工場の再編や見直しによる業務効率化・高付
会社全体の売上成長目標(～2030年度） 加価値化が求められており、他社との差別化を行うにはこれらの対応が
必要不可欠である。
• 売上高成長率+59.8％
• 売上高増加額+47.8億円 • 外注協力企業に依頼している売上が２割近くあるが、それらの外注先
会社全体の賃上げ目標 との取引を減らすことなく、当社の内製化を進めていくために高額な製
造設備と広大な工業用地が必要である。
• 4.3%(直近事業年度～基準年度）
• 7.5%(基準年度～事業化報告3年目） • 従業員の高齢化や技術の承継に課題がある。</t>
  </si>
  <si>
    <t>【p.2】
.補助事業の概要 大和鋼業株式会社
2
新工場建設により、物流問題と労働環境改善に取り組み、設備導入及び自動化によって生産性向上を図る。
これらを実現することで収益性向上と賃上げの実現を目指す。
補助事業の • 市場環境の変化への対応(変化のスピードUP、サステナビリティ、労働問題、物流問題） 事業費 億円
39
背景・目的 • 自動化及び生産性向上による収益性向上と賃上げの実現を目指す。 (補助額） (1 億円）
2
〈設備投資内容〉 ファイバーレーザー切断機
• 工場の建設
• ファイバーレーザー切断機
• ガス切断機
• ピッキング自動倉庫
• マシニングセンタ（鋼板加工設備）
〈当社の課題〉
設備投資の
• 業務効率化、人手不足解消、労働環境改善、
内容
物流問題対応、生産性向上への対応 NCガス切断機
〈課題解決策〉
• 工場の動線改善による積み降ろし時間削減及び暑さ対策を施した工
場の建設による労働環境改善・人手不足解消
• 最新設備導入及び自動化により生産性向上と省人化を図る。
(製造数量＋60％、省人化△30％削減）
2027年度 2030年度
項目
(基準年度） (基準年度＋３年後）
労働生産性 1,802
726
(単位：万円/人） (年平均上昇率＋35.4％）
目標値 従業員1人あたり給与支給総額 777
(単位：万円/人）
626
(年平均上昇率＋7.5％）
役員１人あたり給与支給総額
-
(単位：万円/人） - (年平均上昇率＋7.5％）
補助事業に係る従業員数 145
135
(単位：人） (増加人員＋10名）</t>
  </si>
  <si>
    <t>株式会社モリシタ
1.長期成長ビジョン
• 目指す姿は「便利で安心・安全なヒューマングレードを超えるプレミアム品質のペットフードを提供する」ことで、大切な家族の
一員であるペットの健康と飼い主の幸せに寄与する」こと。その取り組みを通じてコンソーシアム全体で、2030年度の会社全
体の売上高成長目標は301％、増加額は43億円、賃上げ目標は5.65％を目指す。</t>
  </si>
  <si>
    <t>1.長期成長ビジョン
• 目指す姿は「便利で安心・安全なヒューマングレードを超えるプレ
一員であるペットの健康と飼い主の幸せに寄与する」こと。その取
長期成長ビジョン（目指す姿・ビジネスモデル）
【目指す姿・ビジネスモデル】
• 便利で安心・安全なヒューマングレードを超えるプレミアム品質のペッ
トフードを提供することで、大切な家族の一員であるペットの健康と
飼い主の幸せに寄与する。
【長期成長ビジョン】
日本の伝統的な食文化を世界に発信！
• ペットの食文化に無添加という価値を定着させ、ペットの健康寿命を延ばす
ことで、人間とペットがより長く、安心して暮らせる社会の実現に貢献する。
• プレミアムな健康志向型フードに“だし”を取り入れ、より嗜好性の高いフー
ド作りを展開し、国内を足掛かりに、アジア・欧米を中心に海外市場に向け
て、日本の伝統的な食文化を活かしたペットフードを提供する。
ペットに合わせてカスタマイズのできるプレミアムペットフードの製造
• 現在は外部委託により製造を行っているが、今後さらなる品質・柔軟性を
追求していくには限界がある。
• 自社工場を保有することで、外注では実現できなかったペットの種類・年齢・
サイズ・嗜好、さらには輸出先の規制・嗜好に応じた個別設計が可能となる。
• また、ドライ・冷凍・ウェットの製造設備により、嗜好性と栄養保持の両立が
できる。将来的にはペット１頭１頭の健康状態に合わせたオーダーメイドの
フードの提供を予定している。</t>
  </si>
  <si>
    <t>外発的動機
消費者ニーズの変化～「ペットは家族の一員」
• 近年、ペットを家族の一員として捉える価値観が浸透し、小型犬や
猫など室内飼育で飼い主と生活を共にするペットが主流となっている。
ペットの高齢化・疾患の増加 社会課題
• 室内飼育の普及に伴い、アレルギー等の慢性疾患や高齢化により
介護状態となるペットが増加し、食事による健康管理の重要性が高
まっている。
顧客ニーズ
国内におけるペットフード市場の拡大
• 飼い主の意識の高まりを受け、国内におけるペットの飼育数は横ばい
だが１頭あたりのペットフード支出額は増加傾向。世界第２位の市
場規模を有する日本市場の中でもプレミアムペットフード市場は更な
る拡大が見込まれている。
創業者や経営者</t>
  </si>
  <si>
    <t>創業者や経営者
内発的動機 の原体験
ペットと飼い主双方の健康と幸せを支える企業を目指す思い
• 代表者は“株式会社モリシタでは仕入れられないもの”、“この世にま
だ、ないもの”を作ろうと株式会社ホワイトフォックスを設立。
• その後自宅で飼い始めた愛犬は、消化機能が弱く、一般的なドライ
のペットフードでは嘔吐してしまうような状況であった。そのため、自宅
で犬のご飯の手作りを開始。「従来のペットフードを受け入れられない
体質のペットも多いのでは？」、「毎日の手作りは大変だと困っている
同じ悩みを持つ飼い主の助けになれば！」と手軽に使える安心・安
全なペットフードの開発を思い立った。
経営者の動機
ペットと共に食卓を囲む新しい価値の提供
• 「人間が食べても問題ない」から、「人間が食べても美味しい」品質の
製品で新たなペットとの食事の価値観に基づいた市場を創出する。</t>
  </si>
  <si>
    <t>一員であるペットの健康と飼い主の幸せに寄与する」こと。その取
体の売上高成長目標は301％、増加額は43億円、賃上げ目
成長ビジョン（目指す姿・ビジネスモデル）
コンソーシアム全体の売上成長目標
（2023～2030年度）
• 売上高成長率 301％ コンソーシアム形式各社の合計数値
• 売上高増加額 43億円
コンソーシアム全体の賃上げ目標
• 1.17%（直近事業年度～基準年度）
• 5.65%（基準年度～事業化報告3年目）
⇒内訳：従業員 6.44％、役員6.00％</t>
  </si>
  <si>
    <t>【p.1／売上成長目標】
一員であるペットの健康と飼い主の幸せに寄与する」こと。その取
体の売上高成長目標は301％、増加額は43億円、賃上げ目
成長ビジョン（目指す姿・ビジネスモデル）
【p.1／売上成長目標】
コンソーシアム全体の売上成長目標
（2023～2030年度）
• 売上高成長率 301％ コンソーシアム形式各社の合計数値
• 売上高増加額 43億円
コンソーシアム全体の賃上げ目標
• 1.17%（直近事業年度～基準年度）
• 5.65%（基準年度～事業化報告3年目）
⇒内訳：従業員 6.44％、役員6.00％</t>
  </si>
  <si>
    <t>【p.1】
株式会社モリシタ
1.長期成長ビジョン
• 目指す姿は「便利で安心・安全なヒューマングレードを超えるプレミアム品質のペットフードを提供する」ことで、大切な家族の
一員であるペットの健康と飼い主の幸せに寄与する」こと。その取り組みを通じてコンソーシアム全体で、2030年度の会社全
体の売上高成長目標は301％、増加額は43億円、賃上げ目標は5.65％を目指す。
外発的動機
長期成長ビジョン（目指す姿・ビジネスモデル）
消費者ニーズの変化～「ペットは家族の一員」
【目指す姿・ビジネスモデル】
• 便利で安心・安全なヒューマングレードを超えるプレミアム品質のペッ • 近年、ペットを家族の一員として捉える価値観が浸透し、小型犬や
トフードを提供することで、大切な家族の一員であるペットの健康と 猫など室内飼育で飼い主と生活を共にするペットが主流となっている。
飼い主の幸せに寄与する。
ペットの高齢化・疾患の増加 社会課題
【長期成長ビジョン】 • 室内飼育の普及に伴い、アレルギー等の慢性疾患や高齢化により
日本の伝統的な食文化を世界に発信！ 介護状態となるペットが増加し、食事による健康管理の重要性が高
• ペットの食文化に無添加という価値を定着させ、ペットの健康寿命を延ばす まっている。
顧客ニーズ
ことで、人間とペットがより長く、安心して暮らせる社会の実現に貢献する。 国内におけるペットフード市場の拡大
• プレミアムな健康志向型フードに“だし”を取り入れ、より嗜好性の高いフー • 飼い主の意識の高まりを受け、国内におけるペットの飼育数は横ばい
ド作りを展開し、国内を足掛かりに、アジア・欧米を中心に海外市場に向け
だが１頭あたりのペットフード支出額は増加傾向。世界第２位の市
て、日本の伝統的な食文化を活かしたペットフードを提供する。
場規模を有する日本市場の中でもプレミアムペットフード市場は更な
ペットに合わせてカスタマイズのできるプレミアムペットフードの製造 る拡大が見込まれている。
創業者や経営者
• 現在は外部委託により製造を行っているが、今後さらなる品質・柔軟性を
内発的動機 の原体験
追求していくには限界がある。
• 自社工場を保有することで、外注では実現できなかったペットの種類・年齢・ ペットと飼い主双方の健康と幸せを支える企業を目指す思い
サイズ・嗜好、さらには輸出先の規制・嗜好に応じた個別設計が可能となる。 • 代表者は“株式会社モリシタでは仕入れられないもの”、“この世にま
• また、ドライ・冷凍・ウェットの製造設備により、嗜好性と栄養保持の両立が
だ、ないもの”を作ろうと株式会社ホワイトフォックスを設立。
できる。将来的にはペット１頭１頭の健康状態に合わせたオーダーメイドの
• その後自宅で飼い始めた愛犬は、消化機能が弱く、一般的なドライ
フードの提供を予定している。
のペットフードでは嘔吐してしまうような状況であった。そのため、自宅
コンソーシアム全体の売上成長目標（2023～2030年度） で犬のご飯の手作りを開始。「従来のペットフードを受け入れられない
• 売上高成長率 301％ コンソーシアム形式各社の合計数値 体質のペットも多いのでは？」、「毎日の手作りは大変だと困っている
• 売上高増加額 43億円 同じ悩みを持つ飼い主の助けになれば！」と手軽に使える安心・安
全なペットフードの開発を思い立った。
コンソーシアム全体の賃上げ目標 経営者の動機
• 1.17%（直近事業年度～基準年度） ペットと共に食卓を囲む新しい価値の提供
• 5.65%（基準年度～事業化報告3年目） • 「人間が食べても問題ない」から、「人間が食べても美味しい」品質の
⇒内訳：従業員 6.44％、役員6.00％
製品で新たなペットとの食事の価値観に基づいた市場を創出する。</t>
  </si>
  <si>
    <t>【p.2】
株式会社モリシタ
2.補助事業の概要
• 卸売業のノウハウを生かし、企画・製造・販売の一貫体制を持つメーカーベンダーへの進化を目指して、本
社・工場・自社物流倉庫機能を集約した拠点を新設する。
お客様のニーズに合わせ、柔軟かつスピーディーに応えていくため、本事業にて製造設備の新設と物 18億円
補助事業の 事業費
流拠点の整備・統合を行うことで、迅速かつ柔軟に自社で商品開発・製造が可能な体制構築と
（4.4億円）
背景・目的 （補助額）
機動的な物流、および機能集約による相乗効果の創出を目指す。
【完成イメージ図】
■本社・工場・物流倉庫機能を集約した施設を１か所に建設
・以下の点において現状のグループの事業体制の課題が解決・改善される。
【効率的な在庫管理】 在庫の移動が迅速かつ効率的になり、在庫管理の
精度が向上し製造・出荷計画を柔軟に調整できる。
【リードタイムの短縮】 製造⇒出荷までのプロセスが短縮され、納品が迅速に
なり、顧客満足度の向上に繋がる。
【コスト削減】 移動コストや二重管理コストが削減され、利益率が改善する。
設備投資の 【柔軟な労働力の配置】 製造・物流間での柔軟に人員配置により需要の変
内容 動に応じた労働力の最適化による労働生産性や各人の業務互換性が向上する
■拠点詳細
• １F：自動物流倉庫（モリシタ）
• ２F：ペットフード製造工場（ホワイトフォックス）
• ３F：本社機能（商品企画・開発）（グループ全体）
• 屋上：ドッグラン（地域のペットと飼い主に無料開放※）
(※)屋上の無料開放： 地域の飼い主との接点を創出し、当社グループおよび商品の認知度向上・ブランドイメージ強化を図る。来場者にアンケー
トや試供品モニターを依頼し、ニーズに関するデータを収集・分析することで商品開発やマーケティング戦略に反映させる
モリシタ ホワイトフォックス
項目 2027年度 2030年度 2027年度 2030年度
（基準年度） （基準年度＋３年後） （基準年度） （基準年度＋３年後）
労働生産性（万円/人） 855 1,232（年平均上昇率＋12.9％） 1,232 4,771（年平均上昇率＋57.1％）
目標値
従業員1人あたり給与支給総額（万円/人） 431 513（年平均上昇率＋6.0％） 529 630（年平均上昇率＋6.0％）
役員１人あたり給与支給総額（万円/人） - -（年平均上昇率＋6.0％） - -（年平均上昇率＋6.0％）
補助事業に係る従業員数（人） 21 25 8 13</t>
  </si>
  <si>
    <t>日本エア・リキード合同会社
1.長期成長ビジョン
産業ガスが社会的に貢献して以来、日本エア・リキードは100年以上にわたり社会に貢献しておりますが、さらに
持続可能な社会づくりに貢献できるものと考え、長期成長ビジョンを設定している。</t>
  </si>
  <si>
    <t>長期成長ビジョン（目指す姿・ビジネスモデル）
• 持続可能な社会つくりに貢献するため、脱炭素化に積極的に貢献し
てまいります。
○ 2035年までに2020年比で炭酸ガス排出量を33%削減。
○ 2050年までにカーボンニュートラルを達成。
• 持続的社会発展に必要な以下の分野へ注力し、産業ガスのリーディ
ングカンパニーとして社会的責任を果たしながら、継続的な成長を
目指します。
⇒ エレクトロニクス、水素、ホームケア、食物、水処理、エネル
ギートランジション、デジタル化
• 従業員の多様性・包括性を推進し会社の基礎体力の強化行います。
これらの目標を達成するため、世界全体で以下のアクション(Advance)
を実行していきます。
• 半導体分野への重点的な投資を加速させます。
• 資本資源の有効活用を念頭にした投資判断を行います。
• 炭酸ガス排出量を投資判断の一つの基準とします。
• 2025年から炭酸ガス排出量を具体的に減らしてまいります。2035年
までに33％削減）⇒ 再生可能エネルギー並びにNFFCを採用します。
• 国際企業である強みを生かし、国籍・性別を問わずに適材適所の人材
配置並びに能力開発に注力します。</t>
  </si>
  <si>
    <t>外発的動機
• 産業ガスのリーディングカンパニーとして、持続可能な世界を作るた
めの社会的貢献が必要不可欠。
• 顧客自身もSDGsと真摯に向き合い、サプライヤーを選ぶ基準にそ
の姿勢を問われるようになってきた。かつては価格を中心に比較され
ていたが、近年は環境面の評価もサプライヤー選択時の重要な判
断基準の一つである。
• 過酷な競争環境はより熾烈化し、集中と差別化がより高度に要求
されるようになってきた。
• コロナ禍以降、より安全で包括的かつ協力的な新しい働き方や人
材育成の方法が要求される環境になってきた。
• 世界中で地域的な安全保障上の課題が顕在化し、不安定化する
なか、産業のサプライチェーンの確立が喫緊の課題として強く認識さ
れている。こうした背景の元、日本を含め、全ての産業の心臓部を
担う半導体に関わる業界の勢いは、特にアジアにおいて顕著である。
併せて、エレクトロニクス関連事業は、脱炭素・エネルギートランジ
ション・AI/デジタル化､地震や異常気象など災害時の生産の強靭
化といった世界的な課題の解決・対応にもソリューションを提供する。
• このため、当社の強みを活かした半導体産業の競争力強化を支え
ることへの強い期待の高まりを感じているところ。</t>
  </si>
  <si>
    <t>内発的動機
• 産業ガス業界の性格上、エネルギー依存度が高く、継続的な発
展のためには脱炭素化は喫緊の課題である。
• 多様性・包括性をさらに高め、国際企業である強みを最大化し、
国内競合他社との差別化を推進する必要がある。</t>
  </si>
  <si>
    <t>会社全体の売上成長目標（～2030年）
• 売上高成長率年93.0%(2024年度比)
• 売上高増加額1,022億円(2024年度比)
会社全体の賃上げ目標
• 2.5%（直近事業年度～基準年度）
• 6.5%（基準年度～事業化報告3年目）</t>
  </si>
  <si>
    <t>【p.1／売上成長目標】
会社全体の売上成長目標（～2030年）
• 売上高成長率年93.0%(2024年度比)
• 売上高増加額1,022億円(2024年度比)
会社全体の賃上げ目標
• 2.5%（直近事業年度～基準年度）
• 6.5%（基準年度～事業化報告3年目）</t>
  </si>
  <si>
    <t>【p.1】
日本エア・リキード合同会社
1.長期成長ビジョン
産業ガスが社会的に貢献して以来、日本エア・リキードは100年以上にわたり社会に貢献しておりますが、さらに
持続可能な社会づくりに貢献できるものと考え、長期成長ビジョンを設定している。
長期成長ビジョン（目指す姿・ビジネスモデル） 外発的動機
• 産業ガスのリーディングカンパニーとして、持続可能な世界を作るた
• 持続可能な社会つくりに貢献するため、脱炭素化に積極的に貢献し
めの社会的貢献が必要不可欠。
てまいります。
○ 2035年までに2020年比で炭酸ガス排出量を33%削減。 • 顧客自身もSDGsと真摯に向き合い、サプライヤーを選ぶ基準にそ
○ 2050年までにカーボンニュートラルを達成。 の姿勢を問われるようになってきた。かつては価格を中心に比較され
• 持続的社会発展に必要な以下の分野へ注力し、産業ガスのリーディ ていたが、近年は環境面の評価もサプライヤー選択時の重要な判
ングカンパニーとして社会的責任を果たしながら、継続的な成長を 断基準の一つである。
目指します。
• 過酷な競争環境はより熾烈化し、集中と差別化がより高度に要求
⇒ エレクトロニクス、水素、ホームケア、食物、水処理、エネル
されるようになってきた。
ギートランジション、デジタル化
• コロナ禍以降、より安全で包括的かつ協力的な新しい働き方や人
• 従業員の多様性・包括性を推進し会社の基礎体力の強化行います。
材育成の方法が要求される環境になってきた。
• 世界中で地域的な安全保障上の課題が顕在化し、不安定化する
会社全体の売上成長目標（～2030年）
なか、産業のサプライチェーンの確立が喫緊の課題として強く認識さ
• 売上高成長率年93.0%(2024年度比)
れている。こうした背景の元、日本を含め、全ての産業の心臓部を
• 売上高増加額1,022億円(2024年度比)
担う半導体に関わる業界の勢いは、特にアジアにおいて顕著である。
会社全体の賃上げ目標
併せて、エレクトロニクス関連事業は、脱炭素・エネルギートランジ
• 2.5%（直近事業年度～基準年度）
ション・AI/デジタル化､地震や異常気象など災害時の生産の強靭
• 6.5%（基準年度～事業化報告3年目）
化といった世界的な課題の解決・対応にもソリューションを提供する。
• このため、当社の強みを活かした半導体産業の競争力強化を支え
これらの目標を達成するため、世界全体で以下のアクション(Advance)
ることへの強い期待の高まりを感じているところ。
を実行していきます。
• 半導体分野への重点的な投資を加速させます。
内発的動機
• 資本資源の有効活用を念頭にした投資判断を行います。
• 産業ガス業界の性格上、エネルギー依存度が高く、継続的な発
• 炭酸ガス排出量を投資判断の一つの基準とします。
展のためには脱炭素化は喫緊の課題である。
• 2025年から炭酸ガス排出量を具体的に減らしてまいります。2035年
• 多様性・包括性をさらに高め、国際企業である強みを最大化し、
までに33％削減）⇒ 再生可能エネルギー並びにNFFCを採用します。
国内競合他社との差別化を推進する必要がある。
• 国際企業である強みを生かし、国籍・性別を問わずに適材適所の人材
配置並びに能力開発に注力します。</t>
  </si>
  <si>
    <t>【p.2】
日本エア・リキード合同会社
.補助事業の概要
2
複数の拠点において、半導体製造工場向けに産業ガス供給設備や半導体材料製造設備の増強及び新設を行う。大型の産業ガス
供給設備を増設及び新設やガスの液化設備を新設することで、効率化を図り、製造能力の増強だけでなく、生産性の向上も見込む
補助事業の • 熊本県・広島県にて、半導体関連企業向けの産業ガス供給設備を最新鋭設備を用いて増 事業費 億円
203
背景・目的 強・新設し、日本製半導体の安定供給に貢献する （補助額） （50億円）
• 熊本/広島
• 空気分離装置
• タンク設備・供給設備
• 機械室建屋増築
• 事務所・製造用建屋
空気分離装置
• 熊本
• 水素製造装置
設備投資の • 水素充填場供給設備
内容 • 広島 液化設備 機械室建屋
• 液化設備
タンク設備
水素製造装置設備
項目 2027年度 2030年度
労働生産性 24,301
8,619
（単位：万円/人） （年平均上昇率＋41.3％）
目標値 従業員1人あたり給与支給総額(全事業所) 1,046
871
（単位：万円/人） （年平均上昇率＋6.5％）
役員１人あたり給与支給総額(全事業所)
（単位：万円/人） - -
補助事業に係る従業員数(全事業所)
244 269
（単位：人）</t>
  </si>
  <si>
    <t>高知食糧株式会社
1.⾧期成⾧ビジョン
当社は1953年設立。戦後の経済復興期に生まれ、高度成⾧期、バブル経済期、バブル崩壊からの平成不況、コロナ禍といった様々な時代の中、食品
卸会社として地域の食卓に豊かな食を提供してきた。近年「ペット事業」を加え、時代と共に変化する生きる「糧」を創造しつづけ、「やりがいと生きがいが循
環する世の中を創る」と言うビジョンを描き、地産地消で強固なバリューチェーンとして成⾧・発展する。
時代背景とミッションの変遷
バリュー ミッション ビジョン 2023年～ 2000年～ 1975年～ 1953年～
ひとつひとつの想いをつなぎ、 生きる糧をつくる やりがいと生きがいが
やりがい・生きがい 豊かさの追求 食の安心・安全 物不足の時代
普段の何気ない「しあわせ 循環する世の中を創る
生きる「糧」創造 生活文化の提案 食文化の提供 モノの流通
なひととき」を演出する</t>
  </si>
  <si>
    <t>バリュー ミッション ビジョン
ひとつひとつの想いをつなぎ、 生きる糧をつくる やりがいと生きがいが
普段の何気ない「しあわせ 循環する世の中を創る
なひととき」を演出する
⾧期成⾧ビジョン（目指す姿・ビジネスモデル）
現状・リスク・機会 あるべき姿
・米の流通不安 ・地域のサプライチェーン
・農業者の減少 で食糧の安定供給
・人手不足、企業の ギャップを埋める ・地産地消の推進
生産性向上 ・設備導入で手作業を無くし労働 ・循環型社会に貢献
・物価高 生産性を高め人手不足を解消 ・地元資本の企業によ
・旧式の設備・物流 ・地元の川上・川下側と連携しサプ る経済牽引、地域の
拠点という課題 ライチェーンの価値連鎖を図る 価値創造推進
地方のハンデを克服し、地産地消で強固なサプライチェーンを構築!
・陸の孤島と呼ばれる高知県。物流コストの問題があるが大手流通業が進出。
・地元の食品卸売業として、県内流通のバリューチェーン（価値連鎖）を高める。
・最大のボトルネックは当社の精米工場・物流センターの生産能力・効率化。
（精米工場は2.６倍の生産能力、倉庫容量拡大、自動化を徹底）
・地元農家・農場など川上側の産地開拓力、商品開発力という強みを活かす
・グループ会社のスーパーなど販売拡大は可能・・・（需要に対応出来ない状態）
・地元資本の企業による経済牽引、地域の価値創造推進</t>
  </si>
  <si>
    <t>外発的動機
米価格が高騰し流通不安が発生
安心・安全、継続して安定的に食
卓に届ける社会的使命を再認識
精米工場・倉庫・配送など自動化
で省力化を図り付加価値を高める
・令和の米騒動と言われる状況が発生
・グループ会社のスーパー他、多くの量販店など受注が増加
・契約農家・農場等の状況は厳しく、高付加価値型商品の開発が必要
・高知県内での地産地消を基本としており、高知県の食料自給率を高めたい
・県外資本のサプライヤーが多く進出。
・大手ＮＢ商品などが多くなり、地元産品の需要が衰退しつつある。
・1次産業者の高齢化、耕作放棄地の増加など。</t>
  </si>
  <si>
    <t>内発的動機
・高知県内のサプライチェーンを構築しているが、その価値連鎖を高めたい。
・大手ＮＢ商品などに負けない商品開発を生産者と共に行いたい。
・精米工場の人手による作業が多く、非効率。生産能力も追いついていない。
・機械化（自動化）が出来ていないため人手に頼るしか無い状態。
・従業員の作業が過酷。残業、夜間交代制で人手によるフル稼働状態。
・人手不足で人員確保が困難。
・従業員の単純作業を減らし、働きがいのある高付加価値業務にシフトしたい。
・安定的に成⾧発展してきたが、食の流通業として地元の期待に応えたい。</t>
  </si>
  <si>
    <t>会社全体の売上成⾧目標（2035年）
売上高:２００億円企業をめざす
• 売上高成⾧率: 8.9％
• 売上高増加額:126億円
会社全体の賃上げ目標（給与支給総額伸び率）
• 1.5%（直近事業年度～基準年度）
• 6.6%（基準年度～事業化報告3年目）</t>
  </si>
  <si>
    <t>【p.1／売上成長目標】
会社全体の売上成⾧目標（2035年）
売上高:２００億円企業をめざす
• 売上高成⾧率: 8.9％
• 売上高増加額:126億円
会社全体の賃上げ目標（給与支給総額伸び率）
• 1.5%（直近事業年度～基準年度）
• 6.6%（基準年度～事業化報告3年目）
【p.2／2027年度】
2027年度
項目
（基準年度）</t>
  </si>
  <si>
    <t>【p.1】
高知食糧株式会社
1.⾧期成⾧ビジョン
当社は1953年設立。戦後の経済復興期に生まれ、高度成⾧期、バブル経済期、バブル崩壊からの平成不況、コロナ禍といった様々な時代の中、食品
卸会社として地域の食卓に豊かな食を提供してきた。近年「ペット事業」を加え、時代と共に変化する生きる「糧」を創造しつづけ、「やりがいと生きがいが循
環する世の中を創る」と言うビジョンを描き、地産地消で強固なバリューチェーンとして成⾧・発展する。
時代背景とミッションの変遷
バリュー ミッション ビジョン 2023年～ 2000年～ 1975年～ 1953年～
ひとつひとつの想いをつなぎ、 生きる糧をつくる やりがいと生きがいが
やりがい・生きがい 豊かさの追求 食の安心・安全 物不足の時代
普段の何気ない「しあわせ 循環する世の中を創る
生きる「糧」創造 生活文化の提案 食文化の提供 モノの流通
なひととき」を演出する
外発的動機
⾧期成⾧ビジョン（目指す姿・ビジネスモデル） 米価格が高騰し流通不安が発生
安心・安全、継続して安定的に食
現状・リスク・機会 あるべき姿
卓に届ける社会的使命を再認識
・米の流通不安 ・地域のサプライチェーン
精米工場・倉庫・配送など自動化
・農業者の減少 で食糧の安定供給
・人手不足、企業の ギャップを埋める ・地産地消の推進 で省力化を図り付加価値を高める
生産性向上 ・設備導入で手作業を無くし労働 ・循環型社会に貢献 ・令和の米騒動と言われる状況が発生
・物価高 生産性を高め人手不足を解消 ・地元資本の企業によ
・グループ会社のスーパー他、多くの量販店など受注が増加
・旧式の設備・物流 ・地元の川上・川下側と連携しサプ る経済牽引、地域の
・契約農家・農場等の状況は厳しく、高付加価値型商品の開発が必要
拠点という課題 ライチェーンの価値連鎖を図る 価値創造推進
・高知県内での地産地消を基本としており、高知県の食料自給率を高めたい
地方のハンデを克服し、地産地消で強固なサプライチェーンを構築! ・県外資本のサプライヤーが多く進出。
・陸の孤島と呼ばれる高知県。物流コストの問題があるが大手流通業が進出。 ・大手ＮＢ商品などが多くなり、地元産品の需要が衰退しつつある。
・地元の食品卸売業として、県内流通のバリューチェーン（価値連鎖）を高める。 ・1次産業者の高齢化、耕作放棄地の増加など。
・最大のボトルネックは当社の精米工場・物流センターの生産能力・効率化。
生産・保
（精米工場は2.６倍の生産能力、倉庫容量拡大、自動化を徹底） 新たな 賃上げ 設備導入 人に頼り 生産能 需要は
・地元農家・農場など川上側の産地開拓力、商品開発力という強みを活かす 管量増大
価値創造 実現 で自動化 非効率 力の限界 増加
・グループ会社のスーパーなど販売拡大は可能・・・（需要に対応出来ない状態） 省力化
・地元資本の企業による経済牽引、地域の価値創造推進
内発的動機
会社全体の売上成⾧目標（2035年）
・高知県内のサプライチェーンを構築しているが、その価値連鎖を高めたい。
売上高:２００億円企業をめざす
・大手ＮＢ商品などに負けない商品開発を生産者と共に行いたい。
• 売上高成⾧率: 8.9％ ・精米工場の人手による作業が多く、非効率。生産能力も追いついていない。
• 売上高増加額:126億円 ・機械化（自動化）が出来ていないため人手に頼るしか無い状態。
会社全体の賃上げ目標（給与支給総額伸び率） ・従業員の作業が過酷。残業、夜間交代制で人手によるフル稼働状態。
・人手不足で人員確保が困難。
• 1.5%（直近事業年度～基準年度）
・従業員の単純作業を減らし、働きがいのある高付加価値業務にシフトしたい。
• 6.6%（基準年度～事業化報告3年目）
・安定的に成⾧発展してきたが、食の流通業として地元の期待に応えたい。</t>
  </si>
  <si>
    <t>【p.2】
高知食糧株式会社
2.補助事業の概要
地域の食を支える企業として、総合的な流通の核となる拠点を整備する。本社敷地内スペースに新精米工場を設け自動
化設備による省力化を推進。他の卸売食品を含めた倉庫・配送も自動化を図る。これらの機械設備をＦＡシステムで統合
管理し、人手による作業を削減することで労働生産性を高める。省人化での人材は高付加価値部門に配置。
収益は拡大しているが生産能力は限界。人の作業が多いが人手不足は深刻。設備導入で省力化を図
事業費 17億円
補助事業の
ることが課題。製造・物流両面に先端設備を導入し人の単純作業を削減。過酷な作業→高付加価値
（補助額） （5.4億円）
背景・目的
型業務という従業員ニーズも実現させ、大幅な賃上げを実現。強みであるライスラボ(研究室)のデータを
活用した適正な商品精査と新商品開発で地域サプライチェーンの価値創造につなげることが目的。
本社隣接の精米工場、倉庫、配送センターを全面的に再構築
• 駐車スペースに精米工場を新設し生産能力を拡大する。
• 隣接する倉庫を全面改修し自動化を図る。
• レイアウトを変更し徹底的な省力化・省人化と作業効率改善を図る。
（全ての取扱い商品の効率的配置、ピッキング、など）
• 全てを統合するＦＡシステムを導入
新精米工場新築＋倉庫改修:16.1億円
設備投資の
物流効率化設備導入+新事業:3.8億円（基準年度～3年以内:補助対象外）
内容
【効果について】
上記の通り作業負担を徹底削減するためセンター自体の省力化は多大。
当社は米穀を含む食品全般の卸業で、労働集約的な小売・飲食・ペットショップ
も展開しているが、会社全体の労働生産性としても15.1％上昇と高い効果。
よって、高い給与支給総額の伸びが得られる。省力化・省人化により得られた人
員は高付加価値部門での配置転換を予定。「歩留まりの向上」といった収益性
にも貢献して頂く。更に基準年度＋３年後まで継続的な追加投資を行い物効
率化設備の導入、新事業（パックごはん製造）に取組み成⾧・発展する。
2027年度 2030年度
項目
（基準年度） （基準年度＋３年後）
労働生産性 523万円
344万円
（単位:万円/人） （年平均上昇率＋15.0％）
目標値
従業員1人あたり給与支給総額
257万円
307万円
（単位:万円/人） （年平均上昇率＋6.1％）
役員１人あたり給与支給総額
-
-
（単位:万円/人） （年平均上昇率＋4.6％）
補助事業に係る従業員数
330 336
（単位:人）</t>
  </si>
  <si>
    <t>有限会社ホテル十勝屋
1.長期成長ビジョン
帯広市において、インバウンド需要をはじめとした観光誘致は課題となっている。特に通過型から脱却するために観光の拠点となる
宿泊施設の充実は欠かせない。当社が帯広十勝エリアのシンボルとなる宿泊施設へ成長することで、観光客におけるエリア内の
滞在時間を長くし、地域経済の活性化に大きく貢献していく。</t>
  </si>
  <si>
    <t>【藤丸百貨店】
地】
地元資本の百貨店が2023年に122
更地）</t>
  </si>
  <si>
    <t>長期成長ビジョン（目指す姿・ビジネスモデル）
• ブランド力のさらなる強化：帯広市のシンボルとなる宿泊施設へ
施設の充実とサービスの充実をすることで、幅広く宿泊者のニーズを満
たすホテルへと成長する。それにより当社の宿泊施設としてのブランド
力を強化していくことで、相乗効果により全施設の稼働率・単価を向
上させていく。
• 帯広市のインバウンド需要拡大要因となる拠点へ
観光資源が豊富な北海道において、帯広市におけるインバウンド需
要の獲得は当社のみならず、帯広市全体の課題でもある。当社を
中心として、帯広市の魅力発信し、当社宿泊施設を観光拠点として
利用してもらうことで帯広市の更なる経済活性化に貢献していく
• 帯広市内の観光産業の更なる発展への貢献
当社が積極的に十勝エリアの企業と連携していき、帯広市の魅力
発信と集客に貢献する。それにより相乗効果が生まれ、帯広市を中
心とした十勝エリアにおける観光資源の活性化に貢献していく。</t>
  </si>
  <si>
    <t>外発的動機
• 外国人観光客の取り込み
帯広エリアの観光時の特徴として、通過型で消費行動も少ないため、
「十勝モデル」を創出し滞在時間を増大させることが官民ともに課題と
なっている。また、とかち帯広空港に海外直行便が就航されたことからイ
ンバウンド需要拡大が見込め、追い風となっている。
• 近隣企業の動き
新ホテルのオープン、リニューアルが起きているため、更なる優位性の発
掘が必須である
• ビジネスチャンス
北海道における安定したビジネス利用の多さ
豊富な観光資源による観光客の獲得と付加価値を高めることでサービ
ス単価を向上させることが必要</t>
  </si>
  <si>
    <t>内発的動機
• 安定したビジネス客の利用によりコロナ禍の影響は同業他社と比べ
て最小限にできたため、積極的な投資が可能。
• 客室数の増加と老朽化施設の改善を行うことで、競争力強化を図
りたい
• 遊休地の土地活用を行い、帯広市中心エリアの更なる活性化に
貢献したい
• 地域振興のために様々な会に積極的に関与
「十勝サウナ協議会：会長」「十勝インバウンド誘客推進協議会：
参画」「帯広コンベンション協会：理事」を兼任し地域活性化に意欲
的
• 地元老舗ビジネスホテルとして、地域№１の稼働率を誇る</t>
  </si>
  <si>
    <t>【会社概要】
企業名：有限会社ホテル十勝屋
所在地：北海道帯広市西三条南10-14
創業：昭和39年 設立：昭和53年
従業員数：139名</t>
  </si>
  <si>
    <t>会社全体の売上成長目標（2030年度）
• 売上高成長率280.3％
• 売上高増加額35.6億円
会社全体の賃上げ目標
• 1%（直近事業年度～基準年度）
• 7%（基準年度～事業化報告3年目）</t>
  </si>
  <si>
    <t>【p.1／当社・会社の概要】
【会社概要】
企業名：有限会社ホテル十勝屋
所在地：北海道帯広市西三条南10-14
創業：昭和39年 設立：昭和53年
従業員数：139名
【p.1／【企業理念】】
【企業理念】
お客様に愛されるホテルを創る
お客様への感謝の気持ち×おもてなしの心
【p.1／ホテル事業 売上80％】
ホテル事業 売上80％
十勝帯広エリア 3施設 札幌エリア 2施設
① 十勝イン:帯広駅近くで繁華街近くにある昭和54年からある老舗ホテル
十勝帯広 ② 十勝ガーデンズホテル:帯広駅の目の前と好立地。最も客室数稼働率が高いホテル
③ レイク・イン:キャンプ場、天然温泉を併設した隠れ家的リゾートホテル
④ GARDENS CABIN:札幌の繁華街にあるキャビン型の簡易宿所形態の施設
札幌
⑤ GARDENS STAY:ビジネス、観光、コンサートなどのイベントに便利なサウナ施設付きホテル
【p.2／売上成長目標】
会社全体の売上成長目標（2030年度）
• 売上高成長率280.3％
• 売上高増加額35.6億円
会社全体の賃上げ目標
• 1%（直近事業年度～基準年度）
• 7%（基準年度～事業化報告3年目）
【p.3／十勝帯広エリアとしての課題】
■十勝帯広エリアとしての課題
外国人観光客が道央圏に集中しており、取込が必要
※外国人観光客：16.3万人（2019）⇒14.5万人（2024）
※北海道経済部より
【p.3／北海道内において、インバウンド需要は拡大傾向】
■北海道内において、インバウンド需要は拡大傾向
北海道内における外国人観光客はコロナ前を超え
※外国人観光客数：3188万人（2019）⇒3678万人（2024）
※北海道運輸局より
【p.3／十勝インバウンド誘客推進協議会が発足】
■十勝インバウンド誘客推進協議会が発足
2024年より発足し、十勝エリアにおけるインバウンド需要獲得に向けて、
地域企業と自治体と連携して誘客施策を積極的に実施予定
【p.3／とかち帯広空港の国際線直行便就航】
■とかち帯広空港の国際線直行便就航
韓国の清州の直行便が初めて就航
外国人観光客の増加が見込める
【p.3／チェックインの自動化】
■チェックインの自動化
負担の大きいチェックイン、チェックアウト時の顧客対応の自動化することで
大幅な70％以上生産性向上が見込める
（８ｈ×4名+４ｈ×2名）⇒（８ｈ×1名+４ｈ×1名）
【p.3／人材不足への対策】
■人材不足への対策
宿泊業界全体として、人材不足となっている。
人材不足解消のために、デジタル化を活用した業務負担軽減が課題。
【p.3／北海道内における経済都市】
■北海道内における経済都市
北海道の耕地面積22％を占めるなど第一次産業が盛んである。また食
品製造業も多く十勝ブランドの商品展開をしている大手企業も多い。ま
た農業用機器や産業用機械などの製造業も盛んな経済都市である。
【p.3／豊富な観光資源】
■豊富な観光資源
世界唯一のばんえい競馬、十勝牧場や三国峠など自然景観
六花亭や花畑牧場等の名産品が多くあり、空港、鉄道、高速道路もあり
アクセスが良く、観光しやすいエリアである。
【p.3／目指す姿】
■目指す姿
十勝帯広エリアにおける観光拠点となる宿泊施設へ
地域企業と協力を行い、観光資源の更なる活性化への貢献
帯広市におけるシンボルとなる宿泊施設へ
【p.3／必要な対策や課題】
■必要な対策や課題
全国チェーンホテルとの差別化
宿泊施設の高付加価値化、デジタル化による生産性向上
地域企業とのさらなる連携とプロモーションの強化
【p.5／【藤丸百貨店】】
【藤丸百貨店】
地元資本の百貨店が2023年に122年の歴史に幕を閉じ、
中心地の交流人口が減少。
現在、人流増加に向けた
再開発が予定されており、
2030年を目途に
リニューアルオープン予定。
【p.5／上段要旨】
【藤丸百貨店】
地】
地元資本の百貨店が2023年に122
更地）
【p.5／【社会医療法人 博愛会 所有地】】
【社会医療法人 博愛会 所有地】
北洋銀行帯広支店跡地1,500㎡（現在更地）
市内中心地活性化を目的として博愛会と連携し、博愛会
所有地に日帰り入浴可能な展望露天を完備した宿泊施
設を当社が建設。
博愛会は、医療機関や、
飲食店などが入る複合施設を
建設する。(博愛会の事業は
本補助事業対象外で実施)
【完成イメージ】
広場を大きく作る
ことで、人々が集
いやすい環境を
提供する。
【p.5／【当社所有地】】
【当社所有地】
大型テナントビル跡地 1,000㎡（現在更地）
市内中心地活性化に向け、老朽化が進んでい
たテナントビルを2024年に取得し、2025年3月
に解体工事が完了。
当社が立体駐車場を建設し、宿泊利用者の利
用並びに近隣施設利用時の駐車場として提供
する。
将来的には、藤丸
利用者への駐車場
サービスの提携も行
う予定。
【p.5／の東西に飲食】
の東西に飲食
帯広駅
【p.5／帯広駅から藤丸百貨店までを中心に繁華街として栄え、その東西に飲食】
帯広駅から藤丸百貨店までを中心に繁華街として栄え、その東西に飲食
店が多く立ちならんでいる。
当社のホテル建設予定地は繫華街の中心に位置する。社会医療法人博
愛会と連携して繁華街の活性化のためにも、人流が活発化するような施
設の建設を考えた。当社が宿泊施設として市外からの人流増加を見込み、
博愛会が医療施設を中心とした複合施設にすることで、市内の人流増加
を見込み、相乗効果で市内中心地の人流増加により、繁華街の活性化
を考えている。
【p.5／【ホテル周辺の豊富な飲食店などの観光施設】】
【ホテル周辺の豊富な飲食店などの観光施設】
• 六花亭 帯広本店
• カレーショップインデアンまちなか店
• 北の屋台
その他多数の飲食店あり、宿泊時の経済効果が見込める</t>
  </si>
  <si>
    <t>【p.1】
有限会社ホテル十勝屋
1.長期成長ビジョン（現在の事業概要）
当社は、北海道帯広市に創業しホテル事業を中心に経営している。宿泊事業においても新形態の宿泊施設に
チャレンジし、宿泊事業以外の拡大も積極的に行い、地域振興に向けた活動を広く行っている。
【会社概要】
【企業理念】
企業名：有限会社ホテル十勝屋
所在地：北海道帯広市西三条南10-14 お客様に愛されるホテルを創る
創業：昭和39年 設立：昭和53年 お客様への感謝の気持ち×おもてなしの心
従業員数：139名
ホテル事業 売上80％
その他事業 売上２０％
十勝帯広エリア 3施設 札幌エリア 2施設
• 十勝ガーデンズホテルのシェフが手掛ける
① 十勝イン:帯広駅近くで繁華街近くにある昭和54年からある老舗ホテル
お弁当事業
十勝帯広 ② 十勝ガーデンズホテル:帯広駅の目の前と好立地。最も客室数稼働率が高いホテル
• ポテトけんぴなど十勝名物を使った物販事
③ レイク・イン:キャンプ場、天然温泉を併設した隠れ家的リゾートホテル
業
④ GARDENS CABIN:札幌の繁華街にあるキャビン型の簡易宿所形態の施設
札幌 • テナント収入など
⑤ GARDENS STAY:ビジネス、観光、コンサートなどのイベントに便利なサウナ施設付きホテル
物販事業
②十勝ガーデンズ ③湯宿くったり温 ④GARDENS ⑤GARDENS 旬菜お届け弁当
①十勝イン Brand New
ホテル 泉レイク・イン CABIN STAY けやき
Tokachi
ホテル事業においては、施設平均の稼働率は80％越えと高い。札幌エリアのインバウンド需要を見据えて札幌エリアにも進出し売上向上をしてきた。
2018年から新社長が就任し、積極的に新規事業も行い、ホテル事業以外の事業拡大も積極的に行っている。地産地消の食材を使ったお弁当事
業やコロナ禍には十勝の魅力を自社から発信するための商品開発を行い自社のブランド力向上しながら、宿泊以外でも他社との差別化を行ってきた。
【p.2】
有限会社ホテル十勝屋
1.長期成長ビジョン
帯広市において、インバウンド需要をはじめとした観光誘致は課題となっている。特に通過型から脱却するために観光の拠点となる
宿泊施設の充実は欠かせない。当社が帯広十勝エリアのシンボルとなる宿泊施設へ成長することで、観光客におけるエリア内の
滞在時間を長くし、地域経済の活性化に大きく貢献していく。
外発的動機
長期成長ビジョン（目指す姿・ビジネスモデル）
• 外国人観光客の取り込み
• ブランド力のさらなる強化：帯広市のシンボルとなる宿泊施設へ 帯広エリアの観光時の特徴として、通過型で消費行動も少ないため、
施設の充実とサービスの充実をすることで、幅広く宿泊者のニーズを満 「十勝モデル」を創出し滞在時間を増大させることが官民ともに課題と
たすホテルへと成長する。それにより当社の宿泊施設としてのブランド なっている。また、とかち帯広空港に海外直行便が就航されたことからイ
力を強化していくことで、相乗効果により全施設の稼働率・単価を向 ンバウンド需要拡大が見込め、追い風となっている。
上させていく。 • 近隣企業の動き
• 帯広市のインバウンド需要拡大要因となる拠点へ 新ホテルのオープン、リニューアルが起きているため、更なる優位性の発
観光資源が豊富な北海道において、帯広市におけるインバウンド需 掘が必須である
要の獲得は当社のみならず、帯広市全体の課題でもある。当社を • ビジネスチャンス
中心として、帯広市の魅力発信し、当社宿泊施設を観光拠点として 北海道における安定したビジネス利用の多さ
利用してもらうことで帯広市の更なる経済活性化に貢献していく 豊富な観光資源による観光客の獲得と付加価値を高めることでサービ
ス単価を向上させることが必要
• 帯広市内の観光産業の更なる発展への貢献
当社が積極的に十勝エリアの企業と連携していき、帯広市の魅力 内発的動機
発信と集客に貢献する。それにより相乗効果が生まれ、帯広市を中
• 安定したビジネス客の利用によりコロナ禍の影響は同業他社と比べ
心とした十勝エリアにおける観光資源の活性化に貢献していく。
て最小限にできたため、積極的な投資が可能。
• 客室数の増加と老朽化施設の改善を行うことで、競争力強化を図
りたい
会社全体の売上成長目標（2030年度）
• 遊休地の土地活用を行い、帯広市中心エリアの更なる活性化に
• 売上高成長率280.3％ 貢献したい
• 売上高増加額35.6億円 • 地域振興のために様々な会に積極的に関与
会社全体の賃上げ目標 「十勝サウナ協議会：会長」「十勝インバウンド誘客推進協議会：
• 1%（直近事業年度～基準年度） 参画」「帯広コンベンション協会：理事」を兼任し地域活性化に意欲
• 7%（基準年度～事業化報告3年目） 的
• 地元老舗ビジネスホテルとして、地域№１の稼働率を誇る
【p.3】
有限会社ホテル十勝屋
1.長期成長ビジョン
帯広十勝エリアの特徴として、経済都市なため平日はビジネス利用が多く見込める。同エリアは空港、鉄道、高速道路すべての移動手段でアクセスが
容易であり、観光資源も多くある。そのため、いかに滞在時間を長くしてもらえるかがカギとなるため、宿泊施設の充実が欠かせない。また、地域企業と
連携して観光誘致の協力ができる当社のような老舗ホテルだからこそ地域活性化ができる宿泊施設を運営できる。
インバウンド需要と国際観光の多様化
■北海道内において、インバウンド需要は拡大傾向 ■十勝帯広エリアとしての課題
北海道内における外国人観光客はコロナ前を超え 外国人観光客が道央圏に集中しており、取込が必要
※外国人観光客数：3188万人（2019）⇒3678万人（2024） ※外国人観光客：16.3万人（2019）⇒14.5万人（2024）
※北海道運輸局より ※北海道経済部より
■十勝インバウンド誘客推進協議会が発足 ■とかち帯広空港の国際線直行便就航
2024年より発足し、十勝エリアにおけるインバウンド需要獲得に向けて、 韓国の清州の直行便が初めて就航
地域企業と自治体と連携して誘客施策を積極的に実施予定 外国人観光客の増加が見込める
デジタル化スマートテクノロジーの進化
■チェックインの自動化
■人材不足への対策
負担の大きいチェックイン、チェックアウト時の顧客対応の自動化することで
宿泊業界全体として、人材不足となっている。
大幅な70％以上生産性向上が見込める
人材不足解消のために、デジタル化を活用した業務負担軽減が課題。
（８ｈ×4名+４ｈ×2名）⇒（８ｈ×1名+４ｈ×1名）
帯広十勝エリアの特徴
■北海道内における経済都市 ■豊富な観光資源
北海道の耕地面積22％を占めるなど第一次産業が盛んである。また食 世界唯一のばんえい競馬、十勝牧場や三国峠など自然景観
品製造業も多く十勝ブランドの商品展開をしている大手企業も多い。ま 六花亭や花畑牧場等の名産品が多くあり、空港、鉄道、高速道路もあり
た農業用機器や産業用機械などの製造業も盛んな経済都市である。 アクセスが良く、観光しやすいエリアである。
地域経済への貢献
■目指す姿 ■必要な対策や課題
十勝帯広エリアにおける観光拠点となる宿泊施設へ 全国チェーンホテルとの差別化
地域企業と協力を行い、観光資源の更なる活性化への貢献 宿泊施設の高付加価値化、デジタル化による生産性向上
帯広市におけるシンボルとなる宿泊施設へ 地域企業とのさらなる連携とプロモーションの強化</t>
  </si>
  <si>
    <t>【p.4】
有限会社ホテル十勝屋
.補助事業の概要
2
当社の課題並びに帯広市内の観光産業における課題解決のために、客室数を増大させた最新の宿泊施設を建設する。それだ
けでなく、従業員の生産性向上となるようなDX化設備を積極的に導入を行う。それにより、従来よりも大幅な売上増加に加えて、
労働生産性も大きく向上することが可能となる。
• 繁忙期は満室となることから機会損失も発生している。現状よりも客室数を増大する必要性がある
• 客室増加だけでなく、施設充実も合わせて行うことで利用客増加が見込めると考えた
補助事業の 事業費 4 5億円
• 地元企業である社会医療法人博愛会所有の市内中心地の土地活用を共同で行うことで、帯広中心
背景・目的 街の活性化を図る （補助額） （1 3 億円）
• 客室増加に対応できるように、業務負担軽減を行い生産性を向上させる
• 8階建て180室のホテル新設
ベッドはダブルタイプ、最上階に展望大浴場（サウナ、露天風呂も併設）、地産地消にこだわった
朝食を提供することで、宿泊施設三大要素３Bを全て他社に負けない施設クオリティへと高める。
• 立体駐車場の新設
最大規模の宿泊施設となり、宿泊者の駐車スペースの確保も必要となるため新たに立体駐車場を
建設する。駐車場スペースの問題による機会損失を無くすことでさらなる稼働率向上も見込める。
設備投資の
駅近でもあるため、宿泊者だけでなく近隣住民や周辺施設利用者も活用できるようにすることで
内容
宿泊者が利用しない日中の稼働も高めることが期待できる。
• 全施設のDX化
キャッシュレス、多言語対応の自動チェックイン機を導入することで、チェックインアウト時の顧客対応
の業務負担を軽減させ、大幅な宿泊者増加にも対応できる体制を確立する。 新ホテルイメージ
その他、PMS、RPAやAIコミュニケーションツール、各種ロボットの導入により全館のDX化を促進させ、 十勝イン
効率的な施設運営を図る。
2027年度 2030年度
項目
（基準年度） （基準年度＋３年後）
労働生産性
（単位：万円/人）
949 2496（年平均上昇率＋38.0％）
目標値 従業員1人あたり給与支給総額
（単位：万円/人）
396 486（年平均上昇率＋7.0％）
役員１人あたり給与支給総額
（単位：万円/人）
- -（年平均上昇率＋7.0％）
補助事業に係る従業員数
78 90
（単位：人）
【p.5】
有限会社ホテル十勝屋
.補助事業の概要
2
ホテル建設の周辺環境と補助事業のきっかけとなった社会医療法人博愛会との連携について下記に記載を行った。当社が帯広
駅の繫華街の中心に位置しているため、経済的波及効果が高く見込め、地域企業と連携した取り組みができる
【藤丸百貨店】
【社会医療法人 博愛会 所有地】
地元資本の百貨店が2023年に122年の歴史に幕を閉じ、
北洋銀行帯広支店跡地1,500㎡（現在更地）
中心地の交流人口が減少。
市内中心地活性化を目的として博愛会と連携し、博愛会
現在、人流増加に向けた
所有地に日帰り入浴可能な展望露天を完備した宿泊施
再開発が予定されており、
設を当社が建設。
2030年を目途に
リニューアルオープン予定。
博愛会は、医療機関や、
飲食店などが入る複合施設を
【当社所有地】
建設する。(博愛会の事業は
大型テナントビル跡地 1,000㎡（現在更地）
本補助事業対象外で実施)
市内中心地活性化に向け、老朽化が進んでい
たテナントビルを2024年に取得し、2025年3月
【完成イメージ】 に解体工事が完了。
広場を大きく作る 当社が立体駐車場を建設し、宿泊利用者の利
ことで、人々が集 用並びに近隣施設利用時の駐車場として提供
いやすい環境を する。
提供する。 将来的には、藤丸
利用者への駐車場
サービスの提携も行
う予定。
帯広駅から藤丸百貨店までを中心に繁華街として栄え、その東西に飲食
帯広駅
店が多く立ちならんでいる。
徒歩6分
【ホテル周辺の豊富な飲食店などの観光施設】
当社のホテル建設予定地は繫華街の中心に位置する。社会医療法人博
• 六花亭 帯広本店
愛会と連携して繁華街の活性化のためにも、人流が活発化するような施
• カレーショップインデアンまちなか店
設の建設を考えた。当社が宿泊施設として市外からの人流増加を見込み、
• 北の屋台
博愛会が医療施設を中心とした複合施設にすることで、市内の人流増加
その他多数の飲食店あり、宿泊時の経済効果が見込める
を見込み、相乗効果で市内中心地の人流増加により、繁華街の活性化
を考えている。</t>
  </si>
  <si>
    <t>株式会社ティーケーシン
1.長期成長ビジョン
当社は売上高100億円越え を目指し、足元需要が拡大している冷凍おせち市場の強化および、
（2030年4月期）
持続的な収益獲得のために、冷凍食品の最適な製造体制の構築、海外への販路拡大を目指す。</t>
  </si>
  <si>
    <t>長期成長ビジョン（目指す姿・ビジネスモデル）
◼ 目指す姿：～世界の食卓を豊かにする～
◼ ビジネスモデル
✓ 冷凍おせち事業の拡大・高付加価値商品の製造拡大
当社のおせち事業（売上高）は冷凍おせち事業を中心に2020年
⚫
から2024年にかけてCAGR13.1%で成長。他社の事業撤退や縮
小、おせちをつくる家庭の減少、ECサイトの発展により、シェアを順調
に拡大。直近、冷凍おせちの需要増加に対し、現在の生産設備では
生産能力が不足するため、設備投資の実施が急務。
一方で、少子高齢化により国内市場は長期的には成長が伸び悩む
ことが予測されるため、日本食ブームが発生している海外での早期市
場開拓、高付加価値商品の開発によるコスト構造の改革が必要。
世界におせち文化の浸透を目指す。
✓ 冷凍食品事業（弁当・スイーツ）の強化
おせちの製造は4月から12月に行われており、1月から3月までは工場
⚫
が未稼働。おせちの製造が出来ていない期間を有効活用するとともに、
引き合いが増加し、市場が急速に伸びている冷凍食品（弁当・ス
イーツ）の製造を強化し、企業として持続的な成長、通年を通した売
上の創出を目指す。
✓ 労働生産性・収益性の改善
補助事業により省人省力化の設備を整備し、抜本的な生産環境の
⚫
改善、コストの見直しを行うことで、利益率を大幅に向上する</t>
  </si>
  <si>
    <t>外発的動機
◼ 冷凍おせち市場の拡大
おせちは「つくる」から「買う」時代へシフト。 ECサイトによる販売増加に
⚫
より冷凍おせちの需要は拡大
おせちの種類が多様化
⚫
- 若者のおせち離れを防ぐための推しおせちや、インバウンド需要や高
級志向ニーズへ対応したフレンチおせち、中華おせちがトレンド
小規模事業者は事業撤退や縮小が進行
⚫
◼ 冷凍食品市場の拡大
ECサイトの普及やコロナの巣ごもり需要増で、冷凍食品市場が拡大
⚫
冷凍弁当・冷凍和惣菜は仕出し弁当製造事業者の衰退により引き
⚫
合いが増加
冷凍スイーツは函南町のふるさと納税への協力の引き合いがある
⚫
◼ 海外での日本食ブーム
海外で日本食の人気が高まっており、ホテル・百貨店などから海外向け
⚫
の冷凍おせち・弁当・和惣菜の引き合い・OEMの相談が増加</t>
  </si>
  <si>
    <t>内発的動機
◼ 国内外の需要に応える
当社は明治38年の創業以来、食を通じお客様の想いを形にしており、
⚫
今後もこれまでに積み上げてきたノウハウを活用して、お客様のニーズ
（高付加価値のおせちの開発、冷凍弁当・冷凍和惣菜・冷凍スイー
ツ販売など）に応えたい
また、日本の食文化を海外に広めることで社会に貢献したい
⚫
◼ 企業としての持続的な成長
当社の冷凍おせち事業はCAGR13.1%で成長しており、現状のまま
⚫
では市場の需要に対して供給が追いつかないため、設備投資による増
産体制の構築が急務になっている。また、主力である冷凍おせち事業
は現在は好調ではあるものの、国内事業においては長期的（10年
後）には、市場成長が鈍化する見込みのため、需要が見込める海
外への展開、市場が伸びている冷凍食品（弁当・和惣菜・スイー
ツ）事業の拡大を進めていきたい</t>
  </si>
  <si>
    <t>会社全体の売上成長目標（2030年4月期：売上目標112億円）
• 売上高成長率：16.3％
• 売上高増加額（2025年4月期から2030年4月期）：+50.6億円
会社全体の賃上げ目標
• 1.7%/年（直近年度～基準年度）
• 従業員：6.8%/年、役員：6.5%/年（基準年度～事業化報告3年目）</t>
  </si>
  <si>
    <t>【p.1／売上成長目標】
会社全体の売上成長目標（2030年4月期：売上目標112億円）
• 売上高成長率：16.3％
• 売上高増加額（2025年4月期から2030年4月期）：+50.6億円
会社全体の賃上げ目標
• 1.7%/年（直近年度～基準年度）
• 従業員：6.8%/年、役員：6.5%/年（基準年度～事業化報告3年目）
【p.2／設備投資の内容】
⚫ 製造設備：9.9億円
◼ 設備投資の内容
冷凍おせち・冷凍スイーツ、冷凍弁当の生産体制の強化
⚫
- 現在引き合いが来ている国内外の需要へ対応可能
◼ その他に、見込める効果
作業の自動化による労働者への負担軽減、生産性の向上
⚫
- 現状より生産量は5倍に対し、人員増加は約2倍での
収益性の向上
⚫
- 工場の通年稼働、大量生産が可能になり、労働生産
が見込まれる
202
項目
（基
労働生産性
（単位：万円/人）
従業員1人あたり給与支給総額
（単位：万円/人）</t>
  </si>
  <si>
    <t>【p.1】
株式会社ティーケーシン
1.長期成長ビジョン
当社は売上高100億円越え を目指し、足元需要が拡大している冷凍おせち市場の強化および、
（2030年4月期）
持続的な収益獲得のために、冷凍食品の最適な製造体制の構築、海外への販路拡大を目指す。
長期成長ビジョン（目指す姿・ビジネスモデル） 外発的動機
◼ 冷凍おせち市場の拡大
◼ 目指す姿：～世界の食卓を豊かにする～
おせちは「つくる」から「買う」時代へシフト。 ECサイトによる販売増加に
⚫
◼ ビジネスモデル より冷凍おせちの需要は拡大
✓ 冷凍おせち事業の拡大・高付加価値商品の製造拡大 ⚫ おせちの種類が多様化
当社のおせち事業（売上高）は冷凍おせち事業を中心に2020年 - 若者のおせち離れを防ぐための推しおせちや、インバウンド需要や高
⚫
から2024年にかけてCAGR13.1%で成長。他社の事業撤退や縮 級志向ニーズへ対応したフレンチおせち、中華おせちがトレンド
小、おせちをつくる家庭の減少、ECサイトの発展により、シェアを順調 ⚫ 小規模事業者は事業撤退や縮小が進行
に拡大。直近、冷凍おせちの需要増加に対し、現在の生産設備では ◼ 冷凍食品市場の拡大
生産能力が不足するため、設備投資の実施が急務。 ⚫ ECサイトの普及やコロナの巣ごもり需要増で、冷凍食品市場が拡大
一方で、少子高齢化により国内市場は長期的には成長が伸び悩む ⚫ 冷凍弁当・冷凍和惣菜は仕出し弁当製造事業者の衰退により引き
ことが予測されるため、日本食ブームが発生している海外での早期市 合いが増加
場開拓、高付加価値商品の開発によるコスト構造の改革が必要。 ⚫ 冷凍スイーツは函南町のふるさと納税への協力の引き合いがある
世界におせち文化の浸透を目指す。 ◼ 海外での日本食ブーム
海外で日本食の人気が高まっており、ホテル・百貨店などから海外向け
⚫
✓ 冷凍食品事業（弁当・スイーツ）の強化
の冷凍おせち・弁当・和惣菜の引き合い・OEMの相談が増加
おせちの製造は4月から12月に行われており、1月から3月までは工場
⚫
が未稼働。おせちの製造が出来ていない期間を有効活用するとともに、 内発的動機
引き合いが増加し、市場が急速に伸びている冷凍食品（弁当・ス ◼ 国内外の需要に応える
イーツ）の製造を強化し、企業として持続的な成長、通年を通した売 当社は明治38年の創業以来、食を通じお客様の想いを形にしており、
⚫
上の創出を目指す。 今後もこれまでに積み上げてきたノウハウを活用して、お客様のニーズ
（高付加価値のおせちの開発、冷凍弁当・冷凍和惣菜・冷凍スイー
✓ 労働生産性・収益性の改善
ツ販売など）に応えたい
補助事業により省人省力化の設備を整備し、抜本的な生産環境の
⚫
また、日本の食文化を海外に広めることで社会に貢献したい
改善、コストの見直しを行うことで、利益率を大幅に向上する ⚫
◼ 企業としての持続的な成長
会社全体の売上成長目標（2030年4月期：売上目標112億円） ⚫ 当社の冷凍おせち事業はCAGR13.1%で成長しており、現状のまま
• 売上高成長率：16.3％ では市場の需要に対して供給が追いつかないため、設備投資による増
• 売上高増加額（2025年4月期から2030年4月期）：+50.6億円 産体制の構築が急務になっている。また、主力である冷凍おせち事業
会社全体の賃上げ目標 は現在は好調ではあるものの、国内事業においては長期的（10年
• 1.7%/年（直近年度～基準年度） 後）には、市場成長が鈍化する見込みのため、需要が見込める海
• 従業員：6.8%/年、役員：6.5%/年（基準年度～事業化報告3年目） 外への展開、市場が伸びている冷凍食品（弁当・和惣菜・スイー
ツ）事業の拡大を進めていきたい</t>
  </si>
  <si>
    <t>【p.2】
株式会社ティーケーシン
.補助事業の概要
2
補助事業により冷凍おせちおよびその他冷凍食品の生産能力を強化し、通年で工場を稼働できる体制を構築
する。また現在はほぼ手作業の工程を自動化することで、労働生産性の向上、6.8%/年の賃上げを目指す。
◼ 本補助事業では冷凍おせち・弁当・スイーツの需要増への対応・工場の最適な生産体制の構築により、企業としての持 事業費
続的な成長を目指すため、これらの生産体制の強化を行う。 （補助額）
現在、当社の冷凍おせちの引き合いは増加しているが、生産設備の不足により機会損失が発生。また、ホテル・百貨
⚫
補助事業の 店・自治体などから冷凍食品の生産に関する製造の相談が来ているものの設備が不足し、需要に応えられていない 億円
21
背景・目的 おせちは季節商品であり、1～3月は工場が未稼働なため、工場を通年で稼働できるようにしたい （5.0億円）
⚫
◼ 増設した工場には、AIやIoTを活用した設備や大量生産可能なラインを積極的に導入することで、労働者の負担を減ら
すとともに生産能力を高め、労働人口の減少に対応するとともに、収益の向上を目指す
現在、おせちやスイーツは手作業での作業がほとんどで、自動化への対応が急務
⚫
◼ 概算費用内訳
建物の新設：5.1億円
⚫
製造設備：9.9億円
⚫
◼ 設備投資の内容
冷凍おせち・冷凍スイーツ、冷凍弁当の生産体制の強化
⚫
設備投資の - 現在引き合いが来ている国内外の需要へ対応可能
内容 ◼ その他に、見込める効果
作業の自動化による労働者への負担軽減、生産性の向上
⚫
- 現状より生産量は5倍に対し、人員増加は約2倍での対応が可能
収益性の向上
⚫
- 工場の通年稼働、大量生産が可能になり、労働生産性の向上、コスト削減
が見込まれる
2027年4月度 2030年4月度
項目
（基準年度） （基準年度＋３年後）
労働生産性
956
2,159
（単位：万円/人） （年平均上昇率＋31.2％）
目標値
従業員
（
1
単
人
位
あ
：
た
万
り給
円
与
/人
支
）
給総額 349
（年平均上
4
昇
2
率
5
＋6.8％）
役員１人あたり給与支給総額
- -
（単位：万円/人）
補助事業に係る従業員数
44 98
（単位：人）</t>
  </si>
  <si>
    <t>株式会社ライト製作所
1.⾧期成⾧ビジョン
精密メカトロニクス技術を強みとし、医療機器・半導体製造装置の発展を通じて、世界の人々の健康と幸福に
貢献し、売上高160億円(現状の2倍)を目指して地域の雇用創出と持続的な賃上げを実現する</t>
  </si>
  <si>
    <t>⾧期成⾧ビジョン（目指す姿・ビジネスモデル）
精密メカトロニクス技術を強みとして、売上高160億円を実現
 医療機器・半導体製造装置の発展を通じて世界の人々の健康と幸
福に貢献する
 補助事業を通じて、事業基盤を強固にし更に医療事業へ投資を行
い事業規模を現在の約2倍の160億円へ成⾧させる
補助事業
 本補助事業では、医療機器事業の製造拠点において、新工場の建
設と工程の効率化を行い、さらなる拡大を図る
 生産能力の増強と生産効率の向上を両立させることで労働生産性
の飛躍的な向上が見込まれ持続的な賃上げを実現する
現在の状況
 当社は大きくわけて医療機器の開発・製造と半導体製造装置の開
発・製造の2つの事業を展開している
 半導体製造装置事業は継続的な設備投資を行っており、景気動向
の回復に伴う増産体制の整備が完了している
 医療機器の受託開発・製造事業は製造拠点の老朽化が深刻で取
引先からの増産要請にも対応することができない
※2023年度とは 2023年度 2026年度 2029年度
2024年6月期決算 (直近年度) (基準年度) (最終年度)
売上 76億円 95億円 160億円
営業利益 0億円 8億円 40億円
付加価値額 28.2億円 39億円 79億円
賃上げ率 ー 2.0~3.0% 6.0%</t>
  </si>
  <si>
    <t>外発的動機
【医療機器事業】
• 世界的な人口増加・高齢化に伴い、医療機器へのニーズが増大
• 医療機器事業の国内取引先は拡大する海外市場でのシェア獲
得を目指しており、当社に対して大幅な増産要請を行っている
• 海外メーカーからの引き合い、取引も拡大している
【半導体製造装置事業】
• 半導体市場は上昇局面に移行する見込みで、これまでの継続的
な投資の成果により売上高の増加が見込まれる
医療機器事業における取引先からの増産要請と
世界的な人口増加に伴うさらなる海外展開の可能性</t>
  </si>
  <si>
    <t>内発的動機
• 当社は70年以上の間、医療機器市場において安定的に事業成
⾧を続けており、生産体制を充実させ、今後より一層、世の中の
人々の健康に貢献したいと考えている。
• 当社の主力事業である医療機器事業に係る製造拠点は設備の
老朽化等が深刻化しており、これ以上の拡大は難しい
• 半導体製造装置事業への継続的な投資と合わせ、2027年度ま
でに会社全体の売上高100億円の実現を目標としている
• 医療機器事業へ大規模な投資を行っていくことで、売上高100億
円の実現だけでなく、その先の成⾧を目指す
売上高100億円のその先の160億円への成⾧を目指す</t>
  </si>
  <si>
    <t>【p.1】
株式会社ライト製作所
1.⾧期成⾧ビジョン
精密メカトロニクス技術を強みとし、医療機器・半導体製造装置の発展を通じて、世界の人々の健康と幸福に
貢献し、売上高160億円(現状の2倍)を目指して地域の雇用創出と持続的な賃上げを実現する
⾧期成⾧ビジョン（目指す姿・ビジネスモデル） 外発的動機
精密メカトロニクス技術を強みとして、売上高160億円を実現 【医療機器事業】
• 世界的な人口増加・高齢化に伴い、医療機器へのニーズが増大
 医療機器・半導体製造装置の発展を通じて世界の人々の健康と幸
• 医療機器事業の国内取引先は拡大する海外市場でのシェア獲
福に貢献する
 補助事業を通じて、事業基盤を強固にし更に医療事業へ投資を行 得を目指しており、当社に対して大幅な増産要請を行っている
い事業規模を現在の約2倍の160億円へ成⾧させる • 海外メーカーからの引き合い、取引も拡大している
【半導体製造装置事業】
補助事業
• 半導体市場は上昇局面に移行する見込みで、これまでの継続的
 本補助事業では、医療機器事業の製造拠点において、新工場の建
な投資の成果により売上高の増加が見込まれる
設と工程の効率化を行い、さらなる拡大を図る
 生産能力の増強と生産効率の向上を両立させることで労働生産性
の飛躍的な向上が見込まれ持続的な賃上げを実現する 医療機器事業における取引先からの増産要請と
世界的な人口増加に伴うさらなる海外展開の可能性
現在の状況
 当社は大きくわけて医療機器の開発・製造と半導体製造装置の開 内発的動機
発・製造の2つの事業を展開している
• 当社は70年以上の間、医療機器市場において安定的に事業成
 半導体製造装置事業は継続的な設備投資を行っており、景気動向
⾧を続けており、生産体制を充実させ、今後より一層、世の中の
の回復に伴う増産体制の整備が完了している
人々の健康に貢献したいと考えている。
 医療機器の受託開発・製造事業は製造拠点の老朽化が深刻で取
• 当社の主力事業である医療機器事業に係る製造拠点は設備の
引先からの増産要請にも対応することができない
老朽化等が深刻化しており、これ以上の拡大は難しい
※2023年度とは 2023年度 2026年度 2029年度 • 半導体製造装置事業への継続的な投資と合わせ、2027年度ま
2024年6月期決算 (直近年度) (基準年度) (最終年度)
でに会社全体の売上高100億円の実現を目標としている
売上 76億円 95億円 160億円
• 医療機器事業へ大規模な投資を行っていくことで、売上高100億
営業利益 0億円 8億円 40億円 円の実現だけでなく、その先の成⾧を目指す
付加価値額 28.2億円 39億円 79億円
売上高100億円のその先の160億円への成⾧を目指す
賃上げ率 ー 2.0~3.0% 6.0%</t>
  </si>
  <si>
    <t>【p.2】
株式会社ライト製作所
2.補助事業の概要
宮城工場、青森工場に新建屋を建設し生産効率の向上を図ることで、医療機器事業の生産能力を2倍に増強し、
国内医療機器メーカーからの増産要請への対応と海外医療機器メーカーへの製品提供も展開・拡大する
• 医療機器事業において、複数の取引先メーカーから増産要請を受けているものの製造工場の老朽化が深刻
6
補助事業の 化しており対応することができていない 事業費 6億円
背景・目的 • 本事業では、医療機器事業に係る製造工場の生産能力を大幅に増強することで増産要請への対応だけでな （補助額） （16億円）
く、新規取引先への供給も目指す
• 本事業では、医療機器事業に係る製造工場の生産能力を増強し、主要取引先からの増産要請に対応するとともに、新規取引先を含め、高付
加価値な製品を安定的に供給する
実現する
内容 • さらに当社グループの中国法人に対しても製品の供給を行うことで、さらなる事業拡大を図る
• 上記を実現することで労働生産性の飛躍的な向上を図り、持続的な賃上げによる従業員への還元を行う
• 宮城工場は加工組立一貫生産ラインの生産能力を2倍に増強する
• 15,500㎡の新建屋を建設し、工場面積を現在の2倍に拡大させ、新建屋には最新の生
宮
産設備を導入して生産効率の向上を図る
城
• 開発エリアを充実させ、製品開発に使用する設備も設置し、開発・設計スピードを上げて高
工
付加価値の製品を開発できる体制を整備する
場
設備投資の
• 旧建屋では自社製品である眼鏡検査機器の製造ラインを再構築することで生産効率の向
内容 上と生産能力の増強を図る
• 青森工場は小物部品の製造工場としてグループ全体に精密部品の供給を行うことに加え
青 て、周辺地域の取引先から新規受注も積極的に行う
森
• 具体的には2,000㎡の新建屋を建設し工場面積を現在の2倍に拡大させ、新建屋は保温
工
性の高い構造にすることで精密部品加工が可能な環境を構築する
場
ライトグループ全体 ライト製作所（申請者）* 青森ライト 東北ライト製作所
目標数値
2026年度 2029年度 2026年度 2029年度 2026年度 2029年度 2026年度 2029年度
労働生産性 556万円/人 1,281万円/人 5,916万円/人 25,437万円/人 440万円/人 644万円/人 403万円/人 708万円/人
405万円/人 511万円/人 422万円/人 398万円/人
従業員1人あたり給与支給総額 339万円/人 429万円/人 354万円/人 334万円/人
（年平均＋6.0％） （年平均＋6.0％） （年平均＋6.0％） （年平均＋6.0％）
- -
役員1人あたり給与支給総額 - - - - - -
（年平均＋6.0％） （年平均＋6.0％）
補助事業の従業員数 368人 416人 10人＊ 10人＊ 63人 79人 295人 327人
＊ライト製作所本社在籍で東北ライト製作所に勤務する海外実習生+指導者</t>
  </si>
  <si>
    <t>.長期成長ビジョン さくら不動産株式会社
1
白馬村での長期滞在型のインバウンド需要対応で培ったノウハウを長野県全域に波及し、地元企業として受け
入れ体制を整えることで、観光産業発展・地域経済の地産地消に貢献したい。</t>
  </si>
  <si>
    <t>長期成長ビジョン（目指す姿・ビジネスモデル）
• 白馬で培った長期滞在型コンドミニアムの運営ノウハウを活かし、
長野県全域への展開を進め、大規模な投資を加速する。
• 特に松本市エリアは松本城や上高地、塩尻市エリアは奈良井宿と
いったインバウンド向けの魅力的な観光資源が豊富で、高い成長
ポテンシャルを有している。
• 長期滞在型コンドミニアムは、既存の短期滞在型宿泊施設とは
ターゲットが異なるため競合せず、むしろ相乗効果によって観光客
の滞在期間を延ばし、観光消費額の増加や地域のポテンシャル向
上に寄与していきたい。
• インバウンド観光市場が急速に拡大する中、受け入れ体制の整備
は重要な課題となっている。このような背景を踏まえ、2029年度ま
でに長期滞在型の高級コンドミニアムを長野県内に新たに5棟建
設する計画を進める。
コンソーシアムにより、双方の得意な領域に特化することで、
補助事業のみならず、長期ビジョンの実現にも寄与</t>
  </si>
  <si>
    <t>外発的動機
①インバウンド観光市場の拡大
• インバウンド観光市場は今後大幅な成長が見込まれており、特に
白馬村においては今後更なる成長が期待できるエリアと見込んでい
る。この需要を取り込みつつ、長野県全域における需要も取り込ん
でいきたい。
②持続可能な観光地づくり、駅前開発の必要性
• 白馬村で長年事業を営んできた地元企業として地域のポテンシャル
を引き上げていくことや持続可能な観光地づくりが期待されている。
• 白馬駅前は再開発が進んでおらず、地元企業として取り組みたい
他、沿線利用の促進や観光客の受入体制整備は地域を挙げての
課題となっている。</t>
  </si>
  <si>
    <t>内発的動機
①長野県や白馬村の活性化に貢献したいという思い
• 不動産や宿泊といった当社ができる事業を通して、生まれ育った長
野県や白馬村に事業を通して貢献したいという思い。
• 白馬村のポテンシャルを活かしたスキー場での「地元資本による高
級コンドミニアム」は成功実績がある。
②賃上げや更なる大規模投資の契機としたい
• 補助事業を通じて白馬村でのブランドイメージを確立し、長野県内
全域での大規模投資にステップアップしたい。
• また、地域に貢献したいという人材採用を強化し、大幅な賃上げに
もチャレンジする契機としたい。</t>
  </si>
  <si>
    <t>会社全体の売上成長目標（～2029年度）
• 売上高成長率19.0％（年平均成長率）
• 売上高増加額52.9億円（直近事業年度比285%）
注）直近期～事業化報告最終年度のコンソーシアム合算で記載
会社全体の賃上げ目標
（直近事業年度～基準年度）
• さくら不動産㈱-0.53％
• The Hakuba Company㈱＋1.02%
（基準年度～事業化報告3年目）
• コンソーシアム合計+7.8%
注）従業員1人あたり給与支給額の年平均成長率を記載
コンソーシアム合算で記載、直近事業年度～基準年度は２名の従業員から役
員への登用の影響で一部マイナス表示となっている。</t>
  </si>
  <si>
    <t>【p.1／売上成長目標】
会社全体の売上成長目標（～2029年度）
• 売上高成長率19.0％（年平均成長率）
• 売上高増加額52.9億円（直近事業年度比285%）
注）直近期～事業化報告最終年度のコンソーシアム合算で記載
会社全体の賃上げ目標
（直近事業年度～基準年度）
• さくら不動産㈱-0.53％
• The Hakuba Company㈱＋1.02%
（基準年度～事業化報告3年目）
• コンソーシアム合計+7.8%
注）従業員1人あたり給与支給額の年平均成長率を記載
コンソーシアム合算で記載、直近事業年度～基準年度は２名の従業員から役
員への登用の影響で一部マイナス表示となっている。
【p.3／それぞれの得意領域に合った投資を行い、】
それぞれの得意領域に合った投資を行い、
高付加価値な長期滞在型コンドミニアムのモデルを構築
【p.4／さくら不動産㈱】
さくら不動産㈱
コンソーシアムにおける役割
• 不動産会社として、不動産開発、プロパティマネジメント、
地域や行政との連携などの役割を担う
コンソーシアムにより、
補助事業のみな
特徴
• 白馬エリアを中心に長年の不動産取引実績や地域のネッ
トワークを有している
• 宅地建物取引士や税理士資格保有者など資格者が多
数在籍しており、不動産取引や開発について専門性の高
い少数精鋭の組織
課題
• 補助事業を契機にコンドミニアムの横展開を図っていく中で、
滞在施設の特にサービス部門に関わる部分は任せていく必
要がある。
• 高付加価値な滞在施設を目指しており、高いサービス品
質などが求められるため単純な外部委託が困難。
【p.4／The Hakuaba Company㈱】
The Hakuaba Company㈱
コンソーシアムにおける役割
• 滞在施設の運営、接客サービス人材の採用と育成、運営
に関わるDX化などの役割を担う
域に特化することで、
ンの実現にも寄与
特徴
• 「暮らすように泊まる」ことをコンセプトにしたリゾートコンドミニ
アムや貸別荘などの運営実績がある。
• ゲストサービスに精通したメンバーが中心となっており、サービ
ス人材の採用と育成を行っていく体制が整っている。
• DXや新たなサービス企画などソフト面に強みがある。
課題
• 自社のみで不動産開発から運営まで担うことは難しい。
• サービス人材の採用と育成、DXやサービス企画などに特化
して対応していくことで高付加価値化を実現させていくことが
課題。</t>
  </si>
  <si>
    <t>【p.1】
.長期成長ビジョン さくら不動産株式会社
1
白馬村での長期滞在型のインバウンド需要対応で培ったノウハウを長野県全域に波及し、地元企業として受け
入れ体制を整えることで、観光産業発展・地域経済の地産地消に貢献したい。
外発的動機
長期成長ビジョン（目指す姿・ビジネスモデル）
①インバウンド観光市場の拡大
• 白馬で培った長期滞在型コンドミニアムの運営ノウハウを活かし、 • インバウンド観光市場は今後大幅な成長が見込まれており、特に
長野県全域への展開を進め、大規模な投資を加速する。 白馬村においては今後更なる成長が期待できるエリアと見込んでい
• 特に松本市エリアは松本城や上高地、塩尻市エリアは奈良井宿と る。この需要を取り込みつつ、長野県全域における需要も取り込ん
いったインバウンド向けの魅力的な観光資源が豊富で、高い成長 でいきたい。
ポテンシャルを有している。 ②持続可能な観光地づくり、駅前開発の必要性
• 長期滞在型コンドミニアムは、既存の短期滞在型宿泊施設とは • 白馬村で長年事業を営んできた地元企業として地域のポテンシャル
ターゲットが異なるため競合せず、むしろ相乗効果によって観光客 を引き上げていくことや持続可能な観光地づくりが期待されている。
の滞在期間を延ばし、観光消費額の増加や地域のポテンシャル向 • 白馬駅前は再開発が進んでおらず、地元企業として取り組みたい
上に寄与していきたい。 他、沿線利用の促進や観光客の受入体制整備は地域を挙げての
• インバウンド観光市場が急速に拡大する中、受け入れ体制の整備 課題となっている。
は重要な課題となっている。このような背景を踏まえ、2029年度ま
でに長期滞在型の高級コンドミニアムを長野県内に新たに5棟建
設する計画を進める。
内発的動機
会社全体の売上成長目標（～2029年度）
①長野県や白馬村の活性化に貢献したいという思い
• 売上高成長率19.0％（年平均成長率）
• 不動産や宿泊といった当社ができる事業を通して、生まれ育った長
• 売上高増加額52.9億円（直近事業年度比285%）
野県や白馬村に事業を通して貢献したいという思い。
注）直近期～事業化報告最終年度のコンソーシアム合算で記載
• 白馬村のポテンシャルを活かしたスキー場での「地元資本による高
会社全体の賃上げ目標 級コンドミニアム」は成功実績がある。
（直近事業年度～基準年度）
• さくら不動産㈱-0.53％ ②賃上げや更なる大規模投資の契機としたい
• The Hakuba Company㈱＋1.02% • 補助事業を通じて白馬村でのブランドイメージを確立し、長野県内
（基準年度～事業化報告3年目） 全域での大規模投資にステップアップしたい。
• コンソーシアム合計+7.8% • また、地域に貢献したいという人材採用を強化し、大幅な賃上げに
注）従業員1人あたり給与支給額の年平均成長率を記載 もチャレンジする契機としたい。
コンソーシアム合算で記載、直近事業年度～基準年度は２名の従業員から役
員への登用の影響で一部マイナス表示となっている。
【p.2】
.長期成長ビジョン さくら不動産株式会社
1
「地域に根差し未来を創る」
国内外の富裕層を惹きつける独自のコンドミニアム・ブランドを確立。地元企業との連携による成長モデルを展開。
～2030年
スケール展開
～2027年
ブランド確立 • 補助事業を通じて得られた駅前開発及び運
～2025年
営ノウハウを長野県の他地域へ波及
基盤構築 • 補助事業を通じて、当社では初となる駅前のコ
• 具体的には、松本エリアの５ヵ所でコンドミニア
ンドミニアムによる再開発を実現させ、白馬村ブ
ム開発のプロジェクトを計画。
ランドとして確立
• 白馬にて長年の不動産取引実績を重ね、地
域に根差した企業としての基盤を構築 • 高稼働と顧客体験の改善を通じてブランド価
値向上
• 国際ゲレンデ前においてコンドミニアム建設のプ
ロジェクトを実施 • SNSやインフルエンサー活用により海外プロモー 不動産取引業 コンドミニアム
ション
• 観光客受入のための宿泊関連のサービスを提
供できる体制を確立
× ×
不動産取引業 コンドミニアム 地域課題解決
地域課題解決
不動産取引業
白馬駅前再開発という当社における 事業を通じて地域の課題解決、地域雇用の促進、
コンドミニアム
ビッグプロジェクトを計画 地域経済活性化に貢献できる企業へとスケール
不動産取引業から始まり、コンドミニアム業を生み出し コンドミニアムによる再開発とインバウンド需要対応の 横展開を図りつつも、更なる知見を積み上げることで
基盤を作った時期 新たなモデルを確立する時期 「地域に根差し未来を創る」という理念を実現</t>
  </si>
  <si>
    <t>【p.3】
.補助事業の概要 さくら不動産株式会社
2
白馬駅前再開発を長期滞在型コンドミニアム建設という形で地元企業が担うことで、インバウンド需要の取り込
みを実現。駅前利便性向上、景観への配慮、地域に経済波及効果が拡がる事業運営を目指す。
補助事業の • 白馬駅周辺における長期滞在型施設の整備を起点とし、インバウンド観光における地域共生 事業費 11 億円
背景・目的 型宿泊の先進モデルとして、今後の長野県全体への横展開を視野に入れた取組である。 （補助額） （ 億円）
2.7
さくら不動産㈱（幹事企業）
主な役割：不動産開発、プロパティマネジメント、地域連携、バックオフィス
• 長期滞在型コンドミニアム（14億円）11室＋店舗＋事務所）
（敷地面積2,348㎡、鉄骨造4階建）
それぞれの得意領域に合った投資を行い、
高付加価値な長期滞在型コンドミニアムのモデルを構築
設備投資の
内容 The Hakuba Company㈱（コンソーシアム参画企業）
主な役割：コンドミニアム運営、人材教育、DX推進
• バイリンガルAIコンシェルジュ、AIによるパーソナライズ観光レコメンド構築、
デジタル観光マップアプリ（1億円）
• AI自動チェックイン機、清掃ロボット（0.1億円）
コンソーシアム合計 さくら不動産㈱ The Hakuba Company㈱
項目 2026年度 2029年度 2026年度 2029年度 2026年度 2029年度
（基準年度） （基準年度＋３年後） （基準年度） （基準年度＋３年後） （基準年度） （基準年度＋３年後）
1049万円/人 1661万円/人 772万円/人
労働生産性
（単位：万円/人）
583万円/人 （年平均上昇率 776万円/人 （年平均上昇率 400万円/人 （年平均上昇率
＋21.1％） ＋28.8％） ＋24.5％）
目標値 従業員1人あたり給与支給総額 712万円/人 918万円/人 632万円/人
568万円/人 （年平均上昇率 690万円/人 （年平均上昇率 475万円 （年平均上昇率
（単位：万円/人）
＋7.8％） ＋10.0％） ＋10.0％）
役員１人あたり給与支給総額
- -
（単位：万円/人） - （年平均上昇率＋5.0％） - （年平均上昇率＋5.0％） - -
補助事業に係る従業員数
30人 61人 13人 17人 17人 44人
（単位：人）
【p.4】
.補助事業の概要 さくら不動産株式会社
2
さくら不動産㈱は、拡大する需要を捉えた不動産開発とプロパティマネジメントに注力していく必要があり、運営ノ
ウハウを有するThe Hakuba Companyと連携することで相乗効果を発揮。
さくら不動産㈱ The Hakuaba Company㈱
コンソーシアムにおける役割 コンソーシアムにおける役割
• 不動産会社として、不動産開発、プロパティマネジメント、 • 滞在施設の運営、接客サービス人材の採用と育成、運営
地域や行政との連携などの役割を担う に関わるDX化などの役割を担う
コンソーシアムにより、双方の得意な領域に特化することで、
補助事業のみならず、長期ビジョンの実現にも寄与
特徴
特徴
• 白馬エリアを中心に長年の不動産取引実績や地域のネッ • 「暮らすように泊まる」ことをコンセプトにしたリゾートコンドミニ
トワークを有している アムや貸別荘などの運営実績がある。
• 宅地建物取引士や税理士資格保有者など資格者が多 • ゲストサービスに精通したメンバーが中心となっており、サービ
数在籍しており、不動産取引や開発について専門性の高 ス人材の採用と育成を行っていく体制が整っている。
い少数精鋭の組織 • DXや新たなサービス企画などソフト面に強みがある。
課題
課題
• 補助事業を契機にコンドミニアムの横展開を図っていく中で、 • 自社のみで不動産開発から運営まで担うことは難しい。
滞在施設の特にサービス部門に関わる部分は任せていく必 • サービス人材の採用と育成、DXやサービス企画などに特化
要がある。 して対応していくことで高付加価値化を実現させていくことが
• 高付加価値な滞在施設を目指しており、高いサービス品 課題。
質などが求められるため単純な外部委託が困難。
【p.5】
.補助事業の概要 さくら不動産株式会社
2
観光客受け入れの玄関口とも言える駅前の利便性を当事業により向上させることが可能となる他、景観にも配
慮した白馬村ブランド向上に資する投資を実現
• 補助事業実施場所は、現在のさくら不動産㈱本社を含んでおり、駅前再開発に伴い、建物全般の管理、コンドミニアム及び店舗管理等を行う事務所を２
階部分に設置し、登記上の本社もそこに移転を予定。
• 建物は、鉄骨造４階建て、敷地面積：2,348.0 ㎡ 建築面積：839.0 ㎡ 延床面積：2,138.0 ㎡
• 現在（2025年4月時点）では、白馬駅前にはコンビニエンスストアが無い他、日用品などを購入できる場所も少なく観光客受入において地域課題となって
いる。また、白馬村は電柱の地中化を進めており景観への配慮も重要である。白馬駅を降りると正面に敷地がある。現在は四角い建物が眺望を阻害してい
るが、本設計では建築を西側にセットバックし、山岳景観との調和を徹底して検討することで、求められる4 階建てのボリュームを収めた設計となっている。
• デザインは、名古屋市立大学の太幡英亮教授（白馬村出身）と連携し、白馬駅周辺のランドスケープデザインと屋根構造を共同研究したものである。
• 1階部分には、物販、コンビニ、カフェなど観光客受入の玄関口として駅前利便性の向上、地域の食材等を提供するカフェなどの入居を予定。2～4階部分
が主にコンドミニアム部分となる。
建設予定地について レイアウトイメージ（1階部分）
現在のさくら不動産㈱本社場所 補助事業実施場所（建設予定地）</t>
  </si>
  <si>
    <t>東洋スクリーン工業株式会社
1.長期成長ビジョン
世界No.1のウェッジワイヤースクリーン技術の進化により、地球環境と社会の発展に貢献し、当社と社員の成長
促進、経営理念の実現を目指す</t>
  </si>
  <si>
    <t>長期成長ビジョン（目指す姿・ビジネスモデル）
地球環境と社会の進歩発展に貢献し、
「社会に必要な存在であり続ける」こと、
そして顧客と社員一同、
「喜びを感じながら成長し続ける」ことを目指す
テーマ
1.当社の技術力を活用した新たな市場開拓 2029年
2.中東やアジア等の海外での水インフラ、半導体等の分
野におけるサプライチェーンの水需要の増加
3.新工場移転と設備投資による生産能力の向上と継
続的な賃上げの実現
2024年
目指す姿
世界No.1の微細と精度を誇るウェッジワイヤースクリーン技術を更に進化させ、お客
さまの困りごとに寄り添うモノづくりを推進し、安心安全の勝ちを提供することで、地球
環境と社会の発展に貢献する</t>
  </si>
  <si>
    <t>外発的動機
• 少子高齢化に伴う生産年齢人口の減少で、生産性の効
率化が喫緊の課題
• 地球温暖化によるCO₂排出削減目標に関連し、持続可能
社会に向けた資源リサイクル利用検討の流れ
• 5G、AI技術による時間短縮、自動化とコト売りサービスの
流れ
• 半導体、AI技術に関する外資企業の国内拠点化の流れ
• 上記を背景に、あらゆるサービス業や製造業において、当
社主要事業である水需要が更なる高まりを見せている
• 採用環境において、売り手市場かつ大手企業との賃金格
差といった脅威</t>
  </si>
  <si>
    <t>内発的動機
• 一昨年度より中期経営計画を策定し、従業員に明示。目
的と目標を定めることで従業員のベクトルが揃い、順調に業
績が伸長しており、経営計画を立てることの必要性を強く認
識
• 従業員の成長と技術の質の向上により、付加価値の高い
新製品が生み出されている現在、長期的な成長ビジョンを
掲げ、事業ドメインを示すことで、更なる成長に繋げる
• 経営理念である、従業員一人ひとりが昨日より今日、今日
より明日、「喜びを感じながら成長し続ける」ことを実現したい
地球環境と社会の進歩発展に
70年貢献してきた当社を100年、
150年と次世代に繋げていきたい</t>
  </si>
  <si>
    <t>会社全体の売上成長目標（～2029年）
• 売上高成長率217％（直近事業年度比）
• 売上高増加額38億円（直近事業年度比）
会社全体の賃上げ目標
• 全体:1.57%、従業員:2.5%、役員:0.0%(直近事業年度～基準年度)
• 全体:4.54%、従業員:6.0%、役員:4.5%(基準年度～事業化報告3年目)</t>
  </si>
  <si>
    <t>【p.1／売上成長目標】
会社全体の売上成長目標（～2029年）
• 売上高成長率217％（直近事業年度比）
• 売上高増加額38億円（直近事業年度比）
会社全体の賃上げ目標
• 全体:1.57%、従業員:2.5%、役員:0.0%(直近事業年度～基準年度)
• 全体:4.54%、従業員:6.0%、役員:4.5%(基準年度～事業化報告3年目)</t>
  </si>
  <si>
    <t>【p.1】
東洋スクリーン工業株式会社
1.長期成長ビジョン
世界No.1のウェッジワイヤースクリーン技術の進化により、地球環境と社会の発展に貢献し、当社と社員の成長
促進、経営理念の実現を目指す
長期成長ビジョン（目指す姿・ビジネスモデル） 外発的動機
• 少子高齢化に伴う生産年齢人口の減少で、生産性の効
地球環境と社会の進歩発展に貢献し、
率化が喫緊の課題
「社会に必要な存在であり続ける」こと、
• 地球温暖化によるCO₂排出削減目標に関連し、持続可能
そして顧客と社員一同、 社会に向けた資源リサイクル利用検討の流れ
「喜びを感じながら成長し続ける」ことを目指す • 5G、AI技術による時間短縮、自動化とコト売りサービスの
流れ
テーマ • 半導体、AI技術に関する外資企業の国内拠点化の流れ
1.当社の技術力を活用した新たな市場開拓 2029年 • 上記を背景に、あらゆるサービス業や製造業において、当
2.中東やアジア等の海外での水インフラ、半導体等の分 社主要事業である水需要が更なる高まりを見せている
野におけるサプライチェーンの水需要の増加 • 採用環境において、売り手市場かつ大手企業との賃金格
3.新工場移転と設備投資による生産能力の向上と継 差といった脅威
続的な賃上げの実現
内発的動機
• 一昨年度より中期経営計画を策定し、従業員に明示。目
的と目標を定めることで従業員のベクトルが揃い、順調に業
績が伸長しており、経営計画を立てることの必要性を強く認
2024年
識
目指す姿
• 従業員の成長と技術の質の向上により、付加価値の高い
世界No.1の微細と精度を誇るウェッジワイヤースクリーン技術を更に進化させ、お客
新製品が生み出されている現在、長期的な成長ビジョンを
さまの困りごとに寄り添うモノづくりを推進し、安心安全の勝ちを提供することで、地球
環境と社会の発展に貢献する 掲げ、事業ドメインを示すことで、更なる成長に繋げる
• 経営理念である、従業員一人ひとりが昨日より今日、今日
会社全体の売上成長目標（～2029年）
より明日、「喜びを感じながら成長し続ける」ことを実現したい
•売上高成長率217％（直近事業年度比）
地球環境と社会の進歩発展に
•売上高増加額38億円（直近事業年度比）
会社全体の賃上げ目標
70年貢献してきた当社を100年、
•全体:1.57%、従業員:2.5%、役員:0.0%(直近事業年度～基準年度)
150年と次世代に繋げていきたい
•全体:4.54%、従業員:6.0%、役員:4.5%(基準年度～事業化報告3年目)</t>
  </si>
  <si>
    <t>【p.2】
東洋スクリーン工業株式会社
.補助事業の概要/補助事業内容と投資内容
2
本社兼工場移転を補助事業とし、その必要性と費用対効果を検証。現工場の生産能力オーバーや導線の悪さ、老
朽化が問題となっており、新工場建設と設備導入によって、労働生産性向上と賃上げを実現する
• 現工場はキャパシティ不足であり、これ以上の売上増加（生産拡大）が見込めない
補助事業の 事業費 億円
• 老朽化の進行や導線の悪さ、空調が無い等により、生産効率が悪い 33
背景・目的 （補助額） （9.1億円）
（現工場延べ床面積：6540.99㎡ ⇒ 新工場予定：8672.49㎡）
【新工場建設：24億円 移設費：1億円】 本社兼工場イメージ
・上記の問題を解決すべく、今般工場を新設し、本社移転を行う。
・現状の年商を超えるリスクの高い投資ではあるが、売上が頭打ちとなることか
ら、持続的な成長及び賃上げのためには必須の投資と判断。
・生産能力を増加させるだけでなく、導線の効率化により労働生産性も向上
する。
・「見せる工場」とし、積極的な賃上げにより会社の魅力を向上させ、雇用を
設備投資の 創出させる。
内容 ・現敷地での増設は困難であるため、新しい土地で新工場を建設する。
【設備投資：2.41億円】
（内訳：円筒型スクリーン溶接機1億3000万円、プレス機3,000万円、
三本ロール1,600万円、レーザー加工機6,000万円、AGV500万円）
・主要製品の製作に必要であり、売上向上及び生産性向上に必須。
2026年度 2029年度
項目
（基準年度） （基準年度＋３年後）
労働生産性 1,44
1,072 6
（単位：万円/人） （年平均上昇率＋10.5％）
従業員1人あたり給与支給総額 630
目標値 529
（単位：万円/人） （年平均上昇率＋6.0％）
役員1人あたり給与支給総額
-
（単位：万円/人） - （年平均上昇率＋4.5％）
補助事業に係る従業員数
112 175
（単位：人）</t>
  </si>
  <si>
    <t>アトム株式会社
1.長期成長ビジョン
 「安心・安全」で良質な国産肉の普及に貢献するとともに、外食産業における社会課題解決にも寄与する
 拡大する顧客ニーズに対し、新工場建設により生産力増強と生産性向上を実現し、2030年までに売上高320億円を目指す</t>
  </si>
  <si>
    <t>長期成長ビジョン（目指す姿・ビジネスモデル）
目指す姿
「生産者保護と支援」「食肉販売の安定確保」を目的に、食にまつわる川上から
川下までをカバーして、安心･安全で良質な食文化の創造を目指します
ビジネスモデル
国内の「顔が見える」生産者からの安定仕入にはじまり、加工、配送、販売 まで
自社で一貫して管理することで、高品質・高付加価値の商品を提供する
成長戦略
①小売事業（FC展開拡大）
• ｢あんず お肉の工場直売所」の店舗数拡大（年10店舗の出店計画）
• 国産の良質な食肉をお手頃価格で消費者に提供し感動を与える
②セントラルキッチン（CK）事業
• 人件費高騰等の社会課題に苦しむ飲食チェーン店のCK機能を請負う
③自社飲食店事業
• ｢和心とんかつあんず」ブランドをはじめ、自社飲食店の出店拡大
④海外事業
• グループ会社を通じ、｢JAPAN QUALITY」をテーマに高品質の商品を販売
• 主に日本から進出する外食企業に安全で質の高い食材を提供し、ニーズに
合った細かな加工で外食企業のプラットホームとなる</t>
  </si>
  <si>
    <t>外発的動機
国産食肉への需要の高まり
• 食生活の多様化により、食肉消費量は増加傾向
• 国際情勢悪化による輸入肉の供給不安や、円安進行によ
る輸入肉と国産肉の価格差の縮小（国産肉需要増加）
• 高品質低価格な当社商品が評判を呼び、直売所の販売
量が増加。FC店舗の新規出店要請も相次いでいる
セントラルキッチン(CK)のニーズ拡大
• 外食産業では人手不足・コスト削減・品質の均一化といった
課題を抱え、CK活用企業の増加が想定される
• 当社においても、既存取引先や新規先より引合いがあるが、
キャパシティや生産能力の限界により対応できない状況</t>
  </si>
  <si>
    <t>内発的動機
経営理念:『食を通じてお客様に本物の感動を』
• 素材と鮮度にこだわり、最高の品質とより安心・安全な食肉
をお届けしたい
畜産農家の存続と復興
• 日本の食文化を支え、宮崎牛などの地域ブランド肉の普及
に貢献したい
従業員の労働負担軽減
• 機械、システム化の導入により、労働負担の軽減を図りたい
既存工場の老朽化
• 安心安全を向上させつつ増産するためには、生産ラインの非
効率性を見直す必要がある</t>
  </si>
  <si>
    <t>会社全体の売上成長目標（～2030年9月期）
• 売上高年平均成長率14.5％
• 売上高増加額179億円（直近期比）
会社全体の賃上げ目標
• 2.51%（直近事業年度～基準年度）
• 5.42%（基準年度～事業化報告3年目）</t>
  </si>
  <si>
    <t>【p.1／売上成長目標】
会社全体の売上成長目標（～2030年9月期）
• 売上高年平均成長率14.5％
• 売上高増加額179億円（直近期比）
会社全体の賃上げ目標
• 2.51%（直近事業年度～基準年度）
• 5.42%（基準年度～事業化報告3年目）</t>
  </si>
  <si>
    <t>【p.1】
アトム株式会社
1.長期成長ビジョン
 「安心・安全」で良質な国産肉の普及に貢献するとともに、外食産業における社会課題解決にも寄与する
 拡大する顧客ニーズに対し、新工場建設により生産力増強と生産性向上を実現し、2030年までに売上高320億円を目指す
長期成長ビジョン（目指す姿・ビジネスモデル） 外発的動機
国産食肉への需要の高まり
目指す姿
• 食生活の多様化により、食肉消費量は増加傾向
「生産者保護と支援」「食肉販売の安定確保」を目的に、食にまつわる川上から
• 国際情勢悪化による輸入肉の供給不安や、円安進行によ
川下までをカバーして、安心･安全で良質な食文化の創造を目指します
る輸入肉と国産肉の価格差の縮小（国産肉需要増加）
ビジネスモデル
• 高品質低価格な当社商品が評判を呼び、直売所の販売
国内の「顔が見える」生産者からの安定仕入にはじまり、加工、配送、販売 まで
量が増加。FC店舗の新規出店要請も相次いでいる
自社で一貫して管理することで、高品質・高付加価値の商品を提供する
セントラルキッチン(CK)のニーズ拡大
成長戦略
• 外食産業では人手不足・コスト削減・品質の均一化といった
①小売事業（FC展開拡大） 課題を抱え、CK活用企業の増加が想定される
• ｢あんず お肉の工場直売所」の店舗数拡大（年10店舗の出店計画） • 当社においても、既存取引先や新規先より引合いがあるが、
• 国産の良質な食肉をお手頃価格で消費者に提供し感動を与える キャパシティや生産能力の限界により対応できない状況
②セントラルキッチン（CK）事業
• 人件費高騰等の社会課題に苦しむ飲食チェーン店のCK機能を請負う
内発的動機
③自社飲食店事業
経営理念:『食を通じてお客様に本物の感動を』
• ｢和心とんかつあんず」ブランドをはじめ、自社飲食店の出店拡大
• 素材と鮮度にこだわり、最高の品質とより安心・安全な食肉
④海外事業
をお届けしたい
• グループ会社を通じ、｢JAPAN QUALITY」をテーマに高品質の商品を販売
畜産農家の存続と復興
• 主に日本から進出する外食企業に安全で質の高い食材を提供し、ニーズに
合った細かな加工で外食企業のプラットホームとなる • 日本の食文化を支え、宮崎牛などの地域ブランド肉の普及
に貢献したい
会社全体の売上成長目標（～2030年9月期）
従業員の労働負担軽減
• 売上高年平均成長率14.5％
• 売上高増加額179億円（直近期比） • 機械、システム化の導入により、労働負担の軽減を図りたい
既存工場の老朽化
会社全体の賃上げ目標
• 2.51%（直近事業年度～基準年度） • 安心安全を向上させつつ増産するためには、生産ラインの非
• 5.42%（基準年度～事業化報告3年目） 効率性を見直す必要がある</t>
  </si>
  <si>
    <t>【p.2】
アトム株式会社
.補助事業の概要
2
 新工場の建設及び新型設備の導入により、各工程の生産能力を最大5倍にすると共に、生産体制の効率化及び省人化を実現
 収益力強化により、従業員1人あたり給与支給総額は、年平均成長率5.8％を目標とした賃上げを行う
• ｢お肉の工場直売所」のFC店舗の販売量増加及びセントラルキッチンのニーズ拡大に対して、
補助事業の 既存工場のキャパシティ、生産ラインの非効率がボトルネックとなっている 事業費 億円
42
背景・目的 • 新工場では製造ラインを最適化、新型設備及び自動化設備を導入することで生産性向上を （補助額） （12億円）
実現し、生産量の増加及び従業員の負担軽減を図る
【設備投資概要】 仮)篠栗町ATM新工場
所在地：福岡県糟屋郡篠栗町彩り台地区 ／ 工場建物：鉄骨２階建 延床坪数：約1,500坪
【投資効果】
生産能力の増強・生産性向上
• トンネルフリーザー等の新たな生産機器を導入し、生産能力を増強
• 既存の3工場を集約。製造ラインの適正化により、生産性向上
設備投資の
• 製造面積は従来の2.5倍に拡大。食肉加工後、配送までの製品を
内容
保管する冷凍スペースを拡大し、生産・配送の効率が向上
大幅な効率化・省人化
• 各工程に自動化設備導入、工程間は自動搬送装置で行い、
加工から箱詰めまでの作業時間の縮小と省人化が可能
• また、工場内の自動化設備を制御する生産管理システムを導入、
各工程での進捗状況管理の高度化が可能
2026年度（2027/9期） 2029年度（2030/9期）
項目
【基準年度】 【基準年度＋３年後】
労働生産性 1,685万円／人
563万円／人
（単位：万円/人） （年平均上昇率＋44.1％）
目標値 従業員1人あたり給与支給総額 415万円／人
350万円／人
（単位：万円/人） （年平均上昇率＋5.8％）
役員１人あたり給与支給総額
-
（単位：万円/人） - （年平均上昇率＋5.5％）
補助事業に係る従業員数
125人 170人
（単位：人）</t>
  </si>
  <si>
    <t>第一物産株式会社
1.⾧期成⾧ビジョン
製造事業の拡大に注力し、設計・製造機能を統合したソリューション提供を行う課題解決型企業へと変革を遂
げ、成⾧市場へのアプローチにより飛躍的な成⾧を遂げるとともに、地元高岡市への貢献を目指す。</t>
  </si>
  <si>
    <t>⾧期成⾧ビジョン（目指す姿・ビジネスモデル）
1. 製造事業の拡大と課題解決型企業への変革
• 高付加価値の製造事業（液体自動充填装置、 スマホ等向け
MLCC や全固体電池 向け治具）の拡大に注力。 70年の歴
*1 *2
史と卸売業務を通じて築いた2000社の取引先に対し、単なる商
材の卸売から、設計・製造機能を統合したソリューション提供を可
能とし、顧客企業の課題を解決し、競争力向上に貢献する。
2. 巨大な市場ポテンシャルへの積極的なアプローチ
• 高齢化に伴い拡大が見込まれる医薬品市場、スマホ等向け
MLCC 及び産電・車載向け全固体電池 市場等、今後の成
*1 *2
⾧ポテンシャルが見込まれる市場に積極的にアプローチし、飛躍的
な成⾧を実現する。
3. 地元である富山県高岡市への貢献
• 当社事業を発展させ、当社が地元人材の魅力的な受け皿企業と
なることで、就職先の不足による高岡市からの若い人材の流出を
防ぐ。また閉校となった旧小学校の跡地を活用し、避難所や地域
イベントスペースとしての機能を維持し、地元高岡市への貢献を目
指す。</t>
  </si>
  <si>
    <t>外発的動機
1. 顧客ニーズの変化（省力化、課題解決型提案の要求）
• 顧客が求める価値が「単なる仕入れ価格の安さ」から「業務効率化
や生産性向上」へとシフトしている。
• 省力化ニーズの高まりにより、単なる材料提供のみではなく、当社の
技術力を用いた課題解決型の提案が求められるようになった。
2. 巨大な市場ポテンシャルの存在
• 高齢化を背景とした医薬品市場の拡大、スマホ等向けMLCC 及
*1
び産電・車載向け全固体電池 といった市場の成⾧が見込まれる。
*2
• これらの市場に強みを有する大手電子部品メーカー（具体的な社
名等は後述）から当社技術は高い評価を得ており、これら市場へ
の挑戦は自社の強みとマッチする。</t>
  </si>
  <si>
    <t>内発的動機
1. 父の姿を見て育ったことで培われた「経営者としての覚悟」
• 当社社⾧は4代目であり、幼いころから父の経営する姿を間近で見
て育ち、ものづくりの世界に誇りと愛着を持ってきた。
• 事業承継にあたり、「単に会社を維持するのではなく、時代の変化
に対応しながら発展させていくべきだ」という強い思いがあった。
2. 地域の未来に貢献するための決意
• 社⾧の出身校でもある地元小学校が閉校となった際、地元住民・
地元企業としてその跡地の活用方法を考えたときに「自社と地域が
共に発展する場所として活用したい」 という想いが生まれた。新工
場建設は、単に生産力を高めるためではなく、「地域の企業・行政・
教育機関と連携し、高岡のものづくり産業の未来を支える場をつく
る」というビジョンの実現手段である。</t>
  </si>
  <si>
    <t>会社全体の売上成⾧目標（～31/8期）
• 売上高成⾧率+128.4％（直近決算期比）
• 売上高増加額+53.7億円（直近決算期比）
会社全体の賃上げ目標
• +2.0%（直近事業年度～基準年度）
• +6.1%（基準年度～事業化報告3年目）</t>
  </si>
  <si>
    <t>【p.1／売上成長目標】
会社全体の売上成⾧目標（～31/8期）
• 売上高成⾧率+128.4％（直近決算期比）
• 売上高増加額+53.7億円（直近決算期比）
会社全体の賃上げ目標
• +2.0%（直近事業年度～基準年度）
• +6.1%（基準年度～事業化報告3年目）
【p.2／2028/8期】
2028/8期
項目
（基準年度）
【p.3／施設・棟・人員が細かく分かれており、作業効率が悪く、情報の分断も】
• 施設・棟・人員が細かく分かれており、作業効率が悪く、情報の分断も
生じてしまっている。
• 顧客情報の共有も不十分で事業部間のシナジーが発生していない。
【p.3／1棟ワンフロアに製造機能が集約し、効率化。】
• 1棟ワンフロアに製造機能が集約し、効率化。
• 本社敷地内1か所に倉庫を集約し、荷受け等、物流業務を効率化。
• 事務所スペース含めた各部の人員が1棟に集約し、部門協同や情報伝達が活発化。
顧客情報の共有等、事業部間のシナジー発揮が可能となる。</t>
  </si>
  <si>
    <t>【p.1】
第一物産株式会社
1.⾧期成⾧ビジョン
製造事業の拡大に注力し、設計・製造機能を統合したソリューション提供を行う課題解決型企業へと変革を遂
げ、成⾧市場へのアプローチにより飛躍的な成⾧を遂げるとともに、地元高岡市への貢献を目指す。
⾧期成⾧ビジョン（目指す姿・ビジネスモデル） 外発的動機
1. 顧客ニーズの変化（省力化、課題解決型提案の要求）
1. 製造事業の拡大と課題解決型企業への変革
• 顧客が求める価値が「単なる仕入れ価格の安さ」から「業務効率化
• 高付加価値の製造事業（液体自動充填装置、 スマホ等向け
や生産性向上」へとシフトしている。
MLCC や全固体電池 向け治具）の拡大に注力。 70年の歴
*1 *2
• 省力化ニーズの高まりにより、単なる材料提供のみではなく、当社の
史と卸売業務を通じて築いた2000社の取引先に対し、単なる商
技術力を用いた課題解決型の提案が求められるようになった。
材の卸売から、設計・製造機能を統合したソリューション提供を可
2. 巨大な市場ポテンシャルの存在
能とし、顧客企業の課題を解決し、競争力向上に貢献する。
• 高齢化を背景とした医薬品市場の拡大、スマホ等向けMLCC *1 及
2. 巨大な市場ポテンシャルへの積極的なアプローチ
び産電・車載向け全固体電池 といった市場の成⾧が見込まれる。
*2
• 高齢化に伴い拡大が見込まれる医薬品市場、スマホ等向け
• これらの市場に強みを有する大手電子部品メーカー（具体的な社
MLCC 及び産電・車載向け全固体電池 市場等、今後の成
*1 *2
名等は後述）から当社技術は高い評価を得ており、これら市場へ
⾧ポテンシャルが見込まれる市場に積極的にアプローチし、飛躍的
の挑戦は自社の強みとマッチする。
な成⾧を実現する。
3. 地元である富山県高岡市への貢献
内発的動機
• 当社事業を発展させ、当社が地元人材の魅力的な受け皿企業と
1. 父の姿を見て育ったことで培われた「経営者としての覚悟」
なることで、就職先の不足による高岡市からの若い人材の流出を
防ぐ。また閉校となった旧小学校の跡地を活用し、避難所や地域 • 当社社⾧は4代目であり、幼いころから父の経営する姿を間近で見
て育ち、ものづくりの世界に誇りと愛着を持ってきた。
イベントスペースとしての機能を維持し、地元高岡市への貢献を目
指す。 • 事業承継にあたり、「単に会社を維持するのではなく、時代の変化
に対応しながら発展させていくべきだ」という強い思いがあった。
会社全体の売上成⾧目標（～31/8期）
2. 地域の未来に貢献するための決意
• 売上高成⾧率+128.4％（直近決算期比） • 社⾧の出身校でもある地元小学校が閉校となった際、地元住民・
• 売上高増加額+53.7億円（直近決算期比） 地元企業としてその跡地の活用方法を考えたときに「自社と地域が
会社全体の賃上げ目標 共に発展する場所として活用したい」 という想いが生まれた。新工
• +2.0%（直近事業年度～基準年度） 場建設は、単に生産力を高めるためではなく、「地域の企業・行政・
• +6.1%（基準年度～事業化報告3年目） 教育機関と連携し、高岡のものづくり産業の未来を支える場をつく
る」というビジョンの実現手段である。
*1:MLCC（積層セラミックコンデンサ）とは一時的に電気を蓄えたり放出したり、信号に含まれるノイズの吸収や一定の周波数の信号を取り出す等、モバイル機器や家電製品、IoT機器などで採用されている部品。
*2:全固体電池とは電池の電解質を固体にした電池で、リチウムイオン電池などの従来の電池と比べて高い性能が期待されている。</t>
  </si>
  <si>
    <t>【p.2】
第一物産株式会社
2.補助事業の概要（1/3）
小学校閉校跡地を活用して本社・工場・倉庫各機能を集約した新工場を建設し、労働生産性の向上を図る。
また、用地の一部は避難所やイベント広場として活用し、地域貢献の場としての機能を持たせる。
補助事業の • 部門間連携及び施設大規模化による労働生産性向上の必要性と、小学校閉校に伴う跡地 事業費 17億円
背景・目的 活用の地域ニーズが合致。自社機能の集約化による生産性向上と地域貢献を同時に図る。 （補助額） （5.5億円）
【本社・工場・倉庫を集約した新拠点の建設】 【完成イメージ】
①投資の概要
• 少子化・人口減少の影響により閉校となった小学校の跡地を有効活用し、本
危険物倉庫 屋外倉庫 既存/体育館
社・工場・倉庫機能を統合した中核拠点を整備する。
(避難所)
②現在抱えている課題
• 現在の本社事務所、工場は増築を繰り返した影響で、各建屋が小規模に分散 イベントスペース兼
するなど非効率な配置となっており、生産性向上の妨げとなっていた。 体育館駐車場
③課題解決・労働生産性向上
設備投資の • 製造工場を1棟1フロアに集約し、設備の最適配置、導線効率の最適化を実現
内容 することにより労働生産性を高める。また、倉庫を本社スペース内に集約(現在は 既存/
厚生棟
本社敷地含めた3か所に点在)し、物流業務の効率化を図る。さらに事務所ス
ペース含めた各部門を1棟に集約することで部門間の協働促進・情報共有を図
り全社一丸での売上向上を目指す。 本社事務所 緑地公園
工場棟
④地域への貢献
メモリアル
• 閉校跡地の一部は産業観光施設（計りの歴史や仕組みを子供も学べるも 施設
の）、イベント広場、地域メモリアル施設として一般開放。また体育館は災害時 ：補助対象施設 屋上ソーラーパネル
の近隣住民の避難所として活用し、「地域共創空間」として整備する。また地元
行政と連携して子供向けの出前講座等を予定しており、企業イメージの向上と
⾧期的な地元の若者の雇用拡大を図る。
2028/8期 2031/8期
項目
（基準年度） （基準年度＋３年後）
労働生産性 1,199万円/人
667万円/人
（単位:万円/人） （年平均上昇率＋21.6％）
目標値 従業員1人あたり給与支給総額 566万円/人
474万円/人
（単位:万円/人） （年平均上昇率＋6.1％）
役員１人あたり給与支給総額 -
-
（単位:万円/人） （年平均上昇率＋6.1％）
補助事業に係る従業員数
78人 125人
（単位:人）
【p.3】
第一物産株式会社
2.補助事業の概要（2/3）
分散している施設を一か所に集約することで、作業効率の向上を図るとともに、顧客情報の積極的な共有を促
し、全社一体となって成⾧するための事業部間シナジーを生み出す。
【拠点集約化の効果】
現状 補助事業実施後
拠点集約
化成品卸売事業 顧客A 化成品卸売事業 顧客A
計器機械事業 顧客B 計器機械事業 顧客B
精密機械加工事業 顧客C 精密機械加工事業 顧客C
• 施設・棟・人員が細かく分かれており、作業効率が悪く、情報の分断も • 1棟ワンフロアに製造機能が集約し、効率化。
生じてしまっている。
• 本社敷地内1か所に倉庫を集約し、荷受け等、物流業務を効率化。
• 顧客情報の共有も不十分で事業部間のシナジーが発生していない。
• 事務所スペース含めた各部の人員が1棟に集約し、部門協同や情報伝達が活発化。
顧客情報の共有等、事業部間のシナジー発揮が可能となる。
• 工場スペースの大
規模化により、設
備の最適配置、効
率的な導線設計を
実現。
• 液体自動充填装
置の組み立てス
ペースも確保でき、
製造効率が向上。
現在の当社のレイアウト 新工場内のレイアウト
【p.4】
第一物産株式会社
2.補助事業の概要（3/3）
高精度マシニングセンタ2台を導入することで今後受注が大きく伸びることが予測されるスマホ等向けMLCC や
*1
全固体電池 用の治具の生産に対応する。
*2
【高精度マシニングセンタ×２台】
①投資の概要
• 高精度かつ自動加工を行うマシニングセンタ2台を導入する。
②現在抱えている課題
• 主要得意先である村田製作所からのスマホ等向けMLCC *1 や全固体電池 *2 用治具の受注が今後大きく伸びることが見込ま
れるが、現行設備の製造能力ではこの受注に対応しきれない。
③課題解決・労働生産性向上
• 現行の設備では加工が不可能な「高精度部品(充填機のノズルや位置決め治具等)」の加工を実現し、生産能力・速度も
大幅に向上する。また、CAD/CAM連携により労働生産性も向上する。
設備投資の
内容
【既存システムのアップデート対応】
新規設備導入、新社屋・工場建設に伴い、既存システムに必要なアップデートを行う。
*1:MLCC（積層セラミックコンデンサ）とは一時的に電気を蓄えたり放出したり、信号に含まれるノイズの吸収や一定の周波数の信号を取り出す等、モバイル機器や家電製品、IoT機器などで採用されている部品。
*2:全固体電池とは電池の電解質を固体にした電池で、リチウムイオン電池などの従来の電池と比べて高い性能が期待されている。</t>
  </si>
  <si>
    <t>1.長期成長ビジョン 株式会社浪速ポンプ製作所
世界シェアトップの船舶用ポンプメーカーを目指して、生産の拡大・効率化および新製品の投入により事業を拡
大し、グローバルニッチトップ企業として関わる人全員の幸福と、社会の平和及び繁栄に貢献する。</t>
  </si>
  <si>
    <t>長期成長ビジョン（目指す姿・ビジネスモデル）
「世界シェアトップの船舶用ポンプメーカーを目指して」
・当社は、顧客の多様なニーズに応えるオーダーメイドの船舶用ポン
プを製作・販売することで、独自の競争力を築いてきた。この柔軟な
製品対応力こそが、当社の最大の強み。
・一方で、持続的な成長を実現するには、製造プロセスの抜本的な
見直しと自動化による生産性の飛躍的向上が不可欠。効率的な
量産体制を確立しながらも、顧客のニーズに的確かつスピーディに応
える体制を整え、柔軟性と効率性を兼ね備えたものづくりを追求する。
・当社の主力製品である船舶用ポンプは、現在世界最大の造船
国・中国においてトップシェアを誇る。この実績とブランド力を礎に、タ
ンカー向けカーゴポンプ及びポンプ駆動用蒸気タービンと関連機器
装置（以下、カーゴポンピングシステム）といった新たな製品展開
を図り、事業領域のさらなる拡大を目指す。
・当社は、こうした挑戦を通じて「グローバルニッチトップ企業」としての
地位を確立し、企業理念である「ポンプおよび関連機器装置の開
発・設計・製造・販売を通じて、関わる人全員の幸福と社会の平
和・繁栄に貢献する」という使命の実現に、揺るぎない覚悟で取り組
み続ける。</t>
  </si>
  <si>
    <t>外発的動機
・新造船建造需要の拡大
新造船の建造・竣工量は、中国・韓国・日本の3か国で世界全体の
9割強を占めている。2050年に向けた環境規制に対応した船舶の建
造と約20年前に大量に建造された船舶の新替建造に加え、世界人
口の増加に伴う物流需要の拡大を背景に、新造船の需要は長期的
に右肩上がりの成長が見込まれる。
2024年の年間新造船竣工量は約7,000万総トンだが、2030年に
は1億総トン規模まで拡大する見通し。
・カーゴポンピングシステム市場の独占構造と事業機会
カーゴポンピングシステム市場は、競合が1社存在する程度で、事実
上1社による独占状態。選択肢が限られている現状に対し、顧客から、
当社に対し参入を求める声が強まっている。
こうした外部環境の変化と市場構造の特異性が、大きなビジネスチャ
ンスであり、今後の事業拡大を後押しする強力な外発的動機である。</t>
  </si>
  <si>
    <t>内発的動機
• 社長の想い
経営理念である関わる人全員の幸福と社会の平和及び繁栄、地域
貢献、従業員のウェルビーイングの実現には、会社として生産性を上
げ利益率を高めることが必要である。
• 製品力・ブランド力
これまで培ってきた当社の強みでもあるオーダーメイド製品から得られ
るノウハウや技術力を元に、海外での知名度も高く、造船所や船主か
らの指定注文も多いことから、信頼や浪速ブランドを確立できている。
• 生産性
世界的な造船建造数増加の一方、当社の工場設備に生産性の限
界が来ており、自動化を中心とした生産性の向上・拡充が必要である。</t>
  </si>
  <si>
    <t>会社全体の売上成長目標（基準日～2030年）
• 売上高成長率 20％
• 売上高増加額 84億円
会社全体の賃上げ目標
• 3.16%（直近事業年度～基準年度）
• 6.34%（基準年度～事業化報告3年目）</t>
  </si>
  <si>
    <t>【p.1／売上成長目標】
会社全体の売上成長目標（基準日～2030年）
• 売上高成長率 20％
• 売上高増加額 84億円
会社全体の賃上げ目標
• 3.16%（直近事業年度～基準年度）
• 6.34%（基準年度～事業化報告3年目）</t>
  </si>
  <si>
    <t>【p.1】
1.長期成長ビジョン 株式会社浪速ポンプ製作所
世界シェアトップの船舶用ポンプメーカーを目指して、生産の拡大・効率化および新製品の投入により事業を拡
大し、グローバルニッチトップ企業として関わる人全員の幸福と、社会の平和及び繁栄に貢献する。
長期成長ビジョン（目指す姿・ビジネスモデル） 外発的動機
「世界シェアトップの船舶用ポンプメーカーを目指して」 ・新造船建造需要の拡大
・当社は、顧客の多様なニーズに応えるオーダーメイドの船舶用ポン 新造船の建造・竣工量は、中国・韓国・日本の3か国で世界全体の
プを製作・販売することで、独自の競争力を築いてきた。この柔軟な 9割強を占めている。2050年に向けた環境規制に対応した船舶の建
製品対応力こそが、当社の最大の強み。 造と約20年前に大量に建造された船舶の新替建造に加え、世界人
・一方で、持続的な成長を実現するには、製造プロセスの抜本的な 口の増加に伴う物流需要の拡大を背景に、新造船の需要は長期的
見直しと自動化による生産性の飛躍的向上が不可欠。効率的な に右肩上がりの成長が見込まれる。
量産体制を確立しながらも、顧客のニーズに的確かつスピーディに応 2024年の年間新造船竣工量は約7,000万総トンだが、2030年に
える体制を整え、柔軟性と効率性を兼ね備えたものづくりを追求する。 は1億総トン規模まで拡大する見通し。
・当社の主力製品である船舶用ポンプは、現在世界最大の造船 ・カーゴポンピングシステム市場の独占構造と事業機会
国・中国においてトップシェアを誇る。この実績とブランド力を礎に、タ カーゴポンピングシステム市場は、競合が1社存在する程度で、事実
ンカー向けカーゴポンプ及びポンプ駆動用蒸気タービンと関連機器 上1社による独占状態。選択肢が限られている現状に対し、顧客から、
装置（以下、カーゴポンピングシステム）といった新たな製品展開 当社に対し参入を求める声が強まっている。
を図り、事業領域のさらなる拡大を目指す。 こうした外部環境の変化と市場構造の特異性が、大きなビジネスチャ
・当社は、こうした挑戦を通じて「グローバルニッチトップ企業」としての ンスであり、今後の事業拡大を後押しする強力な外発的動機である。
地位を確立し、企業理念である「ポンプおよび関連機器装置の開
内発的動機
発・設計・製造・販売を通じて、関わる人全員の幸福と社会の平
和・繁栄に貢献する」という使命の実現に、揺るぎない覚悟で取り組 • 社長の想い
み続ける。 経営理念である関わる人全員の幸福と社会の平和及び繁栄、地域
貢献、従業員のウェルビーイングの実現には、会社として生産性を上
会社全体の売上成長目標（基準日～2030年）
げ利益率を高めることが必要である。
• 売上高成長率 20％ • 製品力・ブランド力
• 売上高増加額 84億円 これまで培ってきた当社の強みでもあるオーダーメイド製品から得られ
るノウハウや技術力を元に、海外での知名度も高く、造船所や船主か
会社全体の賃上げ目標 らの指定注文も多いことから、信頼や浪速ブランドを確立できている。
• 3.16%（直近事業年度～基準年度） • 生産性
• 6.34%（基準年度～事業化報告3年目） 世界的な造船建造数増加の一方、当社の工場設備に生産性の限
界が来ており、自動化を中心とした生産性の向上・拡充が必要である。</t>
  </si>
  <si>
    <t>【p.2】
.補助事業の概要 株式会社浪速ポンプ製作所
2
新工場の建設および生産の効率化を目的とした設備投資を行い、既存製品の規模拡大とともに新製品である
カーゴポンピングシステムを販売し、更なる事業拡大を図る。
• 既存工場は増設を重ねた結果、レイアウト上の制約や動線の複雑化により生産効率が低下
補助事業の 事業費 3 億円
8
している。この課題を解消するため、新工場の建設により生産性向上を図り、更には世界シェ
背景・目的 （補助額） （ . 億円）
8 8
アトップを目指す戦略製品であるカーゴポンピングシステムを量産、国際競争力を強化する。
当社が保有する：
• 福井事業所はポンプ製造の主力拠点であり、新たに取得した隣接地に
オーダーメイドの船舶用ポンプをより効率的に量産できる新工場を建設
する。
• 美原事業所は補充部品の供給や小型ポンプの製造を担うべく、福井事
業所と連携し、補充部品の取扱量拡大に対応できる体制を構築する。
設備投資の • 両事業所では、1つのオーダーを分担して製造しているため、部材の供給
内容 や積み合わせ作業の手間など非効率な面がある。今回の設備投資によ
り、全体のリアロケーションを実現し、生産効率の抜本的な改善を図る。
• 両事業所における効率化と自動化の推進により、既存設備において人
員の余力を生み出し、その人的リソースを新製品の製造や事業拡大に
活用することで、全社的な労働生産性の向上を図る。
2027年度 2030年度
項目
（基準年度） （基準年度＋３年後）
労働生産性 1,636万円/人
856万円/人
（単位：万円/人） （年平均上昇率＋24.1％）
目標値 従業員1人あたり給与支給総額 671万円/人
558万円/人
（単位：万円/人） （年平均上昇率＋6.3％）
役員１人あたり給与支給総額
-
（単位：万円/人） - （年平均上昇率＋5.0％）
補助事業に係る従業員数
229人 235人
（単位：人）</t>
  </si>
  <si>
    <t>.長期成長ビジョン フタバ食品株式会社
1
氷菓「サクレ」や中華まん等を製造するスマート工場と研究開発拠点を整備
生産機能・商品開発力を強化することにより、売上収益の最大化を図り、持続的な成長を実現</t>
  </si>
  <si>
    <t>長期成長ビジョン（目指す姿・ビジネスモデル）
• 変化の激しい時代にあっても、私たちの変わることのない企業使命である
｢おいしさと楽しさ、安全と安心｣を常に追求しながら、お客さまの立場に
立った、お客さまにご満足いただける商品とサービスを提供している。
＜長期成長ビジョン＞
• 当社は1945年に設立し、今年で80周年を迎える。設立100周年に
向け、持続的な成長を実現するため、外部環境・内部環境を踏まえた
大規模な設備投資を実行するものである。
• 大規模設備投資を通じ、企業使命を体現するとともに、売上高350
億円・営業利益26億円を達成させ、持続的な成長を実現していく。
＜具体的な取組み内容＞
(1)企業使命「おいしさと楽しさ、安全と安心」を実現するための取組み
①FSSC22000の認証取得による食品安全体制を構築
②工場見学コース設置による観光需要の喚起、安心安全の訴求
③研究開発機能強化による商品ラインナップの強化、品質の向上
(2)売上高350億円の達成及び持続的な成長に向けた取組み
①新工場の建設や工場機能の最適化による製品供給力の強化
②広告宣伝等によるブランド力強化、国内外の販売戦略の強化
③自動生産ラインやデジタル化による生産性向上、歩留まり率の改善
④太陽光設置、グリーン電力使用等に環境配慮型の生産拠点の整備</t>
  </si>
  <si>
    <t>外発的動機
◆ アイスクリーム類・氷菓市場の規模拡大
アイスクリーム類・氷菓市場は、商品の高付加価値化や平均気温の高まりもあり、
市場規模が拡大傾向、また輸出額も拡大基調にあり、潜在的な需要が高い。
市場動向に合わせた生産能力強化や海外展開等の販路強化の必要性がある
→積極的な設備投資による生産能力の強化、商品開発力の強化
◆ カーボンニュートラル、SDGsへの対応
栃木県を代表する企業として、持続可能な社会を実現するため、カーボンニュー
トラル・SDGsへの対応が社会的責任として求められる
→環境に配慮した生産拠点の整備
◆ 少子高齢化の社会構造の変化
人手不足が顕在化しており、人手に頼らない生産体制の構築が必要
また、国内人口構造や当社の販売シェアを踏まえた販売戦略の再構築が必要
→スマート工場の建設、ブランド力の強化、西日本エリアの販路拡大</t>
  </si>
  <si>
    <t>内発的動機
◆ 生産能力の限界
アイス・中華まんにおいて新規の引合いの対応や営業強化を行いたくても、生産
キャパシティが限界であるため、新規受注や増産対応ができない状況
（アイス・中華まんの潜在的な需要があるものの供給ができない）
→新工場建設による生産体制の強化や各工場の生産性向上
◆ 人手不足・従業員の安定的な採用
人手不足により、年々採用活動が難しくなっている状況
中華まんの生産拠点の分散や手作業の工程もあり、非効率な生産体制
→スマート工場の建設による省人化、職場環境改善による採用強化
◆ 新商品の開発体制の強化や原材料価格高騰への対応
食品業界では、商品サイクルが早く季節商品の開発や売れ筋商品の改良を常
に行っていく必要がある。また、カカオ等の原材料価格の高騰に対応するため、効
率的な製造技術等の高度化を図っていく必要がある
→開発体制の強化、オープンイノベーションの取組み強化</t>
  </si>
  <si>
    <t>売上成長目標（2024年8月期～2030年8月期）
• 売上高成長率 51.4％
• 売上高増加額 118.9億円
(2024/3期 売上高231.1億円に対して、2030/8期 売上高350億円)
会社全体の賃上げ目標
• 4.8%（直近事業年度～基準年度）
• 6.4%（基準年度～事業化報告3年目）</t>
  </si>
  <si>
    <t>【p.1／売上成長目標】
売上成長目標（2024年8月期～2030年8月期）
• 売上高成長率 51.4％
• 売上高増加額 118.9億円
(2024/3期 売上高231.1億円に対して、2030/8期 売上高350億円)
会社全体の賃上げ目標
• 4.8%（直近事業年度～基準年度）
• 6.4%（基準年度～事業化報告3年目）</t>
  </si>
  <si>
    <t>【p.1】
.長期成長ビジョン フタバ食品株式会社
1
氷菓「サクレ」や中華まん等を製造するスマート工場と研究開発拠点を整備
生産機能・商品開発力を強化することにより、売上収益の最大化を図り、持続的な成長を実現
長期成長ビジョン（目指す姿・ビジネスモデル） 外発的動機
◆ アイスクリーム類・氷菓市場の規模拡大
• 変化の激しい時代にあっても、私たちの変わることのない企業使命である
アイスクリーム類・氷菓市場は、商品の高付加価値化や平均気温の高まりもあり、
｢おいしさと楽しさ、安全と安心｣を常に追求しながら、お客さまの立場に
市場規模が拡大傾向、また輸出額も拡大基調にあり、潜在的な需要が高い。
立った、お客さまにご満足いただける商品とサービスを提供している。
市場動向に合わせた生産能力強化や海外展開等の販路強化の必要性がある
＜長期成長ビジョン＞ →積極的な設備投資による生産能力の強化、商品開発力の強化
• 当社は1945年に設立し、今年で80周年を迎える。設立100周年に ◆ カーボンニュートラル、SDGsへの対応
向け、持続的な成長を実現するため、外部環境・内部環境を踏まえた 栃木県を代表する企業として、持続可能な社会を実現するため、カーボンニュー
大規模な設備投資を実行するものである。 トラル・SDGsへの対応が社会的責任として求められる
• 大規模設備投資を通じ、企業使命を体現するとともに、売上高350 →環境に配慮した生産拠点の整備
億円・営業利益26億円を達成させ、持続的な成長を実現していく。 ◆ 少子高齢化の社会構造の変化
人手不足が顕在化しており、人手に頼らない生産体制の構築が必要
＜具体的な取組み内容＞
また、国内人口構造や当社の販売シェアを踏まえた販売戦略の再構築が必要
(1)企業使命「おいしさと楽しさ、安全と安心」を実現するための取組み
→スマート工場の建設、ブランド力の強化、西日本エリアの販路拡大
①FSSC22000の認証取得による食品安全体制を構築
②工場見学コース設置による観光需要の喚起、安心安全の訴求
内発的動機
③研究開発機能強化による商品ラインナップの強化、品質の向上
◆ 生産能力の限界
(2)売上高350億円の達成及び持続的な成長に向けた取組み アイス・中華まんにおいて新規の引合いの対応や営業強化を行いたくても、生産
①新工場の建設や工場機能の最適化による製品供給力の強化 キャパシティが限界であるため、新規受注や増産対応ができない状況
②広告宣伝等によるブランド力強化、国内外の販売戦略の強化 （アイス・中華まんの潜在的な需要があるものの供給ができない）
→新工場建設による生産体制の強化や各工場の生産性向上
③自動生産ラインやデジタル化による生産性向上、歩留まり率の改善
◆ 人手不足・従業員の安定的な採用
④太陽光設置、グリーン電力使用等に環境配慮型の生産拠点の整備
人手不足により、年々採用活動が難しくなっている状況
売上成長目標（2024年8月期～2030年8月期） 中華まんの生産拠点の分散や手作業の工程もあり、非効率な生産体制
• 売上高成長率 51.4％ →スマート工場の建設による省人化、職場環境改善による採用強化
• 売上高増加額 118.9億円 ◆ 新商品の開発体制の強化や原材料価格高騰への対応
(2024/3期 売上高231.1億円に対して、2030/8期 売上高350億円) 食品業界では、商品サイクルが早く季節商品の開発や売れ筋商品の改良を常
会社全体の賃上げ目標 に行っていく必要がある。また、カカオ等の原材料価格の高騰に対応するため、効
• 4.8%（直近事業年度～基準年度） 率的な製造技術等の高度化を図っていく必要がある
• 6.4%（基準年度～事業化報告3年目） →開発体制の強化、オープンイノベーションの取組み強化</t>
  </si>
  <si>
    <t>【p.2】
.補助事業の概要 フタバ食品株式会社
2
氷菓トップメーカーとして、ブランド力の向上及び安定した製品供給体制を構築をするため、
大型設備投資によるスマート工場を整備し、売上収益の飛躍的な成長を実現する
• 主力のサクレ・中華まんをはじめ各製品は、工場の生産キャパシティが限られ、更なる増産対応
ができない状況。
補助事業の • 本事業では、生産能力の強化を図るため、省力化・省人化をコンセプトとしたスマート工場の建設 事業費 168億円
背景・目的 に加え、製品や素材等の研究開発拠点を整備する。 （補助額） （50億円）
• 本事業を通じて、サクレにおける生産能力1.8倍・生産性2.4倍、中華まんにおける生産性1.7
倍へ向上させ、年平均年6.5％の高い賃上げを実現する。
【完成イメージ】
（１）設備目的
①主力サクレの増産、②中華まんの生産性向上、③工場機能の最適化、④研究開発の機能強化
⑤物流の効率化、⑥デジタル技術を活かした業務効率化、⑦見学コース設置によるPR強化
（２）実施場所
栃木県鹿沼インター産業団地に先進スマート食品工場及び研究開発拠点を整備する。
事業実施場所：栃木県鹿沼市深津 鹿沼インター産業団地4街区 敷地面積：43,600㎡
設備投資の
事業所名称 ：フタバ食品 鹿沼工場 延床面積：20,896㎡
内容 （３）設備概要
項目 設備金額 設備内容
アイス、中華まん、マロングラッセ、ゼリーの食品製造工場
建物費 105億円(税別)
その他、研究開発施設、自動保管倉庫、見学コース等を併設
アイス製造ライン(サクレ及びバルクアイス）35億円、中華まん製造ライン16億円、
機械装置費 63億円(税別)
マロングラッセ製造ライン4億円、ゼリー製造ライン8億円
項目 2026年度（基準年度） 2029年度（基準年度＋３年後）
1,5 万円
労働生産性 66
万円
908
（単位：万円/人） （年平均上昇率＋ ％）
19.9
従業員1人あたり給与支給総額 5 74 万円
4 万円
目標値 （単位：万円/人） 75 （年平均上昇率＋6.5％）
役員１人あたり給与支給総額 -
-
（単位：万円/人） （年平均上昇率＋6 ％）
.0
補助事業に係る従業員数
437人 460人
（単位：人）</t>
  </si>
  <si>
    <t>株式会社北海道ちぬやファーム
1.長期成長ビ
ジョン
凍食品 「新たな食の価値を通じて地域社会と共生し、
味のちぬやグループは、冷 業界のリーディングカンパニーとして
豊かな生活と持続可能な未来に貢献する信頼される食品製造グループ」を目
指す。</t>
  </si>
  <si>
    <t>長期成長ビジョン（目指す姿・ビジネスモデル）
①国産原料と地域資源を最大限に活用した「安全・安心・高品質」な
食品の提供
～北海道・四国等の 原料と人材を 食品の
地域の 活かし、 地産地消を推進。
高まり 応える高付加 食品
健康志向やプレミアム志向の に 価値冷凍 を国内外に
確立する～
安定供給出来る体制を
②グループ横断の生産・物流・販売一体型モデルによる競争力の強化
～仕入・生産・物流・販売を
担う各グループ企業が連携し、川上から川下まで
一気 を確立。ス 省力
の 通貫のバリューチェーン マートファクトリー化・ 化・物流最
より、生産性 力を実現 る～
適化に 向上とコスト競争 す
③持続的な賃上げと働きがい向上を実現する成長企業体への進化
～継 生産 人材
続的な労働 性向上と 投資を通じ、従業員の賃上げを実現。
人材が
多様な 活躍出来る環境を整備し、「選ばれる企業グループ」として、地
雇用 る～
域の 創出・所得向上に貢献す
④デジタル技術・環境配慮型経営の強化で社会的価値を創出
～AI IoT 活用し 生産管理や需要予測を通じ
・ を た て、フードロス削減・物流効
食の
率化を促進。環境配慮型の商品開発を進め、持続可能な 未来に貢献
る～
す</t>
  </si>
  <si>
    <t>外発的動機
• 急拡大する冷凍食品市場とプレミアム志向の高まり
～冷凍食品の 小売の 成長や女性の雇用
世界市場は、オンライン 急速な
2030 3,840億米ド 2025
率の増加等を背景として、 年までに ル規模（
CAGR5.78 成長すると予測されて 国内冷凍食品
年からの ％）に いる。
成長が見込ま 2030 2 2025
市場も同様に れ、 年までに約 兆円（ 年から
CAGR6.00 成長推移を見込む 高ま
の ％）での 。特にプレミアム志向の り
国産原料使用の冷凍食品が 7割～
により、 選ばれる割合は約
• 地域農業の担い手不足・異常気象等による収穫量の減少
～北海道内の 高齢化率（65 50
農家の 歳以上）は約 ％であり、担い
手不足に 小規模
よる原料の収穫量減少リスクが顕在化している。特に、
大型設備へ
農家は の投資が困難で、離農・廃業が進んでいる。また、近
面・保管面 ～
年の異常気象等により、収穫 に課題を抱えている
• 人手不足・高齢化の進行
～冷凍食品需要が高ま 食品製造業に る有効求人倍率は
る中、 おけ 約
3.05 生産性低下リ 高ま る～
倍となっており、 スクが ってい</t>
  </si>
  <si>
    <t>内発的動機
• 食の安定供給に対する使命感
～近年、 原料不足リ 高ま
異常気象の頻発化等により、 スクが る中、冷凍
食品の 食の
需要急増に対して、安定した 供給を実現することが社会的責
る～
務と認識してい
• 地域農業の未来を守る想い
～農業の 手不足やコス
担い ト上昇等の影響で北海道の農家が減少傾
食品加工企業として、農業と一体とな 生産体
向にあり、 り、持続可能な
～
制を構築することが重要
• 従業員の賃上げ・働きがい向上への決意
～給与水準の 使命～
向上と働きやすい環境を提供することが経営の</t>
  </si>
  <si>
    <t>コンソーシアム全体の売上成長目標（～2030年）
• 売上高成長率176.8 比
％（直近期 ）
• 売上高増加額261 近期比
億円（直 ）
コンソーシアム全体の賃上げ目標（累計増加率）
• 109.7%（直近事業年度～
基準年度）
• 118.0%（基準年度～事業 3年目）
化報告</t>
  </si>
  <si>
    <t>【p.1／売上成長目標】
コンソーシアム全体の売上成長目標（～2030年）
• 売上高成長率176.8 比
％（直近期 ）
• 売上高増加額261 近期比
億円（直 ）
コンソーシアム全体の賃上げ目標（累計増加率）
• 109.7%（直近事業年度～
基準年度）
• 118.0%（基準年度～事業 3年目）
化報告
【p.2／外部倉庫依存による保管・物流コストの削減、品質劣化、廃棄ロスの抑制、】
外部倉庫依存による保管・物流コストの削減、品質劣化、廃棄ロスの抑制、
供給力不足の解消が可能。地域農家の収益安定化に貢献し、持続可能な
供給体制を確立出来る。
【p.2／冷凍能力が約1.5倍化し、供給力増強、商品ロスの削減、受注機会の損失防】
冷凍能力が約1.5倍化し、供給力増強、商品ロスの削減、受注機会の損失防
止が可能。
【p.2／加熱工程の自動化・均一化により、品質安定化、生産量増加、作業時間削】
加熱工程の自動化・均一化により、品質安定化、生産量増加、作業時間削
減。
【p.2／自動化により、人手削減、歩留まり改善、原料ロス削減により、利益率向上。】
自動化により、人手削減、歩留まり改善、原料ロス削減により、利益率向上。
【p.3／【新馬鈴薯倉庫の概要】】
【新馬鈴薯倉庫の概要】
延床面積：6,002㎡
保管数量：7,020t
部屋数：8部屋
【搭載機能】
• アスパレーションシステム（風乾により、品質向上、廃棄ロス抑制）
• エチレンガスシステム（萌芽を抑制、長期貯蔵が可能）
• 24時間自動温湿度制御、遠隔監視、遠隔操作
• 高換気仕様による省エネ性能</t>
  </si>
  <si>
    <t>【p.1】
株式会社北海道ちぬやファーム
1.長期成長ビ
ジョン
凍食品 「新たな食の価値を通じて地域社会と共生し、
味のちぬやグループは、冷 業界のリーディングカンパニーとして
豊かな生活と持続可能な未来に貢献する信頼される食品製造グループ」を目
指す。
長期成長ビジョン（目指す姿・ビジネスモデル） 外発的動機
• 急拡大する冷凍食品市場とプレミアム志向の高まり
①国産原料と地域資源を最大限に活用した「安全・安心・高品質」な
～冷凍食品の 小売の 成長や女性の雇用
食品の提供 世界市場は、オンライン 急速な
2030 3,840億米ド 2025
率の増加等を背景として、 年までに ル規模（
～北海道・四国等の 原料と人材を 食品の
地域の 活かし、 地産地消を推進。
CAGR5.78 成長すると予測されて 国内冷凍食品
年からの ％）に いる。
高まり 応える高付加 食品
健康志向やプレミアム志向の に 価値冷凍 を国内外に
成長が見込ま 2030 2 2025
市場も同様に れ、 年までに約 兆円（ 年から
確立する～
安定供給出来る体制を
CAGR6.00 成長推移を見込む 高ま
の ％）での 。特にプレミアム志向の り
②グループ横断の生産・物流・販売一体型モデルによる競争力の強化
国産原料使用の冷凍食品が 7割～
により、 選ばれる割合は約
～仕入・生産・物流・販売を
担う各グループ企業が連携し、川上から川下まで • 地域農業の担い手不足・異常気象等による収穫量の減少
一気 を確立。ス 省力
の 通貫のバリューチェーン マートファクトリー化・ 化・物流最
～北海道内の 高齢化率（65 50
農家の 歳以上）は約 ％であり、担い
より、生産性 力を実現 る～
適化に 向上とコスト競争 す
手不足に 小規模
よる原料の収穫量減少リスクが顕在化している。特に、
③持続的な賃上げと働きがい向上を実現する成長企業体への進化
大型設備へ
農家は の投資が困難で、離農・廃業が進んでいる。また、近
～継 生産 人材
続的な労働 性向上と 投資を通じ、従業員の賃上げを実現。 面・保管面 ～
年の異常気象等により、収穫 に課題を抱えている
人材が
多様な 活躍出来る環境を整備し、「選ばれる企業グループ」として、地 • 人手不足・高齢化の進行
雇用 る～
域の 創出・所得向上に貢献す
～冷凍食品需要が高ま 食品製造業に る有効求人倍率は
る中、 おけ 約
④デジタル技術・環境配慮型経営の強化で社会的価値を創出
3.05 生産性低下リ 高ま る～
倍となっており、 スクが ってい
～AI IoT 活用し 生産管理や需要予測を通じ
・ を た て、フードロス削減・物流効
率化を促進。環境配慮型の商品開発を進め、持続可能な 食の 未来に貢献 内発的動機
る～
す • 食の安定供給に対する使命感
～近年、 原料不足リ 高ま
異常気象の頻発化等により、 スクが る中、冷凍
コンソーシアム全体の売上成長目標（～2030年） 食品の 食の
需要急増に対して、安定した 供給を実現することが社会的責
• 売上高成長率176.8 ％（直近期 比 ） 務と認識してい る～
• 売上高増加額261 億円（直 近期比 ） • 地域農業の未来を守る想い
～農業の 手不足やコス
担い ト上昇等の影響で北海道の農家が減少傾
食品加工企業として、農業と一体とな 生産体
コンソーシアム全体の賃上げ目標（累計増加率） 向にあり、 り、持続可能な
～
• 109.7%（直近事業年度～ 基準年度） 制を構築することが重要
• 従業員の賃上げ・働きがい向上への決意
• 118.0%（基準年度～事業 化報告 3年目）
～給与水準の 使命～
向上と働きやすい環境を提供することが経営の
参考文献：MarkNtel Advisors「世界の冷凍食品市場調査レポート」、日本冷凍食品協会「冷凍食品の国内生産及び消費」、「国内生産量推移統計資料」、冨士経済「加工食品国内市場に関する調査」、日本政策金融公庫「消費者動向調
査結果」、農林水産省「2020年農業センサス」、経済産業省「2024年版ものづくり白書」、Intage市場動向レポート、GrandViewResearch社レポート</t>
  </si>
  <si>
    <t>【p.2】
株式会社北海道ちぬやファーム
2.補助事業の概要①
倉庫新設と省力設備等の導入 力強化と生産 業工数
により、供給 性向上を図る。保管・物流コスト削減、作 削
より、労働生産性 大幅 農業支 長を目指
減に の 向上及び継続的な賃上げと地域 援を通じた持続可能な成 す
• 冷凍食品市場の急成長に伴い、グループ全体で冷凍コロッケの生産・保管能力が限界を迎えている 。特に外部倉庫へ
の依存による物流コストの増加や保管品質低下による収益悪化リスクが顕在化している。
補助事業の • 異常気象の頻発や農家の担い手不足により、地域農業の収穫量減少・原料供給の不安定化も進行 。 事業費 41 億円
背景・目的 • 更に、 製造現場では、人手不足による現場負荷増大・生産効率低下が顕著な状況 。 （補助額） （11億円）
• 本事業は、これらの課題を解決する為、 馬鈴薯保管倉庫の新設・省力化設備等の導入を通じて、供給力を強化し、持
続的な地域貢献・労働生産性向上・賃上げを実現させる
。
投資内容 投資額 課題解決内容
り、一人
外部倉庫依存による保管・物流コストの削減、品質劣化、廃棄ロスの抑制、 左記の取組によ あたり付加価
馬鈴薯保管倉庫
32.7億円 供給力不足の解消が可能。地域農家の収益安定化に貢献し、持続可能な 値額の大幅向上と、持 続的な賃上げ
（無線工事等含む）
供給体制を確立出来る。 原資の確保が可能となり、 生産性と働
き方改革の両立を実現する
。
冷凍能力が約1.5倍化し、供給力増強、商品ロスの削減、受注機会の損失防
設備投資の スパイラル冷凍設備 3.5億円
止が可能。
内容
加熱工程の自動化・均一化により、品質安定化、生産量増加、作業時間削
遠赤自動フライヤー 0.6億円 【各投資内容のイメージ・図等について】
減。 • 馬鈴薯保管倉庫 P17・18記載
• 各種生産設備 P19記載
スチームピーラー 0.9億円 自動化により、人手削減、歩留まり改善、原料ロス削減により、利益率向上。
逆ピロー包装機 1.3億円 包装自動化により、作業時間、人手削減、出荷効率・包装精度向上。
コンソーシアム全体 ㈱北海道ちぬやファーム ちぬや冷食㈱
2027年度 2030年度 2027年度 2030年度 2027年度 2030年度
項目
（基準年度） （基準年度＋３年後） （基準年度） （基準年度＋３年後） （基準年度） （基準年度＋３年後）
（単
労
位
働
：
生
万
産
円
性
/人）
2,804万円/人
（年平
4
均
,5
上
23
昇
万
率
円
＋1
/
7
人
.2％）
3,357万円/人
（年平
4
均
,9
上
33
昇
万
率
円
＋1
/
3
人
.7％）
2,771万円/人
（年平
4
均
,4
上
98
昇
万
率
円
＋1
/
7
人
.5％）
従業員1人あたり給与
目標値
支給総額 342万円/人
406万円/人
325万円/人
386万円/人
343万円/人
407万円/人
（年平均上昇率＋5.9％） （年平均上昇率＋5.9％） （年平均上昇率＋5.9％）
（単位：万円/人）
役員１人あたり給与支
給総額 - - - - - -
（年平均上昇率＋5.9％） （年平均上昇率＋5.9％） （年平均上昇率＋5.9％）
（単位：万円/人）
補助事業に係る従業
員数 220人 268人 10人 13人 210人 255人
（単位：人）
【p.3】
株式会社北海道ちぬやファーム
.補助事業の概要①-1
2
新馬鈴薯倉庫の配置図
新築予定馬鈴薯倉庫
【新馬鈴薯倉庫の概要】
延床面積：6,002㎡
保管数量：7,020t
部屋数：8部屋
㈱北海道ちぬやファーム
【搭載機能】
本社
• アスパレーションシステム（風乾により、品質向上、廃棄ロス抑制）
• エチレンガスシステム（萌芽を抑制、長期貯蔵が可能）
• 24時間自動温湿度制御、遠隔監視、遠隔操作
• 高換気仕様による省エネ性能
【p.4】
株式会社北海道ちぬやファーム
.補助事業の概要①-2
2
新馬鈴薯倉庫の平面図
【p.5】
株式会社北海道ちぬやファーム
.補助事業の概要①-3
2
導入予定生産設備イメージ
スパイラル冷凍設備 遠赤自動フライヤー
スチームピーラー 逆ピロー包装機</t>
  </si>
  <si>
    <t>名古屋東部陸運株式会社
1.長期成長ビジョン
調達・保管・出荷の一体運用と業務標準化により、持続可能な物流体制を構築し、労働環境と生産性の両
立を図る。2031年度に売上453億円、賃上げ年平均9.65％を目標とする。</t>
  </si>
  <si>
    <t>長期成長ビジョン（目指す姿・ビジネスモデル）
• 目指す姿（5～10年後における企業像）
当社は、「お客様が困ったとき、最初に顔を思い浮かべてもらえる物
流パートナー」として、2030年に業界カスタマーマインドシェアNo.1の
実現を目指す。グループ売上500億円に向け、大手自動車メーカー
の調達物流モデルを起点に、他OEMや新規荷主へ展開し、業界全
体の生産性向上と持続可能な社会に貢献する。
• 目指すビジネスモデル
大手自動車メーカーの調達物流を起点に、中継・保管・出荷を一
体化した営業倉庫モデルを展開。共通システムにより作業標準を統
一し、多能工化と省力化で人員効率を高める。荷主の業務変化に
も柔軟に対応し、運行効率と信頼性を両立。今後は他社拡張と多
荷主化により安定収益を確保する。
• 社会に提供する価値
中継機能と営業倉庫を一体で運用することで、トラックの待機や回
送を最小限に抑え、地域の道路混雑と事故リスクを軽減する。現場
では共通システムを軸に作業を標準化し、複数倉庫間で人員を柔
軟に配置。倉庫拡張により雇用数も増加し、安定した就労機会を地
域に提供する。</t>
  </si>
  <si>
    <t>外発的動機
• 物流業界では、輸送ニーズの多様化や荷主の調達体制の変化に
加え、労働力不足や環境対応など複合的な課題が顕在化してい
る。特に自動車業界では、仕入先から最終組立までの調達物流の
見直しが進み、輸送会社には保管・仕分け・中継機能を統合的に
担う体制が強く求められている。
• また、輸送の安全性やCO₂削減への社会的要請も強まるなか、単
なる運搬業から脱し、機能集約型の都市型物流モデルへの進化が
求められている。。
当社にとっても、現状の体制のままでは、選ばれ続けることは難しいと
いう危機感があった。こうした構造変化に対応し、自らの役割を明確に
するため、今後の進路を中長期の視点から定める必要があった。</t>
  </si>
  <si>
    <t>内発的動機
• 現場の経験や工夫に支えられた運用体制は、柔軟性がある一方で
属人性が強く、変化への対応力に限界があった。仕様変更や納入
タイミングの変化が重なる中、担当者の力量に依存する状況は、品
質維持にも支障をきたし始めていた。
• 既存拠点では誤出荷や待機時間の長期化が常態化し、拘束や
作業ミスも慢性化。現場対応だけでは限界があり、再発防止も属
人的で、人手不足も相まって負担が増していた。
こうした状況に対し、従来型の改善では抜本的な解決に至らないこ
とを実感した。設備・体制・人材の在り方を含めて抜本的に見直し、
将来に向けた方向性を全社で共有する必要があるとの判断から、長
期ビジョンの策定に至った。</t>
  </si>
  <si>
    <t>会社全体の売上成長目標（2027年～2031年）
• 売上高成長率14.8％
• 売上高増加額190億円（2031年売上高：453億円）
会社全体の賃上げ目標
• 3.87%（直近事業年度～基準年度）
• 9.65%（基準年度～事業化報告3年目）</t>
  </si>
  <si>
    <t>【p.1／売上成長目標】
会社全体の売上成長目標（2027年～2031年）
• 売上高成長率14.8％
• 売上高増加額190億円（2031年売上高：453億円）
会社全体の賃上げ目標
• 3.87%（直近事業年度～基準年度）
• 9.65%（基準年度～事業化報告3年目）
【p.2／本補助事業では、調達物流の効率化と多様な出荷形態に対応する新倉庫3棟を建設する。】
• 本補助事業では、調達物流の効率化と多様な出荷形態に対応する新倉庫3棟を建設する。
• D棟はトヨタ向けの調達物流に特化した中継拠点として、E・F棟は多荷主対応の営業倉庫として活用する。
• それぞれに情報処理・保管・仕分・出荷の機能を備え、運用にはトヨタ独自開発システムを導入して作業進捗を可視化する。
共通のシステム運用により作業手順を統一し、多能工化を進めることで人材配置の柔軟性が向上する。
• 既存拠点に隣接して整備することで、乗務員の待機時間や車両回送の無駄を削減し運行効率が向上する。これにより省人
化と生産性向上を同時に実現し、持続的な賃上げと調達物流改革の実行基盤を確立する。</t>
  </si>
  <si>
    <t>【p.1】
名古屋東部陸運株式会社
1.長期成長ビジョン
調達・保管・出荷の一体運用と業務標準化により、持続可能な物流体制を構築し、労働環境と生産性の両
立を図る。2031年度に売上453億円、賃上げ年平均9.65％を目標とする。
長期成長ビジョン（目指す姿・ビジネスモデル） 外発的動機
• 目指す姿（5～10年後における企業像） • 物流業界では、輸送ニーズの多様化や荷主の調達体制の変化に
加え、労働力不足や環境対応など複合的な課題が顕在化してい
当社は、「お客様が困ったとき、最初に顔を思い浮かべてもらえる物
る。特に自動車業界では、仕入先から最終組立までの調達物流の
流パートナー」として、2030年に業界カスタマーマインドシェアNo.1の
見直しが進み、輸送会社には保管・仕分け・中継機能を統合的に
実現を目指す。グループ売上500億円に向け、大手自動車メーカー
担う体制が強く求められている。
の調達物流モデルを起点に、他OEMや新規荷主へ展開し、業界全
体の生産性向上と持続可能な社会に貢献する。 • また、輸送の安全性やCO₂削減への社会的要請も強まるなか、単
なる運搬業から脱し、機能集約型の都市型物流モデルへの進化が
• 目指すビジネスモデル
求められている。。
大手自動車メーカーの調達物流を起点に、中継・保管・出荷を一
体化した営業倉庫モデルを展開。共通システムにより作業標準を統
当社にとっても、現状の体制のままでは、選ばれ続けることは難しいと
一し、多能工化と省力化で人員効率を高める。荷主の業務変化に
いう危機感があった。こうした構造変化に対応し、自らの役割を明確に
も柔軟に対応し、運行効率と信頼性を両立。今後は他社拡張と多
するため、今後の進路を中長期の視点から定める必要があった。
荷主化により安定収益を確保する。
• 社会に提供する価値
中継機能と営業倉庫を一体で運用することで、トラックの待機や回 内発的動機
送を最小限に抑え、地域の道路混雑と事故リスクを軽減する。現場 • 現場の経験や工夫に支えられた運用体制は、柔軟性がある一方で
では共通システムを軸に作業を標準化し、複数倉庫間で人員を柔 属人性が強く、変化への対応力に限界があった。仕様変更や納入
軟に配置。倉庫拡張により雇用数も増加し、安定した就労機会を地 タイミングの変化が重なる中、担当者の力量に依存する状況は、品
域に提供する。 質維持にも支障をきたし始めていた。
• 既存拠点では誤出荷や待機時間の長期化が常態化し、拘束や
会社全体の売上成長目標（2027年～2031年）
作業ミスも慢性化。現場対応だけでは限界があり、再発防止も属
• 売上高成長率14.8％
人的で、人手不足も相まって負担が増していた。
• 売上高増加額190億円（2031年売上高：453億円）
会社全体の賃上げ目標 こうした状況に対し、従来型の改善では抜本的な解決に至らないこ
とを実感した。設備・体制・人材の在り方を含めて抜本的に見直し、
• 3.87%（直近事業年度～基準年度）
将来に向けた方向性を全社で共有する必要があるとの判断から、長
• 9.65%（基準年度～事業化報告3年目）
期ビジョンの策定に至った。</t>
  </si>
  <si>
    <t>【p.2】
名古屋東部陸運株式会社
.補助事業の概要
2
調達物流の効率化と多様な出荷形態への対応に向けて、D・E・Fの3棟を新設。共通システムによる作業標準
化と柔軟な人員配置で、持続的な賃上げと物流改革の基盤を構築する。
補助事業の トヨタ自動車が推進する調達物流を巡る構造変化を成長機会と捉え、中継・仕分・出荷機能を 事業費 65億円
背景・目的 統合する物流体制を構築。次世代の調達物流の要となる新倉庫を建設する。 （補助額） （21億円）
• 本補助事業では、調達物流の効率化と多様な出荷形態に対応する新倉庫3棟を建設する。
• D棟はトヨタ向けの調達物流に特化した中継拠点として、E・F棟は多荷主対応の営業倉庫として活用する。
• それぞれに情報処理・保管・仕分・出荷の機能を備え、運用にはトヨタ独自開発システムを導入して作業進捗を可視化する。
共通のシステム運用により作業手順を統一し、多能工化を進めることで人材配置の柔軟性が向上する。
• 既存拠点に隣接して整備することで、乗務員の待機時間や車両回送の無駄を削減し運行効率が向上する。これにより省人
化と生産性向上を同時に実現し、持続的な賃上げと調達物流改革の実行基盤を確立する。
設備投資の
内容
【D棟】大手自動車メーカー向け 【E棟】多荷主対応の営業倉庫 【F棟】多荷主対応の営業倉庫
2028年度 2031年度
項目
（基準年度） （基準年度＋３年後）
労働生産性 1605
（単位：万円/人）
884
（年平均上昇率＋22.0％）
目標値 従業員
（
1
単
人
位
あ
：
た
万
り給
円
与
/人
支
）
給総額 569
（年平均上
6
昇
9
率
6
＋6.9％）
役員１人あたり給与支給総額
2,789
3,276
（単位：万円/人） （年平均上昇率＋5.5％）
補助事業に係る従業員数
390 424
（単位：人）</t>
  </si>
  <si>
    <t>株式会社英楽
1.長期成長ビジョン
構造的な不透明さが増す食品業界において、顧客・消費者ニーズに応える成長分野への戦略投資を進めること
で、日本の「食」の発展と地域経済の活性化に貢献し、従業員とともに持続可能な経営の実現を目指す。</t>
  </si>
  <si>
    <t>長期成長ビジョン（目指す姿・ビジネスモデル）
【経営理念】
「故郷が支える日本の食」
・世界の「食」を支える
・人々の「心」を動かす
・社員の「笑」顔を守る
①人々を飢えさせない ②美味しさを追求する
③食と健康を繋げる ④働く人の楽しさを創る ⑤常に挑戦する
【５年後の目指す姿】
「食肉カット事業への戦略的投資により冷凍食肉加工分野での
地域ナンバーワン企業を目指す」
多様化する顧客・消費者ニーズへ対応するとともに、深刻な人手不
足に直面する取引先や地元企業の課題解決に貢献し、当該分野で
の地域トップ企業を目指す。従業員の待遇や働きがいの向上に取り
組み、持続可能な企業づくりを実現する。</t>
  </si>
  <si>
    <t>外発的動機
「国際社会の不安定化と日本全体の人手不足」
・国際情勢の変化や為替変動を原因とした、飼料や資材
高騰による経営の不安定化
・自社の事業である養鶏および食肉加工業界、顧客である
飲食業や小売業の担い手不足
・他産業との労働力確保競争の激化
・若者を中心とした人口流出による地域産業衰退の懸念</t>
  </si>
  <si>
    <t>内発的動機
「多様化する顧客ニーズへの対応と加工効率向上」
・飲食店の人手不足や核家族化によるIQFニーズを認識
・カット職人の高齢化による顧客ニーズの取りこぼし
・手切りでのカットに挑戦した際の、歩留まりの低さや品質
の低下を実感
・コロナ禍の受注低迷を経験したことによる従業員の雇用
維持および待遇、さらなるエンゲージメント向上への想い</t>
  </si>
  <si>
    <t>会社全体の売上成長目標
（2024年4月期～2030年4月期）
• 売上高成長率 +433.8％
• 売上高増加額 31.9億円
会社全体の賃上げ目標
• 9.72%（直近事業年度～基準年度）
• 6.93%（基準年度～事業化報告3年目）</t>
  </si>
  <si>
    <t>【p.1／売上成長目標】
会社全体の売上成長目標
（2024年4月期～2030年4月期）
• 売上高成長率 +433.8％
• 売上高増加額 31.9億円
会社全体の賃上げ目標
• 9.72%（直近事業年度～基準年度）
• 6.93%（基準年度～事業化報告3年目）
【p.2／包丁を使わない食肉カット専用の1.5次加工工場の建設】
包丁を使わない食肉カット専用の1.5次加工工場の建設
【p.2／ウォーターカッターマシン、スパイラル凍結機、フルスケール】
ウォーターカッターマシン、スパイラル凍結機、フルスケール
計量器、テンパリングミンチ機、トンネルフリーザー、製簡機、
その他生産に必要な機械装置</t>
  </si>
  <si>
    <t>【p.1】
株式会社英楽
1.長期成長ビジョン
構造的な不透明さが増す食品業界において、顧客・消費者ニーズに応える成長分野への戦略投資を進めること
で、日本の「食」の発展と地域経済の活性化に貢献し、従業員とともに持続可能な経営の実現を目指す。
長期成長ビジョン（目指す姿・ビジネスモデル）
外発的動機
【経営理念】
「国際社会の不安定化と日本全体の人手不足」
「故郷が支える日本の食」
・世界の「食」を支える
・国際情勢の変化や為替変動を原因とした、飼料や資材
・人々の「心」を動かす
高騰による経営の不安定化
・社員の「笑」顔を守る
・自社の事業である養鶏および食肉加工業界、顧客である
①人々を飢えさせない ②美味しさを追求する
③食と健康を繋げる ④働く人の楽しさを創る ⑤常に挑戦する 飲食業や小売業の担い手不足
・他産業との労働力確保競争の激化
【５年後の目指す姿】 ・若者を中心とした人口流出による地域産業衰退の懸念
「食肉カット事業への戦略的投資により冷凍食肉加工分野での
地域ナンバーワン企業を目指す」
多様化する顧客・消費者ニーズへ対応するとともに、深刻な人手不 内発的動機
足に直面する取引先や地元企業の課題解決に貢献し、当該分野で
「多様化する顧客ニーズへの対応と加工効率向上」
の地域トップ企業を目指す。従業員の待遇や働きがいの向上に取り
組み、持続可能な企業づくりを実現する。
・飲食店の人手不足や核家族化によるIQFニーズを認識
会社全体の売上成長目標 ・カット職人の高齢化による顧客ニーズの取りこぼし
（2024年4月期～2030年4月期） ・手切りでのカットに挑戦した際の、歩留まりの低さや品質
• 売上高成長率 +433.8％ の低下を実感
• 売上高増加額 31.9億円
・コロナ禍の受注低迷を経験したことによる従業員の雇用
会社全体の賃上げ目標
維持および待遇、さらなるエンゲージメント向上への想い
• 9.72%（直近事業年度～基準年度）
• 6.93%（基準年度～事業化報告3年目）</t>
  </si>
  <si>
    <t>【p.2】
株式会社英楽
.補助事業の概要
2
包丁を使わない食肉カット専用工場を自社敷地に新設、AI搭載のウォーターカッターマシンをはじめとした先進
設備を導入。IQF（バラ凍結）製品の強化とともに、生産効率や歩留まり、衛生面の課題解決を図る。
多様化する消費者ニーズや飲食事業者の人手不足に対応するため、解凍時間の短縮や食品ロス
補助事業の 事業費 19億円
削減に貢献するIQF製品の強化を進めている。一方で、現状の手作業によるカットは、作業員不
背景・目的 （補助額） （6.3億円）
足や生産効率の低さ、歩留まりの悪さの問題が発生、機械導入でこれらの解決を図る。
新工場建設予定地
項目 概要 金額
工場の新設 包丁を使わない食肉カット専用の1.5次加工工場の建設 9.0億円
ウォーターカッターマシン、スパイラル凍結機、フルスケール
機械装置
計量器、テンパリングミンチ機、トンネルフリーザー、製簡機、 10.0億円
の導入
設備投資の その他生産に必要な機械装置
内容 ウォーターカッターマシン
・倉庫として活用している自社敷地内にカット専用工場を新設。
・ウォーターカッターマシンは水の高圧噴射とAI制御により、設定重量での自動カットが可能。
1台で15人分の作業を代替し、作業員不足の解消と労働生産性向上に大きく寄与する。
・カット精度の向上により歩留まりが改善され、生産性の向上も期待できる。
・今回の機械装置導入で、カット前の凍結から計量、再凍結、包装まで一貫生産体制が構築される。
・工場内では刃物を使わず、人が肉に手を触れないため安全面・衛生面も大幅に向上する。
・IQF製品をメインに、一部BQF（ブロック凍結）への対応要望もあり双方に対応可能な体制を整える。
2026年度 2029年度
項目
（基準年度） （基準年度＋３年後）
労働生産性
-191 1,529
（単位：万円/人）
目標値 従業員1人あたり給与支給総額 324
265
（単位：万円/人） （年平均上昇率＋6.9％）
役員１人あたり給与支給総額
-
（単位：万円/人） - （年平均上昇率＋10.6％）
補助事業に係る従業員数
35 59
（単位：人）</t>
  </si>
  <si>
    <t>藤本化学製品株式会社
1.長期成長ビジョン
世界的な高齢化が進む中、当社の培ってきた高い技術力と新設工場の生産力で医薬品需要に応えるとともに、
連続生産方式を組み合わせたより高効率な生産体制を構築し、長期的な成長を図る。</t>
  </si>
  <si>
    <t>長期成長ビジョン（目指す姿・ビジネスモデル）
1. 経営基盤の強化と事業の拡大
新工場の建設・稼働により売上・利益の更なる拡大を図り、より
強固な経営基盤を構築し、事業の持続的な拡大を目指す。
海外市場への進出や製品ラインの拡充により、事業の規模と影
響力を拡大する。
2. コア技術の活用と持続可能な成長
連続生産方式導入に伴う連続合成技術を核に、省エネルギー
化と廃棄物削減を実現する。高品質な医薬品原薬・中間体を
提供しつつ、環境規制やSDGsに対応。省エネルギー技術と環境
負荷低減の取り組みを強化することで、社会と経済の両面で価
値を創出し、持続可能な成長を追求する。
3. 技術革新と人材基盤の強化
連続生産方式の導入により、生産プロセスの自動化と効率化を
推進。雇用の難しさに対応し、労働負荷を軽減しつつ、若手人
材の育成や働きやすい職場環境を整備する。
4. 地域社会への貢献
地域社会への積極的な貢献を通じて、企業の社会的責任を果
たす。地域の雇用創出や地元の環境保全活動、地域イベントへ
の支援など、地域との共生を図る。</t>
  </si>
  <si>
    <t>外発的動機
• 高齢化社会とヘルスケア需要の増大
世界的な高齢化に伴い、医薬品原薬への需要が急増。顧客から高品質
かつ迅速な供給が求められており、連続合成による効率的な生産が競争
力の鍵となっている。
• 環境規制の強化と持続可能性への要求
グローバルな環境規制やSDGsへの対応が求められる中、連続生産方式を
活用した環境負荷低減型の生産プロセスが必須となっている。
• 技術革新とデジタル化の促進
化学産業におけるDXやAI活用が進む中、連続生産方式はプロセス制御
の自動化や効率化を可能にし、技術革新の基盤として注目されている。
• 雇用の難しさと人材確保の課題
少子高齢化や若年層の製造業離れが進む中、熟練技術者や若手人材
の確保が難しくなっている。連続生産方式の導入により、生産プロセスの自
動化を進め、労働集約的な作業を軽減することで、人材不足に対応しつつ
生産性を向上させることが求められる。</t>
  </si>
  <si>
    <t>内発的動機
• 患者様の命と健康への貢献
当社で製造した医薬品原薬が最終医薬品として市場にリリースされ、難病
の患者様を含め多くの患者様の力になっている。私たちの仕事が直接患者
様の命と健康に貢献していることを実感し、私たちの使命に対する誇りと責
任感を強くする原動力となっている。
• 青年期における地域社会との関わり（代表取締役社長の原体験）
青年期に地域の清掃活動やコミュニティイベントの運営支援を行う中で、
人々の生活環境を向上させコミュニティの絆を強める重要性を感じた。この
経験が現在の仕事において、環境に配慮した医薬品生産を目指し、社会
的・経済的価値を創出する動機づけとなっている。</t>
  </si>
  <si>
    <t>会社全体の売上成長目標（～2035年）
• 当社は2035年度に売上高500億円を目指す。
• これに向けて、2035年度では直近決算期比で売上高増加
率+169％、売上高増加額314億円を達成する。
会社全体の賃上げ目標
• 0.63% （直近事業年度～基準年度）
• 7.2%（基準年度～事業化報告3年目。都道府県別。）</t>
  </si>
  <si>
    <t>【p.1／売上成長目標】
会社全体の売上成長目標（～2035年）
• 当社は2035年度に売上高500億円を目指す。
• これに向けて、2035年度では直近決算期比で売上高増加
率+169％、売上高増加額314億円を達成する。
会社全体の賃上げ目標
• 0.63% （直近事業年度～基準年度）
• 7.2%（基準年度～事業化報告3年目。都道府県別。）
【p.2／設備投資の内容】
• 【設備投資の内容】
岡山県倉敷市に既存主力工場の泉北工場のほぼ3倍の
（47,872.01㎡）の工場用地を取得済みである。この
の新倉敷駅、山陽自動車道のインターチェンジに近いこと
ハーバーアイランド内の水島港を活用し海外からの原材料
である等、交通・物流アクセスに優れている。ここに新工場
ともに、既存工場では導入していない新しい連続生産方式
• 【労働生産性の向上】
新工場稼働により、成長のボトルネックになっていた生産キ
問題を解決するとともに、既存工場では導入していなかっ
能な連続生産方式も導入し、労働生産を向上させる。
• 【BCP対策】
当社の既存工場はいずれも関西圏にあり、東南海地震な
クが想定されるため、活断層の少ない岡山県に新工場を
【p.2／2030年度】
2030年度
（基準年度＋３年後）</t>
  </si>
  <si>
    <t>【p.1】
藤本化学製品株式会社
1.長期成長ビジョン
世界的な高齢化が進む中、当社の培ってきた高い技術力と新設工場の生産力で医薬品需要に応えるとともに、
連続生産方式を組み合わせたより高効率な生産体制を構築し、長期的な成長を図る。
長期成長ビジョン（目指す姿・ビジネスモデル） 外発的動機
• 高齢化社会とヘルスケア需要の増大
1. 経営基盤の強化と事業の拡大
世界的な高齢化に伴い、医薬品原薬への需要が急増。顧客から高品質
新工場の建設・稼働により売上・利益の更なる拡大を図り、より
かつ迅速な供給が求められており、連続合成による効率的な生産が競争
強固な経営基盤を構築し、事業の持続的な拡大を目指す。
力の鍵となっている。
海外市場への進出や製品ラインの拡充により、事業の規模と影
• 環境規制の強化と持続可能性への要求
響力を拡大する。
グローバルな環境規制やSDGsへの対応が求められる中、連続生産方式を
2. コア技術の活用と持続可能な成長
活用した環境負荷低減型の生産プロセスが必須となっている。
連続生産方式導入に伴う連続合成技術を核に、省エネルギー
• 技術革新とデジタル化の促進
化と廃棄物削減を実現する。高品質な医薬品原薬・中間体を
化学産業におけるDXやAI活用が進む中、連続生産方式はプロセス制御
提供しつつ、環境規制やSDGsに対応。省エネルギー技術と環境
の自動化や効率化を可能にし、技術革新の基盤として注目されている。
負荷低減の取り組みを強化することで、社会と経済の両面で価
• 雇用の難しさと人材確保の課題
値を創出し、持続可能な成長を追求する。
少子高齢化や若年層の製造業離れが進む中、熟練技術者や若手人材
3. 技術革新と人材基盤の強化
の確保が難しくなっている。連続生産方式の導入により、生産プロセスの自
連続生産方式の導入により、生産プロセスの自動化と効率化を
動化を進め、労働集約的な作業を軽減することで、人材不足に対応しつつ
推進。雇用の難しさに対応し、労働負荷を軽減しつつ、若手人
生産性を向上させることが求められる。
材の育成や働きやすい職場環境を整備する。
4. 地域社会への貢献
内発的動機
地域社会への積極的な貢献を通じて、企業の社会的責任を果
• 患者様の命と健康への貢献
たす。地域の雇用創出や地元の環境保全活動、地域イベントへ
当社で製造した医薬品原薬が最終医薬品として市場にリリースされ、難病
の支援など、地域との共生を図る。
の患者様を含め多くの患者様の力になっている。私たちの仕事が直接患者
会社全体の売上成長目標（～2035年） 様の命と健康に貢献していることを実感し、私たちの使命に対する誇りと責
• 当社は2035年度に売上高500億円を目指す。 任感を強くする原動力となっている。
• これに向けて、2035年度では直近決算期比で売上高増加 • 青年期における地域社会との関わり（代表取締役社長の原体験）
率+169％、売上高増加額314億円を達成する。 青年期に地域の清掃活動やコミュニティイベントの運営支援を行う中で、
会社全体の賃上げ目標 人々の生活環境を向上させコミュニティの絆を強める重要性を感じた。この
• 0.63% （直近事業年度～基準年度） 経験が現在の仕事において、環境に配慮した医薬品生産を目指し、社会
• 7.2%（基準年度～事業化報告3年目。都道府県別。） 的・経済的価値を創出する動機づけとなっている。</t>
  </si>
  <si>
    <t>【p.2】
藤本化学製品株式会社
2.補助事業の概要
連続生産方式の設備を備える新工場を建設・稼働させることで、当社の課題となっていた生産キャパシティの問
題を解決するとともに労働生産性の向上を図る。
補助事業の • 既存工場の生産キャパシティが限界に近い水準に達しており、これ以上の成長のためには新工 事業費 142億円
背景・目的 場の建設・稼働が必須となっており、この課題を解決するために新工場建設を行う。 （補助額） （46億円）
• 【設備投資の内容】
岡山県倉敷市に既存主力工場の泉北工場のほぼ3倍の面積
（47,872.01㎡）の工場用地を取得済みである。この土地は新幹線
の新倉敷駅、山陽自動車道のインターチェンジに近いことに加え、玉島
ハーバーアイランド内の水島港を活用し海外からの原材料輸入も可能
である等、交通・物流アクセスに優れている。ここに新工場を建設すると
ともに、既存工場では導入していない新しい連続生産方式を導入する。
設備投資の
• 【労働生産性の向上】
内容
新工場稼働により、成長のボトルネックになっていた生産キャパシティの
問題を解決するとともに、既存工場では導入していなかった省人化が可
能な連続生産方式も導入し、労働生産を向上させる。
• 【BCP対策】
当社の既存工場はいずれも関西圏にあり、東南海地震などの災害リス
クが想定されるため、活断層の少ない岡山県に新工場を建設することで
災害リスクに備える。
2027年度 2030年度
項目
（基準年度） （基準年度＋３年後）
労働生産性 3,475万円/人
1,371万円/人
（単位：万円/人） （年平均上昇率＋36.3％）
岡山 大阪 兵庫 東京 岡山 大阪 兵庫 東京
目標値
872万円/人
従業員1人あたり給与支給総額 708万円/ 708万円/ 631万円/ 816万円/ 872万円/人 777万円/人 1,006万円/人
（年平均上昇率＋
（単位：万円/人） 人 人 人 人 （＋7.2％） （＋7.2％） （＋7.2％）
7.2％）
役員１人あたり給与支給総額 - - - -
- - - -
（単位：万円/人） （年平均上昇率ー％） （+7.2％） （+7.2％） （+7.2％）
補助事業に係る従業員数
20人 158人 104人 5人 42人 167人 90人 5人
（単位：人）
【p.3】
藤本化学製品株式会社
2.補助事業の概要
連続生産方式の設備を備える新工場を建設・稼働させることで、当社の課題となっていた生産キャパシティの問
題を解決するとともに労働生産性の向上を図る。
• 【導入予定の生産ラインについて】 【A系列（連続生産）】
設備投資として、大きく3系列の投資を予定している。 フロー合成装置（写真）
フロー合成装置（イメージ図）
A系列（連続生産方式）
連続生産方式を備えた製造ライン。晶析釜、遠心分離機、
乾燥機はクリーンルーム内に設置されており原薬製造が可能
となっている。
設備概要：タンク類 9基（200L～500L）、調製釜 4
基（500～1500L）、濃縮・晶析釜 3基（2000L～
3000L）、 加圧ろ過機 1基、遠心分離機 1基,、棚式乾
燥機 1基等で構成される。
B/C系列（大量生産ライン）
大規模反応釜を備えた大量生産ライン。晶析釜、遠心分 【B/C系列（大量生産）】
設備投資の 離機、乾燥機はクリーンルーム内に設置されており原薬製造 大規模反応釜 コニカル乾燥機
が可能となっている。
内容
設備概要：反応釜 各ライン 2基（5000L～8000L）、
濃縮・晶析釜 各ライン 2基（8000L～12000L）、遠心
分離機 各ライン 1基, コニカル乾燥機 各ライン 1基等で構
成される。
• 【労働生産性の向上への寄与】
A系列（連続生産方式）ではフロー合成反応は自動化されており連続で実施可能となっている。これにより従来のバッ
チ生産に比して省人化・省力化が可能となり、労働生産性の向上に寄与する。
• B/C系列（大量生産ライン）では大容量の反応窯等を備えることで既存工場設備に比して20%程度生産効率が
向上する見込みである。</t>
  </si>
  <si>
    <t>中央製乳株式会社
1.長期成長ビジョン
補助事業である新工場建設を通じて、持続的な成長を実現するとともに地域密着型のビジネスモデルにより他
社と差別化を図る。</t>
  </si>
  <si>
    <t>長期成長ビジョン（目指す姿・ビジネスモデル）
【目指す姿】
• 創業の精神である｢一円融合｣を大切に守り、地元の酪農家とお
客さまへの感謝の気持ちを忘れず、 ｢地産地消｣をモットーに安全
安心な製品を提供して、社会の安全、健康及び顧客満足を最優
先に活動する。
【ビジネスモデル】
• 補助事業である新工場建設を通じて、持続的な成長を実現する
とともに地域密着型のビジネスモデルにより他社との差別化を図る。
➢ 現状の生産設備及び敷地では生産能力・効率に限界がある
ため、設備投資により生産性向上と省人化を図る。また、新型
設備の導入で新型容器（チルドカップ）の製造が可能となる。
➢ 生産能力拡大と新型設備導入により、利益率が高い新規事
業領域（コンビニ向け乳飲料の販売）へ進出が可能であり、
他の乳業メーカーとの差別化を図る
➢ 従業員やその家族への還元（賃上げ、育成制度の充実、働
き方改革の推進）を積極的に実施する
※一円融合：二宮尊徳翁によって提唱された言葉であり、当社だけでなく、関係者の皆様
と心を一つにして物事に当たることにより、共に繁栄していくという思想</t>
  </si>
  <si>
    <t>外発的動機
• 飼養戸数や飼養頭数の減少を背景として、2000年以降は生乳生
産量が年々減少している状況（東海エリア：約20年で4割減）
• 飼料価格やエネルギーコストの高騰による生乳価格の上昇
• また、少子化高齢化により主要販売先である学校給食の需要が減
少傾向（年2％の需要減少）にある
• 物流の2024年問題（ドライバー不足・物流費高騰）の影響により、
製乳の鮮度やコスト面で対応すべき課題がある
• 2050年までのカーボンニュートラル実現に向けて、乳牛の腸内発酵に
よるメタン排出が温室効果ガス削減の課題となっている</t>
  </si>
  <si>
    <t>内発的動機
• 創業の精神である｢一円融合｣を大切に守り、地元の酪農家とお客さ
まへの感謝の気持ちを忘れず、社員やその家族も含めた皆様が幸せ
であることを第一に考えている
• 現状の生産設備及び敷地では生産能力に限界があり、生産設備の
老朽化により生産効率にも課題がある。そのため、今後の成長に向け
ては生産体制の刷新が必要不可⽋である。
• 愛知県を中心とした東海エリアでのブランドとしての認知と信頼があるが、
全国での知名度に弱みがあり、マーケティングを通じた商品開発にも弱
みがあるため、今後の成長に向けては全国での知名度確立とマーケ
ティングに強い業者との協業が必要である。</t>
  </si>
  <si>
    <t>会社全体の売上成長目標（～2030年）
• 売上高成長率：57％
• 売上高増加額：54億円
会社全体の賃上げ目標
• 4.0%（直近事業年度～基準年度）
• 6.3%（基準年度～事業化報告3年目）</t>
  </si>
  <si>
    <t>【p.1／売上成長目標】
会社全体の売上成長目標（～2030年）
• 売上高成長率：57％
• 売上高増加額：54億円
会社全体の賃上げ目標
• 4.0%（直近事業年度～基準年度）
• 6.3%（基準年度～事業化報告3年目）</t>
  </si>
  <si>
    <t>【p.1】
中央製乳株式会社
1.長期成長ビジョン
補助事業である新工場建設を通じて、持続的な成長を実現するとともに地域密着型のビジネスモデルにより他
社と差別化を図る。
長期成長ビジョン（目指す姿・ビジネスモデル）
外発的動機
【目指す姿】
• 飼養戸数や飼養頭数の減少を背景として、2000年以降は生乳生
• 創業の精神である｢一円融合｣を大切に守り、地元の酪農家とお
産量が年々減少している状況（東海エリア：約20年で4割減）
客さまへの感謝の気持ちを忘れず、 ｢地産地消｣をモットーに安全
安心な製品を提供して、社会の安全、健康及び顧客満足を最優 • 飼料価格やエネルギーコストの高騰による生乳価格の上昇
先に活動する。 • また、少子化高齢化により主要販売先である学校給食の需要が減
少傾向（年2％の需要減少）にある
【ビジネスモデル】
• 補助事業である新工場建設を通じて、持続的な成長を実現する • 物流の2024年問題（ドライバー不足・物流費高騰）の影響により、
製乳の鮮度やコスト面で対応すべき課題がある
とともに地域密着型のビジネスモデルにより他社との差別化を図る。
➢ 現状の生産設備及び敷地では生産能力・効率に限界がある • 2050年までのカーボンニュートラル実現に向けて、乳牛の腸内発酵に
よるメタン排出が温室効果ガス削減の課題となっている
ため、設備投資により生産性向上と省人化を図る。また、新型
設備の導入で新型容器（チルドカップ）の製造が可能となる。
➢ 生産能力拡大と新型設備導入により、利益率が高い新規事 内発的動機
業領域（コンビニ向け乳飲料の販売）へ進出が可能であり、
他の乳業メーカーとの差別化を図る • 創業の精神である｢一円融合｣を大切に守り、地元の酪農家とお客さ
まへの感謝の気持ちを忘れず、社員やその家族も含めた皆様が幸せ
➢ 従業員やその家族への還元（賃上げ、育成制度の充実、働
であることを第一に考えている
き方改革の推進）を積極的に実施する
• 現状の生産設備及び敷地では生産能力に限界があり、生産設備の
会社全体の売上成長目標（～2030年） 老朽化により生産効率にも課題がある。そのため、今後の成長に向け
ては生産体制の刷新が必要不可⽋である。
• 売上高成長率：57％
• 売上高増加額：54億円 • 愛知県を中心とした東海エリアでのブランドとしての認知と信頼があるが、
全国での知名度に弱みがあり、マーケティングを通じた商品開発にも弱
会社全体の賃上げ目標
みがあるため、今後の成長に向けては全国での知名度確立とマーケ
• 4.0%（直近事業年度～基準年度）
ティングに強い業者との協業が必要である。
• 6.3%（基準年度～事業化報告3年目）
※一円融合：二宮尊徳翁によって提唱された言葉であり、当社だけでなく、関係者の皆様
と心を一つにして物事に当たることにより、共に繁栄していくという思想</t>
  </si>
  <si>
    <t>【p.2】
中央製乳株式会社
.補助事業の概要
2
補助事業では、既存本社工場の近接地に新工場を建設して、各種製造設備（乳飲料の製造設備・充填
機）を導入することで生産性向上と省人化を図る。
補助事業の • 新工場建設により、乳製品の生産量の拡大を図る 事業費 億円
66
背景・目的 • 新たに包装容器を製造できる充填機（チルドカップ・紙パック）を新工場に導入する （補助額） （ 億円）
15
新工場建設（生産能力拡大）とペットボトル包装容器の充填機を導入 既存工場 新工場
【具体的な投資内容】
① 既存本社工場の近接地に新工場を建設
② 新工場に乳製品の製造設備を導入する
③ 新工場に包装容器（チルドカップ・紙パック）を製造できる充填機を導入する
設備投資の
【補助事業により見込まれる効果】
内容
• 新規事業としてコンビニ向け乳製品の販売を開始（年/3,500万本生産）
• 生産最適化による労働生産性の向上（充填作業が30％削減可能）
• その他生産効率化及びコスト削減（充填機の導入によりパレット積み付けの自
動化が可能である（従前5人で行う作業を1人以下に削減可能））
新工場建屋イメージ
2027年度 2030年度
項目
（基準年度） （基準年度＋３年後）
労働生産性
789
1,512
（単位：万円/人） （年平均上昇率＋24.2％）
目標値 従業員
（
1
単
人
位
あ
：
た
万
り給
円
与
/人
支
）
給総額 548
（年平均上
6
昇
5
率
9
＋6.3％）
役員１人あたり給与支給総額
-
（単位：万円/人） - （年平均上昇率＋6.3％）
補助事業に係る従業員数 139
124
（単位：人） （＋15名増加）</t>
  </si>
  <si>
    <t>近江鍛工株式会社
1.長期成長ビジョン
主要事業分野における鍛造＋切削加工品需要の高まりに応えるため、補助事業を通じ
切削加工能力と生産性を向上させ、事業ポートフォリオの盤石化により売上高300億円を達成する</t>
  </si>
  <si>
    <t>長期成長ビジョン（目指す姿・ビジネスモデル）
【ビジョン】
◼ 「働きがいのある100年企業」を目指し、基本方針として以下の
4つを掲げ、時流に即した挑戦を続けることで鍛造業界のリーディ
ングカンパニーであり続ける
1.KEEP SPEEDY 「スピード感を持って」
2.KEEP SAFETY 「安全に、そして正確に」
3.KEEP CHALLENGE 「チャレンジ精神を忘れず」
4.KEEP CLEAN 「環境への拘り」
【ビジネスモデル】
◼ 成長領域の事業基盤を強化し、ローリング鍛造品のサプライヤーと
して持続可能な事業ポートフォリオの構築を目指す
主要事業であるベアリング部門・建設機械部門・エネルギー
⚫
部門の成長セグメント向け製品および、成長産業であるオイル
&amp;ガス部門全体の鍛造＋切削加工品生産能力を強化
今後の需要が特に確度高く見込める建築資材については新規
⚫
事業として独立させ、将来の主要収益製品を創出する</t>
  </si>
  <si>
    <t>外発的動機
◼ 高精度鍛造＋切削加工品の短納期需要激増
当社主要分野である建設機械、エネルギー、直近の引き合いが
⚫
強い石油掘削領域などから、高精度鍛造に加えて切削加工ま
で施した製品の短納期要望が激化
短納期での切削加工品納品に向け、製造リードタイムの短縮及
⚫
び加工キャパシティの拡充が必要
◼ 海外鍛造メーカーのシェア拡大
安価な鍛造品を大量供給する海外企業との競争が激化
⚫
ローリング鍛造業のパイオニアとして当社が培った高精度鍛造技
⚫
術に加え、切削加工済み製品の強化により差異化を図る想定</t>
  </si>
  <si>
    <t>内発的動機
◼ 切削加工工程のキャパシティ拡充
需要に見合った供給能力を確保するため、外注先と提携しつつ、
⚫
切削加工の内製化能力を向上させる必要あり
昨年度に総計25億円を投じ、信楽工場の鍛造工程生産能力
⚫
を大幅に増強しており、出荷能力は当社の切削加工能力に比
例する状態
◼ 本社工場の生産性向上
切削工程が複数箇所に分散している本社工場を新築し、加工
⚫
機能を集約することで工程間リードタイムを大幅に削減する想定
製造キャパシティの拡充に伴い、製品を劣化させずに保管可能
⚫
な製品置場の拡充も必要
従業員から自動積込ロボット導入の要望も高まっており、省力
⚫
化の観点も踏まえた生産性の向上が必要と判断</t>
  </si>
  <si>
    <t>会社全体の売上成長目標（2024→30年）
• 全社売上高 156億円→300億円
• 全社売上高成長率 11.5％/年
• 売上高増加額 ＋144億円
会社全体の賃上げ目標
• 4.9%/年（直近事業年度～基準年度）
• 従業員：5.4%/年、役員：5.0%/年（基準年度～事業
化報告3年目）</t>
  </si>
  <si>
    <t>【p.1／企業紹介・会社紹介】
0.企業紹介
当社は「陸・海・空」の幅広い分野に製品を提供する鍛造
高い技術力と自社一貫生産により高品質を実現しており、
近江鍛工とは
◼ 滋賀県に本社工場を置く、鉄鋼及び非鉄金属を用いた鍛造業のリーディ
◼ 自動車・新幹線・建設機械・石油掘削・船舶・航空機などの分野が顧客
◼ 2017年に「地域未来牽引企業」に認定、21年に「令和3年度ふるさと
【p.2／企業紹介・会社紹介】
0.企業紹介
当社は製造設備の内製化により、日本で初めてローリング
以降も60年近くにわたり大規模投資を繰り返し、時流に即
近江鍛工の沿革
リングミルを内製し
【p.3／企業紹介・会社紹介】
0.企業紹介
ローリング鍛造とは回転するロールを用いて加熱した金属材
する加工方法。本補助事業では鍛造加工後の機械加工
現時点で十分な生産キャパシティがある工程
切断 加熱・鍛造
【p.4／売上成長目標】
会社全体の売上成長目標（2024→30年）
• 全社売上高 156億円→300億円
• 全社売上高成長率 11.5％/年
• 売上高増加額 ＋144億円
会社全体の賃上げ目標
• 4.9%/年（直近事業年度～基準年度）
• 従業員：5.4%/年、役員：5.0%/年（基準年度～事業
化報告3年目）</t>
  </si>
  <si>
    <t>【p.4】
近江鍛工株式会社
1.長期成長ビジョン
主要事業分野における鍛造＋切削加工品需要の高まりに応えるため、補助事業を通じ
切削加工能力と生産性を向上させ、事業ポートフォリオの盤石化により売上高300億円を達成する
長期成長ビジョン（目指す姿・ビジネスモデル） 外発的動機
【ビジョン】 ◼ 高精度鍛造＋切削加工品の短納期需要激増
当社主要分野である建設機械、エネルギー、直近の引き合いが
◼ 「働きがいのある100年企業」を目指し、基本方針として以下の ⚫
強い石油掘削領域などから、高精度鍛造に加えて切削加工ま
4つを掲げ、時流に即した挑戦を続けることで鍛造業界のリーディ
で施した製品の短納期要望が激化
ングカンパニーであり続ける
短納期での切削加工品納品に向け、製造リードタイムの短縮及
1.KEEP SPEEDY 「スピード感を持って」 ⚫
び加工キャパシティの拡充が必要
2.KEEP SAFETY 「安全に、そして正確に」
3.KEEP CHALLENGE 「チャレンジ精神を忘れず」 ◼ 海外鍛造メーカーのシェア拡大
安価な鍛造品を大量供給する海外企業との競争が激化
4.KEEP CLEAN 「環境への拘り」 ⚫
ローリング鍛造業のパイオニアとして当社が培った高精度鍛造技
⚫
術に加え、切削加工済み製品の強化により差異化を図る想定
【ビジネスモデル】
◼ 成長領域の事業基盤を強化し、ローリング鍛造品のサプライヤーと
内発的動機
して持続可能な事業ポートフォリオの構築を目指す
主要事業であるベアリング部門・建設機械部門・エネルギー ◼ 切削加工工程のキャパシティ拡充
⚫
部門の成長セグメント向け製品および、成長産業であるオイル ⚫ 需要に見合った供給能力を確保するため、外注先と提携しつつ、
&amp;ガス部門全体の鍛造＋切削加工品生産能力を強化 切削加工の内製化能力を向上させる必要あり
⚫ 今後の需要が特に確度高く見込める建築資材については新規 ⚫ 昨年度に総計25億円を投じ、信楽工場の鍛造工程生産能力
事業として独立させ、将来の主要収益製品を創出する を大幅に増強しており、出荷能力は当社の切削加工能力に比
例する状態
会社全体の売上成長目標（2024→30年）
◼ 本社工場の生産性向上
• 全社売上高 156億円→300億円 切削工程が複数箇所に分散している本社工場を新築し、加工
⚫
• 全社売上高成長率 11.5％/年 機能を集約することで工程間リードタイムを大幅に削減する想定
• 売上高増加額 ＋144億円 製造キャパシティの拡充に伴い、製品を劣化させずに保管可能
⚫
会社全体の賃上げ目標 な製品置場の拡充も必要
• 4.9%/年（直近事業年度～基準年度） ⚫ 従業員から自動積込ロボット導入の要望も高まっており、省力
• 従業員：5.4%/年、役員：5.0%/年（基準年度～事業 化の観点も踏まえた生産性の向上が必要と判断
化報告3年目）</t>
  </si>
  <si>
    <t>【p.5】
近江鍛工株式会社
.補助事業の概要
2
本社工場の増改築及び国内全拠点の設備投資により、鍛造+切削加工品の生産能力を1.8倍に拡張、加え
て労働生産性を2.2倍に向上させることで、顧客ニーズに対応した高付加価値鍛造品を増産する
◼ 当社はローリング鍛造のリーディングカンパニーとして高品質な鍛造品を製造しており、安価な製
品でシェアを拡大する海外メーカーとは高付加価値化戦略により差異化を目指す想定
補助事業の ◼ レアメタル資源の掘削、天然ガス発電容量拡大、生成AI普及に伴う電力需要増などの影響で 事業費 2 4 億円
背景・目的 鍛造品の需要が伸び、当社主要事業分野においても納期が短く高品質な鍛造＋切削加工 （補助額） （ . 億円）
5 9
品の引き合い増加。鍛造＋切削加工品の大量製造を実現するための製造キャパシティ拡
充・効率化が求められている
◼ 投資内容の内訳 第一旋盤工場 第三旋盤工場 ステッキ工場
本社工場
⚫
- 工場・倉庫新築工事 8.8億円
- 旋盤・切断機械等投資 6.4億円
信楽・長崎工場
⚫
- 旋盤・切断機械等投資 9.8億円
設備投資の ◼ 投資内容詳細
内容 ⚫ 国内全拠点（本社、信楽、長崎工場）において、旋削設備の
増強により鍛造＋切削加工品の増産を実現（一日あたり加工製 新工場 導入予定設備の例
品数 2024年時点の2倍）
倉庫
本社工場に2か所の旋盤工場とステッキ工場の機能を集約した
⚫
新工場を建設し、自動積込ロボットを導入することで年間生産能
力を1.8倍に向上 ※完成イメージ
製品検査・保管場として倉庫を新築し、製品の保管能力を拡張
⚫
2027年度 2030年度
項目
（基準年度） （基準年度＋３年後）
労働生産性 2,577
1,571
（単位：万円/人） （年平均上昇率＋17.9％）
目標値 従業員1人あたり給与支給総額 915
780
（単位：万円/人） （年平均上昇率＋5.4％）
役員１人あたり給与支給総額 4,971
4,300
（単位：万円/人） （年平均上昇率＋5.0％）
補助事業に係る従業員数 273
270
（単位：人） （年平均上昇率＋0.4％）</t>
  </si>
  <si>
    <t>株式会社アヤボ
1.長期成長ビジョン
新生産拠点へDX自動化製造システム導入により切削工具の一貫生産・再生事業を極める</t>
  </si>
  <si>
    <t>当社の事業：切削工具等の（再）研削からコーティングを１つの工場内で行うことで、完全一
貫生産によるワンストップ型超高精度リコンディショニング・システムを確立し「nanowarp®」の
名称でサービスを提供
nanowarp®サービスにより
生産される切削工具や金型
長期成長ビジョン（目指す姿・ビジネスモデル）
目指す姿 ビジネスモデル
企業主導型保育施設「このみ保育園」の運営と
多角的な子育て支援と
保育カリキュラムの開発
多子化の実現
多様な働き方改革
人材投資型新製品開発推進モデル
最新コーティング装置の導入と新コーティング皮膜の開発
賃上げによる研究開発人材の確保
スマートマニュファクチャリング
DX人材育成と組織の強化
DX自動化切削工具研削ライン（生産量＋40％）
拡大する市場のシェア拡大
カスタマイズオンデマンド製造
受発注・生産計画のDX化
リサイクルとリマニュファクチャリング
持続可能性と環境対応
新品性能の再生切削工具</t>
  </si>
  <si>
    <t>外発的動機
＜機会＞
• 航空機・電気電子・重電分野での切削工具市場の拡大
低燃費・低騒音航空機最新型エンジン事業の隆盛
活発な半導体設備投資
最新型原子力発電所の新設
• コーティング装置リーディングメーカー神戸製鋼所との共同研究
• 名古屋大学とのAIを活用した材料開発共同研究
＜脅威＞
• 電気自動車の台頭により、自動車エンジン部品加工用切削工具
市場の縮小
• 新型コロナウイルス感染拡大の影響で切削工具の原材料「タング
ステン」の価格高騰</t>
  </si>
  <si>
    <t>ステン」の価格高騰
内発的動機
• 現生産拠点への設備等により切削工具市場拡大と共に売上高
増大した成功体験（平成23年度国内立地推進事業を活用）
• 現生産拠点の生産力飽和状態の解消
新生産拠点稼働による生産力増大
思い切った設備投資により自動化・省力化生産設備の導入
思い切ったDX投資による検査製造工程の高効率化・省力化
これまで蓄積してきたノウハウをAIのティーチングに活用
• 切削工具市場におけるシェア拡大
• 企業主導型保育施設の開園と従業員の子育て支援
• 賃上げによる従業員の豊かな生活と多子化
• 研究開発・DX人材の確保
企業主導型保育施設「このみ保育園」 産学官共同研究</t>
  </si>
  <si>
    <t>会社全体の売上成長目標（2025年度～2030年度）
• 売上高成長率２０％（年平均）
• 売上高増加額１６億円
会社全体の賃上げ目標
• １.７%（直近事業年度～基準年度）
• ３.３%（基準年度～事業化報告3年目）</t>
  </si>
  <si>
    <t>【p.1／売上成長目標】
会社全体の売上成長目標（2025年度～2030年度）
• 売上高成長率２０％（年平均）
• 売上高増加額１６億円
会社全体の賃上げ目標
• １.７%（直近事業年度～基準年度）
• ３.３%（基準年度～事業化報告3年目）
【p.3／役割・労働生産性向上の内容】
役割・労働生産性向上の内容
【p.3／導入・事業化までの課題とその解決策】
導入・事業化までの課題とその解決策
【p.4／役割・労働生産性向上の内容】
役割・労働生産性向上の内容</t>
  </si>
  <si>
    <t>【p.1】
株式会社アヤボ
1.長期成長ビジョン
新生産拠点へDX自動化製造システム導入により切削工具の一貫生産・再生事業を極める
当社の事業：切削工具等の（再）研削からコーティングを１つの工場内で行うことで、完全一 外発的動機
貫生産によるワンストップ型超高精度リコンディショニング・システムを確立し「nanowarp®」の ＜機会＞
名称でサービスを提供 • 航空機・電気電子・重電分野での切削工具市場の拡大
低燃費・低騒音航空機最新型エンジン事業の隆盛
活発な半導体設備投資
最新型原子力発電所の新設
• コーティング装置リーディングメーカー神戸製鋼所との共同研究
• 名古屋大学とのAIを活用した材料開発共同研究
nanowarp®サービスにより ＜脅威＞
生産される切削工具や金型 • 電気自動車の台頭により、自動車エンジン部品加工用切削工具
市場の縮小
長期成長ビジョン（目指す姿・ビジネスモデル）
• 新型コロナウイルス感染拡大の影響で切削工具の原材料「タング
目指す姿 ビジネスモデル ステン」の価格高騰
企業主導型保育施設「このみ保育園」の運営と 内発的動機
多角的な子育て支援と
保育カリキュラムの開発 • 現生産拠点への設備等により切削工具市場拡大と共に売上高
多子化の実現
多様な働き方改革 増大した成功体験（平成23年度国内立地推進事業を活用）
• 現生産拠点の生産力飽和状態の解消
人材投資型新製品開発推進モデル
新生産拠点稼働による生産力増大
最新コーティング装置の導入と新コーティング皮膜の開発
思い切った設備投資により自動化・省力化生産設備の導入
賃上げによる研究開発人材の確保
スマートマニュファクチャリング 思い切ったDX投資による検査製造工程の高効率化・省力化
DX人材育成と組織の強化
DX自動化切削工具研削ライン（生産量＋40％） これまで蓄積してきたノウハウをAIのティーチングに活用
拡大する市場のシェア拡大
• 切削工具市場におけるシェア拡大
カスタマイズオンデマンド製造
• 企業主導型保育施設の開園と従業員の子育て支援
受発注・生産計画のDX化
• 賃上げによる従業員の豊かな生活と多子化
リサイクルとリマニュファクチャリング • 研究開発・DX人材の確保
持続可能性と環境対応
新品性能の再生切削工具
会社全体の売上成長目標（2025年度～2030年度）
• 売上高成長率２０％（年平均）
• 売上高増加額１６億円
会社全体の賃上げ目標
• １.７%（直近事業年度～基準年度）
• ３.３%（基準年度～事業化報告3年目） 企業主導型保育施設「このみ保育園」 産学官共同研究</t>
  </si>
  <si>
    <t>【p.2】
株式会社アヤボ
2.補助事業の概要
新生産拠点における切削工具のDX自動化研削・コーティング事業で生産性向上と持続的賃上げを実現！
＜背景＞ 事業費 18億円
 現生産拠点では、スペース等の関係より生産力が飽和しつつあり、今後成長が見込まれる切削 （補助額） （3.4億円）
工具市場のシェアの維持・拡大が困難
 若年層人口の減少によって労働力不足が顕在化
補助事業の ＜手段＞
背景・目的  大規模投資により、新生産拠点の構築、DX自動化に対応した生産設備の導入
＜目的＞
 売上倍増・労働生産性の向上・持続的賃上げの実現
 切削工具市場でのシェア拡大１％→1.8％へ
 従業員満足度向上
新生産拠点の構築と切削工具のDX自動化研削・コーティング事業の立上
 新生産拠点の建設
 製品を自動的に生産・検査設備にセットするための搬送ロボットが自在に移動できるフロア設計
 DX化インフラ設備
補助事業の  生産設備を安定稼働させるために導入。インフラ稼働状況をDX一元管理し省力化
内容  切削工具生産のための生産管理・検査・研削・コーティング工程のDX自動化の実現
 既存事業のノウハウをAIに学習させた自動化生産管理ソフトウエアにより生産計画を立案(PI)
 研削工程は素材の投入から研削・検査まで完全無人化、土日無人操業可能
 コーティングの準備作業を自動化
 最新コーティング装置の導入による高性能コーティング皮膜の開発と上市
新生産拠点（補助事業） 現生産拠点
設備投資の
内容
【p.3】
株式会社アヤボ
2.補助事業の概要
新生産拠点における切削工具のDX自動化研削・コーティング事業で生産性向上と持続的賃上げを実現！
名称（写真） 役割・労働生産性向上の内容 導入・事業化までの課題とその解決策
新生産拠点 • 立地選定：物流コスト、従業員の通勤
• 省力化生産性向上を可能にする新生産拠点  愛知県内のユーザーに容易にアクセスでき物流コストを
• 切削工具搬送ロボが障害物に接触することなく移動できるよう 低減
に生産設備を配置  安城市内で通勤が容易、十分な駐車場の確保
• 14.９億円売上高を9人の従業員（OP）で担当  愛知県の先端技術認定業種による農地転用を申請中
• 売上高当たりの従業員数6倍に改善 • 設備導入
 先端設備に精通した博士人材の登用
DX化インフラ • 高品質切削工具を製造するための室温管理
• DX自動化生産設備を支えるインフラ
 エアコンの能力と換気頻度をシミュレーションにより算定
• 写真はコンプレッサー
• インフラ設備の安定的運用・維持管理
• その他集中クーラント、エアコンシステム、DX圧縮空気・冷却
 電気・ガス・水道・圧縮空気等の状況をセンサーを使って
水量監視システムなどを導入
２４時間３５６日監視、監視情報をDX化により一元
• DX化によるインフラ管理の省力化（OP 1人）
管理・保存
DX生産管理ソフトウエア • ソフトウエアの要件定義
設備投資の
• これまでの受注状況をAIに学習させ生産計画を自動的に行う  ちかと経営研究所の支援を受けながらてRequest for
内容
ソフト Proposal (RFP）を作成
• 生産計画策定の省力化を実現（OP 1人） • 生産設備への生産計画指示の伝達
• ネットワークにつながれた生産設備に生産計画を転送  光ファイバー回線を導入することによる高速情報通信の
実現
自動画像処理検査装置 • 自動判定プログラムの作成
• 切削工具の品質検査を自動化
 名古屋大学材質デザイン工学研究室の支援を受け
• AIによる画像判定可能
ニューラルネットワーク学習モデルを構築(PI)
• これまでの属人化していた合否判定のノウハウをAIの学習情
• 自動判定の精度と信頼性の向上
報として活用
 導入前に検査に必要な精度を確認、定期的な校正作
• 品質管理業務の省力化（OP 1人）
業、品質検査データのフィードバックループの構築
コーティング装置 • 最新コーティング装置に対応した新製品コーティング皮膜の
• 神戸製鋼所製最新コーティング装置 開発
• これまでにないコーティング皮膜を神戸製鋼所と共同開発  装置メーカー神戸製鋼所との共同開発により特許出願
（特許共同出願済み） • オペレータの操作方法の習得
• ３台のコーティング装置運転業務の省力化（OP３人）  同型機がすでに一台導入されているのでそれを使った事
業期間中のオペレータトレーニング
【p.4】
株式会社アヤボ
2.補助事業の概要
新生産拠点における切削工具のDX自動化研削・コーティング事業で生産性向上と持続的賃上げを実現！
名称（写真） 役割・労働生産性向上の内容 導入・事業化までの課題とその解決策
コーティングセットアップロボ
• １バッチセットアップするためのリードタイム（LT）
• 切削工具をコーティングするために工具をホルダーに自動マ  ２台のロボットアームの協調動作によるLT短縮
ウントできる装置 • コーティング治具の規格化
• コーティングセットアップ作業の省力化（OP0.5人）  ロボットアームが容易にハンドリングできる形状の選定
 ４種類の治具と８種類のスペーサを組合せにより対応
自動洗浄機 • 切削工具の自動搬送機構
設備投資の  コンベアとステンレス籠を組み合わせた自動搬送機構
内容 • コーティング前の切削工具を洗浄するための装置 の開発
• 自動搬送装置付き無人運転で省力化（OP0.5人） • 洗浄タクトタイム
 多槽式洗浄機を設計することにより個々の槽での洗
浄時間を短縮
DX自動化切削工具研削ライン • 土日無人操業のための生産管理
• 切削工具の研削から測定まで全自動で行うためのシステム  ６０時間連続運転可能な研削スケジュールの立案
• ４台の研削装置・１台の検査装置の土日無人操業可能 • 特殊形状工具の研削プログラムの開発
で生産力40%アップ  大分大学・鹿児島大学との共同研究による「時間遅
• 全自動により研削作業員の省力化（OP２人） れの自励振動理論」にもとづいた理論解析とシミュレー
ション手法の活用
2027年度 2030年度
項目
（基準年度） （基準年度＋３年後）
労働生産性 ６，２３２
３，１３５
（単位：万円/人） （年平均上昇率＋２５．７％）
従業員1人あたり給与支給総額 ５９３
目標値 ４４６
（単位：万円/人） （年平均上昇率＋１０．０％）
役員１人あたり給与支給総額 -
-
（単位：万円/人） （年平均上昇率＋５．０％）
補助事業に係る従業員数
５ ９
（単位：人）</t>
  </si>
  <si>
    <t>株式会社田中食品興業所
1.⻑期成⻑ビジョン
社会構造の変化に伴う業務用フィリング事業の需要増加に対応することで国内外の⾷生活の充実に貢献する
2031年7月期までに売上高18,952百万円、成⻑率+50%を実現する</t>
  </si>
  <si>
    <t>⻑期成⻑ビジョン（目指す姿・ビジネスモデル）
「感動してもらえる食品づくりによって、豊かな食生活に貢献する」
•
業務用フィリングメーカーとして、安定した業務用フィリングの生産体制によって国
内外の豊かな⾷生活に貢献するとともに、製パンメーカーだけでなく外⾷、中⾷
等「⾷」を提供する市場に対してフィリングによって新たな価値を提供する。
•
当社は、強みである製品開発⼒に磨きをかけ、⾜元のニーズを確実に充⾜する
とともに、効率的かつ大量生産ができる製造体制を構築することによって、国内
外の新たな消費者ニーズに応えることで、⻑期的な事業成⻑を実現する。
•
海外パン市場、特にアジア市場への進出に向けた社内体制の強化に取り組み、
国内製パンメーカーの海外戦略のパートナーとなることで、⽇本のみならずアジア
圏全体のパン⾷⽂化発展に貢献し、持続的な成⻑を実現する。
•
これまでフィリングを自社生産してきた外食、中食（コンビニエンスストア・スー
パーマーケット等）、スイーツ（カフェ等）等の市場に向けて販路を拡大する。
主原料と⽐較して価格優位性もあり、機能性も高い業務用フィリングを活用する
ことで、労働⼒不⾜の状況にあるこれらの業界における省⼒化・効率化を⽀援
するとともに、価格弾⼒性も付与することで私たちの生活の根幹をなす⾷⽂化の
保全を⾏う。
•
従業員の成果に正しく報いることを掲げて、高度⼈材を採用して⻑期的な事業
成⻑を実現するために賃上げ等により採用競争⼒を高める。</t>
  </si>
  <si>
    <t>外発的動機
•
労働⼈⼝の減少を背景とした労働⼒不⾜や原材料の高騰により、従来フィリング
を自社生産していた外⾷市場やコンビニエンスストア（CVS）・スーパーマーケット
（SM）等の中⾷市場、スイーツ市場において省⼈化、効率化を目的としてフィ
リングを外製化する需要が高まっており、業務用フィリング市場は拡大傾向。
•
業務用フィリング市場において最も重要な顧客であるパン市場では、共働き世帯、
単身世帯の増加、「タイムパフォーマンス（タイパ）」といった新たな価値観の広が
りを背景に⾷事に⼿軽さを求める消費者の増加により、手軽な食事の代表格で
ある菓子パン・総菜パンの売上は増加している。
•
コンビニエンスストアの台頭により、消費者ニーズは多様化・高度化しており、商品
ライフサイクルの短期化、多品種少量化、高品質化が進んでいる。
•
アジア市場において、経済成⻑に伴う中間層の増加により高い市場成⻑が⾒込
まれるとともに「日本のパン食文化」のアジア圏での支持が高まりつつあることか
ら、当社の主要顧客である製パンメーカーやCVS等が海外進出を進めており、
ベーカリーフィリングの需要も拡⼤している。</t>
  </si>
  <si>
    <t>内発的動機
•
当社は社是「食品による国⺠の体⼒増強に奉仕する」のもと、戦後の⼤阪の町
で創業し、フィリング（中具）メーカーとしてパン⾷⽂化形成の一端を担ってきた。
•
創業以来、常に安全・安心でおいしく、健康に良い商品作りを追求し、顧客ニー
ズに応じた商品開発⼒を強みに、⼤⼿製パンメーカーに訴求することで信頼関係
を蓄積してきた。
•
近年では国内パン業界全体の成⻑は以前ほどの勢いはないものの、海外市場に
おける「⽇本のパン⾷」拡⼤に加えて、従来フィリングを自社生産してきた業界にお
けるフィリング需要の拡大による成⻑機会を獲得していくために生産⼒の増強
が必要である。
•
収益率が低く過当競争状態にある⾷品製造業においては、収益性の改善による
賃上げ等により⼈員を拡⼤し、更なる売上拡⼤につなげる良いサイクルを実現す
るためにはリスクを伴う⼤規模な賃上げが必須と考えている。</t>
  </si>
  <si>
    <t>会社全体の売上成⻑目標（〜2031年7月期）
•
売上高成⻑率150.0％（2024年7月期⽐）
•
売上高増加額63億円（2024年7月期⽐）
会社全体の賃上げ目標
•
0.97%（直近事業年度〜基準年度）
•
6.15%（基準年度〜事業化報告3年目）</t>
  </si>
  <si>
    <t>【p.1／売上成長目標】
会社全体の売上成⻑目標（〜2031年7月期）
•
売上高成⻑率150.0％（2024年7月期⽐）
•
売上高増加額63億円（2024年7月期⽐）
会社全体の賃上げ目標
•
0.97%（直近事業年度〜基準年度）
•
6.15%（基準年度〜事業化報告3年目）</t>
  </si>
  <si>
    <t>【p.1】
株式会社田中食品興業所
1.⻑期成⻑ビジョン
社会構造の変化に伴う業務用フィリング事業の需要増加に対応することで国内外の⾷生活の充実に貢献する
2031年7月期までに売上高18,952百万円、成⻑率+50%を実現する
⻑期成⻑ビジョン（目指す姿・ビジネスモデル） 外発的動機
•
労働⼈⼝の減少を背景とした労働⼒不⾜や原材料の高騰により、従来フィリング
「感動してもらえる食品づくりによって、豊かな食生活に貢献する」
を自社生産していた外⾷市場やコンビニエンスストア（CVS）・スーパーマーケット
•
業務用フィリングメーカーとして、安定した業務用フィリングの生産体制によって国 （SM）等の中⾷市場、スイーツ市場において省⼈化、効率化を目的としてフィ
内外の豊かな⾷生活に貢献するとともに、製パンメーカーだけでなく外⾷、中⾷ リングを外製化する需要が高まっており、業務用フィリング市場は拡大傾向。
等「⾷」を提供する市場に対してフィリングによって新たな価値を提供する。
•
業務用フィリング市場において最も重要な顧客であるパン市場では、共働き世帯、
•
当社は、強みである製品開発⼒に磨きをかけ、⾜元のニーズを確実に充⾜する
単身世帯の増加、「タイムパフォーマンス（タイパ）」といった新たな価値観の広が
とともに、効率的かつ大量生産ができる製造体制を構築することによって、国内
りを背景に⾷事に⼿軽さを求める消費者の増加により、手軽な食事の代表格で
外の新たな消費者ニーズに応えることで、⻑期的な事業成⻑を実現する。
ある菓子パン・総菜パンの売上は増加している。
•
海外パン市場、特にアジア市場への進出に向けた社内体制の強化に取り組み、 •
コンビニエンスストアの台頭により、消費者ニーズは多様化・高度化しており、商品
国内製パンメーカーの海外戦略のパートナーとなることで、⽇本のみならずアジア
ライフサイクルの短期化、多品種少量化、高品質化が進んでいる。
圏全体のパン⾷⽂化発展に貢献し、持続的な成⻑を実現する。
•
• アジア市場において、経済成⻑に伴う中間層の増加により高い市場成⻑が⾒込
これまでフィリングを自社生産してきた外食、中食（コンビニエンスストア・スー
まれるとともに「日本のパン食文化」のアジア圏での支持が高まりつつあることか
パーマーケット等）、スイーツ（カフェ等）等の市場に向けて販路を拡大する。
ら、当社の主要顧客である製パンメーカーやCVS等が海外進出を進めており、
主原料と⽐較して価格優位性もあり、機能性も高い業務用フィリングを活用する
ベーカリーフィリングの需要も拡⼤している。
ことで、労働⼒不⾜の状況にあるこれらの業界における省⼒化・効率化を⽀援
するとともに、価格弾⼒性も付与することで私たちの生活の根幹をなす⾷⽂化の
内発的動機
保全を⾏う。
•
当社は社是「食品による国⺠の体⼒増強に奉仕する」のもと、戦後の⼤阪の町
•
従業員の成果に正しく報いることを掲げて、高度⼈材を採用して⻑期的な事業
で創業し、フィリング（中具）メーカーとしてパン⾷⽂化形成の一端を担ってきた。
成⻑を実現するために賃上げ等により採用競争⼒を高める。
•
創業以来、常に安全・安心でおいしく、健康に良い商品作りを追求し、顧客ニー
ズに応じた商品開発⼒を強みに、⼤⼿製パンメーカーに訴求することで信頼関係
会社全体の売上成⻑目標（〜2031年7月期）
を蓄積してきた。
•
売上高成⻑率150.0％（2024年7月期⽐）
•
• 近年では国内パン業界全体の成⻑は以前ほどの勢いはないものの、海外市場に
売上高増加額63億円（2024年7月期⽐）
おける「⽇本のパン⾷」拡⼤に加えて、従来フィリングを自社生産してきた業界にお
会社全体の賃上げ目標
けるフィリング需要の拡大による成⻑機会を獲得していくために生産⼒の増強
•
0.97%（直近事業年度〜基準年度）
が必要である。
•
6.15%（基準年度〜事業化報告3年目） •
収益率が低く過当競争状態にある⾷品製造業においては、収益性の改善による
賃上げ等により⼈員を拡⼤し、更なる売上拡⼤につなげる良いサイクルを実現す
るためにはリスクを伴う⼤規模な賃上げが必須と考えている。</t>
  </si>
  <si>
    <t>【p.2】
株式会社田中食品興業所
2.補助事業の概要
業務用フィリングの海外市場成⻑・市場拡⼤による需要増加に対応するため、生産能⼒の増強を図る
加えて、出荷工程等ノンコア業務の自動化により生産部門を省⼈化し、労働生産性の向上を実現する
•
海外パン市場の成⻑、外⾷・中⾷・スイーツ等へのフィリング市場拡⼤による需要増加に対して当社生産
補助事業の 事業費 20億円
能⼒が不⾜しており、将来の継続的な事業成⻑を実現するべく生産能⼒増強及び省⼒化による労働
背景・目的 （補助額）（6.6億円）
生産性改善を実施する。
①生産能⼒増強
• 国内外での業務用フィリングの需要増加に対応するべく生産能⼒を増強する。 生産能⼒増強
生産量︓25,400t（2024年7月期） ⇒ 43,600t（2031年7月期） 設備投資 投資⾦額
プラコン洗浄室増設 90百万円
• 業務用フィリングのニーズ拡⼤に伴い需要が増加している外⾷・中⾷・スイーツ等市場に向
受水槽増設 60百万円
けて、⼩容量品の量産が可能な製造ラインを構築する。
原料倉庫増設 500百万円
②省⼒化 原料倉庫移動ラック 50百万円
• 業務の標準化をしやすいノンコア業務において、工程自動化を実現することで生産量の向 物流システム 20百万円
製品冷却設備 280百万円
上及び省⼈化を実現。
設備投資の 冷凍・冷蔵庫 42百万円
• 外⾷・中⾷・スイーツ等市場に需要の高いフィリングのボトル充填を自動化し、効率生産を
内容 ⼤型ニーダー 150百万円
実現する。
シート用包装機 34百万円
省⼒化
つ
本 設備投資 投資⾦額
く
社 ボトル充填機 58百万円
ば
工 AI選別機 38百万円
工
場 箱詰め工程の自動化 300百万円
場
充填後工程の自動化 110百万円
製品搬送設備の新設 300百万円
2027年度(2028年7月期) 2030年度(2031年7月期)
項目
（基準年度） （基準年度＋３年後）
労働生産性 1,276万円/⼈
825万円/⼈
（単位︓万円/⼈） （年平均上昇率＋15.7％）
目標値 従業員1⼈あたり給与支給総額 558万円/⼈ 669万円/⼈
（単位︓万円/⼈） （年平均上昇率＋6.2％）
役員１⼈あたり給与支給総額 -
-
（単位︓万円/⼈） （年平均上昇率＋5.0％）
補助事業に係る従業員数
326⼈ 337⼈
（単位︓⼈）</t>
  </si>
  <si>
    <t>カンケンテクノ株式会社
1.⾧期成⾧ビジョン
グローバルな半導体需要と環境対応ニーズの高まりを背景に、排ガス除害装置の生産能力強化と新技術の量
産化を通じて、環境装置分野のプラットフォーマーを目指します。</t>
  </si>
  <si>
    <t>⾧期成⾧ビジョン（目指す姿・ビジネスモデル）
• カンケンテクノ株式会社は、「環境技術革新への挑戦」を経営理
念に掲げ、半導体製造工程等で発生する温室効果ガス等の除
害装置を中核事業として展開しています。
• 当社の主力製品は、半導体製造などで発生する毒性・可燃性ガ
ス（PFCやNF3、SF6等）を処理する除害装置であり、独自の
電気式熱分解方式等により、高効率・高安全性・省エネルギー性
を実現しています。また、2024年度には、ネオンリサイクル装置が
「省エネ大賞」を受賞。希少資源の再利用と温室効果ガスの排出
抑制を両立する革新的な技術として高く評価されており、現在その
標準化・量産化に取り組んでいます。
• さらに、2024～2028年にかけて、京都本社および熊本工場に新
たな増設棟を整備し、生産能力の抜本的拡張と供給体制の柔
軟化を進めます。これにより、グローバル市場における安定供給と、
多品種対応の強化を図り、“環境装置のプラットフォーマー”として
の基盤構築を目指します。</t>
  </si>
  <si>
    <t>外発的動機
• 世界最大の半導体業界団体であるSEMIは2030年までに半導
体市場が1兆米ドル規模に拡大すると予測しており、世界的な環
境規制強化や脱炭素化の推進により、当社製品への需要が増加。
• 各国政府による支援策にも後押しされ、 TSMC・Micron、
Samsung、ソニー等の大手半導体メーカーが積極的に設備投資
を推進中。官民一体化となった大型投資が継続。
• 台湾・米国・韓国・日本・中国市場における旺盛な需要増に対応
する必要性が高まっている。</t>
  </si>
  <si>
    <t>内発的動機
• カンケンテクノは、「環境負荷を低減し、持続可能な社会を創る」と
いう理念のもと、大気環境保全装置の開発を推進してきた。設立
以来、強化される環境規制や産業構造の変化に対応しながら、国
内外で確固たる地位を確立。
• 半導体市場の急成⾧や技術進化に伴い、除害装置の大型化・高
性能化が進む中、従来の生産拠点・設備では対応が困難となり、
生産体制の抜本的な見直しが不可欠。
• そのため、生産拠点の拡張と効率化を図り、環境負荷低減と生産
性向上の両立を目指すと共に、従業員の働きやすさを向上させるこ
とで、継続的な賃上げと社員エンゲージメント向上を図る。</t>
  </si>
  <si>
    <t>グループ全体の売上成⾧目標（2024～2030年）
• 売上高成⾧率13.7％（267億円→585億円）
• 売上高増加額318億円
会社全体の賃上げ目標
• 4.12%（最新決算期～基準年度）
• 5.37%（基準年度～事業化報告3年目）</t>
  </si>
  <si>
    <t>【p.1／売上成長目標】
グループ全体の売上成⾧目標（2024～2030年）
• 売上高成⾧率13.7％（267億円→585億円）
• 売上高増加額318億円
会社全体の賃上げ目標
• 4.12%（最新決算期～基準年度）
• 5.37%（基準年度～事業化報告3年目）</t>
  </si>
  <si>
    <t>【p.1】
カンケンテクノ株式会社
1.⾧期成⾧ビジョン
グローバルな半導体需要と環境対応ニーズの高まりを背景に、排ガス除害装置の生産能力強化と新技術の量
産化を通じて、環境装置分野のプラットフォーマーを目指します。
⾧期成⾧ビジョン（目指す姿・ビジネスモデル） 外発的動機
• カンケンテクノ株式会社は、「環境技術革新への挑戦」を経営理
• 世界最大の半導体業界団体であるSEMIは2030年までに半導
念に掲げ、半導体製造工程等で発生する温室効果ガス等の除
体市場が1兆米ドル規模に拡大すると予測しており、世界的な環
害装置を中核事業として展開しています。
境規制強化や脱炭素化の推進により、当社製品への需要が増加。
• 当社の主力製品は、半導体製造などで発生する毒性・可燃性ガ
• 各国政府による支援策にも後押しされ、 TSMC・Micron、
ス（PFCやNF3、SF6等）を処理する除害装置であり、独自の
Samsung、ソニー等の大手半導体メーカーが積極的に設備投資
電気式熱分解方式等により、高効率・高安全性・省エネルギー性
を推進中。官民一体化となった大型投資が継続。
を実現しています。また、2024年度には、ネオンリサイクル装置が
「省エネ大賞」を受賞。希少資源の再利用と温室効果ガスの排出
• 台湾・米国・韓国・日本・中国市場における旺盛な需要増に対応
抑制を両立する革新的な技術として高く評価されており、現在その
する必要性が高まっている。
標準化・量産化に取り組んでいます。
• さらに、2024～2028年にかけて、京都本社および熊本工場に新 内発的動機
たな増設棟を整備し、生産能力の抜本的拡張と供給体制の柔
軟化を進めます。これにより、グローバル市場における安定供給と、 • カンケンテクノは、「環境負荷を低減し、持続可能な社会を創る」と
多品種対応の強化を図り、“環境装置のプラットフォーマー”として いう理念のもと、大気環境保全装置の開発を推進してきた。設立
の基盤構築を目指します。 以来、強化される環境規制や産業構造の変化に対応しながら、国
内外で確固たる地位を確立。
グループ全体の売上成⾧目標（2024～2030年） • 半導体市場の急成⾧や技術進化に伴い、除害装置の大型化・高
性能化が進む中、従来の生産拠点・設備では対応が困難となり、
• 売上高成⾧率13.7％（267億円→585億円）
生産体制の抜本的な見直しが不可欠。
• 売上高増加額318億円
• そのため、生産拠点の拡張と効率化を図り、環境負荷低減と生産
会社全体の賃上げ目標
性向上の両立を目指すと共に、従業員の働きやすさを向上させるこ
• 4.12%（最新決算期～基準年度）
とで、継続的な賃上げと社員エンゲージメント向上を図る。
• 5.37%（基準年度～事業化報告3年目）</t>
  </si>
  <si>
    <t>【p.2】
カンケンテクノ株式会社
2.補助事業の概要
半導体市場の成⾧に伴う排ガス除害装置の需要増に対応するため、京都本社新棟および熊本工場を増築し、
生産能力を拡大します。環境負荷低減、生産性向上、地域経済の活性化を図ります。
• 半導体市場の拡大による除害装置の需要急増への対応が急務
• 国内シェア1位・グローバル上位シェアを堅持、供給不足リスクの解消と世界シェア拡大を目指す
補助事業の
• 熊本工場を国内第2の量産拠点として、BCP（事業継続）・多拠点体制を強化
事業費 28億円
背景・目的
• 省力化・生産性向上を実現し、地域雇用の創出と持続的な賃上げにつなげる
（補助額） （8.4億円）
【京都本社工場（新棟）】
• 延床898㎡（6階建）の新棟建設により装置組立・計装工程を集約、生
産能力を月40台→50台へ拡大（+25%）
• 3次元ファイバーレーザー加工機と窒素発生装置を導入し、ステンレス配管
の加工自動化を実現。
└ 年間10486h相当の作業を3495hに削減見込み（2028年時点）
設備投資の
• 工場近隣に新たな部品倉庫を建設し、安定部品供給体制の確立 写真等
内容
【熊本工場（2期工場）】
• 第2期工場（新棟）を増設し、部品製作、倉庫機能を追加し、一貫生産
体制を確立
• 月産20台→60台（＋3倍）へ拡張し、大型機種への対応力を強化
2027年度 2030年度
項目
（基準年度） （基準年度＋３年後）
労働生産性
1,006万円 1,260万円（年平均上昇率＋7.8％）
（単位:万円/人）
従業員1人あたり給与支給総額 京都 788万円 926万円（年平均上昇率＋5.5％）
目標値
（単位:万円/人） 熊本 709万円 834万円（年平均上昇率＋5.5％）
役員１人あたり給与支給総額 京都 - -（年平均上昇率＋5.3％）
（単位:万円/人） 熊本 - -
補助事業に係る従業員数 京都 401人 462人
（単位:人 役員除く） 熊本 44人 54人</t>
  </si>
  <si>
    <t>INTLOOP株式会社
1.⾧期成⾧ビジョン
「テクノロジーと人を統合したソリューションプラットフォーマー」として、先進技術群とプロフェッショナル人材を結集して
企業の複雑化する経営課題解決に取り組み、労働人口減に直面する日本の産業競争力強化への貢献を目指す</t>
  </si>
  <si>
    <t>⾧期成⾧ビジョン（目指す姿・ビジネスモデル）
 目指す姿（FY30）
• 「テクノロジーと人を統合したソリューションプラットフォーマー」へ進化
• 先進の技術群とプロフェッショナル人材を結集し、顧客企業の支援
を通じて社会課題を解決する企業を目指す
• 2030年目標として売上高1,000億円・営業利益150億円の
達成を目指し、デジタル社会の実現に貢献する中核企業として、
日本の産業競争力強化と労働市場の課題解決に寄与(連結)
 ビジネスモデル（プロフェッショナル人材活用サービス）
• Webマーケティングで獲得したフリーランスへの案件紹介、
マッチングサービスを展開
• クライアントとフリーランスの間に立ち、1名からチーム提案まで様々な
規模の案件に対応
• 約5万人の人材DBを擁し、多種多様な課題解決を支援</t>
  </si>
  <si>
    <t>外発的動機
• 労働人口の減少と各産業の人材不足の拡大・深刻化
（2030年に最大640万人の労働力が不足）
• AIを中心とする先端テクノロジーの社会実装需要の急増
• グローバルでのリソース獲得競争の激化
• IT分野を中心とするハイスキル人材の不足と多様な働き方の浸透</t>
  </si>
  <si>
    <t>内発的動機
• 自らが「成⾧」のシンボルとなり、人と企業の価値を最大化するという
ミッションの実現
• 約5万人規模の人材DBを活用した多様な課題解決への挑戦
• テクノロジーとソリューションを統合し、顧客企業の高付加価値化を支援
• テクノロジーパートナーとのエコシステム形成による先端技術を活用した
社会課題解決への貢献</t>
  </si>
  <si>
    <t>会社全体の売上成⾧目標（～2030年/連結）
• 売上高成⾧率: 24.3％(FY24実績比)
• 売上高増加額:729億円(FY24実績比)
会社全体の賃上げ目標（単体）
• 年平均＋4.18% （直近事業年度～基準年度:FY24～FY27）
• 年平均＋6.74% （基準年度～事業化報告3年目:FY27～FY30 ）</t>
  </si>
  <si>
    <t>【p.1／売上成長目標】
会社全体の売上成⾧目標（～2030年/連結）
• 売上高成⾧率: 24.3％(FY24実績比)
• 売上高増加額:729億円(FY24実績比)
会社全体の賃上げ目標（単体）
• 年平均＋4.18% （直近事業年度～基準年度:FY24～FY27）
• 年平均＋6.74% （基準年度～事業化報告3年目:FY27～FY30 ）</t>
  </si>
  <si>
    <t>【p.1】
INTLOOP株式会社
1.⾧期成⾧ビジョン
「テクノロジーと人を統合したソリューションプラットフォーマー」として、先進技術群とプロフェッショナル人材を結集して
企業の複雑化する経営課題解決に取り組み、労働人口減に直面する日本の産業競争力強化への貢献を目指す
⾧期成⾧ビジョン（目指す姿・ビジネスモデル）
外発的動機
 目指す姿（FY30） • 労働人口の減少と各産業の人材不足の拡大・深刻化
（2030年に最大640万人の労働力が不足）
• 「テクノロジーと人を統合したソリューションプラットフォーマー」へ進化
• 先進の技術群とプロフェッショナル人材を結集し、顧客企業の支援 • AIを中心とする先端テクノロジーの社会実装需要の急増
を通じて社会課題を解決する企業を目指す
• グローバルでのリソース獲得競争の激化
• 2030年目標として売上高1,000億円・営業利益150億円の • IT分野を中心とするハイスキル人材の不足と多様な働き方の浸透
達成を目指し、デジタル社会の実現に貢献する中核企業として、
日本の産業競争力強化と労働市場の課題解決に寄与(連結) 内発的動機
• 自らが「成⾧」のシンボルとなり、人と企業の価値を最大化するという
 ビジネスモデル（プロフェッショナル人材活用サービス）
ミッションの実現
• Webマーケティングで獲得したフリーランスへの案件紹介、
• 約5万人規模の人材DBを活用した多様な課題解決への挑戦
マッチングサービスを展開
• テクノロジーとソリューションを統合し、顧客企業の高付加価値化を支援
• クライアントとフリーランスの間に立ち、1名からチーム提案まで様々な
規模の案件に対応 • テクノロジーパートナーとのエコシステム形成による先端技術を活用した
社会課題解決への貢献
• 約5万人の人材DBを擁し、多種多様な課題解決を支援
会社全体の売上成⾧目標（～2030年/連結）
• 売上高成⾧率: 24.3％(FY24実績比)
• 売上高増加額:729億円(FY24実績比)
会社全体の賃上げ目標（単体）
• 年平均＋4.18%（直近事業年度～基準年度:FY24～FY27）
• 年平均＋6.74%（基準年度～事業化報告3年目:FY27～FY30）
出所:情報処理推進推進機構、パーソル総合研究所</t>
  </si>
  <si>
    <t>【p.2】
2.補助事業の概要
2030年問題の労働人口減の加速が迫り、従来の人ベースでの企業ニーズに合わせたフリーランス提供から
AIエージェント基盤の整備で、サービス提供対象を拡大して地方／SMBまで包含したサービス提供を目指す
• 2030年問題の労働人口減に伴い、各企業で労働力の確保が大きな経営課題
補助事業の 事業費 15億円
• 採用難が多くの企業に広がり、大手企業/地方企業/SMB問わず外部人材活用ニーズが拡大
背景・目的 （補助額） （5.1億円）
• INTLOOPでは人とAIを融合した事業強化で、サービス/提供対象の拡大/自動化を目指す
【設備投資内容】
新規設備投資/開発対象
• AIエージェントサービス
‒ 人材マッチングAIエージェント
 人材ニーズに合う人材をAIマッチング
INTLOOP社員
‒ コンサルティング自動化AIエージェント フリーランス
人材提案 大手企業
 コンサルサービスのAI化／自動提供 ネットワーク
‒ エージェントマーケットプレイス 48,000人 人材マッチング効率化/精度向上
 サービス提供のオープン化／SaaS化 管理基盤 データ活用基盤
中堅
• データ活用基盤 (IAP Backend)
中小企業
設備投資の
‒ 各種基盤機能整備
内容  エージェントサービスに必要な SAP
人材マッチング
SAP/Datalakeなどシステム基盤整備
AIエージェント 地方企業
【設備投資による課題解決】 フリーランス マ Datalake
• 従来の人ベースのサービスからAI活用で DB データ ル
集約/ チ 最小限の人員でサービス提供対象を拡大
統合
分析基盤
• オープン化/SaaS化によるサービス提供の コンサルティング
自動化で労働生産性向上 自動化 SMB
AIエージェント
【地方への波及効果】 AIエージェント
モデル
• 従来の営業(ヒト)がアプローチできなかった
地方へ、SaaS化(AI)でサービス提供
項目 FY25(直近決算年度) FY28(基準年度) FY31（基準年度＋３年後）
労働生産性 （単位:万円/人） －万円/人 3,506万円/人 12,510万円/人(3年間の年平均上昇率52.8％)
目標値
従業員1人あたり給与支給総 （単位:万円/人） －万円/人 1,996万円/人 2,348万円/人(3年間の年平均上昇率(cid:1)5.6％)
役員１人あたり給与支給総額 （単位:万円/人） －万円/人 －万円/人 －万円/人(3年間の年平均上昇率 －％)
補助事業に係る従業員数 （単位:人） － 人 21 人 27 人
AI
INTLOOP株式会社
INTLOOP AI Agent Platform（IAP）
従来 個別人材検索
ヒトで 領域
手厚く
AIエージェントサービス
提案
(IAP Frontend)
エ
ー AI化での 人材提案/
データ ジ コンサル 新たな
連携/活用 ェ SaaS化 拡大領域
ン
AIで
ト
幅広く
提案</t>
  </si>
  <si>
    <t>株式会社サンワ
1.長期成長ビジョン
人と社会と環境に貢献する価値提供ロジスティクス企業への昇華、そして創業100年売上100億円企業を目
指す</t>
  </si>
  <si>
    <t>長期成長ビジョン（目指す姿・ビジネスモデル）
人と社会と環境に貢献する価値提供ロジスティクス企業
サンワグループは、物流に関わる様々な機能の高度化にチャレンジ
し続け、お客様の発展に繋がる価値提供サービスを追求する。
自社の成長過程において、人と社会と環境への関りを常に意識
し、持続的な発展を目指す。
価値提供ロジスティクス 人と社会と環境への貢献
ロジティクス機能の高度化 人
財産である従業員の幸せを実現
①運送②倉庫③荷役④流通加工
• 事業領域拡大と各機能高度化 社会
• 一貫請負の付加価値サービス お客様と地域発展への貢献
• サプライチェーンマネジメント提案 環境
• 企業間連携、共同事業強化 SDGs、カーボンニュートラルへの取組</t>
  </si>
  <si>
    <t>外発的動機
物流総合効率化による業界変革
◼ 国主導の物流総合効率化法により、輸送の合理化、流通業務の効率化、
環境負荷軽減への対応が物流業界に求められている
◼ 「モーダルシフト」、「共同配送」、「輸送網の集約」などの効率化が重視
物流業界の人手不足と労働環境問題
◼ 労働者人口減少に加え、2024年問題によりドライバー人手不足に拍車
◼ 重労働や長時間労働が多く、労働環境改善が求められている
競争激化と荷主からの付加価値サービス要求の高まり
◼ スピード対応や価格競争が激化するなか、燃料費や人件費は上昇傾向
◼ JIT（ジャストインタイム）納品への要求、納入部品集約のDEPO機能、組
付け等の加工納品要求の高まり</t>
  </si>
  <si>
    <t>内発的動機
企業理念の追求と事業継続性強化
◼ 「わが社は人が財産であり、全てである。社会に欠くべからざる物流の中で、
必要有る存在として、常にお客様への感謝を忘れず、お客様の発展を願い、
身の程をわきまえ、しかし身の程を超える目標をもち、会社の永遠の繁栄と従
業員の幸せを実現する」が当社の企業理念
◼ 女性経営者の視点を活かし、老若男女問わず働きやすい環境をつくり、「小
さくてもキラリと光る会社」を目指す
変化への柔軟性とタイヤサービス技術開発の成功
◼ 繊維運送から自動車産業関連への運送へと柔軟に領域拡大してきた歴史
を持ち、市場ニーズに対応した物流一括請負が強み
◼ 特に自動車タイヤ荷役に関しては、先端技術開発による自動化に積極的に
取組むなどの実績と信頼を積み上げた結果、Tier1企業から物流アウトソー
シングの相談を受けるに至っている</t>
  </si>
  <si>
    <t>会社全体の売上成長目標（～31年9月期）
• 売上高成長率12.2％
• 売上高増加額46億円
会社全体の賃上げ目標
• 3.0%（直近事業年度～基準年度）
• 6.0%（基準年度～事業化報告3年目）</t>
  </si>
  <si>
    <t>【p.1／売上成長目標】
会社全体の売上成長目標（～31年9月期）
• 売上高成長率12.2％
• 売上高増加額46億円
会社全体の賃上げ目標
• 3.0%（直近事業年度～基準年度）
• 6.0%（基準年度～事業化報告3年目）</t>
  </si>
  <si>
    <t>【p.1】
株式会社サンワ
1.長期成長ビジョン
人と社会と環境に貢献する価値提供ロジスティクス企業への昇華、そして創業100年売上100億円企業を目
指す
長期成長ビジョン（目指す姿・ビジネスモデル） 外発的動機
物流総合効率化による業界変革
人と社会と環境に貢献する価値提供ロジスティクス企業
◼ 国主導の物流総合効率化法により、輸送の合理化、流通業務の効率化、
環境負荷軽減への対応が物流業界に求められている
◼ 「モーダルシフト」、「共同配送」、「輸送網の集約」などの効率化が重視
サンワグループは、物流に関わる様々な機能の高度化にチャレンジ
物流業界の人手不足と労働環境問題
し続け、お客様の発展に繋がる価値提供サービスを追求する。
◼ 労働者人口減少に加え、2024年問題によりドライバー人手不足に拍車
自社の成長過程において、人と社会と環境への関りを常に意識
◼ 重労働や長時間労働が多く、労働環境改善が求められている
し、持続的な発展を目指す。
競争激化と荷主からの付加価値サービス要求の高まり
価値提供ロジスティクス 人と社会と環境への貢献 ◼ スピード対応や価格競争が激化するなか、燃料費や人件費は上昇傾向
◼ JIT（ジャストインタイム）納品への要求、納入部品集約のDEPO機能、組
付け等の加工納品要求の高まり
ロジティクス機能の高度化 人
財産である従業員の幸せを実現
①運送②倉庫③荷役④流通加工 内発的動機
• 事業領域拡大と各機能高度化 社会
企業理念の追求と事業継続性強化
• 一貫請負の付加価値サービス お客様と地域発展への貢献
◼ 「わが社は人が財産であり、全てである。社会に欠くべからざる物流の中で、
• サプライチェーンマネジメント提案 環境 必要有る存在として、常にお客様への感謝を忘れず、お客様の発展を願い、
• 企業間連携、共同事業強化 SDGs、カーボンニュートラルへの取組 身の程をわきまえ、しかし身の程を超える目標をもち、会社の永遠の繁栄と従
業員の幸せを実現する」が当社の企業理念
◼ 女性経営者の視点を活かし、老若男女問わず働きやすい環境をつくり、「小
会社全体の売上成長目標（～31年9月期）
さくてもキラリと光る会社」を目指す
• 売上高成長率12.2％
変化への柔軟性とタイヤサービス技術開発の成功
• 売上高増加額46億円
◼ 繊維運送から自動車産業関連への運送へと柔軟に領域拡大してきた歴史
会社全体の賃上げ目標
を持ち、市場ニーズに対応した物流一括請負が強み
• 3.0%（直近事業年度～基準年度） ◼ 特に自動車タイヤ荷役に関しては、先端技術開発による自動化に積極的に
• 6.0%（基準年度～事業化報告3年目） 取組むなどの実績と信頼を積み上げた結果、Tier1企業から物流アウトソー
シングの相談を受けるに至っている</t>
  </si>
  <si>
    <t>【p.2】
株式会社サンワ
.補助事業の概要
2
産業集積地における物流集約DEPO建設による付加価値機能強化と産業用車両向け取引の拡大により、労
働生産性の大幅向上と持続的な賃上げを目指す
補助事業の 背景：外部環境の変化と産業車両部品のロジスティクス要望 事業費 24億円
背景・目的 目的：物流総合化・効率化に向けた提供サービス価値向上とホワイト物流の実現 （補助額） （ 億円）
7.3
産業集積地における物流集約DEPO建設による付加価値機能強化と産業用車両向け取引の拡大
【具体的な投資内容】
① 安城DEPO建設（21億円）
産業用車両の各メーカ部品を集約入荷保管し、DEPO内で組付け加工と順立て
を行った上で、ジャストインタイムでメーカーへ出荷納品
② 自動倉庫・ピッキングロボットシステムの導入（3億円）
設備投資の
介護自動搬送システムを設置し、ピッキング・入出荷の省力化
内容
【補助事業により見込まれる効果】
DEPO倉庫とは：
• 提供サービス価値向上による売上・利益率拡大、労働生産性向上 多くの在庫を持たず、迅速に頻度の高い
• 物流総合化・効率化の社会・環境課題への寄与 配送を行うための施設として、顧客に商
• 地域雇用と賃上げ 品を届ける最後の配送区間（ラストワン
マイル）を担当する倉庫
2026年度 2029年度
項目
（基準年度） （基準年度＋３年後）
労働生産性 982万円/人
573万円/人
（単位：万円/人） （年平均上昇率＋19.6％）
目標値 従業員1人あたり給与支給総額 500万円/人
420万円/人
（単位：万円/人） （年平均上昇率＋6.0％）
役員１人あたり給与支給総額
-
（単位：万円/人） - （年平均上昇率＋5.0％）
補助事業に係る従業員数
427人 433人
（単位：人）</t>
  </si>
  <si>
    <t>白鷺特殊鋼株式会社
1.長期成長ビジョン
ハクログループの目指す姿：強みである特殊鋼多種豊富な在庫を武器に、加工含むワンストップサービスを追求。
ハクログループのシナジーを発揮し、多様なニーズに、いっそう付加価値の高いサービスを提供する。</t>
  </si>
  <si>
    <t>1.長期成長ビジョン
ハクログループの目指す姿：強みである特殊鋼多種豊富な
ハクログループのシナジーを発揮し、多様なニーズに、いっそう
長期成長ビジョン（目指す姿・ビジネスモデル）
「IRON（鉄鋼）SOLUTION 」
• 安全・快適な社会を支え、産業界に欠かせない鉄鋼を供給する企業と
して、ハクログループは「新たなる信頼への挑戦」をテーマに掲げています。
• 多様なお客様のご要望に対して、「ハクログループ3社のシナジーを発揮し、
より付加価値の高いサービスを提供する」、それを可能にするのがハクロの
「IRON鉄鋼 SOLUTION X」です。
• ビジネスに進化をもたらし、ものづくりを深化させ、お客様とより強固な
信頼関係を構築していきたいと考えています。
• グローバル化が加速する中、私たちは世界のお客様に選ばれるグループ
企業でなければならないと考えています。
• ハクログループの強みである対応のきめ細やかさや迅速な供給体制を維
持しながら、国際競争力を高めるべく、さらなる努力を続けます。
そして、メイドインジャパンの最高品質で、信頼性の高い製品を供給し、
安心できる社会と豊かな未来の創造に貢献すべく、研鑽を重ねてまいり
ます。</t>
  </si>
  <si>
    <t>外発的動機
• 流通に求められる顧客のニーズの多様化（切断・穴あけのみならず、
切削、研磨までの加工要求高まる）
• 進む多機能化・多品種化・小ロット化
• 進む顧客先での在庫減少と当社グループに求められる短納期化
• 顧客での先端産業高精度精密部品の増加にともなう品質保証
体制の維持および強化
• 海外動向への対応(為替、品質、納期)</t>
  </si>
  <si>
    <t>内発的動機
• ハクログループの連携問題。連絡・指示・情報系統で生産性
改善の見込み。
• 鋼材加工の短納期多品種対応とともに、高難度切削加工能力
の増強でグループ力による付加価値向上。
• 北海道から九州まで顧客重要素材の供給責任から、全国18拠点
でのレジリエンス強化。</t>
  </si>
  <si>
    <t>白鷺特殊鋼㈱兵庫の売上成長目標（～2030年）
• 売上高成長率192％
• 売上高増加額70億円
白鷺特殊鋼㈱兵庫の1人あたり年平均賃上げ目標
• 5.76%（直近事業年度～基準年度 年平均）
• 6.7%（基準年度～事業化報告3年目 年平均）
ハクロスチール㈱の売上成長目標（～2030年）
• 売上高成長率166％
• 売上高増加額10.3億円
ハクロスチール㈱の1人あたり年平均賃上げ目標
• 4.5%（直近事業年度～基準年度 年平均）
• 6.7%（基準年度～事業化報告3年目 年平均）
2社合計の売上成長目標（～2030年）
• 売上高成長率187％
• 売上高増加額81億円</t>
  </si>
  <si>
    <t>【p.1／売上成長目標】
白鷺特殊鋼㈱兵庫の売上成長目標（～2030年）
• 売上高成長率192％
• 売上高増加額70億円
白鷺特殊鋼㈱兵庫の1人あたり年平均賃上げ目標
• 5.76%（直近事業年度～基準年度 年平均）
• 6.7%（基準年度～事業化報告3年目 年平均）
【p.1／売上成長目標】
ハクロスチール㈱の売上成長目標（～2030年）
• 売上高成長率166％
• 売上高増加額10.3億円
ハクロスチール㈱の1人あたり年平均賃上げ目標
• 4.5%（直近事業年度～基準年度 年平均）
• 6.7%（基準年度～事業化報告3年目 年平均）
【p.1／2社合計の1人あたり年平均賃上げ目標】
2社合計の1人あたり年平均賃上げ目標
• 5.1%（直近事業年度～基準年度 年平均）
• 6.7%（基準年度～事業化報告3年目 年平均）
【p.1／売上成長目標】
2社合計の売上成長目標（～2030年）
• 売上高成長率187％
• 売上高増加額81億円</t>
  </si>
  <si>
    <t>【p.1】
白鷺特殊鋼株式会社
1.長期成長ビジョン
ハクログループの目指す姿：強みである特殊鋼多種豊富な在庫を武器に、加工含むワンストップサービスを追求。
ハクログループのシナジーを発揮し、多様なニーズに、いっそう付加価値の高いサービスを提供する。
長期成長ビジョン（目指す姿・ビジネスモデル） 外発的動機
• 流通に求められる顧客のニーズの多様化（切断・穴あけのみならず、
「IRON（鉄鋼）SOLUTION 」
切削、研磨までの加工要求高まる）
• 安全・快適な社会を支え、産業界に欠かせない鉄鋼を供給する企業と • 進む多機能化・多品種化・小ロット化
して、ハクログループは「新たなる信頼への挑戦」をテーマに掲げています。 • 進む顧客先での在庫減少と当社グループに求められる短納期化
• 多様なお客様のご要望に対して、「ハクログループ3社のシナジーを発揮し、 • 顧客での先端産業高精度精密部品の増加にともなう品質保証
より付加価値の高いサービスを提供する」、それを可能にするのがハクロの 体制の維持および強化
「IRON鉄鋼 SOLUTION X」です。 • 海外動向への対応(為替、品質、納期)
• ビジネスに進化をもたらし、ものづくりを深化させ、お客様とより強固な
信頼関係を構築していきたいと考えています。
内発的動機
• グローバル化が加速する中、私たちは世界のお客様に選ばれるグループ
企業でなければならないと考えています。 • ハクログループの連携問題。連絡・指示・情報系統で生産性
• ハクログループの強みである対応のきめ細やかさや迅速な供給体制を維 改善の見込み。
持しながら、国際競争力を高めるべく、さらなる努力を続けます。 • 鋼材加工の短納期多品種対応とともに、高難度切削加工能力
そして、メイドインジャパンの最高品質で、信頼性の高い製品を供給し、 の増強でグループ力による付加価値向上。
安心できる社会と豊かな未来の創造に貢献すべく、研鑽を重ねてまいり • 北海道から九州まで顧客重要素材の供給責任から、全国18拠点
ます。
でのレジリエンス強化。
白鷺特殊鋼㈱兵庫の売上成長目標（～2030年） ハクロスチール㈱の売上成長目標（～2030年）
• 売上高成長率192％ • 売上高成長率166％
• 売上高増加額70億円 • 売上高増加額10.3億円
白鷺特殊鋼㈱兵庫の1人あたり年平均賃上げ目標 ハクロスチール㈱の1人あたり年平均賃上げ目標
• 5.76%（直近事業年度～基準年度 年平均） • 4.5%（直近事業年度～基準年度 年平均）
• 6.7%（基準年度～事業化報告3年目 年平均） • 6.7%（基準年度～事業化報告3年目 年平均）
2社合計の売上成長目標（～2030年） 2社合計の1人あたり年平均賃上げ目標
• 売上高成長率187％ • 5.1%（直近事業年度～基準年度 年平均）
• 売上高増加額81億円 • 6.7%（基準年度～事業化報告3年目 年平均）</t>
  </si>
  <si>
    <t>【p.2】
白鷺特殊鋼株式会社
.補助事業の概要
2
全国各拠点での配送機能のレジリエンス強化で、重要素材の供給責任を果たしつつ、
ユーザーに最適な特殊鋼供給体制構築＝商社機能＋加工機能の強化を通じて付加価値向上を目指す。
補助事業 中核兵庫エリアでの在庫保管＋加工機能強化、受注・顧客管理・在庫・加工・配送情報共有で、全国 事業費 億円
36
の背景・目
各拠点の「量・種類ともに豊富な在庫力」「加工即時対応」等機能を補完するとともに、全社的に生産性 （補助額） （ . 億円）
的 8 5
向上による利益拡大で、「顧客」「従業員」「取引先」「地域」ほかステークホルダーへの貢献を目指す。
① グループ物流・在庫機能強化～合金鋼需要での生産性向上 ③グループ切削加工強化
～難削材加工での高付加価値化
①-1 白鷺特殊鋼㈱の本社工場★13ｐ ①-2 グループ切断加工強化 情報システム再構築等グ ・白鷺特殊鋼㈱、ハクロスチール㈱
＋神戸大学との産学連携研究による最適 ～合金鋼需要での生産性向上 ループDX取組み 各拠点での切断機械増強
設備投資
な生産システム ・白鷺特殊鋼㈱、ハクロスチール ★補助事業外 ★16ｐ
の
内容 ㈱新工場での切断機の増強
★15ｐ
白鷺特殊鋼㈱兵庫事業＋ハクロスチール㈱コンソーシアム２社の下表目標を踏まえ、
2社合計で2030年度労働生産性年平均31％上昇、従業員1人あたり給与支給総額年平均6.7％上昇を目指す
白鷺特殊鋼㈱兵庫事業 ハクロスチール㈱ コンソーシアム
2027年度 2030年度 2027年度 2030年度 2027年度 2030年度
項目
（基準年度） （基準年度＋３年後） （基準年度） （基準年度＋３年後） （基準年度） （基準年度＋３年後）
労働生産性 2,845 1,541 2,415
（単位：万円/人）
955
（年平均上昇率＋43.9％）
716
（年平均上昇率＋29.1％）
877
（年平均上昇率＋40.16％）
目
従業員1人あたり給与支給 488 593 477 580 484 589
標 総額（単位：万円/人） （年平均上昇率＋6.7％） （年平均上昇率＋6.7%） （年平均上昇率＋6.7%）
値 役員１人あた 額 り給与支給総 - （年平均上昇 - 率＋6.7％） - （年平均上昇 - 率＋6.7％） - （年平均上昇 - 率＋6.7％）
（単位：万円/人）
補助事業に係る従業員数 55 60 27 30 82 90
（単位：人）</t>
  </si>
  <si>
    <t>奥長良川名水株式会社
1.長期成長ビジョン
「きれいな水で、日本にレジリエンスを。」
日本でも有数の高品質な水を持つ当社が、市場への影響力を拡大し、社会に安心と安全をもたらす。</t>
  </si>
  <si>
    <t>日本でも有数の高品質な水を持つ当社が、市場への影響力を拡大し、社会に安心と安全をもたらす。</t>
  </si>
  <si>
    <t>長期成長ビジョン（目指す姿・ビジネスモデル）
• ミネラルウォーター製造事業を通じて、長期的に持続可能な社会
への貢献を目指す。
• 持続可能な開発目標（SDGs）の一環として、安心安全でク
リーンな水を全ての人に提供する。
• 高品質なミネラルウォーターの供給を拡大し、災害時における備蓄
用の保存水を通じて社会のレジリエンスを高める。
• 質の高い水を提供することで、日常生活における健康と豊かな生
活を支える。
• 新工場のDX化により、生産性と環境配慮を両立させる先進の工
場モデルを実現し、企業としての社会的責任を全うする。</t>
  </si>
  <si>
    <t>外発的動機
• 健康への意識が高まる中、清潔で栄養価の高いミネラルウォー
ターへの需要が増加している。
• 日本では近年激甚災害が多発しており、水道の停止が常に問題と
なっている。そのため、保存水の備蓄が重要視されている。
• 水質汚染やインフラの老朽化により、公共の水道水への信頼が低
下している場合がある。
• 日本全国では、災害時に必要とされる備蓄水量は最低でも108
億リットル(約9,000万ケース相当)と推計されており、中部地方
だけでも18億リットル₍約1.5億ケース)にのぼる。このような大規
模な備蓄ニーズに対し、安定供給体制を構築することは、当社の
社会的使命である。(出展先：内閣府「災害に対する備え」)、(総
務省統計局「人口推計令和5年」)</t>
  </si>
  <si>
    <t>内発的動機
• OEM保存水の需要は年々高まり、現状もオーダー待ちとなっている
ことから受注の機会を逸失する事象が生じている。
• 設備の老朽化も含め製造能力の限界に達しており、市場の需要に
応えられない状況。
• 市場の需要に迅速かつ適切に対応するため、営業戦略に基づいた
体制構築が必須。
• 省エネルギー化と高速製造機器を導入することでDX化を推進し
「増産・人材活用・利益率」の向上を図る必要がある。
• 安定して成長する企業であることで、ミネラルウォーター製造を通じ、
長期的に持続可能な社会への貢献をしていく。</t>
  </si>
  <si>
    <t>■売上成長目標（2024年直近決算～2029年）
・全社売上目標：28.6億円
・売上高成長率：358.3%
・会社全体の売上高増加額：20.6億円
（売上の内訳） 2024年 2029年
OEM保存水 723百万 2,777百万
機能水製造 75百万 84百万
798百万 2,861百万
■会社全体の賃上げ目標
• 107.0％（2024年直近決算～2026年基準年度）
• 146.9％（2026年直近決算～2029年基準年度）
2024年 2026年 2029年
給与支給総額 94.3百万 100.9百万 148.3百万</t>
  </si>
  <si>
    <t>【p.1／上段要旨】
日本でも有数の高品質な水を持つ当社が、市場への影響力を拡大し、社会に安心と安全をもたらす。
【p.1／売上成長目標】
■売上成長目標（2024年直近決算～2029年）
・全社売上目標：28.6億円
・売上高成長率：358.3%
・会社全体の売上高増加額：20.6億円
（売上の内訳） 2024年 2029年
OEM保存水 723百万 2,777百万
機能水製造 75百万 84百万
798百万 2,861百万
■会社全体の賃上げ目標
• 107.0％（2024年直近決算～2026年基準年度）
• 146.9％（2026年直近決算～2029年基準年度）
2024年 2026年 2029年
給与支給総額 94.3百万 100.9百万 148.3百万</t>
  </si>
  <si>
    <t>【p.1】
奥長良川名水株式会社
1.長期成長ビジョン
「きれいな水で、日本にレジリエンスを。」
日本でも有数の高品質な水を持つ当社が、市場への影響力を拡大し、社会に安心と安全をもたらす。
長期成長ビジョン（目指す姿・ビジネスモデル）
外発的動機
• ミネラルウォーター製造事業を通じて、長期的に持続可能な社会
• 健康への意識が高まる中、清潔で栄養価の高いミネラルウォー
への貢献を目指す。
ターへの需要が増加している。
• 持続可能な開発目標（SDGs）の一環として、安心安全でク
• 日本では近年激甚災害が多発しており、水道の停止が常に問題と
リーンな水を全ての人に提供する。
なっている。そのため、保存水の備蓄が重要視されている。
• 高品質なミネラルウォーターの供給を拡大し、災害時における備蓄
• 水質汚染やインフラの老朽化により、公共の水道水への信頼が低
用の保存水を通じて社会のレジリエンスを高める。
下している場合がある。
• 質の高い水を提供することで、日常生活における健康と豊かな生
• 日本全国では、災害時に必要とされる備蓄水量は最低でも108
活を支える。
億リットル(約9,000万ケース相当)と推計されており、中部地方
• 新工場のDX化により、生産性と環境配慮を両立させる先進の工
だけでも18億リットル₍約1.5億ケース)にのぼる。このような大規
場モデルを実現し、企業としての社会的責任を全うする。
模な備蓄ニーズに対し、安定供給体制を構築することは、当社の
■売上成長目標（2024年直近決算～2029年） 社会的使命である。(出展先：内閣府「災害に対する備え」)、(総
務省統計局「人口推計令和5年」)
・全社売上目標：28.6億円
・売上高成長率：358.3%
・会社全体の売上高増加額：20.6億円
内発的動機
（売上の内訳） 2024年 2029年
• OEM保存水の需要は年々高まり、現状もオーダー待ちとなっている
OEM保存水 723百万 2,777百万 ことから受注の機会を逸失する事象が生じている。
• 設備の老朽化も含め製造能力の限界に達しており、市場の需要に
機能水製造 75百万 84百万
応えられない状況。
798百万 2,861百万
• 市場の需要に迅速かつ適切に対応するため、営業戦略に基づいた
■会社全体の賃上げ目標
体制構築が必須。
• 107.0％（2024年直近決算～2026年基準年度） • 省エネルギー化と高速製造機器を導入することでDX化を推進し
• 146.9％（2026年直近決算～2029年基準年度） 「増産・人材活用・利益率」の向上を図る必要がある。
2024年 2026年 2029年 • 安定して成長する企業であることで、ミネラルウォーター製造を通じ、
長期的に持続可能な社会への貢献をしていく。
給与支給総額 94.3百万 100.9百万 148.3百万</t>
  </si>
  <si>
    <t>【p.2】
奥長良川名水株式会社
.補助事業の概要
2
最新設備の導入と既存生産工場とのシナジーにより、高い労働生産性を誇る新工場を建設。
単なる増員によるリスクを低減しながら、大規模な供給能力を実現するスマートファクトリー。
近年の健康志向の高まりや災害リスクの顕在化により、高品質かつ保存性の高いミネラルウォーターへの需要が
急増している。特に災害備蓄用保存水としての用途が注目されており、安定供給体制の構築が社会的要請と
補助事業の なっている。当社においても順調に受注を伸ばしているが、現有施設ではこれらの需要に応じきれず、受注機会の 事業費 13 億円
背景・目的 損失が発生している。これらに対応するため、補助事業を通じて新たに新工場の増設を行い、生産設備のDX化 （補助額） （ 3 .0億円）
による自動化を進める。これにより、生産設備の老朽化と受注機会の損失を解消し、生産性を向上させる。そし
て、社会に貢献する企業として、さらなる飛躍を目指している。
■新工場
※設備投資金額については、3社
・建設 634,635千円
から見積提案をいただき、価格面、
・プラント設備 580,030千円
スペック面を検討した結果から計
画している。
■特徴
・ボトル成型から、充填、キャップ、ラベル、検査、梱包まで全てオートメーション
・省エネと生産スピードが高い設備導入により、現状より2.4倍/ｈの生産可能
設備投資の
・作業効率が高いため、増産と同時に省人化が可能で生産性が向上
内容
■ペットボトル製造ラインを採用した経緯
投資に際してはアルミ缶との比較も行ったが、環境負荷や安全性の観点からペットボトル製造ライン
を採用した。アルミは再生時に高温処理が必要で環境負荷が大きく、窒素充填の必要性もある。
一方、ペットボトルは効率的なリサイクルが可能で、当社では15年以上の保存実績有しており、他
社にはない信頼性の裏付けをもとに選定した。
新工場イメージ
2026年度 2029年度
項目
（基準年度） （基準年度＋３年後）
労働生産性 3,390
87
（単位：万円/人） 2 （年平均上昇率＋57.2％）
目標値 従業員1人当たり給与支給総額 555
46
（単位：万円/人） 5 （年平均上昇率＋6.1％）
役員１人当たり給与支給総額
-
（単位：万円/人） - （年平均上昇率＋6.1％）
補助事業に係る従業員数
17 22
（単位：人）</t>
  </si>
  <si>
    <t>有楽製菓株式会社
1.長期成長ビジョン
”日本一ワクワクする菓子屋”を目指し、働く従業員もワクワクしながら、国内市場の深耕と海外展開の拡大へ。
2030年7月期売上高は、340億円を目指す。</t>
  </si>
  <si>
    <t>長期成長ビジョン（目指す姿・ビジネスモデル）
• “日本一ワクワクする菓子屋”を目指し、お客様のココロとオナカを
満たし続けながら、企業理念である“安くておいしいお菓子”を提
供し続ける。
• 働く従業員こそ”ワクワクした気持ちとユニークな発想で働く”ため
に、賃上げを継続的に実施する。そのために、設備投資による生
産性の改善・合理化は必須である。
• 海外はこれまで最大の販売先である台湾を始め、アジア国々、ア
メリカへの展開を拡大し、世界のたくさんの方々にブラックサンダー
はじめ有楽製菓のお菓子を楽しんでいただけるように取り組む。</t>
  </si>
  <si>
    <t>外発的動機
• 国内市場：日本では少子高齢化が進んでいるが、甘さ控えめ、素
材指向など在宅勤務時の大人のおやつとして需要獲得や、観光
客・訪日客という外部需要の取り込み、ファンマーケティングによる1
人あたり売上高（LTV）の増加など伸びしろは十分にある。
• 海外市場：日本ブランドへの信頼感が強い国々（台湾、タイ、香
港など）では「日本式チョコ菓子」としてポジションが取れる。テスト
販売を行ったアメリカ市場においても、海外オリジナルの“新食感ス
ナック”として十分に市場ニーズがあることが確認出来た。</t>
  </si>
  <si>
    <t>内発的動機
• これまで当社は味の良さ・高いコストパフォーマンスで他社と差別化
をしてきたが、時代の変化とともに、お客様のニーズも多様化。今後
も当社商品を選んで頂くためには更なる価値提供が必要。
• お客様にはお得感を感じてもらいながら、既存の枠にとらわれないユ
ニークな発想をし続け、業界の中でもオンリーワンの企業でありたい。</t>
  </si>
  <si>
    <t>会社概要
180.0
菓株式会社 160.0
締役社長 河合 辰信
140.0
京都小平市小川町１－９４
120.0
月
100.0
万円
80.0
製造販売
円（2024年7月期） 60.0
名（2024年7月期）
40.0
20.0
場、札幌工場
0.0</t>
  </si>
  <si>
    <t>会社全体の売上成長目標（2030/7月期）
• 売上高成長率16％
• 売上高増加額155億円
会社全体の賃上げ目標
• 3%（直近事業年度～基準年度）
• 6%（基準年度～事業化報告3年目）</t>
  </si>
  <si>
    <t>【p.1／当社・会社の概要】
会社概要
180.0
菓株式会社 160.0
締役社長 河合 辰信
140.0
京都小平市小川町１－９４
120.0
月
100.0
万円
80.0
製造販売
円（2024年7月期） 60.0
名（2024年7月期）
40.0
20.0
場、札幌工場
0.0
【p.1／180.0 165】
180.0 165
154
160.0
137
140.0
118.6
111.4
120.0
100.0
80.0
60.0
40.0
20.0
0.0
20年7月期 21年7月期 22年7月期 23年7月期 24年7月期
【p.2／売上成長目標】
会社全体の売上成長目標（2030/7月期）
• 売上高成長率16％
• 売上高増加額155億円
会社全体の賃上げ目標
• 3%（直近事業年度～基準年度）
• 6%（基準年度～事業化報告3年目）</t>
  </si>
  <si>
    <t>【p.2】
有楽製菓株式会社
1.長期成長ビジョン
”日本一ワクワクする菓子屋”を目指し、働く従業員もワクワクしながら、国内市場の深耕と海外展開の拡大へ。
2030年7月期売上高は、340億円を目指す。
長期成長ビジョン（目指す姿・ビジネスモデル） 外発的動機
• “日本一ワクワクする菓子屋”を目指し、お客様のココロとオナカを • 国内市場：日本では少子高齢化が進んでいるが、甘さ控えめ、素
材指向など在宅勤務時の大人のおやつとして需要獲得や、観光
満たし続けながら、企業理念である“安くておいしいお菓子”を提
客・訪日客という外部需要の取り込み、ファンマーケティングによる1
供し続ける。
人あたり売上高（LTV）の増加など伸びしろは十分にある。
• 働く従業員こそ”ワクワクした気持ちとユニークな発想で働く”ため
に、賃上げを継続的に実施する。そのために、設備投資による生 • 海外市場：日本ブランドへの信頼感が強い国々（台湾、タイ、香
港など）では「日本式チョコ菓子」としてポジションが取れる。テスト
産性の改善・合理化は必須である。
販売を行ったアメリカ市場においても、海外オリジナルの“新食感ス
ナック”として十分に市場ニーズがあることが確認出来た。
• 海外はこれまで最大の販売先である台湾を始め、アジア国々、ア
メリカへの展開を拡大し、世界のたくさんの方々にブラックサンダー
はじめ有楽製菓のお菓子を楽しんでいただけるように取り組む。
内発的動機
• これまで当社は味の良さ・高いコストパフォーマンスで他社と差別化
会社全体の売上成長目標（2030/7月期） をしてきたが、時代の変化とともに、お客様のニーズも多様化。今後
• 売上高成長率16％ も当社商品を選んで頂くためには更なる価値提供が必要。
• 売上高増加額155億円
会社全体の賃上げ目標 • お客様にはお得感を感じてもらいながら、既存の枠にとらわれないユ
ニークな発想をし続け、業界の中でもオンリーワンの企業でありたい。
• 3%（直近事業年度～基準年度）
• 6%（基準年度～事業化報告3年目）</t>
  </si>
  <si>
    <t>【p.3】
有楽製菓株式会社
.補助事業の概要
2
需要に対して、供給が追いつていないブラックサンダー及びシリーズ品の生産能力を拡大するため、豊橋夢工場
敷地内に約4,000坪の第2工場を増築。
補助事業の • ブラックサンダー（シリーズ商品含む）の需要に対して、供給が追い付いていない状況である。 事業費 億円
25
背景・目的 • 新規設備投資により、生産能力の向上、合理化と賃上げを目指す。 （補助額） （ . 億円）
8 3
• 愛知県豊橋市にある豊橋夢工場敷地内に、約4,000坪
の第2工場を増築。
• 第2工場では、まず需要の拡大する「ブラックサンダー」、
「ブラックサンダーシリーズ」の生産力の増強を行う。その後
設備投資の 製造設備を増設し、より多くの商品ラインアップの製造を
内容 予定。
• 第2工場では、既存の夢工場に比べて全面的な機械化、
特に個包装・箱詰めの省力化を推進し、労働生産性の向
上を目指す。
2027/7期 2030/7期
項目
（基準年度） （基準年度＋３年後）
労働生産性 2,396
1,27
（単位：万円/人） 5 （年平均上昇率＋23 ％）
.4
従業員1人あたり給与支給総額
目標値 628 748
（単位：万円/人） （年平均上昇率＋6 ％）
.0
役員１人あたり給与支給総額
-
-
（単位：万円/人） （年平均上昇率＋5.6％）
補助事業に係る従業員数
462 505
（単位：人）</t>
  </si>
  <si>
    <t>株式会社GYXUS
1.⾧期成⾧ビジョン
今後増加が見込まれ、かつ建設廃棄物のリサイクル率向上の阻害要因である石膏ボード廃棄物（以下、廃
石膏）の１００％水平リサイクル事業を主軸とし、本コンソーシアム企業が中心となりメガ資源循環アライアン
スを組成することで持続可能な建設業界の実現を目指します。</t>
  </si>
  <si>
    <t>⾧期成⾧ビジョン（目指す姿・ビジネスモデル）
• 幹事企業(株)GYXUS（以下、当社）は、「地球に埋めない、
世界を創る」をミッションに掲げ、世界の廃石膏のリサイクルを通じ
て、持続可能な循環型社会の実現を目指している。
• 廃石膏は一部地域を除いて大半が埋立処分されている。当社は
廃石膏を用いて高品質な100％リサイクル石膏ボードを再製造
（以下、水平リサイクル）する特殊技術を保有している。
• 建設現場から発生する廃石膏を安定的に受け入れる地産地消
体制を全国に構築し、リサイクル率を向上させる廃石膏地産地
消型資源循環モデルを確立させる。
• 同時に金属や木材など他の建設廃棄物も一括処理可能な体
制を整え、顧客利便性を高める。人材不足の国内で成⾧するに
は、動脈・静脈事業の連携が必要であり、解体業者、廃棄物処
理業者、大手建材販売事業者とコンソーシアムを組成し、7年後
に年間700億円規模のメガ資源循環アライアンスを目指す。
※本事業期間では、アライアンス最大の強みとなる「廃石膏地産地
消型資源循環モデル」を確立する事に重点投資を行う。</t>
  </si>
  <si>
    <t>外発的動機
• 現在の廃石膏再資源化率は約40％にとどまり、2025年には200万トン、2039
年には350万トンを超えると廃棄量の増加が予測されている。産業廃棄物埋立処
分場の残容量は1億7000万㎥程度であり、廃石膏のリサイクルは喫緊の課題。
• 石炭火力発電所等の副産物である化学石膏は、石膏ボード原料として利用され
てきたが、カーボンニュートラルへの移行により火力発電縮小が進み、供給減少が
予想される。海外天然石膏比率が高まり石膏ボード価格の乱高下が懸念される。
• 廃石膏のリサイクル率が高い地域は建設廃棄物全体のリサイクル率が高い。全国
の廃石膏リサイクル率を向上させる事が全体を押し上げる事につながる。</t>
  </si>
  <si>
    <t>内発的動機
• 当社代表取締役の平田富太郎は、大手石膏ボードメーカーチヨダウーテの創業家
で、同社の専務執行役員を務めていた。また日本最大級の廃石膏中間処理業
者である株式会社トクヤマ・チヨダジプサム（TCG）の設立・経営にも携わった経
験から、静脈事業（廃棄物処理）と動脈事業（製品生産）の両面に精通して
いる。
• 動脈と静脈の有機的連携によりリサイクル率や労働生産性が向上する現場を数
多く経験し、培った知見と人脈を活用して本ビジネスモデルを構築した。</t>
  </si>
  <si>
    <t>【p.1／KOSEI GYXUS】
KOSEI GYXUS
単位:百万円 GYXUS 光州産業 グラデュオ 沖潮開発 合計
GYXUS 関東</t>
  </si>
  <si>
    <t>【p.1】
株式会社GYXUS
1.⾧期成⾧ビジョン
今後増加が見込まれ、かつ建設廃棄物のリサイクル率向上の阻害要因である石膏ボード廃棄物（以下、廃
石膏）の１００％水平リサイクル事業を主軸とし、本コンソーシアム企業が中心となりメガ資源循環アライアン
スを組成することで持続可能な建設業界の実現を目指します。
⾧期成⾧ビジョン（目指す姿・ビジネスモデル） 外発的動機
• 現在の廃石膏再資源化率は約40％にとどまり、2025年には200万トン、2039
• 幹事企業(株)GYXUS（以下、当社）は、「地球に埋めない、
年には350万トンを超えると廃棄量の増加が予測されている。産業廃棄物埋立処
世界を創る」をミッションに掲げ、世界の廃石膏のリサイクルを通じ
分場の残容量は1億7000万㎥程度であり、廃石膏のリサイクルは喫緊の課題。
て、持続可能な循環型社会の実現を目指している。
• 石炭火力発電所等の副産物である化学石膏は、石膏ボード原料として利用され
• 廃石膏は一部地域を除いて大半が埋立処分されている。当社は てきたが、カーボンニュートラルへの移行により火力発電縮小が進み、供給減少が
廃石膏を用いて高品質な100％リサイクル石膏ボードを再製造
予想される。海外天然石膏比率が高まり石膏ボード価格の乱高下が懸念される。
（以下、水平リサイクル）する特殊技術を保有している。
• 廃石膏のリサイクル率が高い地域は建設廃棄物全体のリサイクル率が高い。全国
の廃石膏リサイクル率を向上させる事が全体を押し上げる事につながる。
• 建設現場から発生する廃石膏を安定的に受け入れる地産地消
体制を全国に構築し、リサイクル率を向上させる廃石膏地産地
消型資源循環モデルを確立させる。 内発的動機
• 同時に金属や木材など他の建設廃棄物も一括処理可能な体 • 当社代表取締役の平田富太郎は、大手石膏ボードメーカーチヨダウーテの創業家
制を整え、顧客利便性を高める。人材不足の国内で成⾧するに で、同社の専務執行役員を務めていた。また日本最大級の廃石膏中間処理業
は、動脈・静脈事業の連携が必要であり、解体業者、廃棄物処 者である株式会社トクヤマ・チヨダジプサム（TCG）の設立・経営にも携わった経
理業者、大手建材販売事業者とコンソーシアムを組成し、7年後 験から、静脈事業（廃棄物処理）と動脈事業（製品生産）の両面に精通して
に年間700億円規模のメガ資源循環アライアンスを目指す。 いる。
• 動脈と静脈の有機的連携によりリサイクル率や労働生産性が向上する現場を数
※本事業期間では、アライアンス最大の強みとなる「廃石膏地産地
多く経験し、培った知見と人脈を活用して本ビジネスモデルを構築した。
消型資源循環モデル」を確立する事に重点投資を行う。
KOSEI GYXUS
単位:百万円 GYXUS 光州産業 グラデュオ 沖潮開発 合計
GYXUS 関東
直近決算期 43 0 8,097 0 151 2,051 10,342
売上成⾧目標
基準年度＋3年後 4,677 337 9,732 275 595 2,733 18,349
売上高増加額 4,634 337 1,636 275 445 682 8,007
売上高成⾧率 376.3% - 6.3% - 58.1% 10.0% 21.1%
賃上げ目標 補助事業開始以降、幹事企業、コンソーシアム企業それぞれにて毎年7％以上の賃上げを実施する。</t>
  </si>
  <si>
    <t>【p.2】
株式会社GYXUS
2.補助事業の概要
廃石膏地産地消型資源循環モデルを推進し、最終処分場の延命、リサイクル率向上を実現しながら、動脈事
業と静脈事業を有機的に連携させ、労働生産性を向上し従業員の給与へ還元します。
• 石膏ボードはリサイクル率が低く、多くが最終処分場にて埋立処理されており、今後最終処分場がひっ迫する社会的問題、
補助事業の 事業費 98億円
またカーボンニュートラルに向けて火力発電の縮小に伴い、化学石膏の減少、天然石膏の価格高騰による石膏ボード価格
背景・目的
が上昇する現状を解決するため、リサイクル石膏を主原料100%とした石膏ボードを製造し、社会的課題の解決を行う。
（補助額） （26億円）
投資内容 導入拠点 金額（税抜） • 廃石膏ボードの多くが埋立処理される中、本設備投
破砕ライン 4 6.5億円 資により石膏ボードの水平リサイクルすることができ、循
焼成ライン 5 8.9憶円 環型社会の形成に大きく貢献できます。
設備投資の 成型ライン 5 9.6億円 • これまで中間処理し、埋め立てる最終処分のためにコ
内容 乾燥ライン 5 10.5億円 ストがかかっていましたが、埋め立てる代わりに石膏ボー
切断ライン 5 8.1億円 ドを製造することで、新たな付加価値を生む取り組みと
工場建物 5 33.6億円 なっており、労働生産性は向上します。
合計 77.2億円
KOSEI GYXUS
労働生産性 GYXUS 光洲産業 グラデュオ 沖潮開発 合算
GYXUS 関東
基準年度（千円） 16,438 △13,128 9,609 △3,516 799 110 6,751
基準年度＋3年後（千円） 47,918 16,643 13,040 12,641 16,151 13,092 26,511
年平均上昇率 42.9% - 10.7% - 26.4% 392.0% 57.8%
KOSEI GYXUS
従業員1人あたり給与支給総額 GYXUS 光洲産業 グラデュオ 沖潮開発 合算
GYXUS 関東
基準年度（千円） 4,905 4,200 4,893 4,200 4,494 4,200 4,655
基準年度＋3年後（千円） 6,012 5,145 5,999 5,145 5,505 5,145 5,690
年平均上昇率 7.0% 7.0% 7.0% 7.0% 7.0% 7.0% 7.0%
目標値
KOSEI GYXUS
役員1人あたり給与支給総額 GYXUS 光洲産業 グラデュオ 沖潮開発 合算
GYXUS 関東
基準年度（千円） - - - - - - -
基準年度＋3年後（千円） - - - - - - -
年平均上昇率 5.0% 5.0% 5.0% 5.0% 5.0% 5.0% 5.0%
KOSEI GYXUS
補助事業に係る従業員数 GYXUS 光洲産業 グラデュオ 沖潮開発 合算
GYXUS 関東
基準年度（人） 14.0 2.0 2.5 0.3 9.0 5.0 32.8
基準年度＋3年後（人） 38.0 8.0 24.0 6.0 11.0 11.0 98.0
年平均増加率 39.5% 58.7% 112.5% 162.1% 6.9% 30.1% 44.0%</t>
  </si>
  <si>
    <t>巴工業株式会社
1.長期成長ビジョン
大型遠心分離機の新興国を中心としたグローバル需要の拡大を成長機会と捉え、コア技術である「遠心分離」を軸に、当社グルー
プ及び事業の全体最適化により、研究・開発、生産、海外販売体制を強化。グローバルシェア拡大に向けた取り組みを加速させる。</t>
  </si>
  <si>
    <t>長期成長ビジョン（目指す姿・ビジネスモデル）
遠心分離テクノロジー×化学分野の専門性で
遠心分離機の世界トップクラスのメーカーに躍進する
①インドや東南アジアを中心としたグローバル展開の加速
➢ 国内トップクラスの大型遠心分離機メーカーとして、化学工業をはじめとする特殊分野に
おけるグローバル展開をさらに推進。グローバルニッチトップとして市場シェアNo.1を目指す。
②巴グループ全体での遠心分離機生産の最適化と国内生産体制の強化
➢ 巴工業及び巴マシナリー(共同申請者)の生産拠点統合を通じて、生産・研究・物流機
能の合理化、強化を推進。国内サプライチェーンの強靭化と機能集約により、高付加価
値なモノづくりを実現するための新たな生産体制とイノベーションの基盤を構築する。
③事業間シナジー発揮と持続可能な社会の実現に向けた付加価値の提供
➢ 化学品卸売事業と遠心分離機事業(補助事業)という二本柱の連携によるシナジーを
最大化すると共に、環境負荷低減型製品の開発や地域人材・サプライチェーンへの投資
を通じて、地域社会と地球環境に貢献する持続可能な価値提供を進める。</t>
  </si>
  <si>
    <t>外発的動機
メガトレンド
• インドや東南アジアをはじめとした新興市場の成長、社会インフラ整備の加速
• 持続可能な社会実現に向けた、SDGs等への取り組み加速
• 自動化、デジタル化、AI等の最新テクノロジーへの注目
⇒大型遠心分離機は世界的に需要が拡大。高付加価値化への期待も高い。
成長機会
• インドを中心とした化学工業・水処理・食品加工分野等の成長拡大
• インドネシア等東南アジアにおけるインフラ需要の拡大
• 国内における食品、医薬品、リサイクル等の先端分野の研究・開発の加速
⇒特にインドにおける化学工業分野の成長が当社にとって大きなビジネスチャンス
リスク・脅威
• 国内における将来的な当社主力製品（大型遠心分離機）の成長鈍化
• 米国での政権交代に伴う貿易政策の不確実性など貿易リスクや地政学リスク
• 国内の労働人口減少を受け、人材の確保・育成、生産性向上が共通課題</t>
  </si>
  <si>
    <t>内発的動機
①グローバルでの成長と事業間シナジーの加速
当社はメーカーと商社の機能を併せ持つ独自の体制で、経済的な困難も両部門の相互補
完により乗り越えてきた。国内市場が人口減少などで縮小する中、当社が持つ高精度・高
効率な遠心分離機技術をさらに活かすには、グローバル市場での拡販が不可欠である。今
回の大規模成長投資により、機械事業の技術力と供給体制を飛躍的に強化し、インドや
ASEAN、欧州における化学品事業との連携によるシナジー創出を加速する。ESG経営のも
と、社会課題の解決と企業価値向上を両立させ、100年企業としての地位確立を図る。
②高い技術力・ブランド維持と国内拠点の重要性
当社遠心分離機が高い評価を得ている背景には、主要回転部品における極めて高い加工
精度と、それを支える製造体制がある。しかしながら、こうした精度要求は海外加工業者では
対応困難である。一方、国内では限られた高度加工業者との協業が可能であり、巴マシナ
リーと巴工業が隣接地で部品製作から組立・試運転まで一貫して行う体制が、技術蓄積・
技能承継を支えている。これらはブランド価値を維持し、完成品メーカーとしての競争優位を
確立する上で不可欠であり、国内製造の継続こそが国際競争力強化の鍵であると考える。</t>
  </si>
  <si>
    <t>会社全体の売上成長目標
単位：百万円
売上高 売上高 売上高 売上高
社名
2024年10月期 2030年10月期 増加額 成長率
巴工業㈱ 47,315 73,000 25,685 54.3%
うち機械事業 11,541 23,000 11,459 99.3%
巴マシナリー㈱ 565 1,000 435 77.0%
コンソ全体 47,880 74,000 26,120 54.6%
会社全体の賃上げ目標</t>
  </si>
  <si>
    <t>【p.1／売上成長目標】
会社全体の売上成長目標
単位：百万円
売上高 売上高 売上高 売上高
社名
2024年10月期 2030年10月期 増加額 成長率
巴工業㈱ 47,315 73,000 25,685 54.3%
うち機械事業 11,541 23,000 11,459 99.3%
巴マシナリー㈱ 565 1,000 435 77.0%
コンソ全体 47,880 74,000 26,120 54.6%
会社全体の賃上げ目標
【p.1／会社全体の賃上げ目標】
会社全体の賃上げ目標
期間 巴工業 巴マシナリー
直近事業年度～基準年度 CAGR2.9% CAGR2.9%
基準年度～事業化報告3年目 CAGR5.0% CAGR5.0%
【p.1／当社及び共同申請者の概要】
当社及び共同申請者の概要
当社は、遠心分離機を中心とした機械の製造販売事業と化学品の卸売事業を展開している。遠心分離機とは、回転による遠心力を利用して、液体や固体の混合物を効率的に
分離する装置であり、化学工業、食品、医薬品、水処理など幅広い用途で使用されている。当社は大型遠心分離機メーカーとして70年を超える老舗であり、国内トップシェア、世
界シェアでも５位以内に入る。また、共同申請者の巴マシナリー（当社の100%子会社）は遠心分離機におけるスクリュウコンベアなどの主要部品製造を担う中核企業である。
【p.2／新工場建設(完成イメージ)】
新工場建設(完成イメージ)
レーザー金属積層造型機 実機テスト等の
等の自動化設備導入 高度化・対応強化
【p.2／設備投資の内容】
設備投資の内容
① 神奈川県綾瀬市に、新たな主力工場を新設し、複数拠点を統合
② 新工場では、生産スペース拡大と共に、最先端のレーザー金属積層
など、生産能力拡大及び生産の自動化・24時間化を図る。
③ 新工場には防爆構造の新実機テスト棟を併設し、実機テスト対応
課題解決による労働生産性の向上
① 生産・物流機能の一体化により、リードタイム短縮とコスト最適化を
② 海外市場向けを中心とした大型機の生産能力の大幅な拡充による
③ 自動化・省力化による労働生産性の向上と、収益性の高い製品群
2027年10月期（基準年度）
巴工業
項目
補助事業
神奈川 東京 大阪 福岡 宮城 北海道
全体
労働生産性
1,260 - - - - - -
（単位：万円/人）
【p.2／※1 巴マシナリーは神奈川県にのみ拠点を有している。】
※1 巴マシナリーは神奈川県にのみ拠点を有している。
※2 巴マシナリーの役員（1名）は、巴工業の従業員であり巴工業から給与を支給している。そのため、本計画では巴工業側の給与支給額及び従業員数に含めて算出している。</t>
  </si>
  <si>
    <t>【p.1】
巴工業株式会社
1.長期成長ビジョン
大型遠心分離機の新興国を中心としたグローバル需要の拡大を成長機会と捉え、コア技術である「遠心分離」を軸に、当社グルー
プ及び事業の全体最適化により、研究・開発、生産、海外販売体制を強化。グローバルシェア拡大に向けた取り組みを加速させる。
長期成長ビジョン（目指す姿・ビジネスモデル） 外発的動機
メガトレンド
遠心分離テクノロジー×化学分野の専門性で
• インドや東南アジアをはじめとした新興市場の成長、社会インフラ整備の加速
遠心分離機の世界トップクラスのメーカーに躍進する • 持続可能な社会実現に向けた、SDGs等への取り組み加速
• 自動化、デジタル化、AI等の最新テクノロジーへの注目
①インドや東南アジアを中心としたグローバル展開の加速 ⇒大型遠心分離機は世界的に需要が拡大。高付加価値化への期待も高い。
➢ 国内トップクラスの大型遠心分離機メーカーとして、化学工業をはじめとする特殊分野に 成長機会
おけるグローバル展開をさらに推進。グローバルニッチトップとして市場シェアNo.1を目指す。 • インドを中心とした化学工業・水処理・食品加工分野等の成長拡大
• インドネシア等東南アジアにおけるインフラ需要の拡大
②巴グループ全体での遠心分離機生産の最適化と国内生産体制の強化
• 国内における食品、医薬品、リサイクル等の先端分野の研究・開発の加速
➢ 巴工業及び巴マシナリー(共同申請者)の生産拠点統合を通じて、生産・研究・物流機 ⇒特にインドにおける化学工業分野の成長が当社にとって大きなビジネスチャンス
能の合理化、強化を推進。国内サプライチェーンの強靭化と機能集約により、高付加価
リスク・脅威
値なモノづくりを実現するための新たな生産体制とイノベーションの基盤を構築する。
• 国内における将来的な当社主力製品（大型遠心分離機）の成長鈍化
• 米国での政権交代に伴う貿易政策の不確実性など貿易リスクや地政学リスク
③事業間シナジー発揮と持続可能な社会の実現に向けた付加価値の提供
• 国内の労働人口減少を受け、人材の確保・育成、生産性向上が共通課題
➢ 化学品卸売事業と遠心分離機事業(補助事業)という二本柱の連携によるシナジーを
最大化すると共に、環境負荷低減型製品の開発や地域人材・サプライチェーンへの投資
内発的動機
を通じて、地域社会と地球環境に貢献する持続可能な価値提供を進める。
①グローバルでの成長と事業間シナジーの加速
会社全体の売上成長目標
単位：百万円 当社はメーカーと商社の機能を併せ持つ独自の体制で、経済的な困難も両部門の相互補
売上高 売上高 売上高 売上高 完により乗り越えてきた。国内市場が人口減少などで縮小する中、当社が持つ高精度・高
社名
2024年10月期 2030年10月期 増加額 成長率 効率な遠心分離機技術をさらに活かすには、グローバル市場での拡販が不可欠である。今
巴工業㈱ 47,315 73,000 25,685 54.3%
回の大規模成長投資により、機械事業の技術力と供給体制を飛躍的に強化し、インドや
うち機械事業 11,541 23,000 11,459 99.3% ASEAN、欧州における化学品事業との連携によるシナジー創出を加速する。ESG経営のも
巴マシナリー㈱ 565 1,000 435 77.0% と、社会課題の解決と企業価値向上を両立させ、100年企業としての地位確立を図る。
コンソ全体 47,880 74,000 26,120 54.6%
②高い技術力・ブランド維持と国内拠点の重要性
会社全体の賃上げ目標 当社遠心分離機が高い評価を得ている背景には、主要回転部品における極めて高い加工
精度と、それを支える製造体制がある。しかしながら、こうした精度要求は海外加工業者では
期間 巴工業 巴マシナリー
対応困難である。一方、国内では限られた高度加工業者との協業が可能であり、巴マシナ
直近事業年度～基準年度 CAGR2.9% CAGR2.9%
リーと巴工業が隣接地で部品製作から組立・試運転まで一貫して行う体制が、技術蓄積・
基準年度～事業化報告3年目 CAGR5.0% CAGR5.0%
技能承継を支えている。これらはブランド価値を維持し、完成品メーカーとしての競争優位を
確立する上で不可欠であり、国内製造の継続こそが国際競争力強化の鍵であると考える。
当社及び共同申請者の概要
当社は、遠心分離機を中心とした機械の製造販売事業と化学品の卸売事業を展開している。遠心分離機とは、回転による遠心力を利用して、液体や固体の混合物を効率的に
分離する装置であり、化学工業、食品、医薬品、水処理など幅広い用途で使用されている。当社は大型遠心分離機メーカーとして70年を超える老舗であり、国内トップシェア、世
界シェアでも５位以内に入る。また、共同申請者の巴マシナリー（当社の100%子会社）は遠心分離機におけるスクリュウコンベアなどの主要部品製造を担う中核企業である。</t>
  </si>
  <si>
    <t>【p.2】
巴工業株式会社
.補助事業の概要
2
当社機械事業における海外でのシェア拡大及び国内でのキャッシュフロー最大化に向け、中核製品である遠心分離機の生産拠
点の統合による巴グループの最適化及び生産規模拡大・省力化への設備投資を行い、労働生産性を飛躍的に向上させる。
当社グループは、拡大するインドをはじめとしたグローバル市場における需要獲得を加速している。一方で、現在の
補助事業の 生産体制は複数拠点に分散し、生産能力やリードタイム、物流面での非効率が成長のボトルネックとなっている。 事業費 52 億円
背景・目的 本補助事業では、生産・開発・実機テスト機能を一体化した新拠点を整備し、QCDの抜本的強化と共に、グルー （補助額） （ 13 億円）
プ全体の競争力を飛躍的に高めることで、国際市場でのシェア拡大と成長基盤の確立を図る。
現状の課題
① 機械事業における売上高成長の持続・加速のためには、インドをはじめ海外市場における
需要を取り込む必要があるものの、生産能力が律速となっている。(規模拡大の必要性)
② 複数拠点間でのモノやヒトの移動が発生し、生産性が低下。(物流・工程のムダ)
③ 主要部品においては職人の手作業への依存度が高いなど、生産効率に課題がある。
設備投資の内容
新工場建設(完成イメージ)
① 神奈川県綾瀬市に、新たな主力工場を新設し、複数拠点を統合する。
設備投資の ② 新工場では、生産スペース拡大と共に、最先端のレーザー金属積層造形機等を導入する
内容 など、生産能力拡大及び生産の自動化・24時間化を図る。
③ 新工場には防爆構造の新実機テスト棟を併設し、実機テスト対応の高度化も図る。
課題解決による労働生産性の向上
① 生産・物流機能の一体化により、リードタイム短縮とコスト最適化を実現
② 海外市場向けを中心とした大型機の生産能力の大幅な拡充による、売上規模の拡大 レーザー金属積層造型機 実機テスト等の
③ 自動化・省力化による労働生産性の向上と、収益性の高い製品群へのシフト 等の自動化設備導入 高度化・対応強化
2027年10月期（基準年度） 2030年10月期（基準年度＋３年後）
巴工業 巴マシナリー 巴工業 巴マシナリー
項目
補助事業 補助事業
神奈川 東京 大阪 福岡 宮城 北海道 神奈川※1 神奈川 東京 大阪 福岡 宮城 北海道 神奈川※1
全体 全体
労働生産性 2,011 983
1,260 - - - - - - 696 - - - - - -
（単位：万円/人） CAGR+16.9% CAGR+12.2%
従業員1人あたり
目標値 給与支給総額 952 944 970 964 925 921 761 604 1,101 1,093 1,123 1,116 1,071 1,066 881 699
CAGR+5.0% CAGR+5.0% CAGR+5.0% CAGR+5.0% CAGR+5.0% CAGR+5.0% CAGR+5.0% CAGR+5.0%
（単位：万円/人）
役員１人あたり
給与支給総額 5,013 - 5,013 - - - - 該当なし 5,803 - 5,803 - - - - 該当なし
※2 CAGR+5.0% CAGR+5.0% ※2
（単位：万円/人）
補助事業に係る
315 40
従業員数 284 155 94 23 6 3 3 33 170 104 26 7 4 4
CAGR+3.5% CAGR+6.6%
（単位：人）
※1 巴マシナリーは神奈川県にのみ拠点を有している。
※2 巴マシナリーの役員（1名）は、巴工業の従業員であり巴工業から給与を支給している。そのため、本計画では巴工業側の給与支給額及び従業員数に含めて算出している。</t>
  </si>
  <si>
    <t>株式会社上野凮月堂
1.長期成長ビジョン

これまでの業歴とブランドを活かし、外国人向けの販売を強化。世界への展開を目指す</t>
  </si>
  <si>
    <t>長期成長ビジョン（目指す姿・ビジネスモデル）

ビジョン：
 伝統と革新で新たな菓子文化を創造し、世界に感動を
届ける

ビジネスモデル
 国内における知名度・老舗のブランドを活かした新製品の開発
により、主に外国人を対象とした販売を強化。国内外において
以下の施策にてビジネスを展開する
-
【国内】設備投資等による生産性の向上により、既存製品
の利益率を改善。得られた資源を外国人向け新製品の企
画開発や販売チャネルの拡大に充て、外国人への販売を
強化することで、国内での販売額を増加する
-
【海外】大手小売店が有する海外店舗への販売を初期的
な足がかりとし、海外市場でのマーケティングを強化。海外で
の現地販売増を図るとともに、得られた顧客ニーズを開発
部門にフィードバックし、越境ECや国内販売とのシナジー
も見込む
し、長期ビジョンの実現を目指す
が大きい点や、古くからの増築による
などの課題が生じている 事業費 63億円
数の削減を通して生産性の向上を （補助額） （18億円）
現のための体制を実現するもの
完成イメージ
削減が可能に
の削減や</t>
  </si>
  <si>
    <t>外発的動機
①外国人向けの商機拡大
 インバウンド客の増加や、海外における日本産菓子の評価の向上により、
国内外における外国人向け販売の商機が拡大
②流通経路の多様化による客層拡大
 以前は主体であった百貨店や量販店での販売だけでなく、駅や空港と
いった土産物需要が旺盛な場所や、ECでの販売が堅調。潜在客層が広
がっており、ニーズにこたえる製品開発が必要
➂コストの上昇
 少子高齢化に伴う人件費、インフレに伴う材料費、物流コスト等、製造
に関する様々なコストが増加傾向
⇒
生産性の向上を契機として、コスト削減と新製品の開発を両立
推進していく必要あり</t>
  </si>
  <si>
    <t>内発的動機

当社には、職人の高齢化や工場の老朽化、工場のキャパシティ不足や製造
機械の入替時期の到来といった、老舗ならではの解決すべき事項があり、今
後のビジョンに合わせた対策を打つ必要があった

様々な方向性を模索する中で、約10年前より主に東南アジアの展示会に出
展。当時は現在と比較して円高である中でも、日本の菓子は高くても買いた
いという声に多数触れ、外国人向けの販売拡大余地を感じていた

直近では、商品の1つ「東京カラメリゼ」が、アメリカに実店舗を多数持つ企業
から非常に高評価。当該企業のCEOにも絶賛されたことで、日本の菓子や
当社製品は海外にも打って出る実力があるものと確信。世界へ感動を与えた
いという信念で、外国人向けの販売強化に向け取り組むことを決意。なお、
既に上記企業とは契約を締結し、具体的な販売の準備を行っている</t>
  </si>
  <si>
    <t>も見込む
会社全体の売上成長目標（～2031年）
• 売上高成長率＋１４９％（2024年～2031年）
• 売上高増加額＋８５億円（2024年～2031年）
会社全体の賃上げ目標（従業員＋役員）
• ＋２.２%（年平均：直近事業年度～基準年度）
• ＋６.０%（年平均：基準年度～事業化報告3年目）
※上野凮月堂とHD全体の合算値</t>
  </si>
  <si>
    <t>【p.1／売上成長目標】
も見込む
会社全体の売上成長目標（～2031年）
• 売上高成長率＋１４９％（2024年～2031年）
• 売上高増加額＋８５億円（2024年～2031年）
会社全体の賃上げ目標（従業員＋役員）
• ＋２.２%（年平均：直近事業年度～基準年度）
• ＋６.０%（年平均：基準年度～事業化報告3年目）
※上野凮月堂とHD全体の合算値
【p.2／設備投資の内容】

設備投資の内容
 工場の建て替えと新設備の導入

設備投資による効果
【省力化・生産効率向上】
 動線の改善によって、一人あたりの担当可能範囲が拡大し、工
 一部工程を自動化することで、工数削減が可能に
 新設備の導入によって、一部商品の焼き方を変更することで、
抜きズレの防止が可能となり、食品ロスを削減できる
 2シフト制の導入が可能となり、増産に向けた製造キャパシティ
【新製品開発に向けた体制の構築】
 上記の省力化・生産効率の上昇によって、職人が新商品開発
 これにより、製造・開発・営業部門が一体となり、
消費者ニーズと製造プロセスの両面を見据えた開発が可能とな
【雇用の促進と労働環境の改善】
 従業員の給与を上げ、2シフト制にすることで、さらなる雇用を
 老朽化した既存工場に比べて、従業員の安全性や労働環境</t>
  </si>
  <si>
    <t>【p.1】
株式会社上野凮月堂
1.長期成長ビジョン

これまでの業歴とブランドを活かし、外国人向けの販売を強化。世界への展開を目指す
長期成長ビジョン（目指す姿・ビジネスモデル） 外発的動機
 ビジョン：
①外国人向けの商機拡大
 インバウンド客の増加や、海外における日本産菓子の評価の向上により、
 伝統と革新で新たな菓子文化を創造し、世界に感動を 国内外における外国人向け販売の商機が拡大
届ける
②流通経路の多様化による客層拡大
 ビジネスモデル  以前は主体であった百貨店や量販店での販売だけでなく、駅や空港と
いった土産物需要が旺盛な場所や、ECでの販売が堅調。潜在客層が広
 国内における知名度・老舗のブランドを活かした新製品の開発 がっており、ニーズにこたえる製品開発が必要
により、主に外国人を対象とした販売を強化。国内外において ➂コストの上昇
以下の施策にてビジネスを展開する  少子高齢化に伴う人件費、インフレに伴う材料費、物流コスト等、製造
に関する様々なコストが増加傾向
-
【国内】設備投資等による生産性の向上により、既存製品
⇒
生産性の向上を契機として、コスト削減と新製品の開発を両立
の利益率を改善。得られた資源を外国人向け新製品の企
推進していく必要あり
画開発や販売チャネルの拡大に充て、外国人への販売を
強化することで、国内での販売額を増加する
-
【海外】大手小売店が有する海外店舗への販売を初期的 内発的動機
な足がかりとし、海外市場でのマーケティングを強化。海外で  当社には、職人の高齢化や工場の老朽化、工場のキャパシティ不足や製造
の現地販売増を図るとともに、得られた顧客ニーズを開発 機械の入替時期の到来といった、老舗ならではの解決すべき事項があり、今
部門にフィードバックし、越境ECや国内販売とのシナジー 後のビジョンに合わせた対策を打つ必要があった
も見込む
 様々な方向性を模索する中で、約10年前より主に東南アジアの展示会に出
会社全体の売上成長目標（～2031年）
展。当時は現在と比較して円高である中でも、日本の菓子は高くても買いた
• 売上高成長率＋１４９％（2024年～2031年） いという声に多数触れ、外国人向けの販売拡大余地を感じていた
• 売上高増加額＋８５億円（2024年～2031年）
会社全体の賃上げ目標（従業員＋役員）  直近では、商品の1つ「東京カラメリゼ」が、アメリカに実店舗を多数持つ企業
から非常に高評価。当該企業のCEOにも絶賛されたことで、日本の菓子や
• ＋２.２%（年平均：直近事業年度～基準年度）
当社製品は海外にも打って出る実力があるものと確信。世界へ感動を与えた
• ＋６.０%（年平均：基準年度～事業化報告3年目）
いという信念で、外国人向けの販売強化に向け取り組むことを決意。なお、
※上野凮月堂とHD全体の合算値
既に上記企業とは契約を締結し、具体的な販売の準備を行っている</t>
  </si>
  <si>
    <t>【p.2】
株式会社上野凮月堂
2.補助事業の概要

既存工場の建て替えを行い、製造能力の強化、生産性の向上を図る

職人の余剰時間を創出することで、新製品の開発を促進し、長期ビジョンの実現を目指す
 現状の当社の東京工場では、作業工程において人手に頼る部分が大きい点や、古くからの増築による
補助事業の 製造機械の多階層化とライン隔離、入室時の衛生対応の煩雑さなどの課題が生じている 事業費 63億円
背景・目的  本事業は、工場の建て替えによる生産キャパシティの増加と人的工数の削減を通して生産性の向上を （補助額） （18億円）
図るとともに、職人が商品開発に関与する余力を創出し、ビジョン実現のための体制を実現するもの
 設備投資の内容 完成イメージ
 工場の建て替えと新設備の導入
 設備投資による効果
【省力化・生産効率向上】
 動線の改善によって、一人あたりの担当可能範囲が拡大し、工数削減が可能に
 一部工程を自動化することで、工数削減が可能に
 新設備の導入によって、一部商品の焼き方を変更することで、端材の削減や
抜きズレの防止が可能となり、食品ロスを削減できる
設備投資の
 2シフト制の導入が可能となり、増産に向けた製造キャパシティも確保
内容
【新製品開発に向けた体制の構築】
 上記の省力化・生産効率の上昇によって、職人が新商品開発へ関わる時間を創出
 これにより、製造・開発・営業部門が一体となり、
消費者ニーズと製造プロセスの両面を見据えた開発が可能となる
【雇用の促進と労働環境の改善】
 従業員の給与を上げ、2シフト制にすることで、さらなる雇用を促進する。
 老朽化した既存工場に比べて、従業員の安全性や労働環境が改善。離職率の更なる低下やウェルビーイングの向上も期待できる
上野凮月堂 上野凮月堂HD
項目 2027年度（基準年度） 2030年度（３年後） 2027年度（基準年度） 2030年度（３年後）
2,136万円/人 6,132万円/人
労働生産性 507万円/人 6,132万円/人
（CAGR＋61.5％） （増減なし）
従業員1人あたり 398万円/人 774万円/人
334万円/人 650万円/人
目標値 給与支給総額 （年平均＋6.0％） （年平均＋6.0％）
役員1人あたり - -
- -
給与支給総額 （年平均＋6.0％） （年平均＋6.0％）
補助事業に係る 198人 1人
181人 1人
従業員数 （＋17人） （増減なし）</t>
  </si>
  <si>
    <t>株式会社トッカコーポレーション
1.長期成長ビジョン
高まる衛生面の強化とプラスチック低減の社会課題に応え、国内一の技術力と品質管理体制、生産性で食品
用パッケージの製袋事業の拡大を図るとともに、業界初の研修施設にて従業員と会社の持続的な成長を図る。</t>
  </si>
  <si>
    <t>長期成長ビジョン（目指す姿・ビジネスモデル）
品質 No.1
• 製袋業界で、「世界一の品質の実現」（異物混入0（ゼロ）、
枚数の相違0（ゼロ）
人的資本投資 No.1
• 当社が、製袋の専門会社として、高い技術力と品質管理能力を認
められることで、今後、印刷会社からの事業譲渡や業界内の
M&amp;Aを積極的に行い、業界全体の給与水準の底上げを図る
• 製袋業界の人材教育の業界標準を確立し、製袋業界の地位
向上を図る。業界内の他社からの研修受け入れも行い、業界
全体のスキル向上をリードする
シェアNo.1
• 印刷会社内の事業を外注化する流れを捉え、積極的に受注
拡大を図り製袋業界No.1の地位を確立。印刷会社や食品
会社へ提案できるビジネスパートナーとなる</t>
  </si>
  <si>
    <t>外発的動機
• 包装市場全体は微増だが、市場拡大が続いている
• 食品のパッケージを扱うということで、高度な品質管理が
求められ、今までは大手印刷会社が内製化していたもの
の、近年は専門会社に外注化する流れがある。例えば、
袋の材質向上に伴い、今までの箱の中の袋タイプから、袋
タイプにパッケージ変更を行い、コストダウンとパッケージデザ
インの良化を図る等のケースが増えている
• 主には製袋加工を営む競合は、印刷会社や食品会社に
比べると小規模会社も多く、品質管理や従業員教育体
制が不十分な会社も多い</t>
  </si>
  <si>
    <t>内発的動機
• リーディングカンパニーとして、業界全体の人材育成と給与
水準の引き上げにより魅力ある業界にしたい
• 高い技術力と品質管理体制をベースとして、パッケージ素
材の高度化や複雑な形状にも対応できる技術力を高め
ることで、顧客への提案活動を積極的に行う
”前向きである”組織であり続けたい
• 全従業員で信念を持って”安全で安心なもの”を世の中に
提供し続けたい</t>
  </si>
  <si>
    <t>0.会社概要
当社は、埼玉県内に３工場を有し、食品等のパッケージ加
製袋の専門会社として、国内最大級のシェアを有し、ISO9
＜会社概要＞ ＜
会社名 株式会社トッカコーポレーション 西
製
代表者 代表取締役 髙田 豊
三
製
住所 埼玉県草加市稲荷一丁目5番28号
設立 1995年2月20日
ト
工
① 各種ラミネートフィルム製袋加工
三
② グラビア印刷
製
③ カクジッパー
取扱
：日本国特許第2844442号取得
0.会社概要
当社は製袋事業を主力として、グラビア印刷や充填包装事
受注が大半。近年は製袋を内製している印刷会社が外注
＜包装事業のサプライチェーンと当社の役割＞
フィルム製造から充填包装を経て消費者に届く過程で、当社はグ
サプライチェーンの中で、グラビア印刷、ラミネート加工、製袋をまと
して対応している。近年では外注に切り替える動きがあり当社に
包装事</t>
  </si>
  <si>
    <t>会社全体の売上成長目標
2.2倍
• 売上高:
会社全体の賃上げ目標
2.2倍
• 給与支給総額:
1.4倍
• 1人あたり給与支給額:
1.5倍
• 従業員数:
※ 最新期実績と計画最終年度比</t>
  </si>
  <si>
    <t>【p.1／当社・会社の概要】
0.会社概要
当社は、埼玉県内に３工場を有し、食品等のパッケージ加
製袋の専門会社として、国内最大級のシェアを有し、ISO9
【p.1／当社・会社の概要】
＜会社概要＞ ＜
会社名 株式会社トッカコーポレーション 西
製
代表者 代表取締役 髙田 豊
三
製
住所 埼玉県草加市稲荷一丁目5番28号
設立 1995年2月20日
ト
工
① 各種ラミネートフィルム製袋加工
三
② グラビア印刷
製
③ カクジッパー
取扱
：日本国特許第2844442号取得
【p.2／当社・会社の概要】
0.会社概要
当社は製袋事業を主力として、グラビア印刷や充填包装事
受注が大半。近年は製袋を内製している印刷会社が外注
＜包装事業のサプライチェーンと当社の役割＞
フィルム製造から充填包装を経て消費者に届く過程で、当社はグ
サプライチェーンの中で、グラビア印刷、ラミネート加工、製袋をまと
して対応している。近年では外注に切り替える動きがあり当社に
包装事
【p.3／売上成長目標】
会社全体の売上成長目標
2.2倍
• 売上高:
会社全体の賃上げ目標
2.2倍
• 給与支給総額:
1.4倍
• 1人あたり給与支給額:
1.5倍
• 従業員数:
※ 最新期実績と計画最終年度比
【p.5／5人チームのスキル分布】
5人チームのスキル分布
〜中堅社員を１としたときのメンバーの生産性〜
1.25 新人、2年生の生産性を
3年生レベルまで高める
1
0.75
0.5
0.25
0
新人 2年生 3年生 中堅 リーダー
現在 補助事業実施から3年後</t>
  </si>
  <si>
    <t>【p.3】
株式会社トッカコーポレーション
1.長期成長ビジョン
高まる衛生面の強化とプラスチック低減の社会課題に応え、国内一の技術力と品質管理体制、生産性で食品
用パッケージの製袋事業の拡大を図るとともに、業界初の研修施設にて従業員と会社の持続的な成長を図る。
長期成長ビジョン（目指す姿・ビジネスモデル） 外発的動機
品質 No.1 • 包装市場全体は微増だが、市場拡大が続いている
• 製袋業界で、「世界一の品質の実現」（異物混入0（ゼロ）、
• 食品のパッケージを扱うということで、高度な品質管理が
枚数の相違0（ゼロ）
求められ、今までは大手印刷会社が内製化していたもの
人的資本投資 No.1 の、近年は専門会社に外注化する流れがある。例えば、
袋の材質向上に伴い、今までの箱の中の袋タイプから、袋
• 当社が、製袋の専門会社として、高い技術力と品質管理能力を認
められることで、今後、印刷会社からの事業譲渡や業界内の タイプにパッケージ変更を行い、コストダウンとパッケージデザ
M&amp;Aを積極的に行い、業界全体の給与水準の底上げを図る インの良化を図る等のケースが増えている
• 製袋業界の人材教育の業界標準を確立し、製袋業界の地位
向上を図る。業界内の他社からの研修受け入れも行い、業界 • 主には製袋加工を営む競合は、印刷会社や食品会社に
全体のスキル向上をリードする 比べると小規模会社も多く、品質管理や従業員教育体
制が不十分な会社も多い
シェアNo.1
• 印刷会社内の事業を外注化する流れを捉え、積極的に受注 内発的動機
拡大を図り製袋業界No.1の地位を確立。印刷会社や食品
会社へ提案できるビジネスパートナーとなる • リーディングカンパニーとして、業界全体の人材育成と給与
会社全体の売上成長目標 水準の引き上げにより魅力ある業界にしたい
2.2倍
• 売上高:
• 高い技術力と品質管理体制をベースとして、パッケージ素
会社全体の賃上げ目標 材の高度化や複雑な形状にも対応できる技術力を高め
ることで、顧客への提案活動を積極的に行う
2.2倍
• 給与支給総額:
”前向きである”組織であり続けたい
1.4倍
• 1人あたり給与支給額:
1.5倍 • 全従業員で信念を持って”安全で安心なもの”を世の中に
• 従業員数:
提供し続けたい
※ 最新期実績と計画最終年度比</t>
  </si>
  <si>
    <t>【p.4】
株式会社トッカコーポレーション
.補助事業の概要
2
新工場へ高速の製袋機を導入し当社ノウハウによりチューンアップを実施。さらに、人材の高度化をはかるため
OJT研修施設や育成システムを構築し、生産効率と生産能力UPを短期間で実施する。
• 簡易包装の関心の高まりにより、棚に自立で置ける立体構造の袋の需要が高まっているが、複
補助事業の 事業費 億円
17
雑で生産効率が悪く、職人技が求められる。
背景・目的 （補助額） （ . 億円）
5 5
• 当事業では、高効率で大量生産を実現する設備とヒトの体制を構築することを目的とする。
＜生産ライン＞
• 新工場を建設し高速でフィルムを立体構造に折って袋にする製袋機を導入
• 自社改造にて画像認識カメラ、軟X線検査装置を搭載
• 従来型に比べフィルムを12％節約し、生産性４％向上
• 段取り替え時間を2.5時間から1.5時間へ１時間短縮し生産性18％向上
• 生産スピードは、平均120ショット/分から130ショット/分へと高速化し、生産性８％向上
• トタニデータ通信システム(*7) を導入し、データを蓄積していくことで、更なる生産性改善や品質改善を図る
設備投資の
内容
＜教育施設＞
• 高速での製袋機は、微妙なパラメータ設定や前処理が歩留まりを左右する。補助事業の増員には若手へのノウハウ伝授による
早期戦力化が欠かせない。旧ラインを用いたOJT研修施設構築やノウハウの言語化、マニュアル化、職種別階層別研修を実施
し、一人当たりの生産能力を3年後に８％UPさせる
2027年度 （2028年1月期） 2030年度 （2031年1月期）
項目
（基準年度） （基準年度＋３年後）
879
労働生産性
582
（単位：万円/人） （年平均上昇率＋14.7%）
従業員1人あたり給与支給総額 520
目標値 380
（単位：万円/人） （年平均上昇率＋11. %）
1
役員１人あたり給与支給総額 -
-
（単位：万円/人） （年平均上昇率＋4.5%）
補助事業に係る従業員数
19 294
5
（単位：人）
【p.5】
株式会社トッカコーポレーション
.補助事業の概要
2
新工場へ高速の製袋機を導入し当社ノウハウによりチューンアップを実施。さらに、人材の高度化をはかるため
OJT研修施設や育成システムを構築し、生産効率と生産能力UPを短期間で実施する。
＜本投資によって見込まれる省力化等の内容＞
Before After
1 原材料低減 原材料フィルムに余白が必要 余白を減らし12％節約
製袋機がボルトタイプで段取り替えにお
2 段取替え時間の短縮 ボルトレスで段取り替えが1時間30分に短縮
生産ライン よそ2時間30分/回
(高速の製袋機)
従業員による目視確認。判定誤差が
画像認識カメラによる外観検査、軟X線によ
3 検査の自動化 あり不良をおさえるためスピードは平均
る検査を行い平均130ショットへ高速化
120ショット/分
何を、いつ、誰が、どのような条件で生産した
情報入力の手間があり、かつデータの粒
4 製造データの蓄積・活用 のが即わかるため、品質改善や次回設備立
度は粗い
上時間を削減(既存ラインにて試験的に導入中)
5人チームのスキル分布
実地研修を積めるOJT研修施設を構築し、若手の早
〜中堅社員を１としたときのメンバーの生産性〜
期戦力化を図る。①ノウハウの共有、②階層別研修、
③OJTの強化を実施する。
1.25 新人、2年生の生産性を
基準年度＋3年では、新人・2年生の生産性を3年
3年生レベルまで高める
生レベルまで早期育成を目指す。 1
教育施設 プロジェクトチームを作りベテランの暗黙知を言語化しマ
0.75
(人材育成) ニュアルを策定する。階層別研修では上位役職者が若
手を育成する役割やOJTの方法論を学び、若手は業 0.5
務のやり方について把握する。研修施設ではOff-JT用
0.25
に広めのスペースを設けた生産ラインを新設し、OJTとあ
わせ若手の早期戦力化を実現する。 0
新人 2年生 3年生 中堅 リーダー
現在 補助事業実施から3年後
【p.6】
株式会社トッカコーポレーション
.補助事業の概要
2
本事業の土地は既に取得済、建屋規模・生産機器の決定を進め、2026年1月着工〜2027年春に竣工・稼
働の計画。新工場・研修センターは地上3階建て、延床面積約3,750㎡、製袋機は最大15台の規模を想定
＜新工場の概観＞
1階
草加第二工場
新工場・研修センターは、
本社工場・草加第二工場
から車で5分圏内の立地
倉庫 荷別場
本社工場
新工場・研修センター
2階 3階
工場スペース
工場スペース
研修施設
製袋事業 製袋事業 10台
5台</t>
  </si>
  <si>
    <t>1.長期成長ビジョン 株式会社川金コアテック
免制震デバイスの「製品製造業」から、「分析・提案」から「設計・解析」「製造・施工」「点検・メンテナンス」まで、
ワンストップで提供し、免制震デバイスの「トータルソリューション事業」への変革</t>
  </si>
  <si>
    <t>外発的動機
• 当社市場は、「新設から補修」へと成長市場が急速にシフトしており、
補修割合の増加に向けた構造転換が必要（老朽化橋梁・建築物が
年々累積で増加し、点検や免制震デバイス需要が増加）
• 橋梁市場では、高速道路特措法改正により、補修需要が今後増加す
る事から体制整備が必要
• 建築市場では、新設件数は減少するものの、大規模化・高度化、半
導体工場やデータセンター、物流工場などの新たな大型需要増加
• 南海トラフ・首都直下型地震などの災害対策への需要増加と突発的
な需要増加により生産体制対応急務
• 発注側から多品種化・高サイズ化・高付加価値化など要求が高度化し
ており、小・中規模企業は撤退傾向にあり、供給を補う必要が高まる
• 最新期に資材高騰や人手不足による予算枯れによる売上減が発生</t>
  </si>
  <si>
    <t>内発的動機
• 供給量キャパが要因となり、国交省の工期に完了できなかったことが数
件あり、大きな課題となった。免制震は、品質が求められる製品である
事から、単なる工場拡張ではなく、効率化・管理体制・モノの流れの最
適化、在庫入出庫管理デジタル化など、生産～管理全体の製造プロ
セス高度化が必須
• 補修事業は、多品種が優位性となるため、在庫・検査・管理がより、煩
雑・複雑となる。現在は、在庫管理で言えば、ヒューマンパワーによる管
理で、製品は逸品一様のため、検索工数負担が非常に大きい。このた
め。在庫・出荷管理、検査などの体制刷新が必須
• AIによる橋梁の補修点検のための画像認識システムは、競合も未開発
な状況であり、国交省から打診があった事がきっかけである。AI開発には、
精緻な写真データセット量が必要であり、シェアトップである当社に高い
優位性がある領域であるため、ビジネスモデルの変革に向け推進</t>
  </si>
  <si>
    <t>◼ ビジョン
75年超の実績で磨いた業界トップクラスの免制震技術を核に、分析・提案
→設計・解析→製造・施工→点検・メンテまでワンストップで担う。単品デバ
イス供給にとどまらず、顧客の耐震課題を丸ごと解決するフルスタックのトータ
ルソリューション事業へ転換する
◼ 変革内容
１．製造拠点の新設による製造プロセス変革と建築支承市場参入
生産能力２倍となる新設拠点建築、塗装自動化設備や塗装ロボットを
導入。併せて、在庫、入出庫管理をタグでデジタル管理。検査も遠隔臨場
に対応。生産・在庫管理・検査体制、ロボットや自動化により、工場全体の
製造プロセスを変革
２．AI画像認識システム開発による点検自動化
開発したAIにより、橋梁状況を写真画像で損傷度合いを評価する。単な
る静的写真からではなく、複数枚の画像から動きを捉え、詳細診断を実施
する、業界初の革新的な画像認識システムである
点検自動化により、膨大な点検量をこなすことができ、その後のメンテ受注
の獲得や当社製品の提案数増加により売上寄与。その他将来的には、AI
システムの供与サービスを提供
３．上記により免制震デバイスのトータルソリューション事業へ
当社主力で成長する補修領域において、川上である「点検」を膨大に対
応する事により、川下のソリューションの提案・提供が可能となる。また、生産
能力として、工期を踏まえたキャパや、工場の非効率化が当社の弱みとなっ
ているため、新設による製造プロセスの変革により、生産能力を２倍・リード
タイム1.4倍へ
売上成長目標(2030年度全社（基準年比）)
売上成長目標(2030年度全社（基準年比）)
• 売上高成長率173％(cagr20%)
• 売上高増加額95億円
会社全体の賃上げ目標
• 0.69%（直近事業年度～基準年度）
•
5.5%（基準年度～事業化報告3年目）</t>
  </si>
  <si>
    <t>【p.1／売上成長目標】
◼ ビジョン
75年超の実績で磨いた業界トップクラスの免制震技術を核に、分析・提案
→設計・解析→製造・施工→点検・メンテまでワンストップで担う。単品デバ
イス供給にとどまらず、顧客の耐震課題を丸ごと解決するフルスタックのトータ
ルソリューション事業へ転換する
◼ 変革内容
１．製造拠点の新設による製造プロセス変革と建築支承市場参入
生産能力２倍となる新設拠点建築、塗装自動化設備や塗装ロボットを
導入。併せて、在庫、入出庫管理をタグでデジタル管理。検査も遠隔臨場
に対応。生産・在庫管理・検査体制、ロボットや自動化により、工場全体の
製造プロセスを変革
２．AI画像認識システム開発による点検自動化
開発したAIにより、橋梁状況を写真画像で損傷度合いを評価する。単な
る静的写真からではなく、複数枚の画像から動きを捉え、詳細診断を実施
する、業界初の革新的な画像認識システムである
点検自動化により、膨大な点検量をこなすことができ、その後のメンテ受注
の獲得や当社製品の提案数増加により売上寄与。その他将来的には、AI
システムの供与サービスを提供
３．上記により免制震デバイスのトータルソリューション事業へ
当社主力で成長する補修領域において、川上である「点検」を膨大に対
応する事により、川下のソリューションの提案・提供が可能となる。また、生産
能力として、工期を踏まえたキャパや、工場の非効率化が当社の弱みとなっ
ているため、新設による製造プロセスの変革により、生産能力を２倍・リード
タイム1.4倍へ
売上成長目標(2030年度全社（基準年比）)
【p.1／売上成長目標】
売上成長目標(2030年度全社（基準年比）)
• 売上高成長率173％(cagr20%)
• 売上高増加額95億円
会社全体の賃上げ目標
• 0.69%（直近事業年度～基準年度）
•
5.5%（基準年度～事業化報告3年目）</t>
  </si>
  <si>
    <t>【p.1】
1.長期成長ビジョン 株式会社川金コアテック
免制震デバイスの「製品製造業」から、「分析・提案」から「設計・解析」「製造・施工」「点検・メンテナンス」まで、
ワンストップで提供し、免制震デバイスの「トータルソリューション事業」への変革
◼ ビジョン 外発的動機
75年超の実績で磨いた業界トップクラスの免制震技術を核に、分析・提案 • 当社市場は、「新設から補修」へと成長市場が急速にシフトしており、
→設計・解析→製造・施工→点検・メンテまでワンストップで担う。単品デバ 補修割合の増加に向けた構造転換が必要（老朽化橋梁・建築物が
イス供給にとどまらず、顧客の耐震課題を丸ごと解決するフルスタックのトータ 年々累積で増加し、点検や免制震デバイス需要が増加）
ルソリューション事業へ転換する • 橋梁市場では、高速道路特措法改正により、補修需要が今後増加す
◼ 変革内容 る事から体制整備が必要
１．製造拠点の新設による製造プロセス変革と建築支承市場参入 • 建築市場では、新設件数は減少するものの、大規模化・高度化、半
生産能力２倍となる新設拠点建築、塗装自動化設備や塗装ロボットを 導体工場やデータセンター、物流工場などの新たな大型需要増加
導入。併せて、在庫、入出庫管理をタグでデジタル管理。検査も遠隔臨場 • 南海トラフ・首都直下型地震などの災害対策への需要増加と突発的
に対応。生産・在庫管理・検査体制、ロボットや自動化により、工場全体の な需要増加により生産体制対応急務
製造プロセスを変革 • 発注側から多品種化・高サイズ化・高付加価値化など要求が高度化し
２．AI画像認識システム開発による点検自動化 ており、小・中規模企業は撤退傾向にあり、供給を補う必要が高まる
開発したAIにより、橋梁状況を写真画像で損傷度合いを評価する。単な • 最新期に資材高騰や人手不足による予算枯れによる売上減が発生
る静的写真からではなく、複数枚の画像から動きを捉え、詳細診断を実施
する、業界初の革新的な画像認識システムである 内発的動機
点検自動化により、膨大な点検量をこなすことができ、その後のメンテ受注 • 供給量キャパが要因となり、国交省の工期に完了できなかったことが数
の獲得や当社製品の提案数増加により売上寄与。その他将来的には、AI 件あり、大きな課題となった。免制震は、品質が求められる製品である
システムの供与サービスを提供 事から、単なる工場拡張ではなく、効率化・管理体制・モノの流れの最
３．上記により免制震デバイスのトータルソリューション事業へ 適化、在庫入出庫管理デジタル化など、生産～管理全体の製造プロ
当社主力で成長する補修領域において、川上である「点検」を膨大に対 セス高度化が必須
応する事により、川下のソリューションの提案・提供が可能となる。また、生産 • 補修事業は、多品種が優位性となるため、在庫・検査・管理がより、煩
能力として、工期を踏まえたキャパや、工場の非効率化が当社の弱みとなっ 雑・複雑となる。現在は、在庫管理で言えば、ヒューマンパワーによる管
ているため、新設による製造プロセスの変革により、生産能力を２倍・リード 理で、製品は逸品一様のため、検索工数負担が非常に大きい。このた
タイム1.4倍へ め。在庫・出荷管理、検査などの体制刷新が必須
売上成長目標(2030年度全社（基準年比）) • AIによる橋梁の補修点検のための画像認識システムは、競合も未開発
• 売上高成長率173％(cagr20%) な状況であり、国交省から打診があった事がきっかけである。AI開発には、
• 売上高増加額95億円 精緻な写真データセット量が必要であり、シェアトップである当社に高い
会社全体の賃上げ目標
優位性がある領域であるため、ビジネスモデルの変革に向け推進
• 0.69%（直近事業年度～基準年度）
• 5.5%（基準年度～事業化報告3年目）</t>
  </si>
  <si>
    <t>【p.2】
.補助事業の概要 株式会社川金コアテック
2
免制震デバイスの「製品製造業」から、「分析・提案」から「設計・解析」「製造・施工」「点検・メンテナンス」まで、
ワンストップで提供し、橋梁から建築強化により免制震デバイスの「トータルソリューション事業」へ変革
• 高速道路橋梁における更新ニーズは引き続き強い一方、生産スペック不足で工期遅れリスク
補助事業の • 海外・建築市場の拡大に向け製品量産化に対応する工場が必要 事業費 4 億円
0
背景・目的 • 国交省要請で、AI画像認識システムを開発。点検・メンテナンス・施工に本格参入により川上 （補助額） （11億円）
から川下までのトータルソリューションを展開し、差別化を図る
⚫ 製造拠点
以下の製造拠点設立により、生産キャパ２倍に大規模投資。
• 組み立て工場建設
• 塗装工場建設 一工場ですべてが完結するワン
ストップ化、協同ロボや塗装自
• 危険物倉庫棟建設 動化導入、デジタル化により、
高い省人化と生産性を実現
設備投資の ⚫ 機械装置導入
内容 ロボットや自動化設備、最新試験機導入により、生産性・品質
向上
• レール式塗装装置・ローラーブラストマシン
• 自動裁断機・プレス機・クレーン
• ほか
⚫ AI診断システム開発 ※補助経費対象外
基準年 +3期
項目
28/3月期 31/3月期
労働生産性 3,624
2,333
(万円/人) 年平均上昇率＋15.8%
目標値 従業員1人あたり 810
691
給与支給総額（万円/人） 年平均上昇率＋5.5%
役員1人あたり -
給与支給総額（万円/人） - 年平均上昇率＋5.5%
補助事業にかかる従業員数 198
182
（単位：人） 年平均上昇率＋2.8%</t>
  </si>
  <si>
    <t>株式会社エネルギーギャップ
1.長期成長ビジョン
国内外で想定される再生エネルギー需要増加の後押しを受け、鹿児島工場への新工場設立による蓄電池製
造を起点とした施策を実行することで、2030年度に2024年度比602億円の売上増加を目指す。</t>
  </si>
  <si>
    <t>長期成長ビジョン（目指す姿・ビジネスモデル）
私たちは“未来から今を見る“を合言葉にし、地域と世界
をつなぐ、国産再生エネルギーソリューション企業を目指し
ています。
目指す姿に向け以下、成長の3本柱を実行していきます。
① メイドインジャパン
鹿児島工場で蓄電池の国産製造を開始し、“ジャパン・クオリ
ティ”による信頼を確立
② 統合ソリューションの深化（太陽光×蓄電池×EMS*）
再エネの創る・貯める・使うを自社技術で一体提供し、法人・
自治体に最適提案を実現
③ 地域共創とグローバル展開の両立
地元雇用・資源活用で地域に根ざしながら、国内外（日本
12GWh、海外20GWh）の案件に対応</t>
  </si>
  <si>
    <t>外発的動機
① 国の脱炭素政策・エネルギー政策の加速
政府は再エネ比率36～38%の実現に向け、太陽光とともに蓄電
池を中核インフラと位置づけ、その整備を国策として加速している。
② 海外依存に対する国内製造回帰の動き
蓄電池の海外依存が高まる中、日本国内での安定供給体制の
確立は、コストだけでなく産業安全保障の観点からも急務となって
いる。
③ 市場の構造変化と顧客ニーズの高まり
太陽光＋蓄電池の需要が国内外で急増する中、当社には既に
大規模案件が進行しており、国産による安定供給への期待が高
まっている。</t>
  </si>
  <si>
    <t>内発的動機
• 日本の技術で、安心できるエネルギーを届けたい
かつて世界をリードしていた日本のエネルギー技術を再び国内外へ
発信したいという想いから、2014年にエネルギーギャップを創業しま
した。10年かけて国内工場を立ち上げ、「メイド・イン・ジャパン」の品
質と信頼を築いてきた。
• 蓄電池販売のビジネスチャンスが到来
蓄電池の需要が世界中で爆発的に増加する中、当社も日本・米
国で合計30GWh超の大型プロジェクトに関与している。
• 国内製造による地域共生
蓄電池事業の国内化は、地域との共生・雇用創出・賃上げといっ
た社会的責任を果たす取り組みに繋がると考えている。</t>
  </si>
  <si>
    <t>会社全体の売上成長目標（～2030年）
• 売上高成長率 753％
• 売上高増加額 602億円
会社全体の賃上げ目標
• 年平均 9.5%（直近事業年度～基準年度）
• 年平均 7.4%（基準年度～事業化報告3年目）</t>
  </si>
  <si>
    <t>【p.1／売上成長目標】
会社全体の売上成長目標（～2030年）
• 売上高成長率 753％
• 売上高増加額 602億円
会社全体の賃上げ目標
• 年平均 9.5%（直近事業年度～基準年度）
• 年平均 7.4%（基準年度～事業化報告3年目）</t>
  </si>
  <si>
    <t>【p.1】
株式会社エネルギーギャップ
1.長期成長ビジョン
国内外で想定される再生エネルギー需要増加の後押しを受け、鹿児島工場への新工場設立による蓄電池製
造を起点とした施策を実行することで、2030年度に2024年度比602億円の売上増加を目指す。
長期成長ビジョン（目指す姿・ビジネスモデル） 外発的動機
① 国の脱炭素政策・エネルギー政策の加速
私たちは“未来から今を見る“を合言葉にし、地域と世界
政府は再エネ比率36～38%の実現に向け、太陽光とともに蓄電
をつなぐ、国産再生エネルギーソリューション企業を目指し
池を中核インフラと位置づけ、その整備を国策として加速している。
ています。
② 海外依存に対する国内製造回帰の動き
蓄電池の海外依存が高まる中、日本国内での安定供給体制の
確立は、コストだけでなく産業安全保障の観点からも急務となって
目指す姿に向け以下、成長の3本柱を実行していきます。
いる。
① メイドインジャパン
③ 市場の構造変化と顧客ニーズの高まり
鹿児島工場で蓄電池の国産製造を開始し、“ジャパン・クオリ
太陽光＋蓄電池の需要が国内外で急増する中、当社には既に
ティ”による信頼を確立
大規模案件が進行しており、国産による安定供給への期待が高
② 統合ソリューションの深化（太陽光×蓄電池×EMS*）
まっている。
再エネの創る・貯める・使うを自社技術で一体提供し、法人・
自治体に最適提案を実現
③ 地域共創とグローバル展開の両立 内発的動機
地元雇用・資源活用で地域に根ざしながら、国内外（日本 • 日本の技術で、安心できるエネルギーを届けたい
12GWh、海外20GWh）の案件に対応 かつて世界をリードしていた日本のエネルギー技術を再び国内外へ
発信したいという想いから、2014年にエネルギーギャップを創業しま
した。10年かけて国内工場を立ち上げ、「メイド・イン・ジャパン」の品
会社全体の売上成長目標（～2030年）
質と信頼を築いてきた。
• 売上高成長率 753％
• 蓄電池販売のビジネスチャンスが到来
• 売上高増加額 602億円
蓄電池の需要が世界中で爆発的に増加する中、当社も日本・米
会社全体の賃上げ目標 国で合計30GWh超の大型プロジェクトに関与している。
• 年平均 9.5%（直近事業年度～基準年度） • 国内製造による地域共生
• 年平均 7.4%（基準年度～事業化報告3年目） 蓄電池事業の国内化は、地域との共生・雇用創出・賃上げといっ
た社会的責任を果たす取り組みに繋がると考えている。
*EMS：エネルギーマネジメントシステム</t>
  </si>
  <si>
    <t>【p.2】
株式会社エネルギーギャップ
.補助事業の概要
2
太陽光事業の強化を図りつつ、急拡大する蓄電池市場の波を確実に捉えるため、次なる成長戦略として鹿児
島工場敷地内に蓄電池製造ラインを含む新工場建屋を建設する。
• 現時点で既に、日本国内では約12GWh分の蓄電池プロジェクト、またアメリカ市場では約
20GWh分もの商談・提携案件の受注・共同開発・納入に向けた交渉を進行中。
補助事業の 事業費 億円
87
背景・目的 • 一方で、現在取り扱っている蓄電池製品は海外メーカー製を当社が輸入して顧客へ提供して （補助額） （26億円）
おり、コスト・供給の安定性・品質面で課題が顕在化。
• 当社で責任をもち高品質な製品・サービスを提供するため、以下を実行する。
✓ 鹿児島工場敷地内における新建屋の建設
✓ 蓄電池システム製造ラインの新設
✓ 太陽電池モジュール新製造ラインの設置
✓ 製造ラインEMS管理システムの構築
設備投資の
• 補助事業により以下を実現し、労働生産性の向上を見込む。
内容
✓ 新工場では効率的なレイアウトに更新、効率的な設備を導入し生
産・人員効率を高める。
✓ 新たに蓄電池製造組立を開始し、既存製品と統合ソリューションとし
て提供可能とすることで、増加した付加価値を原資に賃上げを実施
する。
EG鹿児島工場（鹿児島県出水市）
2027年度 2030年度
項目
（基準年度） （基準年度＋３年後）
労働生産性 10,294
3,144
（単位：万円/人） （年平均上昇率＋48.5％）
目標値 従業員1人あたり給与支給総額 592
497
（単位：万円/人） （年平均上昇率＋6.0％）
役員１人あたり給与支給総額
-
（単位：万円/人） - （年平均上昇率＋6.0％）
補助事業に係る従業員数
82 87
（単位：人）</t>
  </si>
  <si>
    <t>エックスサーバー株式会社
1.長期成長ビジョン
当社は独立系のホスティング事業者です。国内Webサイトの4分の1を運用、シェア28.2%*（国内1位）、運用サイト数250万件を有し、中小・起業・個人が主な顧客です。
重大不具合のない品質と技術への信頼で高い支持を得ています。中小・地域企業は①省力化と付加価値、②高度化（DXの浸透や生成AI活用）、③クラウド利用多様化と
いう環境激変に直面しています。これら企業は社内の情報人材に制約のある中で高度な情報対応が求められます。当社の技術と支援力がこれら企業の競争力と生き残りに直結し
ます。当社は「国産クラウド」として従来の柔軟・安定対応に高度利用を加え、新たな（第2の）成長軌道で応えます。 「国産クラウド」で公共性を担うのが当社成長の軸になります。</t>
  </si>
  <si>
    <t>長期成長ビジョン（目指す姿・ビジネスモデル）
理念
日本のデジタル基盤を支える国産クラウド事業者
目標
日本を代表するクラウドインフラ事業者として確固たる地位を確立
社会に対する価値提供
• 中小企業のIT活用促進・生産性向上による賃金・所得アップ
• 誰もが生成AIをはじめとしたデジタル技術を活用できる環境整備
• 国産のクラウド基盤を確立し、経済安全保障・地方創生に寄与
• 最新デジタル技術・AI技術発展と人材育成の好循環を生み出す
環境創出</t>
  </si>
  <si>
    <t>外発的動機
• グローバル競争の激化による中小企業の生き残り戦略としてのデジタル活用ニーズの高まり
（中小・地域企業の生き残りには高度な情報対応が求められ、同時に飛躍の機会にもなる）
• 生成AI革命による産業構造の変革と、それに対応するための新たなクラウドインフラ需要の急増
• 日本の労働生産性の低迷（OECD加盟38か国中31位）という社会課題と、中小企業のDX推
進による解決可能性
• 大手クラウド事業者の値上げに伴う、コスト効率の高い代替サービスへの市場ニーズの拡大
• 少子高齢化による労働力不足を補う自動化・効率化ツールとしてのクラウドサービス活用の必要性
• データセキュリティや経済安全保障の観点から、国産クラウドサービスへの期待の高まり
• コロナ禍を経て加速したリモートワークやデジタルコミュニケーションの定着
• デジタル庁設置やデジタル田園都市国家構想など、国家レベルでのデジタル化推進施策の加速</t>
  </si>
  <si>
    <t>内発的動機
• 創業当初からの「最高を提供する」という企業理念に基づく、絶え間ない革新と成長への投資
• 50万ユーザー、250万サイトを有する国内有数のインフラサービス事業者としての誇りと、
日本のデジタル基盤を支えるという使命感
• エンジニア発の企業として、技術力で社会課題を解決することへの情熱と責任
• 中小企業の成長を支援することで得られる達成感と、顧客の成功体験が自社の原動力に
• 自社開発・自社運用にこだわり続けてきた技術者としてのプライドと、さらなる高みを目指す向上心
• 業界の先駆者として、創業20年以上の歴史で培った「安定性」と「信頼性」を基盤に、次の時代の
デジタル革命を牽引したいという願望
• 日本のデジタル人材育成に貢献することで、持続可能な社会づくりに参画するという社会的責任感</t>
  </si>
  <si>
    <t>会社全体の売上成長目標（～2030年）
•
売上高成長率：年平均
130％成長
（2030年3月期までに売上300億円 、10年後には1000億円）
•
売上高増加額：+223億円
（2024年3月期77億円 → 2030年3月期300億円）
会社全体の賃上げ目標
• 6.8 ％ （直近事業年度～基準年度 ）
• 10.04 ％ （基準年度～事業化報告3年目平均）</t>
  </si>
  <si>
    <t>【p.1／売上成長目標】
会社全体の売上成長目標（～2030年）
•
売上高成長率：年平均
130％成長
（2030年3月期までに売上300億円 、10年後には1000億円）
•
売上高増加額：+223億円
（2024年3月期77億円 → 2030年3月期300億円）
会社全体の賃上げ目標
• 6.8 ％ （直近事業年度～基準年度 ）
• 10.04 ％ （基準年度～事業化報告3年目平均）
【p.2／当社の社会的インパクト】
当社の社会的インパクト
- 1年間に創業する15万社のうち、サイト開設する法人数7.5万社。その35％以上にあたる2.毎年7万社以上が当社サービスを新たに選択
- 現在、会社サイトやメールアドレス運用を中心に日本の「町のクラウド」として、22万社以上の中小企業のデジタル化を支えている
- 情報人材に制約のある中小企業のIT・デジタル・AI活用を「初心者でも使える」から「本格的な活用」まで、切れ目なくサポートする
- 当社が、生成AI・デジタル化を支援するクラウドインフラ・クラウドサービスを整備・提供することは、中小のデジタル・AI活用による競争力と生き残りに直結
- 個人を含む利用数は約50万件、250万サイト以上を運用。競合より数倍高い客単価にも拘らず国内シェアは28.2％で国内1位。シェアは年々拡大傾向にある
- 当社インフラ上で運用されるドメイン数は約100万件であり、国内1位・世界27位の位置にある
- 海外クラウド事業者への依存を減らすことは、サービスの安定供給、きめ細かいサービスとともに経済安全保障にも貢献する国産クラウドの使命
当社の技術的強み
- 機器調達、インフラ設計・構築・運用、アプリケーション開発、一気通貫で可能な自社開発・運用能力
- 20年以上、250万サイト以上を大きな障害・インシデントを起こすことなく運用してきた自社データセンターと、独自開発の運用管理ツール群
社会的意義
- 中小企業のIT・デジタル・AI活用促進による生産性向上と賃金上昇への貢献
- 地方創生：地域の中小企業のデジタル化（生き残り策＋成長の“飛び道具”）を支える「町のクラウド」としての役割
- 経済安全保障：国産クラウド基盤の確立による海外依存度の低減
- デジタル人材育成：日本のIT・デジタル・AIリテラシー向上のための学習・開発環境の提供
- 特に生成AIはインターネット革命に匹敵すると考えられ、中小企業におけるAI活用は、日本社会・経済にとって不可欠かつ急務
【p.2／▼外部調査・統計データ】
▼外部調査・統計データ
- 国内Webサイトの4分の1がエックスサーバーを利用、W3Techs調査で国内トップシェア率28.2％を獲得 https://w3techs.com/technologies/segmentation/sl-jp-/web_hosting
- 国内法人数は、総務省統計局の実施した調査(令和3年6月1日実施、令和5年6月27日公表)によると「207万社」であり、近年は横ばい傾向
- 新設法人数は、帝国データバンクの実施した調査(2023年調査、2024年5月28日公表)によると「約15万社」であり、2010年代後半から増加傾向（平均すると14万件程度）
- 小規模法人(20名以下)のサイト開設率は、中小企業庁の調査（2013年版白書）によると「約46％」であり、中規模・大手企業と大きな乖離あり
※小規模企業が全体の85％であり、全法人のうち50％程度のHP開設率だと考えられる
※総務省の調査(令和5年通信利用動向調査報告書(希望編))によるとHP開設率は93％(100名以上の法人が対象)
- bgp.toolsによる公開情報、Japan Network Rankings/Global Network RankingsのHost Rankより、当社は国内1位、世界27位</t>
  </si>
  <si>
    <t>【p.1】
エックスサーバー株式会社
1.長期成長ビジョン
当社は独立系のホスティング事業者です。国内Webサイトの4分の1を運用、シェア28.2%*（国内1位）、運用サイト数250万件を有し、中小・起業・個人が主な顧客です。
重大不具合のない品質と技術への信頼で高い支持を得ています。中小・地域企業は①省力化と付加価値、②高度化（DXの浸透や生成AI活用）、③クラウド利用多様化と
いう環境激変に直面しています。これら企業は社内の情報人材に制約のある中で高度な情報対応が求められます。当社の技術と支援力がこれら企業の競争力と生き残りに直結し
ます。当社は「国産クラウド」として従来の柔軟・安定対応に高度利用を加え、新たな（第2の）成長軌道で応えます。 「国産クラウド」で公共性を担うのが当社成長の軸になります。
外発的動機
長期成長ビジョン（目指す姿・ビジネスモデル）
• グローバル競争の激化による中小企業の生き残り戦略としてのデジタル活用ニーズの高まり
理念
（中小・地域企業の生き残りには高度な情報対応が求められ、同時に飛躍の機会にもなる）
日本のデジタル基盤を支える国産クラウド事業者
• 生成AI革命による産業構造の変革と、それに対応するための新たなクラウドインフラ需要の急増
目標
• 日本の労働生産性の低迷（OECD加盟38か国中31位）という社会課題と、中小企業のDX推
日本を代表するクラウドインフラ事業者として確固たる地位を確立 進による解決可能性
社会に対する価値提供 • 大手クラウド事業者の値上げに伴う、コスト効率の高い代替サービスへの市場ニーズの拡大
• 中小企業のIT活用促進・生産性向上による賃金・所得アップ • 少子高齢化による労働力不足を補う自動化・効率化ツールとしてのクラウドサービス活用の必要性
• 誰もが生成AIをはじめとしたデジタル技術を活用できる環境整備 • データセキュリティや経済安全保障の観点から、国産クラウドサービスへの期待の高まり
• 国産のクラウド基盤を確立し、経済安全保障・地方創生に寄与 • コロナ禍を経て加速したリモートワークやデジタルコミュニケーションの定着
• 最新デジタル技術・AI技術発展と人材育成の好循環を生み出す • デジタル庁設置やデジタル田園都市国家構想など、国家レベルでのデジタル化推進施策の加速
環境創出
会社全体の売上成長目標（～2030年） 内発的動機
•
売上高成長率：年平均130％成長
• 創業当初からの「最高を提供する」という企業理念に基づく、絶え間ない革新と成長への投資
（2030年3月期までに売上300億円 、10年後には1000億円）
• 50万ユーザー、250万サイトを有する国内有数のインフラサービス事業者としての誇りと、
•
売上高増加額：+223億円
日本のデジタル基盤を支えるという使命感
（2024年3月期77億円 → 2030年3月期300億円） • エンジニア発の企業として、技術力で社会課題を解決することへの情熱と責任
会社全体の賃上げ目標 • 中小企業の成長を支援することで得られる達成感と、顧客の成功体験が自社の原動力に
• 自社開発・自社運用にこだわり続けてきた技術者としてのプライドと、さらなる高みを目指す向上心
• 6.8 ％ （直近事業年度～基準年度）
• 業界の先駆者として、創業20年以上の歴史で培った「安定性」と「信頼性」を基盤に、次の時代の
• 10.04 ％ （基準年度～事業化報告3年目平均）
デジタル革命を牽引したいという願望
• 日本のデジタル人材育成に貢献することで、持続可能な社会づくりに参画するという社会的責任感
【p.2】
エックスサーバー株式会社
1-1. 中小企業のデジタル革新を牽引する：当社の社会的役割と技術力
中小企業が安心・安全・簡単に利用できるクラウドインフラを自社開発・運用し、年間15万社の新設法人のうち35％以上に選ば
れるサービスを提供。現在は22万社超の中小企業、約50万件の利用者を支え、ドメイン数は国内1位（世界27位）です。
当社の社会的インパクト
- 1年間に創業する15万社のうち、サイト開設する法人数7.5万社。その35％以上にあたる2.毎年7万社以上が当社サービスを新たに選択
- 現在、会社サイトやメールアドレス運用を中心に日本の「町のクラウド」として、22万社以上の中小企業のデジタル化を支えている
- 情報人材に制約のある中小企業のIT・デジタル・AI活用を「初心者でも使える」から「本格的な活用」まで、切れ目なくサポートする
- 当社が、生成AI・デジタル化を支援するクラウドインフラ・クラウドサービスを整備・提供することは、中小のデジタル・AI活用による競争力と生き残りに直結
- 個人を含む利用数は約50万件、250万サイト以上を運用。競合より数倍高い客単価にも拘らず国内シェアは28.2％で国内1位。シェアは年々拡大傾向にある
- 当社インフラ上で運用されるドメイン数は約100万件であり、国内1位・世界27位の位置にある
- 海外クラウド事業者への依存を減らすことは、サービスの安定供給、きめ細かいサービスとともに経済安全保障にも貢献する国産クラウドの使命
当社の技術的強み
- 機器調達、インフラ設計・構築・運用、アプリケーション開発、一気通貫で可能な自社開発・運用能力
- 20年以上、250万サイト以上を大きな障害・インシデントを起こすことなく運用してきた自社データセンターと、独自開発の運用管理ツール群
社会的意義
- 中小企業のIT・デジタル・AI活用促進による生産性向上と賃金上昇への貢献
- 地方創生：地域の中小企業のデジタル化（生き残り策＋成長の“飛び道具”）を支える「町のクラウド」としての役割
- 経済安全保障：国産クラウド基盤の確立による海外依存度の低減
- デジタル人材育成：日本のIT・デジタル・AIリテラシー向上のための学習・開発環境の提供
- 特に生成AIはインターネット革命に匹敵すると考えられ、中小企業におけるAI活用は、日本社会・経済にとって不可欠かつ急務
▼外部調査・統計データ
- 国内Webサイトの4分の1がエックスサーバーを利用、W3Techs調査で国内トップシェア率28.2％を獲得 https://w3techs.com/technologies/segmentation/sl-jp-/web_hosting
- 国内法人数は、総務省統計局の実施した調査(令和3年6月1日実施、令和5年6月27日公表)によると「207万社」であり、近年は横ばい傾向
- 新設法人数は、帝国データバンクの実施した調査(2023年調査、2024年5月28日公表)によると「約15万社」であり、2010年代後半から増加傾向（平均すると14万件程度）
- 小規模法人(20名以下)のサイト開設率は、中小企業庁の調査（2013年版白書）によると「約46％」であり、中規模・大手企業と大きな乖離あり
※小規模企業が全体の85％であり、全法人のうち50％程度のHP開設率だと考えられる
※総務省の調査(令和5年通信利用動向調査報告書(希望編))によるとHP開設率は93％(100名以上の法人が対象)
- bgp.toolsによる公開情報、Japan Network Rankings/Global Network RankingsのHost Rankより、当社は国内1位、世界27位</t>
  </si>
  <si>
    <t>【p.3】
エックスサーバー株式会社
.補助事業の概要
2
「中小企業DX・AI活用推進のためのクラウドインフラ基盤整備・開発事業」として、顧客ニーズに対応可能な
従来より大幅に拡張性・効率性の高い国産クラウド環境を構築します。
補助事業の • 中小企業が低コストかつ高性能な国産クラウドを利用できる環境を整備し、生成AIやDX導入を促進 事業費 • 設備投資総額： 35 億円 *
• 日本国内でのデータ保管・サポートを強化し、経済安全保障と地方創生に貢献 （うち補助金 6.8億円）
背景・目的 （補助額）
• これらを実現するため、新設備の投資を通じて新領域に進出し、当社としても新たな成長軌道を実現 • 自己資金で残額を対応
新たなクラウドインフラ基盤を構築・拡張
• データセンター拠点の強化（高性能サーバー、ネットワーク機器など）
• 管理パネルなどの基盤システムを開発・導入
本プロジェクトでは、ラック・電源設備、ネットワーク回線、サーバー・スイッチなどの機器類をまとめて導入し、
VPSやクラウド事業(IaaS/PaaS)および法人SaaS事業などで活用予定。生成AIによるサービスの展開も想定。
設備投資の概要
• 電源・ラック設備、ネットワーク回線・配線、サーバー・ストレージ・スイッチ類、その他資材 など
設備投資の 課題解決への貢献
内容
• スケーラビリティと高性能
AI需要増やアクセス集中に対応できる大容量サーバー・ストレージ冗長化で障害発生時のダウンタイムを最小化
• セキュリティ・可用性の向上
新機器や保守サービスで監視体制とセキュリティを強化電源冗長化により24時間安定稼働を実現させる
• 国産クラウドとしての社会的役割
国内保管・運用で経済安全保障を支援円建て料金や日本語サポートで中小企業のDXを促進
この投資は「スケーラビリティ」「高可用性」「セキュリティ」を飛躍的に強化し、運用効率を高める取り組みです。国内
企業のDX推進を支える国産クラウド事業者としての競争力向上と、当社自身の成長を同時に実現していきます。
2026年度 2029年度
項目
（基準年度） （基準年度＋３年後）
労働生産性 エックスサーバー：3,654万円 エックスサーバー：13,918万円（年平均上昇率＋56.2％）
（単位：万円/人） エックスサーバークラウド：3,070万円 エックスサーバークラウド：5,436万円（年平均上昇率＋21.0％）
目標値 従業員1人あたり給与支給総額 エックスサーバー：695万円 エックスサーバー：925万円（年平均上昇率＋10.0％）
（単位：万円/人） エックスサーバークラウド：727万円 エックスサーバークラウド：968万円（年平均上昇率＋10.0％）
役員１人あたり給与支給総額 エックスサーバー： - エックスサーバー： -（年平均上昇率＋10.2％）
（単位：万円/人） エックスサーバークラウド： - エックスサーバークラウド： -（年平均上昇率＋10.1％）
補助事業に係る従業員数 エックスサーバー：15人 エックスサーバー：30人
（単位：人） エックスサーバークラウド：10人 エックスサーバークラウド：25人</t>
  </si>
  <si>
    <t>ハビックス株式会社
1.⾧期成⾧ビジョン
『ビューティフルライフ創造企業』という経営ミッションのもと衛生用品メーカーへ進化し、社会の衛生向上および
サステナビリティに寄与する商品を提供することで、2030年度売上高236億円、営業利益19億円を目指す。</t>
  </si>
  <si>
    <t>⾧期成⾧ビジョン（目指す姿・ビジネスモデル）
『ビューティフルライフ創造企業』という経営ミッションのもと、以下の観
点で⾧期成⾧ビジョンを達成する。
• 新事業・新分野創出
 衛生用品の加工事業および医療・介護分野へ進出し、2030
年度までに新事業・新分野の売上高割合40%以上を目指す
• 競争力強化
 技術提携や共同開発における戦略的アライアンスをさらに強化
し、新事業創出や既存事業の高付加価値化を図る
 国内外拠点を含め、事業ポートフォリオを見直し効率化を図る
 工場の自動化DXを推進することで操業員数を減らし、1人あ
たり生産効率を引き上げる
• 経営基盤強化
 執行役員や部⾧等への権限移譲を進め、経営のスピード化を
図るとともに、社外取締役の増員等により内部統制を強化する
• 人材マネジメント
 従業員エンゲージメントとものづくりプライドの向上を図る
 体系的研修の実施、マルチスキルアップ支援制度、OJT整備
等で人材を強化するとともに、専門的知識を有する人材の中
途採用を強化する
• サステナビリティ対応
 2050年のカーボンニュートラルに向けた脱炭素化へ取組み、
CO2の排出量を2050年までに80%の削減を目指す</t>
  </si>
  <si>
    <t>外発的動機
• コロナ禍を経た消費者の衛生意識の向上や外食産業界のインバウ
ンドの増加により、衛生用品の需要が増加している。
• 新参メーカーによる衛生用品業界参入や中国製品の流入により、
衛生用品業界における競争が激化している。
• 原燃料や資材の価格高騰や円安により、急激にコストが上昇して
おり、より強靭な収益体質が求められる。
• 交替勤務体系において人員不足がより深刻化している。</t>
  </si>
  <si>
    <t>内発的動機
• 要求品質が厳しい衛生用品業界において、パルプ不織布、化合繊
不織布、衛生用紙の3種を有している素材メーカーはおらず、素材
の特性を強みとして活かした製品展開・事業展開は合理的である。
• 一方で、素材ビジネスでは付加価値に限りがあるため、より高付加
価値な製品で持続的な成⾧を遂げるには、最終製品の事業展開
が必要である。
• 衛生用品のOEM受託により、加工事業のノウハウを蓄積し、その
先の加工事業につなげ、素材メーカーから衛生用品メーカーへ
進化を遂げる。</t>
  </si>
  <si>
    <t>【p.1／売上成長目標】
売上成⾧目標（基準年度比）
• 2030年度までに会社全体の売上高増加額75億円
• 2030年までに会社全体の売上高年平均成⾧率14%
【p.2／2027年度】
2027年度
項目
（基準年度）</t>
  </si>
  <si>
    <t>【p.1】
ハビックス株式会社
1.⾧期成⾧ビジョン
『ビューティフルライフ創造企業』という経営ミッションのもと衛生用品メーカーへ進化し、社会の衛生向上および
サステナビリティに寄与する商品を提供することで、2030年度売上高236億円、営業利益19億円を目指す。
⾧期成⾧ビジョン（目指す姿・ビジネスモデル） 外発的動機
『ビューティフルライフ創造企業』という経営ミッションのもと、以下の観 • コロナ禍を経た消費者の衛生意識の向上や外食産業界のインバウ
点で⾧期成⾧ビジョンを達成する。 ンドの増加により、衛生用品の需要が増加している。
• 新事業・新分野創出 • 新参メーカーによる衛生用品業界参入や中国製品の流入により、
 衛生用品の加工事業および医療・介護分野へ進出し、2030 衛生用品業界における競争が激化している。
年度までに新事業・新分野の売上高割合40%以上を目指す • 原燃料や資材の価格高騰や円安により、急激にコストが上昇して
• 競争力強化 おり、より強靭な収益体質が求められる。
 技術提携や共同開発における戦略的アライアンスをさらに強化 • 交替勤務体系において人員不足がより深刻化している。
し、新事業創出や既存事業の高付加価値化を図る
 国内外拠点を含め、事業ポートフォリオを見直し効率化を図る
内発的動機
 工場の自動化DXを推進することで操業員数を減らし、1人あ
• 要求品質が厳しい衛生用品業界において、パルプ不織布、化合繊
たり生産効率を引き上げる
不織布、衛生用紙の3種を有している素材メーカーはおらず、素材
• 経営基盤強化
の特性を強みとして活かした製品展開・事業展開は合理的である。
 執行役員や部⾧等への権限移譲を進め、経営のスピード化を
• 一方で、素材ビジネスでは付加価値に限りがあるため、より高付加
図るとともに、社外取締役の増員等により内部統制を強化する
価値な製品で持続的な成⾧を遂げるには、最終製品の事業展開
• 人材マネジメント
が必要である。
 従業員エンゲージメントとものづくりプライドの向上を図る
• 衛生用品のOEM受託により、加工事業のノウハウを蓄積し、その
 体系的研修の実施、マルチスキルアップ支援制度、OJT整備 先の加工事業につなげ、素材メーカーから衛生用品メーカーへ
等で人材を強化するとともに、専門的知識を有する人材の中
進化を遂げる。
途採用を強化する
• サステナビリティ対応
売上成⾧目標（基準年度比）
 2050年のカーボンニュートラルに向けた脱炭素化へ取組み、
• 2030年度までに会社全体の売上高増加額75億円
CO2の排出量を2050年までに80%の削減を目指す
• 2030年までに会社全体の売上高年平均成⾧率14%</t>
  </si>
  <si>
    <t>【p.2】
ハビックス株式会社
2.補助事業の概要
素材メーカーが自社素材を活かした衛生用品の加工事業を展開する。新工場を建設し、加工ラインを導入する。
事業モデルの昇華とともに、労働者の新たな雇用および昇給を実現する。
補助事業の • 素材メーカーとしての強みを活かし、衛生用品の加工事業へ参入することにより、 事業費 36億円
背景・目的 事業モデルを昇華し、社会貢献の幅を広げる。 （補助額） （9.8億円）
① 設備の内容
• 岐阜県本巣市に加工事業の工場建屋を新設し、生産設備を賃借形
態で導入する
② 現状の課題とその解決
• 現在の素材事業だけでは成⾧が頭打ちであり、かつ付加価値に限界が
あることから収益性の改善にも限界がある。最終製品の加工まで手掛け
設備投資の ることにより、当社製品の付加価値を上げ、さらに既存の素材事業の稼
内容 働率も上げることにより、当社全体の収益性を改善する。
③ 労働生産性の向上
• 当該拠点は、既存拠点の従業員の兼務およびAGVやAGF等の設備に
よる省人化により、売上の増加幅に対して人員数の増加を一定程度抑
えることができ、労働生産性が向上する
• 本件投資後、さらに荷役についての自動化の対応を行う予定である（事
業計画に当該設備投資を織り込み済である）
2027年度 2030年度
項目
（基準年度） （基準年度＋３年後）
労働生産性 1,863
1,249
（単位:万円/人） （年平均上昇率＋14.3％）
目標値 従業員1人あたり給与支給総額 751
639
（単位:万円/人） （年平均上昇率＋5.5％）
役員１人あたり給与支給総額
-
-
（単位:万円/人） （年平均上昇率＋4.5％）
補助事業に係る従業員数
220 237
（単位:人）</t>
  </si>
  <si>
    <t>1.長期成長ビジョン トクセン工業株式会社
金属線の超精密加工技術を生かし、機能用線事業である低侵襲医療などのメディカル分野、エレクトロニクス分野の製品販売
を拡大することで高付加価値型ビジネスモデルへの転換を図り、持続的成長を実現する</t>
  </si>
  <si>
    <t>長期成長ビジョン（目指す姿・ビジネスモデル）
世界の特殊金属線スペシャリストとして社会の発展に貢献する
高付加価値型ビジネスモデルへの転換
• 特殊金属線の加工技術を生かし、低侵襲医療などのメディカル分野、エレクトロ
ニクス分野等、より精密な加工技術を求められる高付加価値型ビジネスの構成
比を高めることで第二創業を果たす
※ 全社の営業利益に占める高付加価値型ビジネス (メディカル・エレクトロニク
ス分野)の割合を2023年度16.5%から2030年度61.6%へ拡大させる
当社製品の供給を通じた社会貢献の実現
• メディカル分野においては、より多くの人が低侵襲医療を安心して受療できるよう、
経済的で高品質な医療機器用金属線・部材を開発し世界中に届けることで、
長寿命社会における医療費負担の軽減に貢献する
• エレクトロニクス分野においては、より高精度な製品の開発・供給により、社会の
持続的発展に必要不可欠な半導体の基板となるシリコンウェハの更なる高性能
化およびEVシフトやカーボンニュートラルにおけるキーデバイスの成長に貢献する
人材育成と地域貢献
• 技能の承継・人材育成による持続的成長と地域貢献の実現に向けて、地域雇
用の拡大及び継続的な賃上げを実行すると共にリスキリングやワークライフバラン
スなど人的投資を推進し、地域人材から選ばれる職場づくりを実現する
• また、地域の教育プログラムへの賛同や地域交流活動への協賛など、今まで以
上に地域に還元していくことで地域への貢献を図る
会社全体の売上成長及び賃上げ目標
【売上成長目標】（2023年度対比）
• 2023年度売上高：250億円
• 2027年度売上高：283億円(+32億円,+13%)
• 2030年度売上高：371億円(+121億円,+48%）
【賃上げ目標 】
• 2023年度～2027年度：+1.0%
• 2028年度～2030年度：+6.0%</t>
  </si>
  <si>
    <t>外発的動機
• 自動車産業に関する主力事業のタイヤ用線事業は、全社売上の約70%
を占めているが、製品のコモディティ化が進展し海外からの低価格の競合品
も参入してきたため、今後の成長が見込みにくい
• 特殊鋼線事業もエンジン向けの製品が中心であり、短期的には堅調に推
移するがEVシフトによって中長期的には減少する見通し
• 他方で、当社の超精密金属線加工技術を生かした、メディカル、エレク
トロニクス向け製品は今後も市場の成長が期待できる
• メディカル向けは、カテーテルを中心とした低侵襲医療市場が、医療費抑
制等の動きを背景に年間8%の成長が見込まれている
• エレクトロニクス向けは、当社商品が使用されている電子部品市場が、半
導体、EV等の拡大により、年間4.4～5.4%の伸長が見込まれている</t>
  </si>
  <si>
    <t>内発的動機
• 顧客のニーズに応えるべく、タイヤ・エンジン・家電製品向けの独自の金属
線加工技術で成長を遂げ、各分野で「ニッチトップ」の地位を確立してきた
• 年々シビアになっていく品質要求に応え続けることにより金属線加工技術に
磨きをかけ、近年では超精密加工が求められるメディカル分野やエレクトロ
ニクス分野にも進出している
• 当社が長年培ってきた高い技術力を生かし、低侵襲医療向けなどのメディ
カル分野においては、カテーテル用ブレード線で国内85%のシェアを獲得、
エレクトロニクス分野においても、プローブカードピン、ソーワイヤ、ナノパウ
ダーにおいて世界的に高いシェアを獲得しており、市場における存在感は
年々高まっている
• メディカル・エレクトロニクス分野の顧客ニーズに対し、既存の生産能力で
は不足しているため、新工場を建設し、拡大する必要がある
• 当社は、国内医療機器市場における国産比率の改善、世界シェア獲得に
よる世界の低侵襲医療への貢献を果たしたいと考えている
• メディカル・エレクトロニクス分野での成長を第二創業と位置づけ、次の50
年に向けて高付加価値型ビジネスへシフトしていきたい</t>
  </si>
  <si>
    <t>会社全体の売上成長及び賃上げ目標
【売上成長目標】（2023年度対比）
• 2023年度売上高：250億円
• 2027年度売上高：283億円(+32億円,+13%)
• 2030年度売上高：371億円(+121億円,+48%）
【賃上げ目標 】
• 2023年度～2027年度：+1.0%
• 2028年度～2030年度：+6.0%</t>
  </si>
  <si>
    <t>【p.1／売上成長目標】
会社全体の売上成長及び賃上げ目標
【売上成長目標】（2023年度対比）
• 2023年度売上高：250億円
• 2027年度売上高：283億円(+32億円,+13%)
• 2030年度売上高：371億円(+121億円,+48%）
【賃上げ目標 】
• 2023年度～2027年度：+1.0%
• 2028年度～2030年度：+6.0%</t>
  </si>
  <si>
    <t>【p.1】
1.長期成長ビジョン トクセン工業株式会社
金属線の超精密加工技術を生かし、機能用線事業である低侵襲医療などのメディカル分野、エレクトロニクス分野の製品販売
を拡大することで高付加価値型ビジネスモデルへの転換を図り、持続的成長を実現する
長期成長ビジョン（目指す姿・ビジネスモデル） 外発的動機
• 自動車産業に関する主力事業のタイヤ用線事業は、全社売上の約70%
世界の特殊金属線スペシャリストとして社会の発展に貢献する
を占めているが、製品のコモディティ化が進展し海外からの低価格の競合品
高付加価値型ビジネスモデルへの転換 も参入してきたため、今後の成長が見込みにくい
• 特殊金属線の加工技術を生かし、低侵襲医療などのメディカル分野、エレクトロ • 特殊鋼線事業もエンジン向けの製品が中心であり、短期的には堅調に推
ニクス分野等、より精密な加工技術を求められる高付加価値型ビジネスの構成 移するがEVシフトによって中長期的には減少する見通し
比を高めることで第二創業を果たす • 他方で、当社の超精密金属線加工技術を生かした、メディカル、エレク
※ 全社の営業利益に占める高付加価値型ビジネス (メディカル・エレクトロニク トロニクス向け製品は今後も市場の成長が期待できる
ス分野)の割合を2023年度16.5%から2030年度61.6%へ拡大させる • メディカル向けは、カテーテルを中心とした低侵襲医療市場が、医療費抑
当社製品の供給を通じた社会貢献の実現 制等の動きを背景に年間8%の成長が見込まれている
• メディカル分野においては、より多くの人が低侵襲医療を安心して受療できるよう、 • エレクトロニクス向けは、当社商品が使用されている電子部品市場が、半
経済的で高品質な医療機器用金属線・部材を開発し世界中に届けることで、 導体、EV等の拡大により、年間4.4～5.4%の伸長が見込まれている
長寿命社会における医療費負担の軽減に貢献する
内発的動機
• エレクトロニクス分野においては、より高精度な製品の開発・供給により、社会の
持続的発展に必要不可欠な半導体の基板となるシリコンウェハの更なる高性能 • 顧客のニーズに応えるべく、タイヤ・エンジン・家電製品向けの独自の金属
化およびEVシフトやカーボンニュートラルにおけるキーデバイスの成長に貢献する 線加工技術で成長を遂げ、各分野で「ニッチトップ」の地位を確立してきた
人材育成と地域貢献 • 年々シビアになっていく品質要求に応え続けることにより金属線加工技術に
磨きをかけ、近年では超精密加工が求められるメディカル分野やエレクトロ
• 技能の承継・人材育成による持続的成長と地域貢献の実現に向けて、地域雇
ニクス分野にも進出している
用の拡大及び継続的な賃上げを実行すると共にリスキリングやワークライフバラン
スなど人的投資を推進し、地域人材から選ばれる職場づくりを実現する • 当社が長年培ってきた高い技術力を生かし、低侵襲医療向けなどのメディ
• また、地域の教育プログラムへの賛同や地域交流活動への協賛など、今まで以 カル分野においては、カテーテル用ブレード線で国内85%のシェアを獲得、
上に地域に還元していくことで地域への貢献を図る エレクトロニクス分野においても、プローブカードピン、ソーワイヤ、ナノパウ
ダーにおいて世界的に高いシェアを獲得しており、市場における存在感は
会社全体の売上成長及び賃上げ目標
年々高まっている
【売上成長目標】（2023年度対比）
• メディカル・エレクトロニクス分野の顧客ニーズに対し、既存の生産能力で
• 2023年度売上高：250億円
は不足しているため、新工場を建設し、拡大する必要がある
• 2027年度売上高：283億円(+32億円,+13%)
• 当社は、国内医療機器市場における国産比率の改善、世界シェア獲得に
• 2030年度売上高：371億円(+121億円,+48%）
よる世界の低侵襲医療への貢献を果たしたいと考えている
【賃上げ目標 】
• メディカル・エレクトロニクス分野での成長を第二創業と位置づけ、次の50
• 2023年度～2027年度：+1.0%
年に向けて高付加価値型ビジネスへシフトしていきたい
• 2028年度～2030年度：+6.0%</t>
  </si>
  <si>
    <t>【p.2】
.補助事業の概要 トクセン工業株式会社
2
既存工場に隣接する所有地に新工場を建設・集約し、機能用線事業の生産能力拡大および新しい加工技術を取り入れた
新規設備を導入することで飛躍的な生産性向上を実現し、世界市場におけるシェア獲得を実現する
• 市場の成長に対して既存工場では生産キャパシティが不足しており、新工場への機
4 億円
5
能集約および最新設備の導入により、機能用線事業の生産性向上及び供給量の
事業費 （ 億円）
補助事業の 9.9
拡大を図る
（補助額）
背景・目的
• メディカル分野向けでは新たに戦略商品量産ラインを増設することで、世界最大手 ※44.9億円の内訳
建物 30.6億円
メーカーに対する差別化戦略の実行、BCP需要の獲得による中国・欧米における売
設備 14.3億円
上拡大を実現する
➀新工場の建設による機能集約に伴う生産能力向上
伸線 圧延
• 既存工場の隣地に、現工場の3倍である延床面積8.2千㎡の新工場を建設
• 分散している人員および工程を集約し、新規設備導入による能力増強を図ることで、 厚み×幅
40μm×100μm
その相乗効果により生産能力を2倍 (2.5t ⇒ 5.0ｔ/月)へ向上させる
②量産機の増設・最新設備の導入による生産性向上
• 伸線設備等の増設、新規設備の導入による歩留率の改善および機能集約による 直径40μm
設備投資の 一人当たり持ち台数が1.5倍増加することにより生産性向上を図る
内容 • 最新設備導入による伸線加工治具の摩耗の抑制、圧延設備における計測データ
の収集および寸法調整の自動化により、長時間の連続稼働を実現
また、生産性向上のみでなく、作業時間の短縮による3交替制勤務の廃止等、職
場環境の改善を図る
③検査機器、分析機器導入による品質対応および差別化の実現
• 最新検査機器および分析機器の導入により、海外における高品質に対応し、また、 新工場外観イメージ
競合との差別化を図ることで中国・欧米における市場シェアの拡大を実現する
2027年度 2030年度
項目
（基準年度） （基準年度＋３年後）
労働生産性 2,589
1,212
（単位：万円/人） （年平均上昇率＋28.8％）
目標値 従業員1人あたり給与支給総額 669
562
（単位：万円/人） （年平均上昇率＋6.0％）
役員１人あたり給与支給総額 -
（単位：万円/人） - （年平均上昇率+6.0％）
補助事業に係る従業員数
111 135
（単位：人）</t>
  </si>
  <si>
    <t>千代田空調機器株式会社
1.長期成長ビジョン
海外優先投資等を中心とした現体制の見直しを行い、当社の強みを生かした上でスマートファクトリー化、国内
回帰等による長期的な国内製造力の強化を図り、長期成長ビジョンを実現させる。</t>
  </si>
  <si>
    <t>長期成長ビジョン（目指す姿・ビジネスモデル）
【経営理念】
次の100年、世界の人々から愛される企業グループになろう
CSR経営/最高の品質/新商品開発 → 100年経営/利益創出
【中期経営計画 ～2025年に目指すべき姿～】
1）ES …賃金上昇・エンゲージメント向上
2）CS …CO2 30％削減（工場内排出量）
3）DX …スマートファクトリー更なる強化
4）製品…地産地消 国内還流
新たな価値の創造（冷媒ユニット）（P7参照）
5）社会…国内製造力の強化、地産地消
【長期経営計画 ～ 2030年に目指す姿～】
1）ES …ハイブリッド型制度導入
2）CS …CO2 50％削減（工場内排出量）
3）DX …弊社独自基準でレベル４による品質向上(P5参照)
4）製品…創造した価値（冷媒ユニット）の更なる展開
5）社会…海外販路の拡大</t>
  </si>
  <si>
    <t>外発的動機
⚫ 円安 …輸入コスト増
⚫ 海外部品調達難 …部品の海外依存度高
⚫ 製造原価高騰 …金属価格
⚫ 労働力 …生産年齢人口減少
⚫ 競争激化 …海外企業との製造競争
⚫ BCP …自然災害の脅威（南海トラフなど）</t>
  </si>
  <si>
    <t>内発的動機
⚫ 当社の投資状況 …海外優先、国内停滞
⚫ 業界依存 …空調製品へ高い依存
⚫ 取引先依存 …1社偏重
⚫ ES …新規採用および人材定着への苦戦
→ハイブリッド型制度の検討へ
⚫ DXへの課題 …部分的な取組みを全体の流れに</t>
  </si>
  <si>
    <t>会社全体の売上成長目標（基準年～2030年度）
• 売上高成長率21.3％
• 売上高増加額80億円
会社全体の賃上げ目標
• 2.69%（直近事業年度～基準年度）
• 5.50%（基準年度～事業化報告3年目）</t>
  </si>
  <si>
    <t>【p.1／売上成長目標】
会社全体の売上成長目標（基準年～2030年度）
• 売上高成長率21.3％
• 売上高増加額80億円
会社全体の賃上げ目標
• 2.69%（直近事業年度～基準年度）
• 5.50%（基準年度～事業化報告3年目）
【p.2／千代田空調機器 株式会社】
千代田空調機器 株式会社
1939年4月創業
【本社】
りんくう
（本社登記：大阪府堺市中区東山461番地）
【事業内容】
空調・冷凍機の機能部品の設計・製造・販売
【製品】
独自の接合・封止技術を活用
3つの製品：圧力容器・配管アッセンブリ・バルブ
【製造拠点】
国内 …りんくう工場、堺工場、愛東工場（滋賀県）
海外 …大連、蘇州、アユタヤ
【p.2／【当社製品紹介】】
【当社製品紹介】
配管加工品 バルブ 圧力容器
接合・封止技術を
活用して一体製品へ
冷媒配管ASSY
【p.4／震災対策等に対するBCP対策】
震災対策等に対するBCP対策</t>
  </si>
  <si>
    <t>【p.1】
千代田空調機器株式会社
1.長期成長ビジョン
海外優先投資等を中心とした現体制の見直しを行い、当社の強みを生かした上でスマートファクトリー化、国内
回帰等による長期的な国内製造力の強化を図り、長期成長ビジョンを実現させる。
長期成長ビジョン（目指す姿・ビジネスモデル）
外発的動機
【経営理念】
⚫ 円安 …輸入コスト増
次の100年、世界の人々から愛される企業グループになろう
⚫ 海外部品調達難 …部品の海外依存度高
CSR経営/最高の品質/新商品開発 → 100年経営/利益創出
【中期経営計画 ～2025年に目指すべき姿～】 ⚫ 製造原価高騰 …金属価格
1）ES …賃金上昇・エンゲージメント向上
⚫ 労働力 …生産年齢人口減少
2）CS …CO2 30％削減（工場内排出量）
⚫ 競争激化 …海外企業との製造競争
3）DX …スマートファクトリー更なる強化
⚫ BCP …自然災害の脅威（南海トラフなど）
4）製品…地産地消 国内還流
新たな価値の創造（冷媒ユニット）（P7参照）
5）社会…国内製造力の強化、地産地消
【長期経営計画 ～ 2030年に目指す姿～】 内発的動機
1）ES …ハイブリッド型制度導入 ⚫ 当社の投資状況 …海外優先、国内停滞
2）CS …CO2 50％削減（工場内排出量）
⚫ 業界依存 …空調製品へ高い依存
3）DX …弊社独自基準でレベル４による品質向上(P5参照)
⚫ 取引先依存 …1社偏重
4）製品…創造した価値（冷媒ユニット）の更なる展開
5）社会…海外販路の拡大 ⚫ ES …新規採用および人材定着への苦戦
会社全体の売上成長目標（基準年～2030年度） →ハイブリッド型制度の検討へ
• 売上高成長率21.3％
• 売上高増加額80億円
⚫ DXへの課題 …部分的な取組みを全体の流れに
会社全体の賃上げ目標
• 2.69%（直近事業年度～基準年度）
• 5.50%（基準年度～事業化報告3年目）
【p.2】
千代田空調機器株式会社
1.長期成長ビジョン
当社の紹介は、空調・冷凍機に使用される機能部品等の設計・製造・販売を行っている。配管加工品・バルブ・
圧力容器の製造およびそれらの接合・封止技術は当社の優位性がある技術である。
千代田空調機器 株式会社
1939年4月創業 【当社製品紹介】
配管加工品 バルブ 圧力容器
【本社】
りんくう （本社登記：大阪府堺市中区東山461番地）
【事業内容】
空調・冷凍機の機能部品の設計・製造・販売
【製品】
接合・封止技術を
独自の接合・封止技術を活用
活用して一体製品へ
3つの製品：圧力容器・配管アッセンブリ・バルブ
【製造拠点】
国内 …りんくう工場、堺工場、愛東工場（滋賀県）
冷媒配管ASSY
海外 …大連、蘇州、アユタヤ
【p.3】
千代田空調機器株式会社
1.長期成長ビジョン
従業員の活性化とともに、CSRおよびSDGsの推進、品質向上の取り組み、スマートファクトリーに向けたDXの推
進活動を通じて、長期成長ビジョンの実現を図っている。
【p.4】
千代田空調機器株式会社
1.長期成長ビジョン
従来外生産していた配管加工品の国内生産化および南海トラフ地震等に対するBCP対策の観点から、滋賀
新工場を立ち上げる。
震災対策等に対するBCP対策</t>
  </si>
  <si>
    <t>【p.5】
千代田空調機器株式会社
.補助事業の概要
2
従来ベテラン従業員が実施していた生産工程上の調整作業をスマートファクトリーによる無人化を図るとともに、
生産の国内回帰を図るため、滋賀新工場を立ち上げる。
補助事業の • 海外調達リスク回避による生産の国内回帰 事業費 1 億円
5
背景・目的 • DX化スマートファクトリー全体最適 （補助額） （4.6億円）
1. 配管切断加工機×9台（図１参照）
図１ 図２
※導入数量は予定
2. 配管端末加工機類×29台（図２参照）
3. 配管曲げベンダー×12台（図３参照）
4. 自動化用ロボット×7台（図４参照）
5. 配管洗浄装置×1台
6. トラバーサー×１台
7. その他加工機類×17台
設備投資の ①現保有設備対比生産能力が約1.5倍 図３ 図４
内容 →モーターなどの駆動部の性能が大幅UP
②マテハン/ロボット導入により効率化
８．生産管理システム（DX化スマートファクトリー全体最適化）
①工程情報を集約し 需要計画、生産計画、部品の発注、
現場での作業指示・進捗管理から原価管理といった一連の
業務フローを統合的に管理し現場の正確なデータを一本化
することで業務効率化や生産性向上に寄与
2026年3月期 2029年3月期
項目
（基準年度） （基準年度＋３年後）
（単
労
位
働
：
生
万
産
円
性
/人）
699万円/人
（年平均
1,
上
65
昇
3
率
万 円
＋
/人
33.2％）
目標値 従業員
（
1
単
人
位
あ
：
た
万
り給
円
与
/人
支
）
給総額 440万円/人
（年平均
5
上
16
昇
万
率
円 /
＋
人
5.5％）
役員１人あたり給与支給総額 -
（単位：万円/人） - （年平均上昇率 ＋5.0％）
補助事業に係る従業員数
240人 280人
（単位：人）</t>
  </si>
  <si>
    <t>三友プラントサービス株式会社
1.長期成長ビジョン
地域企業の廃棄物処理・資源循環についての増加要請および高度化に応え続け、社会経済インフラとし
て、その使命を果たしていきます。</t>
  </si>
  <si>
    <t>長期成長ビジョン（目指す姿・ビジネスモデル）
• 「環境と資源を守る」を経営理念とし、創業76周年、未来の
環境・地球の資源のため、産業廃棄物処理、資源循環のプ
ロフェッショナル集団として、環境保全活動を継続的に推進し、
持続可能な社会形成の一翼を担い続けていきます。
• 当社グループ全体での強固かつ効率的な全国対応網を活用
しつつ、本補助事業で事業規模の拡大およびさらなる高度化
を進めていきます。
• 総合産業廃棄物処理事業者として、地域社会のニーズに応
え、自社の長期安定的成長を図りながら、従業員や取引先
等ステークホルダーの未来を守っていきます。</t>
  </si>
  <si>
    <t>外発的動機
• 産廃の排出量は国内総量で390百万トンから漸減で推移しており、今後も同
数の処理量が予測されています※。一方、リサイクル意識は多くの業種で広く浸
透し、産廃についてもリサイクルサービス市場については右肩上りとなっています。
• これをビジネス機会と捉え、この分野への投資強化を行う同業も多く、相対的に
焼却施設や化学処理施設への設備投資額が縮小されている状況です。設備
の老朽化が進む中、事業規模の漸減もやむなしと感じている同業者は少なくな
く、代替先として当社への期待が高い状態にあります。
• 京浜工業地帯やその周辺地域企業では廃棄物の県外処理も多く発生してい
て、CO2排出抑制の問題から県内処理を強く要請されており、神奈川県下に
おいて、産廃処理能力を高める必要があります。また、神奈川県からの一般廃
棄物処理の処理受託要請等、地域内での産廃処理ニーズが増加傾向にあり
ます。
• また当社はリサイクルや環境負荷低減の取り組み、NEDOの委託事業として新
技術開発などを行うことはもちろんですが、顧客から安心して、収集運搬から、
中間処理、最終処分までを任せられる一気通貫の産廃社会インフラとして、積
極的に設備維持・更新・拡大し、社会的使命を果たすべきと考えております。
※ 令和3年版 環境・循環型社会・生物多様性白書 より</t>
  </si>
  <si>
    <t>内発的動機
• 既存設備は20～30年前に投資しており、設備老朽化や人手不足といった内
発的な要因もあって工場稼働率を高められず、機会損失が散見されています。
処理量増加の要望に、最新の合理化・自動化の設備を導入して応えていくべ
き状況にあります。
• 創業以来、速いスピードで全国的な事業展開してきたことで、工場間物流
（施設の処理能力にばらつきがあり、神奈川県で発生した廃棄物を千葉工場
へ運搬するなどの非効率）や作業プロセスの部分で非効率や問題点対応の課
題が見えております。
• 2024年に創業家の三代目社長に事業承継を行い、上記現状の課題を整理
対応しつつ、同時に今後の長期安定成長、地域社会貢献、産廃処理技術革
新につながる設備投資を行いたいと考えています。</t>
  </si>
  <si>
    <t>会社全体の売上成長目標（～2030年）
• 売上高成長率 68％※
• 売上高増加額 56億円
（2024/12期：82億円⇒2030/12期：139億円）
※（2030/12期売上高 - 2024/12期売上高）÷ 2024/12期売上高
会社全体の賃上げ目標
• 年増加率 3.54%（直近事業年度～基準年度）
• 年増加率 5.84%（基準年度～事業化報告3年目）</t>
  </si>
  <si>
    <t>【p.1／売上成長目標】
会社全体の売上成長目標（～2030年）
• 売上高成長率 68％※
• 売上高増加額 56億円
（2024/12期：82億円⇒2030/12期：139億円）
※（2030/12期売上高 - 2024/12期売上高）÷ 2024/12期売上高
会社全体の賃上げ目標
• 年増加率 3.54%（直近事業年度～基準年度）
• 年増加率 5.84%（基準年度～事業化報告3年目）</t>
  </si>
  <si>
    <t>【p.1】
三友プラントサービス株式会社
1.長期成長ビジョン
地域企業の廃棄物処理・資源循環についての増加要請および高度化に応え続け、社会経済インフラとし
て、その使命を果たしていきます。
長期成長ビジョン（目指す姿・ビジネスモデル） 外発的動機
• 産廃の排出量は国内総量で390百万トンから漸減で推移しており、今後も同
• 「環境と資源を守る」を経営理念とし、創業76周年、未来の
数の処理量が予測されています※。一方、リサイクル意識は多くの業種で広く浸
環境・地球の資源のため、産業廃棄物処理、資源循環のプ
透し、産廃についてもリサイクルサービス市場については右肩上りとなっています。
ロフェッショナル集団として、環境保全活動を継続的に推進し、 • これをビジネス機会と捉え、この分野への投資強化を行う同業も多く、相対的に
焼却施設や化学処理施設への設備投資額が縮小されている状況です。設備
持続可能な社会形成の一翼を担い続けていきます。
の老朽化が進む中、事業規模の漸減もやむなしと感じている同業者は少なくな
く、代替先として当社への期待が高い状態にあります。
• 当社グループ全体での強固かつ効率的な全国対応網を活用 • 京浜工業地帯やその周辺地域企業では廃棄物の県外処理も多く発生してい
しつつ、本補助事業で事業規模の拡大およびさらなる高度化 て、CO2排出抑制の問題から県内処理を強く要請されており、神奈川県下に
おいて、産廃処理能力を高める必要があります。また、神奈川県からの一般廃
を進めていきます。
棄物処理の処理受託要請等、地域内での産廃処理ニーズが増加傾向にあり
ます。
• 総合産業廃棄物処理事業者として、地域社会のニーズに応 • また当社はリサイクルや環境負荷低減の取り組み、NEDOの委託事業として新
え、自社の長期安定的成長を図りながら、従業員や取引先 技術開発などを行うことはもちろんですが、顧客から安心して、収集運搬から、
中間処理、最終処分までを任せられる一気通貫の産廃社会インフラとして、積
等ステークホルダーの未来を守っていきます。
極的に設備維持・更新・拡大し、社会的使命を果たすべきと考えております。
※ 令和3年版 環境・循環型社会・生物多様性白書 より
内発的動機
会社全体の売上成長目標（～2030年）
• 既存設備は20～30年前に投資しており、設備老朽化や人手不足といった内
• 売上高成長率 68％※ 発的な要因もあって工場稼働率を高められず、機会損失が散見されています。
• 売上高増加額 56億円 処理量増加の要望に、最新の合理化・自動化の設備を導入して応えていくべ
き状況にあります。
（2024/12期：82億円⇒2030/12期：139億円）
• 創業以来、速いスピードで全国的な事業展開してきたことで、工場間物流
※（2030/12期売上高 - 2024/12期売上高）÷ 2024/12期売上高
（施設の処理能力にばらつきがあり、神奈川県で発生した廃棄物を千葉工場
会社全体の賃上げ目標 へ運搬するなどの非効率）や作業プロセスの部分で非効率や問題点対応の課
題が見えております。
• 年増加率 3.54%（直近事業年度～基準年度）
• 2024年に創業家の三代目社長に事業承継を行い、上記現状の課題を整理
• 年増加率 5.84%（基準年度～事業化報告3年目）
対応しつつ、同時に今後の長期安定成長、地域社会貢献、産廃処理技術革
新につながる設備投資を行いたいと考えています。</t>
  </si>
  <si>
    <t>【p.2】
三友プラントサービス株式会社
.補助事業の概要
2
現状の５倍の処理量を備え、多種類の特別管理産業廃棄物に対応可能な、投入から処理までを自動で
行える業界内では先進的な設備を組み込んだ、総合廃棄物処理工場（横浜新工場）を建設します。
• 現横浜工場の処理能力が年間6千トンと地域の経済規模に比して小さく、顧客からの処理要請に応えきれていません。当社の他工場
事業費 6 億円
補助事業の での処理は運搬人員を必要とし、それができない場合は顧客側で神奈川県外処理を行わざるをえず、手間とコスト増となっています。 4
背景・目的 • 特別管理産業廃棄物（感染性廃棄物、試薬類）や、PFOS/PFOAといった特定化学物質の処理需要が伸びつつある中、一般廃棄 （補助額）（ 19 億円）
物処理など新たな要請も発生しており、地域での大型総合産業廃棄物処理施設（処理能力3万トン）の建設が強く求められています。
【設備】
建設工場全体イメージ（写真は当社の他工場）、処理用設備の一部
• 横浜市金沢区※で廃棄物焼却炉（処理能力30,000トン、現横浜工場の5倍の
処理能力）を有する設備を建設します。
• 処理工程の設備は、前処理設備、コンベア及びタンブルリフトを含む投入装置、焼却
炉、ボイラ、排ガス処理装置、煙突などから構成されます。
• 多種類の特別管理産業廃棄物処理に対応できるよう必要設備を配置します。
【労働生産性の向上】 ※2,200坪の敷地を工場建設予定地として取得済みです。
• 工程の一部に最新設備を組み込むことで、 工程間運搬や投入など複数の工程を自
動化し、既存工場と比べて4割の省人化対応が可能となります。
↑医療系廃棄物の自動投
• 特別管理産業廃棄物処理について、前処理工程の設備を機能ごとに区分けするな
設備投資の 入機（最新型を導入）↓
ど工夫して、専門知識と経験の少ないパートタイム従業員でも対応できるようにします。
内容
スペシャリストの人員不足を幅広い層の雇用で対応可能です。
【設備投資によって解決し得ること】
• 神奈川県内および関東圏内からの、特別管理産業廃棄物や特定化学物質等の増 ←粉粒体の搬送を
加要請に応えることができます。 省人化するフライト
• これまで大学連携等で培ってきた先進技術（排出ガスの回収促進、焼却残渣のリ コンベア
パーパスなど）を設備に組み込み、環境保護と資源再活用にさらに貢献できます。
ロボットアームによ
• 医療廃棄物および一般廃棄物の受け入れも可能になり、医療業界および行政の課
る自動選別装置
題解決につながります。
（図はイメージ）
• 省人化設備および処理工程の工夫により、経験者・専門家の人員不足の状況下で →
も、大規模な処理能力を確保することができます。
項目 2027年度（基準年度） 2030年度（基準年度＋３年後）
労働生産性 2,142万円
1,150万円／人
（単位：万円/人） （年平均上昇率＋23.0％）
従業員1人あたり給与支給総額 634万円
530万円
目標値 （単位：万円/人） （年平均上昇率＋6.1％）
役員１人あたり給与支給総額 2,183万円
1,885万円
（単位：万円/人） （年平均上昇率＋5.0％）
補助事業に係る従業員数
237人 274人
（単位：人）</t>
  </si>
  <si>
    <t>松村フーズ株式会社
1.長期成長ビジョン
過酷な作業環境を自動化により根本的に改善し、従業員の働き方改革に貢献します。
保税機能を保有することで、付加価値上昇を実現し、持続的な従業員の所得向上を図ります。
冷凍食品保管事業という-20℃下での過酷な作業環境を自動化により根本的に改善します。
保税機能を保有することで、付加価値上昇を目指します。</t>
  </si>
  <si>
    <t>長期成長ビジョン（目指す姿・ビジネスモデル）
• 取扱品である冷凍商品の需要拡大は今後も継続することから、そ
の物流拠点となる冷凍食品倉庫の需要も拡大します。
• このニーズを捕捉するためには倉庫建設が必須ですが、従来型で
は付加価値の向上は望めません。
• 今回の補助事業では自動倉庫機能による作業環境の改善と保
税機能による付加価値向上を目指しています。
• 又、この新機能倉庫により、５年後には補助事業の事業基盤を
確立し、１０年後には群馬県から関東一円や北陸信越地方に
冷凍食品を配送する物流拠点となると想定しています。
• また、補助事業が食品倉庫業界の働き方改革の行動モデルとなり、
同時に、ＳＤＧｓ実現のモデルとなると想定しています。</t>
  </si>
  <si>
    <t>外発的動機
• 働き方改革に対応し、業務の効率化を推進し、従業員の給与アッ
プにつなげます。
• 冷凍食品はＳＤＧｓの17の目標の内、12.作る責任、つかう責
任、2.飢餓を0に、等に該当します。
• 円安による燃料高騰等、物価の上昇分を売値への転嫁には限界
があり、自助努力が必要です。
• コロナ感染拡大に伴った生活環境の変化により特に食生活の変化
による冷凍商品の需要拡大が今後も継続します。</t>
  </si>
  <si>
    <t>内発的動機
• 冷凍食品事業は食品ロスの減少や、働き方改革に貢献する事業
ですが、その基盤を支える冷凍食品保管業は－２０℃という過酷
な環境下での仕事です。
• コンビニ、量販店等の顧客の要望に即応した出庫が必要であり、不
規則な勤務時間が常態化しています。
• 顧客要望に比し、付加価値が低く、従業員の給与に報いられてい
ません。
• 卸売業が保有する倉庫は、販売までの一時保管場所としての位置
付けですが、保税倉庫機能を活かし、かつ自動倉庫機能を活用し
て効率の良い、付加価値の高い卸売業を目指したいと考えていま
す。</t>
  </si>
  <si>
    <t>会社全体の売上成長目標
（基準年度～事業化報告3年目）
• 売上高成長率 16.7％
• 売上高増加額176.4億円（298.5億→474.9億）
会社全体の賃上げ目標
• 2.0%（直近事業年度～基準年度）
• 5.1%（基準年度～事業化報告3年目）</t>
  </si>
  <si>
    <t>【p.1／売上成長目標】
会社全体の売上成長目標
（基準年度～事業化報告3年目）
• 売上高成長率 16.7％
• 売上高増加額176.4億円（298.5億→474.9億）
会社全体の賃上げ目標
• 2.0%（直近事業年度～基準年度）
• 5.1%（基準年度～事業化報告3年目）
【p.2／設備投資の内容】
・ 設備投資の内容
高崎工業団地内に土地を確保し、自動倉庫機能と保税
凍倉庫を建設します。
・冷凍食品業界及び食品物流業界が直面する省エネや
改善した職場環境の構築が課題です。これを今回の投資
の強みである冷凍食品業界での先導性と専門性を保有
活用により、補助事業を実行し、上記課題を解決します</t>
  </si>
  <si>
    <t>【p.1】
松村フーズ株式会社
1.長期成長ビジョン
過酷な作業環境を自動化により根本的に改善し、従業員の働き方改革に貢献します。
保税機能を保有することで、付加価値上昇を実現し、持続的な従業員の所得向上を図ります。
冷凍食品保管事業という-20℃下での過酷な作業環境を自動化により根本的に改善します。
保税機能を保有することで、付加価値上昇を目指します。
長期成長ビジョン（目指す姿・ビジネスモデル）
外発的動機
• 取扱品である冷凍商品の需要拡大は今後も継続することから、そ
• 働き方改革に対応し、業務の効率化を推進し、従業員の給与アッ
の物流拠点となる冷凍食品倉庫の需要も拡大します。
プにつなげます。
• このニーズを捕捉するためには倉庫建設が必須ですが、従来型で
• 冷凍食品はＳＤＧｓの17の目標の内、12.作る責任、つかう責
は付加価値の向上は望めません。
任、2.飢餓を0に、等に該当します。
• 今回の補助事業では自動倉庫機能による作業環境の改善と保
• 円安による燃料高騰等、物価の上昇分を売値への転嫁には限界
税機能による付加価値向上を目指しています。
があり、自助努力が必要です。
• 又、この新機能倉庫により、５年後には補助事業の事業基盤を
• コロナ感染拡大に伴った生活環境の変化により特に食生活の変化
確立し、１０年後には群馬県から関東一円や北陸信越地方に
による冷凍商品の需要拡大が今後も継続します。
冷凍食品を配送する物流拠点となると想定しています。
• また、補助事業が食品倉庫業界の働き方改革の行動モデルとなり、
同時に、ＳＤＧｓ実現のモデルとなると想定しています。
内発的動機
• 冷凍食品事業は食品ロスの減少や、働き方改革に貢献する事業
会社全体の売上成長目標
（基準年度～事業化報告3年目）
ですが、その基盤を支える冷凍食品保管業は－２０℃という過酷
• 売上高成長率 16.7％
な環境下での仕事です。
• 売上高増加額176.4億円（298.5億→474.9億）
• コンビニ、量販店等の顧客の要望に即応した出庫が必要であり、不
会社全体の賃上げ目標
規則な勤務時間が常態化しています。
• 2.0%（直近事業年度～基準年度） • 顧客要望に比し、付加価値が低く、従業員の給与に報いられてい
• 5.1%（基準年度～事業化報告3年目） ません。
• 卸売業が保有する倉庫は、販売までの一時保管場所としての位置
付けですが、保税倉庫機能を活かし、かつ自動倉庫機能を活用し
て効率の良い、付加価値の高い卸売業を目指したいと考えていま
す。</t>
  </si>
  <si>
    <t>【p.2】
松村フーズ株式会社
.補助事業の概要
2
補助事業は「保税機能を持つスマート冷凍食品自動倉庫の建設」です。
総額43.4億円、補助対象経費は38.9億円のビッグプロジェクトとなります。
• 卸売業は利益率が低く、従業員への給与の支払いにも限度があります。 事業費 億円
50
補助事業の • 一方、昨今のＩＴ技術の進歩により、従来の有人自動車輸送からドローンを含む無人輸送機材へと移行 （補助額） （12億円）
しています。また、ＳＤＧｓに示される持続可能な発展に沿った取り組みが必要となっています。
背景・目的
• このような背景から、従業員への持続可能な給与支払いの原資を生み出すための高付加価値事業の
創設が目的です。
・ 設備投資の内容
設備投資の
高崎工業団地内に土地を確保し、自動倉庫機能と保税機能を持つ冷 写真等
内容
凍倉庫を建設します。
・冷凍食品業界及び食品物流業界が直面する省エネや労働環境を
改善した職場環境の構築が課題です。これを今回の投資により弊社
の強みである冷凍食品業界での先導性と専門性を保有する人材の
活用により、補助事業を実行し、上記課題を解決します。
2028年2月度 2031年２月度
項目
（基準年度） （基準年度＋３年後）
労働生産性
1,415万円 3,340万円（年平均上昇率＋33.1％）
（単位：万円/人）
目標値 従業員1人あたり給与支給総額
518万円 632万円（年平均上昇率＋6.8％）
（単位：万円/人）
役員１人あたり給与支給総額
－ －(年平均上昇率＋4.6％）
（単位：万円/人）
補助事業に係る従業員数
10 30
（単位：人）</t>
  </si>
  <si>
    <t>株式会社光製作所
1.⾧期成⾧ビジョン
100年に一度の大変革期をビジネスチャンスと捉え、積極投資により事業の構造改革を行い、ステークホルダーに
貢献し、100年企業を目指し、更なる発展を企図</t>
  </si>
  <si>
    <t>⾧期成⾧ビジョン（目指す姿・ビジネスモデル）
• 自動車業界及び航空宇宙業界は共に大変革期を迎えている。
• 光製作所は 切削をコア技術とした加工部品を他社にはない設備、
技術力を持ち、高品質、高精度、低コストでこの業界に納めて
おり顧客から厚い信頼を得ている。
• 今年で創業77年を迎えるが、更なる発展を図ることにより100年
企業を目指すため、この変革期をビジネスチャンスと捉え、積極
投資により、合理化、拡販、新規ビジネスの獲得を目指す
• 持続的成⾧を実現することで、ステークホルダーである-顧客、従業
員、仕入先、地域社会に貢献する。</t>
  </si>
  <si>
    <t>外発的動機
• 中部地区は自動車業界、航空宇宙業界の重要なモノづくり拠点
となっているが、自動車業界ではカーボンニュートラルの加速により、
CASE、航空宇宙産業では飛行機、ロケットの国産化、更には
eVTOLや産業用ロボット等、軽量かつ高剛性の部品が求められ、
光製作所が⾧年培ってきた加工技術、ノウハウが必要とされてい
る。
• 一方 賃上げ、働き方改善、SDGs、地域社会との共存、共栄が
求められている. これらの期待に応えるため自動車産業向け生産を
している民生品事業部の集約を図り岐阜市柳津に魅せる新工場
を立ち上げる。</t>
  </si>
  <si>
    <t>内発的動機
• 自動車部品の急激な生産の伸びに追従するため、持続的な設備
増設投資を続けてきており、工場面積の不足による部材保管場
所の不足、それに伴う部品の移動ロス発生や、作業改善、環境
改善の遅れといった非効率な運用を強いる状況となっている。
• また、人員増加に伴う 休憩スペースの不足等働く人の負担が増加
している状況。このため工場新設にあたり、安心・安全な職場環境
を構築し、休憩スペースの確保や、従業員の希望を取り入れた働き
やすい工場を作る。
＜コンセプト＞ ・働く人に優しい
・地域社会に優しい
・地球環境に優しい</t>
  </si>
  <si>
    <t>【p.1／売上成長目標】
売上成⾧目標
• 2030年までの会社全体の売上高成⾧率+82.6％
• 2030年までの会社全体の売上高増加額77.8億円
【p.2／2027年度】
2027年度
項目
（基準年度）</t>
  </si>
  <si>
    <t>【p.1】
株式会社光製作所
1.⾧期成⾧ビジョン
100年に一度の大変革期をビジネスチャンスと捉え、積極投資により事業の構造改革を行い、ステークホルダーに
貢献し、100年企業を目指し、更なる発展を企図
⾧期成⾧ビジョン（目指す姿・ビジネスモデル）
外発的動機
• 自動車業界及び航空宇宙業界は共に大変革期を迎えている。
• 中部地区は自動車業界、航空宇宙業界の重要なモノづくり拠点
• 光製作所は 切削をコア技術とした加工部品を他社にはない設備、 となっているが、自動車業界ではカーボンニュートラルの加速により、
CASE、航空宇宙産業では飛行機、ロケットの国産化、更には
技術力を持ち、高品質、高精度、低コストでこの業界に納めて
eVTOLや産業用ロボット等、軽量かつ高剛性の部品が求められ、
おり顧客から厚い信頼を得ている。
光製作所が⾧年培ってきた加工技術、ノウハウが必要とされてい
• 今年で創業77年を迎えるが、更なる発展を図ることにより100年 る。
企業を目指すため、この変革期をビジネスチャンスと捉え、積極
• 一方 賃上げ、働き方改善、SDGs、地域社会との共存、共栄が
投資により、合理化、拡販、新規ビジネスの獲得を目指す
求められている. これらの期待に応えるため自動車産業向け生産を
• 持続的成⾧を実現することで、ステークホルダーである-顧客、従業 している民生品事業部の集約を図り岐阜市柳津に魅せる新工場
員、仕入先、地域社会に貢献する。 を立ち上げる。
内発的動機
• 自動車部品の急激な生産の伸びに追従するため、持続的な設備
増設投資を続けてきており、工場面積の不足による部材保管場
所の不足、それに伴う部品の移動ロス発生や、作業改善、環境
売上成⾧目標 改善の遅れといった非効率な運用を強いる状況となっている。
• また、人員増加に伴う 休憩スペースの不足等働く人の負担が増加
• 2030年までの会社全体の売上高成⾧率+82.6％ している状況。このため工場新設にあたり、安心・安全な職場環境
を構築し、休憩スペースの確保や、従業員の希望を取り入れた働き
• 2030年までの会社全体の売上高増加額77.8億円
やすい工場を作る。
＜コンセプト＞ ・働く人に優しい
・地域社会に優しい
・地球環境に優しい</t>
  </si>
  <si>
    <t>【p.2】
株式会社光製作所
2.補助事業の概要
民生品事業部(補助事業)において、現在6拠点に分散している工場、倉庫、研究施設を1ヶ所に集約すること
で生産性向上を図るとともに、新領域事業用のスペースを確保し売り上げ拡大を実現
補助事業の • 自動車業界エンジン関係が減少する中、CASEへの対応が必須である. 現状は既存 事業費 48億円
背景・目的 製品の対応で余剰面積がない、このため新工場設立、新規設備投資を行い売り上げ拡大を図る （補助額）（12億円）
狙い
区分 内容
競争力強化/ 拡販 CN/SDGs 柳津新工場構想図
効率化
• 工場建設 • 新工場の土地造成・建物建設 ✓ ✓ ✓
①1 CASE向け生産設備新設 ✓
②2 eVTOL・ロボット用加工設備新設 ✓
設備投資の
• 生産設備
③3 新領域におけるSub-Assy組立設備新設 ✓ ✓
内容 設置
④ 付加価値向上、競争力向上用
4 ✓ ✓
ダイカストマシン増設
• 切削切粉の圧縮、ブリケット化、
5 ✓ ✓
搬送設備新設
• 付帯設備 • 省エネタイプのエアコンシステム、コジェネ、
6 ✓
設置 コンプレッサー新設
2027年度 2030年度
項目
（基準年度） （基準年度＋３年後）
労働生産性 2,409万円
1,597万円
（単位:万円/人） （年平均上昇率＋14.7％）
目標値 従業員1人あたり給与支給総額 811万円
694万円
（単位:万円/人） （年平均上昇率＋5.3％）
役員１人あたり給与支給総額 -
-
（単位:万円/人） （年平均上昇率＋5.2％）
補助事業に係る従業員数
126人 158人
（単位:人）</t>
  </si>
  <si>
    <t>1.長期成長ビジョン 至誠堂製薬株式会社
一般用医薬品の生産能力を大幅強化することで、持続的な成長を実現し、200年企業を目指す</t>
  </si>
  <si>
    <t>長期成長ビジョン（目指す姿・ビジネスモデル）
国内外で需要が拡大している一般用医薬品の生産能力を大幅に
引き上げることにより、人々の健康寿命の延伸に貢献する。
国内外の健康を支える医薬品メーカーとして
早期の売上高100億円を達成し、200年企業を目指す。
＜社会に対して＞
• 健康寿命の延伸や病気の予防・早期手当などの社会的な健康意識の高
まりに対して、高品質な一般用医薬品製造によって貢献する
• 海外市場への進出を加速し、メイドインジャパンブランドの医薬品を拡め、中
小医薬品メーカーとして一般用医薬品の海外市場No.1を目指す
（2025年4月現在15か国に進出実績あり）
＜顧客に対して＞
• 高度な医薬品開発力をもって、新商品開発から製造までワンストップでサ
ポートし、医薬品業界の発展に貢献する
＜社内に対して＞
• 社員とその家族の幸福実現に向けた「道経一体の経営」/三方善と社会に
役立つ人づくりを行う
• 経営の絶対的安定＝自己資本比率60％超を目指す
• 働きやすい職場づくりにより、人材の定着・成長を促す
• 売上規模の拡大による飛躍的な企業成長を遂げ、
全社員を対象に持続的な賃上げを実現する</t>
  </si>
  <si>
    <t>外発的動機
【社会】
• 健康意識の高まり（健康食品・サプリメントへの興味関心）
• 健康に対する価値観の変化（対症療法から「未病」「予防」「アンチエイジング」へ）
• 医薬品の所得控除制度によるセルフメディケーションの推進
• 一般用医薬品の販売チャネルの多様化（通信販売の規制緩和、訪問薬剤師・在
宅介護などの新チャネル拡大）
【医薬品業界】
• 一般用医薬品の堅調な国内市場、高成長が続く海外市場
※但し医療費抑制や人口減少により、国内市場は将来の縮小が見込まれる
• 医薬品メーカーの相次ぐ不祥事に対する行政処分(製造停止)、専門知識を持つ人材の不
足、原料高騰、薬価制度の構造的課題等を受け、医療用医薬品の需給逼迫が深刻化
※受託製造企業も医療用を優先することで、一般用医薬品の供給能力が不足
• 大手医薬品メーカーは製造のみならず開発段階から外部委託する傾向にあり、受
託製造企業の開発力が問われるケースが増加
• 企画・開発・製造・医薬品承認申請まで、一貫した受託製造が可能な当社に、受
託・OEM製造の引き合いが殺到している</t>
  </si>
  <si>
    <t>内発的動機
• 当社の生産能力は限界に達しており、市場ニーズの高まり、殺到する顧客からの引
き合いに対して、機会損失が発生し続けている
• 労働力人口が減少する中で人材確保が難しくなってきており、生産における省人化・
省力化が喫緊の課題である
• 将来を見据えた人材育成に本格的に取り組まなければ、企業として成長ができないと
いう危機感を持っている
• できるだけ早期に中小企業から中堅企業へと成長し、医薬品製造業界内で一段上
のステージへステップアップを果たしたい
• 新工場建設による生産能力の大幅増強に基づき、大手医薬品メーカー向けに一
般用医薬品を大規模生産する計画が確定しており、当社の飛躍的な成長を実現
する契機を迎えている。</t>
  </si>
  <si>
    <t>会社全体の売上成長目標（2031年3月期）
• 売上高成長率 +244.8％（直近決算比較）
• 売上高増加額 +68.2億円（直近決算比較）
会社全体の賃上げ目標
• 4.5%（直近事業年度～基準年度）
• 7.5%（基準年度～事業化報告3年目）</t>
  </si>
  <si>
    <t>【p.1／売上成長目標】
会社全体の売上成長目標（2031年3月期）
• 売上高成長率 +244.8％（直近決算比較）
• 売上高増加額 +68.2億円（直近決算比較）
会社全体の賃上げ目標
• 4.5%（直近事業年度～基準年度）
• 7.5%（基準年度～事業化報告3年目）</t>
  </si>
  <si>
    <t>【p.1】
1.長期成長ビジョン 至誠堂製薬株式会社
一般用医薬品の生産能力を大幅強化することで、持続的な成長を実現し、200年企業を目指す
長期成長ビジョン（目指す姿・ビジネスモデル） 外発的動機
【社会】
国内外で需要が拡大している一般用医薬品の生産能力を大幅に
• 健康意識の高まり（健康食品・サプリメントへの興味関心）
引き上げることにより、人々の健康寿命の延伸に貢献する。
• 健康に対する価値観の変化（対症療法から「未病」「予防」「アンチエイジング」へ）
• 医薬品の所得控除制度によるセルフメディケーションの推進
国内外の健康を支える医薬品メーカーとして
• 一般用医薬品の販売チャネルの多様化（通信販売の規制緩和、訪問薬剤師・在
早期の売上高100億円を達成し、200年企業を目指す。
宅介護などの新チャネル拡大）
＜社会に対して＞
【医薬品業界】
• 健康寿命の延伸や病気の予防・早期手当などの社会的な健康意識の高
• 一般用医薬品の堅調な国内市場、高成長が続く海外市場
まりに対して、高品質な一般用医薬品製造によって貢献する
※但し医療費抑制や人口減少により、国内市場は将来の縮小が見込まれる
• 海外市場への進出を加速し、メイドインジャパンブランドの医薬品を拡め、中
• 医薬品メーカーの相次ぐ不祥事に対する行政処分(製造停止)、専門知識を持つ人材の不
小医薬品メーカーとして一般用医薬品の海外市場No.1を目指す
足、原料高騰、薬価制度の構造的課題等を受け、医療用医薬品の需給逼迫が深刻化
（2025年4月現在15か国に進出実績あり）
※受託製造企業も医療用を優先することで、一般用医薬品の供給能力が不足
＜顧客に対して＞ • 大手医薬品メーカーは製造のみならず開発段階から外部委託する傾向にあり、受
• 高度な医薬品開発力をもって、新商品開発から製造までワンストップでサ 託製造企業の開発力が問われるケースが増加
ポートし、医薬品業界の発展に貢献する • 企画・開発・製造・医薬品承認申請まで、一貫した受託製造が可能な当社に、受
託・OEM製造の引き合いが殺到している
＜社内に対して＞
• 社員とその家族の幸福実現に向けた「道経一体の経営」/三方善と社会に
役立つ人づくりを行う 内発的動機
• 経営の絶対的安定＝自己資本比率60％超を目指す
• 働きやすい職場づくりにより、人材の定着・成長を促す • 当社の生産能力は限界に達しており、市場ニーズの高まり、殺到する顧客からの引
き合いに対して、機会損失が発生し続けている
• 売上規模の拡大による飛躍的な企業成長を遂げ、
全社員を対象に持続的な賃上げを実現する • 労働力人口が減少する中で人材確保が難しくなってきており、生産における省人化・
省力化が喫緊の課題である
会社全体の売上成長目標（2031年3月期） • 将来を見据えた人材育成に本格的に取り組まなければ、企業として成長ができないと
いう危機感を持っている
• 売上高成長率 +244.8％（直近決算比較）
• できるだけ早期に中小企業から中堅企業へと成長し、医薬品製造業界内で一段上
• 売上高増加額 +68.2億円（直近決算比較）
のステージへステップアップを果たしたい
会社全体の賃上げ目標
• 新工場建設による生産能力の大幅増強に基づき、大手医薬品メーカー向けに一
• 4.5%（直近事業年度～基準年度） 般用医薬品を大規模生産する計画が確定しており、当社の飛躍的な成長を実現
• 7.5%（基準年度～事業化報告3年目） する契機を迎えている。</t>
  </si>
  <si>
    <t>【p.2】
.補助事業の概要 至誠堂製薬株式会社
2
当社では医療用医薬品の取り扱いは無く、本補助事業で生産する製品は一般用医薬品である。
新工場立上げにより抜本的な生産性拡大と売上・利益増加を実現 国の薬価制度により価格を決定する医療用医薬品とは異なるものであるため、国が支出する過去又は
現在の他の制度と同一又は類似の事業には当てはまらない
事業費 5 8 億円
新工場建設で生産能力を抜本的に増強し、国内大手医薬品メーカー向け一般用医薬品の大型製造受託、 （補助額） （ 16 億円）
海外市場における一般用医薬品及びサプリメント需要に対応する
補助事業の
• 一般用医薬品市場の需給がひっ迫し続けており、当社も新規の引き合いを断らざるを得ない状況が続いている（機会損失の発生）
背景・目的
• 既存工場の生産性改善に取り組んできたが、生産スペースの増床ができなければ、現状以上の生産性向上は物理的に不可能な状況
• 人材の売り手市場が続く中、人員確保が厳しさを増しており、生産性改善による省人化や既存工員の定着を促す必要がある
• 取引先である大手医薬品メーカーから一般用医薬品（錠剤）の大規模生産の引き合いを頂いている
【図：新工場・打錠工程の配置図】
新工場建設＋最新の省力化・省人化設備の導入により、生産能力増強(現在の最大10倍)を実現
• 既存工場はこれ以上の増床が難しいため、新工場を建設し、既存工場との2拠点体制を確立。
• バッチサイズが既存工場の2～４倍となる生産設備を導入し、１ラインあたりの生産能力を大幅強化すると
共に、これまで人手を要していた運搬・供給作業等もライン生産で自動化し、生産性を大幅改善。
設備投資の
• 少人数で生産量増を実現するため、夜間無人操業が可能な打錠機械、コーティング機械、
内容 錠剤外観検査機等を導入。
• 新工場稼働に合わせ、全社的なDX/DI*生産管理システムを導入。新工場の一部の機械もDI対応仕様にし、
ヒューマンエラー低減・タイムリーな生産変更・原料在庫状況の把握管理による業務効率化を図る。
*データのライフサイクル全体において、改ざんや偽装を防ぎ、データの完全性と正確性が客観的に担保されている状態のこと。医薬品の安全性追求やデジタル化、そしてマーケットやサプライチェーンの
グローバル化の流れの中で、データに関する不正や、要件の不適合が多く発生するようになり、業界内で重要度が高くなっている
2028年3月期 2031年3月期
項目
（基準年度） （基準年度＋３年後）
労働生産性 2,422万円/人
552万円/人
（単位：万円/人） （年平均上昇率＋63.7％）
目標値 従業員1人あたり給与支給総額 新工場で働く 569万円
458万円/人
（単位：万円/人） 従業員だけでなく （年平均上昇率＋7.5％）
全従業員を対象に
役員１人あたり給与支給総額
-
（単位：万円/人） - 賃上げを実施 （年平均上昇率＋7.5％）
補助事業に係る従業員数
110人 140人
（単位：人）</t>
  </si>
  <si>
    <t>1.長期成長ビジョン ときわ製作所株式会社
自ら市場を開拓する組織と成り、Made in TSUYAMA製品を世界中に展開することで地域および世の中へ貢献する</t>
  </si>
  <si>
    <t>客先からの強い需要及び伸張する市場に対応するために、分散する拠点を１か所へ集約し設備増強を行う
「生産性・生産能力向上」「安全性向上」させ、労働環境改善および継続的な賃金向上を達成する</t>
  </si>
  <si>
    <t>長期成長ビジョン（目指す姿・ビジネスモデル）
目指す姿：
自ら市場を開拓する組織と成り、Made in TSUYAMA製品を世界
中に展開する
ビジネスモデル：
・分散する生産拠点を1か所へ集約し、安全性・生産性を向上させる
・旺盛な需要が見込まれる自社製品の量産化を実現し、
海外輸出を含めた商圏拡大を積極的に推進する
・補助事業を通じて生産性を向上させ、サプライヤー不足という
地域課題を解決する
1. 拠点集約に伴う生産性向上
・大手企業撤退跡地を取得することで、4拠点にまたがる生産拠点
を新工場1か所へ集約。「板金-機械加工-組立-溶接」といった
金属加工のワンストップ提供体制を構築し、競争力を強化
・加工機能における重複工程の解消及び入出荷効率化の実現
2. 自社製品事業の拡充
・自社開発製品である水田用除草機「楽とーる」の量産体制を構築
・一部外注も活用することで、地域経済へ高い波及効果を実現
3. 職場環境の改善、地域との共生
・民家の隣接する拠点から、工業団地へ移転することで、
騒音問題の解消および入出荷時の安全性を確保
・最新設備導入に伴う安全性の向上
会社全体の売上成長目標（直近事業年度～2029年）
• 売上高成長率25.99%（年平均）
• 売上高増加額23.9億円
会社全体の賃上げ目標
• 2.35%（直近事業年度～基準年度）
• 4.88%:従業員、4.77％:役員（基準年度～事業化報告3年目）</t>
  </si>
  <si>
    <t>外発的動機
1.旺盛な金属加工需要
・大手企業からの下請け加工ニーズの高まり
2. 域内におけるサプライヤー事業者の減少
・旺盛な金属加工需要にもかかわらず、後継者不足等に起因した
廃業・倒産の増加
3. 無農薬農業領域の拡大
・無農薬除草作業ニーズの増加
4.大手企業撤退後の工場跡地活用
・大型工場跡地活用に対する地域からの期待</t>
  </si>
  <si>
    <t>内発的動機
1. 拠点集約による生産性向上の必要性
・加工拠点が4拠点に分散しており、非効率な生産性となっている
2. 自社製品製造事業拡充の必要性
・既存の金属加工事業の対応に人手を要し、旺盛な需要のある
自社製品の量産化対応ができていない
3.安定した職場環境整備及び地域との共生の必要性
・地元就職を促進する魅力的な処遇改善が必要
・老朽化した加工機が多くあり、安全性確保が急務
・近隣家屋に対し、騒音対策、製品入出荷時の安全対策が必要
4.安全安定操業の必要性
・ハザードエリアに所在する拠点の抜本的な対策が必要となっている</t>
  </si>
  <si>
    <t>会社全体の売上成長目標（直近事業年度～2029年）
• 売上高成長率25.99%（年平均）
• 売上高増加額23.9億円
会社全体の賃上げ目標
• 2.35%（直近事業年度～基準年度）
• 4.88%:従業員、4.77％:役員（基準年度～事業化報告3年目）</t>
  </si>
  <si>
    <t>【p.1／売上成長目標】
会社全体の売上成長目標（直近事業年度～2029年）
• 売上高成長率25.99%（年平均）
• 売上高増加額23.9億円
会社全体の賃上げ目標
• 2.35%（直近事業年度～基準年度）
• 4.88%:従業員、4.77％:役員（基準年度～事業化報告3年目）
【p.2／上段要旨】
客先からの強い需要及び伸張する市場に対応するために、分散する拠点を１か所へ集約し設備増強を行う
【p.2／上段要旨】
「生産性・生産能力向上」「安全性向上」させ、労働環境改善および継続的な賃金向上を達成する
【p.2／設備投資の内容】
• 設備投資の内容
弊社含むグループ拠点として、津山市草加部工業団地
内に新拠点を取得し、点在している弊社事業所を集約
、同時に新たな事業展開を視野に設備投資を実施する。
工場集約に伴い、既存顧客からの増産要請、新規取込
みに対するライン増強と省力化に資する投資を実施する。
※新拠点取得費および改修費は本補助金対象外
内容 詳細/投資効果
板金・機械加工・溶接・精密検査・自動
設備導入
→安全性向上、省力化、加工能力向上
生産管理システム、サイバーセキュリティ対</t>
  </si>
  <si>
    <t>【p.1】
1.長期成長ビジョン ときわ製作所株式会社
自ら市場を開拓する組織と成り、Made in TSUYAMA製品を世界中に展開することで地域および世の中へ貢献する
長期成長ビジョン（目指す姿・ビジネスモデル） 外発的動機
1.旺盛な金属加工需要
目指す姿：
・大手企業からの下請け加工ニーズの高まり
自ら市場を開拓する組織と成り、Made in TSUYAMA製品を世界
2. 域内におけるサプライヤー事業者の減少
中に展開する
・旺盛な金属加工需要にもかかわらず、後継者不足等に起因した
ビジネスモデル：
廃業・倒産の増加
・分散する生産拠点を1か所へ集約し、安全性・生産性を向上させる
3. 無農薬農業領域の拡大
・旺盛な需要が見込まれる自社製品の量産化を実現し、
・無農薬除草作業ニーズの増加
海外輸出を含めた商圏拡大を積極的に推進する
4.大手企業撤退後の工場跡地活用
・補助事業を通じて生産性を向上させ、サプライヤー不足という
・大型工場跡地活用に対する地域からの期待
地域課題を解決する
1. 拠点集約に伴う生産性向上 内発的動機
・大手企業撤退跡地を取得することで、4拠点にまたがる生産拠点 1. 拠点集約による生産性向上の必要性
を新工場1か所へ集約。「板金-機械加工-組立-溶接」といった ・加工拠点が4拠点に分散しており、非効率な生産性となっている
金属加工のワンストップ提供体制を構築し、競争力を強化 2. 自社製品製造事業拡充の必要性
・加工機能における重複工程の解消及び入出荷効率化の実現 ・既存の金属加工事業の対応に人手を要し、旺盛な需要のある
2. 自社製品事業の拡充 自社製品の量産化対応ができていない
・自社開発製品である水田用除草機「楽とーる」の量産体制を構築 3.安定した職場環境整備及び地域との共生の必要性
・一部外注も活用することで、地域経済へ高い波及効果を実現 ・地元就職を促進する魅力的な処遇改善が必要
3. 職場環境の改善、地域との共生 ・老朽化した加工機が多くあり、安全性確保が急務
・民家の隣接する拠点から、工業団地へ移転することで、 ・近隣家屋に対し、騒音対策、製品入出荷時の安全対策が必要
騒音問題の解消および入出荷時の安全性を確保 4.安全安定操業の必要性
・最新設備導入に伴う安全性の向上 ・ハザードエリアに所在する拠点の抜本的な対策が必要となっている
会社全体の売上成長目標（直近事業年度～2029年）
• 売上高成長率25.99%（年平均）
• 売上高増加額23.9億円
会社全体の賃上げ目標
• 2.35%（直近事業年度～基準年度）
• 4.88%:従業員、4.77％:役員（基準年度～事業化報告3年目）</t>
  </si>
  <si>
    <t>【p.2】
. 補助事業の概要 ときわ製作所株式会社
2
・ 客先からの強い需要及び伸張する市場に対応するために、分散する拠点を１か所へ集約し設備増強を行う
・ 「生産性・生産能力向上」「安全性向上」させ、労働環境改善および継続的な賃金向上を達成する
補助事業の • 既存主要取引先からの増産要請に対し、点在している事業所の集約と製造ラインの再構築 事業費 10億円
背景・目的 を実施し顧客ニーズに答えていく。また有望な新規事業に着手、事業を飛躍的に伸長させる。 （補助額） （ 2.5 億円）
• 設備投資の内容
弊社含むグループ拠点として、津山市草加部工業団地
内に新拠点を取得し、点在している弊社事業所を集約
、同時に新たな事業展開を視野に設備投資を実施する。
工場集約に伴い、既存顧客からの増産要請、新規取込
みに対するライン増強と省力化に資する投資を実施する。
※新拠点取得費および改修費は本補助金対象外
設備投資の
内容
内容 詳細/投資効果 金額
板金・機械加工・溶接・精密検査・自動搬送設備
設備導入 950百万円
→安全性向上、省力化、加工能力向上、品質精度向上
生産管理システム、サイバーセキュリティ対策システム導入
システム構築 50百万円
→省力化、生産管理能力向上、セキュリティ対策
2026年度 2029年度
項目
（基準年度） （基準年度＋３年後）
労働生産性 1,461万円
695万円
（単位：万円/人） （年平均上昇率＋28.1％）
目標値 従業員1人あたり給与支給総額 548万円
475万円
（単位：万円/人） （年平均上昇率＋4.9％）
役員１人あたり給与支給総額
-
（単位：万円/人） - （年平均上昇率＋4.8％）
補助事業に係る従業員数
59人 80人
（単位：人）</t>
  </si>
  <si>
    <t>株式会社ライジング
1.⾧期成⾧ビジョン（1/2）
小型部品から大型のハードウェアまでを対象に、設計から大量生産まで一気通貫の高品質なものづくりを追求し、
世界の「高機能工場」として、グローバル「製造業の高収益化」に貢献する</t>
  </si>
  <si>
    <t>⾧期成⾧ビジョン（目指す姿・ビジネスモデル）
世界の「高機能工場」として、グローバル「製造業の高収益
化」に貢献する
 自ら工場機能を持たない顧客を中心とした製造受託を通
じて、顧客ニーズに合致した品質の高い工場機能を提供
 自ら材料調達や在庫管理を行わない一方で、材料管理シ
ステムの自社開発を行っており、顧客企業の材料調達・在
庫管理への付加価値提供により、歩留率の改善に寄与
 高卒人材・多国籍人材の積極登用を行うと同時に、専門
部署がタレントマネジメントシステムを導入し、社員教育に積
極的に投資し、高い労働生産性と雇用定着を実現</t>
  </si>
  <si>
    <t>外発的動機
 製造業の品質に対する要求水準が高まる中で、最小の部品から
最大のハードウェアまで、設計から大量生産までの全ての製品を
対象とした一気通貫の品質確保が重要
 サプライチェーンの多様化を背景に、Apple社に代表される自ら工
場機能を持たないテクノロジー企業が台頭
 また、世界的な人口減少・経済のグローバル化が進展する中で、国
際人事戦略の観点で多文化環境の創出が重要</t>
  </si>
  <si>
    <t>内発的動機
• 製造業における材料調達に伴う歩留率の悪化に伴う収益性の低
下が経営の危機をもたらした過去の経験から、自ら材料調達や在
庫管理を行わない工場機能に特化した事業形態を選択</t>
  </si>
  <si>
    <t>会社全体の売上成⾧目標（～2031年）
• 売上高成⾧率:+133％
• 売上高増加額:51億円
会社全体の賃上げ目標
• 2.2%（直近事業年度～基準年度）
• 8.9%（基準年度～事業化報告3年目）</t>
  </si>
  <si>
    <t>【p.1／売上成長目標】
会社全体の売上成⾧目標（～2031年）
• 売上高成⾧率:+133％
• 売上高増加額:51億円
会社全体の賃上げ目標
• 2.2%（直近事業年度～基準年度）
• 8.9%（基準年度～事業化報告3年目）
【p.3／2028年度】
2028年度
項目
（基準年度）
【p.4／①SMTマウンターライン導入:1.8億円】
①SMTマウンターライン導入:1.8億円
 プリント基板の製造ライン（3ライン）を導入
【p.4／②屋内無人搬送車導入:0.4億円】
②屋内無人搬送車導入:0.4億円
 小型で300kgの荷物を運ぶ事のできる屋内無人搬送車（AMR）を導入し、2,500km分の搬送を自動化可能
 従来のAMRより狭い通路(80cm程度)を走行出来るため、製造工程の中まで部品を届ける事が可能
 松阪工場での導入実績が国土交通省の「物流・配送会社のための物流DX導入事例集」にてモデル事例として紹介
【p.4／③搬送物自動積替システム導入:0.2億円】
③搬送物自動積替システム導入:0.2億円
 AMRで搬送された部品や完成品を協働ロボットを使用して、自動積み下ろしを行う
 積み下ろしの為に人が移動する際に要した時間や自動搬送車の到着待ち時間等の時間を削減
【p.4／④X線検査装置（CT付）導入:0.2億円】
④X線検査装置（CT付）導入:0.2億円
 CT機能を搭載したX線検査装置を導入し、これまで確認出来なかった部品の検査を行うことで、高品質な生産を確保
【p.4／⑤生産管理システム（TPiCS）導入:0.1億円】
⑤生産管理システム（TPiCS）導入:0.1億円
 製造工程の平準化、部材所要量の確認を自動化し、生産効率を改善
【p.4／⑥AIによる判定装置導入:0.2億円】
⑥AIによる判定装置導入:0.2億円
 9名程度確保して実施していた製品の良否判定をAI技術を活用した判定装置を導入することで検査時間を短縮予定
 虚報率90%→15%まで削減可能</t>
  </si>
  <si>
    <t>【p.1】
株式会社ライジング
1.⾧期成⾧ビジョン（1/2）
小型部品から大型のハードウェアまでを対象に、設計から大量生産まで一気通貫の高品質なものづくりを追求し、
世界の「高機能工場」として、グローバル「製造業の高収益化」に貢献する
⾧期成⾧ビジョン（目指す姿・ビジネスモデル）
世界の「高機能工場」として、グローバル「製造業の高収益
外発的動機
化」に貢献する
 製造業の品質に対する要求水準が高まる中で、最小の部品から
 自ら工場機能を持たない顧客を中心とした製造受託を通
最大のハードウェアまで、設計から大量生産までの全ての製品を
じて、顧客ニーズに合致した品質の高い工場機能を提供 対象とした一気通貫の品質確保が重要
 自ら材料調達や在庫管理を行わない一方で、材料管理シ  サプライチェーンの多様化を背景に、Apple社に代表される自ら工
ステムの自社開発を行っており、顧客企業の材料調達・在 場機能を持たないテクノロジー企業が台頭
庫管理への付加価値提供により、歩留率の改善に寄与
 また、世界的な人口減少・経済のグローバル化が進展する中で、国
際人事戦略の観点で多文化環境の創出が重要
 高卒人材・多国籍人材の積極登用を行うと同時に、専門
部署がタレントマネジメントシステムを導入し、社員教育に積
極的に投資し、高い労働生産性と雇用定着を実現
内発的動機
会社全体の売上成⾧目標（～2031年）
• 売上高成⾧率:+133％
• 製造業における材料調達に伴う歩留率の悪化に伴う収益性の低
• 売上高増加額:51億円
下が経営の危機をもたらした過去の経験から、自ら材料調達や在
庫管理を行わない工場機能に特化した事業形態を選択
会社全体の賃上げ目標
• 2.2%（直近事業年度～基準年度）
• 8.9%（基準年度～事業化報告3年目）
【p.2】
株式会社ライジング
1.⾧期成⾧ビジョン（2/2）
世界の「高機能工場」として、グローバル「製造業の高収益化」に貢献するための事業のグローバル化、現代的な
ソリューションにおいて重要な役割を果たしていくことを積極的に発信している。
2024年6月16日発行のTIME誌に掲載（以下、日本語訳）</t>
  </si>
  <si>
    <t>【p.3】
株式会社ライジング
2.補助事業の概要（1/2）
グローバル「製造業の高収益化」への貢献を広げるため、最先端設備やAI技術を活用した自動化による「高機
能工場」を新設し、高収益化（増収増益）による更なる成⾧と従業員が働きやすい環境構築を目指す。
• 従来17,306㎡の敷地内に8,700㎡の製造エリアを保有して生産活動していたものの、受注
補助事業の 事業費 33億円
量の急増への対応が必要となったため、製造業の高収益化に貢献するための「高機能工場」、
背景・目的 （補助額） （11億円）
かつ従業員が働きやすい環境を兼ね備えた新工場(総面積11,800㎡)2拠点を建設予定。
 「高機能工場」として収益性の工場（増収増益）を実現
• 旧明和工場では実現出来なかったレベルの自動搬送を実現し、物の
移動を自動化することで従業員の作業負担を軽減
• 最先端設備やAI技術を積極的に導入し、従業員はより付加価値の
高い業務に従事することで技術レベルの向上を目指す
設備投資の • 難易度の高い製品を増産可能な体制を整備し、増収増益を実現
内容
 従業員が働きやすい環境構築し、人的基盤を強化
• 新工場内には、休憩室、カウンセリングルーム、調理スペースのある食堂
を完備し、従業員が働きやすい環境を構築し、心身不調の軽減、離職
率低減を実現
• 従業員向けのリフレッシュスペースを設置し、工場増設による環境変化
や増産による精神的・肉体的負担増加に対応
2028年度 2031年度
項目
（基準年度） （基準年度＋３年後）
労働生産性 713万円
539万円
（単位:万円/人） （年平均上昇率＋9.8％）
目標値 従業員1人あたり給与支給総額 437万円
339万円
（単位:万円/人） （年平均上昇率＋8.9％）
役員１人あたり給与支給総額 -
-
（単位:万円/人） （年平均上昇率＋7.0％）
補助事業に係る従業員数
490名 674名
（単位:人）
【p.4】
株式会社ライジング
2.補助事業の概要（2/2）
補助事業の投資内訳の詳細は以下の通りであり、新工場の建設の他、最新の工場設備・システムの導入によ
る自動化・オペレーションの効率化を促進し、労働生産性の向上を推進する。
①SMTマウンターライン導入:1.8億円
 プリント基板の製造ライン（3ライン）を導入
②屋内無人搬送車導入:0.4億円
 小型で300kgの荷物を運ぶ事のできる屋内無人搬送車（AMR）を導入し、2,500km分の搬送を自動化可能
 従来のAMRより狭い通路(80cm程度)を走行出来るため、製造工程の中まで部品を届ける事が可能
 松阪工場での導入実績が国土交通省の「物流・配送会社のための物流DX導入事例集」にてモデル事例として紹介
③搬送物自動積替システム導入:0.2億円
 AMRで搬送された部品や完成品を協働ロボットを使用して、自動積み下ろしを行う
 積み下ろしの為に人が移動する際に要した時間や自動搬送車の到着待ち時間等の時間を削減
④X線検査装置（CT付）導入:0.2億円
 CT機能を搭載したX線検査装置を導入し、これまで確認出来なかった部品の検査を行うことで、高品質な生産を確保
⑤生産管理システム（TPiCS）導入:0.1億円
 製造工程の平準化、部材所要量の確認を自動化し、生産効率を改善
⑥AIによる判定装置導入:0.2億円
 9名程度確保して実施していた製品の良否判定をAI技術を活用した判定装置を導入することで検査時間を短縮予定
 虚報率90%→15%まで削減可能</t>
  </si>
  <si>
    <t>株式会社山福
1.長期成長ビジョン
日本食における「ごちそう」を支える“黒子役”として、食の現場におけるリソース不足を高い水準でサポートする。
そして、地域還元を通じて、魅力ある業界へとけん引するリーディングカンパニーとなる</t>
  </si>
  <si>
    <t>長期成長ビジョン（目指す姿・ビジネスモデル）
日本食の「ごちそう」を支える盤石な社会インフラ
• 全国の調理現場、お客様に高品質で、かつ安全な商品を安定して
提供する
• 日本の食文化を守り、そして発展させていくため、現時点で約5万
点を超える商品に加え、オリジナルブランドの製品開発にも注力し
ていく。
• 全国的に枯渇する外部冷凍冷蔵倉庫に供給網を委ねるのではな
く、自社で必要庫数を確保し、品質および安定供給を担保する
• 工場における自動化、物流における効率化を積極的に図り、山福
で働く人が、より創造性のある仕事に従事できるよう工夫を重ねる。
• 事業拡大で得られる収益は人財に還元し、業界をけん引するリー
ディングカンパニーとなる</t>
  </si>
  <si>
    <t>外発的動機
• 国内の冷凍冷蔵倉庫の絶対量の不足、老朽化（冷蔵事業者の約
9割は中小企業が占めるが、投資余力がなく、高齢化に伴う廃業によ
りさらに供給は逼迫することが予想される。そして、建て替えが必要な
築40年以上の倉庫も全国で3割を超える*1）
• 物流の2024年問題により、納期遅延、物流コストの上昇が顕著に
経営を圧迫
• 通信販売(ECやカタログ通販、テレビショッピング等）を通じた食品の
購入拡大（2019年から2021年で2.1倍、2023年も前年比＋
5.2％*2）
• インバウンド需要の拡大と国内外食・旅行需要の回復
• 2013年「和食」がユネスコに登録されて以降、コロナ禍による一時的
な縮小はあったものの、海外における底堅い日本食ニーズの高まり
• （ホテルや旅館、料亭などの）料理現場における人手不足と高齢化</t>
  </si>
  <si>
    <t>内発的動機
• 創業から79年の間、商品点数は現在5万点以上に達し、全国の仕
入先は1100社以上、販売先も約1200社まで拡大。山福は業務
用高級食材の専門商社として現場のプロが求める食材を安全、かつ
安定して提供し続ける使命がある
• 販売点数業界１位の「おせち」のOEM事業は、前年2月から仕入れ
を開始し、4月から仕込みを始めている。材料段階から最終製品まで、
品質を高水準で維持するための冷凍冷蔵倉庫の保管キャパシティが
頭打ちとなっており、食の安全を確保するために、拡大する需要に対
応しきれていない。</t>
  </si>
  <si>
    <t>会社概要
創業：1946年4月（創業79年）
拠点：大阪府豊中市（本社）、宮城県仙台市（支
店）、宮崎県東諸県郡（製造工場）、大阪府大阪市
（小売店舗）、東京両国（営業拠点）
その他：健康経営有料法人、優良申告法人
事業概要
• 卸売事業：業務用高級食材をホテル、旅館、料亭、
飲食店等へ卸売り。食材は最終調理工程の手前まで
加工を施し、調理現場の省力化を図ったものが主力商
品。高級食材専門商社として商品点数は5万点超。
• おせち事業：通販会社、百貨店、有名シェフ・料亭など
からOEM製造を受託し、完成した冷凍おせちを販売。
直近120万食以上売上。業界首位。
• 海外事業：国内の輸出商社向けに、高級食材を卸売
販売
• 小売事業：主要顧客は周辺の高級料理店。一般消
費者も購入可能。自社製品も店頭に並ぶ</t>
  </si>
  <si>
    <t>【p.1／当社・会社の概要】
会社概要
創業：1946年4月（創業79年）
拠点：大阪府豊中市（本社）、宮城県仙台市（支
店）、宮崎県東諸県郡（製造工場）、大阪府大阪市
（小売店舗）、東京両国（営業拠点）
その他：健康経営有料法人、優良申告法人
事業概要
• 卸売事業：業務用高級食材をホテル、旅館、料亭、
飲食店等へ卸売り。食材は最終調理工程の手前まで
加工を施し、調理現場の省力化を図ったものが主力商
品。高級食材専門商社として商品点数は5万点超。
• おせち事業：通販会社、百貨店、有名シェフ・料亭など
からOEM製造を受託し、完成した冷凍おせちを販売。
直近120万食以上売上。業界首位。
• 海外事業：国内の輸出商社向けに、高級食材を卸売
販売
• 小売事業：主要顧客は周辺の高級料理店。一般消
費者も購入可能。自社製品も店頭に並ぶ
【p.1／幹事企業 参加企業】
幹事企業 参加企業
企画・製造・品質管理 保管 コンソーシアム
【p.2／売上成長目標】
売上成長目標
（コンソーシアム合算）2031年5月期: 509億円
• 27/5期から31/5期までの売上高成長率: +13.4％
• 27/5期から31/5期までの売上高増加額: +197億円
（山福単体） 2031年5月期: 503億円
• 27/5期から31/5期までの売上高成長率: +13.2%
• 27/5期から31/5期までの売上高増加額: +201億円</t>
  </si>
  <si>
    <t>【p.1】
株式会社山福
1.長期成長ビジョン
当社は創業79年の、業務用高級食材の卸売、おせちのOEM製造を主力事業とする食品事業を行う
2029年度にコンソーシアム合算売上高480億円を目指し、事業の中核機能である「保管」機能を強化
会社概要 卸売事業 おせち事業 海外事業 小売事業
創業：1946年4月（創業79年） （主力事業） （主力事業）
拠点：大阪府豊中市（本社）、宮城県仙台市（支 1,100社以上
店）、宮崎県東諸県郡（製造工場）、大阪府大阪市
産地・製造会社 食品輸入商社 仕入先
（小売店舗）、東京両国（営業拠点）
その他：健康経営有料法人、優良申告法人
事業概要
• 卸売事業：業務用高級食材をホテル、旅館、料亭、 保管 倉庫業者
飲食店等へ卸売り。食材は最終調理工程の手前まで
加工を施し、調理現場の省力化を図ったものが主力商
品。高級食材専門商社として商品点数は5万点超。 幹事企業 参加企業
• おせち事業：通販会社、百貨店、有名シェフ・料亭など 企画・製造・品質管理 保管 コンソーシアム
からOEM製造を受託し、完成した冷凍おせちを販売。
直近120万食以上売上。業界首位。
• 海外事業：国内の輸出商社向けに、高級食材を卸売
おせち盛り込み 外注先
販売
• 小売事業：主要顧客は周辺の高級料理店。一般消
費者も購入可能。自社製品も店頭に並ぶ
保管 倉庫業者
業務用高級食材卸売 おせち企画OEM
業務用食品卸 食品輸出商社 食品卸会社
調理提供者 通販事業者等 自社店舗 飲食・小売
1,200社以上
一般消費者・業者 消費等
【p.2】
株式会社山福
1.長期成長ビジョン
日本食における「ごちそう」を支える“黒子役”として、食の現場におけるリソース不足を高い水準でサポートする。
そして、地域還元を通じて、魅力ある業界へとけん引するリーディングカンパニーとなる
長期成長ビジョン（目指す姿・ビジネスモデル） 外発的動機
• 国内の冷凍冷蔵倉庫の絶対量の不足、老朽化（冷蔵事業者の約
日本食の「ごちそう」を支える盤石な社会インフラ
9割は中小企業が占めるが、投資余力がなく、高齢化に伴う廃業によ
りさらに供給は逼迫することが予想される。そして、建て替えが必要な
• 全国の調理現場、お客様に高品質で、かつ安全な商品を安定して
築40年以上の倉庫も全国で3割を超える*1）
提供する
• 物流の2024年問題により、納期遅延、物流コストの上昇が顕著に
• 日本の食文化を守り、そして発展させていくため、現時点で約5万
経営を圧迫
点を超える商品に加え、オリジナルブランドの製品開発にも注力し
• 通信販売(ECやカタログ通販、テレビショッピング等）を通じた食品の
ていく。
購入拡大（2019年から2021年で2.1倍、2023年も前年比＋
• 全国的に枯渇する外部冷凍冷蔵倉庫に供給網を委ねるのではな
5.2％*2）
く、自社で必要庫数を確保し、品質および安定供給を担保する
• インバウンド需要の拡大と国内外食・旅行需要の回復
• 工場における自動化、物流における効率化を積極的に図り、山福
• 2013年「和食」がユネスコに登録されて以降、コロナ禍による一時的
で働く人が、より創造性のある仕事に従事できるよう工夫を重ねる。
な縮小はあったものの、海外における底堅い日本食ニーズの高まり
• 事業拡大で得られる収益は人財に還元し、業界をけん引するリー
• （ホテルや旅館、料亭などの）料理現場における人手不足と高齢化
ディングカンパニーとなる
内発的動機
売上成長目標
• 創業から79年の間、商品点数は現在5万点以上に達し、全国の仕
（コンソーシアム合算）2031年5月期: 509億円
入先は1100社以上、販売先も約1200社まで拡大。山福は業務
• 27/5期から31/5期までの売上高成長率: +13.4％
用高級食材の専門商社として現場のプロが求める食材を安全、かつ
• 27/5期から31/5期までの売上高増加額: +197億円
安定して提供し続ける使命がある
• 販売点数業界１位の「おせち」のOEM事業は、前年2月から仕入れ
（山福単体） 2031年5月期: 503億円
を開始し、4月から仕込みを始めている。材料段階から最終製品まで、
• 27/5期から31/5期までの売上高成長率: +13.2%
品質を高水準で維持するための冷凍冷蔵倉庫の保管キャパシティが
• 27/5期から31/5期までの売上高増加額: +201億円
頭打ちとなっており、食の安全を確保するために、拡大する需要に対
応しきれていない。
*1: 「コールドストレージの今」, 2024年4月,CBRE
*2 「10年後の冷蔵倉庫市場の展望」,2023年8月,NRI</t>
  </si>
  <si>
    <t>【p.3】
株式会社山福
.補助事業の概要
2
仙台新冷凍冷蔵倉庫の建設及び設備導入費は、総額48.7億円の大規模投資となる
労働生産性は1,587万円/人(年率24.5%成長)、従業員給与は470万円/人(年率6.0%増額)へ
• 物流の2024年問題や冷凍冷蔵倉庫の全国的な不足・老朽化により物流コストや物流効率
が悪化。物流の最適解を外部に求めることが困難な状況となっている 事業費 億円
51
補助事業の
• 受注に対応できる必要な在庫を確保し、自社倉庫をハブとした効率的な物流網を構築すると （補助額） （16億円）
背景・目的
ともに、倉庫内オペレーションも自動化装置により省力化を図ったものとする
• 宮城県仙台市宮城野区に地上3階建ての大規模冷凍冷蔵倉庫（延床
面積は8,550㎡、庫腹は最大11,400トン）を建設（40.3億円）
• 倉庫内には、移動ラックシステムやAGV、遠距離バーコードスキャナーなどの
各種自動化設備を導入と共に、これら自動設備を活かしたオペレーションを
実現するためにシステム刷新（導入総額は8.4億円）
設備投資の • 材料の調達から食材・製品を輸送に係る現状のサプライチェーンは大阪を
内容 起点としており、長距離・非効率な輸送
• 仙台に大規模拠点を持つことにより、現地周辺での調達量を増やし、関東
以北へも短納期が達成可能
• 移動ラックシステムや各種自動化設備、システム刷新による情報の見える
化等の組み合わせにより、倉庫オペレーション全体がDX化され、高級食材 (仙台新冷凍冷蔵倉庫CGパース)
の多品種少量へも効率的に対応可能
2027年度 2030年度
項目
（基準年度） （基準年度＋３年後）
（単
労
位
働
：
生
万
産
円
性
/人）
822（山福:660、エクセル:14,035） 1,587
（
（
年
山
平
福
均
:1
上
,4
昇
33
率
、
＋
エク
2
セ
4.
ル
5
:
％
15
）
,166）
470（山福:470（宮城:621、大阪:536、宮
目標値 従業員1人あたり給与支給総額 386（山福:386（宮城:521、大阪:450、宮崎:209）、エクセ
（単位：万円/人） ル:n/a）
（
崎
年
:2
平
48
均
）
上
、
昇
エク
率
セ
＋
ル
6
:5
.0
3
％
6）
）
1,829（山福:2,207（※）、エクセル:1,199(※))
役員１人あたり給与支給総額 1,603（山福:1,934（※）、エクセル:1,050（※）)
（※拠点はいずれも大阪のみ）
（単位：万円/人） （※拠点はいずれも大阪のみ）
（年平均上昇率＋4.5％）
補助事業に係る従業員数 324（山福:324（宮城:45、大阪:179、宮崎100）、エクセ 355（山福:355（宮城:60、大阪:195、宮崎:100）、
（単位：人） ル:n/a） エクセル:1）</t>
  </si>
  <si>
    <t>株式会社やまみ
1.長期成長ビジョン
豆腐・大豆の国内外の需要に対して当社の製品を届け、世界の食卓を健康的で豊かな食卓にし、2034年に
売上高600億円、業界トップのシェアを目指す。まずは補助事業を通じ、2030年に475億円を達成する。</t>
  </si>
  <si>
    <t>長期成長ビジョン（目指す姿・ビジネスモデル）
◼ 目指す姿
大豆食品の提供を通じて、世界の人々の健康と社会に貢献
⚫
売上高600億円（2034年）、世界シェアトップ
⚫
◼ ビジネスモデル
✓ 事業拡大
国内事業の強化：直近4年間の売り上げはCAGR14.2%で好調
⚫
に成長。現在も高まっているニーズに対応するため、引き続き東日本
を中心に事業を強化していく
海外事業への進出：海外での日本食ブーム・たんぱく質の需要増加
⚫
により、海外向けの商品の引き合いを受諾。市場が急速に成長してい
る海外市場への開拓を行い、今後の持続的な成長に繋げる
✓ 高付加価商品の開発
競合との差別化、高い利益の獲得のため、他社に先駆けた商品開
⚫
発を実施
✓ 生産能力の強化・安定的な生産体制の構築
国内外の需要対応、リスクヘッジのために、製造量の増加が必
⚫
要。人手不足へ対応するために、省人省力化が可能な設備を
導入し、生産能力を強化していく</t>
  </si>
  <si>
    <t>外発的動機
◼ 豆腐・おからの需要拡大
国内外で健康に対する意識が高まっており、豆腐・おからなどのたんぱく
⚫
質の需要が増加
国内の競合他社は事業撤退や縮小が進んでおり、当社への引き合い
⚫
が増加
海外ではユネスコで和食が無形文化財として登録され、日本食の需要
⚫
が拡大。豆腐・おからについても市場は急速に拡大
世界的なサスティナビリティの促進により、食品ロス削減への関心が高
⚫
まっており、おからの引き合いが増加
◼ 人手不足への対応
少子高齢化の進行に伴って、人手不足に対応した安定生産の構築
⚫
が必要
◼ 自然災害の増加への対応
近年、豪雨や地震などの自然災害が増加しており、安定供給体制の
⚫
構築が必要（現在、おからは関西工場のみで製造）</t>
  </si>
  <si>
    <t>内発的動機
◼ 現状国内事業の強化：現在は国内向けに事業を展開しており、直近3
年間の売り上げはCAGR14.2%での成長を達成。
◼ 世界への挑戦：2034年に売上600億円、国内・世界トップの豆腐企
業を目指す。国内では東日本のシェア獲得をより一層強化する。また、市
場が急速に成長している海外市場へも早期に進出し、海外事業の基盤
づくりを実施する。これにより、自社の成長と共に日本の食文化を世界に
届け、世界の人々の健康を促進することで社会へ貢献していきたい
◼ 食品業界の労働イメージの改善：新たな設備投資によって従業員の労
働負荷の減少、収益性向上による継続的な賃上げを実現することで、長
期雇用の創出、業界全体のイメージ改善につなげたい</t>
  </si>
  <si>
    <t>会社全体の売上成長目標（2030年6月期）
• 売上高：475.3億円（2024年6月期+272.3億円）
• 年平均成長率：16.7%/年（直近3年間の実績：14.2%/年）
会社全体の賃上げ目標
• 4.2%（直近事業年度～基準年度）
• 6.8%（基準年度～事業化報告3年目）</t>
  </si>
  <si>
    <t>【p.1／売上成長目標】
会社全体の売上成長目標（2030年6月期）
• 売上高：475.3億円（2024年6月期+272.3億円）
• 年平均成長率：16.7%/年（直近3年間の実績：14.2%/年）
会社全体の賃上げ目標
• 4.2%（直近事業年度～基準年度）
• 6.8%（基準年度～事業化報告3年目）</t>
  </si>
  <si>
    <t>【p.1】
株式会社やまみ
1.長期成長ビジョン
豆腐・大豆の国内外の需要に対して当社の製品を届け、世界の食卓を健康的で豊かな食卓にし、2034年に
売上高600億円、業界トップのシェアを目指す。まずは補助事業を通じ、2030年に475億円を達成する。
長期成長ビジョン（目指す姿・ビジネスモデル） 外発的動機
◼ 豆腐・おからの需要拡大
◼ 目指す姿
国内外で健康に対する意識が高まっており、豆腐・おからなどのたんぱく
⚫
大豆食品の提供を通じて、世界の人々の健康と社会に貢献
⚫ 質の需要が増加
⚫ 売上高600億円（2034年）、世界シェアトップ ⚫ 国内の競合他社は事業撤退や縮小が進んでおり、当社への引き合い
が増加
◼ ビジネスモデル
海外ではユネスコで和食が無形文化財として登録され、日本食の需要
⚫
✓ 事業拡大
が拡大。豆腐・おからについても市場は急速に拡大
国内事業の強化：直近4年間の売り上げはCAGR14.2%で好調
⚫ 世界的なサスティナビリティの促進により、食品ロス削減への関心が高
⚫
に成長。現在も高まっているニーズに対応するため、引き続き東日本
まっており、おからの引き合いが増加
を中心に事業を強化していく
◼ 人手不足への対応
海外事業への進出：海外での日本食ブーム・たんぱく質の需要増加
⚫ 少子高齢化の進行に伴って、人手不足に対応した安定生産の構築
⚫
により、海外向けの商品の引き合いを受諾。市場が急速に成長してい
が必要
る海外市場への開拓を行い、今後の持続的な成長に繋げる
◼ 自然災害の増加への対応
✓ 高付加価商品の開発 ⚫ 近年、豪雨や地震などの自然災害が増加しており、安定供給体制の
競合との差別化、高い利益の獲得のため、他社に先駆けた商品開 構築が必要（現在、おからは関西工場のみで製造）
⚫
発を実施
内発的動機
✓ 生産能力の強化・安定的な生産体制の構築
◼ 現状国内事業の強化：現在は国内向けに事業を展開しており、直近3
国内外の需要対応、リスクヘッジのために、製造量の増加が必
⚫
年間の売り上げはCAGR14.2%での成長を達成。
要。人手不足へ対応するために、省人省力化が可能な設備を
◼ 世界への挑戦：2034年に売上600億円、国内・世界トップの豆腐企
導入し、生産能力を強化していく
業を目指す。国内では東日本のシェア獲得をより一層強化する。また、市
場が急速に成長している海外市場へも早期に進出し、海外事業の基盤
会社全体の売上成長目標（2030年6月期）
づくりを実施する。これにより、自社の成長と共に日本の食文化を世界に
• 売上高：475.3億円（2024年6月期+272.3億円）
届け、世界の人々の健康を促進することで社会へ貢献していきたい
• 年平均成長率：16.7%/年（直近3年間の実績：14.2%/年）
◼ 食品業界の労働イメージの改善：新たな設備投資によって従業員の労
会社全体の賃上げ目標
働負荷の減少、収益性向上による継続的な賃上げを実現することで、長
• 4.2%（直近事業年度～基準年度）
期雇用の創出、業界全体のイメージ改善につなげたい
• 6.8%（基準年度～事業化報告3年目）</t>
  </si>
  <si>
    <t>【p.2】
株式会社やまみ
.補助事業の概要
2
国内外の豆腐・おから需要の増加により、生産能力の強化が急務になっており、富士山麓工場を増設する。新
工場は最新設備の導入により、省人・省力化を行い、労働生産性を向上し、6.８%/年の賃上げを実現する。
◼ 既存工場では国内外の需要に豆腐・おからの生産能力が不足するため、補助事業を通じて、
生産能力を拡大する（特に、東日本に向けた販売の強化、海外進出のための設備が必要）
補助事業の
背景・目的 ◼ 将来の人手不足に対応するために、生産性向上や業務効率化も急務となっており、最新の設 事業費 56億円
備を導入することで生産能力増強、生産性向上を目指す
（補助額） （18億円）
◼ 費用の内訳
費用の 工場建設費 20.1億円
⚫
内訳 機械設備費 35.9億円
⚫
設 ⚫ ソフトウェア費 0.1億円 合計56.1億円
備
◼ 静岡県の富士山麓工場に豆腐・おからを製造する工場を増設
投
生産量の増加により、国内外の豆腐・おから需要の増加に対応可能
⚫
資
⇒生産能力約4倍（豆腐：10,000P/hr→40.000P/hrの製造が可能）
の
製造ラインの自動化による労働生産性の向上
⚫
内
効果 ⇒人員は約2倍の増加で留める
容
生産管理システムの導入による機械処理能力の強化
⚫
◼ 東日本への販売ルートの強化および海外への販売ルートの構築
◼ 労働負荷の低減、賃上げにより食品業界の重労働・低賃金のイメージを改善
2027年6月期年度 2030年6月期
項目
（基準年度） （基準年度＋３年後）
労働生産性 3,079
1,401
（単位：万円/人） （年平均上昇率＋30.0％）
目標値 従業員1人あたり給与支給総額 426
350
（単位：万円/人） （年平均上昇率＋6.8％）
役員１人あたり給与支給総額
- -
（単位：万円/人）
補助事業に係る従業員数
115人 203人
（単位：人）</t>
  </si>
  <si>
    <t>株式会社宮古島の雪塩
1.長期成長ビジョン
宮古島での菓子事業を担う企業として、県内での生産を実現させるとともに、宮古島が得意とする観光・農業を
さらに発展させ、地域社会へ貢献する</t>
  </si>
  <si>
    <t>長期成長ビジョン（目指す姿・ビジネスモデル）
美しい宮古島の海から生まれる塩 ～宮古島から世界へ～
• 沖縄では最大規模かつ最先端の菓子工場および見学施設を兼
ね備えたファクトリ―ショップを建設
土産菓子製造工場を併設した商業施設を立ち上げ、宮古
圏域の農業および製造業の振興に貢献
• これまでの「塩を軸とした工場・商業施設」、「地域特産品を軸とし
た商業施設」に続く「菓子を軸とした工場・商業施設」を構築
島内3つ目の商業施設を展開することによる観光需要の積
極的な掘り起こし
• 従業員を始めとした人材も重要な経営資源と捉え、菓子製造技
術を承継していく
島内での新たな雇用創出に貢献</t>
  </si>
  <si>
    <t>外発的動機
• アフターコロナでの旅行需要の急回復、円安による海外から国内への旅
行客のシフトによる沖縄・宮古島への観光客が増加
• 沖縄随一の美しい海や2つの空港をもつ宮古島エリアの無限の可能性
• 県内耕地面積の31％を占めるほどの高い生産力を持つ島の農業との
連携の可能性</t>
  </si>
  <si>
    <t>内発的動機
• 県外企業によるOEM生産で販売している「雪塩さんど」がヒット商品にま
で成長した。しかし、沖縄県内に「雪塩さんど」を生産可能な工場はなく、
「県外産の沖縄土産」という状況を解消を目指す
• 現状の生産能力では限界がきており、生産能力を増強させ、沖縄土産
のトップブランドを目指す
• サトウキビ製糖以外では製造業不毛の地と言われた離島宮古島におい
て、トップクラスの菓子工場を建設し、地域のこども達の見学を積極的に
受け入れ、モノづくりを人材育成の面からもサポートする
• 最終製品を作り上げる菓子工場を建設することで、これまで島になかっ
た事業の誘致を促進し、製造業の「すそ野の広がり」を実現させる</t>
  </si>
  <si>
    <t>会社全体の売上成長目標（～29年度）
• 売上高成長率217％
• 売上高増加額80億円
会社全体の賃上げ目標
• 2.4%（直近事業年度～基準年度）
• 7.0%（基準年度～事業化報告3年目）</t>
  </si>
  <si>
    <t>【p.1／売上成長目標】
会社全体の売上成長目標（～29年度）
• 売上高成長率217％
• 売上高増加額80億円
会社全体の賃上げ目標
• 2.4%（直近事業年度～基準年度）
• 7.0%（基準年度～事業化報告3年目）</t>
  </si>
  <si>
    <t>【p.1】
株式会社宮古島の雪塩
1.長期成長ビジョン
宮古島での菓子事業を担う企業として、県内での生産を実現させるとともに、宮古島が得意とする観光・農業を
さらに発展させ、地域社会へ貢献する
長期成長ビジョン（目指す姿・ビジネスモデル） 外発的動機
美しい宮古島の海から生まれる塩 ～宮古島から世界へ～
• アフターコロナでの旅行需要の急回復、円安による海外から国内への旅
• 沖縄では最大規模かつ最先端の菓子工場および見学施設を兼 行客のシフトによる沖縄・宮古島への観光客が増加
ね備えたファクトリ―ショップを建設
• 沖縄随一の美しい海や2つの空港をもつ宮古島エリアの無限の可能性
土産菓子製造工場を併設した商業施設を立ち上げ、宮古
• 県内耕地面積の31％を占めるほどの高い生産力を持つ島の農業との
圏域の農業および製造業の振興に貢献
連携の可能性
• これまでの「塩を軸とした工場・商業施設」、「地域特産品を軸とし
た商業施設」に続く「菓子を軸とした工場・商業施設」を構築
島内3つ目の商業施設を展開することによる観光需要の積
極的な掘り起こし
• 従業員を始めとした人材も重要な経営資源と捉え、菓子製造技
内発的動機
術を承継していく
島内での新たな雇用創出に貢献
• 県外企業によるOEM生産で販売している「雪塩さんど」がヒット商品にま
で成長した。しかし、沖縄県内に「雪塩さんど」を生産可能な工場はなく、
「県外産の沖縄土産」という状況を解消を目指す
会社全体の売上成長目標（～29年度）
• 現状の生産能力では限界がきており、生産能力を増強させ、沖縄土産
• 売上高成長率217％
のトップブランドを目指す
• 売上高増加額80億円
会社全体の賃上げ目標 • サトウキビ製糖以外では製造業不毛の地と言われた離島宮古島におい
て、トップクラスの菓子工場を建設し、地域のこども達の見学を積極的に
• 2.4%（直近事業年度～基準年度）
受け入れ、モノづくりを人材育成の面からもサポートする
• 7.0%（基準年度～事業化報告3年目）
• 最終製品を作り上げる菓子工場を建設することで、これまで島になかっ
た事業の誘致を促進し、製造業の「すそ野の広がり」を実現させる</t>
  </si>
  <si>
    <t>【p.2】
株式会社宮古島の雪塩
.補助事業の概要
2
宮古島市に大規模土産菓子工場を建設することで、現状の製造能力不足が解消されるのみならず、宮古島の
農業、製造業、観光業の振興に貢献できる投資である
⚫ 県外に生産委託の構造のまま県産菓子の市場が成長し、経済が域外流出 事業費 2 億円
補助事業の 5
⚫ 宮古島にて最先端の土産菓子工場を建設して産業構造を転換し、地域経済を牽引しつつ （補助額） （8 億円）
背景・目的 .0
雇用の創出、農業、観光業のさらなる活性化を目指す
⚫ 沖縄県宮古島市に菓子製造工場を新設し、菓子事業における規模
拡張を見込む
⚫ 宮古島市において新たな雇用を創出し、島外へ労働人口が流出して
しまう宮古島の課題解決に貢献
⚫ 県内最大規模の菓子製造工場を持つことにより、原料としての地元農
設備投資の
産物の積極的な採用とブランディング
内容
【住所】 沖縄県宮古島市平良荷川取314-1
【坪数】 敷地坪数2700坪、施設坪数1120坪
＊工場970坪、商業施設150坪を予定
【金額】
・建物 23.4億円
・機械装置 0.6億円
2026年度 2029年度
項目
（基準年度） （基準年度＋３年後）
労働生産性 2,949
1,548
（単位：万円/人） （年平均上昇率＋24.0％）
目標値 従業員1人あたり給与支給総額 559
456
（単位：万円/人） （年平均上昇率＋7.0％）
役員１人あたり給与支給総額
- -
（単位：万円/人）
補助事業に係る従業員数
108 131
（単位：人）</t>
  </si>
  <si>
    <t>大京株式会社
1.長期成長ビジョン
当社は「Over the Border」を社是として掲げ、①工場の生産能⼒拡⼤②組⽴対応⼒の強化③労働環境改善・
積極的な賃上げによる従業員への還元④塗装設備能⼒を活かした事業強靭性の強化により持続的成長を目指す。</t>
  </si>
  <si>
    <t>長期成長ビジョン（目指す姿・ビジネスモデル）
• 当社は「Over the Border～私たちは境界を超えていきます
～」を社是として掲げている
• 製品を通じて国境を越えて価値を提供すること、そのために知的好
奇心を持ち、既存技術の枠組みを超えて新たな価値を創造・提供
することを目指す
20年ぶりに日本国内で大規模投資を実施することにより、今後50年
後を見越した次世代につながる成長基盤を構築します。具体的には、
新工場建設を契機に4つの方針で持続可能な成長を実現します。
①工場レイアウト最適化による生産性及び品質改善の実現、キャパシ
ティ拡⼤による成長する市場需要の獲得、需要変動への対応力強化
②組立工程の対応力をさらに高め、競合他社との差別化を図ることで
世界シェア拡⼤を実現する
③重量物運搬作業の削減で労働環境を改善し、積極的な賃上げを
通じて従業員へ還元する。また、社員が知的好奇心を持ち自己成長
できる環境を提供することでノウハウ蓄積・新技術への対応力を⾼める。
④北陸最大級の塗装設備能力を活かして、建設業界及び塗装生産
量の変動への対応を可能とすることで地域貢献するとともに事業強靭
性（レジリエンス）を高める。</t>
  </si>
  <si>
    <t>外発的動機
• 新興国の経済成長に伴う建設需要の⾼まり、先進国におけるインフラ
老朽化への対応、産業を支える鉱物資源採掘需要の拡⼤により今後
の建機市場は大きく伸長することが見込まれる
• 当社主要取引先についても、世界市場において⾼い売上成長を見込
んでおり、当社主力製品に対する需要はさらに拡大する見通しである
• 建設機械メーカーは複数部品の事前組立（サブアッセンブリー）の
外部委託を進めており、当社にも対応要請が来ている
• カーボンニュートラルへの取組意識が⾼まっており、当社も生産プロセス
において温室効果ガス排出量の削減にコミットしていく必要がある
• 環境負荷低減や労働者の安全に対する意識が高まっており、電動
化、自律化、遠隔操作など、新たな技術も台頭してきている</t>
  </si>
  <si>
    <t>内発的動機
• 当社は、塗装事業を起点に事業を拡大し、2000年代は顧客要望
に応えるため海外投資を積極的に進めてきました。一方、国内の製
造拠点では、以下の課題に直面しております。
• 成長に伴う工場拡⼤により、工場が点在する形態となり、工場間の
物流が増加し、生産現場における大きな非効率を生んでいます。
• 得意先からの需要増加や新規事業の要望に対して、スペース不足等
により十分な対応ができない状況に陥っています。
• 市場競争力を維持するためには、製品の安定供給と品質確保のため
の自動化設備投資が不可欠となっています。
• 上記課題を解決するため、日本国内での大規模投資を決断しました。
地域No.1の売上高を目指すとともに、社員とその家族が幸せで居続
けれるように継続して賃上げを推進することが私の使命と考えています。</t>
  </si>
  <si>
    <t>会社全体の売上成長目標（2029年度）
• 売上⾼成長率65％
• 売上⾼増加額208億円
会社全体の賃上げ目標
• 1.57%（直近事業年度～基準年度）
• 8.0%（基準年度～事業化報告3年目）</t>
  </si>
  <si>
    <t>【p.1／売上成長目標】
会社全体の売上成長目標（2029年度）
• 売上⾼成長率65％
• 売上⾼増加額208億円
会社全体の賃上げ目標
• 1.57%（直近事業年度～基準年度）
• 8.0%（基準年度～事業化報告3年目）
【p.2／新工場イメージ】
新工場イメージ
~つながる生産ライン、着脱レスの実現~
製
組立 塗装 板金
品
部品
組立 塗装 板金
電着 検査
部品 塗装
ピッキング
仕上
粉体
溶接
サブ 塗装①
組⽴
ロボット
粉体 溶接
塗装②
組⽴
ライン
仮組
溶剤
塗装
サブ組
【p.3／再編計画】
■再編計画
• 【補助事業】建設機械部品製造事業(溶接、塗装、組⽴工程)を本社工場に集約
• 第1工場は受託塗装事業専用工場とする
• 第3工場に部品販売事業に関する業務(輸出入、梱包)を集約する
【p.3／工場分散による問題点】
■工場分散による問題点
• 工場間物流によるロス発生(着脱回数増加、横持ち物流)
• フォークリフトによる工場間の運搬が中心であり、従業員の安全面でもリスクが⾼い
• 工場の搬入・搬出口を開放しておく必要があるため、空調機器が機能しづらい
• 仕掛品を屋外保管せざるを得ない状況が発生しており、現体制で品質を⾼めながら生産キャパシティを拡⼤することは困難</t>
  </si>
  <si>
    <t>【p.1】
大京株式会社
1.長期成長ビジョン
当社は「Over the Border」を社是として掲げ、①工場の生産能⼒拡⼤②組⽴対応⼒の強化③労働環境改善・
積極的な賃上げによる従業員への還元④塗装設備能⼒を活かした事業強靭性の強化により持続的成長を目指す。
長期成長ビジョン（目指す姿・ビジネスモデル） 外発的動機
• 当社は「Over the Border～私たちは境界を超えていきます • 新興国の経済成長に伴う建設需要の⾼まり、先進国におけるインフラ
老朽化への対応、産業を支える鉱物資源採掘需要の拡⼤により今後
～」を社是として掲げている
の建機市場は大きく伸長することが見込まれる
• 製品を通じて国境を越えて価値を提供すること、そのために知的好
奇心を持ち、既存技術の枠組みを超えて新たな価値を創造・提供 • 当社主要取引先についても、世界市場において⾼い売上成長を見込
することを目指す んでおり、当社主力製品に対する需要はさらに拡大する見通しである
20年ぶりに日本国内で大規模投資を実施することにより、今後50年 • 建設機械メーカーは複数部品の事前組立（サブアッセンブリー）の
外部委託を進めており、当社にも対応要請が来ている
後を見越した次世代につながる成長基盤を構築します。具体的には、
新工場建設を契機に4つの方針で持続可能な成長を実現します。 • カーボンニュートラルへの取組意識が⾼まっており、当社も生産プロセス
において温室効果ガス排出量の削減にコミットしていく必要がある
①工場レイアウト最適化による生産性及び品質改善の実現、キャパシ
ティ拡⼤による成長する市場需要の獲得、需要変動への対応力強化 • 環境負荷低減や労働者の安全に対する意識が高まっており、電動
化、自律化、遠隔操作など、新たな技術も台頭してきている
②組立工程の対応力をさらに高め、競合他社との差別化を図ることで
世界シェア拡⼤を実現する
③重量物運搬作業の削減で労働環境を改善し、積極的な賃上げを 内発的動機
通じて従業員へ還元する。また、社員が知的好奇心を持ち自己成長
• 当社は、塗装事業を起点に事業を拡大し、2000年代は顧客要望
できる環境を提供することでノウハウ蓄積・新技術への対応力を⾼める。
に応えるため海外投資を積極的に進めてきました。一方、国内の製
④北陸最大級の塗装設備能力を活かして、建設業界及び塗装生産 造拠点では、以下の課題に直面しております。
量の変動への対応を可能とすることで地域貢献するとともに事業強靭
• 成長に伴う工場拡⼤により、工場が点在する形態となり、工場間の
性（レジリエンス）を高める。
物流が増加し、生産現場における大きな非効率を生んでいます。
• 得意先からの需要増加や新規事業の要望に対して、スペース不足等
会社全体の売上成長目標（2029年度）
により十分な対応ができない状況に陥っています。
• 売上⾼成長率65％
• 市場競争力を維持するためには、製品の安定供給と品質確保のため
• 売上⾼増加額208億円
の自動化設備投資が不可欠となっています。
会社全体の賃上げ目標
• 上記課題を解決するため、日本国内での大規模投資を決断しました。
• 1.57%（直近事業年度～基準年度） 地域No.1の売上高を目指すとともに、社員とその家族が幸せで居続
• 8.0%（基準年度～事業化報告3年目） けれるように継続して賃上げを推進することが私の使命と考えています。</t>
  </si>
  <si>
    <t>【p.2】
大京株式会社
.補助事業の概要
2
補助事業により既存4工場の集約を行い、工場間の運搬及び工程ごとの部品の着脱の削減、新規設備導入
により、従業員の労働環境改善、生産性向上を実現する
補助事業の • 新工場建設により工場間の部品移動を削減し、製造部門における生産性改善、従業員の労 事業費 億円
61
背景・目的 働環境の改善を実現することで、売上拡⼤・利益の極⼤化を図る （補助額） （20億円）
■設備投資内容 新工場イメージ
• 新たに工場を建設し、既存4工場の集約を行い建設機械部品の製造ライン ~つながる生産ライン、着脱レスの実現~
を設ける
• 新工場では空調による温度管理機能を⾼め、作業環境の改善を図る 製
組立 塗装 板金
• 材料・購入部品保管スペースを同フロアに隣接配置することで複数部品を組 品
み⽴てた上での部品供給（サブアッセンブリー対応）への対応力を高める
部品
• 各工程にも生産性改善に向けた設備導入を行い、生産性改善を図る
①溶接…溶接ロボットの導入による溶接時間の短縮
組立 塗装 板金
設備投資の ②塗装…⾼品質・効率化の実現、工程間搬送レールによる着脱ロス削減
電着 検査
内容 ■投資効果 部品 塗装
ピッキング
• 製造工程における製品の着脱回数削減による工数削減、従業員の重量物 仕上
粉体 溶接
着脱が減ることによる労働環境改善 サブ 塗装①
組⽴
• フォークリフトによる工場間物流削減による工数削減、使用エネルギー削減、 ロボット
粉体 溶接
場内事故リスクの抑制 組⽴ 塗装②
ライン
• 溶接ロボット増設、新塗装設備の導入による省人化、製品品質の改善 溶剤 仮組
塗装
• サブアッセンブリー対応による主要取引先とのリレーション強化及び売上拡大
サブ組
• 再生可能エネルギーの導入、⾼効率機器導入による省エネの実現
2026年度 2029年度
項目
（基準年度） （基準年度＋３年後）
労働生産性 1,055
560
（単位：万円/人） （年平均上昇率＋23.5%）
目標値 従業員1人あたり給与支給総額 478
379
（単位：万円/人） （年平均上昇率＋8.0％）
役員１人あたり給与支給総額
-
（単位：万円/人） - （年平均上昇率＋8.0％）
補助事業に係る従業員数 610
563
（単位：人） （増加＋47人）
【p.3】
大京株式会社
.補助事業の概要
2
工場間物流によるロス削減、従業員の事故リスクの抑制、空調機能の改善による労働環境改善が見込まれる
第1工場は受託塗装事業専用工場、第3工場には部品販売事業を集約する
工場配置：串町工業団地内
■再編計画
• 【補助事業】建設機械部品製造事業(溶接、塗装、組⽴工程)を本社工場に集約
• 第1工場は受託塗装事業専用工場とする
• 第3工場に部品販売事業に関する業務(輸出入、梱包)を集約する
既存工場 再編後
串町 第1工場 部品塗装 工程 作業 方法 串町 第1工場 受託塗装
天井ｸﾚｰﾝ→ﾛﾎﾞｯﾄ
⇅
受託塗装 工 第3工場 輸出梱包
程
溶
第2工場 組⽴工程 内
接 輸入品保管
運
⇅ 搬
新)本社工場 板金工程
第3工場 板金工程 部品→乗せ降ろし
塗装工程
着
⇅
組⽴工程 塗 脱 組⽴工程
装 作
⇅
業
物流効果指標
今江 今江工場 受託塗装 既存工場の工程間運搬回数
フォークリフト→次工程
輸出梱包 工 1,000回/日
程
組
⇅ ⽴ 間
運 新工場はトラック荷役用のみとする
搬
外部 貸倉庫 輸入品保管 フォークリフト33台→10台に削減
■工場分散による問題点
• 工場間物流によるロス発生(着脱回数増加、横持ち物流)
• フォークリフトによる工場間の運搬が中心であり、従業員の安全面でもリスクが⾼い
• 工場の搬入・搬出口を開放しておく必要があるため、空調機器が機能しづらい
• 仕掛品を屋外保管せざるを得ない状況が発生しており、現体制で品質を⾼めながら生産キャパシティを拡⼤することは困難</t>
  </si>
  <si>
    <t>牛乳石鹸共進社株式会社
1.長期成長ビジョン
当社の経営理念である「ずっと変わらぬ やさしさを」を体現するため、市場環境やニーズの変化に対応した上で、
品質第一主義に拘り、「やさしさの連鎖の起点となる製品やサービスをつくり、多くの人の幸せを届ける。 」</t>
  </si>
  <si>
    <t>長期成長ビジョン（目指す姿・ビジネスモデル）
&lt;経営方針&gt;
ミッション：事業を通じて品質第一主義で広く社会に奉仕する
ドメイン：美と清潔 健康づくりに役立つ商品やサービスを提供する
コアバリュー：共進の精神、製品の人格化、堅実経営
ビジョン：美と清潔 健康づくりに役立ち、社会から必要とされ、社
員が誇れる会社として進化し続ける
&lt;2032年に目指す姿・ビジネスモデル&gt;
1. 経常利益率 5%以上を長期的なスタンスで達成する
2. 「モノ作り」の原点に立ち返り、品質第一に徹する（SDGs の推
進）
3. 事業領域を拡散させず、限りある経営資源を集中して投下する
4. 常に「革新」を意識して仕事に取り組む</t>
  </si>
  <si>
    <t>外発的動機
• 日本の人口減少と世界の人口増加
日本は人口減少と高齢化が進み、個人・高齢者向け市場が拡大が
予想される。一方、世界的には人口が増加し、特にアジアでは人口増
と需要増が続くと見込まれる。
• モノからコトへ本格的移行 化粧品市場の成熟化と飽和化
スマートフォンと通信技術の進化により、消費者が主役となり「モノ」よ
り「コト」で共感を得ることが重要に。企業の一方的な発信ではなく、
体験や共感を通じたファンづくりが鍵であり、特に若年層へのアプロー
チが今後の成長に不可欠となっている。
• 「やさしさ 」 (環境、人、心など)への関心の高まり
環境への配慮は今やビジネスの基本条件であり、当社も「やさしさ」を
軸に、肌や心に優しい新商品の開発が求められている。</t>
  </si>
  <si>
    <t>内発的動機
• 圧倒的知名度、身体洗浄料での地位向上
社名と赤箱や青箱のブランドとしての圧倒的知名度がある。この知名
度と好感度で、固形石鹸ナンバーワンの地位は揺るぎないものとなって
いる。更に、ボディソープ市場では第3位の地位であり、第2位のユニリ
ーバとシェアは縮まっている。
• 品質へのこだわり
当社が長年こだわってきた「品質第一主義」を貫きながら「お客様の
求め（ニーズ）に即応」した商品開発は必要不可欠である。
• マスマーケットに合わせた考え方や設備の見直し
従来型のマスマーケットに合わせた大量生産大量消費（薄利多売）
と、時代に合わせたスモールマス、パーソナル化に合わせた少量生産少
量消費（厚利少売）の二つを同時に進めて行く必要がある。</t>
  </si>
  <si>
    <t>会社全体の売上成長目標（基準年～2030年度）
• 売上高成長率18.9％
• 売上高増加額167億円
会社全体の賃上げ目標
• 4.06%（直近事業年度～基準年度）
• 8.00%（基準年度～事業化報告3年目）</t>
  </si>
  <si>
    <t>【p.1／売上成長目標】
会社全体の売上成長目標（基準年～2030年度）
• 売上高成長率18.9％
• 売上高増加額167億円
会社全体の賃上げ目標
• 4.06%（直近事業年度～基準年度）
• 8.00%（基準年度～事業化報告3年目）</t>
  </si>
  <si>
    <t>【p.1】
牛乳石鹸共進社株式会社
1.長期成長ビジョン
当社の経営理念である「ずっと変わらぬ やさしさを」を体現するため、市場環境やニーズの変化に対応した上で、
品質第一主義に拘り、「やさしさの連鎖の起点となる製品やサービスをつくり、多くの人の幸せを届ける。 」
長期成長ビジョン（目指す姿・ビジネスモデル） 外発的動機
• 日本の人口減少と世界の人口増加
&lt;経営方針&gt;
日本は人口減少と高齢化が進み、個人・高齢者向け市場が拡大が
ミッション：事業を通じて品質第一主義で広く社会に奉仕する 予想される。一方、世界的には人口が増加し、特にアジアでは人口増
と需要増が続くと見込まれる。
ドメイン：美と清潔 健康づくりに役立つ商品やサービスを提供する
• モノからコトへ本格的移行 化粧品市場の成熟化と飽和化
コアバリュー：共進の精神、製品の人格化、堅実経営
スマートフォンと通信技術の進化により、消費者が主役となり「モノ」よ
ビジョン：美と清潔 健康づくりに役立ち、社会から必要とされ、社 り「コト」で共感を得ることが重要に。企業の一方的な発信ではなく、
員が誇れる会社として進化し続ける 体験や共感を通じたファンづくりが鍵であり、特に若年層へのアプロー
チが今後の成長に不可欠となっている。
&lt;2032年に目指す姿・ビジネスモデル&gt;
• 「やさしさ 」 (環境、人、心など)への関心の高まり
1. 経常利益率 5%以上を長期的なスタンスで達成する 環境への配慮は今やビジネスの基本条件であり、当社も「やさしさ」を
軸に、肌や心に優しい新商品の開発が求められている。
2. 「モノ作り」の原点に立ち返り、品質第一に徹する（SDGs の推
進）
内発的動機
3. 事業領域を拡散させず、限りある経営資源を集中して投下する
• 圧倒的知名度、身体洗浄料での地位向上
4. 常に「革新」を意識して仕事に取り組む 社名と赤箱や青箱のブランドとしての圧倒的知名度がある。この知名
度と好感度で、固形石鹸ナンバーワンの地位は揺るぎないものとなって
いる。更に、ボディソープ市場では第3位の地位であり、第2位のユニリ
会社全体の売上成長目標（基準年～2030年度） ーバとシェアは縮まっている。
• 売上高成長率18.9％ • 品質へのこだわり
• 売上高増加額167億円 当社が長年こだわってきた「品質第一主義」を貫きながら「お客様の
求め（ニーズ）に即応」した商品開発は必要不可欠である。
会社全体の賃上げ目標
• マスマーケットに合わせた考え方や設備の見直し
• 4.06%（直近事業年度～基準年度）
従来型のマスマーケットに合わせた大量生産大量消費（薄利多売）
• 8.00%（基準年度～事業化報告3年目）
と、時代に合わせたスモールマス、パーソナル化に合わせた少量生産少
量消費（厚利少売）の二つを同時に進めて行く必要がある。</t>
  </si>
  <si>
    <t>【p.2】
牛乳石鹸共進社株式会社
.補助事業の概要
2
当社の成長を加速させる転機となる第二工場の建設・稼働を通じて、固形石鹸分野で築いたトップシェアの実
績とノウハウを他商品へも展開するとともに、高付加価値商品の生産を拡大し、事業規模の拡大を図る。
補助事業の • キャパシティ不足によって生産力に課題があることから、第二工場を新設し生産能力を改善する 事業費 14 億円
5
背景・目的 とともに、既存工場の生産体制も見直し、環境負荷の少ない生産体制の拡充を図る。 （補助額） （4 億円）
6
• 当社の大阪安田工場に次ぐ第二工場として、岐阜県可児市に新工
場を新規建設する。
• 第二工場では主に液体石鹸商品を生産する想定である。製造ラインは
18ラインとなる計画であり、既存工場の液体製造ラインの1.5倍の規模
の生産設備となる。
設備投資の
写真等
内容
• 第二工場稼働に伴い既存工場に生産キャパシティ余裕が生じることか
ら、スキンケア・ヘアケア商品やプレミアム石鹸等の高付加価値商品の
生産に切り替える計画である。
• 第二工場稼働に伴い人員の採用も想定しているが、自動化・IoT化に
よる省人化や上述の高付加価値商品の拡大によって、労働生産性は
大きく上昇している。
2027年度 2030年度
項目
（基準年度） （基準年度＋３年後）
（単
労
位
働
：
生
万
産
円
性
/人）
1,655万円/人
（年平
3
均
,2
上
5
昇
6万
率
円
＋
/
2
人
5.3%）
目標値 従業員
（
1
単
人
位
あ
：
た
万
り給
円
与
/人
支
）
給総額
760万円/人
（年平均
95
上
7万
昇
円
率
/
＋
人
8.0％）
役員１人あたり給与支給総額
-
（単位：万円/人） - （年平均上昇率＋6.0％）
補助事業に係る従業員数
（単位：人）
324人 350人</t>
  </si>
  <si>
    <t>株式会社レイズ
1.長期成長ビジョン
軽量×高強度ホイールで「クルマを楽しむ歓び」と交通安全を両立、OEM市場・アフターマーケット（AM市場）を伸長させ、
2029年度に単体売上成長率67％、2034年度にグループ売上成長率+222%を達成し、世界トップクラスのホイールメーカーへ飛躍する。
DX・自動化・ESGを統合した大規模投資により付加価値を拡大し、年平均7％の賃上げと地域経済活性化を同時実現するロードマップを示す。</t>
  </si>
  <si>
    <t>長期成長ビジョン（目指す姿・ビジネスモデル）
＜社会に提供する価値＞
・クルマ好きがクルマを楽しむ歓びを享受出来る文化を世界中で創造する。
・軽量、高強度の高再生率アルミホイールでCO2削減と交通安全を両立。成長投
資による付加価値拡大を原資に高い賃上げと雇用創出、地域取引量増大を実
現。環境・社会・経済の三領域で持続可能なモビリティ社会に貢献する。
＜長期事業戦略・ビジネスモデル＞
成長ドライバー
・高強度x軽量ホイールにより、世界中のEV、軽量化需要への即応
・ニッチマーケティング、多品種小ロット体制で多様なニーズの獲得
・北米・アジア・インド・中東のAM市場、OEM市場深耕
・DX/FA化で生産性向上、設備増設で生産キャパシティ強化
事業ポートフォリオ最適化
ブランド力を核に、鍛造・鋳造・ファブレスの最適な事業ポートフォリオを構成。
補助事業への大規模投資
・DX/FA、不良率低減、アルミ再生技術で生産性向上、製造原価低減。
・生産キャパシティを増強、需要へ応え、機会損失を解消。
継続的成長と雇用創出、継続的賃上げ、地域への波及効果増大
・売上、収益の成長を賃上げ、雇用創出、地域経済の取引増大に活かす。
・潤沢な資金を活用し、地域への投資や支援を以て周辺企業を巻き込みなが
ら地域経済を活性化し、自社と地域が相乗的に成長するサイクルを構築する。</t>
  </si>
  <si>
    <t>外発的動機
・EV化や車両軽量化ニーズの拡大により、OEM市場の軽量アルミホイール需要拡大。
電池、装備の重量増に対し、エネルギー効率を高めるために部品の軽量化が求められている。重量シェアの高いアルミホ
イールは、重要保安部品であるため強度の担保が必要。当社のモータースポーツを軸とした軽量化と強度を両立出来る設
計開発技術は、鍛造・鋳造、両方でOEM市場のニーズを満たす。
・OEM市場ではZEV規制等、CO2削減に向け再生アルミ比率向上が求められている。
電気の塊であるアルミ合金で出来たホイールには、再生アルミ比率向上が求められている。
材料の機械的性質、製品の強度を担保して再生アルミ比率を上げる為の技術と、アルミ再生設備が必要。
・サプライチェーンESG遵守の要求
OEM市場ではESGを満たす事が事実上必須となっており、対応が求められる。当社は鍛造ホイール事業で既に対応中で
あるため、鋳造ホイール事業でも既に主な自動車メーカーとは取引可能な状態にある。
E＝再生アルミ率向上、S＝取引各社とCoC締結 G＝取引各社のガバナンス調査と自己診断の提出
・アルミ価格高騰で、低価格ホイールの価格が高騰し、相対的に当社製品の値ごろ感向上。
中国・アジア製のローエンド品はアルミ地金高騰で実売価格が上昇し、当社プレミアムホイールのコストパフォーマンス優位が
顕在化し、購買層が高付加価値型セグメントへシフトし、国内、海外両方で当社需要が拡大。
・アジア地域での高付加価値型ホイールの需要拡大。偽造品対策の必要性。
中間層や富裕層が増加し、マイカーの差別化のためカスタマイズ率が向上、高付加価値型ホイールへの需要拡大中。反
面、当社製品の偽造品が大量に流通、知的財産保護とブランド価値維持のため、製品の差別化と法的措置を強化。
・北米でのモータースポーツ人気向上と新市場への参入
ラスベガスでのF1開催、動画配信サービス等の影響で、北米ではモータースポーツ人気が拡大中。モータースポーツ分野に
強みとブランドの認知を持つ当社への需要が高まっている。北米ではピックアップトラック市場がスポーツカー市場の数十倍の
規模で、当社のモータースポーツでのブランド認知はここでも有効であるため、この市場への参入を開始。</t>
  </si>
  <si>
    <t>内発的動機
･世界の鍛造ホイール市場トップクラスのブランドと競争力を保有
高強度×軽量の高度技術資産を鋳造・ファブレスにも展開できる技術的優位性を確立している。当社はAM市場、OEM
市場でもプレミアムブランドとして認知されており、ブランド価値を起点にグローバル市場シェア拡大を加速できる。
・製造原価低減によりAM市場の付加価値向上とOEM市場での価格競争力獲得を同時に実現
DX／FA化で生産性向上、製造技術投入による不良率改善、アルミ再生率アップ、これらが製造原価を低減。
AM市場では高付加価値化で収益性向上、OEM市場では価格競争力を確保する。
・生産能力増強で機会損失解消と新規需要獲得。
10年以上にわたりフルキャパ状態が続き、機会損失が顕在化。AM市場の機会損失解消、需要拡大と新規OEM市場を
新規獲得し、持続的成長を実現する。
・潤沢な現金資産を成長投資に活用
当社は高い自己資本比率と現金資産を有する一方、過剰キャッシュ保有により資本効率が低下している。今回の成長投
資により資本効率を改善し、中長期的な企業価値向上を実現する。
・DX・FA化による属人性解消で、技能伝承リスクと高負荷工程の人員定着課題を同時解決
熟練技能者の技能伝承リスクに加え、特に作業者に高負荷がかかる工程での人員定着が難しい状態である。DXやFA化
で作業者負荷を抜本的に低減し、高負荷工程の人員定着率を改善する。
・社外取締役招聘＋外部監査（会計・財務コンサル／製造技術監査）でガバナンス体制を強化
取締役会の意思決定に透明性・独立性を高めるため、社外取締役を招聘する。財務・会計コンサルタントや製造技術監
査を通じたPDCAを毎年実施することで、経営ガバナンスと実効性ある成長投資を確保する。
・社長である私は、「従業員とその家族の幸せ」を人生の使命と決意し、その実現に必要な継続的な賃上げや労働環
境改善には、持続的な企業成長が不可欠だと強く認識した。そして企業の成長と次世代への継承を永続させるには、
4
持続可能な社会への貢献が必須であるとの信念に至った。</t>
  </si>
  <si>
    <t>売上成長目標（～2029年度）
売上高増加率：+67％
売上高増加額：103億円増
グループ連結長期成長目標（～2034年度）
グループ連結売上高成長率+222％、
グループ連結売上高500億円を目指す
会社全体の賃上げ目標
4.5%（2024年度～2026年度）
7.0%（2026年度～2029年度）</t>
  </si>
  <si>
    <t>【p.1／売上成長目標】
売上成長目標（～2029年度）
売上高増加率：+67％
売上高増加額：103億円増
グループ連結長期成長目標（～2034年度）
グループ連結売上高成長率+222％、
グループ連結売上高500億円を目指す
会社全体の賃上げ目標
4.5%（2024年度～2026年度）
7.0%（2026年度～2029年度）</t>
  </si>
  <si>
    <t>【p.1】
株式会社レイズ
1.長期成長ビジョン
軽量×高強度ホイールで「クルマを楽しむ歓び」と交通安全を両立、OEM市場・アフターマーケット（AM市場）を伸長させ、
2029年度に単体売上成長率67％、2034年度にグループ売上成長率+222%を達成し、世界トップクラスのホイールメーカーへ飛躍する。
DX・自動化・ESGを統合した大規模投資により付加価値を拡大し、年平均7％の賃上げと地域経済活性化を同時実現するロードマップを示す。
長期成長ビジョン（目指す姿・ビジネスモデル） 外発的動機
・EV化や車両軽量化ニーズの拡大により、OEM市場の軽量アルミホイール需要拡大。
＜社会に提供する価値＞ 電池、装備の重量増に対し、エネルギー効率を高めるために部品の軽量化が求められている。重量シェアの高いアルミホ
イールは、重要保安部品であるため強度の担保が必要。当社のモータースポーツを軸とした軽量化と強度を両立出来る設
・クルマ好きがクルマを楽しむ歓びを享受出来る文化を世界中で創造する。 計開発技術は、鍛造・鋳造、両方でOEM市場のニーズを満たす。
・軽量、高強度の高再生率アルミホイールでCO2削減と交通安全を両立。成長投 ・OEM市場ではZEV規制等、CO2削減に向け再生アルミ比率向上が求められている。
資による付加価値拡大を原資に高い賃上げと雇用創出、地域取引量増大を実 電気の塊であるアルミ合金で出来たホイールには、再生アルミ比率向上が求められている。
材料の機械的性質、製品の強度を担保して再生アルミ比率を上げる為の技術と、アルミ再生設備が必要。
現。環境・社会・経済の三領域で持続可能なモビリティ社会に貢献する。
・サプライチェーンESG遵守の要求
OEM市場ではESGを満たす事が事実上必須となっており、対応が求められる。当社は鍛造ホイール事業で既に対応中で
＜長期事業戦略・ビジネスモデル＞ あるため、鋳造ホイール事業でも既に主な自動車メーカーとは取引可能な状態にある。
E＝再生アルミ率向上、S＝取引各社とCoC締結 G＝取引各社のガバナンス調査と自己診断の提出
成長ドライバー
・アルミ価格高騰で、低価格ホイールの価格が高騰し、相対的に当社製品の値ごろ感向上。
・高強度x軽量ホイールにより、世界中のEV、軽量化需要への即応 中国・アジア製のローエンド品はアルミ地金高騰で実売価格が上昇し、当社プレミアムホイールのコストパフォーマンス優位が
・ニッチマーケティング、多品種小ロット体制で多様なニーズの獲得 顕在化し、購買層が高付加価値型セグメントへシフトし、国内、海外両方で当社需要が拡大。
・アジア地域での高付加価値型ホイールの需要拡大。偽造品対策の必要性。
・北米・アジア・インド・中東のAM市場、OEM市場深耕
中間層や富裕層が増加し、マイカーの差別化のためカスタマイズ率が向上、高付加価値型ホイールへの需要拡大中。反
・DX/FA化で生産性向上、設備増設で生産キャパシティ強化 面、当社製品の偽造品が大量に流通、知的財産保護とブランド価値維持のため、製品の差別化と法的措置を強化。
事業ポートフォリオ最適化 ・北米でのモータースポーツ人気向上と新市場への参入
ラスベガスでのF1開催、動画配信サービス等の影響で、北米ではモータースポーツ人気が拡大中。モータースポーツ分野に
ブランド力を核に、鍛造・鋳造・ファブレスの最適な事業ポートフォリオを構成。
強みとブランドの認知を持つ当社への需要が高まっている。北米ではピックアップトラック市場がスポーツカー市場の数十倍の
補助事業への大規模投資 規模で、当社のモータースポーツでのブランド認知はここでも有効であるため、この市場への参入を開始。
・DX/FA、不良率低減、アルミ再生技術で生産性向上、製造原価低減。
内発的動機
・生産キャパシティを増強、需要へ応え、機会損失を解消。
･世界の鍛造ホイール市場トップクラスのブランドと競争力を保有
継続的成長と雇用創出、継続的賃上げ、地域への波及効果増大
高強度×軽量の高度技術資産を鋳造・ファブレスにも展開できる技術的優位性を確立している。当社はAM市場、OEM
・売上、収益の成長を賃上げ、雇用創出、地域経済の取引増大に活かす。 市場でもプレミアムブランドとして認知されており、ブランド価値を起点にグローバル市場シェア拡大を加速できる。
・潤沢な資金を活用し、地域への投資や支援を以て周辺企業を巻き込みなが ・製造原価低減によりAM市場の付加価値向上とOEM市場での価格競争力獲得を同時に実現
DX／FA化で生産性向上、製造技術投入による不良率改善、アルミ再生率アップ、これらが製造原価を低減。
ら地域経済を活性化し、自社と地域が相乗的に成長するサイクルを構築する。
AM市場では高付加価値化で収益性向上、OEM市場では価格競争力を確保する。
・生産能力増強で機会損失解消と新規需要獲得。
売上成長目標（～2029年度）
10年以上にわたりフルキャパ状態が続き、機会損失が顕在化。AM市場の機会損失解消、需要拡大と新規OEM市場を
売上高増加率：+67％ 新規獲得し、持続的成長を実現する。
・潤沢な現金資産を成長投資に活用
売上高増加額：103億円増
当社は高い自己資本比率と現金資産を有する一方、過剰キャッシュ保有により資本効率が低下している。今回の成長投
グループ連結長期成長目標（～2034年度） 資により資本効率を改善し、中長期的な企業価値向上を実現する。
・DX・FA化による属人性解消で、技能伝承リスクと高負荷工程の人員定着課題を同時解決
グループ連結売上高成長率+222％、 熟練技能者の技能伝承リスクに加え、特に作業者に高負荷がかかる工程での人員定着が難しい状態である。DXやFA化
で作業者負荷を抜本的に低減し、高負荷工程の人員定着率を改善する。
グループ連結売上高500億円を目指す
・社外取締役招聘＋外部監査（会計・財務コンサル／製造技術監査）でガバナンス体制を強化
会社全体の賃上げ目標 取締役会の意思決定に透明性・独立性を高めるため、社外取締役を招聘する。財務・会計コンサルタントや製造技術監
査を通じたPDCAを毎年実施することで、経営ガバナンスと実効性ある成長投資を確保する。
4.5%（2024年度～2026年度）
・社長である私は、「従業員とその家族の幸せ」を人生の使命と決意し、その実現に必要な継続的な賃上げや労働環
7.0%（2026年度～2029年度） 境改善には、持続的な企業成長が不可欠だと強く認識した。そして企業の成長と次世代への継承を永続させるには、
4
持続可能な社会への貢献が必須であるとの信念に至った。</t>
  </si>
  <si>
    <t>【p.2】
株式会社レイズ
.補助事業の概要
2
高機能・軽量ホイールの需要増加を背景に、生産能力増強を目的として工程集約・FA・DX化を推進し、供給力・労働生産性・品質競争力を向上
させる。さらにアルミ再生リサイクル設備・太陽光発電を導入し、CO₂排出削減を実現して持続的な成長と賃上げを目指す。
•当社工場は10年以上フル稼働状態が続いており、生産能力が限界を迎え、新規需要を逃す機会損失が発生している。
補助事業の •工程が分散し工程間移動時の不良が増加、生産効率・BCP対応にも課題があり、工程の集約・効率化が急務となっている。 事業費 億円
37
背景・目的
•生産プロセスのFA化・DX化、工程改善により、不良率を30％→5％以下へと劇的に改善し、製品競争力を高める。
（補助額） （ 億円）
•生産能力を増強し、グローバル市場での収益拡大を目指す。 12
•ESG対応としてアルミ再生リサイクル設備、太陽光発電設備の導入により環境負荷を低減し、持続可能な生産体制を構築する。
不良率低減（目標：全体不良率を30％→5％以下に）で収益性と生産量アップ
・リサイクル炉新設・溶湯品質管理高度化によるアルミ溶湯改善で、鋳造不良削減（▲4％）
・自動スピニング加工設備導入で加工工程の不良率低減（▲10％～）
・塗装棟新設、自動塗装設備、前処理新技術投入により塗装不良率削減（▲5％）
・3工場集約による工程間移動時に発生していた不良の低減（▲4％）
・検査工程のDX/FA化で検査人員の完成品修正ライン強化、不良率低減（▲2％）
設備増強・自動化・生産性向上（生産能力250％、労働生産性向上）
鋳造・熱処理・加工・塗装工程の設備増強・自動化（1万本→2.5万本/月へ生産能力拡張）
AI生産管理システム導入（多品種小ロット効率化、リードタイム短縮）
設備投資の ERP導入（製造・受発注・会計・財務の一元管理、意思決定迅速化・生産性向上）
内容 検査工程DX・自動化（人員の再配置による労働生産性・修正能力強化）
BCP（事業継続計画）の強化
・工程集約による工程間移動・リードタイム短縮による対応力向上
・既存工場を一部工程で維持し工程複線化によるリスク分散・BCP対応を強化
ESG（環境対応・CO₂削減）
・アルミ再生リサイクル設備導入 と溶湯品質改善でCO₂排出削減・資源循環
・自家消費型太陽光発電導入 によるエネルギーコスト低減とCO₂排出量削減推進
上記の投資額43.2億円は実施後３年で投資額の回収を見込む。
※成長投資計画書別紙の補助事業収益計画を根拠とする。
2026年度 2029年度
項目
（基準年度） （基準年度＋３年後）
（単
労
位
働
：
生
万
産
円
性
/人）
1,408
（年平均上
2
昇
,8
率
03
＋25.8％）
目標値 従業員1人あたり給与支給総額
465
570
（単位：万円/人） （年平均上昇率＋7.0％）
役員１人あたり給与支給総額
-
（単位：万円/人） - （年平均上昇率＋5.0％）
補助事業に係る従業員数
110 150
（単位：人）</t>
  </si>
  <si>
    <t>東亜薬品株式会社
1.⾧期成⾧ビジョン
難度の高い粉末吸入剤の後発品開発と生産に挑戦し続け、
医薬品の安定供給を通して「人々の健康に貢献する」リーディングカンパニーを目指します。</t>
  </si>
  <si>
    <t>⾧期成⾧ビジョン（目指す姿・ビジネスモデル）
DPI製剤を中心としたニッチな分野における後発品で
市場を牽引しながら、売上高440億円を目指す
1．医療用医薬品の生産能力増強
新製剤棟の建設を推進し、医療用内服固形製剤（以下、経口剤）
へ集中投資を行い、生産能力を底上げする。
2．保管機能の強化
新製剤棟に新たに倉庫を設けることで、原材料の安全在庫の強化ならび
に顧客へのフレキシブルな供給体制の実現をはかる。
また、新製剤棟と既存棟を接続することで、既存棟でボトルネックとなって
いる保管能力のキャパシティが改善される。これによりDPI製剤の生産及
び供給能力の底上げが実現する。
3．省力化・効率化の推進
省人化を徹底し、生産効率を上げることで利益を確保し、従業員へ還元
できる仕組みづくりを行う。</t>
  </si>
  <si>
    <t>外発的動機
■医薬品の安定供給問題
・品質問題に端を発し、多くの医療用医薬品の製造・供給が停止。医薬品の
供給問題が発生した。
■後発品市場の需要拡大
・2024年10月より導入された選定療養制度により、後発品の需要は益々高
まっている。
■求人倍率の増加
・富山県における高卒者の求人倍率が急上昇。2014年度の就職希望者数
2,008人に対し、求人数は3,556人で1.77倍であった。10年後の2024年
は就職希望者数1,385人に対し、求人数は5,545人となり、求人倍率は
4.00倍にまで増加。大卒者も同様に採用競争が激化している。
安定供給体制の確立こそがシェア拡大のチャンス
人手不足に対応するため、機械化による省人化ラインを導入</t>
  </si>
  <si>
    <t>内発的動機
■生産ライン及び倉庫のキャパシティ不足
・既存の経口剤の生産ラインの稼働率が上限に達しつつ
ある。更なる増産のためには、生産ラインそのものの強化
ならびに倉庫のキャパシティ強化が求められる。
・当社の自社開発品である「ブデホル吸入粉末剤」は、選定
療養の対象品目であり、国内における需要が加速している。
・現在、中国への輸出を検討している。ゆくゆくは台湾・シンガ
ポールなどのアジア圏への展開を構想している。
■更なる挑戦に向けた経営基盤の強化
・現在開発中の新製品もブデホル同様、日本の社会保険費の削減と貿易収
支の改善に貢献できる。開発業務を推進するためにも、足元の経営基盤を
強化する必要がある。
更なる飛躍に備え、足元の経営基盤を強化するための投資が必要</t>
  </si>
  <si>
    <t>会社全体の売上成⾧目標
2023年 2030年 2036年
（最新決算） （7年後） (13年後)
売上高 215億円 335億円 440億円
売上高成⾧率 － 156％ 205％
会社全体の賃上げ目標
2.49%（直近事業年度～基準年度）
5.78%（基準年度～事業化報告3年目）</t>
  </si>
  <si>
    <t>【p.1／売上成長目標】
会社全体の売上成⾧目標
2023年 2030年 2036年
（最新決算） （7年後） (13年後)
売上高 215億円 335億円 440億円
売上高成⾧率 － 156％ 205％
会社全体の賃上げ目標
2.49%（直近事業年度～基準年度）
5.78%（基準年度～事業化報告3年目）
【p.2／＜特徴＞】
＜特徴＞
・機械化（生産・運搬・洗浄） ・無人運転（検査・包装工程）
・DX化（積極的なデジタル技術の導入）
① 生産設備の新規導入による生産能力の増強に加え、既存棟でボトル
ネックになっている倉庫能力を本設備投資で補填することにより、西本郷
工場全体の生産効率を最大限に活用することを目的とする。
② 設備の特徴として、製剤工程における『自動洗浄設備』、包装工程に
おける『自動供給設備』、『自動搬送設備』、入出庫管理における
『パレットチェンジャー』の導入を行い、徹底した効率化・省人化を目指す。
【p.2／2027年度】
2027年度
項目
（基準年度）</t>
  </si>
  <si>
    <t>【p.1】
東亜薬品株式会社
1.⾧期成⾧ビジョン
難度の高い粉末吸入剤の後発品開発と生産に挑戦し続け、
医薬品の安定供給を通して「人々の健康に貢献する」リーディングカンパニーを目指します。
⾧期成⾧ビジョン（目指す姿・ビジネスモデル） 外発的動機
■医薬品の安定供給問題
DPI製剤を中心としたニッチな分野における後発品で
・品質問題に端を発し、多くの医療用医薬品の製造・供給が停止。医薬品の
市場を牽引しながら、売上高440億円を目指す 供給問題が発生した。
■後発品市場の需要拡大
1．医療用医薬品の生産能力増強
・2024年10月より導入された選定療養制度により、後発品の需要は益々高
新製剤棟の建設を推進し、医療用内服固形製剤（以下、経口剤） まっている。
へ集中投資を行い、生産能力を底上げする。 ■求人倍率の増加
・富山県における高卒者の求人倍率が急上昇。2014年度の就職希望者数
2．保管機能の強化
2,008人に対し、求人数は3,556人で1.77倍であった。10年後の2024年
新製剤棟に新たに倉庫を設けることで、原材料の安全在庫の強化ならび は就職希望者数1,385人に対し、求人数は5,545人となり、求人倍率は
に顧客へのフレキシブルな供給体制の実現をはかる。 4.00倍にまで増加。大卒者も同様に採用競争が激化している。
また、新製剤棟と既存棟を接続することで、既存棟でボトルネックとなって
安定供給体制の確立こそがシェア拡大のチャンス
いる保管能力のキャパシティが改善される。これによりDPI製剤の生産及
人手不足に対応するため、機械化による省人化ラインを導入
び供給能力の底上げが実現する。
3．省力化・効率化の推進
内発的動機
省人化を徹底し、生産効率を上げることで利益を確保し、従業員へ還元 ■生産ライン及び倉庫のキャパシティ不足
できる仕組みづくりを行う。 ・既存の経口剤の生産ラインの稼働率が上限に達しつつ
ある。更なる増産のためには、生産ラインそのものの強化
会社全体の売上成⾧目標 ならびに倉庫のキャパシティ強化が求められる。
・当社の自社開発品である「ブデホル吸入粉末剤」は、選定
2023年 2030年 2036年
療養の対象品目であり、国内における需要が加速している。
（最新決算） （7年後） (13年後)
・現在、中国への輸出を検討している。ゆくゆくは台湾・シンガ
売上高 215億円 335億円 440億円
ポールなどのアジア圏への展開を構想している。
売上高成⾧率 － 156％ 205％
■更なる挑戦に向けた経営基盤の強化
・現在開発中の新製品もブデホル同様、日本の社会保険費の削減と貿易収
会社全体の賃上げ目標
支の改善に貢献できる。開発業務を推進するためにも、足元の経営基盤を
2.49%（直近事業年度～基準年度）
強化する必要がある。
5.78%（基準年度～事業化報告3年目）
更なる飛躍に備え、足元の経営基盤を強化するための投資が必要</t>
  </si>
  <si>
    <t>【p.2】
東亜薬品株式会社
2.補助事業の概要
新製剤棟の建設による、生産能力及び倉庫保管能力の向上を目指す
補助事業の 選定療養制度の導入と後発薬の安定供給問題により、後発薬の需要は大きく伸びている中、 事業費 190億円
背景・目的 当社の生産能力は上限に達している。更なるニーズに応えるために、生産能力増強を行う。 （補助額） （46億円）
＜新製剤棟＞ 西本郷工場 新製剤棟建設イメージパース
建屋:174億円／設備:15億円（初年度） 【合計】189億円
階層:4階建て、延床面積:18,724㎡
生産能力:13億錠
新製剤棟
倉庫容量:5,458棚
スケジュール:2026年6月着工～2027年11月竣工
第1製剤棟
試験管理棟
第2製剤棟
設備投資の ＜特徴＞
・機械化（生産・運搬・洗浄） ・無人運転（検査・包装工程）
内容
・DX化（積極的なデジタル技術の導入）
① 生産設備の新規導入による生産能力の増強に加え、既存棟でボトル
ネックになっている倉庫能力を本設備投資で補填することにより、西本郷
工場全体の生産効率を最大限に活用することを目的とする。
② 設備の特徴として、製剤工程における『自動洗浄設備』、包装工程に
おける『自動供給設備』、『自動搬送設備』、入出庫管理における
『パレットチェンジャー』の導入を行い、徹底した効率化・省人化を目指す。
2027年度 2030年度
項目
（基準年度） （基準年度＋３年後）
労働生産性 1,969(cid:1)万円/人
1,617(cid:1)万円/人
（単位:万円/人） （年平均上昇率＋6.8％）
従業員1人あたり給与支給総額 604(cid:1)万円/人
目標値 510 万円/人
（単位:万円/人） （年平均上昇率＋5.8％）
役員1人あたり給与支給総額
― ―
（単位:万円/人）
補助事業に係る従業員数
640 人 670 人
（単位:人）</t>
  </si>
  <si>
    <t>ハマダレクテック株式会社
1.⾧期成⾧ビジョン
コスト・環境・品質を追求し、半導体材料再生の業界トップクラスメーカーとして、半導体産業の成⾧と
脱炭素化に貢献する企業を目指す</t>
  </si>
  <si>
    <t>⾧期成⾧ビジョン（目指す姿・ビジネスモデル）
「低コストでエコな半導体材料再生」のトップメーカー
 新品同等の高品質な半導体材料再生サービス(シリコン・SiC)
を国内外に低コストで提供することで、半導体産業の成⾧に貢
献し、AIやDXを根底から支える
 半導体材料を繰り返し再生することを通じて半導体産業の
CO2削減を牽引する
 半導体材料再生の業界トップメーカーとして、より魅力ある職
場を目指し、賃上げを積極的に行うことで、業界全体の地位向
上を牽引する</t>
  </si>
  <si>
    <t>外発的動機
• 1988年に半導体産業の日本シェアは50.3%だったが、2019年
には10%まで低下
• 日本政府は半導体を特定重要物資と位置付けている
• 2050年カーボンニュートラル宣言において、半導体産業は成⾧が
期待される14分野に選出されており、国策として強い取り組み姿
勢がある
• 半導体製造量増加に伴うCO2排出増加が業界問題となっている
が、シリコンウェハー再生、SiC加工・再生事業は、省CO2、省資
源、省コストによる貢献で半導体産業の成⾧を支えることが出来
る</t>
  </si>
  <si>
    <t>内発的動機
• 「時代を画すテクノロジーで半導体産業を支え、信頼される存在に
なる」ことが経営理念であり、コスト・環境・品質に配慮した半導体
材料加工サービスを安定的に提供することが使命
• 300mmシリコンウェハー再生事業において国内市場シェア1位で
30年以上の研究・開発実績がある当社が、設備投資を通じて業
界を牽引していくという自負がある
• 熊本地震による工場休止を経験し、半導体サプライチェーンでの当
社の役割の重要性を強く認識</t>
  </si>
  <si>
    <t>会社全体の売上成⾧目標（～2030年度）
直近2024年7月期の会社全体の売上高119億円
• 売上高成⾧率124％
• 売上高増加額147億円
2031年7月期の全社全体の売上高目標266億円
会社全体の賃上げ目標
• 3.07%（直近事業年度～基準年度）
• 7.00%（基準年度～事業化報告3年目）</t>
  </si>
  <si>
    <t>【p.1／売上成長目標】
会社全体の売上成⾧目標（～2030年度）
直近2024年7月期の会社全体の売上高119億円
• 売上高成⾧率124％
• 売上高増加額147億円
2031年7月期の全社全体の売上高目標266億円
会社全体の賃上げ目標
• 3.07%（直近事業年度～基準年度）
• 7.00%（基準年度～事業化報告3年目）</t>
  </si>
  <si>
    <t>【p.1】
ハマダレクテック株式会社
1.⾧期成⾧ビジョン
コスト・環境・品質を追求し、半導体材料再生の業界トップクラスメーカーとして、半導体産業の成⾧と
脱炭素化に貢献する企業を目指す
⾧期成⾧ビジョン（目指す姿・ビジネスモデル） 外発的動機
「低コストでエコな半導体材料再生」のトップメーカー • 1988年に半導体産業の日本シェアは50.3%だったが、2019年
には10%まで低下
 新品同等の高品質な半導体材料再生サービス(シリコン・SiC) • 日本政府は半導体を特定重要物資と位置付けている
を国内外に低コストで提供することで、半導体産業の成⾧に貢
• 2050年カーボンニュートラル宣言において、半導体産業は成⾧が
献し、AIやDXを根底から支える
期待される14分野に選出されており、国策として強い取り組み姿
 半導体材料を繰り返し再生することを通じて半導体産業の 勢がある
CO2削減を牽引する • 半導体製造量増加に伴うCO2排出増加が業界問題となっている
が、シリコンウェハー再生、SiC加工・再生事業は、省CO2、省資
 半導体材料再生の業界トップメーカーとして、より魅力ある職
源、省コストによる貢献で半導体産業の成⾧を支えることが出来
場を目指し、賃上げを積極的に行うことで、業界全体の地位向
る
上を牽引する
会社全体の売上成⾧目標（～2030年度）
直近2024年7月期の会社全体の売上高119億円
内発的動機
• 売上高成⾧率124％ • 「時代を画すテクノロジーで半導体産業を支え、信頼される存在に
• 売上高増加額147億円 なる」ことが経営理念であり、コスト・環境・品質に配慮した半導体
材料加工サービスを安定的に提供することが使命
• 300mmシリコンウェハー再生事業において国内市場シェア1位で
2031年7月期の全社全体の売上高目標266億円
30年以上の研究・開発実績がある当社が、設備投資を通じて業
界を牽引していくという自負がある
会社全体の賃上げ目標
• 熊本地震による工場休止を経験し、半導体サプライチェーンでの当
• 3.07%（直近事業年度～基準年度）
社の役割の重要性を強く認識
• 7.00%（基準年度～事業化報告3年目）</t>
  </si>
  <si>
    <t>【p.2】
ハマダレクテック株式会社
2.補助事業の概要
本件投資により現在の稼働逼迫状況を解消し、取引先の要請に応じた増産が可能になり、売上・利益の増加
を見込む。最先端の省力化自動設備導入により、人員は抑えられ、大幅な労働生産性向上が可能となる
補助事業の • 現状設備では取引先の増産需要に対応しきれていないことに課題感 事業費 106億円
背景・目的 • 更なる市場成⾧を見込み、生産能力拡張によりマーケットシェア拡大を狙う （補助額） （35億円）
補助対象事業
• シリコンウェハー再生事業とSiC加工・再生事業の最新鋭の設備を揃えた
一貫生産ラインを新設する
• 現状、シリコンウェハー再生事業の稼働が逼迫状態にあること、SiC加工事業は
今後の需要急増への対応のため、本投資によりそれぞれ2024年度比126%、
632%の生産能力へ拡大し、取引先の増産要請に応える シリコンウェハー再生 SiC加工サービス
サービス【主要事業】 （再生＆受託）
設備投資の
• 現状小規模ラインのSiC加工事業には、需要の高まりや取引先の要請があり、
内容
量産体制を構築する
• 以下2つの観点から労働生産性の大幅な向上を見込む
 最新鋭の省力化自動設備の導入により、2030年度は2027年度比
売上75%増に対して人員は3%の増員に留まる
 事業拡大による利益は賃上げの原資とし、補助事業実施後は賃上げ
7%を実施する
2027年度 2030年度
項目
（基準年度） （基準年度＋３年後）
労働生産性 4,384万円
1,957万円/人
（単位:万円/人） （年平均上昇率＋30.8％）
従業員1人あたり給与支給総額 721万円/人
目標値 588万円/人
（単位:万円/人） （年平均上昇率＋7.0％）
役員１人あたり給与支給総額 -
-
（単位:万円/人） （年平均上昇率＋8.4％）
補助事業に係る従業員数
318人 328人
（単位:人）</t>
  </si>
  <si>
    <t>株式会社キド
1.長期成長ビジョン
コロナ禍により、食品加工用機械器具（淡路島の地域産業）が低迷。これを打開するため、成長分野に選択
と集中を行い、地域に人と仕事が集まる好循環を作る。創業100周年には100億円企業を目指す</t>
  </si>
  <si>
    <t>長期成長ビジョン（目指す姿・ビジネスモデル）
当社が将来的に目指す姿
成長分野（半導体・医薬・二次電池など）における日本の製造
業の国際競争力を、下支えする基盤技術企業
• 成長分野への「選択と集中」による持続的な成長
• 少子化・パンデミックリスクのある食品分野への依存度低減
当社の新しい事業ドメイン
対象顧客 プラントエンジニアリング企業等(日揮等)
抗体医薬品・半導体・二次電池・食品等の生
戦略製品
産に必要な圧力容器タンク（特に大型）
活用技術 短納期対応力
タンク設計・溶接・製缶・試験までのワンス
トップ提供体制・技術・経験
重要成功要因
競合他社と比べて圧倒的な短納期対応力で差別化を図る
• タンク製造のほとんどの工程を自動化
• 機械化によるボトルネック工程（組立・溶接）の生産力強化</t>
  </si>
  <si>
    <t>外発的動機
顕在化したリスク
• コロナ禍により、食品の業務用需要（外食需要）が低迷。食品加工
用製品への依存度の高い当社は、大きく低迷
顧客の新たな動向
• 以下の点から、当社へ増産・短納期要請が強まっている
増産要請 • 医薬品分野（抗体医薬品製造用タンク）
• EV用電池製造用の圧力容器タンク
• 半導体分野（コーティング剤等の製造用タンク）
• 顧客が生産拠点を集約することに伴い、大型タンクの
需要増加
供給者不足 • 大型タンクを製造可能なサプライヤーが不足
工期遅延 • 人手不足によりプラント建設スケジュールが遅れがち</t>
  </si>
  <si>
    <t>内発的動機
地域産業の立直し
• 当社所在地（淡路島）は農業・酪農が盛んなため、食品機械製造業
も集積している（当社もその一社）。少子高齢化の影響もあり、コロナ
後も売上は完全に回復していない
• 地域の企業同士は競争しつつも協力関係にもある。当社も地域に支え
られてきたので、地域経済の再生に貢献したい
人手不足への対処
• 一次産業が中心の淡路島では、若者が多様で高収入な仕事を求めて
流出し、地域産業の維持が難しくなっている。これを防ぐため、やりがいの
ある仕事づくりをしたい</t>
  </si>
  <si>
    <t>会社全体の売上成長目標（2030年）
• 売上高成長率163.2％(CAGR 14.8%)
• 売上高増加額30.2億円
会社全体の賃上げ目標
• CAGR 5.5%（直近事業年度(2023)～基準年度(2027)）
• CAGR 15.2%（基準年度(2027)～事業化報告3年目(2030)）</t>
  </si>
  <si>
    <t>【p.1／売上成長目標】
会社全体の売上成長目標（2030年）
• 売上高成長率163.2％(CAGR 14.8%)
• 売上高増加額30.2億円
会社全体の賃上げ目標
• CAGR 5.5%（直近事業年度(2023)～基準年度(2027)）
• CAGR 15.2%（基準年度(2027)～事業化報告3年目(2030)）</t>
  </si>
  <si>
    <t>【p.1】
株式会社キド
1.長期成長ビジョン
コロナ禍により、食品加工用機械器具（淡路島の地域産業）が低迷。これを打開するため、成長分野に選択
と集中を行い、地域に人と仕事が集まる好循環を作る。創業100周年には100億円企業を目指す
長期成長ビジョン（目指す姿・ビジネスモデル） 外発的動機
顕在化したリスク
当社が将来的に目指す姿
• コロナ禍により、食品の業務用需要（外食需要）が低迷。食品加工
成長分野（半導体・医薬・二次電池など）における日本の製造
用製品への依存度の高い当社は、大きく低迷
業の国際競争力を、下支えする基盤技術企業
• 成長分野への「選択と集中」による持続的な成長 顧客の新たな動向
• 少子化・パンデミックリスクのある食品分野への依存度低減
• 以下の点から、当社へ増産・短納期要請が強まっている
増産要請 • 医薬品分野（抗体医薬品製造用タンク）
会社全体の売上成長目標（2030年） • EV用電池製造用の圧力容器タンク
• 売上高成長率163.2％(CAGR 14.8%) • 半導体分野（コーティング剤等の製造用タンク）
• 売上高増加額30.2億円 • 顧客が生産拠点を集約することに伴い、大型タンクの
会社全体の賃上げ目標 需要増加
• CAGR 5.5%（直近事業年度(2023)～基準年度(2027)） 供給者不足 • 大型タンクを製造可能なサプライヤーが不足
• CAGR 15.2%（基準年度(2027)～事業化報告3年目(2030)）
工期遅延 • 人手不足によりプラント建設スケジュールが遅れがち
当社の新しい事業ドメイン
内発的動機
対象顧客 プラントエンジニアリング企業等(日揮等)
地域産業の立直し
戦略製品 抗体医薬品・半導体・二次電池・食品等の生 • 当社所在地（淡路島）は農業・酪農が盛んなため、食品機械製造業
産に必要な圧力容器タンク（特に大型） も集積している（当社もその一社）。少子高齢化の影響もあり、コロナ
後も売上は完全に回復していない
活用技術 短納期対応力
• 地域の企業同士は競争しつつも協力関係にもある。当社も地域に支え
タンク設計・溶接・製缶・試験までのワンス
られてきたので、地域経済の再生に貢献したい
トップ提供体制・技術・経験
人手不足への対処
重要成功要因
• 一次産業が中心の淡路島では、若者が多様で高収入な仕事を求めて
競合他社と比べて圧倒的な短納期対応力で差別化を図る
流出し、地域産業の維持が難しくなっている。これを防ぐため、やりがいの
• タンク製造のほとんどの工程を自動化
ある仕事づくりをしたい
• 機械化によるボトルネック工程（組立・溶接）の生産力強化</t>
  </si>
  <si>
    <t>【p.2】
株式会社キド
.補助事業の概要
2
①生産能力不足による機会損失防止、②大型対応、③短納期対応、のため新工場を建設する。機会損失が
防げると同時に、顧客ニーズである大型品・短納期要請を満たすことによって、事業の拡大を図る
補助事業の • 食品・医薬品・半導体・二次電池製造用圧力容器タンクの大型化・短納期化ニーズに応えるため、生産 事業費 2 6 億円
背景・目的 能力を抜本的に高める。人手不足環境下でも納期遅れ・品質問題が生じないよう効率化を図る。 （補助額） （ . 億円）
5 7
投資内容 新工場の建設(18.92億円)
※付帯工事（⼟地造成含む）経費含む
課題① 生産能力不足による機会損失の防止
事業拡大に伴い工場を何度も拡張してきたが、これ以上は困難。
現在は5～6年先まで受注があり、大型タンクの需要増に対応する
には十分な作業・保管・設備スペースが必要。余力がないため、す
でに年20件・約17億円の機会損失が発生しており、早急な対策
が必要。
課題② 大型・短納期ニーズを満たすための生産能力向上
顧客からは大型・短納期要望が強い。大型品は、高さ10～15
設備投資の メートル、径3メートル前後のものであり、これの製造には相当のス
現工場のタンク組立現場（余裕が少ない）
内容 ペースが必要。さらに人手不足化で短納期対応をするには、設備
（その１） 増強も必要
工夫 短納期ニーズを満たすため「スキッド化」も提供
スキッド化とは、従来のように現地でタンクの付属部品を取り付けるのではなく、ポンプやバルブなどを工場であらかじめ組み
付け、配管・配線まで行った状態で一体化して納品する方式である。現地では据え付けるだけで済むため、工事期間を大
幅に短縮でき、短納期ニーズにも適している。ただし、工場内に十分な作業スペースが必要となる。
課題がどう解決するか • 作業スペースや設備設置スペース、保管スペースが確保されるため、生産能力が高まり、機会損失が防止できる
• スキッド化作業スペースが確保されるため、より一層短納期ニーズに応えることができる
生産性向上との関連 • 生産効率の向上と製品の生産量増加により生産能力が高まり、売上が増加する
• 生産量が増えると、材料費や外注費（変動費）等にバーゲニング・パワーが発揮でき、仕入れコストが減少する
• スキッド化は現地作業の大幅削減につながる付加価値があるため、高い粗利益率で販売できる
【p.3】
株式会社キド
.補助事業の概要
2
短納期ニーズに応えるため、ボトルネックを省人化・自動化・非熟練化で解消し、圧力容器タンクの開先加工・
溶接自動化設備を導入。作業の非熟練化と作業時間を1/4程度に短縮することで、短納期ニーズを満たす
補助事業の • 食品・医薬品・半導体・二次電池製造用圧力容器タンクの大型化・短納期化ニーズに応えるため、生産 事業費 26億円
背景・目的 能力を抜本的に高める。人手不足環境下でも納期遅れ・品質問題が生じないよう効率化を図る。 （補助額）
（5.7億円）
投資内容 圧力容器タンクの組立・溶接自動化設備(6.13億円)
課題① 組立・溶接工程のボトルネック解消
短納期対応には、設備増強やスキッド化だけでなく、ボトルネックで
あるタンク組立・溶接（開先加工含む）の効率化が不可欠。この
工程は熟練作業者による手作業が中心で、特に大型タンクでは足
場作業も必要となり、多くの時間と人手を要する。高所作業で増
員も難しく、安全面の負担も大きい。しかも技能の継承が進みにく
く、属人化の問題もある。
人手不足の中で多数の受注に対応するには、省人化・自動化・非
熟練化が求められる。
設備投資の
組立・溶接自動化設備イメージ
内容
（Koike Aronson Ransome動画より引用)
工夫 組立・溶接自動化設備専用ラインを構築
（その2）
既存の製造ラインに組立・溶接自動化設備を設置するのではなく、組立・溶接に特化した専用ライン（レーザーによる開
先加工から組立・溶接まで）を設ける。これで手作業がほぼ無くなる。また同じタスクを繰り返すことで、非熟練者は設備
操作技能を習得しやすくなり、作業の効率性と正確性が早い段階で向上する。
課題がどう解決するか レーザー加工機（開先加工自動化対応）を導入。大きな金属板を円筒形に成形し、溶接のために正確に位置合わせし、
自動溶接できる設備を導入し、自動化する。のべ17名の熟練作業者ではなく、非熟練者含む6名での運用が可能となる。
生産性向上との関連 • この工程の標準リードタイムが1ヶ月半だが、材料と部品が揃っていれば、1週間～10日程度で組立・溶接工程が完了
• リードタイムが1/4程度になることから、ボトルネックが解消。製品の生産量増加により、営業利益が増加する
• 付加価値額は向上する上、より少ない作業者数でタンクの量産が可能となるため、労働生産性が向上する
【p.4】
株式会社キド
.補助事業の概要
2
材料の運搬からレーザー加工・ベンディング・溶接の各工程が下記の通り自動化される。これに
より、従来は熟練作業者のべ17名が必要であった全工程が、非熟練者含め のべ6名に圧縮される
運搬 運搬 運搬
設備投資の
内容
材料ヤード レーザー・開先加工機 ベンディングマシーン 自動溶接機
（その2）
省力化ライ
ンイメージ BEFORE …10人…
従来の作業
熟練作業者 のべ17名 レーザー加工 開先加工(手作業) 曲げ加工(手作業) 溶接(手作業)
AFTER
非熟練化
省力化ライン
非熟練者含め のべ6名
2027年度 2030年度
項目
（基準年度） （基準年度＋３年後）
労働生産性 1,825
1,082
（単位：万円/人） （年平均上昇率＋19.0％）
目標値 従業員1人あたり給与支給総額 713
59
（単位：万円/人） 9 （年平均上昇率＋6.0％）
役員１人あたり給与支給総額 832
71
（単位：万円/人） 9 （年平均上昇率＋5.0％）
補助事業に係る従業員数 112
86
（単位：人） （年平均上昇率＋9.2％）</t>
  </si>
  <si>
    <t>株式会社ジョヴィ
1.⾧期成⾧ビジョン
加盟店の処方データや患者データを分析し、PHRビジネスに展開するなど、データを資産として有効活用する「データドリブン型経営」に
より、企業の成⾧を加速させることを目指しています。また、全国の薬局を拠点にマイクログリッド網を構築し、自社のデータ活用事業の
継続性を担保するほか、災害時の電力安定供給により医療活動もサポートします。</t>
  </si>
  <si>
    <t>⾧期成⾧ビジョン（目指す姿・ビジネスモデル）
既存のPB事業・電力事業・システム事業・情報事業で得ることができるデー
タを資産として有効活用することで、従来の調剤事業に頼らない薬局経営
ビジネスモデルで成⾧する企業を目指します。
本補助事業
本補助事業は、薬局を中心としたデータ活用による科学的アプローチで、総合
的なデータを収集解析し、正確な情報を届けることで医療の質や実効性を高め
るデータドリブン事業。
パーソナライズされたCRMによる売上、PHR販売、そして健康ポイント導入による
物販売上・データ売上・ポイント売上を大きく見込んでいます。
また、本補助事業のデータ活用をバックグラウンドで支えるため、既存加盟店の
ネットワークを活用したVPPシステムの構築を展開。非常時の医療活動を支え
る医療電力レジリエンスの強化に貢献するほか、将来的には電力P2Pにより余剰
電力の有効活用による副次的収入効果も見込める他、本事業の取り組みは「薬
局経営の支援」にとどまらず、地域全体のヘルスケアエコシステムや災害対応、地
場産業の活性化、デジタル人材育成など多方面で好循環を生み出すことが可
能です。
24年3月期 28年3月期 31年3月期
(直近事業年度) (基準年) (事業化報告３年目)
売上高
882億円 1,562億円 2,441億円
（既存事業）
賃上目標 年平均 年平均
ー
（既存事業） 6％以上 6％以上
2,488億円 4,790億円
売上高目標
ー
対既存比 対既存比
(＋補助事業)
159%UP 196%UP
年平均 年平均
賃上目標 13.9％以上 12.5％以上
ー
(＋補助事業) 対既存比 対既存比
232%UP 200%UP
※（＋補助事業）とは、本補助事業の実施で見込まれる成果高</t>
  </si>
  <si>
    <t>外発的動機
 地域包括ケア・高齢化社会の進行
- 高齢者の健康管理・予防医療の重要性が増す中、地域に根差した医療支援のニーズが急増。
 医療費抑制政策の推進
- 国の医療費抑制の方針から、OTC医薬品の活用や予防医療へのシフトが奨励されている。
 PHR活用推進の国家方針
- 厚生労働省は「PHR活用推進ロードマップ」を策定し、個人の健康・医療データの活用促進を政策的に
後押し。
- 健康管理アプリ、医療機関、研究機関、製薬企業の間で「リアルワールドデータ（RWD）」のニーズが増加。
 製薬・研究機関によるデータ活用の拡大
- 新薬開発やヘルスケア製品のパーソナライズに向け、性別・年齢・服薬状況などを含む生活者データへの
アクセスが急務。
- 治験コスト削減や予測モデルの精緻化にもデータ利活用が不可欠。
 個人の健康意識向上とPHRサービスの需要増加
- ヘルスケアアプリやウェアラブル利用者の増加により、「自分の健康をデータで管理したい」ニーズが拡大中。
 災害多発による医療の継続性確保ニーズの高まり
- 地震・台風など災害時の停電により、薬局や診療所の機能停止リスクが顕在化。
- 医療機関のBCP（事業継続計画）対策が法的・倫理的にも強く求められている。
 分散型電源（マイクログリッド）政策の加速
- 経済産業省・環境省が主導する再エネ導入・蓄電池補助金制度などにより、地域単位でのエネルギー
自給体制構築が進む。</t>
  </si>
  <si>
    <t>内発的動機
 全国4,500店舗という圧倒的な実店舗ネットワーク
- 地域ごとの患者属性、疾病傾向、購買傾向を蓄積する独自資産があり、ローカルかつ実用的な
医療ビッグデータが形成可能。
 既存PB・販促支援事業とのシナジー
- 収集データを基に、より精度の高い商品開発、販促、マーケティングができ、自社事業にも還元可能。
 他社との差別化と新たな収益源の確立
- 薬局の主な収益である保険調剤は、医療費削減政策や人口減少により縮小が避けられないが、処方データ
だけでなく購買データ（OTC、サプリなど）も持つ企業は稀であり、他社にない価値あるデータ提供者としての
収益源を確立できる。
 「行動変容支援」による新たな価値提供への挑戦
- 生活者との中⾧期的関係性構築により、ヘルスケア領域でのポジショニング強化。
 薬局＝地域インフラとしての再定義
- 「健康を守る場」から「命を守る場」へ進化。災害時も止まらない医療拠点として、地域での信頼・存在価値を
強化。
 エネルギー×医療のハイブリッドモデルによる差別化と社会貢献
- 医療とエネルギーの融合というユニークなポジションを確立し、社会課題の解決と自社の事業成⾧を両立させる。</t>
  </si>
  <si>
    <t>【p.3／2028年度】
2028年度
項目
（基準年度）</t>
  </si>
  <si>
    <t>【p.1】
株式会社ジョヴィ
1.⾧期成⾧ビジョン
加盟店の処方データや患者データを分析し、PHRビジネスに展開するなど、データを資産として有効活用する「データドリブン型経営」に
より、企業の成⾧を加速させることを目指しています。また、全国の薬局を拠点にマイクログリッド網を構築し、自社のデータ活用事業の
継続性を担保するほか、災害時の電力安定供給により医療活動もサポートします。
⾧期成⾧ビジョン（目指す姿・ビジネスモデル） 外発的動機
 地域包括ケア・高齢化社会の進行
既存のPB事業・電力事業・システム事業・情報事業で得ることができるデー - 高齢者の健康管理・予防医療の重要性が増す中、地域に根差した医療支援のニーズが急増。
 医療費抑制政策の推進
タを資産として有効活用することで、従来の調剤事業に頼らない薬局経営
- 国の医療費抑制の方針から、OTC医薬品の活用や予防医療へのシフトが奨励されている。
ビジネスモデルで成⾧する企業を目指します。
 PHR活用推進の国家方針
- 厚生労働省は「PHR活用推進ロードマップ」を策定し、個人の健康・医療データの活用促進を政策的に
本補助事業
後押し。
本補助事業は、薬局を中心としたデータ活用による科学的アプローチで、総合
- 健康管理アプリ、医療機関、研究機関、製薬企業の間で「リアルワールドデータ（RWD）」のニーズが増加。
的なデータを収集解析し、正確な情報を届けることで医療の質や実効性を高め
 製薬・研究機関によるデータ活用の拡大
るデータドリブン事業。 - 新薬開発やヘルスケア製品のパーソナライズに向け、性別・年齢・服薬状況などを含む生活者データへの
パーソナライズされたCRMによる売上、PHR販売、そして健康ポイント導入による アクセスが急務。
物販売上・データ売上・ポイント売上を大きく見込んでいます。 - 治験コスト削減や予測モデルの精緻化にもデータ利活用が不可欠。
また、本補助事業のデータ活用をバックグラウンドで支えるため、既存加盟店の  個人の健康意識向上とPHRサービスの需要増加
ネットワークを活用したVPPシステムの構築を展開。非常時の医療活動を支え - ヘルスケアアプリやウェアラブル利用者の増加により、「自分の健康をデータで管理したい」ニーズが拡大中。
 災害多発による医療の継続性確保ニーズの高まり
る医療電力レジリエンスの強化に貢献するほか、将来的には電力P2Pにより余剰
- 地震・台風など災害時の停電により、薬局や診療所の機能停止リスクが顕在化。
電力の有効活用による副次的収入効果も見込める他、本事業の取り組みは「薬
- 医療機関のBCP（事業継続計画）対策が法的・倫理的にも強く求められている。
局経営の支援」にとどまらず、地域全体のヘルスケアエコシステムや災害対応、地
 分散型電源（マイクログリッド）政策の加速
場産業の活性化、デジタル人材育成など多方面で好循環を生み出すことが可
- 経済産業省・環境省が主導する再エネ導入・蓄電池補助金制度などにより、地域単位でのエネルギー
能です。 自給体制構築が進む。
24年3月期 28年3月期 31年3月期 内発的動機
(直近事業年度) (基準年) (事業化報告３年目)  全国4,500店舗という圧倒的な実店舗ネットワーク
- 地域ごとの患者属性、疾病傾向、購買傾向を蓄積する独自資産があり、ローカルかつ実用的な
売上高 医療ビッグデータが形成可能。
882億円 1,562億円 2,441億円
（既存事業）  既存PB・販促支援事業とのシナジー
- 収集データを基に、より精度の高い商品開発、販促、マーケティングができ、自社事業にも還元可能。
賃上目標 年平均 年平均
ー  他社との差別化と新たな収益源の確立
（既存事業） 6％以上 6％以上
- 薬局の主な収益である保険調剤は、医療費削減政策や人口減少により縮小が避けられないが、処方データ
だけでなく購買データ（OTC、サプリなど）も持つ企業は稀であり、他社にない価値あるデータ提供者としての
2,488億円 4,790億円
売上高目標 収益源を確立できる。
ー
(＋補助事業) 対既存比 対既存比  「行動変容支援」による新たな価値提供への挑戦
159%UP 196%UP - 生活者との中⾧期的関係性構築により、ヘルスケア領域でのポジショニング強化。
 薬局＝地域インフラとしての再定義
年平均 年平均
- 「健康を守る場」から「命を守る場」へ進化。災害時も止まらない医療拠点として、地域での信頼・存在価値を
賃上目標 13.9％以上 12.5％以上
ー 強化。
(＋補助事業) 対既存比 対既存比
 エネルギー×医療のハイブリッドモデルによる差別化と社会貢献
232%UP 200%UP
- 医療とエネルギーの融合というユニークなポジションを確立し、社会課題の解決と自社の事業成⾧を両立させる。
※（＋補助事業）とは、本補助事業の実施で見込まれる成果高</t>
  </si>
  <si>
    <t>【p.2】
株式会社ジョヴィ
2.補助事業の概要
全国各地の薬局を拠点に地域・個人単位の精緻なデータ活用と効率的な運営を両立する「みまもりサービ
ス」を展開し、同時にVPPシステムを構築。災害時の電力安定供給により医療活動のBCP対応を実施。
調剤報酬依存から脱却できる薬局経営の仕組みを提供する
 バイタル・服薬情報・薬剤情報のAI解析により、患者一人ひとりの心身の状態に合わせた統合的な治
療とケアを提供し、収集したデータはPHRとして利活用
みまもり
VPP
 薬剤師がデータ活用によって科学的にアプローチすることで、総合的な知識を持ち、正確な情報を届け
医療の質や実効性を高め、薬局中心のOTC/サプリメントを使ったセルフメディケーションを実施すること みまもり
VPP
で、医療費増大の抑制や薬局・地域住民・地域経済の生産性向上にもつなげる
ジョヴィみまもりシステム
バイタルデータ
個人 匿名
PHR PHR 医療機関
匿名・仮名加工
患者
PHR
副作用データ
一般企業
PHR
データ
OTC VRM
管理 AI 提供
サプリ ターミナル 解析エンジン
製薬企業
処方箋データ
研究機関
OTC・サプリメント
薬局
ジョヴィVPPシステム
【p.3】
株式会社ジョヴィ
2.補助事業の概要
地域・個人単位の精緻なデータ活用と効率的な運営を両立し、調剤報酬依存から脱却。加盟店の業務負
担を軽減しつつ、加盟店に高収益な薬局経営の仕組みを提供する
事業費 165億円
（補助額） （30億円）
【労働生産性向上のポイント】
• オペレーションの自動化・効率化: DX化により手作業・判断の工数削減
• 高度な販促支援: AIが最適な提案を支援し、スタッフのスキル差を補完
• 独自商品の開発による高付加価値化: 営業利益率が向上し、少人数運営でも収益を確保可能
• 地域ニーズに基づくサービス展開: 不要な施策を減らし、的確なリソース配分が可能に
2028年度 2031年度
項目
目標値 （基準年度） （基準年度＋３年後）
労働生産性 3,829万円／人
（単位:万円/人）
3,863万円／人
（年平均上昇率-0.3％）
従業員1人あたり給与支給総額 1,536万円／人
（単位:万円/人）
1,233万円／人
（年平均上昇率＋7.6％）
役員１人あたり給与支給総額
1,172万円／人
1,442万／人
（単位:万円/人） （年平均上昇率＋7.1％）
補助事業に係る従業員数
135人 155人
（単位:人）</t>
  </si>
  <si>
    <t>L物流株式会社
1.長期成長ビジョン
当社創立の原点は顧客・従業員の幸福の追求ゆえである。三方よしを意味する経営理念を掲げ、事業を通じた恒久的な地域
社会への貢献を行うべく「お客様第一主義」「職場環境つくりの徹底」「人財育成」に日々取組み、成長を続けてきた。</t>
  </si>
  <si>
    <t>長期成長ビジョン（目指す姿・ビジネスモデル）
当社は、経営理念である「全社員の物心両面での幸福、全てのお客様、協力
者様との相互繁栄を追求し、事業を通じた恒久的な地域社会への貢献を行う
べく」の3つの指針と取組みを通じ、現在の事業基盤を構築してきた。
• お客様第一主義の徹底
時代のニーズの変化に対応する為に、現状に囚われることなく徹底した見直
し・改善活動を行っていく。
• 職場環境つくりの徹底
5S徹底によるムダ、ムラ、ムリの排除を図り、コンプライアンス遵守により、全
ての従業員が、安全で安心して働きやすい労働環境を確立する。
• 人財育成
「企業は人なり」人材を人財に育成することと、企業の成長、存続は比例す
る。L物流の社員としてのまず正しい思考の形成、正しい行動指針の習得を
最優先し、その基盤の上に業務知識の習得を図る。</t>
  </si>
  <si>
    <t>外発的動機
• 山陰地区の物流機能が脆弱であるが故、物流をベースとしたあらゆる社
会インフラが脆弱な土地ともいえる。
• 少子高齢化により、小売業をはじめ食を中心とした生活インフラは特に必
要不可欠である為、これら地域インフラの持続性を守る必要を強く感じて
いた。
• 創業者である久保(現:相談役)が、創業以前に努めていた企業において、
商流･企業間のしがらみにより、サービス提供に一定の制限がかかる事象
が発生していた。その為、ドライバーに多くの非効率を強いる環境が常態
化。結果的に消費者、地域社会の活性化が阻害されている事に疑問を
持った。 L物流では商流やしがらみに左右されない、常に中立的な立場
で、純粋に地域社会や働く従業員をはじめ、地域に接点を持つ他府県の
物流企業の便益を追究する事を目指し、会社創設に至った。</t>
  </si>
  <si>
    <t>内発的動機
• 全ステークホルダーの相互繁栄と恒久的な地域社会への貢献を成す為に
は、継続的な企業の成長･発展が必要であり、企業を形成する人の教育
は不可欠である
• 「企業は人なり。人材を人財に育成することと、企業の成長、存続は比例
する」と考え、正しい思考と正しい行動指針を有した人財を社会に輩出し
続けたいという想いを持っている
• 2014年に社長が交代した際、山陰地域は隣接の岡山県、広島県、山
口県を含む、平均ドライバー年収を下回る都道府県であり、堅実経営に
よる年商100億円目標の達成により、ドライバーの収入アップ/職業として
の魅力の向上を目指したいとの発想に至った。
• 以前より地域の環境問題についての意識をもっており、配送の効率化や
環境に配慮した運送事業への想いを持っていた。
↳実際に2009年に「エア・エコ・システム（AES）III」を自社開発
特許を取得［特許番号：5390291号］</t>
  </si>
  <si>
    <t>会社全体の売上成長目標 （24年3月期～
30年3月期）
• 売上高成長率203.3％
• 売上高増加額47億円
会社全体の賃上げ目標
• 2.94%（直近事業年度～基準年度）
• 6.35%（基準年度～事業化報告3年目）</t>
  </si>
  <si>
    <t>【p.1／売上成長目標】
会社全体の売上成長目標 （24年3月期～
30年3月期）
• 売上高成長率203.3％
• 売上高増加額47億円
会社全体の賃上げ目標
• 2.94%（直近事業年度～基準年度）
• 6.35%（基準年度～事業化報告3年目）</t>
  </si>
  <si>
    <t>【p.1】
L物流株式会社
1.長期成長ビジョン
当社創立の原点は顧客・従業員の幸福の追求ゆえである。三方よしを意味する経営理念を掲げ、事業を通じた恒久的な地域
社会への貢献を行うべく「お客様第一主義」「職場環境つくりの徹底」「人財育成」に日々取組み、成長を続けてきた。
長期成長ビジョン（目指す姿・ビジネスモデル） 外発的動機
• 山陰地区の物流機能が脆弱であるが故、物流をベースとしたあらゆる社
当社は、経営理念である「全社員の物心両面での幸福、全てのお客様、協力
会インフラが脆弱な土地ともいえる。
者様との相互繁栄を追求し、事業を通じた恒久的な地域社会への貢献を行う
• 少子高齢化により、小売業をはじめ食を中心とした生活インフラは特に必
べく」の3つの指針と取組みを通じ、現在の事業基盤を構築してきた。
要不可欠である為、これら地域インフラの持続性を守る必要を強く感じて
• お客様第一主義の徹底
いた。
時代のニーズの変化に対応する為に、現状に囚われることなく徹底した見直
• 創業者である久保(現:相談役)が、創業以前に努めていた企業において、
し・改善活動を行っていく。
商流･企業間のしがらみにより、サービス提供に一定の制限がかかる事象
• 職場環境つくりの徹底
が発生していた。その為、ドライバーに多くの非効率を強いる環境が常態
5S徹底によるムダ、ムラ、ムリの排除を図り、コンプライアンス遵守により、全
化。結果的に消費者、地域社会の活性化が阻害されている事に疑問を
ての従業員が、安全で安心して働きやすい労働環境を確立する。
持った。 L物流では商流やしがらみに左右されない、常に中立的な立場
• 人財育成
で、純粋に地域社会や働く従業員をはじめ、地域に接点を持つ他府県の
「企業は人なり」人材を人財に育成することと、企業の成長、存続は比例す
物流企業の便益を追究する事を目指し、会社創設に至った。
る。L物流の社員としてのまず正しい思考の形成、正しい行動指針の習得を
最優先し、その基盤の上に業務知識の習得を図る。
内発的動機
売上成長目標
• 全ステークホルダーの相互繁栄と恒久的な地域社会への貢献を成す為に
2014年に立てた「2034年までに売上高成長率107.5％の維持、年
は、継続的な企業の成長･発展が必要であり、企業を形成する人の教育
商100億円」という目標は今回の補助事業により2031年3月期で達
は不可欠である
成する前倒しの計画を策定。以降も、伸長率を落とすことなく増収傾向
• 「企業は人なり。人材を人財に育成することと、企業の成長、存続は比例
を維持する。
する」と考え、正しい思考と正しい行動指針を有した人財を社会に輩出し
続けたいという想いを持っている
会社全体の売上成長目標 （24年3月期～
• 2014年に社長が交代した際、山陰地域は隣接の岡山県、広島県、山
30年3月期）
• 売上高成長率203.3％
口県を含む、平均ドライバー年収を下回る都道府県であり、堅実経営に
• 売上高増加額47億円
よる年商100億円目標の達成により、ドライバーの収入アップ/職業として
会社全体の賃上げ目標
の魅力の向上を目指したいとの発想に至った。
• 2.94%（直近事業年度～基準年度） • 以前より地域の環境問題についての意識をもっており、配送の効率化や
• 6.35%（基準年度～事業化報告3年目） 環境に配慮した運送事業への想いを持っていた。
↳実際に2009年に「エア・エコ・システム（AES）III」を自社開発
特許を取得［特許番号：5390291号］</t>
  </si>
  <si>
    <t>【p.2】
L物流株式会社
2.補助事業の概要
鳥取県米子インターの傍に低温物流センターを設立。センターを拠点に、4事業（地域内外の冷凍商材の入出荷保管、EC
出荷代行、共同配送 、地域支援事業）を行い、地域社会インフラおよび、地域内外の相乗的な経済の発展を目指す。
補助事業の 山陰地域の生活インフラである小売業、地域の消費者、他府県からのドライバーの様々な不合理を解消し、 事業費 46億円
背景・目的 地域、物流の両課題に対応した持続性ある地域インフラを構築する為、冷凍倉庫事業を立ち上げる。 （補助額） （14億円）
山陰地区における輸送・保管能力の増強および、中継輸送拠点としての活用を目的とした「米子低温食品物流センター」を建設
所在地：鳥取県米子市みのり町
※土地や一部発注済み経費含む
敷地面積：3,431坪（11,357㎡)
建設面積：2,748坪
（倉庫 ：2,437坪、事務所：311坪）
【補助対象経費概要】
(百万円)
総額： 4,319百万円
設備投資の
投資項目 投資額 概要
内容
建物費 3,045 自社初の所有倉庫。地域のハブとなる拠点
機械装置 979 DPS等の省力化設備やBCPの為の発電機等
ソフトウェア 165 WMS,マテハン情報システム
外注費 130 設計費
自動化機器/マテハン、業務効率化システムを内包し、従前の対応では実現できなかった物量への入出荷保管対応する事で、
新しい売上の創出、生産性向上により、労働生産性の大幅な向上を図る。
2027年3月期（基準年度） 2030年3月期（基準年度＋３年後）
項目
鳥取県 島根県 岡山県 鳥取県 島根県 岡山県
労働生産性（単位：万円/人） 577万円/人 947万円/人（CAGR+17.9％）
目標値
従業員1人あたり給与支給総額 433万円/人 393万円/人 454万円/人
349万円/人 336万円/人 375万円/人
（単位：万円/人） （CAGR+7.5％） （CAGR+5.4％） （CAGR+6.6％）
役員１人あたり給与支給総額 ー ー（補助事業専任役員なし）
補助事業に係る従業員数
77人 88人 46人 125人 88人 64人
（単位：人）</t>
  </si>
  <si>
    <t>ヤマトスチール株式会社
1.⻑期成⻑ビジョン
コア事業である鉄鋼事業の強靭化と脱炭素社会の実現に貢献する戦略的な⼤規模設備投資により⽬指す
「鉄のリーディングカンパニー」
⻑期成⻑ビジョン（⽬指す姿・ビジネスモデル）
• コア事業である鉄鋼事業では形鋼の製造販売を⾏っており、国内
において業界3位の⽣産量を有しているほか、世界的に展開するグ
ループ企業のマザー⼯場としての役割も有している。
• 同業他社では設備の⽼朽化が進み、⼀部では事業縮⼩の動きも</t>
  </si>
  <si>
    <t>⻑期成⻑ビジョン（⽬指す姿・ビジネスモデル）
• コア事業である鉄鋼事業では形鋼の製造販売を⾏っており、国内
において業界3位の⽣産量を有しているほか、世界的に展開するグ
ループ企業のマザー⼯場としての役割も有している。
• 同業他社では設備の⽼朽化が進み、⼀部では事業縮⼩の動きも
⾒られるなか、2022年から総額500億円規模の戦略的な設備投
資を計画実⾏することでコスト競争⼒及び製造技術の優位性を⼀
層⾼め、「鉄のリーディングカンパニー」を⽬指す。
• 上記投資による主要設備の新設・増設において最先端技術の導
⼊を進めることで労働⽣産性の⼤幅な向上を図るとともに、温室効
果ガス削減に取り組む。
• 新たに技術開発されたバイオコークス事業を展開し、未利⽤バイオ
マスの活⽤における地域循環共⽣圏の構築に寄与し、脱炭素社
会の実現に貢献する（補助対象外）。
• 上記の事業を補完し、より効率的な事業展開を図るため、⾃社船
舶を保有することにより、必要な原料・製品の確実な輸送⼿段を確
保する（補助対象外）。
会社全体の売上成⻑⽬標（〜2030年）
• 売上⾼成⻑率10％
• 売上⾼増加額420億円
会社全体の賃上げ⽬標
• 0.1%（直近事業年度〜基準年度）
※熟練⼯退職に伴う世代交代により若年従業員⼤幅増加のため、賃上げは実施
するも基準年度までは上記数値に留まる⾒込み。
• 7.4%（基準年度〜事業化報告3年⽬）</t>
  </si>
  <si>
    <t>外発的動機
• 同業他社とのコスト・品質⾯における競争が激化するなか、エネル
ギー価格を始めとする諸コストの上昇及び⼈⼿不⾜に⾒舞われて
おり、鉄鋼事業の強靭化のためには、最先端技術の導⼊による操
業の効率化と品質向上による⾼収益化が必須かつ急務である。
• ⾼炉メーカーの⾼級鋼への製造シフト及び汎⽤品（形鋼）の⽣
産ライン縮⼩により、マーケットシェアの拡⼤余地が⽣まれている。
• 地球温暖化への対応をはじめとする環境問題に対する社会におけ
る関⼼が⾼まるなか、電炉による形鋼製造という鉄リサイクルはまさ
に資源循環型社会の⼀端を担うものであり、環境優位性が⾼いこ
とから、当社の事業価値が⾼まっている。</t>
  </si>
  <si>
    <t>内発的動機
• 最先端技術の導⼊により⽣産体制を改善し、労働⽣産性の向上
を実現することで、安定した収益体質を構築する。
• ⽼朽設備の刷新を通じた労働環境の改善と環境負荷低減に資す
る各種取組による企業イメージの向上を図ることにより、従業員のモ
チベーションを⾼めるとともに、優秀な⼈材の確保と安定的な雇⽤を
維持する。</t>
  </si>
  <si>
    <t>【p.2／2027年度 2030年度】
2027年度 2030年度
項⽬
（基準年度） （基準年度＋３年後）</t>
  </si>
  <si>
    <t>【p.1】
ヤマトスチール株式会社
1.⻑期成⻑ビジョン
コア事業である鉄鋼事業の強靭化と脱炭素社会の実現に貢献する戦略的な⼤規模設備投資により⽬指す
「鉄のリーディングカンパニー」
⻑期成⻑ビジョン（⽬指す姿・ビジネスモデル）
• コア事業である鉄鋼事業では形鋼の製造販売を⾏っており、国内
において業界3位の⽣産量を有しているほか、世界的に展開するグ
ループ企業のマザー⼯場としての役割も有している。
• 同業他社では設備の⽼朽化が進み、⼀部では事業縮⼩の動きも
外発的動機
⾒られるなか、2022年から総額500億円規模の戦略的な設備投
資を計画実⾏することでコスト競争⼒及び製造技術の優位性を⼀ • 同業他社とのコスト・品質⾯における競争が激化するなか、エネル
層⾼め、「鉄のリーディングカンパニー」を⽬指す。 ギー価格を始めとする諸コストの上昇及び⼈⼿不⾜に⾒舞われて
• 上記投資による主要設備の新設・増設において最先端技術の導 おり、鉄鋼事業の強靭化のためには、最先端技術の導⼊による操
⼊を進めることで労働⽣産性の⼤幅な向上を図るとともに、温室効 業の効率化と品質向上による⾼収益化が必須かつ急務である。
果ガス削減に取り組む。 • ⾼炉メーカーの⾼級鋼への製造シフト及び汎⽤品（形鋼）の⽣
• 新たに技術開発されたバイオコークス事業を展開し、未利⽤バイオ 産ライン縮⼩により、マーケットシェアの拡⼤余地が⽣まれている。
マスの活⽤における地域循環共⽣圏の構築に寄与し、脱炭素社 • 地球温暖化への対応をはじめとする環境問題に対する社会におけ
会の実現に貢献する（補助対象外）。 る関⼼が⾼まるなか、電炉による形鋼製造という鉄リサイクルはまさ
• 上記の事業を補完し、より効率的な事業展開を図るため、⾃社船 に資源循環型社会の⼀端を担うものであり、環境優位性が⾼いこ
舶を保有することにより、必要な原料・製品の確実な輸送⼿段を確 とから、当社の事業価値が⾼まっている。
保する（補助対象外）。
会社全体の売上成⻑⽬標（〜2030年）
内発的動機
• 売上⾼成⻑率10％
• 最先端技術の導⼊により⽣産体制を改善し、労働⽣産性の向上
• 売上⾼増加額420億円
を実現することで、安定した収益体質を構築する。
会社全体の賃上げ⽬標
• ⽼朽設備の刷新を通じた労働環境の改善と環境負荷低減に資す
• 0.1%（直近事業年度〜基準年度）
る各種取組による企業イメージの向上を図ることにより、従業員のモ
※熟練⼯退職に伴う世代交代により若年従業員⼤幅増加のため、賃上げは実施
チベーションを⾼めるとともに、優秀な⼈材の確保と安定的な雇⽤を
するも基準年度までは上記数値に留まる⾒込み。
維持する。
• 7.4%（基準年度〜事業化報告3年⽬）</t>
  </si>
  <si>
    <t>【p.2】
ヤマトスチール株式会社
2.補助事業の概要
最先端技術を導⼊した主要設備の新設・増設による持続的な成⻑と賃上げの実現
• 最先端技術を導⼊した主要設備の新設・増設により鉄鋼事業における労働⽣産性の向上を図り、
補助事業の ⼈材不⾜や労働環境の改善を図るとともに、温室効果ガス排出量削減にも寄与する。 事業費 133億円
背景・⽬的 （補助額） （41億円）
• 鉄鋼事業の強靭化に向け、単位時間あたりの⽣産効率を向上させるた
め、本補助事業において、最先端技術を有する新圧延機を導⼊する。
• ⽣産効率の向上と最先端技術による⾃動化において、⼈⼿に頼った操
業部分の⾮効率性の解消と労働環境の改善（特に安全⾯の向上）
が⾒込まれるため、⼈材不⾜対策や働きやすさ向上に繋がる投資となる。
設備投資の （補助事業期間中の事業費１２６億円）
参考資料は次スライド以降
内容 • 新圧延機の導⼊に続き、加熱炉の容量拡⼤や⾮化⽯燃料混焼バー
ナーの搭載を予定。（補助対象外）
• 増産のボトルネックとなり得る物流、特に海上輸送⼿段の逼迫に備え、
⾃社保有船舶を建造中。 （補助対象外）
• 更なる脱炭素に向けた取組としてバイオコークス事業も進⾏中。（補助
対象外）
新圧延機（イメージ）
2027年度 2030年度
項⽬
（基準年度） （基準年度＋３年後）
労働⽣産性 9,849
5,828
（単位︓万円/⼈） （年平均上昇率＋19.1％）
⽬標値 従業員1⼈あたり給与⽀給総額 1,076
866
（単位︓万円/⼈） （年平均上昇率＋7.5％）
役員１⼈あたり給与⽀給総額 -
-
（単位︓万円/⼈） （年平均上昇率＋6.0％）
補助事業に係る従業員数
219 230
（単位︓⼈）</t>
  </si>
  <si>
    <t>長野牛乳株式会社
1.長期成長ビジョン
➢ 酪農乳業界全体の維持・発展に寄与するため、新工場を建設する大規模投資を行いシェア拡大を図り、売上高200億円
企業を目指す</t>
  </si>
  <si>
    <t>長期成長ビジョン（目指す姿・ビジネスモデル）
【当社が目指す姿】
酪農乳業界全体の維持・発展に寄与し安心・安全で高品
質な牛乳・乳飲料を消費者に届ける
【成長のビジョン】
・安定した供給を確保するために自社の利益のみでなく酪
農家も含めWIN-WINな関係性を構築する
・安心・安全な牛乳・乳飲料を安定的に供給するために引
き続き、品質管理を徹底する
・自社商圏内においてシェアを拡大し、自社を飛躍的に成
長させ地域を代表する企業となる
・従業員への還元、地域雇用の創出など地域と共存し持
続可能な経営を目指す</t>
  </si>
  <si>
    <t>外発的動機
• 人口減少により市場拡大は見込まれないため、シェアを確保するこ
とが重要。
• スーパーマーケットの再編により小型店舗が減少し大規模化。効率
的な仕入をするために乳処理事業者への受注は一定の規模を超
えるようになり対応できる乳処理事業者が限られている。更にドラッ
クストアにの参入より加速化している。
• 大手3大乳業メーカーが牛乳生産から高付加価値乳加工品へシフ
トし業界内の再編、集約が進んでいる。
• 生産コストは上昇しているおり、省力化投資により労働生産性向
上が急務。
• 人手不足により365日稼働しなければならない乳処理事業者の雇
用確保には賃上げが必須。</t>
  </si>
  <si>
    <t>内発的動機
• 国内の酪農の衰退に歯止めをかけるとともに消費者の健
康を支える牛乳 乳製品を安定的に拡販する
• 取引先からの増産要請に応えるとともに新規先を獲得し
自社を発展させ持続可能性の高いビジネスモデルを構築
する
• 人手不足の中、懸命に働く従業員に賃上げという形で報
いるために大規模投資を実施し、自社を飛躍的に成長さ
せ賃上げの原資を確保し十分な還元を行いたい</t>
  </si>
  <si>
    <t>会社全体の売上成長目標（2030年3月期）
• 売上高成長率122％
• 売上高増加額99億円
2033年度に売上高200億円を目指す！
会社全体の賃上げ目標
• 0.33%（直近事業年度～基準年度）
• 6.0%（基準年度～事業化報告3年目）</t>
  </si>
  <si>
    <t>【p.1／売上成長目標】
会社全体の売上成長目標（2030年3月期）
• 売上高成長率122％
• 売上高増加額99億円
2033年度に売上高200億円を目指す！
会社全体の賃上げ目標
• 0.33%（直近事業年度～基準年度）
• 6.0%（基準年度～事業化報告3年目）</t>
  </si>
  <si>
    <t>【p.1】
長野牛乳株式会社
1.長期成長ビジョン
➢ 酪農乳業界全体の維持・発展に寄与するため、新工場を建設する大規模投資を行いシェア拡大を図り、売上高200億円
企業を目指す
長期成長ビジョン（目指す姿・ビジネスモデル） 外発的動機
• 人口減少により市場拡大は見込まれないため、シェアを確保するこ
【当社が目指す姿】
とが重要。
酪農乳業界全体の維持・発展に寄与し安心・安全で高品
• スーパーマーケットの再編により小型店舗が減少し大規模化。効率
質な牛乳・乳飲料を消費者に届ける 的な仕入をするために乳処理事業者への受注は一定の規模を超
えるようになり対応できる乳処理事業者が限られている。更にドラッ
【成長のビジョン】 クストアにの参入より加速化している。
• 大手3大乳業メーカーが牛乳生産から高付加価値乳加工品へシフ
・安定した供給を確保するために自社の利益のみでなく酪
トし業界内の再編、集約が進んでいる。
農家も含めWIN-WINな関係性を構築する
• 生産コストは上昇しているおり、省力化投資により労働生産性向
・安心・安全な牛乳・乳飲料を安定的に供給するために引
上が急務。
き続き、品質管理を徹底する • 人手不足により365日稼働しなければならない乳処理事業者の雇
・自社商圏内においてシェアを拡大し、自社を飛躍的に成 用確保には賃上げが必須。
長させ地域を代表する企業となる
・従業員への還元、地域雇用の創出など地域と共存し持
内発的動機
続可能な経営を目指す
• 国内の酪農の衰退に歯止めをかけるとともに消費者の健
康を支える牛乳 乳製品を安定的に拡販する
会社全体の売上成長目標（2030年3月期）
• 取引先からの増産要請に応えるとともに新規先を獲得し
• 売上高成長率122％
自社を発展させ持続可能性の高いビジネスモデルを構築
• 売上高増加額99億円
する
2033年度に売上高200億円を目指す！
• 人手不足の中、懸命に働く従業員に賃上げという形で報
いるために大規模投資を実施し、自社を飛躍的に成長さ
会社全体の賃上げ目標
せ賃上げの原資を確保し十分な還元を行いたい
• 0.33%（直近事業年度～基準年度）
• 6.0%（基準年度～事業化報告3年目）</t>
  </si>
  <si>
    <t>【p.2】
長野牛乳株式会社
.補助事業の概要
2
➢ 新工場建設と省力化が図れる設備投資により売上高増加とシェア拡大を図り、労働生産性を向上させる
➢ 増加する利益を従業員へ還元するとともにサプライチェーン上の取引先に高い波及効果が生まれる成長戦略を実現する
• 受注旺盛で既に生産能力は限界の状況。取引先からは本投資を見据え、具体的な増産依頼
補助事業の あり、設備投資は急務の状況。 事業費 89 億円
背景・目的 • 顧客からの要請に応えることで更なるシェアを獲得し、大幅に付加価値を増加させるべく収益性 （補助額） （ 22 億円）
の向上、生産性の向上を目指す。
新工場完成イメージ
• 新工場および本社 27.5億円
（3階建て、延べ床面積5101.76㎡）
新工場を建設し、製造ラインを4ライン設置する
• 調合殺菌設備 24億円
• 充填機 15億円 ４台
• ユーティリティ設備 25億円（電気 配管 ボイラ－等）
設備投資の
内容
• 当社の課題は製造能力が限界であること。既存工場には新ラインを設
置するスペースがなく新工場建設は必須。
• 既存工場のラインは老朽化しており、新工場稼働後に順次停止する
• 本投資により当社の製造能力は2倍超増加する。１ﾗｲﾝ当たりの製造
能力が14％UPし、2ライン体制から4ライン体制へ増加させる
• 旺盛な受注に対応可能となり売上高が大幅に増加することで労働生
産性も飛躍的に向上する。 ※その他導入設備は次項に記載
2027年度（2028年3月期） 2030年度（2031年3月期）
項目
（基準年度） （基準年度＋３年後）
労働生産性 5,699
2,662
（単位：万円/人） （年平均上昇率＋28.9％）
目標値 従業員1人あたり給与支給総額 473
398
（単位：万円/人） （年平均上昇率＋6.0％）
役員１人あたり給与支給総額
-
（単位：万円/人） - （年平均上昇率＋5.0％）
補助事業に係る従業員数
40 49
（単位：人）
【p.3】
長野牛乳株式会社
.補助事業の概要
2
➢ 導入予定の設備イメージ
充填設備
調合殺菌設備
最新型の充填機
殺菌機イメージ
画像処理機印字検査機イメージ ウェートチェッカーイメージ</t>
  </si>
  <si>
    <t>1.長期成長ビジョン モルツウェル株式会社
在宅高齢者弁当配食サービス現場や東日本大震災食材義援活動での原体験をきっかけに、誰もが最期までごきげ
んに暮らせる社会をつくること、ふるさとを守ることを目的とし、給食業界をDXの力で大変革することを目指しています。</t>
  </si>
  <si>
    <t>長期成長ビジョン（目指す姿・ビジネスモデル）
• モルツウェル株式会社は、島根県という社会課題先進地域で事業を展開し
ており、地域の少子高齢化問題に最前線で向き合う企業です。
• 全国の高齢者施設向けに調理済み食材の企画・製造・販売を行う傍ら、
高齢者施設給食業務の受託サービス、在宅高齢者配食サービス、買い物
代行サービス、2021年からシステム開発事業などを行っています。
• 「全社員、社員家族の物心両面における幸福を追求すると同時に日本全
国津々浦々“健やか”で“安らいだ”地域生活に貢献すること」を理念とし、
人材不足の給食業界をDXの力で大変革することを目指しています。
• 地域福祉の中核を担う立場として、持続可能で質の高い食支援体制を構
築し、県内外の福祉・介護の現場を支えていきます。
• 島根での取り組みを土台として、関東など他拠点への展開も視野に、地域
と社会に貢献する事業を推進してまいります。
• 2031年度（2032/8期）までの長期成長ビジョンとして、売上100億円、
完全調理済みメニュー食材で業界1位、中堅企業への飛躍を掲げています。</t>
  </si>
  <si>
    <t>外発的動機
• 今後も高齢化が進展することから、高齢者向け食品の需要は拡大する
ことが予想されます。しかしながら、高齢者施設内で食事提供業務を行
う厨房人材不足が業界の大きな問題となっており、特に介護施設厨房
は早朝出勤、365日休みなし、メニューの個別対応も多く、属人化が激
しく、危機的状況です。
• さらに当社がある島根県は人口減少率、高齢化率ともに国内トップクラ
ス、社会基盤も脆弱でより一層深刻です。
• 給食業界を変革してごきげんに働ける環境をつくりたい！ふるさと島根を
明るくしたい！食と農、県外への移出で雇用を創り、地域の若者に希望
と目標を与えたい！</t>
  </si>
  <si>
    <t>内発的動機
• 2004年、私たちは「安否確認付き在宅高齢者向け弁当配食サービ
ス」事業に参入しました。引きこもりやゴミ屋敷、年に数回は孤独死を発
見する過酷な地域生活最前線の仕事です。かつて日本の繁栄を築き
支えてくださった先輩方が、いま誰にも気づかれない、暗い部屋の中で生
きる意欲さえ失っている―その現実に直面した私は、「せめて最期くらい、
ごきげんに過ごせる社会をつくりたい」と強く心に誓いました。その瞬間、
「これこそがモルツウェルの使命だ」と深く胸に刻みました。これが、私の原
体験です。
• 2011年、東日本大震災発災の翌日にはトラック2台をチャーターし、島
根を出発して被災地へ食材義援に向かいました。現地で目の当たりにし
たのは、家族、仲間、会社、社員、そしてかけがえのない思い出までもを
飲み込んだ津波の、あまりにも残酷な爪痕でした。 一瞬でふるさとを失っ
た東北の姿に、戦後70余年のあいだ、少しずつ若者を都会に奪われ続
けてきた、わがふるさと・島根の姿が重なって見えたのです。「ふるさとは永
遠ではない」―そう気づかされたことが、私にとってのもう一つの原体験と
なりました。</t>
  </si>
  <si>
    <t>会社全体の売上成長目標（～2031年度）
• 売上高100億円（2032/8期）← 17.9億円（2024/8期）
• 売上高増加額82.1億円、成長率459％
会社全体の賃上げ目標
• 2.84%（直近事業年度～基準年度）
• 5.01%（基準年度～事業化報告3年目）</t>
  </si>
  <si>
    <t>【p.1／売上成長目標】
会社全体の売上成長目標（～2031年度）
• 売上高100億円（2032/8期）← 17.9億円（2024/8期）
• 売上高増加額82.1億円、成長率459％
会社全体の賃上げ目標
• 2.84%（直近事業年度～基準年度）
• 5.01%（基準年度～事業化報告3年目）</t>
  </si>
  <si>
    <t>【p.1】
1.長期成長ビジョン モルツウェル株式会社
在宅高齢者弁当配食サービス現場や東日本大震災食材義援活動での原体験をきっかけに、誰もが最期までごきげ
んに暮らせる社会をつくること、ふるさとを守ることを目的とし、給食業界をDXの力で大変革することを目指しています。
長期成長ビジョン（目指す姿・ビジネスモデル） 外発的動機
• 今後も高齢化が進展することから、高齢者向け食品の需要は拡大する
• モルツウェル株式会社は、島根県という社会課題先進地域で事業を展開し
ことが予想されます。しかしながら、高齢者施設内で食事提供業務を行
ており、地域の少子高齢化問題に最前線で向き合う企業です。
う厨房人材不足が業界の大きな問題となっており、特に介護施設厨房
• 全国の高齢者施設向けに調理済み食材の企画・製造・販売を行う傍ら、
は早朝出勤、365日休みなし、メニューの個別対応も多く、属人化が激
高齢者施設給食業務の受託サービス、在宅高齢者配食サービス、買い物
しく、危機的状況です。
代行サービス、2021年からシステム開発事業などを行っています。
• さらに当社がある島根県は人口減少率、高齢化率ともに国内トップクラ
• 「全社員、社員家族の物心両面における幸福を追求すると同時に日本全
ス、社会基盤も脆弱でより一層深刻です。
国津々浦々“健やか”で“安らいだ”地域生活に貢献すること」を理念とし、
• 給食業界を変革してごきげんに働ける環境をつくりたい！ふるさと島根を
人材不足の給食業界をDXの力で大変革することを目指しています。
明るくしたい！食と農、県外への移出で雇用を創り、地域の若者に希望
• 地域福祉の中核を担う立場として、持続可能で質の高い食支援体制を構
と目標を与えたい！
築し、県内外の福祉・介護の現場を支えていきます。
• 島根での取り組みを土台として、関東など他拠点への展開も視野に、地域 内発的動機
と社会に貢献する事業を推進してまいります。
• 2004年、私たちは「安否確認付き在宅高齢者向け弁当配食サービ
• 2031年度（2032/8期）までの長期成長ビジョンとして、売上100億円、
ス」事業に参入しました。引きこもりやゴミ屋敷、年に数回は孤独死を発
完全調理済みメニュー食材で業界1位、中堅企業への飛躍を掲げています。
見する過酷な地域生活最前線の仕事です。かつて日本の繁栄を築き
支えてくださった先輩方が、いま誰にも気づかれない、暗い部屋の中で生
きる意欲さえ失っている―その現実に直面した私は、「せめて最期くらい、
ごきげんに過ごせる社会をつくりたい」と強く心に誓いました。その瞬間、
「これこそがモルツウェルの使命だ」と深く胸に刻みました。これが、私の原
体験です。
• 2011年、東日本大震災発災の翌日にはトラック2台をチャーターし、島
会社全体の売上成長目標（～2031年度）
根を出発して被災地へ食材義援に向かいました。現地で目の当たりにし
• 売上高100億円（2032/8期）← 17.9億円（2024/8期） たのは、家族、仲間、会社、社員、そしてかけがえのない思い出までもを
• 売上高増加額82.1億円、成長率459％ 飲み込んだ津波の、あまりにも残酷な爪痕でした。 一瞬でふるさとを失っ
会社全体の賃上げ目標
た東北の姿に、戦後70余年のあいだ、少しずつ若者を都会に奪われ続
• 2.84%（直近事業年度～基準年度） けてきた、わがふるさと・島根の姿が重なって見えたのです。「ふるさとは永
• 5.01%（基準年度～事業化報告3年目） 遠ではない」―そう気づかされたことが、私にとってのもう一つの原体験と
なりました。</t>
  </si>
  <si>
    <t>【p.2】
.補助事業の概要 モルツウェル株式会社
2
島根県松江市に新工場を建設し、安全で美味しく、厨房業務の省力化に資する完全調理済みメニュー食材の
生産能力を増強することで、拡大し続ける高齢者施設給食市場のニーズに対応します。
補助事業の • 高齢者施設給食向け完全調理済み食品の受注拡大とニーズ多様化に対応するため、新工場を建設 事業費 1 億円
8
背景・目的 して生産能力を2.3倍へ増強するとともに、デジタル化と自動化によって労働生産性を向上させます。 （補助額） （5.9億円）
■内訳 新工場完成イメージ
①建物費：島根県松江市にて新工場建設、敷地面積10,296㎡、建屋面積11,219㎡
（2階建て）、税抜き金額1,020,000千円 ※建設用地は既に取得済み
②機械装置費：真空調理法による食材製造を行うための加工設備、衛生設備など一式、税
抜き金額751,997千円（うち、補助対象経費745,867千円）
③ソフトウェア費：倉庫アドレス管理システム、検収支援システム、製造支援システム、第2次
出荷システム、税抜き金額21,000千円
設備投資の ■現状の問題点
内容 ①調理済み食品の受注獲得ペースが加速しており、現在のペースでいくと2027年中に生産能力が不足する。
②製造管理が紙ベース・アナログ管理であり、生産上不具合があったときリアルタイムに把握できない
③多品種少量生産だが、原材料・仕掛品・完成品、禁止対応品など、在庫の保管や管理のルールが確立されていない。
④BCP対応や行事食用として需要が高まっている冷凍品在庫に対応できていない（現在は日配品のみ）。
⑤出荷作業が紙ベース・アナログ管理であり、人的要因のミス（欠品クレーム）が発生している。
■設備投資が課題解決、労働生産性向上につながる点、工夫点
①新工場を建設することで、生産ライン数は3から7へ、生産能力は現在の3万食/日から7万食へ大幅に増強される。
②受注から出荷までの全工程をデジタル化、自動化することで、ミス撲滅、状況の見える化、リードタイム短縮、省人化が実現する。
2027年度（2028年8月期） 2030年度（2031年8月期）
項目
（基準年度） （基準年度＋３年後）
労働生産性 991万円
447万円
（単位：万円/人） （年平均上昇率＋30.4％）
目標値 従業員1人あたり給与支給総額 320万円 377万円
（単位：万円/人） （年平均上昇率＋5.6％）
役員１人あたり給与支給総額 -
-
（単位：万円/人） （年平均上昇率＋5.0％）
補助事業に係る従業員数
159 253
（単位：人）</t>
  </si>
  <si>
    <t>北海道乳業株式会社
1.長期成長ビジョン
消費者ニーズの多様化や社会課題の解決を受け、生産体制の拡充を行い、高付加価値商品の飛躍的な成
長を遂げることで、当社のみならず地域産業の成長・発展を目指す</t>
  </si>
  <si>
    <t>長期成長ビジョン（目指す姿・ビジネスモデル）
〈基本方針〉
当社事業ポートフォリオにおける重要性が高い高付加価値商品事業を強化することで
地域産業の成長・発展を目指す
〈重点戦略〉
• 高付加価値商品事業に経営資源を投下 • 地域産業の安定化によるサプライチェーン維持
消費者からの支持も高い当社主力製品のヨーグルト(市場シェア30％)に 当社は、北海道道南地区における乳業界のリーディングカンパニーとして
おける製造ラインを抜本的に改革することで他の高付加製品(牛乳、 酪農家の経営安定化等への重要な役割を担っている。道内における生
チーズ等)へリソース、ノウハウを波及 乳調達量の増加は酪農家の経営安定化とサプライチェーン維持に繋がる。
• 雇用の創出と継続的な賃上げ • 自動化による省力化と生産性向上
北海道函館市に新工場を建設し、工場従業員は現地採用を計画して 新工場ではロボット導入・生産ラインのAI化と自動倉庫の導入によって、
いる。ヨーグルト事業全体の生産力が増加することで基準率以上の賃上 ヨーグルト製造方法の革新と物流における積載効率を高め、省力化と生
げを実現する。 産性向上を実現する。
〈売上成長目標〉
2030年度 売上高665億円（2023年度比＋316億円、90.8％増）営業利益65.3億円（2023年度比＋53.2億円、 442.6％増）
〈賃上げ目標〉
2.0%（直近事業年度～基準年度） 8.0%（基準年度～事業化報告3年目）</t>
  </si>
  <si>
    <t>外発的動機
農家による乳生産量維持への期待
多様化による新たな乳製品への期待
問題の解決と脱炭素化への貢献
分散化によるレジリエンスの強化</t>
  </si>
  <si>
    <t>内発的動機
雇用の促進による地域社会への貢献
の柱へ成長させることによるビジネスモデル変革
導入した生産体制推進の必要性</t>
  </si>
  <si>
    <t>〈売上成長目標〉
2030年度 売上高665億円（2023年度比＋316億円、90.8％増）営
〈賃上げ目標〉
2.0%（直近事業年度～基準年度） 8.0%（基準年度～事業化報告3年</t>
  </si>
  <si>
    <t>【p.1／売上成長目標】
〈売上成長目標〉
2030年度 売上高665億円（2023年度比＋316億円、90.8％増）営
〈賃上げ目標〉
2.0%（直近事業年度～基準年度） 8.0%（基準年度～事業化報告3年
【p.1／賃上げや新規雇用の促進による地域社会への貢献】
賃上げや新規雇用の促進による地域社会への貢献
【p.1／高付加価値事業を次代の柱へ成長させることによるビジネスモデル変革】
高付加価値事業を次代の柱へ成長させることによるビジネスモデル変革
【p.1／省力化技術を導入した生産体制推進の必要性】
省力化技術を導入した生産体制推進の必要性</t>
  </si>
  <si>
    <t>【p.1】
北海道乳業株式会社
1.長期成長ビジョン
消費者ニーズの多様化や社会課題の解決を受け、生産体制の拡充を行い、高付加価値商品の飛躍的な成
長を遂げることで、当社のみならず地域産業の成長・発展を目指す
長期成長ビジョン（目指す姿・ビジネスモデル）
〈基本方針〉
当社事業ポートフォリオにおける重要性が高い高付加価値商品事業を強化することで
地域産業の成長・発展を目指す
〈重点戦略〉
• 高付加価値商品事業に経営資源を投下 • 地域産業の安定化によるサプライチェーン維持
消費者からの支持も高い当社主力製品のヨーグルト(市場シェア30％)に 当社は、北海道道南地区における乳業界のリーディングカンパニーとして
おける製造ラインを抜本的に改革することで他の高付加製品(牛乳、 酪農家の経営安定化等への重要な役割を担っている。道内における生
チーズ等)へリソース、ノウハウを波及 乳調達量の増加は酪農家の経営安定化とサプライチェーン維持に繋がる。
• 雇用の創出と継続的な賃上げ • 自動化による省力化と生産性向上
北海道函館市に新工場を建設し、工場従業員は現地採用を計画して 新工場ではロボット導入・生産ラインのAI化と自動倉庫の導入によって、
いる。ヨーグルト事業全体の生産力が増加することで基準率以上の賃上 ヨーグルト製造方法の革新と物流における積載効率を高め、省力化と生
げを実現する。 産性向上を実現する。
〈売上成長目標〉
2030年度 売上高665億円（2023年度比＋316億円、90.8％増）営業利益65.3億円（2023年度比＋53.2億円、 442.6％増）
〈賃上げ目標〉
2.0%（直近事業年度～基準年度） 8.0%（基準年度～事業化報告3年目）
外発的動機 内発的動機
道南エリア酪農家による乳生産量維持への期待 賃上げや新規雇用の促進による地域社会への貢献
消費者ニーズの多様化による新たな乳製品への期待
高付加価値事業を次代の柱へ成長させることによるビジネスモデル変革
物流2024年問題の解決と脱炭素化への貢献
省力化技術を導入した生産体制推進の必要性
生産拠点の分散化によるレジリエンスの強化</t>
  </si>
  <si>
    <t>【p.2】
北海道乳業株式会社
.補助事業の概要/補助事業内容と投資内容
2
• 総額89.5億円の設備投資により、高付加価値商品の増産と新製品の市場投入を行う
• 補助事業を通じて労働生産性を高め、従業員の賃上げへ還元していく
• 当社の高付加価値商品の生産性が低く、現在以上の増産が困難な状況。
補助事業の
• 生産設備導入スペースが限界であるが、国内だけでなく、海外も含めた高付加価値商品の
背景
億円
市場要求は強く、機会損失が発生している。 事業費 97
（29億円）
（補助額）
補助事業の 高付加価値商品の生産性向上と最先端の省力化設備の導入による
目的 労働生産性の向上
• 既設敷地内の設備の合理化(ビルド＆スクラップ）により新工場建
設更地を確保する。合理化は、生産性向上を伴う前提で進める。
• 新設備では人物情報動線の短縮、削減を新型装置、ロボティクス、
AIの導入により達成し、新建屋には太陽光発電など自然エネル
ギー活用を推進する。
• また、自動倉庫を導入することで、高付加価値製品の生産出荷量
設備投資の を確保し、生産性向上と合わせた利益向上により、賃金アップ達成
内容 を確実なものとする。導入予定の新技術は下記の通りである。
① ロボティクス：パレタイザー、包材自動供給、原料自動供給
② AI：原料検査
③ 建築構造設計：セレクトビーム工法
新工場イメージ
④ 場内物流：自動倉庫
⑤ 生産性向上：高能力多機能充填機
2027年度 2030年度
項目
（基準年度） （基準年度＋３年後）
（単
労
位
働
：
生
万
産
円
性
/人）
1,332
（年平均上
2
昇
,9
率
35
＋30.1％）
目標値 従業員1人あたり給与支給総額 551
（単位：万円/人） 437 （年平均上昇率＋8.0％）
役員１人あたり給与支給総額
- -
（単位：万円/人）
補助事業に係る従業員数
（単位：人） 304 321</t>
  </si>
  <si>
    <t>株式会社マルト水谷
1.長期成長ビジョン
「永続可能な外食店創造業」への革新をテーマに、DX・管理会計・ロジスティクスを融合した新型卸売業への進
化を図り、外食店の生産性を向上させるとともにフードロス問題の解決にも寄与することをビジョンとしている</t>
  </si>
  <si>
    <t>長期成長ビジョン（目指す姿・ビジネスモデル）
• DX・管理会計・ロジスティクスの融合による新しい形の業務用総
合卸売業への進化を図り、新たな事業領域「永続可能な外食店
創造業」への革新を目指す
• 具体的には、各外食店が、データに基づいた需要予測から「売れる
ものを売れる分だけタイムリーに」発注できる未来を食品卸の立場
から実現し、外食店の生産性を向上させ、外食店で働く人たちの
豊かさの向上に貢献することを事業ビジョンとしている
• 食品卸の立場からは、無駄のない効率的な食品ロジスティクスの
体制（当社による多品種の一括納入、デイリーでのタイムリーな供
給）を構築することで、上記外食店のデータドリブン経営を支える
とともに、社会課題であるCO2削減、フードロス問題の解決にも寄
与したいと考えている
• 新倉庫建設により、自動化と効率化の推進によるリードタイムの短
縮、取り扱う食品種類の拡大（鮮魚や野菜等の生鮮食品の取り
扱い開始） 、作業スタッフの負荷軽減に伴う生産性向上を同時
に達成する持続可能な食品ロジスティクス体制の構築を図り、外
食店の生産性向上に必要不可欠なパートナーとして、外食店が
永続できる社会の実現およびフードロス問題の解決を図りたい</t>
  </si>
  <si>
    <t>外発的動機
• 人口減少や物価高、労務コストの上昇等を背景に、外食店の廃
業率は高まっており、これまで外食店が担ってきた地域の雇用やコ
ミュニケーションの場としての外食店の存在を守る必要がでてきている
• 外食業界全体で人手不足が問題となっている状況下、店舗運営
効率化及び既存雇用者の労働環境改善の面から、各外食店で
生産性を向上させることが必要となってきている
• 外食店向けのサプライヤー（肉屋、八百屋、魚屋等の食品業
者）の人手不足の状況は深刻であり、ロットが確保できない外食
店では配送頻度等の面でサービスの制限を受けたり、配送コストの
上昇を受け入れざるを得ないケースが生じている
• 世界的にSDGsに向けた取り組みが積極化される中、外食産業に
おけるフードロス問題は深刻であり、食品卸売業者も含めてこれを
解消する社会的責任がある</t>
  </si>
  <si>
    <t>内発的動機
• 従来から外食店向けの「繁盛請負業」を使命として掲げており、
365日配送や「速達生」サービスの提供、コンサルティングの実施等、
付加価値の創造に向けた挑戦を環境変化に即して実施し、外食
店の繁盛を支援してきた
• コロナ禍において、協力金申請やテイクアウトシステムの開発等、繁
盛とは異なる視点で支援を実施。これを契機に、売上増加以外の
部分で外食店をサポートする必要性が高まっていること、これを担う
ポテンシャルが自社にあることを実感するに至った
• 人口減少等の問題は避けられない状況下、外食店の「永続可能
性」をテーマに、外食店が直面しつつある新しい課題解決をリードす
ることで、地域・社会に貢献し続けたいと考えている</t>
  </si>
  <si>
    <t>会社全体の売上成長目標（～2031年3月期）
• 売上高成長率97.2％（24年3月期比）
• 売上高増加額255億円（24年3月期比）
会社全体の賃上げ目標
• 従業員役員計:2.95%（直近事業年度～基準年度）
• 従業員:5.5%（基準年度～事業化報告3年目）
• 役員:5.0%（基準年度～事業化報告3年目）
※上記はいずれも幹事会社単体数値</t>
  </si>
  <si>
    <t>【p.1／売上成長目標】
会社全体の売上成長目標（～2031年3月期）
• 売上高成長率97.2％（24年3月期比）
• 売上高増加額255億円（24年3月期比）
会社全体の賃上げ目標
• 従業員役員計:2.95%（直近事業年度～基準年度）
• 従業員:5.5%（基準年度～事業化報告3年目）
• 役員:5.0%（基準年度～事業化報告3年目）
※上記はいずれも幹事会社単体数値</t>
  </si>
  <si>
    <t>【p.1】
株式会社マルト水谷
1.長期成長ビジョン
「永続可能な外食店創造業」への革新をテーマに、DX・管理会計・ロジスティクスを融合した新型卸売業への進
化を図り、外食店の生産性を向上させるとともにフードロス問題の解決にも寄与することをビジョンとしている
長期成長ビジョン（目指す姿・ビジネスモデル） 外発的動機
• DX・管理会計・ロジスティクスの融合による新しい形の業務用総 • 人口減少や物価高、労務コストの上昇等を背景に、外食店の廃
合卸売業への進化を図り、新たな事業領域「永続可能な外食店 業率は高まっており、これまで外食店が担ってきた地域の雇用やコ
創造業」への革新を目指す ミュニケーションの場としての外食店の存在を守る必要がでてきている
• 具体的には、各外食店が、データに基づいた需要予測から「売れる • 外食業界全体で人手不足が問題となっている状況下、店舗運営
ものを売れる分だけタイムリーに」発注できる未来を食品卸の立場 効率化及び既存雇用者の労働環境改善の面から、各外食店で
から実現し、外食店の生産性を向上させ、外食店で働く人たちの 生産性を向上させることが必要となってきている
豊かさの向上に貢献することを事業ビジョンとしている • 外食店向けのサプライヤー（肉屋、八百屋、魚屋等の食品業
• 食品卸の立場からは、無駄のない効率的な食品ロジスティクスの 者）の人手不足の状況は深刻であり、ロットが確保できない外食
体制（当社による多品種の一括納入、デイリーでのタイムリーな供 店では配送頻度等の面でサービスの制限を受けたり、配送コストの
給）を構築することで、上記外食店のデータドリブン経営を支える 上昇を受け入れざるを得ないケースが生じている
とともに、社会課題であるCO2削減、フードロス問題の解決にも寄 • 世界的にSDGsに向けた取り組みが積極化される中、外食産業に
与したいと考えている おけるフードロス問題は深刻であり、食品卸売業者も含めてこれを
• 新倉庫建設により、自動化と効率化の推進によるリードタイムの短 解消する社会的責任がある
縮、取り扱う食品種類の拡大（鮮魚や野菜等の生鮮食品の取り
扱い開始） 、作業スタッフの負荷軽減に伴う生産性向上を同時
に達成する持続可能な食品ロジスティクス体制の構築を図り、外 内発的動機
食店の生産性向上に必要不可欠なパートナーとして、外食店が • 従来から外食店向けの「繁盛請負業」を使命として掲げており、
永続できる社会の実現およびフードロス問題の解決を図りたい 365日配送や「速達生」サービスの提供、コンサルティングの実施等、
付加価値の創造に向けた挑戦を環境変化に即して実施し、外食
会社全体の売上成長目標（～2031年3月期）
店の繁盛を支援してきた
• 売上高成長率97.2％（24年3月期比）
• 売上高増加額255億円（24年3月期比） • コロナ禍において、協力金申請やテイクアウトシステムの開発等、繁
盛とは異なる視点で支援を実施。これを契機に、売上増加以外の
会社全体の賃上げ目標
部分で外食店をサポートする必要性が高まっていること、これを担う
• 従業員役員計:2.95%（直近事業年度～基準年度）
ポテンシャルが自社にあることを実感するに至った
• 従業員:5.5%（基準年度～事業化報告3年目）
• 人口減少等の問題は避けられない状況下、外食店の「永続可能
• 役員:5.0%（基準年度～事業化報告3年目）
性」をテーマに、外食店が直面しつつある新しい課題解決をリードす
※上記はいずれも幹事会社単体数値
ることで、地域・社会に貢献し続けたいと考えている</t>
  </si>
  <si>
    <t>【p.2】
株式会社マルト水谷
2.補助事業の概要
2拠点目となる物流センターを東海市に新築し、取引先外食店のあらゆる需要に応える新設備を導入するととも
に、従業員の負荷を軽減するための自動化・効率化装置を備えることで、労働生産性を向上させる
• 既存倉庫においては、そのキャパシティが限界に近付いていること、生産性向上のための新規設
備導入に制限が生じていることから、新物流拠点を立ち上げる
補助事業の • 新拠点では、取引先外食店のあらゆる商品・サービス需要に対応できるよう、サプライヤー各社 事業費 45億円
背景・目的 を当社がハブとなってつなぎ、ラストワンマイルを当社で提供することを目的とする （補助額） （15億円）
• 2拠点体制に移行することで当社の主要市場である名古屋市を南北から配送可能とし、1日2
往復する2発便を増台することで生産性を大幅に向上させる
【設備投資①】：新物流センター建物1棟（建物費25.3億円）
• 愛知県東海市に物流倉庫1棟（約2,300坪）を新たに建設予定
• 重量物（酒樽等）の積込み、荷揚げ作業の負荷軽減を目的とした
完成イメージ
高床式プラットフォームを導入
• 出荷時間短縮を目的とした最適導線の設計
【設備投資②】：マテハン機器（機械装置費17.6億円）
• 作業効率向上、作業負荷軽減を目的とした自動パレット倉庫、DPS
（Digital Picking System）、運搬ロボの導入
設備投資の • 冷凍肉・魚等を含む取扱い食品の拡大に対応した冷蔵・冷凍設備の
内容 導入（冷蔵自動パレット倉庫等）
• 温度管理の徹底を目的としたドッグシェルターの導入
• 作業効率化、業務平準化、作業ミス低減を目的としたWCS（倉庫
制御システム）の導入
【設備投資③】：在庫・販売管理システム（ソフトウェア費2.1億円）
• 従来の1拠点体制から2拠点体制へ移行することに伴い、必要機能を
既存システムに追加（2拠点体制を前提とした最適配送ルートの計算
機能等）
【p.3】
株式会社マルト水谷
2.補助事業の概要
生産性向上による増益分を従業員に積極的に還元することで年平均5.5%の賃上げを実施するとともに、労働
生産性を20.1%（MMG HDは14.5%）上昇させることを目標とする
申請対象2社の労働生産性及び賃上げの目標値
2028年3月期 2031年3月期
項目
（基準年度） （基準年度＋３年後）
労働生産性 1,898万円/人
1,095万円/人
（単位：万円/人） （年平均上昇率＋20.1％）
従業員1人あたり給与支給総額 769万円/人
655万円/人
マルト水谷 （単位：万円/人） （年平均上昇率＋5.5％）
(幹事企業) 役員１人あたり給与支給総額 2,820万円/人
2,436万円/人
（単位：万円/人） （年平均上昇率＋5.0％）
補助事業に係る従業員数
282人 349人
（単位：人）
2028年3月期 2031年3月期
項目
（基準年度） （基準年度＋３年後）
労働生産性 2,355万円/人
1,568万円/人
（単位：万円/人） （年平均上昇率＋14.5％）
従業員1人あたり給与支給総額 881万円/人
751万円/人
MMG HD （単位：万円/人） （年平均上昇率＋5.5％）
(参加企業) 役員１人あたり給与支給総額 787万円/人
680万円/人
（単位：万円/人） （年平均上昇率＋5.0％）
補助事業に係る従業員数
13人 18人
（単位：人）</t>
  </si>
  <si>
    <t>1.長期成長ビジョン 有価物回収協業組合 石坂グループ
九州の静脈産業を支える廃棄物中間処理業者として、県内の低調な廃プラ処理の向上、PETボトル水平リサイクル、ビッ
グデータ/AI技術の活用、処理情報のデジタル化等により、あらゆるものを資源化する「リソーシング産業」へ変革する。</t>
  </si>
  <si>
    <t>長期成長ビジョン（目指す姿・ビジネスモデル）
熊本県の有価物回収協業組合として、処理能力の強化、ビッグデータ
収集やAI技術の開発、適正処理情報の同期化システムの開発等を
通じて、あらゆるものを資源化するリソーシング産業へと変革する。
【顧客の視点】
・既存自治体（熊本市・菊陽町・八代市・阿蘇市）のみならず、九州全土か
らの廃プラ（容器包装・製品プラ）の大規模処理を可能とする。
・豊田通商・三井物産など、大手リサイクラーへ高品質のPETボトル中間処理
品（フレーク）を安定かつ大量に供給、さらにサントリーなど飲料メーカー（動
脈産業）へ回収した飲料容器のビッグデータ（商品別の飲み残し量等）を
フィードバックする体制を整える。
・ウエノテックス社と共同開発の「エコキャッチャー」の実地工場としてAIによる
選別技術の進化を図り、全国の処理事業者への導入を目指す。
【業務プロセスの視点】
・受け入れる廃棄物をセンサーで管理、適正処理情報の即時同期システムを
開発、マニフェストによる管理のDX化の浸透を目指す。
・飲料容器の光学3種選別・廃プラ選別における独自の吸引機構により、省力
化と高度な選別技術の確立を目指す。
・人吉モデルを活かし、災害時の廃棄物受入を可能とする。
【学習と成長の視点】
・アスリート採用の開始で若手人材が増加、部門別研修による人材育成、働
きやすい環境の整備を推進、定着率向上を目指す。
【財務の視点】
売上成長目標（直近期（2024年5月期→2031年5月期）
会社全体の売上高：45.67億円→110.01億円
（売上高：64.34億円の増加・CAGR：13.38％）
会社全体の賃上げ目標（直近年度～基準年度:1.66% ）
（従業員・役員
→基準年度～事業化報告3年目:4.01%（従業員・役員）の賃上げ</t>
  </si>
  <si>
    <t>外発的動機
①：2022年4月、「プラスチック資源循環促進法」が施行、容器包装リ
サイクルだけでなく「製品プラ（※ポリバケツやハンガーなど、それ自体がプラ
製の商品）」も、適切に回収・選別することが求められるようになった。一
方、熊本県の容器包装リサイクルは、45自治体中、22自治体に留まり
（約49％）、製品プラにおいては5％にも満たない状況である。
②：排出される飲料容器が「瓶・缶」から「PETボトル」に変わっていく中、
PETボトルを再びPETボトルにする「ボトルtoボトル（水平リサイクル）」
が求められている。ボトルtoボトルに適した、選別精度の高いPETボトル
提供のため、高度な選別技術の確立、AI技術の活用、処理力の強化が
必要である。
③適正処理が求められる一般廃棄物について、不法投棄はいまだに存在
しており、現状のマニフェストによる情報管理のDX化が迫られている。
④：昨今の気候変動で災害が増えており、「災害廃棄物（※建築廃材
や粗大ゴミ）」の迅速な処理が必要となっている。また台湾の半導体メー
カー「TSMC」の熊本進出により廃棄物処理ニーズが高まっている。</t>
  </si>
  <si>
    <t>内発的動機
①：熊本有価物回収事業協同組合として「瓶・缶」の回収から始まり、
時代の流れとともに「協業組合」に組織を変更、事業を拡張させてきた。
大量生産・大量消費の社会から、サステナブルな社会への変革が求めら
れる中で、リソーシング産業としての地位を確立する使命感を感じている。
②：日本紙パルプ商事(株)と共同出資して開設した「(株)エコポート九
州」は、県内唯一のプラスチックの「マテリアルリサイクル（※排出された
物を、再び製品として生まれ変わらせる」が可能な施設に成長し、さらに
第二工場を建設予定で、処理力の増強に合わせた受入増が期待できる4。</t>
  </si>
  <si>
    <t>【顧客の視点】
・既存自治体（熊本市・菊陽町・八代市・阿蘇市）のみならず、九州全土か
らの廃プラ（容器包装・製品プラ）の大規模処理を可能とする。
・豊田通商・三井物産など、大手リサイクラーへ高品質のPETボトル中間処理
品（フレーク）を安定かつ大量に供給、さらにサントリーなど飲料メーカー（動
脈産業）へ回収した飲料容器のビッグデータ（商品別の飲み残し量等）を
フィードバックする体制を整える。
・ウエノテックス社と共同開発の「エコキャッチャー」の実地工場としてAIによる
選別技術の進化を図り、全国の処理事業者への導入を目指す。
【業務プロセスの視点】
・受け入れる廃棄物をセンサーで管理、適正処理情報の即時同期システムを
開発、マニフェストによる管理のDX化の浸透を目指す。
・飲料容器の光学3種選別・廃プラ選別における独自の吸引機構により、省力
化と高度な選別技術の確立を目指す。
・人吉モデルを活かし、災害時の廃棄物受入を可能とする。
【学習と成長の視点】
・アスリート採用の開始で若手人材が増加、部門別研修による人材育成、働
きやすい環境の整備を推進、定着率向上を目指す。
【財務の視点】
売上成長目標（直近期（2024年5月期→2031年5月期）
会社全体の売上高：45.67億円→110.01億円
（売上高：64.34億円の増加・CAGR：13.38％）
会社全体の賃上げ目標（直近年度～基準年度:1.66% ）
（従業員・役員
→基準年度～事業化報告3年目:4.01%（従業員・役員）の賃上げ</t>
  </si>
  <si>
    <t>【p.1／売上成長目標】
【顧客の視点】
・既存自治体（熊本市・菊陽町・八代市・阿蘇市）のみならず、九州全土か
らの廃プラ（容器包装・製品プラ）の大規模処理を可能とする。
・豊田通商・三井物産など、大手リサイクラーへ高品質のPETボトル中間処理
品（フレーク）を安定かつ大量に供給、さらにサントリーなど飲料メーカー（動
脈産業）へ回収した飲料容器のビッグデータ（商品別の飲み残し量等）を
フィードバックする体制を整える。
・ウエノテックス社と共同開発の「エコキャッチャー」の実地工場としてAIによる
選別技術の進化を図り、全国の処理事業者への導入を目指す。
【業務プロセスの視点】
・受け入れる廃棄物をセンサーで管理、適正処理情報の即時同期システムを
開発、マニフェストによる管理のDX化の浸透を目指す。
・飲料容器の光学3種選別・廃プラ選別における独自の吸引機構により、省力
化と高度な選別技術の確立を目指す。
・人吉モデルを活かし、災害時の廃棄物受入を可能とする。
【学習と成長の視点】
・アスリート採用の開始で若手人材が増加、部門別研修による人材育成、働
きやすい環境の整備を推進、定着率向上を目指す。
【財務の視点】
売上成長目標（直近期（2024年5月期→2031年5月期）
会社全体の売上高：45.67億円→110.01億円
（売上高：64.34億円の増加・CAGR：13.38％）
会社全体の賃上げ目標（直近年度～基準年度:1.66% ）
（従業員・役員
→基準年度～事業化報告3年目:4.01%（従業員・役員）の賃上げ
【p.2／＜選別における労働生産性向上のイメージ＞】
＜選別における労働生産性向上のイメージ＞
手作業による選別
光学選別（赤外線センサー）
（手選別）</t>
  </si>
  <si>
    <t>【p.1】
1.長期成長ビジョン 有価物回収協業組合 石坂グループ
九州の静脈産業を支える廃棄物中間処理業者として、県内の低調な廃プラ処理の向上、PETボトル水平リサイクル、ビッ
グデータ/AI技術の活用、処理情報のデジタル化等により、あらゆるものを資源化する「リソーシング産業」へ変革する。
長期成長ビジョン（目指す姿・ビジネスモデル） 外発的動機
①：2022年4月、「プラスチック資源循環促進法」が施行、容器包装リ
熊本県の有価物回収協業組合として、処理能力の強化、ビッグデータ
サイクルだけでなく「製品プラ（※ポリバケツやハンガーなど、それ自体がプラ
収集やAI技術の開発、適正処理情報の同期化システムの開発等を
製の商品）」も、適切に回収・選別することが求められるようになった。一
通じて、あらゆるものを資源化するリソーシング産業へと変革する。 方、熊本県の容器包装リサイクルは、45自治体中、22自治体に留まり
（約49％）、製品プラにおいては5％にも満たない状況である。
【顧客の視点】
・既存自治体（熊本市・菊陽町・八代市・阿蘇市）のみならず、九州全土か
②：排出される飲料容器が「瓶・缶」から「PETボトル」に変わっていく中、
らの廃プラ（容器包装・製品プラ）の大規模処理を可能とする。
PETボトルを再びPETボトルにする「ボトルtoボトル（水平リサイクル）」
・豊田通商・三井物産など、大手リサイクラーへ高品質のPETボトル中間処理
が求められている。ボトルtoボトルに適した、選別精度の高いPETボトル
品（フレーク）を安定かつ大量に供給、さらにサントリーなど飲料メーカー（動
提供のため、高度な選別技術の確立、AI技術の活用、処理力の強化が
脈産業）へ回収した飲料容器のビッグデータ（商品別の飲み残し量等）を
必要である。
フィードバックする体制を整える。
・ウエノテックス社と共同開発の「エコキャッチャー」の実地工場としてAIによる
③適正処理が求められる一般廃棄物について、不法投棄はいまだに存在
選別技術の進化を図り、全国の処理事業者への導入を目指す。
しており、現状のマニフェストによる情報管理のDX化が迫られている。
【業務プロセスの視点】
・受け入れる廃棄物をセンサーで管理、適正処理情報の即時同期システムを
④：昨今の気候変動で災害が増えており、「災害廃棄物（※建築廃材
開発、マニフェストによる管理のDX化の浸透を目指す。
や粗大ゴミ）」の迅速な処理が必要となっている。また台湾の半導体メー
・飲料容器の光学3種選別・廃プラ選別における独自の吸引機構により、省力
カー「TSMC」の熊本進出により廃棄物処理ニーズが高まっている。
化と高度な選別技術の確立を目指す。
・人吉モデルを活かし、災害時の廃棄物受入を可能とする。
内発的動機
【学習と成長の視点】
①：熊本有価物回収事業協同組合として「瓶・缶」の回収から始まり、
・アスリート採用の開始で若手人材が増加、部門別研修による人材育成、働
時代の流れとともに「協業組合」に組織を変更、事業を拡張させてきた。
きやすい環境の整備を推進、定着率向上を目指す。
大量生産・大量消費の社会から、サステナブルな社会への変革が求めら
【財務の視点】
れる中で、リソーシング産業としての地位を確立する使命感を感じている。
売上成長目標（直近期（2024年5月期→2031年5月期）
会社全体の売上高：45.67億円→110.01億円
②：日本紙パルプ商事(株)と共同出資して開設した「(株)エコポート九
（売上高：64.34億円の増加・CAGR：13.38％）
州」は、県内唯一のプラスチックの「マテリアルリサイクル（※排出された
会社全体の賃上げ目標（直近年度～基準年度:1.66%（従業員・役員 ）
物を、再び製品として生まれ変わらせる」が可能な施設に成長し、さらに
→基準年度～事業化報告3年目:4.01%（従業員・役員）の賃上げ
第二工場を建設予定で、処理力の増強に合わせた受入増が期待できる4。</t>
  </si>
  <si>
    <t>【p.2】
.補助事業の概要 有価物回収協業組合 石坂グループ
2
大きな変化に直面している九州・熊本における廃棄物処理において、最先端の選別ラインとAI学習・DX化に向けた
次世代中間処理施設を開設、処理力増強と省力化を図り、あらゆるものの資源化（リソーシング）を目指す。
プラ新法の施行、PETボトル水平リサイクル、気候変動による災害増加、TSMC進出、AI学
補助事業の 事業費 42億円
習技術やDX化の進展などの環境変化に対し、次世代の中間処理施設を開設することで、
背景・目的 （補助額） （12億円）
九州・熊本エリアのあらゆる排出物を資源化し、動静脈を繋ぐリソーシング産業を確立する。
【課題の解決方法と労働生産性向上に繋がる点】
【主な設備投資内容】
・容器包装プラと製品プラを自動選別する「独自のロールスクリーン＋２つの吸引機構」を導入
①建物費
したラインで手選別を大幅に省力化、大規模処理（最大64t/日）を実現する。
・資源物再資源化工場（廃プラスチック・飲料容
・瓶・缶・PETボトルを高度に選別する「光学3種選別」を導入したラインで、手選別を大幅に省
器処理施設）：約4,014㎡
力化、現状の処理量（約3,500t/年）の約1.5倍の処理を可能とすると同時に、飲料容器の
・廃棄物再資源化工場（建築廃材処理施
ビッグデータを収集・蓄積、 AI技術活用した新型エコキャッチャーの共同開発を目指す。
設）：約1,540㎡
・建築廃材の破砕作業を大きく省力化すると同時に処理力を約100t/hに強化。さらに多くの車
・廃飲料再資源化施設：約422.5㎡
両が搬入できるスペースを確保（軽トラ42台分）し、災害時の対応も可能にする。
・破砕・プレス工場棟：約798㎡
・DX化の遅れている廃棄物の適正処理情報管理（マニフェスト運用）の改革を目指し、セン
・事務所棟：約1,420㎡
サー活用による適正処理情報の即時同期システムを開発、中間処理業者への浸透を図る。
設備投資の ・福利厚生棟（車庫棟含む）：約968㎡
内容 ②機械装置費 ＜選別における労働生産性向上のイメージ＞
・廃プラスチック選別・圧縮ライン 手作業による選別 光学選別（赤外線センサー）
（破集袋機・ロールスクリーン・風力選別機・開梱 （手選別）
機・プレス機・コンベヤ関連・ヤード内張等）
・瓶・缶・PETボトル選別・圧縮ライン
（破袋機・除袋機・アルミ/スチール選別機・光学3
種選別機・缶プレス機・PETボトルプレス機・コンベ
ヤ・AIロボット（エコキャッチャー）等）
・建築廃材選別ライン（プレス機・コンベヤ等）
・廃飲料処理設備（分離機・コンベヤ等）
項目 2028年5月期（基準年度） 2031年5月期（基準年度＋３年後）
労働生産性（単位：万円/人） 3,128 5,70 5 （年平均上昇率＋22.2％）
目標値 従業員1人あたり給与支給総額（単位：万円/人） 302 374（年平均上昇率＋7.4％）
役員１人あたり給与支給総額（単位：万円/人） - - （年平均上昇率＋15.0％）
補助事業に係る従業員数（単位：人） 25 95</t>
  </si>
  <si>
    <t>KIDO PACKAGING株式会社
1.長期成長ビジョン
企画から製造までの一貫体制によるフレキシブルな対応力に磨きをかけ、「低環境負荷包材需要への対応」「多品種少量化」「衛生面の強
化」等多様化する顧客ニーズへ応えることで2031/3期に単体売上高196億円、コンソーシアム199.6億円企業への成長を目指す。</t>
  </si>
  <si>
    <t>長期成長ビジョン（目指す姿・ビジネスモデル）
■目指す姿・ビジネスモデル
「お客様の品物とその価値を包み、安全・確実にお届けする」
• 生活必需品を事業ドメインとし、商品を保護し情報を伝える「一次包装」の提
供を通じて人間生活の向上、社会の発展に貢献する
• 顧客第一主義の姿勢を貫き、企画、デザインから生産までの一貫体制によりフ
レキシブルな対応力を発揮し、環境変化に対応することで持続的な成長を目
指す
■長期成長ビジョンの実現に向けた事業戦略
①水性印刷対応により低環境負荷型パッケージへの切替需要獲得
• 役目を終えた包材はゴミへと変わるため、より環境負荷の少ない製造プロセスづくり
を追求することを使命として取り組み、新たな市場需要も獲得する
②工場統合および新型印刷機の導入による生産性改善
• 工場統合および最新印刷設備導入により、生産性向上および多品種少量化
への対応力を高めることで収益力向上を図る
③AGV導入により過酷労働を削減し、労働環境を改善
• AGV導入により重量物の運搬を削減し、かねてから取り組んでいる有機溶剤使
用量削減と合わせて安全に働きやすい労働環境の整備に取り組む
➃安全・衛生管理面への取組強化
• 工場統合により安全・衛生面も強化し、FSSC22000認証の取得に取り組
むことで食品メーカーからの信頼をより強固なものにする</t>
  </si>
  <si>
    <t>外発的動機
• 軟包装は硬質パッケージと比して環境負荷が低く、商品保護機能により食品ロス
削減にも貢献することができるため、サステナビリティへの取組拡大を背景に採用が
加速しており、世界の軟包装市場は2030年度までCAGR 4 .0 %での成
長が見込まれる
• 当社の手掛ける1次包装は主に加工食品に用いられるが、女性の社会進出等の
ライフスタイルの変化による食の時短・簡便化ニーズを背景に加工食品市場
は今後も成長が見込まれる
• 当社顧客である食品メーカーは環境対応を強化しており、環境負荷の高い油性
塗料を用いた包装の不使用に向けた取組が大手メーカーを中心に拡大しており、
環境対応パッケージへの切り替え需要の発生が見込まれる
• 商品の「顔」としてのパッケージに対する要求水準の高まり、ライフサイクルの短期化
による包装の多品種少量化も進展しており、規模の経済が働きにくくなって いる
• 生産年齢人口が減少する中で持続的な成長を実現するためには、印刷業の生
産現場の3K(きつい、きたない、きけん)のイメージを払拭し、女性やシニア人材も
安全に働きやすい環境整備を行うことが求められる</t>
  </si>
  <si>
    <t>内発的動機
• 企画、デザインから生産までの一貫体制によるフレキシブルな対応力を強みに顧客
ニーズに寄り添い、90年にわたって「一次包装」を通じて「商品の保護」「商品情報
の伝達」といった付加価値を提供してきた
• 持続的成長を実現するためには、衛生管理面の強化、多品種小ロット対応、環
境負荷低減等、高度化する顧客ニーズに対応する必要がある
• 現工場は工場建屋・空調設備の老朽化による労働環境の悪化、新規設備導
入に向けたスペースの不足、既存印刷設備の能力不足等競争力を維持し、
成長する市場の需要を獲得するためには工場の更新が急務である
• 社内従業員の平均年齢の上昇により、次世代の技術者育成に向けたノウハウ
の継承が課題となっている</t>
  </si>
  <si>
    <t>会社全体の売上成長目標
（基準年度～事業化報告3年目）
• 年平均売上高成長率単体16.9％、コンソーシアム17.1％
• 売上高増加額単体73億円、コンソーシアム75億円
会社全体の賃上げ目標
• 4.14%（直近事業年度～基準年度）
• 5.5%（基準年度～事業化報告3年目）</t>
  </si>
  <si>
    <t>【p.1／売上成長目標】
会社全体の売上成長目標
（基準年度～事業化報告3年目）
• 年平均売上高成長率単体16.9％、コンソーシアム17.1％
• 売上高増加額単体73億円、コンソーシアム75億円
会社全体の賃上げ目標
• 4.14%（直近事業年度～基準年度）
• 5.5%（基準年度～事業化報告3年目）
【p.2／ＫＩＤＯ ＰＡＣＫＡＧＩＮＧ株式会社】
ＫＩＤＯ ＰＡＣＫＡＧＩＮＧ株式会社
【p.2／ＫＩＤＯホールディングス株式会社】
ＫＩＤＯホールディングス株式会社</t>
  </si>
  <si>
    <t>【p.1】
KIDO PACKAGING株式会社
1.長期成長ビジョン
企画から製造までの一貫体制によるフレキシブルな対応力に磨きをかけ、「低環境負荷包材需要への対応」「多品種少量化」「衛生面の強
化」等多様化する顧客ニーズへ応えることで2031/3期に単体売上高196億円、コンソーシアム199.6億円企業への成長を目指す。
長期成長ビジョン（目指す姿・ビジネスモデル） 外発的動機
■目指す姿・ビジネスモデル • 軟包装は硬質パッケージと比して環境負荷が低く、商品保護機能により食品ロス
削減にも貢献することができるため、サステナビリティへの取組拡大を背景に採用が
「お客様の品物とその価値を包み、安全・確実にお届けする」
加速しており、世界の軟包装市場は2030年度までCAGR4.0%での成
• 生活必需品を事業ドメインとし、商品を保護し情報を伝える「一次包装」の提
長が見込まれる
供を通じて人間生活の向上、社会の発展に貢献する
• 当社の手掛ける1次包装は主に加工食品に用いられるが、女性の社会進出等の
• 顧客第一主義の姿勢を貫き、企画、デザインから生産までの一貫体制によりフ
ライフスタイルの変化による食の時短・簡便化ニーズを背景に加工食品市場
レキシブルな対応力を発揮し、環境変化に対応することで持続的な成長を目
は今後も成長が見込まれる
指す
• 当社顧客である食品メーカーは環境対応を強化しており、環境負荷の高い油性
塗料を用いた包装の不使用に向けた取組が大手メーカーを中心に拡大しており、
■長期成長ビジョンの実現に向けた事業戦略 環境対応パッケージへの切り替え需要の発生が見込まれる
①水性印刷対応により低環境負荷型パッケージへの切替需要獲得 • 商品の「顔」としてのパッケージに対する要求水準の高まり、ライフサイクルの短期化
• 役目を終えた包材はゴミへと変わるため、より環境負荷の少ない製造プロセスづくり による包装の多品種少量化も進展しており、規模の経済が働きにくくなって いる
を追求することを使命として取り組み、新たな市場需要も獲得する • 生産年齢人口が減少する中で持続的な成長を実現するためには、印刷業の生
②工場統合および新型印刷機の導入による生産性改善 産現場の3K(きつい、きたない、きけん)のイメージを払拭し、女性やシニア人材も
• 工場統合および最新印刷設備導入により、生産性向上および多品種少量化 安全に働きやすい環境整備を行うことが求められる
への対応力を高めることで収益力向上を図る
③AGV導入により過酷労働を削減し、労働環境を改善
• AGV導入により重量物の運搬を削減し、かねてから取り組んでいる有機溶剤使 内発的動機
用量削減と合わせて安全に働きやすい労働環境の整備に取り組む
• 企画、デザインから生産までの一貫体制によるフレキシブルな対応力を強みに顧客
➃安全・衛生管理面への取組強化
ニーズに寄り添い、90年にわたって「一次包装」を通じて「商品の保護」「商品情報
• 工場統合により安全・衛生面も強化し、FSSC22000認証の取得に取り組
の伝達」といった付加価値を提供してきた
むことで食品メーカーからの信頼をより強固なものにする
• 持続的成長を実現するためには、衛生管理面の強化、多品種小ロット対応、環
会社全体の売上成長目標 境負荷低減等、高度化する顧客ニーズに対応する必要がある
（基準年度～事業化報告3年目）
• 現工場は工場建屋・空調設備の老朽化による労働環境の悪化、新規設備導
• 年平均売上高成長率単体16.9％、コンソーシアム17.1％
入に向けたスペースの不足、既存印刷設備の能力不足等競争力を維持し、
• 売上高増加額単体73億円、コンソーシアム75億円
成長する市場の需要を獲得するためには工場の更新が急務である
会社全体の賃上げ目標
• 社内従業員の平均年齢の上昇により、次世代の技術者育成に向けたノウハウ
• 4.14%（直近事業年度～基準年度） の継承が課題となっている
• 5.5%（基準年度～事業化報告3年目）</t>
  </si>
  <si>
    <t>【p.2】
KIDO PACKAGING株式会社
.補助事業の概要
2
既存工場を統合し、低環境負荷型の高性能印刷設備導入と衛生面強化により競争力を高める。
AGV導入および有機溶剤使用量の削減により労働環境改善を実現する。
補助事業の 点在する既存工場を新工場へ統合し、設備増強を行うことで、高まる環境負荷軽減需要の獲得、衛生面強化によ 事業費 億円
46
背景・目的 る信頼獲得を図る。生産性改善と労働環境改善にも取り組むことで、持続的な成長を実現する。 （補助額） （ 億円）
15
【新工場への集約/設備増強】 2.「工場統合による生産性改善」 3.「労働環境改善」 4.「工場統合による衛生面強化」
同一建屋内への工程集約と最新 AGV導入による過酷労働削 同一建屋内への工程集約による衛
1.「環境需要獲得」
製造設備導入による生産性改善 減と水性印刷（有機溶剤レ 生面強化とFSSC22000の取得
水性印刷対応による低環境負荷型
及び多品種小ロットへの対応強化 ス）による労働環境改善
パッケージへの切替需要獲得
設備投資の
内容
投資会社 内容 投資額
ＫＩＤＯ ＰＡＣＫＡＧＩＮＧ株式会社 生産設備1４種（1８台） 11.5億円
ＫＩＤＯホールディングス株式会社 工場建設にかかる費用 40.7億円
ＫＩＤＯ ＰＡＣＫＡＧＩＮＧ株式会社 ＫＩＤＯホールディングス株式会社
2031年3月期 2031年3月期
項目 2028年3月期（基準年度） 2028年3月期（基準年度）
（基準年度＋３年後） （基準年度＋３年後）
労働生産性
1,154万円
1,891万円
7,500万円
14,400万円
目標値 （単位：万円/人） （年平均上昇率＋17.9％） （年平均上昇率＋24.3％）
従業員1人あたり給与支給総額
605万円
711万円
605万円
711万円
（単位：万円/人） （年平均上昇率＋5.5％） （年平均上昇率＋5.5％）
役員１人あたり給与支給総額
- -
（単位：万円/人） - （年平均上昇率＋5.5％） - （年平均上昇率＋5.5％）
補助事業に係る従業員数
230人 239人 1人 1人
（単位：人）</t>
  </si>
  <si>
    <t>東亜工業株式会社
1.長期成長ビジョン
BEV向け部品生産体制を構築するため、総額123億円超の大型設備投資を実施
自動車部品のサプライヤーとしての使命を果たすとともに企業価値の最大化・持続的な成長を実現</t>
  </si>
  <si>
    <t>長期成長ビジョン（目指す姿・ビジネスモデル）
創業以来培ってきた技術と独自のノウハウで、進化をリードする製品の開
発・製造に提案型メーカーとしてチャレンジし、自動車業界のベストパート
ナーとして、先進のクルマづくりを支えていく。
＜具体的な取組み＞
• 本事業では、外発的・内発的動機を踏まえ、自動車業界の電動化に対
応するため、総額123億円もの大型設備投資を通じて、BEV向け部
品生産ラインを構築する。
• 電動車向け部品の高品質且つ安大型プレス等による新たな一体成型
技術にもチャレンジし、電動車部品の製造コストの削減や衝突安全性能
等の安全性向上にも貢献していく。
• 電動化が進む中で、衝突安全性や部品の軽量化が特に求められている。
当社の強みであるホットスタンプ技術や製品開発力を活かして、BEV向
け製品の開発を推進していく。
• BEV向けの部品供給体制の構築を通じて、自動車部品サプライヤー
としての使命を果たすともに、持続的な成長を実現していく。
• 地域牽引企業として、地元である群馬県を中心に地域経済の活性化や
地域雇用の拡大を図っていく。
※BEV：Battery Electric Vehicle（電気自動車）の略称</t>
  </si>
  <si>
    <t>外発的動機
①自動車の電動化への潮流
2015年パリ協定を契機に各国・自動車メーカーが電動化目標を
公表し、電動化への潮流が加速。主要取引先であるSUBARUや
トヨタ自動車でもBEVへの対応が急速に進んでいる。
→自動車メーカーの動向に合わせた製品開発・製造の必要性
②電動化による部品点数の減少
現在、3万点といわれる自動車部品点数は、電動化によって2万点
まで減少すると想定され、自動車部品サプライヤー間の競争がより
激化すると予測されている。
→競争優位性がある製品開発への取組みの必要性</t>
  </si>
  <si>
    <t>的・内発的動機を踏まえ、自動車業界の電動化に対
23億円もの大型設備投資を通じて、BEV向け部
築する。
高品質且つ安大型プレス等による新たな一体成型
し、電動車部品の製造コストの削減や衝突安全性能
も貢献していく。
、衝突安全性や部品の軽量化が特に求められている。
ホットスタンプ技術や製品開発力を活かして、BEV向
進していく。
供給体制の構築を通じて、自動車部品サプライヤー
すともに、持続的な成長を実現していく。
て、地元である群馬県を中心に地域経済の活性化や
図っていく。
内発的動機
① 企業価値の最大化・持続的な成長
持続的な成長や企業価値を高めるためには、成長が見込まれる分
野へ参入していく必要がある
→成長が見込まれるBEV向けの取組みを強化していく必要性
② BEV専用ラインの構築
ガソリン車とBEVでは、安全性能や堅牢性等の製品に求められる
要素が異なり、既存ラインでは対応できない
→BEV専用工場及び生産ラインを構築する必要性
③ 次世代を担う人材の採用・育成
当社強みである最先端技術開発、要素技術開発から量産化の体
制を維持・発展するためには、優秀な人材の採用・育成が必要で
ある
→次世代を担う人材の採用・育成、雇用の維持の必要性</t>
  </si>
  <si>
    <t>会社全体の売上成長目標（2030年度）
• 売上高成長率20.32％（基準年度比）
• 売上高増加額163億円（基準年度比）
会社全体の賃上げ目標
• 29.51%（基準年度比）
• 41.59%（直近年度比）</t>
  </si>
  <si>
    <t>【p.1／売上成長目標】
会社全体の売上成長目標（2030年度）
• 売上高成長率20.32％（基準年度比）
• 売上高増加額163億円（基準年度比）
会社全体の賃上げ目標
• 29.51%（基準年度比）
• 41.59%（直近年度比）</t>
  </si>
  <si>
    <t>【p.1】
東亜工業株式会社
1.長期成長ビジョン
BEV向け部品生産体制を構築するため、総額123億円超の大型設備投資を実施
自動車部品のサプライヤーとしての使命を果たすとともに企業価値の最大化・持続的な成長を実現
長期成長ビジョン（目指す姿・ビジネスモデル） 外発的動機
①自動車の電動化への潮流
創業以来培ってきた技術と独自のノウハウで、進化をリードする製品の開
2015年パリ協定を契機に各国・自動車メーカーが電動化目標を
発・製造に提案型メーカーとしてチャレンジし、自動車業界のベストパート
公表し、電動化への潮流が加速。主要取引先であるSUBARUや
ナーとして、先進のクルマづくりを支えていく。
トヨタ自動車でもBEVへの対応が急速に進んでいる。
＜具体的な取組み＞
→自動車メーカーの動向に合わせた製品開発・製造の必要性
• 本事業では、外発的・内発的動機を踏まえ、自動車業界の電動化に対
②電動化による部品点数の減少
応するため、総額123億円もの大型設備投資を通じて、BEV向け部 現在、3万点といわれる自動車部品点数は、電動化によって2万点
品生産ラインを構築する。 まで減少すると想定され、自動車部品サプライヤー間の競争がより
激化すると予測されている。
• 電動車向け部品の高品質且つ安大型プレス等による新たな一体成型
→競争優位性がある製品開発への取組みの必要性
技術にもチャレンジし、電動車部品の製造コストの削減や衝突安全性能
等の安全性向上にも貢献していく。
• 電動化が進む中で、衝突安全性や部品の軽量化が特に求められている。
内発的動機
当社の強みであるホットスタンプ技術や製品開発力を活かして、BEV向
① 企業価値の最大化・持続的な成長
け製品の開発を推進していく。
持続的な成長や企業価値を高めるためには、成長が見込まれる分
• BEV向けの部品供給体制の構築を通じて、自動車部品サプライヤー 野へ参入していく必要がある
としての使命を果たすともに、持続的な成長を実現していく。 →成長が見込まれるBEV向けの取組みを強化していく必要性
• 地域牽引企業として、地元である群馬県を中心に地域経済の活性化や ② BEV専用ラインの構築
地域雇用の拡大を図っていく。 ガソリン車とBEVでは、安全性能や堅牢性等の製品に求められる
要素が異なり、既存ラインでは対応できない
会社全体の売上成長目標（2030年度）
→BEV専用工場及び生産ラインを構築する必要性
• 売上高成長率20.32％（基準年度比）
• 売上高増加額163億円（基準年度比） ③ 次世代を担う人材の採用・育成
会社全体の賃上げ目標 当社強みである最先端技術開発、要素技術開発から量産化の体
制を維持・発展するためには、優秀な人材の採用・育成が必要で
• 29.51%（基準年度比）
ある
• 41.59%（直近年度比）
→次世代を担う人材の採用・育成、雇用の維持の必要性
※BEV：Battery Electric Vehicle（電気自動車）の略称</t>
  </si>
  <si>
    <t>【p.2】
東亜工業株式会社
.補助事業の概要
2
BEVへの急速なシフトに対応するため、総額約123億円もの資金を投じた大規模設備投資を行う。
BEV向け車体骨格部品・サスペンション部品の生産体制を構築し、持続的な成長を実現する
• 飛躍的な需要拡大が見込まれる電動車の部品供給体制を構築するため、BEV向け専用ライ
ンを構築し、企業価値の最大化・持続的な成長を実現していく。
補助事業の 事業費 億円
• BEV部品の安定的な成長が見込まれる分野へ参入することにより、労働生産性向上、年平 57
背景・目的 （補助額） （ 億円）
均5％を超える賃上げを実現していく。 19
＜脇屋工場概要＞
（１）事業内容
BEV向け車体骨格部品・サスペンション部品の生産体制を構築するために、群馬
県太田市に新工場建築及び大型プレス機等の最新設備を導入する。
（２）設備投資内容
①建物費
当社の脇屋工場をBEV生産の拠点として整備する。
②機械装置費
設備投資の BEV向け専用ライン構築につき、生産設備の増強
内容 ホットスタンププレス機、レーザーカット設備、専用パレット、測定器具、金型等
（３）労働生産性の向上
■最新鋭の技術を有したホットスタンプ一体成型設備を設置する。
＜ホットスタンププレス機＞
■最新鋭の設備導入により、剛性の高い素材へのプレス加工や自動化による省人化を
進め、付加価値の高い製品開発、安定した供給体制を構築することで、高い労働生産
性を実現していく。
2027年度 2030年度
項目
（基準年度） （基準年度＋３年後）
労働生産性 1,822
1,728
（単位：万円/人） （年平均上昇率＋1.8％）
目標値 従業員1人あたり給与支給総額 680
（単位：万円/人）
580
（年平均上昇率＋5.5％）
役員１人あたり給与支給総額
-
（単位：万円/人） - （年平均上昇率＋5.0％）
補助事業に係る従業員数
258 742
（単位：人）</t>
  </si>
  <si>
    <t>株式会社富士カーボン製造所
1. 長期成長ビジョン
カーボン素材の優位性を活かし、材料置き換え需要を踏まえた市場開拓、APACを中心とした海外輸出向けの
大量生産を行うことで、2030年に連結売上高154億円(当社単体85億円)を目指す</t>
  </si>
  <si>
    <t>長期成長ビジョン(目指す姿・ビジネスモデル)
他社が模倣困難なカーボン原料高度化能力
カーボン素材開発技術 3つの成長戦略
大手モーターメーカーとの
の収益化による成長戦略
共同開発による
Core1
成長分野への参入
回るを支え、動くをつくる
協働
Core2 Core3
樹脂材および金属材の カーボン原料を焼成まで
開発 輸出
代替機能部品に関する 国内で大量生産し、
製品開発及び市場開拓 海外メーカーへ輸出
重要課題
⚫ カーボン原料混捏・混合作業の安全性・生産性の向上
⚫ カーボンブラシ搭載モーターの使用が拡大する産業分野サプライヤーとの協働
⚫ ブラシ製造工程の自動化促進による余力時間を利用し、開発競争段階にある低トルク領域での高効率
モーター用ブラシ、メカニカルカーボン製品開発時間の捻出
⚫ Made in Japanカーボン素材の輸出を実現する国内生産体制の構築
当社全体の売上成長目標(～2030年)
2024年度 2030年度
売上高成長率 売上高増加額
(単位：億円) 売上目標
当社(単体) 22.32 85.75 384.1％ 63.42
海外子会社 27.10 68.72 253.6% 41.62
売上高(連結) 49.42 154.47 312.5% 105.04
当社全体の賃上げ目標
※含む役員給与
⚫ 5.26％ : 2024年度～2027年度(基準年度)
⚫ 6.05% : 2027年度～2030年度(事業化報告3年目)</t>
  </si>
  <si>
    <t>外発的動機
ブラシレスモーターの増加による更なる市場拡大
• カーボンブラシを使用しないブラシレスモーターにより家電・電動工具市場における
当社製品ニーズは減退。一方で車載用利便系モーターはICE,PHEV,BEVの種
別に関わらず今後大量にモーターを使用することからコスト重視の意向が強く、当
社製品への期待は高まっている。また、駆動系開発モーターのワンストップ受注
ニーズも見られる。
長寿命性を望む海外メーカーとノウハウ秘匿の危機
• 世界各国のモーターメーカーは「長寿命性」に今後の活路を見出している。当社
のカーボン原料は長寿命性を実現可能であるが、海外での混捏・混合を行ったり、
カーボン原料のままで輸出したりすると、当社のノウハウが流出するリスクがある。
「カーボン優位性」を求めた素材切り替えニーズ
• カーボンは耐摩耗性や耐熱性、軽量性を発揮できるため、これまで金属やプラス
チック等の材料で構成されてきた部品から置き換わる需要が高まっている。</t>
  </si>
  <si>
    <t>内発的動機
100年企業に向けての業界牽引
• 当社は1935年に創業した老舗カーボン原料・カーボンブラシメーカーである。当
該製品のメーカーは国内に10社程度しかないニッチ業界である。既存顧客産業
のみに依存すれば市場が減退するが、カーボンの優位性を発揮できる分野は多
分にあり、当社は他社に先駆けて需要を開拓するという自負がある。
大手企業との対等な関係性構築によるパートナーシップ深化の可能性
• 特に、当該製品を素材開発から一貫して担えるのは国内でも5社程度の特殊領
域である。そのため、新規製品立ち上げの際には、大手企業から技術的な助言
を求められる機会が多い。
長寿命性に関する対外的な評価の高さ
• 顧客企業の要求を満たすために、産学官連携・先進企業とのアライアンスを進
める中で、長寿命性のノウハウを開発してきた。この能力は他社では模倣ができず、
競争優位を築いている。</t>
  </si>
  <si>
    <t>体の売上成長目標(～2030年)
2024年度 2030年度
売上高成長率 売上高増加額
円) 売上目標
体) 22.32 85.75 384.1％ 63.42
社 27.10 68.72 253.6% 41.62
49.42 154.47 312.5% 105.04
体の賃上げ目標
※含む役員給与
％ : 2024年度～2027年度(基準年度)
% : 2027年度～2030年度(事業化報告3年目)</t>
  </si>
  <si>
    <t>【p.1／売上成長目標】
体の売上成長目標(～2030年)
2024年度 2030年度
売上高成長率 売上高増加額
円) 売上目標
体) 22.32 85.75 384.1％ 63.42
社 27.10 68.72 253.6% 41.62
49.42 154.47 312.5% 105.04
体の賃上げ目標
※含む役員給与
％ : 2024年度～2027年度(基準年度)
% : 2027年度～2030年度(事業化報告3年目)</t>
  </si>
  <si>
    <t>【p.1】
株式会社富士カーボン製造所
1. 長期成長ビジョン
カーボン素材の優位性を活かし、材料置き換え需要を踏まえた市場開拓、APACを中心とした海外輸出向けの
大量生産を行うことで、2030年に連結売上高154億円(当社単体85億円)を目指す
長期成長ビジョン(目指す姿・ビジネスモデル) 外発的動機
ブラシレスモーターの増加による更なる市場拡大
他社が模倣困難なカーボン原料高度化能力
• カーボンブラシを使用しないブラシレスモーターにより家電・電動工具市場における
当社製品ニーズは減退。一方で車載用利便系モーターはICE,PHEV,BEVの種
カーボン素材開発技術 3つの成長戦略 別に関わらず今後大量にモーターを使用することからコスト重視の意向が強く、当
大手モーターメーカーとの
の収益化による成長戦略 社製品への期待は高まっている。また、駆動系開発モーターのワンストップ受注
共同開発による
Core1 成長分野への参入 ニーズも見られる。
回るを支え、動くをつくる 協働
長寿命性を望む海外メーカーとノウハウ秘匿の危機
• 世界各国のモーターメーカーは「長寿命性」に今後の活路を見出している。当社
樹脂材および金属材の Core2 Core3 カーボン原料を焼成まで のカーボン原料は長寿命性を実現可能であるが、海外での混捏・混合を行ったり、
開発 輸出
代替機能部品に関する 国内で大量生産し、
カーボン原料のままで輸出したりすると、当社のノウハウが流出するリスクがある。
製品開発及び市場開拓 海外メーカーへ輸出
「カーボン優位性」を求めた素材切り替えニーズ
• カーボンは耐摩耗性や耐熱性、軽量性を発揮できるため、これまで金属やプラス
重要課題
チック等の材料で構成されてきた部品から置き換わる需要が高まっている。
⚫ カーボン原料混捏・混合作業の安全性・生産性の向上
⚫ カーボンブラシ搭載モーターの使用が拡大する産業分野サプライヤーとの協働
⚫ ブラシ製造工程の自動化促進による余力時間を利用し、開発競争段階にある低トルク領域での高効率
内発的動機
モーター用ブラシ、メカニカルカーボン製品開発時間の捻出
⚫ Made in Japanカーボン素材の輸出を実現する国内生産体制の構築
100年企業に向けての業界牽引
当社全体の売上成長目標(～2030年)
• 当社は1935年に創業した老舗カーボン原料・カーボンブラシメーカーである。当
該製品のメーカーは国内に10社程度しかないニッチ業界である。既存顧客産業
2024年度 2030年度
売上高成長率 売上高増加額 のみに依存すれば市場が減退するが、カーボンの優位性を発揮できる分野は多
(単位：億円) 売上目標
分にあり、当社は他社に先駆けて需要を開拓するという自負がある。
当社(単体) 22.32 85.75 384.1％ 63.42
大手企業との対等な関係性構築によるパートナーシップ深化の可能性
海外子会社 27.10 68.72 253.6% 41.62 • 特に、当該製品を素材開発から一貫して担えるのは国内でも5社程度の特殊領
域である。そのため、新規製品立ち上げの際には、大手企業から技術的な助言
売上高(連結) 49.42 154.47 312.5% 105.04
を求められる機会が多い。
当社全体の賃上げ目標※含む役員給与 長寿命性に関する対外的な評価の高さ
• 顧客企業の要求を満たすために、産学官連携・先進企業とのアライアンスを進
⚫ 5.26％ : 2024年度～2027年度(基準年度) める中で、長寿命性のノウハウを開発してきた。この能力は他社では模倣ができず、
⚫ 6.05% : 2027年度～2030年度(事業化報告3年目) 競争優位を築いている。</t>
  </si>
  <si>
    <t>【p.2】
株式会社富士カーボン製造所
. 補助事業の概要
2
新工場では、原料配合工程における作業環境の改善と高効率な生産ラインの構築を通じて、
年平均21.6％の労働生産性向上および従業員1人あたり6.2％の賃上げを実現する
① 属人的作業の自動化と高効率設備導入による省人化、及び労働環境改善
補助事業の 事業費 億円
② カーボン原料製造工程のレイアウト見直し等を通じた生産能力向上 52
背景・目的 (補助額) ( 億円)
15
原料配合工程を改善させた福受新工場建設
• 【立地場所】愛知県豊田市福受町中ノ切130 他32筆
設備投資の
内容 • 【敷地面積】32,578.06 m² 【建築面積】8,202.55 m²
• 【3年間の雇用者増加目標】80名 (うち新規雇用80名)
• 【主な設備】自動加工機・AI検査設備、自動搬送装置 等
2027年度 2030年度
項目
(基準年度) (基準年度＋３年後)
労働生産性 1,090
60
6
(単位：万円/人) (年平均上昇率＋21.6％)
従業員1人あたり給与支給総額 598
目標値
500
(単位：万円/人) (年平均上昇率＋6.2％)
役員１人あたり給与支給総額
-
-
(単位：万円/人) (年平均上昇率＋4.5％)
補助事業に係る従業員数
176 256
(単位：人)</t>
  </si>
  <si>
    <t>山崎商事運輸株式会社
1.長期成長ビジョン
当社は50年にわたって運送事業を手がけ、日本の物流網の一端を担ってきた。51年目以降の更なる発展に向
けて、 「今を運び未来を築く」という企業理念のもと、物流による付加価値の向上に取り組んでいる。</t>
  </si>
  <si>
    <t>長期成長ビジョン（目指す姿・ビジネスモデル）
• 企業理念「今を運び未来を築く」
日々の業務の中で継続的改善を行うことで、物流における価値創造を
通じた地域社会への貢献、ひいては日本経済の発展への寄与を目指す
• 上記の達成に向けた3つの柱
① サプライチェーンの最適化
2030年までに全国の主要エリアに拠点を設置し、輸送能力を確保す
◼
ることで物流の2024年問題の解決に寄与
3PL事業の推進により効率的な物流網を構築し、運送の元請へ進出
◼
するとともに多様な顧客ニーズへ対応
② 脱炭素社会への貢献
サプライチェーンの効率化を通じて物流におけるムダを削減し、CO2の
◼
排出量を削減
電気自動車等の次世代トラックの導入促進
◼
③ 高齢化社会・人口減少への対応
定年を迎えたトラックドライバーに対する就労機会の創出
◼
継続的な設備投資による省力化の実現・労働生産性の向上
◼
会社全体の売上成長目標（～31年5月期）
• 売上高成長率25.0％
• 売上高増加額36.6億円
会社全体の賃上げ目標
• 3.20%（直近事業年度～基準年度）
• 5.97%（基準年度～事業化報告3年目）
• 従業員のみでは7.0%</t>
  </si>
  <si>
    <t>外発的動機
• 外部の機会
国土交通省を筆頭とした物流DX・物流標準化の推進
◼
自家用トラックドライバーの労働時間規制に伴う、大手メーカ－に
◼
おける物流業務のアウトソーシング需要の顕在化
サプライチェーンの効率化を背景とした3PL市場の拡大
◼
業界の多重下請構造の是正に向けて取引が二次下請までに制
◼
限され、荷主との直接取引が拡大する可能性
• 外部の脅威
物流の2024年問題に伴う輸送能力不足
◼
高齢化社会の進展・労働環境に起因するドライバー不足
◼
ウクライナ情勢に伴う燃料費の高騰
◼
米国関税政策による輸出減および国内輸送量の減少
◼
カーボンニュートラルに向けた取組の重要度増加
◼</t>
  </si>
  <si>
    <t>内発的動機
• 当社の経営理念「すべての夢をYAMAZAKIで」は、当社従業員
一人ひとりが働く喜びを持ち、夢に挑戦し続けることができる風通し
の良い経営を実践するだけでなく、協力会社の皆さまやお客様を含
む全ての関係者の繁栄に寄与することで、地域社会から信頼される
企業になることを目指しているものである。
• 当社は今年で創業50年を迎え、さらなる発展のために実運送、利
用運送にとどまらない総合的な物流ソリューションの提供や、賃上
げ・労働環境改善による従業員への還元を通じて持続的な成長を
実現し、100年以上存続する企業になることを目標としている。</t>
  </si>
  <si>
    <t>の売上成長目標（～31年5月期）
成長率25.0％
増加額36.6億円
の賃上げ目標
（直近事業年度～基準年度）
（基準年度～事業化報告3年目）
従業員のみでは7.0%</t>
  </si>
  <si>
    <t>【p.1／売上成長目標】
の売上成長目標（～31年5月期）
成長率25.0％
増加額36.6億円
の賃上げ目標
（直近事業年度～基準年度）
（基準年度～事業化報告3年目）
従業員のみでは7.0%</t>
  </si>
  <si>
    <t>【p.1】
山崎商事運輸株式会社
1.長期成長ビジョン
当社は50年にわたって運送事業を手がけ、日本の物流網の一端を担ってきた。51年目以降の更なる発展に向
けて、 「今を運び未来を築く」という企業理念のもと、物流による付加価値の向上に取り組んでいる。
長期成長ビジョン（目指す姿・ビジネスモデル） 外発的動機
• 企業理念「今を運び未来を築く」 • 外部の機会
国土交通省を筆頭とした物流DX・物流標準化の推進
日々の業務の中で継続的改善を行うことで、物流における価値創造を ◼
通じた地域社会への貢献、ひいては日本経済の発展への寄与を目指す ◼ 自家用トラックドライバーの労働時間規制に伴う、大手メーカ－に
おける物流業務のアウトソーシング需要の顕在化
• 上記の達成に向けた3つの柱 ◼ サプライチェーンの効率化を背景とした3PL市場の拡大
① サプライチェーンの最適化 業界の多重下請構造の是正に向けて取引が二次下請までに制
◼
◼ 2030年までに全国の主要エリアに拠点を設置し、輸送能力を確保す 限され、荷主との直接取引が拡大する可能性
ることで物流の2024年問題の解決に寄与
◼ 3PL事業の推進により効率的な物流網を構築し、運送の元請へ進出 • 外部の脅威
するとともに多様な顧客ニーズへ対応
物流の2024年問題に伴う輸送能力不足
◼
② 脱炭素社会への貢献
高齢化社会の進展・労働環境に起因するドライバー不足
◼ サプライチェーンの効率化を通じて物流におけるムダを削減し、CO2の ◼
ウクライナ情勢に伴う燃料費の高騰
排出量を削減 ◼
米国関税政策による輸出減および国内輸送量の減少
◼ 電気自動車等の次世代トラックの導入促進 ◼
カーボンニュートラルに向けた取組の重要度増加
③ 高齢化社会・人口減少への対応 ◼
◼ 定年を迎えたトラックドライバーに対する就労機会の創出
◼
継続的な設備投資による省力化の実現・労働生産性の向上
内発的動機
• 当社の経営理念「すべての夢をYAMAZAKIで」は、当社従業員
会社全体の売上成長目標（～31年5月期） 一人ひとりが働く喜びを持ち、夢に挑戦し続けることができる風通し
• 売上高成長率25.0％ の良い経営を実践するだけでなく、協力会社の皆さまやお客様を含
• 売上高増加額36.6億円 む全ての関係者の繁栄に寄与することで、地域社会から信頼される
会社全体の賃上げ目標 企業になることを目指しているものである。
• 3.20%（直近事業年度～基準年度） • 当社は今年で創業50年を迎え、さらなる発展のために実運送、利
用運送にとどまらない総合的な物流ソリューションの提供や、賃上
• 5.97%（基準年度～事業化報告3年目）
げ・労働環境改善による従業員への還元を通じて持続的な成長を
• 従業員のみでは7.0%
実現し、100年以上存続する企業になることを目標としている。</t>
  </si>
  <si>
    <t>【p.2】
山崎商事運輸株式会社
.補助事業の概要
2
本事業は大規模物流センターを建設し、高付加価値の3PL（サードパーティーロジスティクス）事業を展開する
ことによって、当社課題の解決および労働生産性の向上、物流の2024問題への対応を目指す取組である。
補助事業の • 大規模物流センターを起点に総合的な物流サービスを提供し、多様化する顧客ニーズに応える 事業費 2 億円
6
背景・目的 • 物流の2024年問題に伴う輸送力不足に対応し、サプライチェーンの効率化を実現する （補助額） （8.5億円）
• 投資内容
当社の本社隣接地（約2,800坪）に垂直搬送機を備えた2階建ての物流
センターを新設し、移動ラック導入によるスペース効率向上、フォークリフト・
AMRによる効率化・省力化を推進する。2階部分は10～20℃の低温環境
設備を備え、食品やフィルムなど温度管理が必要な貨物の取扱を可能とし、
作業環境改善・人材確保の効果も見込む。また自家消費用の太陽光発電
設備を設置し、物価高騰対策・賃上げの原資に活用する。
• 補助事業による課題の解決、労働生産性向上
設備投資の ◼ 立地戦略 物流センター外観イメージ
建設予定地は清州東・西ICに近接しており、2021年の名古屋西・飛鳥
内容
JCTの開通以来、東日本と西日本を結ぶ中継地点として拠点性が向上し
ている。この立地を活用することで輸送能力の増強が期待できる。
◼ 物流センター内の業務の効率化
移動ラックによるスペース効率向上、省力化設備・低温環境の維持（2階
部分）による労働環境の改善・労働生産性の向上を図る。
◼ 部門間の連携強化
物流センターを中心に実運送事業、貨物運送取扱事業を連携させ、3PL
事業を実現し、顧客の物流機能をワンストップで請け負う。これにより当社
物流センター配置図
サービスの付加価値を向上させ、売上単価・利益率の向上を達成する。
2028年5月期 2031年5月期
項目
（基準年度） （基準年度＋３年後）
労働生産性 1,546
871
（単位：万円/人） （年平均上昇率＋21.1％）
目標値 従業員1人あたり給与支給総額 560
457
（単位：万円/人） （年平均上昇率＋7.0％）
役員１人あたり給与支給総額
-
（単位：万円/人） - （年平均上昇率＋5.0％）
補助事業に係る従業員数
92 110
（単位：人）</t>
  </si>
  <si>
    <t>株式会社フォース
1.長期成長ビジョン
世界的な砂不足の状況と私の考える持続可能な社会の発展への思いから、３Rの徹底と再生砂生産の両立に
よる売上拡大を目指すことを長期成長ビジョンとして掲げ、2028年度に売上高成長率81.88％を目指します。</t>
  </si>
  <si>
    <t>長期成長ビジョン（目指す姿・ビジネスモデル）
• 当社は、右に示すような外発的及び内発的動機から、長期成長ビ
ジョンとして、構造物の解体、建築工事、産業廃棄物収集運搬の
諸活動よる3R（リデュース・リサイクル・リユース）の徹底といった従
来の取組に加え、再生砂の生産を通じて持続可能な開発目標
（SDGs）の達成に貢献することを掲げています。
• また、ゼロエミッションへの挑戦として、あらゆる廃棄物を原材料として
有効活用し、ゴミを根本から無くす活動を私たちは関西最大級の
新型リサイクルプラントをもって挑戦し続けています。再生砂の原料
が豊富に入手できることを強みとし、この取組を加速します。
• 再生した砂はセメント原料として社会のインフラ整備に貢献し、他の
再生した廃棄物は製紙原料、火力発電用燃料などとなり常に皆
様の周りをめぐると共に、土壌汚染の防止にも一躍を担います。
• さらに、上記ビジョン達成のために、イノベーションの創出も実現して
いくことも長期ビジョンの一つとして掲げています。環境負荷軽減に
対して新しいアイデアが出てきたときには、すぐにその試作や実験に
取り掛かるような組織風土を実現していきます。
目されています。
左の長期成長ビジョンを
らざるを得ず、収益を圧迫するという重大な
左の長期ビジョンを作成するにいたりました。</t>
  </si>
  <si>
    <t>外発的動機
• 近年、産油国や途上国でのインフラ新設、日本でもインフラの保守
や再開発があり、世界的なコンクリート需要が高まっています。
• 細かい砂漠の砂はコンクリートに適さず、海水を含む海砂は塩抜き
の工程が複雑なため、川砂がコンクリートに適しています。
• 一方、川床低下を招く川砂の採取は、日本では規制されています。
• コンクリート需要の高まりで各国が砂の輸入を求めて世界的な争奪
戦に発展し、深刻な「砂不足」が社会問題になっています。
• こうした事情と循環型社会の実現に向けた取組推進の観点から、
建設現場の廃材から生成する再生砂が注目されています。
• 上のような社会情勢や顧客のニーズから、左の長期成長ビジョンを
作成するにいたりました。
事業活動を展開していきたいと考え、当社を設立しました。
上の外発的動機も併せて、産業廃棄物処理業は、近年ますます
の重要性を増していると私は考えています。
こで弊社では循環型社会に対応すべく、産業廃棄物中間処理
らリサイクル商品の販売まで一貫した３Ｒ活動を推進しています。
ころが現状の設備では再生砂の洗浄工程の処理能力が足りず、
本来再生砂として販売、循環すべき資源の一部を高い費用を支
払って最終処分場へ送らざるを得ず、収益を圧迫するという重大な</t>
  </si>
  <si>
    <t>及び内発的動機から、長期成長ビ
築工事、産業廃棄物収集運搬の
クル・リユース）の徹底といった従
を通じて持続可能な開発目標
を掲げています。
て、あらゆる廃棄物を原材料として
す活動を私たちは関西最大級の
戦し続けています。再生砂の原料
し、この取組を加速します。
社会のインフラ整備に貢献し、他の
力発電用燃料などとなり常に皆
染の防止にも一躍を担います。
、イノベーションの創出も実現して
内発的動機
• 私は、地球環境の保全と持続可能な社会の発展のために、責任あ
る事業活動を展開していきたいと考え、当社を設立しました。
• 上の外発的動機も併せて、産業廃棄物処理業は、近年ますます
その重要性を増していると私は考えています。
• そこで弊社では循環型社会に対応すべく、産業廃棄物中間処理
からリサイクル商品の販売まで一貫した３Ｒ活動を推進しています。
• ところが現状の設備では再生砂の洗浄工程の処理能力が足りず、
本来再生砂として販売、循環すべき資源の一部を高い費用を支
払って最終処分場へ送らざるを得ず、収益を圧迫するという重大な
問題が発生しており、左の長期ビジョンを作成するにいたりました。</t>
  </si>
  <si>
    <t>会社全体の売上成長目標（2029年6月期）
• 売上高成長率81.88％
• 売上高増加額52.67億円（基準年度からの増加額）
会社全体の賃上げ目標
• 4.01%（直近事業年度～基準年度）
• 8.49%（基準年度～事業化報告3年目）</t>
  </si>
  <si>
    <t>【p.1／売上成長目標】
会社全体の売上成長目標（2029年6月期）
• 売上高成長率81.88％
• 売上高増加額52.67億円（基準年度からの増加額）
会社全体の賃上げ目標
• 4.01%（直近事業年度～基準年度）
• 8.49%（基準年度～事業化報告3年目）</t>
  </si>
  <si>
    <t>【p.1】
株式会社フォース
1.長期成長ビジョン
世界的な砂不足の状況と私の考える持続可能な社会の発展への思いから、３Rの徹底と再生砂生産の両立に
よる売上拡大を目指すことを長期成長ビジョンとして掲げ、2028年度に売上高成長率81.88％を目指します。
長期成長ビジョン（目指す姿・ビジネスモデル） 外発的動機
• 当社は、右に示すような外発的及び内発的動機から、長期成長ビ • 近年、産油国や途上国でのインフラ新設、日本でもインフラの保守
や再開発があり、世界的なコンクリート需要が高まっています。
ジョンとして、構造物の解体、建築工事、産業廃棄物収集運搬の
• 細かい砂漠の砂はコンクリートに適さず、海水を含む海砂は塩抜き
諸活動よる3R（リデュース・リサイクル・リユース）の徹底といった従
の工程が複雑なため、川砂がコンクリートに適しています。
来の取組に加え、再生砂の生産を通じて持続可能な開発目標
• 一方、川床低下を招く川砂の採取は、日本では規制されています。
（SDGs）の達成に貢献することを掲げています。
• また、ゼロエミッションへの挑戦として、あらゆる廃棄物を原材料として • コンクリート需要の高まりで各国が砂の輸入を求めて世界的な争奪
戦に発展し、深刻な「砂不足」が社会問題になっています。
有効活用し、ゴミを根本から無くす活動を私たちは関西最大級の
• こうした事情と循環型社会の実現に向けた取組推進の観点から、
新型リサイクルプラントをもって挑戦し続けています。再生砂の原料
建設現場の廃材から生成する再生砂が注目されています。
が豊富に入手できることを強みとし、この取組を加速します。
• 再生した砂はセメント原料として社会のインフラ整備に貢献し、他の • 上のような社会情勢や顧客のニーズから、左の長期成長ビジョンを
作成するにいたりました。
再生した廃棄物は製紙原料、火力発電用燃料などとなり常に皆
様の周りをめぐると共に、土壌汚染の防止にも一躍を担います。
• さらに、上記ビジョン達成のために、イノベーションの創出も実現して
内発的動機
いくことも長期ビジョンの一つとして掲げています。環境負荷軽減に
対して新しいアイデアが出てきたときには、すぐにその試作や実験に • 私は、地球環境の保全と持続可能な社会の発展のために、責任あ
取り掛かるような組織風土を実現していきます。 る事業活動を展開していきたいと考え、当社を設立しました。
• 上の外発的動機も併せて、産業廃棄物処理業は、近年ますます
会社全体の売上成長目標（2029年6月期） その重要性を増していると私は考えています。
• 売上高成長率81.88％ • そこで弊社では循環型社会に対応すべく、産業廃棄物中間処理
• 売上高増加額52.67億円（基準年度からの増加額） からリサイクル商品の販売まで一貫した３Ｒ活動を推進しています。
会社全体の賃上げ目標 • ところが現状の設備では再生砂の洗浄工程の処理能力が足りず、
• 4.01%（直近事業年度～基準年度） 本来再生砂として販売、循環すべき資源の一部を高い費用を支
• 8.49%（基準年度～事業化報告3年目） 払って最終処分場へ送らざるを得ず、収益を圧迫するという重大な
問題が発生しており、左の長期ビジョンを作成するにいたりました。</t>
  </si>
  <si>
    <t>【p.2】
株式会社フォース
2.補助事業の概要①
本事業において再生砂の生成販売に向けて新施設を設置し設備を導入します。事業費は、建設資材中間処理施設16.25億
円、産廃処理施設建築費11.43億円、建機類設備費2.32億円です。目標値は、労働生産性3,206万円/人に上昇。
補助事業の • 背景として、自然界の砂の収集が厳しくなってきており、再生砂の需要が高まっています。しかし、 事業費 36億円
背景・目的 当社では再生砂を生成する施設がないため、施設を新たに設置し需要に応えることが目的です。（補助額） （7.3億円）
• 大きな設備投資は以下の3点です。
①建設廃材中間処理施設（16.25億円）
（設備機器一式、付帯工事・材料費、工事費、設計費）
②産業廃棄物処理施設新築工事（11.43億円）
（圧搾式フィルタープレス棟、汚泥ピット棟、作業場棟、原料ヤード、
排出ヤード、給油所棟、事務所、倉庫、分離層工事、水槽工事）
設備投資の ③建機類設備（2.32億円）
内容 （油圧ショベル3台、ホイルローダー2台、土質改良機1台）
• 本設備投資よって、スーパーゼネコンが求める再生砂を生成し販売する
ことが可能となります。また、最新のノウハウの詰まった施設と設備を導入
することで、少人数でも工場を稼働させることが可能となり、労働生産性
を向上させることができます。
2026年6月決算期 2029年6月決算期
項目
（基準年度） （基準年度＋３年後）
労働生産性 3,206万円/人
658万円/人
（単位：万円/人） （年平均上昇率＋69.5％）
従業員1人あたり給与支給総額 607万円/人
目標値 480万円/人
（単位：万円/人） （年平均上昇率＋8.1％）
役員１人あたり給与支給総額 -
-
（単位：万円/人） （年平均上昇率＋14.5％）
従業員数
0.4人 21人
（単位：人）
【p.3】
株式会社フォース
2.補助事業の概要②
再生砂の生成販売に向けて新施設を設置し設備を導入します。具体的な設備は以下の通りです。
型式 名称 単価（百万円） 数量 小計（百万円） メーカー 備考
SR2000G 自走式土質改良機 95 1 95 日立建機 粘土質の土に固形剤などを混ぜて改良
ZW180-7 ホイールローダー 31 2 62 日立建機 再生砂原料の整備、積み込み・運搬
ZX200-7 油圧ショベル 25 3 75 日立建機 再生砂原料の整備、積み込み・運搬
合計 232
名称 単価（百万円） 数量 小計（千円） メーカー 備考
分離槽、基礎工事など 1,008 1 1,008 分離槽、水槽、外構、給油タンク基礎工事
建物 共通仮設費 20 1 20
現場管理費 63 1 63
諸経費 52 1 52
合計 1,143
名称 単価（百万円） 数量 小計（千円） メーカー 備考
設備機器（一式） 1,110 1 1,110 株式会社三央 処理設備本体一式
処理設備 付帯設備・材料等（一式） 299 1 299 架台、設備付属品など
工事費（一式） 180 1 180 設備据付工事費用
設計費及び諸経費（一式） 36 1 36 個別使用設計費、事務経費など
合計 1,625
合計投資金額 3,000 百万円</t>
  </si>
  <si>
    <t>中村土建株式会社
1.長期成長ビジョン
当社は、最新の技術を駆使することで、革新的な省人化と生産効率の向上、脱炭素化を果たし、
中小企業のパイオニアとして地域建設業のDX推進と地元経済の発展を実現し、地方創生をリードします。</t>
  </si>
  <si>
    <t>長期成長ビジョン（目指す姿・ビジネスモデル）
【5年後ビジョン】（本補助金で実施する範囲）
「中小ゼネコンとして県内No.1の売上を盤石なものとするとともに、地
方創生に関する中小ゼネコンのパイオニアとなる！」
• 新社屋(ND_LABO)およびICT/DX事業拠点(DX_LABO)を創
設、これらを両軸としたイノベーションを展開する。
• 設計・施工管理に最新のデジタル技術を導入。革新的な生産効率向
上、脱炭素化を果たす。
• 生産性向上と現場監督を担える人材の育成・増員の相乗効果により、
売上を約２倍に拡大する。
• 当社の革新的取り組みを、本社ショールームを通して地域社会に公開
し、県内7000超の中小建設業のDX推進を支援、国による i-
Construction 2.0 ビジョン実現に貢献する。
• 地域企業活用促進によって地域雇用拡大、地域経済成長に貢献す
る。当社協力会（専門工事業者他、建設に関わる全業種）とともに
成長する。
【10年後ビジョン】（将来的に実施する範囲）
「大手・中堅を含めた県内No.1の売上を有するゼネコンとなる！」
• さらなる現場監督の増員を図り、業務量を拡大。
• 主要商圏を栃木県中心から北関東全域（埼玉、群馬、茨城）に拡
大し、国内有数の中堅ゼネコンを目指す。</t>
  </si>
  <si>
    <t>外発的動機
• 地方創生2.0の政策の下、地域資源を最大限に活用した地方経済の
自立的な成長が求められている。
• リーマンショック以降、国内建設投資市場は順調に回復。現在はリーマ
ン以前のレベルを超え、さらに堅調に伸長している。
• 大手・中堅ゼネコン（大・中堅企業）の地方進出が進むことで、地元
中小ゼネコンとの競争が激化
• 2024年に施行された働き方改革関連法により、建設業の時間外労働
管理が厳格化されている。
• 国内の生産年齢人口は年々減少し、10年後には現在の約9割に落ち
込む予想。建設業界全体が慢性的な人手不足を抱える
• 地元建設業界において、若者や女性の雇用を促進するとともに、地域
雇用を守り地域の人口減少問題を解決することが求めれている。
• 遠隔監視・操作、シミュレーション、VR/AR等デジタル技術の進歩。
• 国は i-Construction 2.0 を推進中。建設現場の省人化 3割、生
産性1.5倍（2023年比）が求められている。一方、中小建設業の
ICT化は進んでいないのが現状。
• 日本政府が掲げるグリーン成長戦略の下、2050年カーボンニュートラル
に向けた脱炭素化推進の社会要求がある。</t>
  </si>
  <si>
    <t>内発的動機
• 地域・日本の経済成長、持続可能な社会の実現へ貢献したい。
• 当社の知識・技術・経験を活用し、新たな価値を創造したい。
• 大手・中堅企業との競争に負けない企業力を確保したい
• 新規顧客開拓が進んでいない
• 今後社員の高齢化が進み、労働力確保が困難となる恐れあり。
• 高い技術を有し現場監督を担える人材の数が限られていることがボト
ルネックとなり、当社の成長が阻害されている。
• 現在の社屋は手狭で、人員を大幅に増員する余地なし。
• 従業員の待遇を向上させ、将来に渡って雇用を維持したい。</t>
  </si>
  <si>
    <t>会社全体の売上成長目標（2024年～2030年）
• 売上高成長率214％
• 売上高増加額129億円
会社全体の賃上げ目標
• 年率平均+1.4%（2024年度～2027年度）
• 年率平均+5.1%（2027年度～2030年度）</t>
  </si>
  <si>
    <t>【p.1／売上成長目標】
会社全体の売上成長目標（2024年～2030年）
• 売上高成長率214％
• 売上高増加額129億円
会社全体の賃上げ目標
• 年率平均+1.4%（2024年度～2027年度）
• 年率平均+5.1%（2027年度～2030年度）</t>
  </si>
  <si>
    <t>【p.1】
中村土建株式会社
1.長期成長ビジョン
当社は、最新の技術を駆使することで、革新的な省人化と生産効率の向上、脱炭素化を果たし、
中小企業のパイオニアとして地域建設業のDX推進と地元経済の発展を実現し、地方創生をリードします。
長期成長ビジョン（目指す姿・ビジネスモデル） 外発的動機
• 地方創生2.0の政策の下、地域資源を最大限に活用した地方経済の
【5年後ビジョン】（本補助金で実施する範囲）
自立的な成長が求められている。
「中小ゼネコンとして県内No.1の売上を盤石なものとするとともに、地
• リーマンショック以降、国内建設投資市場は順調に回復。現在はリーマ
方創生に関する中小ゼネコンのパイオニアとなる！」
ン以前のレベルを超え、さらに堅調に伸長している。
• 新社屋(ND_LABO)およびICT/DX事業拠点(DX_LABO)を創
• 大手・中堅ゼネコン（大・中堅企業）の地方進出が進むことで、地元
設、これらを両軸としたイノベーションを展開する。
中小ゼネコンとの競争が激化
• 設計・施工管理に最新のデジタル技術を導入。革新的な生産効率向
• 2024年に施行された働き方改革関連法により、建設業の時間外労働
上、脱炭素化を果たす。
管理が厳格化されている。
• 生産性向上と現場監督を担える人材の育成・増員の相乗効果により、
• 国内の生産年齢人口は年々減少し、10年後には現在の約9割に落ち
売上を約２倍に拡大する。
込む予想。建設業界全体が慢性的な人手不足を抱える
• 当社の革新的取り組みを、本社ショールームを通して地域社会に公開
• 地元建設業界において、若者や女性の雇用を促進するとともに、地域
し、県内7000超の中小建設業のDX推進を支援、国による i-
雇用を守り地域の人口減少問題を解決することが求めれている。
Construction 2.0 ビジョン実現に貢献する。
• 遠隔監視・操作、シミュレーション、VR/AR等デジタル技術の進歩。
• 地域企業活用促進によって地域雇用拡大、地域経済成長に貢献す
• 国は i-Construction 2.0 を推進中。建設現場の省人化 3割、生
る。当社協力会（専門工事業者他、建設に関わる全業種）とともに
産性1.5倍（2023年比）が求められている。一方、中小建設業の
成長する。
ICT化は進んでいないのが現状。
• 日本政府が掲げるグリーン成長戦略の下、2050年カーボンニュートラル
【10年後ビジョン】（将来的に実施する範囲）
に向けた脱炭素化推進の社会要求がある。
「大手・中堅を含めた県内No.1の売上を有するゼネコンとなる！」
• さらなる現場監督の増員を図り、業務量を拡大。 内発的動機
• 主要商圏を栃木県中心から北関東全域（埼玉、群馬、茨城）に拡
• 地域・日本の経済成長、持続可能な社会の実現へ貢献したい。
大し、国内有数の中堅ゼネコンを目指す。
• 当社の知識・技術・経験を活用し、新たな価値を創造したい。
• 大手・中堅企業との競争に負けない企業力を確保したい
会社全体の売上成長目標（2024年～2030年）
• 新規顧客開拓が進んでいない
• 売上高成長率214％
• 今後社員の高齢化が進み、労働力確保が困難となる恐れあり。
• 売上高増加額129億円
• 高い技術を有し現場監督を担える人材の数が限られていることがボト
会社全体の賃上げ目標
ルネックとなり、当社の成長が阻害されている。
• 年率平均+1.4%（2024年度～2027年度）
• 現在の社屋は手狭で、人員を大幅に増員する余地なし。
• 年率平均+5.1%（2027年度～2030年度）
• 従業員の待遇を向上させ、将来に渡って雇用を維持したい。</t>
  </si>
  <si>
    <t>【p.2】
中村土建株式会社
2.補助事業の概要
本補助事業は当社が今後飛躍的な成長を遂げるための基盤となる事業である。先進的社屋を新設するとともに、
最先端のデジタル設備を導入し、年平均約35%の大幅な労働生産性向上と年5.6%の賃金アップを実現する。
• 当社が地域創生をリードし、将来に渡り継続的に成長するには、業務効率化、技術者・監督者
補助事業の の早期育成・増員、地域との関係性構築、顧客開拓、優秀な人材の獲得が主要な課題とな 事業費 20億円
背景・目的 る。これらを実現するためには、徹底したICT/DX導入（i-Construction 2.0の追求）や、 （補助額） （4.7億円）
地域への情報発信など、大胆な施策の実行＝イノベーションが必要である。
【投資内容】 投資内訳 ND_LABO
• 栃木県宇都宮市にある本社建屋を撤去し、新たに新社屋 建物 16.5 億円
(ND_LABO)を建設。
設備 1.7 億円
• 上記建設作業中、本社仮事務所として近隣の空きビルを購入。
ND_LABO完工後に本社機能をND_LABOに移し、仮事務所として ｿﾌﾄｳｪｱ 0.5 億円
いた空きビルを改修してICT/DX事業拠点(DX_LABO)とする。 外注 0.3 億円
• 上記２つの施設にはi-Construction 2.0、働き方改革を推進する
設備投資の 合計 19.0 億円
ためのさまざまな装置、システムを導入する。
内容 DX_LABO
• 総投資額: 19億円 (建物16.5億、設備1.7億、ソフトウェア0.5億、外注0.3億)
• 基準年+3年後までの従業員増員計画数: 47名（対2024年度）
【生産効率化ポイント】
• ICT/DXの導入により業務フローのすべての段階で作業効率改善・省人化を図る
• 主業務だけでなく、バックオフィス業務の効率化も図る
• 当社取組を公開し、顧客開拓・地域との関係性構築を図り、成長の基盤とする
2027年度 2030年度
項目
（基準年度） （基準年度＋３年後）
労働生産性 3,099
1,265
（単位：万円/人） （年平均上昇率＋34.8％）
目標値 従業員1人あたり給与支給総額 727
617
（単位：万円/人） （年平均上昇率＋5.6％）
役員１人あたり給与支給総額 -
-
（単位：万円/人） （年平均上昇率＋5.0％）
補助事業に係る従業員数
86 120
（単位：人）</t>
  </si>
  <si>
    <t>ホーコス株式会社
1.⻑期成⻑ビジョン
「地球益」を考慮した「工作機械」「建築設備機器」「環境改善機器/産業機械」を製造するメーカー
技術⼒を基に半導体、医療、航空宇宙分野にも進出し、持続可能な未来を⽬指して国内外で事業を展開
グローバルな視点で成⻑を追求し、地域社会や地球全体に対する責任を果たす</t>
  </si>
  <si>
    <t>外発的動機
2030年問題(少⼦⾼齢化・労働⼒不⾜)への対応
• 2030年には日本全体の労働⼒不⾜が深刻化し、様々な業種で深刻
な影響を受けると⾒込まれている
• 製造業においても⼈⼿不⾜によるリードタイムの⻑期化や、安定した
生産能⼒を確保することが課題となっている
• これらの問題を解決するためには、サプライチェーン全体での取り組みが
必要であると考える
事業機会を逃さない投資の必要性
• 昨今では、エネルギー価格や資源価格が上昇するなか、安価で加工性
の得られる鉄のニーズが更に高まりつつある
• 鉄製品専用工場を新設することで、サプライチェーン全体での付加価値
向上に取り組み、取引先との共存共栄の構築を⽬指す</t>
  </si>
  <si>
    <t>内発的動機
環境への配慮に向けた取組
• 約55年前、社会課題であった公害問題解決の⼀助を担うべく、集塵
装置製造に参入。以来環境に配慮した製品開発に強みがある
• 引き続き環境に配慮した製品を開発・製造し、当社の製品を使用いた
だくことで、日本全体のカーボンニュートラルに貢献する
海外へ事業拡大
• 当社売上高の約60%を工作機械が占めている
• 工作機械の需要は景気の変動に敏感であり、経済状況に応じて大きく
変動することから、海外への事業拡大を通じて地域分散を図り、経営の
安定化を⽬指す</t>
  </si>
  <si>
    <t>⽬標
会社全体の売上成⻑目標（2023〜2029年度）
売上高成⻑率 169％ / 売上高増加額 167億円
会社全体の賃上げ目標（2023〜2029年度）
• 1.95%（直近事業年度〜基準年度）
• 5.42%（基準年度〜事業化報告3年⽬）</t>
  </si>
  <si>
    <t>【p.1／本補助事業】
本補助事業
①新工場建設 ②従来の生産方法を抜本的に⾒直す
生産能⼒の拡大・労働生産性の向上により、持続的な賃上げを実現
サプライチェーン全体での付加価値向上に取り組む
【p.1／売上成長目標】
⽬標
会社全体の売上成⻑目標（2023〜2029年度）
売上高成⻑率 169％ / 売上高増加額 167億円
会社全体の賃上げ目標（2023〜2029年度）
• 1.95%（直近事業年度〜基準年度）
• 5.42%（基準年度〜事業化報告3年⽬）</t>
  </si>
  <si>
    <t>【p.1】
ホーコス株式会社
1.⻑期成⻑ビジョン
「地球益」を考慮した「工作機械」「建築設備機器」「環境改善機器/産業機械」を製造するメーカー
技術⼒を基に半導体、医療、航空宇宙分野にも進出し、持続可能な未来を⽬指して国内外で事業を展開
グローバルな視点で成⻑を追求し、地域社会や地球全体に対する責任を果たす
⻑期成⻑ビジョン（目指す姿・ビジネスモデル）
外発的動機
「地球益」を第一に考えたモノづくり 2030年問題(少⼦⾼齢化・労働⼒不⾜)への対応
 環境負荷低減や有害なものを出さない、地球上の生物にとって
• 2030年には日本全体の労働⼒不⾜が深刻化し、様々な業種で深刻
やさしい製品づくりを実践することで脱炭素社会へ貢献する企業
な影響を受けると⾒込まれている
であり続ける
• 製造業においても⼈⼿不⾜によるリードタイムの⻑期化や、安定した
生産能⼒を確保することが課題となっている
海外への展開
• これらの問題を解決するためには、サプライチェーン全体での取り組みが
 2025年3月 インドに現地法⼈「ホーコス・インド会社」を設⽴
必要であると考える
 ⾃動⾞工場向け機械のアフターサービスを中⼼とし、タイの⼦会社
とともに、アジア地域での更なる販売強化を図り、迅速かつ充実
事業機会を逃さない投資の必要性
したサービスの提供を⾏う
• 昨今では、エネルギー価格や資源価格が上昇するなか、安価で加工性
生産の効率化と持続的な賃上げ の得られる鉄のニーズが更に高まりつつある
 地域を牽引する製造業者として⾃社だけでなくサプライチェーン • 鉄製品専用工場を新設することで、サプライチェーン全体での付加価値
全体での付加価値向上を⽬指す 向上に取り組み、取引先との共存共栄の構築を⽬指す
 結果として、賃上げにとどまらず、福山市に優秀な⼈材が集結する
ことで、地域全体に波及する効果が⼀層増幅される 内発的動機
環境への配慮に向けた取組
本補助事業
• 約55年前、社会課題であった公害問題解決の⼀助を担うべく、集塵
①新工場建設 ②従来の生産方法を抜本的に⾒直す
装置製造に参入。以来環境に配慮した製品開発に強みがある
生産能⼒の拡大・労働生産性の向上により、持続的な賃上げを実現
• 引き続き環境に配慮した製品を開発・製造し、当社の製品を使用いた
サプライチェーン全体での付加価値向上に取り組む
だくことで、日本全体のカーボンニュートラルに貢献する
⽬標
会社全体の売上成⻑目標（2023〜2029年度） 海外へ事業拡大
売上高成⻑率 169％ / 売上高増加額 167億円 • 当社売上高の約60%を工作機械が占めている
• 工作機械の需要は景気の変動に敏感であり、経済状況に応じて大きく
会社全体の賃上げ目標（2023〜2029年度）
変動することから、海外への事業拡大を通じて地域分散を図り、経営の
• 1.95%（直近事業年度〜基準年度）
安定化を⽬指す
• 5.42%（基準年度〜事業化報告3年⽬）</t>
  </si>
  <si>
    <t>【p.2】
ホーコス株式会社
2.補助事業の概要
ホーコスは「GO GREEN」のスローガンのもと、「工作機械部門」「建築設備機器部門」「環境改善機器/産業機械部門」3部門の
強みを活かし、新工場を建設。⾃動化を含め従来の生産方法を抜本的に⾒直し、「地球益」に貢献する「モノづくり」を⽬指す
(背景) 【外部環境】 サプライチェーンにおける⼈⼿不⾜と鉄製品に対する顧客ニーズへの対応
事業費
【内部環境】 鉄製品専用の⾃社工場を持たず労働集約型の生産体制であり、リードタイムが⻑期化
（補助額）
補助事業の
背景・目的 (⽬的) ・「建築設備機器部門」をメインとする３部門の鉄製品専用工場を新設し、生産能⼒を拡大させる
・⼈⼿不⾜を解消するため⾃動化設備を導入し、サプライチェーンの効率化を実現する
30億円
・⾃社にノウハウを蓄積することで意匠性も向上させ、⾃社製品の付加価値を更に高めていく （7.1億円）
【設備投資内容】
・広島県福山市の「福山北産業団地」に鉄製品専用工場を新設
主な機械装置 取組内容
・生産能⼒の拡大を⽬指し、工場内の溶接・板⾦加工・塗装のプロセスを
⾃動化設備で効率化することで、省⼒化を実現
工場 ・サプライチェーンにおける⼈⼿不⾜の課題に対し、⾰新的なソリューションを
提供
設備投資の
・ホーコスの集塵技術を活かし、溶接時に発生するヒューム対策を⾏う
内容
うち板⾦
・板⾦加工と⼀部溶接の⾃動化
ファイバーレーザー複合加工機
・CADCAMによる効率化
パネルベンダー 他
うち塗装 ・塗装工程を⾃動化
⾃動ライン塗装システム ・有機溶剤から粉体塗装に変えることで、環境や⼈体への
影響を低減させる
(粉体塗装) 他
2026年度 2029年度
項目
（基準年度） （基準年度＋３年後）
労働生産性 1,281
862
（単位︓万円/人） （年平均上昇率＋14.1％）
目標値 従業員1人あたり給与支給総額 663
565
（単位︓万円/人） （年平均上昇率＋5.5％）
役員１人あたり給与支給総額
-
-
（単位︓万円/人） （年平均上昇率 +5.0％）
補助事業に係る従業員数
753 780
（単位︓人）</t>
  </si>
  <si>
    <t>株式会社シュゼット・ホールディングス
1.長期成長ビジョン
・「使命(Misson)」 菓子と生きかたをつくる。
・「目指す場所／姿(Vision)」 世界のスイーツグランメゾンになる。</t>
  </si>
  <si>
    <t>長期成長ビジョン（目指す姿・ビジネスモデル）
「使命(Mission)」 菓子と生きかたをつくる。
たったひとつのお菓子が、お客様を笑顔にし、幸せにする。創業のきっか
けとなったその感動は、どんなに時代が変わっても揺らぐことのないわたした
ちのお菓子づくりの原点です。
そして創業から半世紀以上を経て、私たちは、お菓子が持つさらなる可
能性に気づきました。
・お菓子は、言葉の壁も国境も越えることができる。
・喜怒哀楽のすべてに寄り添うことができる。
・地域や生産者が抱える課題までも解決することができる。
・その人を想い、人生に寄り添ったお菓子を届けることで「生きかた」を
もつくることができる。
お菓子そのものだけではなくその先にある「こと」のためにお菓子はある。
食べる方の人生に寄り添い、生きかたをつくるお菓子を届けることこそ、私
たちが最も大切にしていることです。
「目指す場所／姿(Vision)」 世界のスイーツグランドメゾンになる。
創業以来、長きにわたり「たったひとつのお菓子から、心ときめくシーンを
演出する」という企業理念を掲げてきました。当グループは新たなビジョン
として「世界のスイーツグランドメゾンになる」を掲げました。グランドメゾ
ンとは「大きな家」を意味する言葉。個性的なブランドが立ち並び、世界
中のあらゆる「生きかた」に影響を与える大きな家。そんな姿を目指して
お菓子の可能性を信じ、広げ続けます。</t>
  </si>
  <si>
    <t>外発的動機▶「日本発の洋菓子文化」を世界へ
「厳しい経営環境」
・ 洋菓子業界ではケーキ店など「街の洋菓子店」の倒産が急増。2024
年度に発生した「洋菓子店」の倒産は過去最多を更新
・ 原材料や包装資材の仕入価格や水光熱費、物流コストの高騰、人
手不足など
・ コンビニや大手洋菓子チェーン店などの安価なスイーツとの競争激化
「事業領域の拡大」
・ 厳しい経営環境のなか、当社は創業以来、商品企画から販売に
至るまで一貫して自社プロデュースを行う体制を敷いており、
自社ノウハウを活用した高価値ブランド構築のためのコンサルティング事
業等、さまざまな事業へと領域を拡大
「日本発の洋菓子文化を世界へ・ユニバーサルブランドの展開」
・ 2014年にはシンガポールへ出店し、“日本発の洋菓子文化”を
アジア、欧米、世界へと発信するユニバーサルブランドの展開を目指
しています</t>
  </si>
  <si>
    <t>内発的動機▶日本の「手わざ」を残しつつ、生産性を上げる
1969年、青い炎が印象的なデセール『クレープ・シュゼット』を提供する
喫茶店として兵庫県芦屋市に誕生しました。
創業から半世紀以上を経て、現在は４ブランド、国内100店舗、海
外6店舗を展開しています。
洋菓子世界大会第1位のパティシエを有し、創業より「生ケーキはすべ
て手作りにこだわる」など「世界最高峰の技術でお菓子文化を生み出す
会社」として、日本の「手わざ（手作り）」を残しつつ、生産性を上げる
という相反する課題に対応するため、製造工程や物流過程の最適化、
製造設備やDX、販路拡大、これらを担う人への積極的かつ継続的な
成長投資を行い、100年先を見据えたお菓子作りを通じ、さまざまなシ
ーンにおけて忘れられない感動をお届けすることを使命(Misson)として
成長を続けます。</t>
  </si>
  <si>
    <t>（会社概要）
概要】 当シュゼットグループは1968年に創業
ね、お菓子の美味しさを追い求め続けており、
上高：1968年喫茶店創業(神戸市芦屋
68年1月18日（株式会社アンリ・シャルパンティエ）
庫県西宮市久保町5-16 ハーバースタジオ43南館
子・パン類の製造・販売ならびに喫茶、左記に関する付帯
＜アンリ・シャルパンテ
計100店舗
(国内94、海外6店舗
芦屋のスイーツ文化を
（主力商品:フィナンシ</t>
  </si>
  <si>
    <t>コンソーシアム全体の売上成長目標（2024→2030年)
・売上高 84％増
・売上高増加額 135億円増
コンソーシアム全体の賃上げ目標
・5.1%（基準年度～事業化報告3年目の年平均）</t>
  </si>
  <si>
    <t>【p.1／当社・会社の概要】
（会社概要）
概要】 当シュゼットグループは1968年に創業
ね、お菓子の美味しさを追い求め続けており、
上高：1968年喫茶店創業(神戸市芦屋
68年1月18日（株式会社アンリ・シャルパンティエ）
庫県西宮市久保町5-16 ハーバースタジオ43南館
子・パン類の製造・販売ならびに喫茶、左記に関する付帯
＜アンリ・シャルパンテ
計100店舗
(国内94、海外6店舗
芦屋のスイーツ文化を
（主力商品:フィナンシ
【p.1／その他Box 2】
・ハーバースタジオ43(本社・工場):兵庫県西宮市久保町5-16 ・横浜リバーサイドスタジオ(工場):横浜市港北区北新横浜2-1-1
・銀座オフィス(事務所):東京都中央区銀座2-8-20 ・シュゼット・インターナショナル:111 Somerset Road, #03-09, Singapore
【p.2／売上成長目標】
コンソーシアム全体の売上成長目標（2024→2030年)
・売上高 84％増
・売上高増加額 135億円増
コンソーシアム全体の賃上げ目標
・5.1%（基準年度～事業化報告3年目の年平均）</t>
  </si>
  <si>
    <t>【p.1】
株式会社シュゼット・ホールディングス
1.長期成長ビジョン（会社概要）
【当社グループ概要】 当シュゼットグループは1968年に創業し、選びぬいた素材を使い、オリジナルの製造技術
と改良を重ね、お菓子の美味しさを追い求め続けており、国際的にもその品質・味などが認められた企業である。
・ グループ売上高：1968年喫茶店創業(神戸市芦屋) ▶2010年160億円 ▶2023年279億円
創業 1968年1月18日（株式会社アンリ・シャルパンティエ）
＜アンリ・シャルパンティエ＞販売個数世界一
本社所在地 兵庫県西宮市久保町5-16 ハーバースタジオ43南館 代表商品「フィナンシェ」が、年間販売個数において
8年連続で世界一位
事業内容 菓子・パン類の製造・販売ならびに喫茶、左記に関する付帯業務
（ギネス認定）
＜アンリ・シャルパンティエ＞
計100店舗
(国内94、海外6店舗)
＜シーキューブ＞ モンドセレクション金賞
芦屋のスイーツ文化を世界へ
2017年度から8年連続モンドセレクションで金賞受
（主力商品:フィナンシェ）
ブランド展開 主な実績 賞、加えて2018年より7年連続でInternational
＜シーキューブ＞ 42店舗
Taste Institute(※)を受賞
および
お菓子で幸せなつながりを
※International Taste
店舗数 （主力商品:焼きティラミス）
Institute:世界トップクラスのシェフ
2025年4月1日 ＜カサネオ＞ 1店舗
とソムリエが食品・飲料品の評価認定
現在 究極に「レアル(本物)」なスイーツ
（主力商品:ミルクレープ）
＜シュゼット・ホールディングス＞百貨店NO１
＜バックハウスイリエ＞ 4店舗
市場調査「外食産業マーケティング便覧2020」
（主力商品:クリームパン）
（株式会社富士経済発行）において、初めて国
素材・製法にこだわった様々なパ
内百貨店の洋菓子部門シェア１位を達成
ンをお届け。
・ハーバースタジオ43(本社・工場):兵庫県西宮市久保町5-16 ・横浜リバーサイドスタジオ(工場):横浜市港北区北新横浜2-1-1
事業所
・銀座オフィス(事務所):東京都中央区銀座2-8-20 ・シュゼット・インターナショナル:111 Somerset Road, #03-09, Singapore
【p.2】
株式会社シュゼット・ホールディングス
1.長期成長ビジョン
・「使命(Misson)」 菓子と生きかたをつくる。
・「目指す場所／姿(Vision)」 世界のスイーツグランメゾンになる。
長期成長ビジョン（目指す姿・ビジネスモデル）
外発的動機▶「日本発の洋菓子文化」を世界へ
「厳しい経営環境」
「使命(Mission)」 菓子と生きかたをつくる。
・ 洋菓子業界ではケーキ店など「街の洋菓子店」の倒産が急増。2024
たったひとつのお菓子が、お客様を笑顔にし、幸せにする。創業のきっか
年度に発生した「洋菓子店」の倒産は過去最多を更新
けとなったその感動は、どんなに時代が変わっても揺らぐことのないわたした
・ 原材料や包装資材の仕入価格や水光熱費、物流コストの高騰、人
ちのお菓子づくりの原点です。
手不足など
そして創業から半世紀以上を経て、私たちは、お菓子が持つさらなる可
・ コンビニや大手洋菓子チェーン店などの安価なスイーツとの競争激化
能性に気づきました。
「事業領域の拡大」
・お菓子は、言葉の壁も国境も越えることができる。
・ 厳しい経営環境のなか、当社は創業以来、商品企画から販売に
・喜怒哀楽のすべてに寄り添うことができる。
至るまで一貫して自社プロデュースを行う体制を敷いており、
・地域や生産者が抱える課題までも解決することができる。
自社ノウハウを活用した高価値ブランド構築のためのコンサルティング事
・その人を想い、人生に寄り添ったお菓子を届けることで「生きかた」を
業等、さまざまな事業へと領域を拡大
もつくることができる。
「日本発の洋菓子文化を世界へ・ユニバーサルブランドの展開」
お菓子そのものだけではなくその先にある「こと」のためにお菓子はある。
・ 2014年にはシンガポールへ出店し、“日本発の洋菓子文化”を
食べる方の人生に寄り添い、生きかたをつくるお菓子を届けることこそ、私
アジア、欧米、世界へと発信するユニバーサルブランドの展開を目指
たちが最も大切にしていることです。
しています
「目指す場所／姿(Vision)」 世界のスイーツグランドメゾンになる。
内発的動機▶日本の「手わざ」を残しつつ、生産性を上げる
創業以来、長きにわたり「たったひとつのお菓子から、心ときめくシーンを
1969年、青い炎が印象的なデセール『クレープ・シュゼット』を提供する
演出する」という企業理念を掲げてきました。当グループは新たなビジョン
喫茶店として兵庫県芦屋市に誕生しました。
として「世界のスイーツグランドメゾンになる」を掲げました。グランドメゾ
創業から半世紀以上を経て、現在は４ブランド、国内100店舗、海
ンとは「大きな家」を意味する言葉。個性的なブランドが立ち並び、世界
外6店舗を展開しています。
中のあらゆる「生きかた」に影響を与える大きな家。そんな姿を目指して
洋菓子世界大会第1位のパティシエを有し、創業より「生ケーキはすべ
お菓子の可能性を信じ、広げ続けます。
て手作りにこだわる」など「世界最高峰の技術でお菓子文化を生み出す
コンソーシアム全体の売上成長目標（2024→2030年) 会社」として、日本の「手わざ（手作り）」を残しつつ、生産性を上げる
・売上高 84％増 という相反する課題に対応するため、製造工程や物流過程の最適化、
・売上高増加額 135億円増 製造設備やDX、販路拡大、これらを担う人への積極的かつ継続的な
コンソーシアム全体の賃上げ目標 成長投資を行い、100年先を見据えたお菓子作りを通じ、さまざまなシ
ーンにおけて忘れられない感動をお届けすることを使命(Misson)として
・5.1%（基準年度～事業化報告3年目の年平均）
成長を続けます。
【p.3】
株式会社シュゼット・ホールディングス
1.長期成長ビジョン（参考資料）
【コンソーシアム構成企業】 株式会社シュゼット・ホールディングス(幹事企業)・株式会社スタジオ・シュゼット
▶ 創業50年を迎え、経営企画・管理部門と製造部門が一体となり、次の50年への更なる成長に向けた
大規模成長投資を実施する
［沿革］
●1969年 兵庫県芦屋市で15坪の喫茶店「アンリ・シャルパンティエ」を開店
アンリ・シャルパンティエ神戸そごう（現 神戸阪急）店を出店
●1975年
｢フィナンシェ｣を発売、代表商品となる。
●1980～ 百貨店（デパ地下）洋菓子の先駆けとして「デパ地下洋菓子業
90年代 界」を牽引
洋菓子製造工場「ハーバースタジオ43」 (当社では工場を「スタジ
●1997年
オ」と呼んでいる）竣工
●2000年代 駅・空港の交通系店舗(以下「駅ナカ」「空ナカ」という）に展開
海外出店1号店「シンガポール アンリ・シャルパンティエ デンプシーヒ
●2014年
ル店」を開店
トヨタ生産方式を導入、製造工程改善を繰り返し、生産性向上、
内製化、製造量増に成功
●2010～
（工場規模を拡大せずに製造売上1.7倍に）
20年代
代表商品「フィナンシェ」が年間販売個数世界一へ
（8年連続ギネス世界記録認定）
第18回クープ・デュ・モンド・ドゥ・ラ・パティスリーにおいて当社の駒居
●2023年
崇宏が団長を務める日本チームが世界1位となる
創業50年を迎え、次の50年への更なる成長に向けた大規模成長投資の実施
(幹事企業) 株式会社シュゼット・ホールディングス
本社:兵庫県西宮市久保町5-16 ［大規模成長投資の実施］
資本金:10,000,000円 従業員数:74名 ●2025～ 新工場（西宮浜工場、今津工場）建設
事業内容:経営企画、経営管理(総務・経理) 2027年 （更なる生産性向上、製造量増を図る）
資産管理 ●2030年 売上高297.1億円、労働生産性200％向上
［大規模成長投資内容］コンソーシアム合計投資額100.9億円
(参加企業) 株式会社スタジオ・シュゼット
西宮浜工場：焼き菓子製造、今津工場：生菓子製造
本社:兵庫県西宮市久保町5-16 株式会社シュゼット・ホールディングス ▶2工場(西宮浜・今津)建屋等建設
資本金:100,000,000円 従業員数:329名
(投資額95.9億円) ▶製造設備導入に伴う横浜工場改良
事業内容:洋菓子(焼き菓子・生菓子)の製造
株式会社スタジオ・シュゼット (投資額5.1億円) ▶製造設備導入</t>
  </si>
  <si>
    <t>【p.4】
株式会社シュゼット・ホールディングス
2.補助事業の概要
【大規模成長投資の概要】
大規模成長投資により、労働生産性を高め構造的な賃上げを実現する計画
▶ 「ヒト・モノ」への継続的な投資により、「日本発の製菓の「ラグジュアリーブランド」を確立する
• 主要事業への大規模な成長投資 ▶日本発の“洋菓子文化”を世界へと発信するユニバーサルブランド
補助事業の
事業費 104億円
構築に向け、コンソーシアム2社を含む当社グループ全体の持続的な成長に欠かせない大規模成長投
背景・目的
（補助額） （34億円）
資を行い、労働生産性向上と構造的な賃上げを実現する
【設備投資内容】
• 焼き菓子製造工場(西宮浜工場)と生菓子製造工場(今津工場)の新設
• 焼き菓子最新製造設備の導入
• 食用ゼリー最新充填設備の導入(横浜工場）
【投資内容と目的】
投資内容 投資目的 投資内容 投資額
設備投資の
・現工場床面積7,800㎡
内容 製造規模の拡大 →西宮浜工場10,000㎡
西宮浜工場 95.9
今津工場5,000㎡に拡大
今津工場の建設 億円
レジリエンス強化 ・製造工場の多拠点化
自社オリジナル
生産能力向上省力化 ・最新技術を導入した焼き菓子製造ラインの導入
5.1
最新型製造設備
億円
の導入 新商品製造 ・食用ゼリー最新型製造設備の導入
項目 コンソーシアム構成企業 2027年度（基準年度） 2030年度（基準年度＋３年後）
シュゼット・ホールディングス 1,261 1,383（年平均上昇率＋3.1％）
労働生産性
スタジオ・シュゼット 884 1,194（年平均上昇率＋10.5％）
（単位：万円/人）
2社合算 953 1,229（年平均上昇率+8.8）
シュゼット・ホールディングス 523 606（年平均上昇率＋5.0％）
従業員1人あたり給与支給総額 兵庫 339 392（年平均上昇率＋5.0％）
スタジオ・シュゼット
（単位：万円/人） 横浜 345 400（年平均上昇率＋5.0％）
2社合算 373 433（年平均上昇率＋5.1％）
目標値
シュゼット・ホールディングス - -
役員１人あたり給与支給総額 兵庫 - -
スタジオ・シュゼット
（単位：万円/人） 横浜 - -
2社合算 - -
シュゼット・ホールディングス 84 112（年平均上昇率＋10.1％）
補助事業に係る従業員数 兵庫 303 402（年平均上昇率＋9.9％）
スタジオ・シュゼット
（単位：人） 横浜 74 87（年平均上昇率＋5.5％）
2社合算 461 601（年平均上昇率＋9.2％）
【p.5】
株式会社シュゼット・ホールディングス
2.補助事業の概要（参考資料）
【大規模成長投資の内容】 補助事業での設備投資（Phase1）と更なる設備投資（Phase2）を実行する
▶ Phase1+Phase2 での大規模投資により、大きく成長する事業基盤を確立する
• 製造工程の最適化・効率化を図ってきたが、需要増加等に対応し、持続的な成長を実現するための更な
る生産性向上・効率化、製造規模拡大を図る必要がある
• 現在のスタジオ(工場、本社)は定期借地上に建設されたものであり、2029年には契約が切れ、契約更新
大規模成長投資の必要性① が出来ない状況にある
• 工場が位置する西宮市には自然が醸し出す奇跡の酒造用水とされる地下水「宮水」が存在しており、厳
格な排水処理が求められているが、現在の排水処理施設の処理能力は上限に達している
• 製造設備の一部(オーブン)にアスベスト使用の古い機材が存在する
• 国内市場での百貨店(デパ地下)店舗でのトップポジションを堅持し、更なる成長のための交通系(駅ナカ・
空ナカ)店舗、EC販売強化、インバウンド需要取り込み等の成功戦略実現には製造規模拡大と省力化が
大規模成長投資の必要性② 必須な課題である
• 主力商品の「フィナンシェ」を軸とした新ブランド・新業態への進出を計画、焼き菓子製造ラインの製造能力
を高める必要がある
大規模成長投資
補助事業 更なる成長投資
Phase1での投資内容 投資目的 投資内容 投資額
・現工場床面積7,800㎡
製造規模の拡大 95.9
西宮浜工場・今津工場の建設 →西宮浜工場10,000㎡、今津工場5,000㎡に拡大
億円
レジリエンス強化 ・製造工場の多拠点化
生産能力向上省力化 ・最新技術を導入した焼き菓子製造ラインの導入 5.1
自社オリジナル最新型製造設備の導入
新商品製造 ・食用ゼリー最新型製造設備の導入 億円</t>
  </si>
  <si>
    <t>1.長期成長ビジョン 株式会社アダチ
当社は、市場拡大と競争激化を背景に、物流効率を高め提案力を強化することで顧客課題を解決する提案型企業へ進化する。
新倉庫を核に、効率化と高度な提案力を融合した高付加価値モデルを展開し、競合と差別化しながら安定成長を実現する。</t>
  </si>
  <si>
    <t>本補助事業では、本社敷地内に鉄骨造・地上5階建の新社屋兼物流倉庫を建設し、供給力不⾜を解消し物流コス
トを削減する。これにより、安定した出荷体制を確⽴し、売上拡大と収支改善を実現する。</t>
  </si>
  <si>
    <t>長期成長ビジョン（目指す姿・ビジネスモデル）
【目指す姿（5～10年後における企業像）】
当社は、中食市場の拡大と競争激化を背景に、顧客現場に寄り添
い課題解決を進める提案型企業へ進化する。“色んな『包む』を提案
する”理念のもと、多様な製品と最適な供給で顧客の成長を後押し
し、信頼を築く。新倉庫は、その実現を推進する基盤となる。
【目指すビジネスモデル】
当社は、新倉庫を核に、物流効率化によるコスト削減と、専門人材
による提案力を組み合わせ、顧客に高付加価値を提供するモデルを
展開する。
物流効率化：IoTとデジタル化で、精度とコスト競争力を高める。
提案力強化：独⽴した営業部と開発部門が連携し、現場課題に
応じた製品と解決策を提供する。
組織力向上：快適な職場と人材育成により、専門性と対応力を継
続的に高める。
この仕組みにより、当社は顧客ニーズに応える付加価値提案で競合
と差別化し、安定した収益を確保するモデルを実現する。</t>
  </si>
  <si>
    <t>外発的動機
• 単身世帯、高齢世帯、女性の社会進出の増加による中食市場の
拡大などを背景に、食品向け容器の需要が増加している。(富士経
済グループの資料（外部リンクあり）)
• 国内の食品用包装市場は、2025年から2033年にかけてCAGR
（年平均成長率）4.62%で成長すると予測されている。 (imarc
の資料（外部リンクあり）)
• 関西地域への新規出店のスーパーマーケットの増加（流通ニュースの
資料（外部リンクあり））
• 東南アジアの経済は拡大、特にベトナムの経済成長は大きい
（JETROの資料（外部リンクあり）)</t>
  </si>
  <si>
    <t>内発的動機
• 当社は、“色んな「包む」を提案する”を企業理念とし、食品用包装
資材、家庭用ごみ袋、日用雑貨、産業用什器備品等を扱ってきた。
• 国内の食品用包装資材の市場成長率が4%超えを維持している中、
競合他社との競争が激化しており、現状に甘んじれば、当社の売上
高減少や大手競合他社に飲み込まれかねない。このため、当社の物
流の効率化、売上高増加、人員の拡充を目指す必要がある。
• 近年、関西地域へ新規出店を行うスーパーマーケット、東南アジアの
日系スーパーマーケット等からの取引打診が増えていることから、これら
のスーパーマーケットを対象に新規取引を目指すこととした。
• また、既存顧客（業務スーパー、スーパーマルハチ等）の店舗増加
に対応した物流の効率化による当社売上高増加を目指すこととした。</t>
  </si>
  <si>
    <t>会社全体の売上成長目標（直近2024～2030年度）
• 売上高増加額:7,833百万円
• 売上高成長率:14.3％（年平均成長率）
一人当たりの賃上げ目標（基準2027～2030年度）
• 従業員:6.5% （年平均上昇率）
• 役員:6.5% （年平均上昇率）</t>
  </si>
  <si>
    <t>【p.1／売上成長目標】
会社全体の売上成長目標（直近2024～2030年度）
• 売上高増加額:7,833百万円
• 売上高成長率:14.3％（年平均成長率）
一人当たりの賃上げ目標（基準2027～2030年度）
• 従業員:6.5% （年平均上昇率）
• 役員:6.5% （年平均上昇率）
【p.2／上段要旨】
本補助事業では、本社敷地内に鉄骨造・地上5階建の新社屋兼物流倉庫を建設し、供給力不⾜を解消し物流コス
トを削減する。これにより、安定した出荷体制を確⽴し、売上拡大と収支改善を実現する。
【p.2／主要顧客の発注増と新規商談の進展により供給力強化が急務である。現行倉庫は能力】
主要顧客の発注増と新規商談の進展により供給力強化が急務である。現行倉庫は能力
不⾜でコストも増大している。物流効率化と専門人材による提案力・組織力向上を一体で
推進し、補助事業では、その中核となる新倉庫を建設する。</t>
  </si>
  <si>
    <t>【p.1】
1.長期成長ビジョン 株式会社アダチ
当社は、市場拡大と競争激化を背景に、物流効率を高め提案力を強化することで顧客課題を解決する提案型企業へ進化する。
新倉庫を核に、効率化と高度な提案力を融合した高付加価値モデルを展開し、競合と差別化しながら安定成長を実現する。
長期成長ビジョン（目指す姿・ビジネスモデル） 外発的動機
【目指す姿（5～10年後における企業像）】 • 単身世帯、高齢世帯、女性の社会進出の増加による中食市場の
当社は、中食市場の拡大と競争激化を背景に、顧客現場に寄り添 拡大などを背景に、食品向け容器の需要が増加している。(富士経
い課題解決を進める提案型企業へ進化する。“色んな『包む』を提案 済グループの資料（外部リンクあり）)
する”理念のもと、多様な製品と最適な供給で顧客の成長を後押し • 国内の食品用包装市場は、2025年から2033年にかけてCAGR
し、信頼を築く。新倉庫は、その実現を推進する基盤となる。 （年平均成長率）4.62%で成長すると予測されている。 (imarc
の資料（外部リンクあり）)
【目指すビジネスモデル】 • 関西地域への新規出店のスーパーマーケットの増加（流通ニュースの
資料（外部リンクあり））
当社は、新倉庫を核に、物流効率化によるコスト削減と、専門人材
• 東南アジアの経済は拡大、特にベトナムの経済成長は大きい
による提案力を組み合わせ、顧客に高付加価値を提供するモデルを
（JETROの資料（外部リンクあり）)
展開する。
物流効率化：IoTとデジタル化で、精度とコスト競争力を高める。
提案力強化：独⽴した営業部と開発部門が連携し、現場課題に
応じた製品と解決策を提供する。 内発的動機
組織力向上：快適な職場と人材育成により、専門性と対応力を継
続的に高める。 • 当社は、“色んな「包む」を提案する”を企業理念とし、食品用包装
この仕組みにより、当社は顧客ニーズに応える付加価値提案で競合 資材、家庭用ごみ袋、日用雑貨、産業用什器備品等を扱ってきた。
と差別化し、安定した収益を確保するモデルを実現する。 • 国内の食品用包装資材の市場成長率が4%超えを維持している中、
競合他社との競争が激化しており、現状に甘んじれば、当社の売上
会社全体の売上成長目標（直近2024～2030年度） 高減少や大手競合他社に飲み込まれかねない。このため、当社の物
流の効率化、売上高増加、人員の拡充を目指す必要がある。
• 売上高増加額:7,833百万円
• 近年、関西地域へ新規出店を行うスーパーマーケット、東南アジアの
• 売上高成長率:14.3％（年平均成長率）
日系スーパーマーケット等からの取引打診が増えていることから、これら
一人当たりの賃上げ目標（基準2027～2030年度）
のスーパーマーケットを対象に新規取引を目指すこととした。
• 従業員:6.5% （年平均上昇率） • また、既存顧客（業務スーパー、スーパーマルハチ等）の店舗増加
• 役員:6.5% （年平均上昇率） に対応した物流の効率化による当社売上高増加を目指すこととした。</t>
  </si>
  <si>
    <t>【p.2】
.補助事業の概要 株式会社アダチ
2
本補助事業では、本社敷地内に鉄骨造・地上5階建の新社屋兼物流倉庫を建設し、供給力不⾜を解消し物流コス
トを削減する。これにより、安定した出荷体制を確⽴し、売上拡大と収支改善を実現する。
主要顧客の発注増と新規商談の進展により供給力強化が急務である。現行倉庫は能力 事業費 1, 736 百万円
補助事業の
不⾜でコストも増大している。物流効率化と専門人材による提案力・組織力向上を一体で （補助額） （ 409 百万円）
背景・目的
推進し、補助事業では、その中核となる新倉庫を建設する。
本補助事業では、本社敷地内に鉄骨造・地上5階建ての
新社屋兼物流倉庫を建設する。
• 敷地面積1,981.55㎡、建築面積1,335.74㎡、施工面積
4,812.18㎡とし、在庫集約と動線最適化を実現する。
• 本倉庫は、段階的に基幹システム導入と連携できる構造を備え、
第一フェーズとして供給体制強化を担う。 新社屋兼物流倉庫の外観イメージ図
設備投資の
• トラック接車効率・保管効率を考慮したレイアウトにより、外部倉庫
内容
依存を削減し、物流コストを低減する。
• 物流事務所・現場環境を改善し、人材定着に資する快適な職場
を整える。
これにより、供給力不⾜を解消し、外部倉庫依存を減らして物流コスト
を削減するとともに、安定した出荷体制を確⽴し、売上拡大と収支改
善を実現する。
新社屋兼物流倉庫の内観イメージ図
項目 基準年度（2028年度） 事業化報告3年目（2031年度）
（単
労
位
働
：
生
千
産
円
性
/人）
15,513
（年平均上
29
昇
,7
率
6
＋
8
24.3％）
目標値 従業員1人あたり給与支給総額 4,606
3,813
（単位：千円/人） （年平均上昇率＋6.5％）
役員１人あたり給与支給総額
-
（単位：千円/人） - （年平均上昇率＋6.5％）
補助事業に係る従業員数
55 75
（単位：人）</t>
  </si>
  <si>
    <t>株式会社コスモス食品
1.長期成長ビジョン
「宇宙と自然の恵み・力・循環」を活かし、持続可能な未来の食文化を創造することを目指します。
「環境負荷を抑えながら、安心・安全で美味しい食を世界へ届ける」使命を実践します。</t>
  </si>
  <si>
    <t>長期成長ビジョン（目指す姿・ビジネスモデル）
「食を通じて、未来の地球と人を守る」
• 自社ブランド(CosmoSpark)商品を通じて、SPICEの様に、なくて
はならない会社となって、社会に貢献します。
• (フードロス削減) ×(持続可能な農業)×(環境負荷ゼロ）の製造技
術を融合し、次世代の食文化を創出します。
• 伝統 × 最先端技術 を融合し、「美味しさ・安全・持続可能性」を追
求します。
• 世界的な食糧問題への対応と持続可能な食文化のリーダーシップを
確立します。
• Nature Future ブランドの海外進出を通じた持続可能な食品市場
を形成し、拡大します。
• 直販施設(CosmoSpark(KOUBAIBU)) を通じた地域と世界の
食産業との架け橋の構築を行います。</t>
  </si>
  <si>
    <t>外発的動機
• 持続可能な食品の需要増加：環境意識の高まりにより市場拡大。
• 健康志向の高まり
⇒無添加・発酵食品への関心増。
• 食品業界も、限られた資源を循環させていく必要がある。
• 世界情勢や気候変動による原材料供給の不安定化
⇒持続可能な食料供給システムの確立の必要性
• 人口減少に伴う国内市場の縮小と採用/雇用問題。
• アジア(海外)市場の急拡大。(インド/東南アジアの人口増、日本ブランド、円安）
• 日本は、低い食料自給率にもかかわらずプライスメーカーでなくなる。</t>
  </si>
  <si>
    <t>内発的動機
• フリーズドライ食品の市場拡大と国際展開へ始動
• 自動化の推進、DX化、AI導入による環境改善と人手不足解消
• 保存(Keep Fresh)技術を活用した低酸化食品の開発と設備補強
• 食品前処理製造の自動化・効率化（洗浄、皮剥、発酵、抽出）
• 直販施設(CosmoSpark（KOUBAIBU))を通じたバーチャルとリアルの両面での地域
連携強化
• 新型真空凍結乾燥機(New SF）の導入とレイアウト改良による生産性の向上
• 持続可能なフードシステムのためのエネルギー効率化施策
• 自社ブランド(Nature Future）の海外市場展開（北米・アジア・欧州）とパートナー
シップ構築
• 新型自社製FD機の開発、海外工場展開と現地生産の確立</t>
  </si>
  <si>
    <t>• 直販施設(CosmoSpark(KOUBAIBU)) を通じた地域と世界の
食産業との架け橋の構築を行います。
会社全体の売上成長目標（～2030年）
• 売上高増加額3,706百万円
• 売上高 年平均成長率 10.02％</t>
  </si>
  <si>
    <t>【p.1／売上成長目標】
• 直販施設(CosmoSpark(KOUBAIBU)) を通じた地域と世界の
食産業との架け橋の構築を行います。
【p.1／私たちは、「宇宙と自然の恵み・力・循環」を活かし、世界の食】
私たちは、「宇宙と自然の恵み・力・循環」を活かし、世界の食
の未来になくてはならない存在になるべく、これらの技術と理念
を実現していきます。
【p.1／売上成長目標】
会社全体の売上成長目標（～2030年）
• 売上高増加額3,706百万円
• 売上高 年平均成長率 10.02％</t>
  </si>
  <si>
    <t>【p.1】
株式会社コスモス食品
1.長期成長ビジョン
会社全体の売
上成長目標 「宇宙と自然の恵み・力・循環」を活かし、持続可能な未来の食文化を創造することを目指します。
（～XX年） 「環境負荷を抑えながら、安心・安全で美味しい食を世界へ届ける」使命を実践します。
• 売上高増加額
XX百万円
• 売上高成長率 長期成長ビジョン（目指す姿・ビジネスモデル）
外発的動機 25/07/22修正済
XX％
「食を通じて、未来の地球と人を守る」
• 持続可能な食品の需要増加：環境意識の高まりにより市場拡大。
• 健康志向の高まり
• 自社ブランド(CosmoSpark)商品を通じて、SPICEの様に、なくて ⇒無添加・発酵食品への関心増。
はならない会社となって、社会に貢献します。 • 食品業界も、限られた資源を循環させていく必要がある。
【記載にあたる留意事項】 • (フードロス削減) ×(持続可能な農業)×(環境負荷ゼロ）の製造技 • 世界情勢や気候変動による原材料供給の不安定化
• 長期成長ビジョンの最 術を融合し、次世代の食文化を創出します。 ⇒持続可能な食料供給システムの確立の必要性
終年度（5～10年後 • 人口減少に伴う国内市場の縮小と採用/雇用問題。
• 伝統 × 最先端技術 を融合し、「美味しさ・安全・持続可能性」を追
を任意で設定）におけ • アジア(海外)市場の急拡大。(インド/東南アジアの人口増、日本ブランド、円安）
求します。
る定量的な成果目標 • 日本は、低い食料自給率にもかかわらずプライスメーカーでなくなる。
をご記載ください *コ • 世界的な食糧問題への対応と持続可能な食文化のリーダーシップを
ンソーシアムの場合は 確立します。
可能な限り単体・連結
• Nature Future ブランドの海外進出を通じた持続可能な食品市場
双方の目標値をご記
を形成し、拡大します。 内発的動機
載ください。
• 直販施設(CosmoSpark(KOUBAIBU)) を通じた地域と世界の • フリーズドライ食品の市場拡大と国際展開へ始動
• 売上高成長目標につ
食産業との架け橋の構築を行います。 • 自動化の推進、DX化、AI導入による環境改善と人手不足解消
いては、
• 保存(Keep Fresh)技術を活用した低酸化食品の開発と設備補強
CAGR（年平均成長
• 食品前処理製造の自動化・効率化（洗浄、皮剥、発酵、抽出）
率）にて記載ください
• 直販施設(CosmoSpark（KOUBAIBU))を通じたバーチャルとリアルの両面での地域
連携強化
• 新型真空凍結乾燥機(New SF）の導入とレイアウト改良による生産性の向上
• 持続可能なフードシステムのためのエネルギー効率化施策
• 自社ブランド(Nature Future）の海外市場展開（北米・アジア・欧州）とパートナー
シップ構築
• 新型自社製FD機の開発、海外工場展開と現地生産の確立
私たちは、「宇宙と自然の恵み・力・循環」を活かし、世界の食
会社全体の売上成長目標（～2030年） の未来になくてはならない存在になるべく、これらの技術と理念
• 売上高増加額3,706百万円
を実現していきます。
• 売上高 年平均成長率 10.02％</t>
  </si>
  <si>
    <t>【p.2】
株式会社コスモス食品
.補助事業の概要
2
・海外でのRTE食品市場の伸長が望める中で、事業を拡大していくために、RTE商品生産に特化した設備導入及び製品倉庫の拡充を実施する。
・手作業を機械に置き換え省力化することで、従業員の労働負荷軽減、作業効率の向上、ランニングコスト軽減を実現し賃上げを実施する。
・海外市場に対応した設備の増強。(認証取得）
コンソーシアムの場合、
• マーケットの成長トレンドが見込める中、自社ブランドを中心としたRTE商品の事業の拡大。 各2社5/毎07に/ス22ラ修イド正作済成
• 既存設備での、生産体制での製造量の限界。 （株式会社XXXX）
補助事業の • 人手不足解消と、従業員の満足度向上と定着のためには、持続的な賃上げの実施が必要不可欠。
• 食を通じて地域になくてはならない企業になる。（地域雇用、地域食材の仕入れ、安全な商品作り）
背景・目的
• 自動化/省力化を実施することで、労働負荷軽減、生産効率・収益性向上を実現。 事業費 1, 百万円
684
• 見える倉庫で、地域貢献 直販アンテナショップの礎に。
（補助額） （ 百万円）
392
• 海外市場に対応した設備の増強(認証取得)。
250725
＜建屋改修 耐震工事＞ 売上再考
修正必要なし
・製品倉庫拡充⇒外部倉庫費用の軽減、作業導線の最適化。
・RTE製品出荷場の新設⇒直販業務の内製化を実現。
＜製造設備増設＞
・真空凍結乾燥機増設⇒製造能力40％増。
・CO2冷媒使用の冷凍/冷蔵庫更新⇒ランニングコスト30％減。
設備投資の ＜製造機器/システム更新＞
写真等
内容 ・直販自動倉庫⇒省力化、見せる倉庫の実現。
・半自動搬送台車⇒人員での搬送作業負荷を軽減し、人員数半減。
・包装不良検査機(カメラ)⇒目視検査の人員を削減。
・生産管理システム更新⇒管理業務のDX化を実現、脱属人化。
上記投資の実現により、大幅な省人化、省力化が可能になる。
項目 基準年度 事業化報告3年目
（単
労
位
働
：
生
千
産
円
性
/人）
11,310
（年平均上
14
昇
,9
率
84
＋9.8％）
目標値 従業員
（
1
単
人
位
あ
：
た
千
り給
円
与
/人
支
）
給総額 6,042
（年平均上
7
昇
,84
率
7
＋9.1％）
役員１人あたり給与支給総額
-
（単位：千円/人） - （年平均上昇率＋4.5％）
補助事業に係る従業員数
159 164
（単位：人）</t>
  </si>
  <si>
    <t>1.長期成長ビジョン 奥伊吹観光株式会社
宿泊型総合リゾートへの転換で観光産業の新たな成長モデルを確立する。「日帰り」から「滞在型」に転換するためスキー場内に
宿泊施設を建設し顧客単価を増加させるとともに地域経済を牽引する。</t>
  </si>
  <si>
    <t>長期成長ビジョン（目指す姿・ビジネスモデル）
■「2070年地域のこどもたちにスキーを」
・地域資源を活かした観光と環境保全の両立を図りながら
持続可能な観光産業の新たな成長モデルを確立する
・「通過点」から「目的地」への転換を図り地域経済を牽引
する
■長期ビジョンの実現に向けた事業戦略
・スキー場内に50室・定員118名の宿泊施設を新設し、
客単価を現状7,500円から10,000円へ向上させる。宿
泊客単価45,000円/人を実現。自動チェックインシステム
導入により効率的な運営を図り、インバウンド対応として英
語・中国語対応スタッフを配置。グランピング施設との連携
で通年型リゾートへと発展させる。
・地域DMO・自治体と連携し地域一丸となって観光客の
誘致を図る
・奥伊吹モデルの完成によりM&amp;Aを実施</t>
  </si>
  <si>
    <t>外発的動機
• インバウンド市場の急成長
• 鉄道、陸路とも大都市圏（京阪神・中京・北陸）からの
良好なアクセス
• スキー人口の構造変化
• 都市観光＋雪体験の需要増加
• 雪無し国（東アジア・東南アジア）からのインバウンド客
増加
• 滋賀県北部では宿泊施設が少なく日帰り観光客が9割
を占めている</t>
  </si>
  <si>
    <t>内発的動機
• 滋賀県北部の観光振興と地域活性化を牽引
• 成長を続けるスキー場運営実績により来場者数の増加
• 宿泊施設を保有しておらず日帰り客のみとなっており顧客
単価が7,500円程度で頭打ちとなる
• 将来的に商圏人口は減少するため当社のみならず地域
の産業の衰退が危ぶまれる
• 宿泊施設を保有し「奥伊吹モデル」を完成させ全国に展
開する</t>
  </si>
  <si>
    <t>【p.1／売上成長目標】
会社全体の売上成長目標
（2024年9月期～2030年9月期）
• 売上高増加額7,320百万円
• 売上高成長率31.3％</t>
  </si>
  <si>
    <t>【p.1】
1.長期成長ビジョン 奥伊吹観光株式会社
宿泊型総合リゾートへの転換で観光産業の新たな成長モデルを確立する。「日帰り」から「滞在型」に転換するためスキー場内に
宿泊施設を建設し顧客単価を増加させるとともに地域経済を牽引する。
長期成長ビジョン（目指す姿・ビジネスモデル） 外発的動機
• インバウンド市場の急成長
■「2070年地域のこどもたちにスキーを」
• 鉄道、陸路とも大都市圏（京阪神・中京・北陸）からの
・地域資源を活かした観光と環境保全の両立を図りながら
良好なアクセス
持続可能な観光産業の新たな成長モデルを確立する
• スキー人口の構造変化
・「通過点」から「目的地」への転換を図り地域経済を牽引 • 都市観光＋雪体験の需要増加
する • 雪無し国（東アジア・東南アジア）からのインバウンド客
増加
• 滋賀県北部では宿泊施設が少なく日帰り観光客が9割
■長期ビジョンの実現に向けた事業戦略
を占めている
・スキー場内に50室・定員118名の宿泊施設を新設し、
客単価を現状7,500円から10,000円へ向上させる。宿
泊客単価45,000円/人を実現。自動チェックインシステム
内発的動機
導入により効率的な運営を図り、インバウンド対応として英
• 滋賀県北部の観光振興と地域活性化を牽引
語・中国語対応スタッフを配置。グランピング施設との連携
• 成長を続けるスキー場運営実績により来場者数の増加
で通年型リゾートへと発展させる。
• 宿泊施設を保有しておらず日帰り客のみとなっており顧客
・地域DMO・自治体と連携し地域一丸となって観光客の 単価が7,500円程度で頭打ちとなる
誘致を図る • 将来的に商圏人口は減少するため当社のみならず地域
の産業の衰退が危ぶまれる
・奥伊吹モデルの完成によりM&amp;Aを実施
• 宿泊施設を保有し「奥伊吹モデル」を完成させ全国に展
会社全体の売上成長目標
（2024年9月期～2030年9月期） 開する
• 売上高増加額7,320百万円
• 売上高成長率31.3％</t>
  </si>
  <si>
    <t>【p.2】
.補助事業の概要 奥伊吹観光株式会社
2
6階建て50室・定員118名の宿泊施設と自動チェックインシステム等を設置。冬季150日、グリーンシーズン120日の運営で年間稼働率72％を目
指す。インバウンド客をメインターゲットとし、京都・大阪の外国人観光客に「都市観光＋雪体験」という新たな観光スタイルを提案する。
• 滋賀県湖北地域は「高訪問者数・低収益」という課題がある。年間25万人の来場者数がある当 事業費 2,0 94 百万円
補助事業の
社が宿泊施設を保有し「量」から「質」への転換を図る。奥伊吹モデルを完成させるとともに地域を （補助額） （670百万円）
背景・目的
力強く牽引する。
◆宿泊施設（仮：グランスノーホテル）（20億円）
・客室数：6階建て50室・定員118名
・稼働 ：冬季150日、グリーンシーズン120日
・概要 ：インバウンド客を中心に宿泊型スキー場として展開する。
京都・大阪圏を中心としたインバウンド客に対し「観光＋体験」を提供。
・効果 ：宿泊客の増加により客単価の向上を見込むことができる。
グランエレメントの支配人・従業員を配置することで通年雇用体制を強化する
▲ホテル完成イメージ
設備投資の ◆自動チェックインシステム・自動精算システム（1千万円）
内容 ・概要：人を介さずチェックイン・精算を行う
・効果：フロント業務の省力化・効率化
フロントのチェックイン業務は受付やご案内がメインとなりアルバイトスタッフでも十分
対応が可能となる。
フロント業務が単純化されることにより利用者の待ち時間も短縮することができる。
導入にあたっては多言語対応機を予定している。
■運営人員：30名（繁忙期は50名）を予定しておりグランエレメントの従業員をスイッチ
自動チェックイン機・自動精算機システム
する
の構成イメージ
項目 基準年度 事業化報告3年目
労働生産性 41,836
（単位：千円/人） 31,158 （年平均上昇率＋10.3％）
目標値 従業員1人あたり給与支給総額 5,906
4,808
（単位：千円/人） （年平均上昇率＋7.1％）
役員１人あたり給与支給総額
14,613
（単位：千円/人）
12,515
（年平均上昇率＋5.3％）
補助事業に係る従業員数
50 56
（単位：人）
【p.3】
.補助事業の概要 奥伊吹観光株式会社
2
宿泊単価30,000/人と設定し、稼働率により売上計画を策定した。夏季はイベント開催時の宿泊を見込むとともにイベント開
催時以外では避暑客の利用を見込んでいる。
【補助事業の概要】
【冬季】5か月：150日の運営 【夏季】4か月：120日の運営
2028年 2029年 2030年 2028年 2029年 2030年
9月期 9月期 9月期 9月期 9月期 9月期
稼働率 80％ 85％ 88％ 稼働率 60％ 60％ 60％
売上高 売上高
424,800,000 451,350,000 467,280,000 254,880,000 254,880,000 254,880,000
夏季には駐車場や広大な敷地を活用してイベントを開催している。
毎回、500人～8,000人の来場者数の実績がある。
モーターイベント コスプレ撮影会
2025年
野外音楽フェスティバル</t>
  </si>
  <si>
    <t>1.長期成長ビジョン 瀬戸内海印刷株式会社
・取引先のニーズに応え得る生産体制と技術力向上により、環境負荷の低減と当社の持続的な成長を両立
・従業員が誇りをもって働ける環境を整え、従業員の力を成長ドライバーとして地域に貢献できる企業を目指す</t>
  </si>
  <si>
    <t>外発的動機
製品の需要拡大に伴う増産の必要性
・現状、主要取引先からの受注でほぼフル稼働の状態で、更なる需
要増加に十分に応えられていない状況
・当社の持続的な成長のためには、増産体制を整え、主要取引先か
らの増産要請に応えるとともに、多様化する軟包装パッケージ市場
の需要を見極め、新たに開拓していくことが必要不可欠
環境負荷低減に向けた意識の高まり
・持続可能な社会の実現に向けた取組みが広がっており、パッケー
ジ市場においても、省エネ・省資源の推進や、フィルムのリサイクル対
応、環境に配慮した製品など技術的な対応が求められている</t>
  </si>
  <si>
    <t>内発的動機
従業員の就労環境を改善したい！
・社長就任後、工場移転時や困難な場面等、さまざまな経験を通じ
て、最後に会社を支えてくれるのは「人」だと痛感
・次の世代へと会社を成長させるのは、従業員の力だと認識してお
り、従業員が安心して働くことができて、安定した収入を得て、それを
地域の消費につなげていく好循環に寄与することが、会社の存続意
義だと感じている
・従業員の業務負荷の軽減と働きがいの向上、ダイバーシティの推進
による従業員の多様化、福利厚生の充実による定着率向上やワー
クエンゲージメントの向上を図ることで、従業員の力を会社の将来を
創っていく成長ドライバーとしていきたい</t>
  </si>
  <si>
    <t>目 標
会社全体の売上成長目標
(2023～2030年度)
売上高成長率：282.8％ (CAGR：16.0％)
売上高増加額：71.3億円
会社全体の賃上げ目標
(2023～2030年度)
1.95%
（直近事業年度～基準年度）
8.14%
（基準年度～事業化報告3年目）</t>
  </si>
  <si>
    <t>【p.1／取引先ニーズに応え得る増産体制の整備】
取引先ニーズに応え得る増産体制の整備
Vision
１ • 主要取引先の大手お菓子メーカーを中心とした受注で手一杯と
なっており、増産体制の整備が喫緊の課題
• 取引先のニーズに応え得る万全な生産体制を整えるとともに、
新規取引先の開拓を強化し、更なる成長を目指す
【p.1／絶え間ない商品開発力の追求】
絶え間ない商品開発力の追求
Vision
• 主要取引先との食品パッケージの共同開発の経験から、薄さや
2
耐久性に対する技術・ノウハウを保有
• 更なる環境負荷低減に向け、薄さの追求とリサイクル可能なモ
ノマテリアル軟包材の研究開発を進め、市場競争力を高める
【p.1／地域雇用のモデル企業としての進化】
地域雇用のモデル企業としての進化
Vision
• 当社の従業員は全て正社員での雇用
3
• 最新鋭の設備導入により省人化・省力化を進め、休日の増加や
労働時間の短縮と従業員の賃上げ実施を計画
• 今後も「職場環境の魅力化」につなげ、「従業員が誇りをもって
働ける職場」を作っていく
【p.1／売上成長目標】
目 標
会社全体の売上成長目標
(2023～2030年度)
売上高成長率：282.8％ (CAGR：16.0％)
売上高増加額：71.3億円
会社全体の賃上げ目標
(2023～2030年度)
1.95%
（直近事業年度～基準年度）
8.14%
（基準年度～事業化報告3年目）</t>
  </si>
  <si>
    <t>【p.1】
1.長期成長ビジョン 瀬戸内海印刷株式会社
・取引先のニーズに応え得る生産体制と技術力向上により、環境負荷の低減と当社の持続的な成長を両立
・従業員が誇りをもって働ける環境を整え、従業員の力を成長ドライバーとして地域に貢献できる企業を目指す
取引先ニーズに応え得る増産体制の整備 外発的動機
Vision
１ • 主要取引先の大手お菓子メーカーを中心とした受注で手一杯と 製品の需要拡大に伴う増産の必要性
なっており、増産体制の整備が喫緊の課題
・現状、主要取引先からの受注でほぼフル稼働の状態で、更なる需
• 取引先のニーズに応え得る万全な生産体制を整えるとともに、
要増加に十分に応えられていない状況
新規取引先の開拓を強化し、更なる成長を目指す
・当社の持続的な成長のためには、増産体制を整え、主要取引先か
絶え間ない商品開発力の追求 らの増産要請に応えるとともに、多様化する軟包装パッケージ市場
Vision
の需要を見極め、新たに開拓していくことが必要不可欠
2 • 主要取引先との食品パッケージの共同開発の経験から、薄さや
耐久性に対する技術・ノウハウを保有 環境負荷低減に向けた意識の高まり
• 更なる環境負荷低減に向け、薄さの追求とリサイクル可能なモ
・持続可能な社会の実現に向けた取組みが広がっており、パッケー
ノマテリアル軟包材の研究開発を進め、市場競争力を高める
ジ市場においても、省エネ・省資源の推進や、フィルムのリサイクル対
応、環境に配慮した製品など技術的な対応が求められている
地域雇用のモデル企業としての進化
Vision
3 • 当社の従業員は全て正社員での雇用 内発的動機
• 最新鋭の設備導入により省人化・省力化を進め、休日の増加や
労働時間の短縮と従業員の賃上げ実施を計画 従業員の就労環境を改善したい！
• 今後も「職場環境の魅力化」につなげ、「従業員が誇りをもって
・社長就任後、工場移転時や困難な場面等、さまざまな経験を通じ
働ける職場」を作っていく
て、最後に会社を支えてくれるのは「人」だと痛感
目 標 ・次の世代へと会社を成長させるのは、従業員の力だと認識してお
り、従業員が安心して働くことができて、安定した収入を得て、それを
会社全体の売上成長目標(2023～2030年度)
地域の消費につなげていく好循環に寄与することが、会社の存続意
売上高成長率：282.8％ (CAGR：16.0％)
義だと感じている
売上高増加額：71.3億円
・従業員の業務負荷の軽減と働きがいの向上、ダイバーシティの推進
会社全体の賃上げ目標(2023～2030年度) による従業員の多様化、福利厚生の充実による定着率向上やワー
クエンゲージメントの向上を図ることで、従業員の力を会社の将来を
1.95%（直近事業年度～基準年度）
創っていく成長ドライバーとしていきたい
8.14%（基準年度～事業化報告3年目）</t>
  </si>
  <si>
    <t>【p.2】
.補助事業の概要 瀬戸内海印刷株式会社
2
・既存工場隣地に第二工場を建設。最新のグラビア印刷用機械装置等を導入し、増産・生産性向上を図る
・併せて、環境負荷の低い製品や付加価値の高い製品の研究・開発に注力し、当社の総合力を高める
【背景】 (1) 取引先からの増産要請への対応と当社の持続的成長に向けた投資の必要性
(2) 環境規制や原材料価格などの外部環境変化
補助事業の 事業費 4,3 百万円
【目的】 (1) 増産体制の整備と技術・生産性向上：増産体制による取引先の成長戦略の確実な下支え 80
背景・目的 （補助額）（1, 百万円）
と、最新鋭の自動化設備による技術力と生産性向上 360
(2) 付加価値の高い商品開発：環境負荷を低減する機能性フィルムや多機能ラミネート開発に
よる、既存商品の付加価値向上及び新規取引先開拓
【実施内容】 印刷工場の新設 ＜外観イメージ図＞
【実施場所】 広島県広島市佐伯区石内北（敷地面積 4,455㎡）
【設備内訳】 【建物概要】
・建物 2,118百万円 用途：印刷工場
・機械 2,253百万円 規模：地上4階建
設備投資の
計 4,371百万円 面積：延べ床面積 5,280㎡
内容
【投資効果】
 生産能力の飛躍的な向上(既存設備と併せて現行の約2.5倍)
 最新鋭の自動化設備等の導入による省力化・省人化、人材再配置
及び製造スピード・柔軟性の向上
 開発力向上により唯一無二の商品を提供、取引先の成長戦略へ寄与
項目 基準年度 事業化報告3年目
労働生産性 44,423
18,038
（単位：千円/人） （年平均上昇率＋35.0％）
従業員1人あたり給与支給総額 7,758
目標値 5,967
（単位：千円/人） （年平均上昇率＋9.1％）
役員１人あたり給与支給総額 -
（単位：千円/人） - （年平均上昇率＋7.0％）
補助事業に係る従業員数
60 7
（単位：人） 6</t>
  </si>
  <si>
    <t>株式会社光洋
1.⾧期成⾧ビジョン
創意、熱意、奉仕の精神をモットーに、医療・健康・福祉に関わる総合企業として一人ひとりの気持ちに寄り添っ
た、モノづくりやサービスの提供を通して社会に貢献する</t>
  </si>
  <si>
    <t>⾧期成⾧ビジョン（目指す姿・ビジネスモデル）
介護・医療の現場のお役に立ち続けるオンリーワン企業へ
介護人材から選ばれる企業
 幅広いサービス提供により、超高齢社会到来における介護現場の
重い業務負担といった社会課題への解決手段を提供
在宅・地域ケアの支援
 在宅介護市場への製品・サービスを強化し、介護対象者の生活
の質改善はもちろん、介護人材の負担軽減まで配慮したサービス
提供により、地域包括ケアシステムを支える
高付加価値化の推進
 センサー付き紙おむつ等の科学的排泄ケア推進により、高付加価
値化を推進し、世界中で高齢社会を支える基盤となる</t>
  </si>
  <si>
    <t>外発的動機
• 日本は世界でも類を見ない超高齢社会へ突入し、2050年には高
齢者人口がピークを迎えると予測されている
• 超高齢社会においては、介護人材不足・地域医療体制の限界・
在宅介護の重圧など、医療・福祉の現場にはかつてない構造課題
が顕在化
• 特に現場における排泄介助や物品管理の負担は深刻であり、単な
るモノの提供ではなく、「業務を減らす」「人を助ける」製品・サービ
スが求められている
• 病院から在宅への移行や地域包括ケアの推進により、家庭や地域
を支える製品・仕組みへのニーズが急速に高まっている</t>
  </si>
  <si>
    <t>内発的動機
• 当社は創業以来、「排泄で悩まない社会をつくる」ことを使命とし、
病院や施設の現場で日々働く医療・介護従事者や、患者・利用
者・その家族の声に真正面から向き合ってきた
• 院内売店等を通じて病院業務の裏側まで支えてきた経験から、「モ
ノを売る」だけでなく、現場課題を解決するサービスの重要性を痛
感
• 現場起点で開発してきた数々の製品（前後どちらでも履けるおむ
つ等）やサービス（リネンレンタル等）を通じ、「社会課題に本質的
に寄与できる企業でありたい」という強い意思を持つ</t>
  </si>
  <si>
    <t>会社全体の売上成⾧目標（～2031年2月期）
• 売上高年平均成⾧率8.6％
• 売上高増加額246億円
会社全体の賃上げ目標
• 2.4%（直近事業年度～基準年度）
• 6.5%（基準年度～事業化報告3年目）</t>
  </si>
  <si>
    <t>【p.1／売上成長目標】
会社全体の売上成⾧目標（～2031年2月期）
• 売上高年平均成⾧率8.6％
• 売上高増加額246億円
会社全体の賃上げ目標
• 2.4%（直近事業年度～基準年度）
• 6.5%（基準年度～事業化報告3年目）</t>
  </si>
  <si>
    <t>【p.1】
株式会社光洋
1.⾧期成⾧ビジョン
創意、熱意、奉仕の精神をモットーに、医療・健康・福祉に関わる総合企業として一人ひとりの気持ちに寄り添っ
た、モノづくりやサービスの提供を通して社会に貢献する
⾧期成⾧ビジョン（目指す姿・ビジネスモデル） 外発的動機
• 日本は世界でも類を見ない超高齢社会へ突入し、2050年には高
介護・医療の現場のお役に立ち続けるオンリーワン企業へ 齢者人口がピークを迎えると予測されている
• 超高齢社会においては、介護人材不足・地域医療体制の限界・
介護人材から選ばれる企業 在宅介護の重圧など、医療・福祉の現場にはかつてない構造課題
 幅広いサービス提供により、超高齢社会到来における介護現場の が顕在化
重い業務負担といった社会課題への解決手段を提供 • 特に現場における排泄介助や物品管理の負担は深刻であり、単な
るモノの提供ではなく、「業務を減らす」「人を助ける」製品・サービ
在宅・地域ケアの支援
スが求められている
 在宅介護市場への製品・サービスを強化し、介護対象者の生活
• 病院から在宅への移行や地域包括ケアの推進により、家庭や地域
の質改善はもちろん、介護人材の負担軽減まで配慮したサービス
を支える製品・仕組みへのニーズが急速に高まっている
提供により、地域包括ケアシステムを支える
高付加価値化の推進
内発的動機
 センサー付き紙おむつ等の科学的排泄ケア推進により、高付加価
値化を推進し、世界中で高齢社会を支える基盤となる
• 当社は創業以来、「排泄で悩まない社会をつくる」ことを使命とし、
病院や施設の現場で日々働く医療・介護従事者や、患者・利用
会社全体の売上成⾧目標（～2031年2月期） 者・その家族の声に真正面から向き合ってきた
• 売上高年平均成⾧率8.6％
• 院内売店等を通じて病院業務の裏側まで支えてきた経験から、「モ
• 売上高増加額246億円
ノを売る」だけでなく、現場課題を解決するサービスの重要性を痛
会社全体の賃上げ目標
感
• 2.4%（直近事業年度～基準年度）
• 現場起点で開発してきた数々の製品（前後どちらでも履けるおむ
• 6.5%（基準年度～事業化報告3年目）
つ等）やサービス（リネンレンタル等）を通じ、「社会課題に本質的
に寄与できる企業でありたい」という強い意思を持つ</t>
  </si>
  <si>
    <t>【p.2】
株式会社光洋
2.補助事業の概要
新関東工場建設により生産能力を大幅に増強すると共に、新設備による30％の生産性向上や倉庫自動化、
国内物流効率の向上などにより、労働生産性の大幅向上を実現する
補助事業の • 既存工場は製造キャパシティが限界に近づきつつあり、需要に対して生産が追いつかない状況 事業費 5,191百万円
背景・目的 • 人手不足や一部設備老朽化から生産効率が低く、物流コストも利益を圧迫 （補助額） (1,134百万円)
新関東工場建設による生産能力強化・生産性大幅向上と中⾧期成⾧基盤の確立
【具体的な投資内容】
① 新工場建屋建設（18.8億円）
埼玉に新設する新工場を東日本の生産・物流拠点とすると共に、センサー付き
紙おむつ量産体制確立と研究開発ラボ併設による次世代製品開発推進
② 効率化設備導入（30億円）
設備投資の 従来マシンの1.3倍のスピードで稼働可能な高速マシンの導入と、資材・製品搬
内容 送の自動化設備導入、センサー付き紙おむつ量産体制確立
【補助事業により見込まれる効果】
• 生産拠点新設による生産キャパシティの大幅増
• 高速マシンの導入による生産性の従来比30％向上
• 搬送自動化による倉庫部門の生産性33％向上
• 最大マーケットである関東圏内に生産拠点を設けることによる物流効率化
項目 基準年度 事業化報告3年目
労働生産性 28,579千円/人
14,658千円/人
（単位:千円/人） （年平均上昇率＋24.9％）
従業員1人あたり給与支給総額 6,418千円/人
目標値 5,313千円/人
（単位:千円/人） （年平均上昇率＋6.5％）
役員１人あたり給与支給総額 -
-
（単位:千円/人） （年平均上昇率＋5.0％）
補助事業に係る従業員数
176人 214人
（単位:人）</t>
  </si>
  <si>
    <t>株式会社群馬コイケ
1.長期成長ビジョン
・ 大手依存から脱却すべく、成長市場への販売強化および海外展開を推進し、独自の価値創造を目指す。
・ 価格ではなく品質・対応力で選ばれるポジションを確立し、安定的な収益構造を構築する。
・ 現場・営業・経営の連携を強化し、環境変化に適応しながら持続的な成長を実現する。</t>
  </si>
  <si>
    <t>・ 大手依存から脱却すべく、成長市場への販売強化および海外展開を推進し、独自の価値創造を目指す。
・ 価格ではなく品質・対応力で選ばれるポジションを確立し、安定的な収益構造を構築する。
・ 現場・営業・経営の連携を強化し、環境変化に適応しながら持続的な成長を実現する。
・溶断機・切断機の要となるノズル火口の生産拡大へ対応。工程集約技術を活用し、クリーンで効率的な溶断
機・切断機部品の生産設備への大規模な投資を行う。</t>
  </si>
  <si>
    <t>長期成長ビジョン（目指す姿・ビジネスモデル）
メガトレンド
・造船業界の活況により、切断機のニーズが急増。
・受注拡大によるプラズマ切断機の需要が加速。
・自動化、省力化、無人化の流れを受けて、新製品開発が活性化。
・環境負荷や労働環境への配慮が重視されている。
目指す姿とビジネスモデル
・切断機関連部品の需要増に対応するため、生産能力と生産性
を高めた新工場を建設する。
省力化、デジタル化した新工場で生産能力を拡大。
客先（小池酸素工業）に隣接した立地により、新製品開発に
即応できる体制を整え、マーケットイン型の製品開発へシフト。
小池酸素工業と連携し、造船業界など成長分野での販路拡大
とグループ全体の競争力強化を図る。</t>
  </si>
  <si>
    <t>外発的動機
・客先製品の競争力向上に貢献するため、品質管理と原価低減の徹底
が強く求められている。
・プラズマ切断機の受注急増に対応し、生産対応力の強化が
急務となっている。
・顧客と連携した開発体制のもと、マーケットインの新製品開発を
主体的に推進したい。
新工場により生産性と供給力を高め、競争力ある部品供給体制を
確立する。
伸長する造船業界向け部品の安定供給と、原価の最適化を同時に
実現する。
小池酸素工業との共同開発を深化させ、海外拡販を加速する。</t>
  </si>
  <si>
    <t>内発的動機
・客先である小池酸素工業の部品製造部門として、さらなる品質向上と原
価低減を行う。
・切断機部品の独立メーカーとしての自負を持つ一方、価格競争での
淘汰リスクを認識。
・活況を呈するプラズマ切断機部品の需要の高まりに対応し、部品供給の
体制を整備。
・マーケットインの視点で新製品開発を強化し、切断機の交換部品の分野に
おける「KOIKE」ブランド（グループのブランド）の強みを活用。
・イミテーション品との価格競争に埋もれないために、付加価値創出に
注力する。</t>
  </si>
  <si>
    <t>【p.1／上段要旨】
・ 大手依存から脱却すべく、成長市場への販売強化および海外展開を推進し、独自の価値創造を目指す。
・ 価格ではなく品質・対応力で選ばれるポジションを確立し、安定的な収益構造を構築する。
・ 現場・営業・経営の連携を強化し、環境変化に適応しながら持続的な成長を実現する。
【p.1／売上成長目標】
会社全体の売上成長目標（直近決算～2030年度）
2024年度 2226百万円➨2030年度 5196百万円
• 売上高増加額2970百万円
• 売上高成長率15.2％
【p.2／上段要旨】
・溶断機・切断機の要となるノズル火口の生産拡大へ対応。工程集約技術を活用し、クリーンで効率的な溶断
機・切断機部品の生産設備への大規模な投資を行う。
【p.2／土気新工場 機械設備 ノズル・火口拡大】
土気新工場 機械設備 ノズル・火口拡大</t>
  </si>
  <si>
    <t>【p.1】
株式会社群馬コイケ
1.長期成長ビジョン
・ 大手依存から脱却すべく、成長市場への販売強化および海外展開を推進し、独自の価値創造を目指す。
・ 価格ではなく品質・対応力で選ばれるポジションを確立し、安定的な収益構造を構築する。
・ 現場・営業・経営の連携を強化し、環境変化に適応しながら持続的な成長を実現する。
長期成長ビジョン（目指す姿・ビジネスモデル） 外発的動機
・客先製品の競争力向上に貢献するため、品質管理と原価低減の徹底
が強く求められている。
メガトレンド
・プラズマ切断機の受注急増に対応し、生産対応力の強化が
・造船業界の活況により、切断機のニーズが急増。 急務となっている。
・受注拡大によるプラズマ切断機の需要が加速。 ・顧客と連携した開発体制のもと、マーケットインの新製品開発を
・自動化、省力化、無人化の流れを受けて、新製品開発が活性化。 主体的に推進したい。
・環境負荷や労働環境への配慮が重視されている。
新工場により生産性と供給力を高め、競争力ある部品供給体制を
目指す姿とビジネスモデル 確立する。
伸長する造船業界向け部品の安定供給と、原価の最適化を同時に
・切断機関連部品の需要増に対応するため、生産能力と生産性
実現する。
を高めた新工場を建設する。
小池酸素工業との共同開発を深化させ、海外拡販を加速する。
省力化、デジタル化した新工場で生産能力を拡大。
客先（小池酸素工業）に隣接した立地により、新製品開発に
即応できる体制を整え、マーケットイン型の製品開発へシフト。 内発的動機
小池酸素工業と連携し、造船業界など成長分野での販路拡大 ・客先である小池酸素工業の部品製造部門として、さらなる品質向上と原
とグループ全体の競争力強化を図る。 価低減を行う。
・切断機部品の独立メーカーとしての自負を持つ一方、価格競争での
淘汰リスクを認識。
・活況を呈するプラズマ切断機部品の需要の高まりに対応し、部品供給の
会社全体の売上成長目標（直近決算～2030年度） 体制を整備。
2024年度 2226百万円➨2030年度 5196百万円 ・マーケットインの視点で新製品開発を強化し、切断機の交換部品の分野に
• 売上高増加額2970百万円 おける「KOIKE」ブランド（グループのブランド）の強みを活用。
• 売上高成長率15.2％ ・イミテーション品との価格競争に埋もれないために、付加価値創出に
注力する。</t>
  </si>
  <si>
    <t>【p.2】
株式会社群馬コイケ
.補助事業の概要
2
・溶断機・切断機の要となるノズル火口の生産拡大へ対応。工程集約技術を活用し、クリーンで効率的な溶断
機・切断機部品の生産設備への大規模な投資を行う。
補助事業の • 溶断機、切断機部品事業に特化した新工場の設置 事業費 1612百万円
背景・目的 • 販売連携及び生産効率化のため、従来設備と比較して大型の生産設備の導入 （補助額） （ 百万円）
403
• 補助事業で導入する建物・設備等建物及び建物附属設備
経費項目 名称 投資額 労働生産性
・新規工場設立・小池酸素工業（完成
品）の隣接に建設により、サイクル短縮
新規プラント建設 10.8
と開発効率化。
建物費 （千葉県土気工 億円
・従業員の再配置、レイアウト最適化、
場）
設備投資の
作業環境改善により労働生産性を向上
土気新工場 機械設備 ノズル・火口拡大
内容
を実現する。
自動旋盤 ・省力化設備導入に伴う工程集約実施
自動盤バーマシン 5.3 ・生産工程の自動化により労働生産性
機械装置 洗浄機 億円 を向上
費 （環境対応） リース ・製品の高付加価値化
共同 ・時間あたり出来高増加し労働生産性
自動検査機
を向上
項目 基準年度 事業化報告3年目
労働生産性 13,782
5,511
（単位：千円/人） （年平均上昇率＋35.7％）
目標値 従業員1人あたり給与支給総額 5,938
4,848
（単位：千円/人） （年平均上昇率＋7.0％）
役員１人あたり給与支給総額 ー
ー
（単位：千円/人） （年平均上昇率＋ー％）
補助事業に係る従業員数
67 103
（単位：人）</t>
  </si>
  <si>
    <t>株式会社クボテック
1.長期成長ビジョン
• 拡大する半導体製造装置需要に対応すべく岩手県奥州市に新工場を建設する
• 積極的な賃上げにより奥州市での雇用を創出し、地域の発展に貢献する</t>
  </si>
  <si>
    <t>長期成長ビジョン（目指す姿・ビジネスモデル）
• 「半導体製造装置」「社会インフラ用装置」「一般産業用装置」の
3分野で事業を展開してきた当社は、世界的な半導体市場の拡
大に伴って更なる成長を実現する。
• 岩手県奥州市に新工場を建設し、製造キャパシティを2倍に拡大
する。奥州市の新工場建設を機に既存の神奈川県の工場を含め
た製造体制を整理し、半導体製造装置事業に偏った状況を見直
して社会インフラ用装置、一般産業用装置事業の売上も成長さ
せることを目指す。
• 半導体という新しい時代を象徴する技術を支える、新しい時代の
企業として、ゼロカーボンなどのサステナブルな製造体制の実現、生
産性向上、多様な人材に活躍してもらうためのLGBTQ+の取り組
みを推進し、取引先に信頼を得ながら、技術革新と環境変化に
対応できる企業体質を確立して着実に成長する。</t>
  </si>
  <si>
    <t>外発的動機
• 当社の主要製品である半導体製造装置向け制御盤が大きく影響
を受ける半導体の市場は、年平均成長率5～11％で成長すると
言われている。主要取引先各社が半導体市場におけるシェアを維
持するのであれば、当社への要求も同じ成長率で増加すると言える。
• 半導体業界ではサプライチェーンの最下流にGAFAMがいることなど
からも、ゼロカーボンや多様性に対する要求が高い。</t>
  </si>
  <si>
    <t>内発的動機
• 代表取締役の窪嶋は1997年に当社に入社、新たに半導体製造
装置向け制御盤の受注を実現させ、当時従業員約50名だった当
社を3倍以上の規模に成長させてきた。半導体製造装置の市場規
模の成長はまだまだ続くと確信している。
• 2012年の社長就任後にビジョン策定と人事制度見直しを行い、
従業員の内発的動機によってより良い会社になるよう努めてきた。
従業員主導のプロジェクトから環境保護やSDGsの取り組みが実現
されている。</t>
  </si>
  <si>
    <t>【p.1／売上成長目標】
会社全体の売上成長目標（～2029年）
• 売上高増加額4,691百万円
• 売上高成長率17.8％</t>
  </si>
  <si>
    <t>【p.1】
株式会社クボテック
1.長期成長ビジョン
• 拡大する半導体製造装置需要に対応すべく岩手県奥州市に新工場を建設する
• 積極的な賃上げにより奥州市での雇用を創出し、地域の発展に貢献する
長期成長ビジョン（目指す姿・ビジネスモデル） 外発的動機
• 「半導体製造装置」「社会インフラ用装置」「一般産業用装置」の • 当社の主要製品である半導体製造装置向け制御盤が大きく影響
を受ける半導体の市場は、年平均成長率5～11％で成長すると
3分野で事業を展開してきた当社は、世界的な半導体市場の拡
言われている。主要取引先各社が半導体市場におけるシェアを維
大に伴って更なる成長を実現する。
持するのであれば、当社への要求も同じ成長率で増加すると言える。
• 岩手県奥州市に新工場を建設し、製造キャパシティを2倍に拡大
する。奥州市の新工場建設を機に既存の神奈川県の工場を含め • 半導体業界ではサプライチェーンの最下流にGAFAMがいることなど
からも、ゼロカーボンや多様性に対する要求が高い。
た製造体制を整理し、半導体製造装置事業に偏った状況を見直
して社会インフラ用装置、一般産業用装置事業の売上も成長さ
せることを目指す。
• 半導体という新しい時代を象徴する技術を支える、新しい時代の
内発的動機
企業として、ゼロカーボンなどのサステナブルな製造体制の実現、生
産性向上、多様な人材に活躍してもらうためのLGBTQ+の取り組 • 代表取締役の窪嶋は1997年に当社に入社、新たに半導体製造
みを推進し、取引先に信頼を得ながら、技術革新と環境変化に 装置向け制御盤の受注を実現させ、当時従業員約50名だった当
対応できる企業体質を確立して着実に成長する。 社を3倍以上の規模に成長させてきた。半導体製造装置の市場規
模の成長はまだまだ続くと確信している。
会社全体の売上成長目標（～2029年）
• 2012年の社長就任後にビジョン策定と人事制度見直しを行い、
• 売上高増加額4,691百万円
従業員の内発的動機によってより良い会社になるよう努めてきた。
• 売上高成長率17.8％
従業員主導のプロジェクトから環境保護やSDGsの取り組みが実現
されている。</t>
  </si>
  <si>
    <t>【p.2】
株式会社クボテック
.補助事業の概要
2
• 岩手県奥州市に半導体製造装置事業向けの新工場を建設する
• 半導体製造装置向け制御盤の売上を伸ばすことで、賃上げを実現する
• 半導体製造装置市場の拡大に伴って半導体製造装置向け制御盤の引き合いが増加してい
補助事業の 事業費 1, 百万円
る。現在の神奈川県伊勢原市を中心とした当社の工場ではこの需要にしっかりと応えることが 387
背景・目的 （補助額） （ 百万円）
できない。 338
• 2020年度に「いわて半導体関連産業振興ビジョン」を策定し、半導体関連産業の 【工場内部のイメージ】
企業誘致に積極的な、岩手県奥州市の広表工業団地に半導体製造事業向け
の新工場を建設する。
• 制御盤製造では広いスペースに制御盤の躯体となる箱を置き、内部にケーブルなど
設備投資の の部品を組み上げていく。このため、大掛かりな工作機械などは必要としない。
内容
• 2018年、2021年、2024年と神奈川県伊勢原市で工場を増設してきたノウハウ
を活かし、最適な製造環境を整える。
項目 基準年度 事業化報告3年目
労働生産性 46,613千円/人
9,727千円/人
（単位：千円/人） （年平均上昇率＋68.6％）
目標値 従業員1人あたり給与支給総額 4,944千円/人
3,818千円/人
（単位：千円/人） （年平均上昇率＋9.0％）
役員１人あたり給与支給総額 -
-
（単位：千円/人） （年平均上昇率-%）
補助事業に係る従業員数
11人 39人
（単位：人）</t>
  </si>
  <si>
    <t>株式会社ヤマキ食品
1.長期成長ビジョン
漬物製造業界で先駆的な役割を担ってきた当社は、今後ICTや自動化設備の導入により、地域資源を活かした高付加価値商品の多品種少量
生産に対応していく。これにより農業の担い手育成やフードロス削減といった社会課題の解決と、事業収益性の向上の両立を実現し、持続可能な
ビジネスモデルとして業界全体のロールモデルとなることを目指す。</t>
  </si>
  <si>
    <t>長期成長ビジョン（目指す姿・ビジネスモデル）
当社は、地域農業と連携した高効率・高品質な製造体制の構築
を通じて、健康志向や簡便志向など多様化する消費者ニーズに応え
る商品を安定的に供給してきた。
今後は、ICTや自動化の導入、地域資源の活用、独自技術による
高付加価値化をさらに推進し、持続可能なビジネスモデルのもと、業
界のロールモデルとなることを目指す。
【重点方針】
• 非加熱カップ詰め漬物のパイオニアとして、全国へ高品質商品を安
定供給
• ICT・自動化導入による省人化・多品種少量生産の体制を確立
• 地域農業と連携した原料調達力と、地域資源活用による独自商
品開発力
• ISO22000取得・独自技術による高付加価値商品の差別化
• 農業の担い手育成・フードロス削減等、社会課題の解決と事業収
益性の両立
共生」を両立できる経営の可能
なぐ長期ビジョンとして描いている。</t>
  </si>
  <si>
    <t>外発的動機
・少子高齢化に伴う国内農業人口の減少により、漬物業界全体で安
定的な原料調達が年々困難になってきている。また、同業他社の撤
退・廃業が相次ぐ中、需要が一部の特定事業者に集中する構造が
加速している。
・一方で、消費者の間では健康志向や簡便志向の高まりが続いており、
減塩・無添加・小分けパック製品といった高付加価値商品のニーズが
拡大している。
・こうした社会的変化は、地域農業と連携した持続可能な食品製造
モデルの構築を目指す当社にとって、今後の成長を加速させる絶好の
機会であると捉えている。</t>
  </si>
  <si>
    <t>内発的動機
・代表者自身が当地域で生まれ育ち、農業の衰退と人口減少が密
接に結びついている現実を、長年にわたり目の当たりにしてきた。「農業
を持続可能な産業として成り立たせることで、地域の未来を支えたい」
という強い思いこそが、当社のビジネスモデルの原点である。
・加えて、地元農家との信頼関係を築く中で、収穫機の貸与による省
力化支援や、若手農家の育成といった取り組みを実践してきた。こうし
た経験を通じて、「ものづくり」と「地域共生」を両立できる経営の可能
性を確信しており、これを次世代につなぐ長期ビジョンとして描いている。</t>
  </si>
  <si>
    <t>【p.1／売上成長目標】
会社全体の売上成長目標
(直近決算2023～2030年度)
• 売上高増加額2,439百万円
• 売上高成長率12.7% (CAGR)
【p.2／設備投資の内容】
2,953,970千円
■設備投資の内容
本事業では、既存工場の老朽化や非効率な生産体制を抜本的
えた新工場を建設し、生産能力の大幅な向上と工程全体の最適
荷の各工程における自動化を徹底し、省人化と高効率化を同時に
ど少量多品種への柔軟な対応が可能な設備構成とすることで、短
応える体制を確立する。これにより、限られた人員でも生産量・納品
産性と安定供給体制の一層の強化が期待できる。さらに、契約農
生産キャパシティを確保し、持続的成長の基盤を構築する。
項目 基
労働生産性
（単位：千円/人）
従業員1人あたり給与支給総額
（単位：千円/人）</t>
  </si>
  <si>
    <t>【p.1】
株式会社ヤマキ食品
1.長期成長ビジョン
漬物製造業界で先駆的な役割を担ってきた当社は、今後ICTや自動化設備の導入により、地域資源を活かした高付加価値商品の多品種少量
生産に対応していく。これにより農業の担い手育成やフードロス削減といった社会課題の解決と、事業収益性の向上の両立を実現し、持続可能な
ビジネスモデルとして業界全体のロールモデルとなることを目指す。
長期成長ビジョン（目指す姿・ビジネスモデル） 外発的動機
・少子高齢化に伴う国内農業人口の減少により、漬物業界全体で安
当社は、地域農業と連携した高効率・高品質な製造体制の構築
定的な原料調達が年々困難になってきている。また、同業他社の撤
を通じて、健康志向や簡便志向など多様化する消費者ニーズに応え
退・廃業が相次ぐ中、需要が一部の特定事業者に集中する構造が
る商品を安定的に供給してきた。
加速している。
今後は、ICTや自動化の導入、地域資源の活用、独自技術による
・一方で、消費者の間では健康志向や簡便志向の高まりが続いており、
高付加価値化をさらに推進し、持続可能なビジネスモデルのもと、業
減塩・無添加・小分けパック製品といった高付加価値商品のニーズが
界のロールモデルとなることを目指す。
拡大している。
・こうした社会的変化は、地域農業と連携した持続可能な食品製造
【重点方針】
モデルの構築を目指す当社にとって、今後の成長を加速させる絶好の
• 非加熱カップ詰め漬物のパイオニアとして、全国へ高品質商品を安
機会であると捉えている。
定供給
• ICT・自動化導入による省人化・多品種少量生産の体制を確立
• 地域農業と連携した原料調達力と、地域資源活用による独自商
品開発力 内発的動機
• ISO22000取得・独自技術による高付加価値商品の差別化
・代表者自身が当地域で生まれ育ち、農業の衰退と人口減少が密
• 農業の担い手育成・フードロス削減等、社会課題の解決と事業収
接に結びついている現実を、長年にわたり目の当たりにしてきた。「農業
益性の両立
を持続可能な産業として成り立たせることで、地域の未来を支えたい」
という強い思いこそが、当社のビジネスモデルの原点である。
会社全体の売上成長目標
・加えて、地元農家との信頼関係を築く中で、収穫機の貸与による省
(直近決算2023～2030年度)
力化支援や、若手農家の育成といった取り組みを実践してきた。こうし
• 売上高増加額2,439百万円 た経験を通じて、「ものづくり」と「地域共生」を両立できる経営の可能
• 売上高成長率12.7% (CAGR) 性を確信しており、これを次世代につなぐ長期ビジョンとして描いている。</t>
  </si>
  <si>
    <t>【p.2】
株式会社ヤマキ食品
.補助事業の概要
2
本事業では、既存工場の生産能力では対応しきれなかった需要に対応すべく、最新の自動化設備を備えた新工場を建設し、工程全体の最適化
を図ることで生産能力の大幅な向上と省人化を実現する。生産能力の強化と合わせて契約農家との連携も強化することで、地域雇用の創出と持
続的な事業成長を目指す。
漬物業界は市場縮小や中小事業者の撤退が進み、安定した供給体制の維持が一層難しくなっている。当社でも、
既存工場の生産能力では増加する需要に十分対応できず、持続的成長の阻害要因となっていた。こうした課題に
補助事業の 対応するため、本事業では新工場の建設と最新設備の導入によって生産体制を抜本的に刷新し、供給力の強化、 事業費 2,9 百万円
94
背景・目的 省人化、高効率化を一体的に実現する。あわせて、小ロット・短納期など多様化する顧客ニーズにも柔軟に対応でき （補助額） （ 百万円）
736
る体制を構築し、契約農家との連携強化やPB商品の展開による販路拡大を通じて、地域雇用の創出と持続的な
事業成長を目指す。
■新工場
・設計費・監理費 2,800,000千円 ※設備投資金額については、3社から見積提案を
・設置一式 153,970千円 いただき、価格面、スペック面を検討した結果から
計画している。
2,953,970千円
■設備投資の内容
設備投資の 本事業では、既存工場の老朽化や非効率な生産体制を抜本的に刷新すべく、最新の自動化設備を備
内容 えた新工場を建設し、生産能力の大幅な向上と工程全体の最適化を図る。特に、加工・包装・仕分け・出
荷の各工程における自動化を徹底し、省人化と高効率化を同時に実現する。また、カップ詰めや個包装な
ど少量多品種への柔軟な対応が可能な設備構成とすることで、短納期・小ロットなど多様な取引ニーズに
応える体制を確立する。これにより、限られた人員でも生産量・納品量の大幅な拡大が可能となり、労働生
産性と安定供給体制の一層の強化が期待できる。さらに、契約農家との連携拡大にも柔軟に対応できる 新工場イメージ図
生産キャパシティを確保し、持続的成長の基盤を構築する。
項目 基準年度 事業化報告3年目
労働生産性
6,886 14,22 （年平均上昇率＋27. ％）
（単位：千円/人） 7 4
目標値 従業員1人あたり給与支給総額 3,670 4,433（年平均上昇率＋6.5％）
（単位：千円/人）
役員１人あたり給与支給総額
（年平均上昇率＋6.5％）
- -
（単位：千円/人）
補助事業に係る従業員数
105 120
（単位：人）</t>
  </si>
  <si>
    <t>杉プラスチック工業株式会社
1.長期成長ビジョン
・市場トレンドを敏感に察知し、飲料・食品向けプラスチック容器の新たな価値を創造する製品開発に注力していく
・当社の成長を通じ、従業員の賃上げ・雇用促進・地域経済の活性化・サーキュラーエコノミーへの貢献を実現する</t>
  </si>
  <si>
    <t>長期成長ビジョン（目指す姿・ビジネスモデル）
〈基本方針〉
プラスチック容器の成形メーカーとして、さらなる多様化や高性能化への対応に加え、プラスチック製品の環境問題に対応した
「サステナビリティ×品質」の両立を掲げ、プラスチック容器の価値創造を通じて循環経済(サーキュラーエコノミー)へ貢献する。
〈重点戦略〉
1. 今までにない価値を創造する製品開発 2. 生産体制の大幅強化によるシェア拡大
当社の強みは大手メーカーが参入しにくいプラスチック容器の多品種少量 清涼飲料水の生産量は増加しており、そのうちペットボトル容器は79%を
生産であるが、更なる価値創造に向けて、他企業や異業種との共同開 占め年々シェアを高めている。容器素材がガラスや缶からペットボトルに変化
発を積極的に進め、他社が追随できない新たな製品開発を目指す。 している現状を好機ととらえ、生産体制の強化によるシェア拡大を実現する。
3. 環境に配慮したプラスチック容器製品の推進 4. 生産工場のスマートファクトリー化による付加価値の向上
ペットボトルは、食料品や飲料物など品質を守る容器包装として、重要 第一工場の一部と第三工場の機能を集約した新工場にてプラスチック容
な役割を担う一方、製造から廃棄に至るまで多くの資源エネルギーを消 器・プリフォーム製造のスマートファクトリー化を行い、従業員の負担を削減し、
費する。当社はSDGs等に対応した製造工程・製品の浸透を目指す。 ワクワクする労働環境を整え、さらなる付加価値を生みだす。
〈売上成長目標〉
■2030年度の会社全体の売上高成長率268.6%増 ■2030年度に会社全体の売上高増加額42.42億円</t>
  </si>
  <si>
    <t>外発的動機
産要望の多様化・高性能化が続く顧客ニーズ 1
製や缶製からペットボトルやフィルム製への変化 2
促進法や大阪ブルー・オーシャン・ビジョンの実現 3
減少の懸念による省力化・省人化の高まり 4</t>
  </si>
  <si>
    <t>内発的動機
客から選ばれる価値ある製品を創造し続けたい
進め、取引先からの発注量増加要請に応えたい
ネスモデルを追求し、地域社会に貢献したい
目指し、従業員の満足度向上と賃上げを実現</t>
  </si>
  <si>
    <t>〈売上成長目標〉
■2030年度の会社全体の売上高成長率268.6%増 ■</t>
  </si>
  <si>
    <t>【p.1／売上成長目標】
〈売上成長目標〉
■2030年度の会社全体の売上高成長率268.6%増 ■</t>
  </si>
  <si>
    <t>【p.1】
杉プラスチック工業株式会社
1.長期成長ビジョン
・市場トレンドを敏感に察知し、飲料・食品向けプラスチック容器の新たな価値を創造する製品開発に注力していく
・当社の成長を通じ、従業員の賃上げ・雇用促進・地域経済の活性化・サーキュラーエコノミーへの貢献を実現する
長期成長ビジョン（目指す姿・ビジネスモデル）
〈基本方針〉
プラスチック容器の成形メーカーとして、さらなる多様化や高性能化への対応に加え、プラスチック製品の環境問題に対応した
「サステナビリティ×品質」の両立を掲げ、プラスチック容器の価値創造を通じて循環経済(サーキュラーエコノミー)へ貢献する。
〈重点戦略〉
1. 今までにない価値を創造する製品開発 2. 生産体制の大幅強化によるシェア拡大
当社の強みは大手メーカーが参入しにくいプラスチック容器の多品種少量 清涼飲料水の生産量は増加しており、そのうちペットボトル容器は79%を
生産であるが、更なる価値創造に向けて、他企業や異業種との共同開 占め年々シェアを高めている。容器素材がガラスや缶からペットボトルに変化
発を積極的に進め、他社が追随できない新たな製品開発を目指す。 している現状を好機ととらえ、生産体制の強化によるシェア拡大を実現する。
3. 環境に配慮したプラスチック容器製品の推進 4. 生産工場のスマートファクトリー化による付加価値の向上
ペットボトルは、食料品や飲料物など品質を守る容器包装として、重要 第一工場の一部と第三工場の機能を集約した新工場にてプラスチック容
な役割を担う一方、製造から廃棄に至るまで多くの資源エネルギーを消 器・プリフォーム製造のスマートファクトリー化を行い、従業員の負担を削減し、
費する。当社はSDGs等に対応した製造工程・製品の浸透を目指す。 ワクワクする労働環境を整え、さらなる付加価値を生みだす。
〈売上成長目標〉
■2030年度の会社全体の売上高成長率268.6%増 ■2030年度に会社全体の売上高増加額42.42億円
外発的動機 内発的動機
1. 差別化に向けた生産要望の多様化・高性能化が続く顧客ニーズ 1. 次の50年に向けて顧客から選ばれる価値ある製品を創造し続けたい
2. 容器素材のガラス製や缶製からペットボトルやフィルム製への変化 2. 生産体制の強化を進め、取引先からの発注量増加要請に応えたい
3. プラスチック資源循環促進法や大阪ブルー・オーシャン・ビジョンの実現 3. 持続可能なビジネスモデルを追求し、地域社会に貢献したい
4. 今後の労働人口減少の懸念による省力化・省人化の高まり 4. ワクワクする製造業を目指し、従業員の満足度向上と賃上げを実現</t>
  </si>
  <si>
    <t>【p.2】
杉プラスチック工業株式会社
.補助事業の概要/補助事業内容と投資内容
2
・総額14.7億円の設備投資により、マーケット状況にあったプラスチック容器・プリフォームの製造を可能とする
・本事業により、労働生産性は年平均26.3%、一人当たり給与支給総額は6.6%の上昇を見込む
■背景・目的：①プラスチック容器・プリフォームの生産量拡大 ②環境配慮型製品の開発強化 ③自動化による生産性向上
補助事業の
■課題：①工場内のスペースが足りず、生産量を拡大すると保管スペースがひっ迫し稼働が停止する
背景・目的 事業費 20 億円
②環境に配慮した製造体制で進めたいが、築50年以上の建物かつ所有する旧式設備では難しい
③今後の労働人口減への対策が挙げられるなか、設備が古く目視作業が多いため効率性が低い (補助額) (4.9億円)
新工場 製造設備 検査装置
IPS射出成形機 リークテスター×3台
(キュービクル・コンプレッサー等含む)
投資内容
課題①～③に対応 課題②～③に対応 課題③に対応
プラスチック容器とプリフォームを PETプリフォームの製造に特化し これまで目視検査による手間や検
設備投資
製造する新工場を建設する。 た設備。従来、人の手が掛かっ 査の数値化の困難さから非効率
による主な
保管スペースを広く確保すること ていた取り出し、組立、検査の だった検査工程を、リークテスターに
解決方法
ができるため、生産量を拡大し 自動化を可能とし、省力化・省 よる高感度差圧センサーにより検査
ても理想的な稼働が可能となる。 人化による生産性向上に寄与。 の数値化・自動化を可能とする。
項目 2027年度（基準年度） 2030年度（事業化報告3年目）
（単
労
位
働
：
生
千
産
円
性
/人）
7,397
（年平均上
1
昇
4,8
率
9
＋
9
26.3％）
目標値 従業員1人あたり給与支給総額
4,704
5,699
（単位：千円/人） （年平均上昇率＋6.6％）
役員１人あたり給与支給総額
-
（単位：千円/人） - （年平均上昇率＋6.6％）
補助事業に係る従業員数
106 112
（単位：人）</t>
  </si>
  <si>
    <t>株式会社タンケンシールセーコウ
1.長期成長ビジョン
・創業以来約70年に渡りカーボン技術を活かした製品を製造している当社は、生産能力および付加価値向上
を通じて、ニッチトップメーカーとしての確固たる地位を確立し、2031年3月期に売上高128億円を達成する</t>
  </si>
  <si>
    <t>長期成長ビジョン（目指す姿・ビジネスモデル）
• カーボン技術を通じて培った知見と信頼を活かし、社会
•
課題の解決に資する事業展開を推進する
• シールメーカーとして、カーボン技術を駆使したメカニカル
シール製品の高度化と、保守・運用等のアフターサービス
内
の更なる強化を通じて新たな価値を創造する
•
• ペロブスカイト太陽電池をはじめとする高機能フィルム分
野において、生産技術に革新をもたらす多孔質カーボン
の供給体制強化を通じ、国内先端分野の技術革新を
•
支えるニッチトップとしての地位を確立する</t>
  </si>
  <si>
    <t>外発的動機
• 半導体やペロブスカイト太陽電池等の高機能フィルム等の分野
では、歩留まり・生産性向上等を目的とし、高性能かつ信頼性
の高いカーボン製品が求められている
• 石油等の産業プラントで使用されるメカニカルシールは、稼働安
定性に直結する重要部品であり、更なる付加価値向上が期待
されている
• 脱炭素・環境配慮型社会の進展に伴い、ペロブスカイト太陽
電池等の新領域が注目されており、このような社会的要請に応
える企業姿勢が期待されている</t>
  </si>
  <si>
    <t>内発的動機
• 創業者の「技術は兵器ではなく、人々の安全と安心のために
活かすべき」との理念のもと、社会に貢献する技術開発を使命
としてきた
• 石油等の産業プラントにおける流体漏れが重大事故に繋がるこ
とに強い危機感を抱き、カーボン技術を活用したメカニカルシー
ルの開発・普及を通じて安全運転連続操業のサポートに取り組
んできた
• 半導体や太陽電池等の先端分野でのカーボン製品需要が急
増しており、供給体制強化に向けた設備投資が必要であると
の認識に至った</t>
  </si>
  <si>
    <t>当社の概要
• 世界で唯一、メカニカルシールメーカーとしてカーボン部品を内製
• 創業以来約70年に渡りカーボンの加工技術やノウハウを蓄積
①メカニカルシール事業…流体漏れを防ぐメカニカルシールを製造
②PCP事業…無数の孔をもつ多孔質カーボン製品を製造
③カーボン事業…カーボンリング等の各種カーボン製品を製造
長期成長ビジョン（目指す姿・ビジネスモデル）
• カーボン技術を通じて培った知見と信頼を活かし、社会
課題の解決に資する事業展開を推進する
• シールメーカーとして、カーボン技術を駆使したメカニカル
シール製品の高度化と、保守・運用等のアフターサービス
の更なる強化を通じて新たな価値を創造する
• ペロブスカイト太陽電池をはじめとする高機能フィルム分
野において、生産技術に革新をもたらす多孔質カーボン
の供給体制強化を通じ、国内先端分野の技術革新を
支えるニッチトップとしての地位を確立する</t>
  </si>
  <si>
    <t>【p.1／当社・会社の概要】
当社の概要
• 世界で唯一、メカニカルシールメーカーとしてカーボン部品を内製
• 創業以来約70年に渡りカーボンの加工技術やノウハウを蓄積
①メカニカルシール事業…流体漏れを防ぐメカニカルシールを製造
②PCP事業…無数の孔をもつ多孔質カーボン製品を製造
③カーボン事業…カーボンリング等の各種カーボン製品を製造
長期成長ビジョン（目指す姿・ビジネスモデル）
• カーボン技術を通じて培った知見と信頼を活かし、社会
課題の解決に資する事業展開を推進する
• シールメーカーとして、カーボン技術を駆使したメカニカル
シール製品の高度化と、保守・運用等のアフターサービス
の更なる強化を通じて新たな価値を創造する
• ペロブスカイト太陽電池をはじめとする高機能フィルム分
野において、生産技術に革新をもたらす多孔質カーボン
の供給体制強化を通じ、国内先端分野の技術革新を
支えるニッチトップとしての地位を確立する
【p.1／売上成長目標】
会社全体の売上成長目標（2025/3～2031/3）
• 売上高増加額：6,443百万円 （6,379→12,822百万円）
• 売上高の年平均成長率（CAGR）：12.3％</t>
  </si>
  <si>
    <t>【p.1】
株式会社タンケンシールセーコウ
1.長期成長ビジョン
・創業以来約70年に渡りカーボン技術を活かした製品を製造している当社は、生産能力および付加価値向上
を通じて、ニッチトップメーカーとしての確固たる地位を確立し、2031年3月期に売上高128億円を達成する
当社の概要 外発的動機
• 半導体やペロブスカイト太陽電池等の高機能フィルム等の分野
• 世界で唯一、メカニカルシールメーカーとしてカーボン部品を内製
• 創業以来約70年に渡りカーボンの加工技術やノウハウを蓄積 では、歩留まり・生産性向上等を目的とし、高性能かつ信頼性
①メカニカルシール事業…流体漏れを防ぐメカニカルシールを製造 の高いカーボン製品が求められている
②PCP事業…無数の孔をもつ多孔質カーボン製品を製造
③カーボン事業…カーボンリング等の各種カーボン製品を製造 • 石油等の産業プラントで使用されるメカニカルシールは、稼働安
定性に直結する重要部品であり、更なる付加価値向上が期待
長期成長ビジョン（目指す姿・ビジネスモデル）
されている
• カーボン技術を通じて培った知見と信頼を活かし、社会
• 脱炭素・環境配慮型社会の進展に伴い、ペロブスカイト太陽
課題の解決に資する事業展開を推進する
電池等の新領域が注目されており、このような社会的要請に応
える企業姿勢が期待されている
• シールメーカーとして、カーボン技術を駆使したメカニカル
シール製品の高度化と、保守・運用等のアフターサービス
内発的動機
の更なる強化を通じて新たな価値を創造する
• 創業者の「技術は兵器ではなく、人々の安全と安心のために
活かすべき」との理念のもと、社会に貢献する技術開発を使命
• ペロブスカイト太陽電池をはじめとする高機能フィルム分
としてきた
野において、生産技術に革新をもたらす多孔質カーボン
の供給体制強化を通じ、国内先端分野の技術革新を
• 石油等の産業プラントにおける流体漏れが重大事故に繋がるこ
支えるニッチトップとしての地位を確立する
とに強い危機感を抱き、カーボン技術を活用したメカニカルシー
ルの開発・普及を通じて安全運転連続操業のサポートに取り組
会社全体の売上成長目標（2025/3～2031/3）
んできた
• 売上高増加額：6,443百万円 （6,379→12,822百万円）
• 売上高の年平均成長率（CAGR）：12.3％ • 半導体や太陽電池等の先端分野でのカーボン製品需要が急
増しており、供給体制強化に向けた設備投資が必要であると
の認識に至った</t>
  </si>
  <si>
    <t>【p.2】
株式会社タンケンシールセーコウ
.補助事業の概要
2
半導体・フラットパネルディスプレイ・ペロブスカイト太陽電池等、成長が著しい各種分野におけるカーボン製品の
需要拡大に対応すべく、大規模投資を通じて当社のカーボン材の生産能力を飛躍的に向上させる
補助事業の • 主力のシール製品向け摺動材に加え、成長市場向けカーボン製品の受注増加に対応するため 事業費 4, 百万円
181
背景・目的 生産能力の増加と省力化を兼ね備えた生産体制を確立する （補助額） （1, 百万円）
269
①伊那新工場の建設（投資額：3,644百万円） ②カーボン材の各種生産設備の導入（投資額：628百万円）
• 当社は国内に３か所の生産拠点を有するものの、生産能力 • 設備導入により、カーボン材の生産能力を倍増する（従来比）
は既に限界を迎えている • これまで手動で行っていたカーボン材製造工程の自動化・省力化
• 長野県伊那市に新工場を建設することで、生産能力を増強 を通じて、労働生産性の向上に繋げる
させる
＜伊那新工場の完成イメージ（予定）＞ ＜WET CIP装置＞ ＜乾式CIP装置＞
設備投資の
内容
基準年度 事業化報告3年目
項目
(2028年3月期） （2031年3月期）
労働生産性 23,050
11,873
（単位：千円/人） （年平均上昇率＋24.7％）
目標値 従業員1人あたり給与支給総額
7,292
8,735
（単位：千円/人） （年平均上昇率＋6.2％）
役員１人あたり給与支給総額
-
（単位：千円/人） - （年平均上昇率＋6.2％）
補助事業に係る従業員数
250 272
（単位：人）</t>
  </si>
  <si>
    <t>株式会社キィポーション
1.長期成長ビジョン
国内地方菓子製造業との機能分化・連携強化での「総合ODM流通加工業者」への事業高度化にて揖斐郡池田
町を中心とした岐阜県西濃地区での年商10,000百万円企業へのステップアップを実現する。
○岐阜県における交通インフラ網を活用した国内、特に後継者難、人手不足で悩む地方菓子製造業者と国内大手流通業者との機能分化・連携を強化す
ることでの国内外菓子市場への流通網拡大により、全国菓子製造業の全国展開、及び海外進出を支援する。
○当社自身も包装加工業者から流通加工業者へのステップアップ、製品安定供給に向けた生産・物流拠点の整備、独自技術として磨き上げてきた包装
機改造ノウハウを活用した生産設備充実化にて、岐阜県揖斐郡池田町内・西濃地区内での女性中心の雇用創出への貢献を当社自身の成長に繋げる。</t>
  </si>
  <si>
    <t>○岐阜県における交通インフラ網を活用した国内、特に後継者難、人手不足で悩む地方菓子製造業者と国内大手流通業者との機能分化・連携を強化す
ることでの国内外菓子市場への流通網拡大により、全国菓子製造業の全国展開、及び海外進出を支援する。
○当社自身も包装加工業者から流通加工業者へのステップアップ、製品安定供給に向けた生産・物流拠点の整備、独自技術として磨き上げてきた包装
機改造ノウハウを活用した生産設備充実化にて、岐阜県揖斐郡池田町内・西濃地区内での女性中心の雇用創出への貢献を当社自身の成長に繋げる。</t>
  </si>
  <si>
    <t>長期成長ビジョン（目指す姿・ビジネスモデル）
• 国内菓子製造業者における製品マッチング機能のみでなく、当社内でのロースト、味付
けなどの追加加工実施による川下流通業者（菓子問屋、小売業等）における商品差別化
ニーズを捉えたプライベートブランド製品提供能力を強化
 単なるOEM包装加工業者から「製品企画・設計、包装、保管・流通」までをワンストッ
プで対応する新たな「総合ODM（Original Design Manufacturing）流通加工業者」へス
テップアップすることで競合他社との差別化要因を強化
過去の包装加工業進出時より当社独自に包装機メーカーとノウハウを蓄積してきた最新
•
包装技術を用いた製造能力強化と岐阜県内・東海エリアにおける交通インフラを活用し
た流通機能強化による国内外製品流通網の整備。
 川上業者である国内、特に地方中小・小規模菓子製造業者における市場拡大・安定供
給網提供による地方中小・小規模菓子製造業者のサステナビリティの強化支援。
• 地元揖斐郡池田町内、西濃地区にて「製品企画・設計、包装、保管・流通」といった多
様な仕事を女性に提供することで人手不足といった外部環境に依存しない組織力の強化。
 大規模成長投資と池田町と連携した地域女性雇用促進と人材育成にて安定した生産・事
業運営での安定成長を目指す。
○売上成長目標
【2030年6月期（事業化報告3年目）における会社全体の売上目標】
会社全体の売上目標：9,603,625,177円
（基準年度である2027年6月期よりCAGR32.84％成長、＋5,507百万円増加）
 2025年6月期（決算試算）までに3,841百万円へ伸長させた売上高を、川下業者へのプ
ライベートブランド製品企画・開発・提案力・製造能力強化にて成長する海外市場へ
の規模の経済性発揮による総合流通加工サービス拡大での売上拡大を目指す。
○会社全体の1人当たり賃上げ目標
【直前事業年度（2024年6月期）～基準年度（2027年6月期）：CAGR5.43％】
【基準年度（2027年6月期）～事業化報告3年目（2030年6月期）：CAGR5.73％】
 基準年度まで人員増加17人（2025年6月期6人増）にて給与支給総額CAGR10.31％成長を
図るとともに、補助事業必要人員として追加雇用35人での合計165人体制とすることで、
基準年度から事業化報告3年目までに給与支給総額CAGR14.28％成長を実現する。</t>
  </si>
  <si>
    <t>外発的動機 （詳細はスライド8参照）
○成長のために捉えていく事業機会
• 食品加工業者である当社・地域菓子製造業者にとっての経済産業
省「グリーン成長戦略」、農林水産省「みどりの食料システム戦
略」でのサプライチェーン各段階での食品産業支援の充実化。
• 国内市場での多品種小ロット化進行での問題解決に繋がる農林水
産物・食品の輸出額拡大、2024年、過去最高1兆5,073億円記録等、
日本製食品への高い信頼性を背景とした世界的需要の高まり。
• 成長に不可欠となる人材確保における年収の壁段階的撤廃気運の
高まりでの働きたい女性増加を受けた当社の拠点でる池田町にお
ける雇用促進活動の活発化。
○成長のために回避していく脅威
• 当社の収益性・生産性低下の要因となる国内人口減少での国内菓
子市場縮小、一般消費者のトレンド、製品ライフサイクル短縮化。
• 地方菓子製造業者での製品ライフサイクル短縮化への対応のため
の設備投資負担拡大、後継者不足による事業縮小、撤退の加速化。</t>
  </si>
  <si>
    <t>内発的動機 （詳細はスライド10参照）
○強みの更なる強化による成長に繋がる受注の獲得
• 国内A社からのナッツ類ロースト加工受注、及び国内B社、C社か
らの海外輸出事業本格参入要請など、「製品企画・設計、製造、
保管・流通」までを一貫して対応する当社サービス機能でのこれ
までに無い市場拡大・加工技術拡大での課題解決機会の獲得。
○成長に向けて解決する弱みの顕在化
• 9工場体制での工場分散化による移動のムダ、高コスト化にて包
装機改造ノウハウを生かし切れていないことでの売上成長の鈍化
を中心とした売上持続性・生産性・健全性・効率性・安全性での
弱みの顕在化。
• 作業員時給段階的引き上げも年収の壁を意識した勤務時間短縮化、
これによる人手不足による生産能力強化の限界、人材の確保難で
の企画・開発・生産管理人材など成長に必要となる人材の不足。
4</t>
  </si>
  <si>
    <t>○売上成長目標
【2030年6月期（事業化報告3年目）における会社全体の売上目標】
会社全体の売上目標：9,603,625,177円
（基準年度である2027年6月期よりCAGR32.84％成長、＋5,507百万円増加）
 2025年6月期（決算試算）までに3,841百万円へ伸長させた売上高を、川下業者へのプ
ライベートブランド製品企画・開発・提案力・製造能力強化にて成長する海外市場へ
の規模の経済性発揮による総合流通加工サービス拡大での売上拡大を目指す。
○会社全体の1人当たり賃上げ目標
【直前事業年度（2024年6月期）～基準年度（2027年6月期）：CAGR5.43％】
【基準年度（2027年6月期）～事業化報告3年目（2030年6月期）：CAGR5.73％】
 基準年度まで人員増加17人（2025年6月期6人増）にて給与支給総額CAGR10.31％成長を
図るとともに、補助事業必要人員として追加雇用35人での合計165人体制とすることで、
基準年度から事業化報告3年目までに給与支給総額CAGR14.28％成長を実現する。</t>
  </si>
  <si>
    <t>【p.1／上段要旨】
○岐阜県における交通インフラ網を活用した国内、特に後継者難、人手不足で悩む地方菓子製造業者と国内大手流通業者との機能分化・連携を強化す
ることでの国内外菓子市場への流通網拡大により、全国菓子製造業の全国展開、及び海外進出を支援する。
○当社自身も包装加工業者から流通加工業者へのステップアップ、製品安定供給に向けた生産・物流拠点の整備、独自技術として磨き上げてきた包装
機改造ノウハウを活用した生産設備充実化にて、岐阜県揖斐郡池田町内・西濃地区内での女性中心の雇用創出への貢献を当社自身の成長に繋げる。
【p.1／売上成長目標】
○売上成長目標
【2030年6月期（事業化報告3年目）における会社全体の売上目標】
会社全体の売上目標：9,603,625,177円
（基準年度である2027年6月期よりCAGR32.84％成長、＋5,507百万円増加）
 2025年6月期（決算試算）までに3,841百万円へ伸長させた売上高を、川下業者へのプ
ライベートブランド製品企画・開発・提案力・製造能力強化にて成長する海外市場へ
の規模の経済性発揮による総合流通加工サービス拡大での売上拡大を目指す。
○会社全体の1人当たり賃上げ目標
【直前事業年度（2024年6月期）～基準年度（2027年6月期）：CAGR5.43％】
【基準年度（2027年6月期）～事業化報告3年目（2030年6月期）：CAGR5.73％】
 基準年度まで人員増加17人（2025年6月期6人増）にて給与支給総額CAGR10.31％成長を
図るとともに、補助事業必要人員として追加雇用35人での合計165人体制とすることで、
基準年度から事業化報告3年目までに給与支給総額CAGR14.28％成長を実現する。
【p.2／設備投資の内容】
【設備投資の内容】 ①ムダ排除・管理能力強化のための5工場を集
②国内外流通網拡大と収益性・生産性向上の
20
項目
（基
労働生産性
6,02
（単位：円/人）
従業員1人あたり給与支給総額
3,74
（単位：円/人）
役員１人あたり給与支給総額
（単位：円/人）
補助事業に係る従業員数
（単位：人）</t>
  </si>
  <si>
    <t>【p.1】
株式会社キィポーション
1.長期成長ビジョン
国内地方菓子製造業との機能分化・連携強化での「総合ODM流通加工業者」への事業高度化にて揖斐郡池田
町を中心とした岐阜県西濃地区での年商10,000百万円企業へのステップアップを実現する。
○岐阜県における交通インフラ網を活用した国内、特に後継者難、人手不足で悩む地方菓子製造業者と国内大手流通業者との機能分化・連携を強化す
ることでの国内外菓子市場への流通網拡大により、全国菓子製造業の全国展開、及び海外進出を支援する。
○当社自身も包装加工業者から流通加工業者へのステップアップ、製品安定供給に向けた生産・物流拠点の整備、独自技術として磨き上げてきた包装
機改造ノウハウを活用した生産設備充実化にて、岐阜県揖斐郡池田町内・西濃地区内での女性中心の雇用創出への貢献を当社自身の成長に繋げる。
長期成長ビジョン（目指す姿・ビジネスモデル） 外発的動機 （詳細はスライド8参照）
• 国内菓子製造業者における製品マッチング機能のみでなく、当社内でのロースト、味付 ○成長のために捉えていく事業機会
けなどの追加加工実施による川下流通業者（菓子問屋、小売業等）における商品差別化 • 食品加工業者である当社・地域菓子製造業者にとっての経済産業
ニーズを捉えたプライベートブランド製品提供能力を強化 省「グリーン成長戦略」、農林水産省「みどりの食料システム戦
 単なるOEM包装加工業者から「製品企画・設計、包装、保管・流通」までをワンストッ 略」でのサプライチェーン各段階での食品産業支援の充実化。
プで対応する新たな「総合ODM（Original Design Manufacturing）流通加工業者」へス • 国内市場での多品種小ロット化進行での問題解決に繋がる農林水
テップアップすることで競合他社との差別化要因を強化 産物・食品の輸出額拡大、2024年、過去最高1兆5,073億円記録等、
日本製食品への高い信頼性を背景とした世界的需要の高まり。
• 過去の包装加工業進出時より当社独自に包装機メーカーとノウハウを蓄積してきた最新
包装技術を用いた製造能力強化と岐阜県内・東海エリアにおける交通インフラを活用し • 成長に不可欠となる人材確保における年収の壁段階的撤廃気運の
高まりでの働きたい女性増加を受けた当社の拠点でる池田町にお
た流通機能強化による国内外製品流通網の整備。
ける雇用促進活動の活発化。
 川上業者である国内、特に地方中小・小規模菓子製造業者における市場拡大・安定供
○成長のために回避していく脅威
給網提供による地方中小・小規模菓子製造業者のサステナビリティの強化支援。
• 当社の収益性・生産性低下の要因となる国内人口減少での国内菓
• 地元揖斐郡池田町内、西濃地区にて「製品企画・設計、包装、保管・流通」といった多 子市場縮小、一般消費者のトレンド、製品ライフサイクル短縮化。
様な仕事を女性に提供することで人手不足といった外部環境に依存しない組織力の強化。
• 地方菓子製造業者での製品ライフサイクル短縮化への対応のため
 大規模成長投資と池田町と連携した地域女性雇用促進と人材育成にて安定した生産・事 の設備投資負担拡大、後継者不足による事業縮小、撤退の加速化。
業運営での安定成長を目指す。
内発的動機 （詳細はスライド10参照）
○売上成長目標 ○強みの更なる強化による成長に繋がる受注の獲得
【2030年6月期（事業化報告3年目）における会社全体の売上目標】 • 国内A社からのナッツ類ロースト加工受注、及び国内B社、C社か
会社全体の売上目標：9,603,625,177円 らの海外輸出事業本格参入要請など、「製品企画・設計、製造、
（基準年度である2027年6月期よりCAGR32.84％成長、＋5,507百万円増加） 保管・流通」までを一貫して対応する当社サービス機能でのこれ
 2025年6月期（決算試算）までに3,841百万円へ伸長させた売上高を、川下業者へのプ までに無い市場拡大・加工技術拡大での課題解決機会の獲得。
ライベートブランド製品企画・開発・提案力・製造能力強化にて成長する海外市場へ ○成長に向けて解決する弱みの顕在化
の規模の経済性発揮による総合流通加工サービス拡大での売上拡大を目指す。 • 9工場体制での工場分散化による移動のムダ、高コスト化にて包
○会社全体の1人当たり賃上げ目標 装機改造ノウハウを生かし切れていないことでの売上成長の鈍化
【直前事業年度（2024年6月期）～基準年度（2027年6月期）：CAGR5.43％】 を中心とした売上持続性・生産性・健全性・効率性・安全性での
【基準年度（2027年6月期）～事業化報告3年目（2030年6月期）：CAGR5.73％】 弱みの顕在化。
 基準年度まで人員増加17人（2025年6月期6人増）にて給与支給総額CAGR10.31％成長を • 作業員時給段階的引き上げも年収の壁を意識した勤務時間短縮化、
図るとともに、補助事業必要人員として追加雇用35人での合計165人体制とすることで、 これによる人手不足による生産能力強化の限界、人材の確保難で
基準年度から事業化報告3年目までに給与支給総額CAGR14.28％成長を実現する。 の企画・開発・生産管理人材など成長に必要となる人材の不足。
4</t>
  </si>
  <si>
    <t>【p.2】
株式会社キィポーション
2.補助事業の概要
包装加工から流通加工へ、国内市場から海外市場へのシフトによる国内菓子製造業との機能分化・連携強化に
よる年商10,000百万円企業へのステップアップの実現へ向けた生産体制整備事業
○国内菓子製造業者製品のマッチング、当社内での追加加工による川下流通業者（菓子問屋、小売業等）へのプライベートブランド製品提供能力強
補補補助助助事事事業業業ののの 化、海外市場への本格参入、製品供給能力強化での受注量拡大・高収益化による売上持続性・生産性・効率性の改善
概概概要要要  既存5工場の集約化、海外進出には必須となるFSSC（※）取得新工場建設、高効率包装ライン整備を中心とした大規模投資の実施と、揖斐郡池田町と
連携した池田町を中心とした西濃地域からの新製品開発、生産管理、海外展開人材採用・育成による地域を22世紀に向けて牽引していく企業となる。
○海外市場での日本ブランドの菓子需要拡大、川下業者におけるプライベートブランド開発ニーズ拡大を捉えた受注
量拡大・高収益化による売上持続性・生産性・効率性の改善が、10,000百万円企業を目指すうえでの当社全体での 事事業業費費 37億円
補補補助助助事事事業業業ののの 経営課題 （（補補助助額額）） （9.1億円）
背背背景景景・・・目目目的的的  工場集約化でのムダ排除、国内市場での多品種小ロット化進行に対応しながら、海外市場向け製品の大ロット生産によ
る高効率化にて製品1単位製造当りトータルコスト低減化により、収益性の高い国内外市場向け製品加工サービス事業
の主力事業化に取り組む。
【課題解決手段・労働生産性向上策】
本事業にて集中するミック
• 生産性低下の一因となっている工場分散化解決のため5工場を集約化した集中管理体制のもとで、コンプライアン ス品など製品加工サービス
ス体制強化、情報セキュリティ管理体制強化に取り組むことで10,000百万円企業を目指すうえでの組織力を強化。 の一例
• 総合ODM流通加工業者としての国内外への製品提供能力拡大、規模の経済性発揮での生産性・収益性改善のための
設設設備備備投投投資資資ののの 高効率ラインでの集中生産体制の整備、製造能力強化
内内内容容容 • 旧工場を個別受注先への定温倉庫としての貸出による災害が少なく交通インフラが充実した岐阜県の強みを活か
した物流拠点機能の強化
• 揖斐郡池田町との連携人材採用・育成モデルをロールモデルとする継続的地域人材確保・人材育成の実行
【設備投資の内容】 ①ムダ排除・管理能力強化のための5工場を集約化したFSSC取得新大型工場の取得
②国内外流通網拡大と収益性・生産性向上のための高効率生産化に向けた専用ラインの整備
2026年度 2029年度
項目
（基準年度） （基準年度＋３年後）
労働生産性 15,331,462円
6,025,906円
（単位：円/人） （年平均上昇率＋36.5%）
目目標標値値 従業員1人あたり給与支給総額
3,740,890円
4,518,969円
（単位：円/人） （年平均上昇率＋6.5%）
役員１人あたり給与支給総額 -
-
（単位：円/人） （年平均上昇率＋4.5%）
補助事業に係る従業員数 146人
90人
（単位：人） （年平均上昇率＋17.5%）
（※）FSSC（Food Safety System Certification） ：食品安全システム認証であり、食品の安全性を確保するための国際規格を指す。</t>
  </si>
  <si>
    <t>株式会社ピカソナチュラルズ
1.長期成長ビジョン
当社はピカソ美化学研究所グループの一員として、世界に「Made In Japan」の高品質な化粧品を安定供給
可能な体制を構築し、「グループ内の海外事業の中核、世界と日本を繋ぐ架け橋となる」ことを目指す。</t>
  </si>
  <si>
    <t>長期成長ビジョン（目指す姿・ビジネスモデル）
【目指す姿】
◼ グループ全体：
「Made In Japan」の高品質な化粧品を世界に届ける
⚫
◼ ピカソナチュラルズ：
グループ内の海外事業の中核、世界と日本を繋ぐ架け橋となる
⚫
【ビジネスモデル】
◼ 事業領域の拡大
当社に製造機能を拡充し、ピカソ美化学研究所グループの海外事業
⚫
の中核を目指す
- 長野県（駒ヶ根市）に工場を建設し、山間部の自然環境を活か
した「Made In Japan」の高品質な化粧品を製造。駒ヶ根市の
立地を活かし、主に需要が増加している海外販売の拠点にする
- 駒ヶ根工場では特に海外需要の高い化粧品バルク製造を主とする
見込み
◼ 商品の安定供給体制の構築
新工場の設立により、グループ全体で生産性向上及びBCP強化を図り、
⚫
今後の人手不足や自然災害へ対応。予期せぬ問題が発生しても、安
定した供給を実施することが可能な体制を構築する</t>
  </si>
  <si>
    <t>外発的動機
◼ 化粧品需要の拡大
メンズコスメ、ジェンダーレス市場などが新市場として顕在化。化粧品の
⚫
ニーズが多様化している
中国・ASEAN諸国では、人口が多いかつ化粧品の購買力が急伸
⚫
韓国では大韓貿易投資振興公社(KOTRA)が、化粧品の輸出を推奨
⚫
支援し、輸出量が急伸している
高品質な日本製化粧品を求め、当社に海外からの引き合いが増加。生
⚫
産キャパシティ拡大が求められている
◼ 自然災害増加への対応
近年地震や豪雨などの自然災害が発生しており、安定供給のためのリスク
⚫
ヘッジが必要（客先からの要求も発生）
足元稼働している神戸工場、横浜工場は沿岸部に位置し、老朽化して
⚫
いるため、災害時の供給リスクが高い</t>
  </si>
  <si>
    <t>内発的動機（経営者の動機）
◼ 世界に高品質な「Made In Japan」商品を展開する
当社グループは創立90年の歴史より、長年で培われた技術力及び開発
⚫
営業・研究開発・生産・品質保証の一貫体制を強みとして保有
ピカソナチュラルズとしては、今後、営業・企画、販売に加え、製造機能を
⚫
保持し、事業効率をあげるかつ顧客ニーズを取り入れた高品質な
「Made In JAPAN」商品をもって、世界で勝負したい
将来的には、アジア各国の企業で自社商品が使われる状態を目指す
⚫
◼ 商品の安定供給体制の強化
人手不足は業界内の共通課題である中、省力化に取り組み、グループに
⚫
長年で培われた技術を活用することで、顧客が求める商品の安定的な供
給を実現する
バルク製造は災害罹災時の復旧難度が高く、グローバルの化粧品市場へ
⚫
の展開にあたっては、BCP強化を行うことは社会責務となる</t>
  </si>
  <si>
    <t>【p.1／売上成長目標】
会社全体の売上成長目標（2030年6月期 売上目標：160億円）
◼ ピカソナチュラルズ
売上高成長率：55％
⚫
売上高増加額：149億円
⚫
グループの売上目標（2030年6月期 売上目標：371億円）
◼ グループ全体
売上高成長率：20％
⚫
売上高増加額：213億円
⚫
【p.2／設備投資の内容】
◼ 設備投資の内容
工場建設費 41億円：長野県駒ヶ根市に工場を建設
機械設備費 23億円：大型の化粧品バルク釜、原料投入機械
◼ 期待効果
生産量増加
⚫
- 大型の化粧品バルク釜を設置し、 新たに約27,000L分
にする
労働生産性の向上
⚫
- 原料投入機械、自動倉庫、自動搬送ロボットの導入に
数から1/3に削減可能
⇒ 将来の労働人口の減少対策として省力化を実現。
労働負荷軽減により、快適な作業環境を構築することで
海外市場への販売強化
⚫
- R&amp;D施設を設置し、アジア市場にむけた製品の処方開</t>
  </si>
  <si>
    <t>【p.1】
株式会社ピカソナチュラルズ
1.長期成長ビジョン
当社はピカソ美化学研究所グループの一員として、世界に「Made In Japan」の高品質な化粧品を安定供給
可能な体制を構築し、「グループ内の海外事業の中核、世界と日本を繋ぐ架け橋となる」ことを目指す。
長期成長ビジョン（目指す姿・ビジネスモデル）
外発的動機
【目指す姿】 ◼ 化粧品需要の拡大
◼ グループ全体： メンズコスメ、ジェンダーレス市場などが新市場として顕在化。化粧品の
⚫
⚫ 「Made In Japan」の高品質な化粧品を世界に届ける ニーズが多様化している
◼ ピカソナチュラルズ： 中国・ASEAN諸国では、人口が多いかつ化粧品の購買力が急伸
⚫
⚫ グループ内の海外事業の中核、世界と日本を繋ぐ架け橋となる ⚫ 韓国では大韓貿易投資振興公社(KOTRA)が、化粧品の輸出を推奨
支援し、輸出量が急伸している
【ビジネスモデル】 高品質な日本製化粧品を求め、当社に海外からの引き合いが増加。生
⚫
◼ 事業領域の拡大 産キャパシティ拡大が求められている
当社に製造機能を拡充し、ピカソ美化学研究所グループの海外事業
⚫
の中核を目指す ◼ 自然災害増加への対応
- 長野県（駒ヶ根市）に工場を建設し、山間部の自然環境を活か 近年地震や豪雨などの自然災害が発生しており、安定供給のためのリスク
⚫
した「Made In Japan」の高品質な化粧品を製造。駒ヶ根市の ヘッジが必要（客先からの要求も発生）
立地を活かし、主に需要が増加している海外販売の拠点にする ⚫ 足元稼働している神戸工場、横浜工場は沿岸部に位置し、老朽化して
- 駒ヶ根工場では特に海外需要の高い化粧品バルク製造を主とする いるため、災害時の供給リスクが高い
見込み
内発的動機（経営者の動機）
◼ 商品の安定供給体制の構築
新工場の設立により、グループ全体で生産性向上及びBCP強化を図り、 ◼ 世界に高品質な「Made In Japan」商品を展開する
⚫
今後の人手不足や自然災害へ対応。予期せぬ問題が発生しても、安 ⚫ 当社グループは創立90年の歴史より、長年で培われた技術力及び開発
定した供給を実施することが可能な体制を構築する 営業・研究開発・生産・品質保証の一貫体制を強みとして保有
ピカソナチュラルズとしては、今後、営業・企画、販売に加え、製造機能を
⚫
会社全体の売上成長目標（2030年6月期 売上目標：160億円） 保持し、事業効率をあげるかつ顧客ニーズを取り入れた高品質な
◼ ピカソナチュラルズ 「Made In JAPAN」商品をもって、世界で勝負したい
⚫ 売上高成長率：55％ ⚫ 将来的には、アジア各国の企業で自社商品が使われる状態を目指す
売上高増加額：149億円
⚫
◼ 商品の安定供給体制の強化
グループの売上目標（2030年6月期 売上目標：371億円） 人手不足は業界内の共通課題である中、省力化に取り組み、グループに
⚫
◼ グループ全体 長年で培われた技術を活用することで、顧客が求める商品の安定的な供
売上高成長率：20％ 給を実現する
⚫
⚫ 売上高増加額：213億円 ⚫ バルク製造は災害罹災時の復旧難度が高く、グローバルの化粧品市場へ
の展開にあたっては、BCP強化を行うことは社会責務となる</t>
  </si>
  <si>
    <t>【p.2】
株式会社ピカソナチュラルズ
.補助事業の概要
2
今後の需要拡大、将来的な人手不足に対応するため、長野県駒ヶ根市に最新設備を備えた新工場を建設する。
これにより、労働生産性+27%/年 、従業員の労働負荷軽減、賃上げ（7.6%/年）を図る。
（2027年6月期～2030年6月期）
◼ 国内のみならず、海外市場からも「Made In Japan」の高品質な化粧品の需要が高まり、当社への引き 事業費 59 億円
合いが増加しているが、自社グループの生産設備が不足。補助事業を通し、海外市場向けの量産化体制 （補助額） （ 億円）
補助事業の背 19
を構築する他、グループ全体のBCP強化（安定供給）を図る
景・目的
◼ 将来的な人手不足が懸念されるため、製造プロセスにおいては最新設備の導入により省人・省力化を図り、
長期的に労働者が不足しても持続的に事業を行える体制の構築を行う
◼ 設備投資の内容
工場建設費 41億円：長野県駒ヶ根市に工場を建設
機械設備費 23億円：大型の化粧品バルク釜、原料投入機械、自動倉庫、自動搬送ロボット等
◼ 期待効果
生産量増加
⚫
- 大型の化粧品バルク釜を設置し、 新たに約27,000L分の化粧品バルクの仕込みを可能
設備投資の にする
内容 ⚫ 労働生産性の向上
- 原料投入機械、自動倉庫、自動搬送ロボットの導入により、従来必要としていた作業人
数から1/3に削減可能
⇒ 将来の労働人口の減少対策として省力化を実現。
労働負荷軽減により、快適な作業環境を構築することで人材定着につなげる
海外市場への販売強化
⚫
- R&amp;D施設を設置し、アジア市場にむけた製品の処方開発と販売機能の強化を図る
2027年6月期 2030年6月期
項目
（基準年度） （基準年度＋３年後）
労働生産性 7,360
3,568
（単位：万円/人） （年平均上昇率＋27.3％）
従業員1人あたり給与支給総額 920
目標値 738
（単位：万円/人） （年平均上昇率＋7.6％）
役員１人あたり給与支給総額
-
（単位：万円/人） - （年平均上昇率＋7.5％）
補助事業に係る従業員数 62
11
（単位：人） (+51人)</t>
  </si>
  <si>
    <t>株式会社中村畜産
1.長期成長ビジョン
大規模成長投資により、地域経済活性化への貢献と食肉加工卸売分野でのポジション強化を実現する。
内発的・外発的の成長動機を明確化し、 CAGR18.3%成長による208億円の売上増加を目標としている。</t>
  </si>
  <si>
    <t>長期成長ビジョン（目指す姿・ビジネスモデル）
• 食肉加工分野でのリーディングカンパニーへ：
自動化設備の導入と倉庫兼牛肉2次加工専門の工場の新設
により、多様な食肉加工に対応できる生産能力と品質の両面で
業界をリードする企業へと成長
• バリューチェーン全体の最適化を実現：
調達から加工、物流までの各段階を最新のテクノロジーで効率
化し、コスト削減と品質向上を両立させる食肉サプライチェーンの
モデル企業へ
• 地域経済・雇用への貢献を果たす：
設備投資による収益力強化を通じて従業員の賃金向上を実現
し、地域経済の活性化と雇用の安定に貢献する企業市民として
の役割を果たす</t>
  </si>
  <si>
    <t>外発的動機
• 少子高齢化等による労働力不足が深刻化し、食品製造業全体
で労働生産性向上のための自動化・省力化の必要性が高い
• 食品スーパーなど最終納品先の中食需要増加や人手不足により、
調理工程簡略化ができる食肉のニーズが拡大している
• 消費者の食の安全・安心への関心や食品ロス削減の高まりに対応
するため、トレーサビリティ確保と品質管理の強化が求められている
• サプライチェーン全体の強靭化が国の政策として推進されている</t>
  </si>
  <si>
    <t>内発的動機
• 広く世の中に自社の品質の良い食肉を供給したい。供給力向上の
ためには加工数量増加に向けた加工体制の再構築が必要
• 食肉加工における多様化や加工の専門性を高め、作業効率の
向上と経費抑制による労働生産性向上を実現したい
• 枝肉の保管能力強化によって、調達から加工、販売までの一貫管
理体制を強固に構築し、サプライチェーン断絶リスクを軽減したい
• 高い賃上げ等によって従業員の満足度を向上させ、当社で長く
活躍できる機会を創出し、地域や社会との繋がりを強化したい</t>
  </si>
  <si>
    <t>【p.1／売上成長目標】
会社全体の売上成長目標（～2030年度）
• 売上高増加額：20,836百万円(最新決算期比)
• 売上高成長率(CAGR)：18.3％</t>
  </si>
  <si>
    <t>【p.1】
株式会社中村畜産
1.長期成長ビジョン
大規模成長投資により、地域経済活性化への貢献と食肉加工卸売分野でのポジション強化を実現する。
内発的・外発的の成長動機を明確化し、 CAGR18.3%成長による208億円の売上増加を目標としている。
外発的動機
長期成長ビジョン（目指す姿・ビジネスモデル） • 少子高齢化等による労働力不足が深刻化し、食品製造業全体
で労働生産性向上のための自動化・省力化の必要性が高い
• 食肉加工分野でのリーディングカンパニーへ：
自動化設備の導入と倉庫兼牛肉2次加工専門の工場の新設
• 食品スーパーなど最終納品先の中食需要増加や人手不足により、
により、多様な食肉加工に対応できる生産能力と品質の両面で
調理工程簡略化ができる食肉のニーズが拡大している
業界をリードする企業へと成長
• 消費者の食の安全・安心への関心や食品ロス削減の高まりに対応
• バリューチェーン全体の最適化を実現： するため、トレーサビリティ確保と品質管理の強化が求められている
調達から加工、物流までの各段階を最新のテクノロジーで効率
化し、コスト削減と品質向上を両立させる食肉サプライチェーンの
• サプライチェーン全体の強靭化が国の政策として推進されている
モデル企業へ
• 地域経済・雇用への貢献を果たす： 内発的動機
設備投資による収益力強化を通じて従業員の賃金向上を実現
• 広く世の中に自社の品質の良い食肉を供給したい。供給力向上の
し、地域経済の活性化と雇用の安定に貢献する企業市民として
ためには加工数量増加に向けた加工体制の再構築が必要
の役割を果たす
• 食肉加工における多様化や加工の専門性を高め、作業効率の
会社全体の売上成長目標（～2030年度）
向上と経費抑制による労働生産性向上を実現したい
• 売上高増加額：20,836百万円(最新決算期比)
• 枝肉の保管能力強化によって、調達から加工、販売までの一貫管
• 売上高成長率(CAGR)：18.3％
理体制を強固に構築し、サプライチェーン断絶リスクを軽減したい
• 高い賃上げ等によって従業員の満足度を向上させ、当社で長く
活躍できる機会を創出し、地域や社会との繋がりを強化したい</t>
  </si>
  <si>
    <t>【p.2】
株式会社中村畜産
.補助事業の概要
2
食肉2次加工ニーズ増に対応する新倉庫兼工場と自動化設備等への30億円投資を実行。労働生産性59%
向上と賃上げ7.5%を実現する成長基盤を構築。物流アクセス良好な立地で効率的な加工体制を確立する。
• 近年、食品スーパーの総菜製造簡便化や加工担当の人手不足を背景に、食肉(特に牛
肉)の2次加工の引合いが増加している。しかし、現在の加工体制では仕入の食肉保管ス
補助事業の ペースの都合や加工能力不足により、引合いへ十分に対応できていない。 事業費 2 , 138 百万円
背景・目的 • 補助事業にて、食肉加工に必要な自動化設備等導入と2次加工専用の倉庫兼工場を （補助額） （ 712 百万円）
建設し、食肉加工の増産体制を構築する。補助事業による増産体制構築によって売上拡
大を図り、上澄みした収益を元手に従業員の賃金上昇や地域経済活性化に貢献する。
１．食肉倉庫兼工場の建設 ※投資金額：26.8億円(冷凍機・冷蔵機の設置含む)
・SRC造3階建て ・建物延床面積：約2,436㎡(737坪)
・倉庫スペース：1階（仕入の牛肉枝肉と牛肉製品の保管)、2階（牛肉製品の保管）
・作業スペース：1階（牛肉の2次加工専用スペース）
設備投資の ・管理スペース：3階（食肉加工における生産管理や在庫管理等の管理業務実施）
内容
２．食肉加工の自動化設備等とトレーサビリティシステム導入 ※投資金額：3.2億円
枝肉懸垂レール、カットコンベア・搬送コンベア、シュリンカー、真空包装機、
金属探知機、製函機・梱包機、エアーコンプレッサー、フォークリフト、保管ラック、
牛個体識別管理ソフト（固体識別、仕入出荷管理、請求書管理等）等
▲新倉庫兼工場の1階平面図
①保管スペースの拡充により戦略的な仕入・在庫管理が可能になる • 補助事業実施場所は国道4号線に面しており、車で10分の
設備投資の 距離に浦和ICがあるため、物流アクセスにも優れている。
②食肉加工のボトルネック解消により、増産要請や取引拡大に対応できるようになる
効果 • また、本社工場とも車で6分の距離に位置しており、本社工場
③2次加工における全体工程の大部分を自動化・効率化により生産性が向上する との迅速な連携も可能である。
基準年度 事業化報告3年目
項目
(2027年度) (2030年度)
労働生産性 45,711
11,314
（単位：千円/人） （年平均上昇率＋59.3％）
目標値 従業員1人あたり給与支給総額 5,264
（単位：千円/人）
4,238
（年平均上昇率＋7.5％）
役員１人あたり給与支給総額
-
（単位：千円/人） - （年平均上昇率＋6.0％）
補助事業に係る従業員数
48 62
（単位：人）</t>
  </si>
  <si>
    <t>1.長期成長ビジョン/当社が目指すべき長期成長ビジョンと重点戦略 株式会社コハラ
機械商社事業とのシナジー効果を見込むロボットシステムインテグレーション事業を中核としたビジネスモデルへ変化
ロボット等自動化設備導入を促進するNKラボにより集客・営業面で差別化を図る</t>
  </si>
  <si>
    <t>長期成長ビジョン（目指す姿・ビジネスモデル）
機械商社からロボットシステムインテグレーション事業を中核とした自動化・省力化・省エネソリューション提供企業へと変革し、地
場の食品工場をはじめとした基幹産業の労働生産性向上と高付加価値化を支援するパートナーとして、地域とともに共存共栄
する企業を目指す。
〈重点戦略〉
• 検証拠点「NKラボ」を核とした顧客体験価値の最大化 • ロボットSIer事業による事業ポートフォリオの転換
展示会による集客から検証・実証・技術講習までを一貫して提供できる 既存の機械商社事業とのシナジー効果を最大化しながら、高付加価
体制を構築し、顧客の投資リスクを最小化しながらロボット導入の効果 値事業であるロボットSIer事業を中核事業に育成し、2035年までに売
を最大化する独自の顧客体験価値を創出する。 上高100億円以上を達成する事業ポートフォリオへの転換を実現する。
• スモールスタート導入支援による地域製造業のDX推進 • システム開発部の強化による技術資産の蓄積と形式知化
地域の食品工場など従来自動化が難しかった製造現場に対し、AIやロ 熟練エンジニアの知見やノウハウを形式知化し、組織的に活用できる仕
ボット技術を活用したスモールスタートの導入支援を行い、職人技の継 組みを構築するとともに、DX人材の採用・育成を強化し、変化の激しい
承や労働力不足に悩む地域産業の持続的発展に貢献する。 技術環境に適応できる組織基盤を確立する。
〈売上成長目標〉
■2030年度の会社全体の売上高136.8億円 うち ロボットSIer事業27億円規模に成長</t>
  </si>
  <si>
    <t>外発的動機
深刻化する人手不足
業用ロボット市場の拡大
工場の自動化ニーズの高まり
府によるDX推進政策</t>
  </si>
  <si>
    <t>内発的動機
業100年の継承と挑戦
商工会議所会頭の使命感
練技術者の知見継承
会社実証による手応え</t>
  </si>
  <si>
    <t>〈売上成長目標〉
■2030年度の会社全体の売上高136.8億円</t>
  </si>
  <si>
    <t>【p.1／売上成長目標】
〈売上成長目標〉
■2030年度の会社全体の売上高136.8億円</t>
  </si>
  <si>
    <t>【p.1】
1.長期成長ビジョン/当社が目指すべき長期成長ビジョンと重点戦略 株式会社コハラ
機械商社事業とのシナジー効果を見込むロボットシステムインテグレーション事業を中核としたビジネスモデルへ変化
ロボット等自動化設備導入を促進するNKラボにより集客・営業面で差別化を図る
長期成長ビジョン（目指す姿・ビジネスモデル）
機械商社からロボットシステムインテグレーション事業を中核とした自動化・省力化・省エネソリューション提供企業へと変革し、地
場の食品工場をはじめとした基幹産業の労働生産性向上と高付加価値化を支援するパートナーとして、地域とともに共存共栄
する企業を目指す。
〈重点戦略〉
• 検証拠点「NKラボ」を核とした顧客体験価値の最大化 • ロボットSIer事業による事業ポートフォリオの転換
展示会による集客から検証・実証・技術講習までを一貫して提供できる 既存の機械商社事業とのシナジー効果を最大化しながら、高付加価
体制を構築し、顧客の投資リスクを最小化しながらロボット導入の効果 値事業であるロボットSIer事業を中核事業に育成し、2035年までに売
を最大化する独自の顧客体験価値を創出する。 上高100億円以上を達成する事業ポートフォリオへの転換を実現する。
• スモールスタート導入支援による地域製造業のDX推進 • システム開発部の強化による技術資産の蓄積と形式知化
地域の食品工場など従来自動化が難しかった製造現場に対し、AIやロ 熟練エンジニアの知見やノウハウを形式知化し、組織的に活用できる仕
ボット技術を活用したスモールスタートの導入支援を行い、職人技の継 組みを構築するとともに、DX人材の採用・育成を強化し、変化の激しい
承や労働力不足に悩む地域産業の持続的発展に貢献する。 技術環境に適応できる組織基盤を確立する。
〈売上成長目標〉
■2030年度の会社全体の売上高136.8億円 うち ロボットSIer事業27億円規模に成長
外発的動機 内発的動機
深刻化する人手不足 創業100年の継承と挑戦
産業用ロボット市場の拡大 焼津商工会議所会頭の使命感
食品工場の自動化ニーズの高まり 熟練技術者の知見継承
政府によるDX推進政策 子会社実証による手応え</t>
  </si>
  <si>
    <t>【p.2】
株式会社コハラ
2.補助事業の概要
太陽光発電システムを設置するモデル社屋により新しいエネルギー循環を提案する
社屋内にロボット等展示会場、ロボット等の実証拠点（NKラボ）、研修スペースを完備する
集客から実証、商談まできめ細かな対応が行えるため顧客満足度の高い投資を実現する
【背景】深刻化する人手不足に直面する地域製造業・食品工場に対して、単なる機器販売では
なく根本的な課題解決のためのロボットSIer事業を強化する必要がある
補助事業の 事業費 1, 618 百万円
【目的】展示会、検証拠点等の整備により、ロボットシステムインテグレータ事業を強化し、機械商
背景・目的 （補助額） （488百万円）
社事業とのシナジー効果を創出することで売上高100億円を実現し、地域産業の生産性向上に
貢献する
【投資内容：モデル社屋の本社建設】
• 太陽光発電システムを設置した本社
• NKラボ、展示会場、セミナールーム、商談スペース、本社機能を集約
• 顧客の集客・実証・商談・教育を一貫して行える拠点として機能
【投資内容：実証用ロボット設備類】
• 大型ワーク搬送や重量物に対応するAMRやロボット類の設置
設備投資の
• 搬送や検査システムなどの生産設備の前後工程を含めた検証環境
内容
• カメラ、画像処理、センサー、協働ロボット、グリッパなど多様な検証機器
【労働生産性の向上：営業プロセスの効率化】
「専門テーマ展示会→NKラボ検証→商談→成約」の一貫した営業サイク
ル構築。1拠点集約による移動時間削減と顧客対応の効率化
実機検証による成約率向上で営業コスト削減
設備写真はイメージ
項目 基準年度 事業化報告3年目
（単
労
位
働
：
生
千
産
円
性
/人）
12,426
（年平均上
2
昇
6,1
率
0
＋
5
28.1％）
目標値 従業員
（
1
単
人
位
あ
：
た
千
り給
円
与
/人
支
）
給総額 5,675
（年平均上
6
昇
,95
率
3
＋7.0％）
役員１人あたり給与支給総額
-
（単位：千円/人） - （年平均上昇率＋7.0％）
補助事業に係る従業員数
（単位：人） 74 86</t>
  </si>
  <si>
    <t>株式会社ユタカ
1.長期成長ビジョン
・当社は、今までもこれからも、時代が求める製品を作り続けることで、地域とともに成長していくことを展望
・時代のニーズに応え得る増産体制と生産性向上を実現し、地域にとって欠かせない企業へ進化する
長期成長ビジョン（目指す姿・ビジネスモデル）
人材不足とサプライチェーンのレジリエンス 社会課題
【目指す姿・ビジネスモデル】 ・業界横断的な人材不足の加速による、省人化・省力化
唯一無二を歩き続け、日本一の『旋盤』サプライヤーになる! ニーズが高まりや、取引先の製品の多岐化に伴うサプライ
「家庭」から「宇宙」まで、時代が求めるモノづくりを通して 外 チェーンの複雑化から、作業工程を減らすため、超精密かつ
地域とともに発展する 発 高精度な部品製造が求められている
的
【ビジョン(指針)】
動 技術革新スピードへの対応 顧客ニーズ
① 旺盛な需要に対応する増産体制の整備 機 ・当社の主要取引先の属する半導体業界では、ドッグイヤー
・ 継続的に工場の増設を行い、十分な製造ラインを確保、半導体 の技術革新が加速し、製品ニーズも多岐化・高精度化して
製造装置を中心とした拡大する需要に対し、既存顧客の需要増
おり、従来以上にスピーディで高い品質の製品需要が高まっ
加だけでなく、新規顧客のニーズにも対応して売上を拡大
ている
② 複合機導入による生産性と精度の向上
経営者の
・ 最新鋭複合機導入により高い生産性の実現に加え、更なる品質 時代のニーズが当社の転機
原体験と動機
を追求し、バラつきのない超精密かつ高精度な部品製造を実現
・1977年に個人創業し、金属部品製造を行うなかで、
大きな転機となったのは、高度経済成長期の家電の普及
③ 顧客との新製品開発 内
・当時、どのメーカーも引く手あまたで、高額でも売れる状況
発
・顧客が求める新たな製品に対しては、共同で試作開発に取り組み、
下、「家庭用ビデオデッキ」製造装置の部品を高品質でどこ
ニーズを囲い込むとともにビジネスの幅を拡大 的
よりも安く提供したことで、取引先から高い信頼を獲得
動
機 ・以降、様々な分野・時代で求められる製品を製造すること
会社全体の売上成長目標(2025/3期～2030/3期)
で成長してきた経験を基に、顧客が求めるものを高品質で
売上高成長率：212.6％ (CAGR：16.3％)
提供し続けることに存在意義を感じており、今後も唯一無
売上高増加額：43.4億円
二を歩み続け、顧客・地域とともに発展していきたい</t>
  </si>
  <si>
    <t>長期成長ビジョン（目指す姿・ビジネスモデル）</t>
  </si>
  <si>
    <t>【p.1／人材不足とサプライチェーンのレジリエンス 社会課題】
人材不足とサプライチェーンのレジリエンス 社会課題
・業界横断的な人材不足の加速による、省人化・省力化
ニーズが高まりや、取引先の製品の多岐化に伴うサプライ
チェーンの複雑化から、作業工程を減らすため、超精密かつ
高精度な部品製造が求められている
技術革新スピードへの対応
顧客ニーズ
・当社の主要取引先の属する半導体業界では、ドッグイヤー
の技術革新が加速し、製品ニーズも多岐化・高精度化して
おり、従来以上にスピーディで高い品質の製品需要が高まっ
ている
【p.1／経営者の】
経営者の
時代のニーズが当社の転機
原体験と動機
・1977年に個人創業し、金属部品製造を行うなかで、
大きな転機となったのは、高度経済成長期の家電の普及
・当時、どのメーカーも引く手あまたで、高額でも売れる状況
下、「家庭用ビデオデッキ」製造装置の部品を高品質でどこ
よりも安く提供したことで、取引先から高い信頼を獲得
・以降、様々な分野・時代で求められる製品を製造すること
で成長してきた経験を基に、顧客が求めるものを高品質で
提供し続けることに存在意義を感じており、今後も唯一無
二を歩み続け、顧客・地域とともに発展していきたい
【p.1／売上成長目標】
会社全体の売上成長目標
(2025/3期～2030/3期)
売上高成長率：212.6％ (CAGR：16.3％)
売上高増加額：43.4億円</t>
  </si>
  <si>
    <t>【p.1】
株式会社ユタカ
1.長期成長ビジョン
・当社は、今までもこれからも、時代が求める製品を作り続けることで、地域とともに成長していくことを展望
・時代のニーズに応え得る増産体制と生産性向上を実現し、地域にとって欠かせない企業へ進化する
長期成長ビジョン（目指す姿・ビジネスモデル）
人材不足とサプライチェーンのレジリエンス 社会課題
【目指す姿・ビジネスモデル】 ・業界横断的な人材不足の加速による、省人化・省力化
唯一無二を歩き続け、日本一の『旋盤』サプライヤーになる! ニーズが高まりや、取引先の製品の多岐化に伴うサプライ
「家庭」から「宇宙」まで、時代が求めるモノづくりを通して 外 チェーンの複雑化から、作業工程を減らすため、超精密かつ
地域とともに発展する 発 高精度な部品製造が求められている
的
【ビジョン(指針)】
動 技術革新スピードへの対応 顧客ニーズ
① 旺盛な需要に対応する増産体制の整備 機 ・当社の主要取引先の属する半導体業界では、ドッグイヤー
・ 継続的に工場の増設を行い、十分な製造ラインを確保、半導体 の技術革新が加速し、製品ニーズも多岐化・高精度化して
製造装置を中心とした拡大する需要に対し、既存顧客の需要増
おり、従来以上にスピーディで高い品質の製品需要が高まっ
加だけでなく、新規顧客のニーズにも対応して売上を拡大
ている
② 複合機導入による生産性と精度の向上
経営者の
・ 最新鋭複合機導入により高い生産性の実現に加え、更なる品質 時代のニーズが当社の転機
原体験と動機
を追求し、バラつきのない超精密かつ高精度な部品製造を実現
・1977年に個人創業し、金属部品製造を行うなかで、
大きな転機となったのは、高度経済成長期の家電の普及
③ 顧客との新製品開発 内
・当時、どのメーカーも引く手あまたで、高額でも売れる状況
発
・顧客が求める新たな製品に対しては、共同で試作開発に取り組み、
下、「家庭用ビデオデッキ」製造装置の部品を高品質でどこ
ニーズを囲い込むとともにビジネスの幅を拡大 的
よりも安く提供したことで、取引先から高い信頼を獲得
動
機 ・以降、様々な分野・時代で求められる製品を製造すること
会社全体の売上成長目標(2025/3期～2030/3期)
で成長してきた経験を基に、顧客が求めるものを高品質で
売上高成長率：212.6％ (CAGR：16.3％)
提供し続けることに存在意義を感じており、今後も唯一無
売上高増加額：43.4億円
二を歩み続け、顧客・地域とともに発展していきたい</t>
  </si>
  <si>
    <t>【p.2】
株式会社ユタカ
.補助事業の概要
2
・既存の南吉田工場の隣地に新工場を新設し、『旋盤』加工の大幅な増産体制の構築と技術革新を実現
・ドッグイヤーの速さで技術革新が進む顧客の市場の中で、最新鋭設備の導入で幅広いニーズ変化に応える
【背景】 ・ 半導体業界を中心に産業用機械部品需要の飛躍的な拡大と多様化が見込まれる
なか、サプライヤーには高い旋盤加工技術が求められている
・ 一方で、求められる加工精度等に対応できるサプライヤーは全国的に数少なく、当社へ
補助事業の 事業費 1,61 百万円
3
の引き合いが増加しているが、ニーズに対して現在の工場設備では生産余力はない
背景・目的 （補助額） （53 6 百万円）
【目的】 ・ 旋盤設備集約と複合機導入により生産効率・能力の向上と新規受注拡大を目指す
・ DX認定事業者として、最新鋭設備のﾃﾞｼﾞﾀﾙ技術を用いた人材育成・技術承継
・ 生産効率の向上による働き方改革および人材の確保・定着の推進
■『旋盤』工場の新設と設備導入、既存ラインの集約
・以下の事業戦略のもと、既存の南吉田工場の隣地に新工場を新設 ＜新工場イメージ図＞
(1)生産能力の飛躍的な向上
• 最新鋭設備の導入を行い製造ラインを拡充 【新工場】
• 既存工場の旋盤加工ラインを集約し、無駄を排除、生産能力を飛躍的に向上 ※イメージ
南吉田工場
設備投資の (2)省人化と効率化
(既存)
内容 • 複合加工機を導入し、多台持ち生産体制を整備することで省人化を実現、
生産性向上と従業員のウェルビーイングを高め、人材の確保・定着を促進
• デジタル技術を利用した設備の稼働管理(故障防止)による効率化
(3)最新鋭設備と技術革新・開発の強化によるビジネス拡大
• 大型部品をミクロン単位で加工可能な複合旋盤設備を導入し、製品・技術の枠
の拡大ときめ細かい対応を通じて、最先端の産業での市場競争力を拡大
項目 基準年度 事業化報告3年目
労働生産性 23,668
10,686
(単位：千円/人) （年平均上昇率＋30. 4 ％）
従業員1人あたり給与支給総額 5,734
4,681
目標値 (単位：千円/人) （年平均上昇率＋7.0％）
役員１人あたり給与支給総額
-
(単位：千円/人) - （年平均上昇率＋7.0％）
補助事業に係る従業員数
197 207
(単位：人)</t>
  </si>
  <si>
    <t>池田薬品工業株式会社
1.長期成長ビジョン
組織の若返りと基盤技術の更なる高度化での超高齢化社会に向けた医療用皮膚炎向け軟膏・クリーム、高薬理
活性ステロイド製造への特化による「薬都とやま」での22世紀を目指した安定成長・安定雇用創出を実現する。
○超高齢化社会での高齢皮膚炎症患者数増加に対応した付加価値の高い医療用皮膚炎向け軟膏・クリーム、高薬理活性ステロイド製造への選択と集中に
より、低迷してきた売上持続性、収益性、生産性、効率性を改善しながら年商5,000百万円突破を目指していく。
○生産自動化・生産プロセスDX化推進、及び多能工化による多工程持ち化の推進での人材内部育成・富山県中新川郡での安定雇用の創出・給与支給総額
の拡大に繋げていき、22世紀を目指した地域とともに成長する企業となる。</t>
  </si>
  <si>
    <t>○超高齢化社会での高齢皮膚炎症患者数増加に対応した付加価値の高い医療用皮膚炎向け軟膏・クリーム、高薬理活性ステロイド製造への選択と集中に
より、低迷してきた売上持続性、収益性、生産性、効率性を改善しながら年商5,000百万円突破を目指していく。
○生産自動化・生産プロセスDX化推進、及び多能工化による多工程持ち化の推進での人材内部育成・富山県中新川郡での安定雇用の創出・給与支給総額
の拡大に繋げていき、22世紀を目指した地域とともに成長する企業となる。</t>
  </si>
  <si>
    <t>長期成長ビジョン（目指す姿・ビジネスモデル）
○超高齢化社会での高齢者皮膚炎患者増加の中で、近年続いてきた薬価下落に伴う外用剤製造業
者減少を事業機会とした選択と集中での安定した受注量確保、売上増加率向上
→基盤技術の更なる高度化での主力受託先依存体質から脱却するため、医療用皮膚炎向け軟膏・クリー
ム、及び高薬理活性ステロイドなど競合が少なく付加価値の高い医薬品分野へシフトし、現状、28.0％
と良化した売上増加率を更に向上することでの安定した成長を目指していく。
○外用剤製造における基盤技術である温度・粘度管理技術力を利用した薬物溶解型、分散・乳化型
製剤の製品製造能力・工程管理能力強化による基盤技術・製品QCDの更なる高度化
→競合他社に負けない製造環境、機械メーカーと連携した製造機器委託開発での製造能力のほか、DX化
による工程管理能力強化での製品1単位製造に必要となる生産コスト低減化での現状、営業利益率
3.4％の収益面での弱みを克服する高収益化を達成。
○地域医薬品製造人材不足の中でも、業界団体、ITベンダー等との連携強化によるUターン、Jター
ン人材確保と内部人材育成での人手不足といった外部環境に左右されない生産体制・会社全体の
組織力強化
→人材育成と働きやすい職場環境整備による特に女性が「働きたい職場づくり」の推進により、Uターン、J
ターンを希望する「薬都とやま」での医薬品製造を目指す若手人材、大手薬品メーカー等OB人材の積
極的雇用による開発・製造人材、品質管理人材、経営管理人材の確保での強固な経営体制を構築。</t>
  </si>
  <si>
    <t>外発的動機
（詳細はスライド8参照）
○成長のために捉えていく事業機会
弱みである収益力改善に向けた高齢化社会進展に伴う高齢者
•
皮膚炎患者の増加に対して製造業者が数少ないことでの主力
花形製品における基礎的医薬品への指定での高単価化。
A社依存での売上持続性伸び悩みの中、皮膚炎患者増加に伴
•
う保湿性の高いB社向け分散・乳化型医療用皮膚炎向けクリー
ム需要量拡大に伴う増産要請の獲得、分散・乳化型製剤製造
技術といった未活用技術再活用機会の獲得。
○成長のために回避していく脅威
高齢化社会も総人口減少見込みによる国内医薬品市場の将来
•
のシュリンク化、医療費高騰を受けた将来的な更なる薬価下落
リスク減少予測による経営改善に向けた専門人材不足の拡大。</t>
  </si>
  <si>
    <t>内発的動機
（詳細はスライド10参照）
○強みの更なる強化による成長に繋がる受注の獲得
薬物溶解型、分散・乳化型製剤の複数の外用剤製造に対応し
•
た基盤技術である温度・粘度管理技術の保有。
自己資本比率61.7％。EBITDA有利子負債倍率△0.3倍で
•
の財務面での高い長期安定性と低い金融借入依存度による大
規模成長投資に伴う投資余力の保有。
○成長に向けて解決する弱みの顕在化
受託元A社・B社の両者要請に対応しきれない既存保有設備で
•
の製造能力の不足・製造環境における低い封じ込め性能。
富山県、中新川郡における地域人口減少、深刻な人員確保難
•
の拡大の恐れの中での従来型有人作業に依存した生産体制、
管理面でのIT化、DX化の遅れにより顕在化してきた業界平均
並みの労働生産性889千円での低い生産性。</t>
  </si>
  <si>
    <t>○会社全体の売上成長目標
【2030年9月期（事業化報告3年目）における会社全体売上目標：5,070,996,321円
（基準年度よりCAGR54.60%、＋3,699百万円増加）
 競合他社が少なく薬価向上が期待できる薬物溶解型、分散・乳化型製剤での国内市場の更なる開拓
による補助事業売上高380.6%UPにて会社全体売上高のCAGR54.60%での成長を目指す。
○会社全体の1人当たり賃上げ目標
【直前事業年度（2024年9月期）～基準年度（2027年9月期） ：CAGR2.71%】
【基準年度（2027年9月期）～事業化報告3年目（2030年9月期）：CAGR5.68%】
 現状、3人増とした人員数を新工場立ち上げに合せ更に製品製造・品質管理・経営管理人材を中心
に8人の地域雇用を創出し、工場立ち上げ後、追加雇用9人、合計69人体制による高付加価値製品
提供での収益力強化により事業化報告3年目での給与支給総額CAGR10.28%成長を実現。</t>
  </si>
  <si>
    <t>【p.1／上段要旨】
○超高齢化社会での高齢皮膚炎症患者数増加に対応した付加価値の高い医療用皮膚炎向け軟膏・クリーム、高薬理活性ステロイド製造への選択と集中に
より、低迷してきた売上持続性、収益性、生産性、効率性を改善しながら年商5,000百万円突破を目指していく。
○生産自動化・生産プロセスDX化推進、及び多能工化による多工程持ち化の推進での人材内部育成・富山県中新川郡での安定雇用の創出・給与支給総額
の拡大に繋げていき、22世紀を目指した地域とともに成長する企業となる。
【p.1／売上成長目標】
○会社全体の売上成長目標
【2030年9月期（事業化報告3年目）における会社全体売上目標：5,070,996,321円
（基準年度よりCAGR54.60%、＋3,699百万円増加）
 競合他社が少なく薬価向上が期待できる薬物溶解型、分散・乳化型製剤での国内市場の更なる開拓
による補助事業売上高380.6%UPにて会社全体売上高のCAGR54.60%での成長を目指す。
○会社全体の1人当たり賃上げ目標
【直前事業年度（2024年9月期）～基準年度（2027年9月期） ：CAGR2.71%】
【基準年度（2027年9月期）～事業化報告3年目（2030年9月期）：CAGR5.68%】
 現状、3人増とした人員数を新工場立ち上げに合せ更に製品製造・品質管理・経営管理人材を中心
に8人の地域雇用を創出し、工場立ち上げ後、追加雇用9人、合計69人体制による高付加価値製品
提供での収益力強化により事業化報告3年目での給与支給総額CAGR10.28%成長を実現。
【p.2／設備投資の内容】
管理人材、経営管理人材の確保での強固な経営体制の整備。
【設備投資の内容】
①医療用皮膚炎向け軟膏・クリーム製造専用大型工場の取得
 盤石な「封じ込め性能」を有する最新クリーンルームの整備・工場内
②医療用皮膚炎向け軟膏・クリーム製造ラインの追加設置
 主力重要受注先2社からの増産要請と高付加価値製品製造能力強化、
20
項目
（基
労働生産性
5,24
（単位：円/人）
従業員1人あたり給与支給総額
3,99
（単位：円/人）
役員１人あたり給与支給総額
（単位：円/人）
補助事業に係る従業員数
（単位：人）</t>
  </si>
  <si>
    <t>【p.1】
池田薬品工業株式会社
1.長期成長ビジョン
組織の若返りと基盤技術の更なる高度化での超高齢化社会に向けた医療用皮膚炎向け軟膏・クリーム、高薬理
活性ステロイド製造への特化による「薬都とやま」での22世紀を目指した安定成長・安定雇用創出を実現する。
○超高齢化社会での高齢皮膚炎症患者数増加に対応した付加価値の高い医療用皮膚炎向け軟膏・クリーム、高薬理活性ステロイド製造への選択と集中に
より、低迷してきた売上持続性、収益性、生産性、効率性を改善しながら年商5,000百万円突破を目指していく。
○生産自動化・生産プロセスDX化推進、及び多能工化による多工程持ち化の推進での人材内部育成・富山県中新川郡での安定雇用の創出・給与支給総額
の拡大に繋げていき、22世紀を目指した地域とともに成長する企業となる。
長期成長ビジョン（目指す姿・ビジネスモデル） 外発的動機 （詳細はスライド8参照）
○成長のために捉えていく事業機会
○超高齢化社会での高齢者皮膚炎患者増加の中で、近年続いてきた薬価下落に伴う外用剤製造業
者減少を事業機会とした選択と集中での安定した受注量確保、売上増加率向上 • 弱みである収益力改善に向けた高齢化社会進展に伴う高齢者
皮膚炎患者の増加に対して製造業者が数少ないことでの主力
→基盤技術の更なる高度化での主力受託先依存体質から脱却するため、医療用皮膚炎向け軟膏・クリー
花形製品における基礎的医薬品への指定での高単価化。
ム、及び高薬理活性ステロイドなど競合が少なく付加価値の高い医薬品分野へシフトし、現状、28.0％
と良化した売上増加率を更に向上することでの安定した成長を目指していく。 • A社依存での売上持続性伸び悩みの中、皮膚炎患者増加に伴
う保湿性の高いB社向け分散・乳化型医療用皮膚炎向けクリー
○外用剤製造における基盤技術である温度・粘度管理技術力を利用した薬物溶解型、分散・乳化型
ム需要量拡大に伴う増産要請の獲得、分散・乳化型製剤製造
製剤の製品製造能力・工程管理能力強化による基盤技術・製品QCDの更なる高度化
技術といった未活用技術再活用機会の獲得。
→競合他社に負けない製造環境、機械メーカーと連携した製造機器委託開発での製造能力のほか、DX化
○成長のために回避していく脅威
による工程管理能力強化での製品1単位製造に必要となる生産コスト低減化での現状、営業利益率
3.4％の収益面での弱みを克服する高収益化を達成。 • 高齢化社会も総人口減少見込みによる国内医薬品市場の将来
のシュリンク化、医療費高騰を受けた将来的な更なる薬価下落
○地域医薬品製造人材不足の中でも、業界団体、ITベンダー等との連携強化によるUターン、Jター
リスク減少予測による経営改善に向けた専門人材不足の拡大。
ン人材確保と内部人材育成での人手不足といった外部環境に左右されない生産体制・会社全体の
組織力強化 内発的動機 （詳細はスライド10参照）
→人材育成と働きやすい職場環境整備による特に女性が「働きたい職場づくり」の推進により、Uターン、J ○強みの更なる強化による成長に繋がる受注の獲得
ターンを希望する「薬都とやま」での医薬品製造を目指す若手人材、大手薬品メーカー等OB人材の積 • 薬物溶解型、分散・乳化型製剤の複数の外用剤製造に対応し
極的雇用による開発・製造人材、品質管理人材、経営管理人材の確保での強固な経営体制を構築。 た基盤技術である温度・粘度管理技術の保有。
○会社全体の売上成長目標 • 自己資本比率61.7％。EBITDA有利子負債倍率△0.3倍で
【2030年9月期（事業化報告3年目）における会社全体売上目標：5,070,996,321円 の財務面での高い長期安定性と低い金融借入依存度による大
（基準年度よりCAGR54.60%、＋3,699百万円増加） 規模成長投資に伴う投資余力の保有。
 競合他社が少なく薬価向上が期待できる薬物溶解型、分散・乳化型製剤での国内市場の更なる開拓 ○成長に向けて解決する弱みの顕在化
による補助事業売上高380.6%UPにて会社全体売上高のCAGR54.60%での成長を目指す。
• 受託元A社・B社の両者要請に対応しきれない既存保有設備で
○会社全体の1人当たり賃上げ目標
の製造能力の不足・製造環境における低い封じ込め性能。
【直前事業年度（2024年9月期）～基準年度（2027年9月期） ：CAGR2.71%】
【基準年度（2027年9月期）～事業化報告3年目（2030年9月期）：CAGR5.68%】 • 富山県、中新川郡における地域人口減少、深刻な人員確保難
 現状、3人増とした人員数を新工場立ち上げに合せ更に製品製造・品質管理・経営管理人材を中心 の拡大の恐れの中での従来型有人作業に依存した生産体制、
に8人の地域雇用を創出し、工場立ち上げ後、追加雇用9人、合計69人体制による高付加価値製品 管理面でのIT化、DX化の遅れにより顕在化してきた業界平均
提供での収益力強化により事業化報告3年目での給与支給総額CAGR10.28%成長を実現。 並みの労働生産性889千円での低い生産性。</t>
  </si>
  <si>
    <t>【p.2】
池田薬品工業株式会社
2.補助事業の概要
高齢化社会への医療用皮膚炎向け軟膏・クリーム安定供給に向けた大規模成長投資での製造能力強化と専門
人材確保・育成での組織力強化事業
• 医療用皮膚炎向け軟膏・クリーム製造能力強化に向けた外用剤製造における基盤技術である温度・粘度管理技術力を利用した薬物溶解型、分
補補助助事事業業のの 散・乳化型製剤の製品製造能力・工程管理能力強化での基盤技術・製品QCDの更なる高度化
概概要要 • 「薬都とやま」での医薬品製造を目指す若手人材、大手薬品メーカー等OB人材の積極的雇用による開発・製造人材、品質管理人材、経営管理人
材の確保での強固な経営体制を構築しながら、会社全体での与支給総額拡大・賃金ベースアップを実現
• 薬物溶解型、分散・乳化型製剤製造に必要となる基盤技術である温度・粘度管理技術の保有も薬価下落の中で、
事業費 30億円
長く売上増加率、収益率、生産性の低迷に苦しんできた。
補補助助事事業業のの • 高齢化社会を迎えた我が国における高齢者皮膚炎患者の増加を受けた主力花形製品の基礎的医薬品への指定 （補助額） （7.5億円）
背背景景・・目目的的 での高単価化、製造技術を有しながらも利用できていなかった分散・乳化型製剤における増産要請の獲得といっ
た事業機会を捉えることで永年の経営課題である売上増加率、収益率、生産性の改善に取組むことで、22世紀を 本事業にて製造能力を強化
目指した安定成長・安定雇用創出を実現する。 する製品
【課題解決手段・労働生産性向上策】
• 清浄度を高めた最新封じ込み技術でのクリーン化・管理面でのDX化に対応した最新自動化化設備を備えた大型専
用工場の取得での薬物溶解型、分散・乳化型製剤製造能力強化、製造品目の拡大
• 各作業工程における自動ライン化と温室管理のデジタル化・リアルタイム化などのDX推進による省人化・省力化
大量生産ラインでの収益性・労働生産性の改善
設設備備投投資資のの
• 人材育成と働きやすい職場環境整備による特に女性が「働きたい職場づくり」の推進での開発・製造人材、品質
内内容容
管理人材、経営管理人材の確保での強固な経営体制の整備。
【設備投資の内容】
①医療用皮膚炎向け軟膏・クリーム製造専用大型工場の取得
 盤石な「封じ込め性能」を有する最新クリーンルームの整備・工場内レイアウト最適化での作業性向上
薬物溶解型、分散・乳化型製
②医療用皮膚炎向け軟膏・クリーム製造ラインの追加設置
剤、高薬理活性ステロイド
 主力重要受注先2社からの増産要請と高付加価値製品製造能力強化、管理面でのDX化での生産性向上
2026年度 2029年度
項目
（基準年度） （基準年度＋３年後）
労働生産性 22,368,578円
5,246,825円
（単位：円/人） （年平均上昇率＋62.1%）
目標値 従業員1人あたり給与支給総額 4,694,730円
3,998,288円
（単位：円/人） （年平均上昇率＋5.5%）
役員１人あたり給与支給総額 -
-
（単位：円/人） （年平均上昇率＋4.5%）
補助事業に係る従業員数 63人
32人
（単位：人） （年平均上昇率＋25.3%）
（※）労働生産性の算出における労働量は「従業員数＋役員数」を使用。</t>
  </si>
  <si>
    <t>株式会社リバイト
1.長期成長ビジョン
45億円の大規模設備投資により当社オリジナルのリゾート型宿泊施設「ホテル＆ヴィラ」を建築。淡路島で他に例を見ない
高付加価値型の観光宿泊施設網を展開。同時に地域住民108名を雇用、高時給で働き甲斐のある職場を提供する。</t>
  </si>
  <si>
    <t>長期成長ビジョン（目指す姿・ビジネスモデル）
・ コロナ禍を契機とした旅行客の行動変容（団体→マイクロツーリズム）を的確にと
らえ、大規模(投資額45億円）でプライベート感と機能性で差別化した高収益の新業態
「ホテル＆ヴィラ」を建設する。これにより淡路島における高収益型の観光宿泊業のモデ
ルケースとなりたい。
・ 淡路島において、高時給かつ農業や子育てと両立可能で働き甲斐のある職場を提供する。
これにより少子高齢化や過疎化に悩む淡路島における子育て支援や高齢者の働き甲斐、
生き甲斐の創出に貢献したい。
・ 上記のビジョン実現のため108名の新規雇用と本社労務管理機能を淡路島に移転する。</t>
  </si>
  <si>
    <t>外発的動機
・ 既存事業の創業期～成長期は競合他社が存在せず急
成長を果たすことができたが、現在は新規参入者との熾
烈な価格競争が生じている。
・ 少子高齢化の影響により、住設機器通販事業の市場は
2030年をピークに成長期から緩やかな成長期に移行。
・ 賃上、調達コスト上昇は今後も続く。
・ 政府観光立国宣言以降、インバウンド需要の拡大等に
より観光産業の成長が期待される。
・ 兵庫県「淡路島総合観光戦略」も観光産業の高付加
価値化を推進</t>
  </si>
  <si>
    <t>内発的動機
・ 住設機器通販事業はグループ全体で一定の市場シェア
を有しており、引き続き拡大をめざす。
・ 同時に高収益のリゾート事業部門を強力に拡大していく。
既に南あわじ市に6億円の大規模ヴィラを建築、3年目
で売上3.3億円を達成。ノウハウ、人脈、地域社会との
信頼関係を構築済みであり、大胆な設備投資により飛
躍的な拡大を図る準備が整っている。</t>
  </si>
  <si>
    <t>当社の概要
・ 当社はライフワングループの１社として「住宅用設備機器※１のインターネット通販事業」（既
存事業）、2022年からは淡路島での観光宿泊業（以下、リゾート事業）に進出。
単位：億円、人 年商 うち住設通販 営業利益 従業員数
ライフワン 当社 11.2 8.0 0.8 73
グループ ㈱ライフワン 151.1 146.3 3.2 73
その他４社 13.2 2.8 0.8 6</t>
  </si>
  <si>
    <t>【p.1／当社・会社の概要】
当社の概要
・ 当社はライフワングループの１社として「住宅用設備機器※１のインターネット通販事業」（既
存事業）、2022年からは淡路島での観光宿泊業（以下、リゾート事業）に進出。
単位：億円、人 年商 うち住設通販 営業利益 従業員数
ライフワン 当社 11.2 8.0 0.8 73
グループ ㈱ライフワン 151.1 146.3 3.2 73
その他４社 13.2 2.8 0.8 6
【p.1／当社売上増加目標 直近期 計画3年目 増減額 伸率】
当社売上増加目標 直近期 計画3年目 増減額 伸率
単位：億円 2025/2期 2031/2期 CAGR
【p.2／客室棟(木造１~２階建、48～196㎡) 47棟 22億円、フロントラウンジ棟】
客室棟(木造１~２階建、48～196㎡) 47棟 22億円、フロントラウンジ棟
（木造２階建（一部RC造）約1,200㎡)１棟 11億円
【p.2／電気、ガス、給排水、建付家具、照明、空調、調理台、昇降機、ポンプ、キュー】
電気、ガス、給排水、建付家具、照明、空調、調理台、昇降機、ポンプ、キュー
ビクル、防犯・入退室管理装置、ネット回線設備等の建物付属設備
【p.2／項目（単位：千円,人） 2028/2期 2031/2期】
項目（単位：千円,人） 2028/2期 2031/2期
基準年度 報告3年目
【p.2／労働生産性 11,947 22,602 23.7%】
労働生産性 11,947 22,602 23.7%
従業員1人あたり給与支給総額 5,067 6,223 7.1%
役員１人あたり給与支給総額 - - 51.1%
補助事業に係る従業員数(※） 27 57 28.2%</t>
  </si>
  <si>
    <t>【p.1】
株式会社リバイト
1.長期成長ビジョン
45億円の大規模設備投資により当社オリジナルのリゾート型宿泊施設「ホテル＆ヴィラ」を建築。淡路島で他に例を見ない
高付加価値型の観光宿泊施設網を展開。同時に地域住民108名を雇用、高時給で働き甲斐のある職場を提供する。
当社の概要 外発的動機
・ 当社はライフワングループの１社として「住宅用設備機器※１のインターネット通販事業」（既 ・ 既存事業の創業期～成長期は競合他社が存在せず急
成長を果たすことができたが、現在は新規参入者との熾
存事業）、2022年からは淡路島での観光宿泊業（以下、リゾート事業）に進出。
烈な価格競争が生じている。
単位：億円、人 年商 うち住設通販 営業利益 従業員数
ライフワン 当社 11.2 8.0 0.8 73 ・ 少子高齢化の影響により、住設機器通販事業の市場は
グループ ㈱ライフワン 151.1 146.3 3.2 73 2030年をピークに成長期から緩やかな成長期に移行。
その他４社 13.2 2.8 0.8 6 ・ 賃上、調達コスト上昇は今後も続く。
・ 政府観光立国宣言以降、インバウンド需要の拡大等に
長期成長ビジョン（目指す姿・ビジネスモデル）
より観光産業の成長が期待される。
・ コロナ禍を契機とした旅行客の行動変容（団体→マイクロツーリズム）を的確にと
らえ、大規模(投資額45億円）でプライベート感と機能性で差別化した高収益の新業態 ・ 兵庫県「淡路島総合観光戦略」も観光産業の高付加
「ホテル＆ヴィラ」を建設する。これにより淡路島における高収益型の観光宿泊業のモデ 価値化を推進
ルケースとなりたい。
内発的動機
・ 淡路島において、高時給かつ農業や子育てと両立可能で働き甲斐のある職場を提供する。
・ 住設機器通販事業はグループ全体で一定の市場シェア
これにより少子高齢化や過疎化に悩む淡路島における子育て支援や高齢者の働き甲斐、
を有しており、引き続き拡大をめざす。
生き甲斐の創出に貢献したい。
・ 同時に高収益のリゾート事業部門を強力に拡大していく。
・ 上記のビジョン実現のため108名の新規雇用と本社労務管理機能を淡路島に移転する。
既に南あわじ市に6億円の大規模ヴィラを建築、3年目
ライフワン (年商151億） 当社売上増加目標 直近期 計画3年目 増減額 伸率
で売上3.3億円を達成。ノウハウ、人脈、地域社会との
当 社 ( 11億） 単位：億円 2025/2期 2031/2期 CAGR
持
信頼関係を構築済みであり、大胆な設備投資により飛
株 ｱｽﾀｰﾜﾝ ( 10億） 住設機器通販事業 8.0 9.0 1.0 2.0%
会 社 ﾈｲﾋﾞｰﾌﾞﾙｰ ( 2億） リゾート事業 3.3 18.9 15.6 33.9% 躍的な拡大を図る準備が整っている。
家電ｴｺｽﾀｲﾙ ( 0億） ※１：住宅用設備機器：ガス給湯器、冷蔵庫、クッキン
合計 11.2 27.8 16.6 16.3%
ｱｽﾀｰｺｰﾎﾟ ( 1億） グヒータ、ガスコンロ、ウォシュレット、浴室テレビ、クー
ラー等、住宅や店舗内で使用される設備機器
グループ全社が中小企業者に該当</t>
  </si>
  <si>
    <t>【p.2】
株式会社リバイト
2.補助事業の概要
総工費 45億円の大規模投資。他に例のない当社独自の宿泊施設（ホテル＆ヴィラ）を新規開業。多角化を加速して
利益率を劇的に向上させる。加えて雇用増により地域社会の発展に寄与する。
・既存事業の成長鈍化が見込まれる中、事業ポートフォリオの思い切った改革が必要。成長が見込まれ、既存事業の経営資源やノウハウ、強
背 補 事業費
みを活かせる事業分野として観光宿泊業を選定。2022年8月リゾート事業部を新設し、先行投資として兵庫県の淡路島南部（南あわじ
景 助
（補助額）
と 事 市）にて 15棟の大規模ヴィラを新規開業。想定を超える成功（売上3.3億円、営業利益率25%）。
目 業
的 の ・本件補助事業は、規模を更に大規模化・多機能化することによる規模のメリットを追求。木造建築化や省人化対応によりコストダウンを図
４9億円
り、更に高い営業利益率(37%）を実現する。現地スタッフ108名（時間調整前）を新規雇用し地域社会の発展に寄与する。 (1４億円)
費目 投資内容 億円 ・客室棟 47 棟＋フロントラウンジ棟１を建築。
建物費 客室棟(木造１~２階建、48～196㎡) 47棟 22億円、フロントラウンジ棟 総工費45億円。
３３
（建物） （木造２階建（一部RC造）約1,200㎡)１棟 11億円
設
備 ・客室棟は独立平屋ﾀｲﾌﾟ(別荘形式)23棟
建物費 電気、ガス、給排水、建付家具、照明、空調、調理台、昇降機、ポンプ、キュー
投 ９
（付属設備） ビクル、防犯・入退室管理装置、ネット回線設備等の建物付属設備 ＋隣接2階建ﾀｲﾌﾟ(ﾎﾃﾙ形式)24棟
資
の
補助対象合計 ４２ ・フロントラウンジ棟の屋内には、当社が採掘に
内
容 器具備品 室内装飾品、食器、寝具等の100万円未満の少額什器 ２ 成功した天然温泉の湯を利用した温泉大
補助対象外
構築物 来客用青空駐車場、車道整備、植栽、外構工事費 １ 浴場とプール（25× 5.5ｍ）を設置。
総合計 ４５ 総 工 費 45 億円
うち補助対象経費 42 億円
項目（単位：千円,人） 2028/2期 2031/2期 年平均
基準年度 報告3年目 上昇率 CAGR ・計画3年目の営業利益率は既存事業に比
目
標 労働生産性 11,947 22,602 23.7% べて圧倒的に高く、生産性を劇的に改善。
値
従業員1人あたり給与支給総額 5,067 6,223 7.1% 住設機器通販事業の営業利益率 1.1%
役員１人あたり給与支給総額 - - 51.1% リゾート事業の営業利益率 36.6%
補助事業に係る従業員数(※） 27 57 28.2%
次頁へ続く
※ 従業員数：時間調整後</t>
  </si>
  <si>
    <t>木本製菓株式会社
1.長期成長ビジョン
(cid:18313)(cid:2902)(cid:13597)(cid:18174)(cid:7363)(cid:18168)(cid:2905)(cid:5816)(cid:7909)(cid:18171)(cid:4438)(cid:18190)(cid:18204)(cid:18159)(cid:18277)(cid:18295)(cid:18226)(cid:18279)(cid:18314)(cid:18262)(cid:18281)(cid:18260)(cid:18297)(cid:18116)(cid:2902)(cid:13597)(cid:2905)(cid:5816)(cid:18117)(cid:14052)(cid:7447)
(cid:18313)(cid:6786)(cid:18151)(cid:18132)(cid:18273)(cid:18246)(cid:18267)(cid:18247)(cid:18288)(cid:18261)(cid:18297)(cid:18210)(cid:7102)(cid:3007)(cid:18139)(cid:18201)(cid:4485)(cid:6793)(cid:18184)(cid:5262)(cid:14052)(cid:18105)(cid:18114)(cid:4485)(cid:6793)(cid:3696)(cid:9173)(cid:18115)(cid:18171)(cid:5156)(cid:2906)
(cid:18118)(cid:3067)(cid:7447)(cid:9006)(cid:5845)(cid:18119) (cid:18118)(cid:4773)(cid:9422)(cid:9431)(cid:3767)(cid:7605)(cid:18119)
1) (cid:7052)(cid:7055)(cid:18238)(cid:18297)(cid:18314)(cid:18277)(cid:18174)(cid:3067)(cid:7447)(cid:9006)(cid:5845)(cid:18175)(cid:18116)(cid:18170)(cid:18132)(cid:18194)(cid:18174)(cid:18210)(cid:18164)(cid:18143)(cid:18203)(cid:18117): (cid:18436)(cid:18445)(cid:18437)(cid:18277)(cid:18295)(cid:18226)(cid:18279)(cid:18314)(cid:18262)(cid:18170)(cid:10037)(cid:14059)(cid:18210)(cid:5106)(cid:18202)(cid:18170)(cid:18140)(cid:18201)(cid:9397)(cid:18151)(cid:18168)(cid:5107)(cid:18201)(cid:18142)(cid:18210)(cid:4000)(cid:6892)(cid:18171)(cid:3119)(cid:14722)(cid:18167)(cid:18141)(cid:18203)(cid:18281)(cid:18260)(cid:18297)(cid:18140)
(cid:18313) (cid:18281)(cid:18260)(cid:18297)(cid:7447)(cid:9210)(cid:18171)(cid:18104)(cid:6786)(cid:18151)(cid:18132)(cid:18273)(cid:18246)(cid:18267)(cid:18247)(cid:18288)(cid:18261)(cid:18297)(cid:18210)(cid:3696)(cid:18203)(cid:18105)(cid:18436)(cid:18457)(cid:18281)(cid:18260)(cid:18297)(cid:2902)(cid:13597)(cid:2905)(cid:5816)(cid:18437) (cid:7891)(cid:18193)(cid:18201)(cid:18204)(cid:18166)(cid:18132)(cid:18203)(cid:18105)(cid:18436)(cid:18295)(cid:18238)(cid:18246)(cid:18291)(cid:18224)(cid:18296)(cid:18314)(cid:18139)(cid:18201)(cid:18296)(cid:18295)(cid:18237)(cid:18250)(cid:18314)(cid:18245)(cid:18293)(cid:18305)(cid:18184)(cid:18437)
(cid:18313) (cid:4000)(cid:2982)(cid:7447)(cid:18174)(cid:6210)(cid:3724)(cid:18139)(cid:18201)(cid:12836)(cid:2902)(cid:18146)(cid:8929)7.5(cid:18434)(cid:18210)(cid:5127)(cid:8999)(cid:18105)(cid:5777)(cid:7447)(cid:4136)(cid:18174)(cid:18230)(cid:18305)(cid:18240)(cid:18314)(cid:18246)(cid:18287)(cid:18305)(cid:18262)(cid:18210)(cid:4005)(cid:2902)(cid:18149)(cid:18155)(cid:18203)(cid:18105)
(cid:18436)(cid:18446)(cid:18437)(cid:18277)(cid:18295)(cid:18226)(cid:18279)(cid:18314)(cid:18262)(cid:18277)(cid:18314)(cid:18297)/(cid:18243)(cid:18228)(cid:18264)/(cid:5310)(cid:9497)(cid:8078)/(cid:14306)(cid:4787)(cid:14524)(cid:4037)/(cid:7880)(cid:14524)(cid:4037)/(cid:3526)(cid:14524)(cid:4037)(cid:18210)(cid:2893)(cid:18164)(cid:18174)
2) (cid:4485)(cid:6793)(cid:18184)(cid:18174)(cid:5262)(cid:14052)/(cid:6353)(cid:4785)(cid:18454)
(cid:13450)(cid:5255)(cid:18171)(cid:3355)(cid:18136)(cid:18159)(cid:18281)(cid:18260)(cid:18297)(cid:18140)(cid:18170)(cid:18132)(cid:18105)(cid:18436)(cid:5808)(cid:13087)(cid:18174)(cid:18296)(cid:18275)(cid:18298)(cid:18257)(cid:18245)(cid:18291)(cid:18105)(cid:18116)(cid:6746)(cid:18132)(cid:18117)(cid:18174)(cid:3119)(cid:14722)(cid:18437)
(cid:18313)(cid:18281)(cid:18260)(cid:18297)(cid:2902)(cid:13597)(cid:2905)(cid:5816)(cid:18174)(cid:13344)(cid:4256)(cid:18210)(cid:18273)(cid:18246)(cid:18267)(cid:18247)(cid:18288)(cid:18261)(cid:18297)(cid:3820)(cid:18151)(cid:18166)(cid:18104)(cid:4485)(cid:6793)(cid:5262)(cid:14052)(cid:18153)(cid:18203)(cid:18105)
(cid:17147) (cid:4485)(cid:3478)(cid:18174)(cid:14240)(cid:9181)(cid:3201)(cid:13325)(cid:18313)(cid:10514)(cid:8173)(cid:8049)(cid:5878)(cid:3820)(cid:18171)(cid:12809)(cid:8873)(cid:18151)(cid:18166)(cid:18104)(cid:18114)(cid:4485)(cid:6793)(cid:3696)(cid:9173)(cid:18115)(cid:18174)(cid:6353)(cid:4785)(cid:18210)(cid:18194)(cid:18159)(cid:18201)(cid:18153)(cid:18105)
(cid:18436)(cid:18447)(cid:18437)(cid:2902)(cid:13597)(cid:18174)(cid:7363)(cid:18168)(cid:2905)(cid:5816)(cid:7909)(cid:18171)(cid:4438)(cid:18190)(cid:18204)(cid:18104)(cid:7260)(cid:18196)(cid:11656)(cid:18170)(cid:18169)(cid:18174)(cid:4420)(cid:5080)(cid:6305)(cid:18107)(cid:18174)(cid:11180)(cid:8603)(cid:18174)(cid:14524)(cid:6930)(cid:18210)
(cid:8246)(cid:4250)(cid:18167)(cid:18141)(cid:18203)(cid:18105)(cid:18190)(cid:18159)(cid:18104)(cid:7102)(cid:3007)(cid:18247)(cid:18233)(cid:18226)(cid:18258)(cid:18296)(cid:18314)(cid:18194)(cid:2893)(cid:7043)(cid:18105)(cid:18436)(cid:7102)(cid:3007)(cid:18295)(cid:18305)(cid:18263)(cid:18284)(cid:18314)(cid:18237)(cid:18210)(cid:10037)(cid:2928)(cid:6739)(cid:7756)(cid:18437)
(cid:18118)(cid:9918)(cid:18159)(cid:18161)(cid:18104)(cid:7052)(cid:7055)(cid:18238)(cid:18297)(cid:18314)(cid:18277)(cid:18174)(cid:5705)(cid:18191)(cid:18119)
(cid:18436)(cid:18448)(cid:18437)(cid:3002)(cid:13307)(cid:18174)(cid:3644)(cid:3197)(cid:5878)(cid:18105)
1) (cid:5107)(cid:5123)(cid:18151)(cid:18159)(cid:3952)(cid:9480)(cid:4598)(cid:9497)(cid:18454)
(cid:18313)(cid:10037)(cid:8199)(cid:18139)(cid:18201)(cid:18174)(cid:18224)(cid:18237)(cid:18249)(cid:18247)(cid:18436)(cid:10842)(cid:9187)(cid:18104)(cid:6210)(cid:9187)(cid:18139)(cid:18201)(cid:10457)(cid:18448)0(cid:3624)(cid:18437)
(cid:7052)(cid:7055)(cid:18238)(cid:18297)(cid:18314)(cid:18277)(cid:18175)(cid:18104)(cid:18114)(cid:12295)(cid:11499)(cid:18115)(cid:18114)(cid:18281)(cid:18260)(cid:18297)(cid:18115)(cid:18114)(cid:14676)(cid:13108)(cid:4633)(cid:10514)(cid:4256)(cid:18115)(cid:18170)(cid:18169)(cid:18174)(cid:4776)(cid:12421)(cid:9431)(cid:18170)(cid:2982)(cid:7447)(cid:5262)(cid:14052)(cid:18171)(cid:18200)(cid:18203)(cid:5107)(cid:5123)(cid:18151)(cid:18159)
(cid:18313)(cid:4444)(cid:3526)(cid:12411)(cid:3484)(cid:4485)(cid:18184)(cid:18174)(cid:9955)(cid:3767)
(cid:3952)(cid:9480)(cid:18140)(cid:18130)(cid:18203)(cid:18105)
(cid:18313)MICE(cid:3085)(cid:4633)(cid:18184)(cid:18174)(cid:18224)(cid:18237)(cid:18249)(cid:18247)
2) (cid:4485)(cid:4582)(cid:10514)(cid:8173)(cid:18184)(cid:18174)(cid:12809)(cid:8873)(cid:18454)
(cid:18313) (cid:10828)(cid:14655)(cid:9524)(cid:18104)(cid:5304)(cid:5283)(cid:9524)(cid:18167)(cid:18175)(cid:18238)(cid:18297)(cid:18314)(cid:18277)(cid:3506)(cid:3119)(cid:18167)(cid:8999)(cid:4478)1,500(cid:3015)(cid:18210)(cid:12920)(cid:18136)(cid:18203)(cid:14240)(cid:9181)(cid:5127)(cid:10684)(cid:18210)(cid:18194)(cid:18164)(cid:18105) (cid:18118)(cid:3526)(cid:9422)(cid:9431)(cid:3767)(cid:7605)(cid:18119)
(cid:18313) 2024(cid:5562)(cid:18451)(cid:7030)(cid:14807)(cid:5358)(cid:5495)(cid:18171)100(cid:3432)(cid:3527)(cid:18210)(cid:6302)(cid:18152)(cid:12295)(cid:11499)(cid:5476)(cid:4633)(cid:18210)(cid:6786)(cid:12479)(cid:18105)350(cid:4001)(cid:18174)(cid:6786)(cid:12388)(cid:14240)(cid:9181)(cid:18210)(cid:5127)(cid:8999)(cid:18105)
(cid:18313) (cid:5207)(cid:7094)(cid:18104)(cid:14807)(cid:5358)(cid:5495)(cid:18171)(cid:6786)(cid:18151)(cid:18132)(cid:18281)(cid:18260)(cid:18297)/(cid:18301)(cid:18226)(cid:18264)(cid:18296)(cid:18314)/(cid:4785)(cid:4538)(cid:18224)(cid:18228)(cid:18262)(cid:18298)(cid:18257)(cid:18262)/(cid:4785)(cid:4538)(cid:14676)(cid:13108)(cid:4633)(cid:10172)(cid:18107)
(cid:18436)(cid:18445)(cid:18437)(cid:6786)(cid:18151)(cid:18132)(cid:2982)(cid:7447)(cid:18184)(cid:18174)(cid:6382)(cid:6227)
(cid:18174)(cid:14052)(cid:7447)(cid:18210)(cid:2979)(cid:5123)(cid:18105)(cid:4485)(cid:4582)(cid:10514)(cid:8173)(cid:8049)(cid:5878)(cid:3820)(cid:18174)(cid:18159)(cid:18193)(cid:18171)(cid:18104)(cid:7014)(cid:18170)(cid:18203)(cid:12809)(cid:8873)(cid:18210)(cid:9504)(cid:6374)(cid:18153)(cid:18105)
(cid:3026)(cid:18190)(cid:18167)(cid:18171)(cid:18170)(cid:18132)(cid:18138)(cid:5128)(cid:7517)(cid:18171)(cid:4240)(cid:18176)(cid:18204)(cid:18203)(cid:4175)(cid:2893)(cid:8595)(cid:2983)(cid:18174)(cid:18281)(cid:18260)(cid:18297)(cid:18210)(cid:3696)(cid:18202)(cid:18159)(cid:18132)(cid:18105)
3) (cid:18281)(cid:18260)(cid:18297)(cid:13344)(cid:4256)/(cid:10514)(cid:4256)(cid:18454)
(cid:18436)(cid:18446)(cid:18437)(cid:18114)(cid:4485)(cid:6793)(cid:3696)(cid:9173)(cid:18174)(cid:6038)(cid:5823)(cid:18454)(cid:7055)(cid:9835)(cid:18210)(cid:14807)(cid:5358)(cid:5495)(cid:18171)(cid:9955)(cid:13119)(cid:18115)
(cid:18313) (cid:7102)(cid:3007)(cid:18104)(cid:10828)(cid:14655)(cid:18104)(cid:3007)(cid:13460)(cid:18171)(cid:12451)5(cid:18164)(cid:18174)(cid:18281)(cid:18260)(cid:18297)(cid:18210)(cid:3222)(cid:7031)(cid:18105)(cid:4444)(cid:3526)(cid:2893)(cid:11233)(cid:5128)(cid:18139)(cid:18201)(cid:18226)(cid:18305)(cid:18270)(cid:18228)(cid:18305)(cid:18263)(cid:18190)(cid:18167)(cid:5532)(cid:5576)
(cid:18313)(cid:7052)(cid:7055)(cid:18238)(cid:18297)(cid:18314)(cid:18277)(cid:18174)(cid:10514)(cid:4256)(cid:4598)(cid:9497)(cid:18175)(cid:14807)(cid:5358)(cid:5495)(cid:18105)(cid:18436)(cid:18281)(cid:18260)(cid:18297)(cid:18104)(cid:12295)(cid:11499)(cid:5476)(cid:4633)(cid:18104)(cid:14676)(cid:13108)(cid:4633)(cid:3034)(cid:18437)
(cid:18132)(cid:14515)(cid:5128)(cid:18171)(cid:5200)(cid:5826)(cid:18153)(cid:18203)(cid:13344)(cid:4256)(cid:18168)(cid:10514)(cid:4256)(cid:18174)(cid:18268)(cid:18228)(cid:18269)(cid:18228)(cid:18210)(cid:18194)(cid:18164)(cid:18105)
(cid:18313)2027(cid:5562)(cid:7054)(cid:18190)(cid:18167)(cid:18171)(cid:7052)(cid:7055)(cid:12295)(cid:11499)(cid:18175)(cid:7055)(cid:9835)(cid:18210)(cid:7102)(cid:3007)(cid:18139)(cid:18201)(cid:14807)(cid:5358)(cid:5495)(cid:18184)(cid:9955)(cid:13119)(cid:18151)(cid:18166)(cid:18104)(cid:10514)(cid:4256)(cid:18174)(cid:18247)(cid:18274)(cid:18314)(cid:18263)
((cid:6820)(cid:5073)(cid:18281)(cid:18260)(cid:18297)(cid:18175)(cid:3506)(cid:18166)80(cid:18522)90(cid:18434)(cid:18174)(cid:5561)(cid:4498)(cid:9996)(cid:3390)(cid:8929)(cid:18210)(cid:18187)(cid:18147)(cid:18203))
(cid:18224)(cid:18257)(cid:18277)(cid:18210)(cid:4439)(cid:18203)(cid:18160)(cid:18145)(cid:18167)(cid:18170)(cid:18143)(cid:18104)(cid:4485)(cid:4582)(cid:10514)(cid:8173)(cid:18174)(cid:8049)(cid:5878)(cid:3820)(cid:18171)(cid:5156)(cid:2906)(cid:18151)(cid:18159)(cid:18132)(cid:18105)
(cid:18436)(cid:18447)(cid:18437)(cid:6795)(cid:12479)(cid:18174)(cid:5107)(cid:3506)(cid:5705)(cid:3820)(cid:18174)(cid:18159)(cid:18193)(cid:18171)
(cid:4750)(cid:2902)(cid:6210)(cid:14039)(cid:9504)(cid:7558)(cid:18436)(cid:2085)2030(cid:5562)(cid:5592)(cid:18456)2031(cid:5562)4(cid:7030)(cid:7047)(cid:18458)(cid:18437)
(cid:18313)(cid:8999)(cid:12188)(cid:18281)(cid:18260)(cid:18297)(cid:18175)(cid:5651)(cid:10255)(cid:5771)50(cid:5562)(cid:18140)(cid:10514)(cid:13347)(cid:18105)(cid:10895)(cid:14280)(cid:12487)(cid:6783)(cid:12586)(cid:7197)(cid:18174)(cid:10518)(cid:7133)(cid:18210)(cid:3959)(cid:18145)(cid:18166)(cid:12430)(cid:3119)(cid:18210)(cid:7924)(cid:5123)(cid:18105)
• (cid:5562)(cid:5561)(cid:4498)(cid:6210)(cid:14039)(cid:8929)(cid:18436)(cid:5200)(cid:4598)(cid:8253)(cid:5562)(cid:5592)(cid:18437)(cid:18454)+1(cid:18451)(cid:18442)(cid:18450)(cid:18452)(cid:18434)/(cid:5562)
(cid:18313)(cid:12430)(cid:3119)(cid:5771)(cid:18174)(cid:4469)(cid:4485)(cid:3644)(cid:9181)(cid:18210)(cid:7400)(cid:12454)(cid:18151)(cid:18159)(cid:10518)(cid:7133)(cid:18104)(cid:4469)(cid:4485)(cid:18210)(cid:6244)(cid:7031)(cid:18153)(cid:18203)(cid:3644)(cid:8556)(cid:18210)(cid:9173)(cid:18139)(cid:18155)(cid:18176)(cid:10610)(cid:6302)(cid:12840)(cid:14496)
• (cid:4689)(cid:3725)(cid:14496)(cid:18436)(cid:5200)(cid:4598)(cid:8253)(cid:5562)(cid:5592)(cid:18437) (cid:18454)+1(cid:18445)(cid:18442)(cid:18447)(cid:18451)(cid:3432)(cid:3527)(cid:18456)+163(cid:18434)(cid:18458)
(cid:18194)(cid:6298)(cid:18136)(cid:18201)(cid:18204)(cid:18203)(cid:18159)(cid:18193)(cid:18104)(cid:18281)(cid:18260)(cid:18297)(cid:18174)(cid:6786)(cid:10255)(cid:18210)(cid:7924)(cid:6783)(cid:18105)
(cid:12836)(cid:2902)(cid:18146)(cid:9504)(cid:7558)(cid:18436)(cid:2085)2030(cid:5562)(cid:5592)(cid:18456)2031(cid:5562)4(cid:7030)(cid:7047)(cid:18458)(cid:18437)
• (cid:5562)(cid:5561)(cid:4498)(cid:5777)(cid:7447)(cid:4136)(cid:9504)(cid:7558)(cid:12836)(cid:2902)(cid:18146)(cid:8929) (cid:18454)+(cid:18451)(cid:18442)(cid:18449)(cid:18434)/(cid:5562)</t>
  </si>
  <si>
    <t>【p.1／その他Box 1】
(cid:18118)(cid:3067)(cid:7447)(cid:9006)(cid:5845)(cid:18119)
1) (cid:7052)(cid:7055)(cid:18238)(cid:18297)(cid:18314)(cid:18277)(cid:18174)(cid:3067)(cid:7447)(cid:9006)(cid:5845)(cid:18175) (cid:18116)(cid:18170)(cid:18132)(cid:18194)(cid:18174)(cid:18210)(cid:18164)(cid:18143)(cid:18203)(cid:18117) :
(cid:18313) (cid:18281)(cid:18260)(cid:18297)(cid:7447)(cid:9210)(cid:18171)(cid:18104)(cid:6786)(cid:18151)(cid:18132)(cid:18273)(cid:18246)(cid:18267)(cid:18247)(cid:18288)(cid:18261)(cid:18297)(cid:18210)(cid:3696)(cid:18203)(cid:18105)(cid:18436)(cid:18457)(cid:18281)(cid:18260)(cid:18297)(cid:2902)(cid:13597)(cid:2905)(cid:5816)(cid:18437)
(cid:18313) (cid:4000)(cid:2982)(cid:7447)(cid:18174)(cid:6210)(cid:3724)(cid:18139)(cid:18201)(cid:12836)(cid:2902)(cid:18146)(cid:8929)7.5(cid:18434)(cid:18210)(cid:5127)(cid:8999)(cid:18105)(cid:5777)(cid:7447)(cid:4136)(cid:18174)(cid:18230)(cid:18305)(cid:18240)(cid:18314)(cid:18246)(cid:18287)(cid:18305)(cid:18262)(cid:18210)(cid:4005)(cid:2902)(cid:18149)(cid:18155)(cid:18203)(cid:18105)
2) (cid:4485)(cid:6793)(cid:18184)(cid:18174)(cid:5262)(cid:14052)/(cid:6353)(cid:4785)(cid:18454)
(cid:18313)(cid:18281)(cid:18260)(cid:18297)(cid:2902)(cid:13597)(cid:2905)(cid:5816)(cid:18174)(cid:13344)(cid:4256)(cid:18210)(cid:18273)(cid:18246)(cid:18267)(cid:18247)(cid:18288)(cid:18261)(cid:18297)(cid:3820)(cid:18151)(cid:18166)(cid:18104)(cid:4485)(cid:6793)(cid:5262)(cid:14052)(cid:18153)(cid:18203)(cid:18105)
(cid:17147) (cid:4485)(cid:3478)(cid:18174)(cid:14240)(cid:9181)(cid:3201)(cid:13325)(cid:18313)(cid:10514)(cid:8173)(cid:8049)(cid:5878)(cid:3820)(cid:18171)(cid:12809)(cid:8873)(cid:18151)(cid:18166)(cid:18104)(cid:18114)(cid:4485)(cid:6793)(cid:3696)(cid:9173)(cid:18115)(cid:18174)(cid:6353)(cid:4785)(cid:18210)(cid:18194)(cid:18159)(cid:18201)(cid:18153)(cid:18105)
(cid:18118)(cid:9918)(cid:18159)(cid:18161)(cid:18104)(cid:7052)(cid:7055)(cid:18238)(cid:18297)(cid:18314)(cid:18277)(cid:18174)(cid:5705)(cid:18191)(cid:18119)
1) (cid:5107)(cid:5123)(cid:18151)(cid:18159)(cid:3952)(cid:9480)(cid:4598)(cid:9497)(cid:18454)
(cid:7052)(cid:7055)(cid:18238)(cid:18297)(cid:18314)(cid:18277)(cid:18175)(cid:18104)(cid:18114)(cid:12295)(cid:11499)(cid:18115)(cid:18114)(cid:18281)(cid:18260)(cid:18297)(cid:18115)(cid:18114)(cid:14676)(cid:13108)(cid:4633)(cid:10514)(cid:4256)(cid:18115)(cid:18170)(cid:18169)(cid:18174)(cid:4776)(cid:12421)(cid:9431)(cid:18170)(cid:2982)(cid:7447)(cid:5262)(cid:14052)(cid:18171)(cid:18200)(cid:18203)(cid:5107)(cid:5123)(cid:18151)(cid:18159)
(cid:3952)(cid:9480)(cid:18140)(cid:18130)(cid:18203)(cid:18105)
2) (cid:4485)(cid:4582)(cid:10514)(cid:8173)(cid:18184)(cid:18174)(cid:12809)(cid:8873)(cid:18454)
(cid:18313) (cid:10828)(cid:14655)(cid:9524)(cid:18104)(cid:5304)(cid:5283)(cid:9524)(cid:18167)(cid:18175)(cid:18238)(cid:18297)(cid:18314)(cid:18277)(cid:3506)(cid:3119)(cid:18167)(cid:8999)(cid:4478)1,500(cid:3015)(cid:18210)(cid:12920)(cid:18136)(cid:18203)(cid:14240)(cid:9181)(cid:5127)(cid:10684)(cid:18210)(cid:18194)(cid:18164)(cid:18105)
(cid:18313) 2024(cid:5562)(cid:18451)(cid:7030)(cid:14807)(cid:5358)(cid:5495)(cid:18171)100(cid:3432)(cid:3527)(cid:18210)(cid:6302)(cid:18152)(cid:12295)(cid:11499)(cid:5476)(cid:4633)(cid:18210)(cid:6786)(cid:12479)(cid:18105)350(cid:4001)(cid:18174)(cid:6786)(cid:12388)(cid:14240)(cid:9181)(cid:18210)(cid:5127)(cid:8999)(cid:18105)
(cid:18313) (cid:5207)(cid:7094)(cid:18104)(cid:14807)(cid:5358)(cid:5495)(cid:18171)(cid:6786)(cid:18151)(cid:18132)(cid:18281)(cid:18260)(cid:18297)/(cid:18301)(cid:18226)(cid:18264)(cid:18296)(cid:18314)/(cid:4785)(cid:4538)(cid:18224)(cid:18228)(cid:18262)(cid:18298)(cid:18257)(cid:18262)/(cid:4785)(cid:4538)(cid:14676)(cid:13108)(cid:4633)(cid:10172)(cid:18107)
(cid:18174)(cid:14052)(cid:7447)(cid:18210)(cid:2979)(cid:5123)(cid:18105)(cid:4485)(cid:4582)(cid:10514)(cid:8173)(cid:8049)(cid:5878)(cid:3820)(cid:18174)(cid:18159)(cid:18193)(cid:18171)(cid:18104)(cid:7014)(cid:18170)(cid:18203)(cid:12809)(cid:8873)(cid:18210)(cid:9504)(cid:6374)(cid:18153)(cid:18105)
3) (cid:18281)(cid:18260)(cid:18297)(cid:13344)(cid:4256)/(cid:10514)(cid:4256)(cid:18454)
(cid:18313) (cid:7102)(cid:3007)(cid:18104)(cid:10828)(cid:14655)(cid:18104)(cid:3007)(cid:13460)(cid:18171)(cid:12451)5(cid:18164)(cid:18174)(cid:18281)(cid:18260)(cid:18297)(cid:18210)(cid:3222)(cid:7031)(cid:18105)(cid:4444)(cid:3526)(cid:2893)(cid:11233)(cid:5128)(cid:18139)(cid:18201)(cid:18226)(cid:18305)(cid:18270)(cid:18228)(cid:18305)(cid:18263)(cid:18190)(cid:18167)(cid:5532)(cid:5576)
(cid:18132)(cid:14515)(cid:5128)(cid:18171)(cid:5200)(cid:5826)(cid:18153)(cid:18203)(cid:13344)(cid:4256)(cid:18168)(cid:10514)(cid:4256)(cid:18174)(cid:18268)(cid:18228)(cid:18269)(cid:18228)(cid:18210)(cid:18194)(cid:18164)(cid:18105)
((cid:6820)(cid:5073)(cid:18281)(cid:18260)(cid:18297)(cid:18175)(cid:3506)(cid:18166)80(cid:18522)90(cid:18434)(cid:18174)(cid:5561)(cid:4498)(cid:9996)(cid:3390)(cid:8929)(cid:18210)(cid:18187)(cid:18147)(cid:18203))
【p.1／その他Box 2】
(cid:18118)(cid:4773)(cid:9422)(cid:9431)(cid:3767)(cid:7605)(cid:18119)
(cid:18436)(cid:18445)(cid:18437)(cid:18277)(cid:18295)(cid:18226)(cid:18279)(cid:18314)(cid:18262)(cid:18170)(cid:10037)(cid:14059)(cid:18210)(cid:5106)(cid:18202)(cid:18170)(cid:18140)(cid:18201)(cid:9397)(cid:18151)(cid:18168)(cid:5107)(cid:18201)(cid:18142)(cid:18210)(cid:4000)(cid:6892)(cid:18171)(cid:3119)(cid:14722)(cid:18167)(cid:18141)(cid:18203)(cid:18281)(cid:18260)(cid:18297)(cid:18140)
(cid:7891)(cid:18193)(cid:18201)(cid:18204)(cid:18166)(cid:18132)(cid:18203)(cid:18105)(cid:18436)(cid:18295)(cid:18238)(cid:18246)(cid:18291)(cid:18224)(cid:18296)(cid:18314)(cid:18139)(cid:18201)(cid:18296)(cid:18295)(cid:18237)(cid:18250)(cid:18314)(cid:18245)(cid:18293)(cid:18305)(cid:18184)(cid:18437)
(cid:18436)(cid:18446)(cid:18437)(cid:18277)(cid:18295)(cid:18226)(cid:18279)(cid:18314)(cid:18262)(cid:18277)(cid:18314)(cid:18297)/(cid:18243)(cid:18228)(cid:18264)/(cid:5310)(cid:9497)(cid:8078)/(cid:14306)(cid:4787)(cid:14524)(cid:4037)/(cid:7880)(cid:14524)(cid:4037)/(cid:3526)(cid:14524)(cid:4037)(cid:18210)(cid:2893)(cid:18164)(cid:18174)
(cid:13450)(cid:5255)(cid:18171)(cid:3355)(cid:18136)(cid:18159)(cid:18281)(cid:18260)(cid:18297)(cid:18140)(cid:18170)(cid:18132)(cid:18105)(cid:18436)(cid:5808)(cid:13087)(cid:18174)(cid:18296)(cid:18275)(cid:18298)(cid:18257)(cid:18245)(cid:18291)(cid:18105)(cid:18116)(cid:6746)(cid:18132)(cid:18117)(cid:18174)(cid:3119)(cid:14722)(cid:18437)
(cid:18436)(cid:18447)(cid:18437)(cid:2902)(cid:13597)(cid:18174)(cid:7363)(cid:18168)(cid:2905)(cid:5816)(cid:7909)(cid:18171)(cid:4438)(cid:18190)(cid:18204)(cid:18104)(cid:7260)(cid:18196)(cid:11656)(cid:18170)(cid:18169)(cid:18174)(cid:4420)(cid:5080)(cid:6305)(cid:18107)(cid:18174)(cid:11180)(cid:8603)(cid:18174)(cid:14524)(cid:6930)(cid:18210)
(cid:8246)(cid:4250)(cid:18167)(cid:18141)(cid:18203)(cid:18105)(cid:18190)(cid:18159)(cid:18104)(cid:7102)(cid:3007)(cid:18247)(cid:18233)(cid:18226)(cid:18258)(cid:18296)(cid:18314)(cid:18194)(cid:2893)(cid:7043)(cid:18105)(cid:18436)(cid:7102)(cid:3007)(cid:18295)(cid:18305)(cid:18263)(cid:18284)(cid:18314)(cid:18237)(cid:18210)(cid:10037)(cid:2928)(cid:6739)(cid:7756)(cid:18437)
(cid:18436)(cid:18448)(cid:18437)(cid:3002)(cid:13307)(cid:18174)(cid:3644)(cid:3197)(cid:5878)(cid:18105)
(cid:18313)(cid:10037)(cid:8199)(cid:18139)(cid:18201)(cid:18174)(cid:18224)(cid:18237)(cid:18249)(cid:18247)(cid:18436)(cid:10842)(cid:9187)(cid:18104)(cid:6210)(cid:9187)(cid:18139)(cid:18201)(cid:10457)(cid:18448)0(cid:3624)(cid:18437)
(cid:18313)(cid:4444)(cid:3526)(cid:12411)(cid:3484)(cid:4485)(cid:18184)(cid:18174)(cid:9955)(cid:3767)
(cid:18313)MICE(cid:3085)(cid:4633)(cid:18184)(cid:18174)(cid:18224)(cid:18237)(cid:18249)(cid:18247)
【p.1／その他Box 3】
(cid:18118)(cid:3526)(cid:9422)(cid:9431)(cid:3767)(cid:7605)(cid:18119)
(cid:18436)(cid:18445)(cid:18437)(cid:6786)(cid:18151)(cid:18132)(cid:2982)(cid:7447)(cid:18184)(cid:18174)(cid:6382)(cid:6227)
(cid:3026)(cid:18190)(cid:18167)(cid:18171)(cid:18170)(cid:18132)(cid:18138)(cid:5128)(cid:7517)(cid:18171)(cid:4240)(cid:18176)(cid:18204)(cid:18203)(cid:4175)(cid:2893)(cid:8595)(cid:2983)(cid:18174)(cid:18281)(cid:18260)(cid:18297)(cid:18210)(cid:3696)(cid:18202)(cid:18159)(cid:18132)(cid:18105)
(cid:18436)(cid:18446)(cid:18437)(cid:18114)(cid:4485)(cid:6793)(cid:3696)(cid:9173)(cid:18174)(cid:6038)(cid:5823)(cid:18454) (cid:7055)(cid:9835)(cid:18210)(cid:14807)(cid:5358)(cid:5495)(cid:18171)(cid:9955)(cid:13119)(cid:18115)
(cid:18313)(cid:7052)(cid:7055)(cid:18238)(cid:18297)(cid:18314)(cid:18277)(cid:18174)(cid:10514)(cid:4256)(cid:4598)(cid:9497)(cid:18175)(cid:14807)(cid:5358)(cid:5495)(cid:18105)(cid:18436)(cid:18281)(cid:18260)(cid:18297)(cid:18104)(cid:12295)(cid:11499)(cid:5476)(cid:4633)(cid:18104)(cid:14676)(cid:13108)(cid:4633)(cid:3034)(cid:18437)
(cid:18313)2027(cid:5562)(cid:7054)(cid:18190)(cid:18167)(cid:18171)(cid:7052)(cid:7055)(cid:12295)(cid:11499)(cid:18175)(cid:7055)(cid:9835)(cid:18210)(cid:7102)(cid:3007)(cid:18139)(cid:18201)(cid:14807)(cid:5358)(cid:5495)(cid:18184)(cid:9955)(cid:13119)(cid:18151)(cid:18166)(cid:18104)(cid:10514)(cid:4256)(cid:18174)(cid:18247)(cid:18274)(cid:18314)(cid:18263)
(cid:18224)(cid:18257)(cid:18277)(cid:18210)(cid:4439)(cid:18203)(cid:18160)(cid:18145)(cid:18167)(cid:18170)(cid:18143)(cid:18104)(cid:4485)(cid:4582)(cid:10514)(cid:8173)(cid:18174)(cid:8049)(cid:5878)(cid:3820)(cid:18171)(cid:5156)(cid:2906)(cid:18151)(cid:18159)(cid:18132)(cid:18105)
(cid:18436)(cid:18447)(cid:18437)(cid:6795)(cid:12479)(cid:18174)(cid:5107)(cid:3506)(cid:5705)(cid:3820)(cid:18174)(cid:18159)(cid:18193)(cid:18171)
(cid:18313)(cid:8999)(cid:12188)(cid:18281)(cid:18260)(cid:18297)(cid:18175)(cid:5651)(cid:10255)(cid:5771)50(cid:5562)(cid:18140)(cid:10514)(cid:13347)(cid:18105)(cid:10895)(cid:14280)(cid:12487)(cid:6783)(cid:12586)(cid:7197)(cid:18174)(cid:10518)(cid:7133)(cid:18210)(cid:3959)(cid:18145)(cid:18166)(cid:12430)(cid:3119)(cid:18210)(cid:7924)(cid:5123)(cid:18105)
(cid:18313)(cid:12430)(cid:3119)(cid:5771)(cid:18174)(cid:4469)(cid:4485)(cid:3644)(cid:9181)(cid:18210)(cid:7400)(cid:12454)(cid:18151)(cid:18159)(cid:10518)(cid:7133)(cid:18104)(cid:4469)(cid:4485)(cid:18210)(cid:6244)(cid:7031)(cid:18153)(cid:18203)(cid:3644)(cid:8556)(cid:18210)(cid:9173)(cid:18139)(cid:18155)(cid:18176)(cid:10610)(cid:6302)(cid:12840)(cid:14496)
(cid:18194)(cid:6298)(cid:18136)(cid:18201)(cid:18204)(cid:18203)(cid:18159)(cid:18193)(cid:18104)(cid:18281)(cid:18260)(cid:18297)(cid:18174)(cid:6786)(cid:10255)(cid:18210)(cid:7924)(cid:6783)(cid:18105)
【p.1／その他Box 4】
(cid:4750)(cid:2902)(cid:6210)(cid:14039)(cid:9504)(cid:7558)(cid:18436)(cid:2085)2030(cid:5562)(cid:5592)(cid:18456)2031(cid:5562)4(cid:7030)(cid:7047)(cid:18458)(cid:18437)
• (cid:5562)(cid:5561)(cid:4498)(cid:6210)(cid:14039)(cid:8929)(cid:18436)(cid:5200)(cid:4598)(cid:8253)(cid:5562)(cid:5592)(cid:18437)(cid:18454)+1(cid:18451)(cid:18442)(cid:18450)(cid:18452)(cid:18434)/(cid:5562)
• (cid:4689)(cid:3725)(cid:14496)(cid:18436)(cid:5200)(cid:4598)(cid:8253)(cid:5562)(cid:5592)(cid:18437) (cid:18454)+1(cid:18445)(cid:18442)(cid:18447)(cid:18451)(cid:3432)(cid:3527)(cid:18456)+163(cid:18434)(cid:18458)
(cid:12836)(cid:2902)(cid:18146)(cid:9504)(cid:7558)(cid:18436)(cid:2085)2030(cid:5562)(cid:5592)(cid:18456)2031(cid:5562)4(cid:7030)(cid:7047)(cid:18458)(cid:18437)
• (cid:5562)(cid:5561)(cid:4498)(cid:5777)(cid:7447)(cid:4136)(cid:9504)(cid:7558)(cid:12836)(cid:2902)(cid:18146)(cid:8929) (cid:18454)+(cid:18451)(cid:18442)(cid:18449)(cid:18434)/(cid:5562)</t>
  </si>
  <si>
    <t>【p.1】
木本製菓株式会社
1.長期成長ビジョン
(cid:18313)(cid:2902)(cid:13597)(cid:18174)(cid:7363)(cid:18168)(cid:2905)(cid:5816)(cid:7909)(cid:18171)(cid:4438)(cid:18190)(cid:18204)(cid:18159)(cid:18277)(cid:18295)(cid:18226)(cid:18279)(cid:18314)(cid:18262)(cid:18281)(cid:18260)(cid:18297)(cid:18116)(cid:2902)(cid:13597)(cid:2905)(cid:5816)(cid:18117)(cid:14052)(cid:7447)
(cid:18313)(cid:6786)(cid:18151)(cid:18132)(cid:18273)(cid:18246)(cid:18267)(cid:18247)(cid:18288)(cid:18261)(cid:18297)(cid:18210)(cid:7102)(cid:3007)(cid:18139)(cid:18201)(cid:4485)(cid:6793)(cid:18184)(cid:5262)(cid:14052)(cid:18105)(cid:18114)(cid:4485)(cid:6793)(cid:3696)(cid:9173)(cid:18115)(cid:18171)(cid:5156)(cid:2906)
(cid:18118)(cid:3067)(cid:7447)(cid:9006)(cid:5845)(cid:18119) (cid:18118)(cid:4773)(cid:9422)(cid:9431)(cid:3767)(cid:7605)(cid:18119)
1) (cid:7052)(cid:7055)(cid:18238)(cid:18297)(cid:18314)(cid:18277)(cid:18174)(cid:3067)(cid:7447)(cid:9006)(cid:5845)(cid:18175) (cid:18116)(cid:18170)(cid:18132)(cid:18194)(cid:18174)(cid:18210)(cid:18164)(cid:18143)(cid:18203)(cid:18117) : (cid:18436)(cid:18445)(cid:18437)(cid:18277)(cid:18295)(cid:18226)(cid:18279)(cid:18314)(cid:18262)(cid:18170)(cid:10037)(cid:14059)(cid:18210)(cid:5106)(cid:18202)(cid:18170)(cid:18140)(cid:18201)(cid:9397)(cid:18151)(cid:18168)(cid:5107)(cid:18201)(cid:18142)(cid:18210)(cid:4000)(cid:6892)(cid:18171)(cid:3119)(cid:14722)(cid:18167)(cid:18141)(cid:18203)(cid:18281)(cid:18260)(cid:18297)(cid:18140)
(cid:18313) (cid:18281)(cid:18260)(cid:18297)(cid:7447)(cid:9210)(cid:18171)(cid:18104)(cid:6786)(cid:18151)(cid:18132)(cid:18273)(cid:18246)(cid:18267)(cid:18247)(cid:18288)(cid:18261)(cid:18297)(cid:18210)(cid:3696)(cid:18203)(cid:18105)(cid:18436)(cid:18457)(cid:18281)(cid:18260)(cid:18297)(cid:2902)(cid:13597)(cid:2905)(cid:5816)(cid:18437) (cid:7891)(cid:18193)(cid:18201)(cid:18204)(cid:18166)(cid:18132)(cid:18203)(cid:18105)(cid:18436)(cid:18295)(cid:18238)(cid:18246)(cid:18291)(cid:18224)(cid:18296)(cid:18314)(cid:18139)(cid:18201)(cid:18296)(cid:18295)(cid:18237)(cid:18250)(cid:18314)(cid:18245)(cid:18293)(cid:18305)(cid:18184)(cid:18437)
(cid:18313) (cid:4000)(cid:2982)(cid:7447)(cid:18174)(cid:6210)(cid:3724)(cid:18139)(cid:18201)(cid:12836)(cid:2902)(cid:18146)(cid:8929)7.5(cid:18434)(cid:18210)(cid:5127)(cid:8999)(cid:18105)(cid:5777)(cid:7447)(cid:4136)(cid:18174)(cid:18230)(cid:18305)(cid:18240)(cid:18314)(cid:18246)(cid:18287)(cid:18305)(cid:18262)(cid:18210)(cid:4005)(cid:2902)(cid:18149)(cid:18155)(cid:18203)(cid:18105)
(cid:18436)(cid:18446)(cid:18437)(cid:18277)(cid:18295)(cid:18226)(cid:18279)(cid:18314)(cid:18262)(cid:18277)(cid:18314)(cid:18297)/(cid:18243)(cid:18228)(cid:18264)/(cid:5310)(cid:9497)(cid:8078)/(cid:14306)(cid:4787)(cid:14524)(cid:4037)/(cid:7880)(cid:14524)(cid:4037)/(cid:3526)(cid:14524)(cid:4037)(cid:18210)(cid:2893)(cid:18164)(cid:18174)
2) (cid:4485)(cid:6793)(cid:18184)(cid:18174)(cid:5262)(cid:14052)/(cid:6353)(cid:4785)(cid:18454)
(cid:13450)(cid:5255)(cid:18171)(cid:3355)(cid:18136)(cid:18159)(cid:18281)(cid:18260)(cid:18297)(cid:18140)(cid:18170)(cid:18132)(cid:18105)(cid:18436)(cid:5808)(cid:13087)(cid:18174)(cid:18296)(cid:18275)(cid:18298)(cid:18257)(cid:18245)(cid:18291)(cid:18105)(cid:18116)(cid:6746)(cid:18132)(cid:18117)(cid:18174)(cid:3119)(cid:14722)(cid:18437)
(cid:18313)(cid:18281)(cid:18260)(cid:18297)(cid:2902)(cid:13597)(cid:2905)(cid:5816)(cid:18174)(cid:13344)(cid:4256)(cid:18210)(cid:18273)(cid:18246)(cid:18267)(cid:18247)(cid:18288)(cid:18261)(cid:18297)(cid:3820)(cid:18151)(cid:18166)(cid:18104)(cid:4485)(cid:6793)(cid:5262)(cid:14052)(cid:18153)(cid:18203)(cid:18105)
(cid:17147) (cid:4485)(cid:3478)(cid:18174)(cid:14240)(cid:9181)(cid:3201)(cid:13325)(cid:18313)(cid:10514)(cid:8173)(cid:8049)(cid:5878)(cid:3820)(cid:18171)(cid:12809)(cid:8873)(cid:18151)(cid:18166)(cid:18104)(cid:18114)(cid:4485)(cid:6793)(cid:3696)(cid:9173)(cid:18115)(cid:18174)(cid:6353)(cid:4785)(cid:18210)(cid:18194)(cid:18159)(cid:18201)(cid:18153)(cid:18105)
(cid:18436)(cid:18447)(cid:18437)(cid:2902)(cid:13597)(cid:18174)(cid:7363)(cid:18168)(cid:2905)(cid:5816)(cid:7909)(cid:18171)(cid:4438)(cid:18190)(cid:18204)(cid:18104)(cid:7260)(cid:18196)(cid:11656)(cid:18170)(cid:18169)(cid:18174)(cid:4420)(cid:5080)(cid:6305)(cid:18107)(cid:18174)(cid:11180)(cid:8603)(cid:18174)(cid:14524)(cid:6930)(cid:18210)
(cid:8246)(cid:4250)(cid:18167)(cid:18141)(cid:18203)(cid:18105)(cid:18190)(cid:18159)(cid:18104)(cid:7102)(cid:3007)(cid:18247)(cid:18233)(cid:18226)(cid:18258)(cid:18296)(cid:18314)(cid:18194)(cid:2893)(cid:7043)(cid:18105)(cid:18436)(cid:7102)(cid:3007)(cid:18295)(cid:18305)(cid:18263)(cid:18284)(cid:18314)(cid:18237)(cid:18210)(cid:10037)(cid:2928)(cid:6739)(cid:7756)(cid:18437)
(cid:18118)(cid:9918)(cid:18159)(cid:18161)(cid:18104)(cid:7052)(cid:7055)(cid:18238)(cid:18297)(cid:18314)(cid:18277)(cid:18174)(cid:5705)(cid:18191)(cid:18119)
(cid:18436)(cid:18448)(cid:18437)(cid:3002)(cid:13307)(cid:18174)(cid:3644)(cid:3197)(cid:5878)(cid:18105)
1) (cid:5107)(cid:5123)(cid:18151)(cid:18159)(cid:3952)(cid:9480)(cid:4598)(cid:9497)(cid:18454)
(cid:18313)(cid:10037)(cid:8199)(cid:18139)(cid:18201)(cid:18174)(cid:18224)(cid:18237)(cid:18249)(cid:18247)(cid:18436)(cid:10842)(cid:9187)(cid:18104)(cid:6210)(cid:9187)(cid:18139)(cid:18201)(cid:10457)(cid:18448)0(cid:3624)(cid:18437)
(cid:7052)(cid:7055)(cid:18238)(cid:18297)(cid:18314)(cid:18277)(cid:18175)(cid:18104)(cid:18114)(cid:12295)(cid:11499)(cid:18115)(cid:18114)(cid:18281)(cid:18260)(cid:18297)(cid:18115)(cid:18114)(cid:14676)(cid:13108)(cid:4633)(cid:10514)(cid:4256)(cid:18115)(cid:18170)(cid:18169)(cid:18174)(cid:4776)(cid:12421)(cid:9431)(cid:18170)(cid:2982)(cid:7447)(cid:5262)(cid:14052)(cid:18171)(cid:18200)(cid:18203)(cid:5107)(cid:5123)(cid:18151)(cid:18159)
(cid:18313)(cid:4444)(cid:3526)(cid:12411)(cid:3484)(cid:4485)(cid:18184)(cid:18174)(cid:9955)(cid:3767)
(cid:3952)(cid:9480)(cid:18140)(cid:18130)(cid:18203)(cid:18105)
(cid:18313)MICE(cid:3085)(cid:4633)(cid:18184)(cid:18174)(cid:18224)(cid:18237)(cid:18249)(cid:18247)
2) (cid:4485)(cid:4582)(cid:10514)(cid:8173)(cid:18184)(cid:18174)(cid:12809)(cid:8873)(cid:18454)
(cid:18313) (cid:10828)(cid:14655)(cid:9524)(cid:18104)(cid:5304)(cid:5283)(cid:9524)(cid:18167)(cid:18175)(cid:18238)(cid:18297)(cid:18314)(cid:18277)(cid:3506)(cid:3119)(cid:18167)(cid:8999)(cid:4478)1,500(cid:3015)(cid:18210)(cid:12920)(cid:18136)(cid:18203)(cid:14240)(cid:9181)(cid:5127)(cid:10684)(cid:18210)(cid:18194)(cid:18164)(cid:18105) (cid:18118)(cid:3526)(cid:9422)(cid:9431)(cid:3767)(cid:7605)(cid:18119)
(cid:18313) 2024(cid:5562)(cid:18451)(cid:7030)(cid:14807)(cid:5358)(cid:5495)(cid:18171)100(cid:3432)(cid:3527)(cid:18210)(cid:6302)(cid:18152)(cid:12295)(cid:11499)(cid:5476)(cid:4633)(cid:18210)(cid:6786)(cid:12479)(cid:18105)350(cid:4001)(cid:18174)(cid:6786)(cid:12388)(cid:14240)(cid:9181)(cid:18210)(cid:5127)(cid:8999)(cid:18105)
(cid:18313) (cid:5207)(cid:7094)(cid:18104)(cid:14807)(cid:5358)(cid:5495)(cid:18171)(cid:6786)(cid:18151)(cid:18132)(cid:18281)(cid:18260)(cid:18297)/(cid:18301)(cid:18226)(cid:18264)(cid:18296)(cid:18314)/(cid:4785)(cid:4538)(cid:18224)(cid:18228)(cid:18262)(cid:18298)(cid:18257)(cid:18262)/(cid:4785)(cid:4538)(cid:14676)(cid:13108)(cid:4633)(cid:10172)(cid:18107)
(cid:18436)(cid:18445)(cid:18437)(cid:6786)(cid:18151)(cid:18132)(cid:2982)(cid:7447)(cid:18184)(cid:18174)(cid:6382)(cid:6227)
(cid:18174)(cid:14052)(cid:7447)(cid:18210)(cid:2979)(cid:5123)(cid:18105)(cid:4485)(cid:4582)(cid:10514)(cid:8173)(cid:8049)(cid:5878)(cid:3820)(cid:18174)(cid:18159)(cid:18193)(cid:18171)(cid:18104)(cid:7014)(cid:18170)(cid:18203)(cid:12809)(cid:8873)(cid:18210)(cid:9504)(cid:6374)(cid:18153)(cid:18105)
(cid:3026)(cid:18190)(cid:18167)(cid:18171)(cid:18170)(cid:18132)(cid:18138)(cid:5128)(cid:7517)(cid:18171)(cid:4240)(cid:18176)(cid:18204)(cid:18203)(cid:4175)(cid:2893)(cid:8595)(cid:2983)(cid:18174)(cid:18281)(cid:18260)(cid:18297)(cid:18210)(cid:3696)(cid:18202)(cid:18159)(cid:18132)(cid:18105)
3) (cid:18281)(cid:18260)(cid:18297)(cid:13344)(cid:4256)/(cid:10514)(cid:4256)(cid:18454)
(cid:18436)(cid:18446)(cid:18437)(cid:18114)(cid:4485)(cid:6793)(cid:3696)(cid:9173)(cid:18174)(cid:6038)(cid:5823)(cid:18454) (cid:7055)(cid:9835)(cid:18210)(cid:14807)(cid:5358)(cid:5495)(cid:18171)(cid:9955)(cid:13119)(cid:18115)
(cid:18313) (cid:7102)(cid:3007)(cid:18104)(cid:10828)(cid:14655)(cid:18104)(cid:3007)(cid:13460)(cid:18171)(cid:12451)5(cid:18164)(cid:18174)(cid:18281)(cid:18260)(cid:18297)(cid:18210)(cid:3222)(cid:7031)(cid:18105)(cid:4444)(cid:3526)(cid:2893)(cid:11233)(cid:5128)(cid:18139)(cid:18201)(cid:18226)(cid:18305)(cid:18270)(cid:18228)(cid:18305)(cid:18263)(cid:18190)(cid:18167)(cid:5532)(cid:5576)
(cid:18313)(cid:7052)(cid:7055)(cid:18238)(cid:18297)(cid:18314)(cid:18277)(cid:18174)(cid:10514)(cid:4256)(cid:4598)(cid:9497)(cid:18175)(cid:14807)(cid:5358)(cid:5495)(cid:18105)(cid:18436)(cid:18281)(cid:18260)(cid:18297)(cid:18104)(cid:12295)(cid:11499)(cid:5476)(cid:4633)(cid:18104)(cid:14676)(cid:13108)(cid:4633)(cid:3034)(cid:18437)
(cid:18132)(cid:14515)(cid:5128)(cid:18171)(cid:5200)(cid:5826)(cid:18153)(cid:18203)(cid:13344)(cid:4256)(cid:18168)(cid:10514)(cid:4256)(cid:18174)(cid:18268)(cid:18228)(cid:18269)(cid:18228)(cid:18210)(cid:18194)(cid:18164)(cid:18105)
(cid:18313)2027(cid:5562)(cid:7054)(cid:18190)(cid:18167)(cid:18171)(cid:7052)(cid:7055)(cid:12295)(cid:11499)(cid:18175)(cid:7055)(cid:9835)(cid:18210)(cid:7102)(cid:3007)(cid:18139)(cid:18201)(cid:14807)(cid:5358)(cid:5495)(cid:18184)(cid:9955)(cid:13119)(cid:18151)(cid:18166)(cid:18104)(cid:10514)(cid:4256)(cid:18174)(cid:18247)(cid:18274)(cid:18314)(cid:18263)
((cid:6820)(cid:5073)(cid:18281)(cid:18260)(cid:18297)(cid:18175)(cid:3506)(cid:18166)80(cid:18522)90(cid:18434)(cid:18174)(cid:5561)(cid:4498)(cid:9996)(cid:3390)(cid:8929)(cid:18210)(cid:18187)(cid:18147)(cid:18203))
(cid:18224)(cid:18257)(cid:18277)(cid:18210)(cid:4439)(cid:18203)(cid:18160)(cid:18145)(cid:18167)(cid:18170)(cid:18143)(cid:18104)(cid:4485)(cid:4582)(cid:10514)(cid:8173)(cid:18174)(cid:8049)(cid:5878)(cid:3820)(cid:18171)(cid:5156)(cid:2906)(cid:18151)(cid:18159)(cid:18132)(cid:18105)
(cid:18436)(cid:18447)(cid:18437)(cid:6795)(cid:12479)(cid:18174)(cid:5107)(cid:3506)(cid:5705)(cid:3820)(cid:18174)(cid:18159)(cid:18193)(cid:18171)
(cid:4750)(cid:2902)(cid:6210)(cid:14039)(cid:9504)(cid:7558)(cid:18436)(cid:2085)2030(cid:5562)(cid:5592)(cid:18456)2031(cid:5562)4(cid:7030)(cid:7047)(cid:18458)(cid:18437)
(cid:18313)(cid:8999)(cid:12188)(cid:18281)(cid:18260)(cid:18297)(cid:18175)(cid:5651)(cid:10255)(cid:5771)50(cid:5562)(cid:18140)(cid:10514)(cid:13347)(cid:18105)(cid:10895)(cid:14280)(cid:12487)(cid:6783)(cid:12586)(cid:7197)(cid:18174)(cid:10518)(cid:7133)(cid:18210)(cid:3959)(cid:18145)(cid:18166)(cid:12430)(cid:3119)(cid:18210)(cid:7924)(cid:5123)(cid:18105)
• (cid:5562)(cid:5561)(cid:4498)(cid:6210)(cid:14039)(cid:8929)(cid:18436)(cid:5200)(cid:4598)(cid:8253)(cid:5562)(cid:5592)(cid:18437)(cid:18454)+1(cid:18451)(cid:18442)(cid:18450)(cid:18452)(cid:18434)/(cid:5562)
(cid:18313)(cid:12430)(cid:3119)(cid:5771)(cid:18174)(cid:4469)(cid:4485)(cid:3644)(cid:9181)(cid:18210)(cid:7400)(cid:12454)(cid:18151)(cid:18159)(cid:10518)(cid:7133)(cid:18104)(cid:4469)(cid:4485)(cid:18210)(cid:6244)(cid:7031)(cid:18153)(cid:18203)(cid:3644)(cid:8556)(cid:18210)(cid:9173)(cid:18139)(cid:18155)(cid:18176)(cid:10610)(cid:6302)(cid:12840)(cid:14496)
• (cid:4689)(cid:3725)(cid:14496)(cid:18436)(cid:5200)(cid:4598)(cid:8253)(cid:5562)(cid:5592)(cid:18437) (cid:18454)+1(cid:18445)(cid:18442)(cid:18447)(cid:18451)(cid:3432)(cid:3527)(cid:18456)+163(cid:18434)(cid:18458)
(cid:18194)(cid:6298)(cid:18136)(cid:18201)(cid:18204)(cid:18203)(cid:18159)(cid:18193)(cid:18104)(cid:18281)(cid:18260)(cid:18297)(cid:18174)(cid:6786)(cid:10255)(cid:18210)(cid:7924)(cid:6783)(cid:18105)
(cid:12836)(cid:2902)(cid:18146)(cid:9504)(cid:7558)(cid:18436)(cid:2085)2030(cid:5562)(cid:5592)(cid:18456)2031(cid:5562)4(cid:7030)(cid:7047)(cid:18458)(cid:18437)
• (cid:5562)(cid:5561)(cid:4498)(cid:5777)(cid:7447)(cid:4136)(cid:9504)(cid:7558)(cid:12836)(cid:2902)(cid:18146)(cid:8929) (cid:18454)+(cid:18451)(cid:18442)(cid:18449)(cid:18434)/(cid:5562)</t>
  </si>
  <si>
    <t>【p.2】
木本製菓株式会社
補助事業の概要
2.
１.癒しをコンセプトにしたプライベートホテルを拠点として地方創生に寄与。
２.新しいホテルブランドの確立を目指す。
補助事業の 非日常を求める国内外のお客様に対して、ワンフロアー・ワンルーム １５０㎡の 事業費 49 億円
背景・目的 プライベート型ホテル『上野不忍』を立ち上げる。 （補助額） （ 7.5 億円）
・プライベートプール/サウナ/岩盤浴/露天風呂/水風呂/内風呂を一つの部屋に備えた13階建ての新しいホテルを建設。
・立地は京成上野駅池の端口正面。成田空港からも至便で京成上野駅前から０分の超利便性。
・デジタルチェックイン／AI通訳／顧客データベースを活用したCRM（顧客関係管理)）導入。
・１Fには和洋菓子店を設けて楽しさを演出する。
・２Fには約500人分の災害用品を備蓄して災害時に地域に提供する。（台東区危機・災害対策課）
・台東区の災害時の一時避難場所として登録。
・ZEBレベルの省エネ性能の高いホテルを目指す。
（AI空調システム、超高効率アモルファス変圧器、高効率温水器等）
設備投資の
【フロア概要】 上野不忍
内容
13階 エグゼクティブラウンジ 東京都不忍池の夜景を一望できる最上級フロアー
10階～12階 ゲストルーム 不忍池ビュー×都市の美しさを感じる癒しの空間
7階～9階 ゲストルーム 池と緑のコントラストを望む上質空間
駅入口
5階～6階 ゲストルーム 緑に包まれる静寂のリトリート空間
3階～4階 ゲストルーム 下界の喧騒と切り離された非日常空間
2階 スタッフエリア スタッフの休憩スペース、備蓄倉庫
1階 和洋菓子店 上質な和洋菓子の提供
項目 基準年度 事業化報告3年目
労働生産性 15,912
9,860
（単位：千円/人） （年平均上昇率＋17.3％）
目標値 従業員1人あたり給与支給総額 5,991
4,828
（単位：千円/人） （年平均上昇率＋7.5％）
役員１人あたり給与支給総額
-
（単位：千円/人） - （年平均上昇率＋4.９％）
補助事業に係る従業員数
70 93
（単位：人）</t>
  </si>
  <si>
    <t>株式会社博多屋
1.⾧期成⾧ビジョン
昭和2年創業・会社設立昭和28年以来、健全経営を続ける弊社は、今回の投資をきっかけに中小企業から中堅企業への発展・成
⾧を目指す。新しく大浴場併設型佐世保駅前ホテル新館（仮称:ニューブランドホテル）を新築することにより、地域の課題であるハ
ウステンボスから西海国立公園までの広域観光圏のハブ的な役割を担い、佐世保中心街に賑わいをもたらす。今回得た知見を活かし
ホテルの全国多店舗展開につなげていく。</t>
  </si>
  <si>
    <t>⾧期成⾧ビジョン（目指す姿・ビジネスモデル）
• 観光立県⾧崎のなかでも佐世保市は、ハウステンボスや西海国立公園をか
かえ観光市としても有数の中核都市である。宿泊者数も佐世保市観光統
計によると152.8万人がコロナ前の184.5万人に戻りつつあり、佐世保市と
して226万人を目指している
• 現在弊社は佐世保市に2ホテル282室を運営しているが、隣接地に新しい
コンセプトを加えた形で新規建築することにより現在のマーケットニーズに呼
応し、自分たちの中にも新しい運営ノウハウや知見を蓄積し、さらなる宿泊
事業の拡大を図っていきたい
• 具体的には弊社が経営・運営するホテルに隣接した弊社が所有する土地に
ニューブランドホテルを建設し、新しく宿泊者用大浴場を備えた上で98室
を新築する。
• 和モダンな大浴場併設型ホテルを新規建築することにより、これから増える
であろう日本文化を求めているインバウンド観光客をも広く集客していく。
• 佐世保市中心街に増築することによりハウステンボス 中心市街地 西海
国立公園のハブ的な役割を果たす。
• 弊社の⾧期ビジョンを見据える中で、本事業を佐世保にとどまらず他地域へ
の展開も視野に入れた大きなステップと捉え、中堅企業へと成⾧する。</t>
  </si>
  <si>
    <t>外発的動機
• 佐世保市は観光庁の高付加価値化事業エリアに採択され、市内各所で
観光施設の高付加価値化が進んでいる。
• 市内にハウステンボス・西海国立公園を抱える中核都市であり、世界遺
産や日本遺産など将来にわたって多くの観光客を受け入れるコンテンツが
揃っている。
• 現在国としてインバウンド政策を進めており、佐世保市においても観光に注
力し延べ宿泊者数226万人を目指している。
• ⾧崎新幹線開業により今まで以上のインバウンドを含めた観光客の増大が
予測される。</t>
  </si>
  <si>
    <t>内発的動機
• 昭和28年以来宿泊業を継続しているが、宿の形態を旅館からビジネスホ
テルに変化させながら時代の要望に応えてきた。
• 昨年、高付加価値化事業により弊社グリーンホテルの大規模改修が済み、
ホテルとしての新しいチャレンジを計画している。
• 現在はお客様のウォンツも多岐にわたり、それに対応する多目的多機能ホ
テルが求められている。
• 佐世保コンベンション協会副理事⾧、ホテル組合理事⾧に就任したことに
より、地域を巻き込んだ観光施策に取り組んでいける。
• 後継者育成も順調に進んでおり、事業承継の課題もクリアしている。
• 新館建設並びに省力化・DX化を図ることにより従業員一人当たりの生産
性を向上させ、従業員・役員一人毎の賃金をアップさせることができる。</t>
  </si>
  <si>
    <t>売上成⾧目標
（対2025年2月期）
・2029年２月期までの会社全体の売上高 13.4億円
148.1％
・2029年２月期までの会社全体の売上高成⾧率
・2029年２月期までの会社全体の売上高増加額 4.35億円
ニューブランドホテル （ 98室 売上高 2.4億円）
佐世保ワシントンホテル （190室 売上高 7.8億円）
佐世保グリーンホテル （ 92室 売上高 3.2億円）
会社全体の賃上げ目標
7.0%
• 年平均 （基準年度～事業化報告3年目）</t>
  </si>
  <si>
    <t>【p.1／売上成長目標】
売上成⾧目標
（対2025年2月期）
・2029年２月期までの会社全体の売上高 13.4億円
148.1％
・2029年２月期までの会社全体の売上高成⾧率
・2029年２月期までの会社全体の売上高増加額 4.35億円
ニューブランドホテル （ 98室 売上高 2.4億円）
佐世保ワシントンホテル （190室 売上高 7.8億円）
佐世保グリーンホテル （ 92室 売上高 3.2億円）
会社全体の賃上げ目標
7.0%
• 年平均 （基準年度～事業化報告3年目）
【p.2／2028年度】
2028年度
項目
（基準年度）</t>
  </si>
  <si>
    <t>【p.1】
株式会社博多屋
1.⾧期成⾧ビジョン
昭和2年創業・会社設立昭和28年以来、健全経営を続ける弊社は、今回の投資をきっかけに中小企業から中堅企業への発展・成
⾧を目指す。新しく大浴場併設型佐世保駅前ホテル新館（仮称:ニューブランドホテル）を新築することにより、地域の課題であるハ
ウステンボスから西海国立公園までの広域観光圏のハブ的な役割を担い、佐世保中心街に賑わいをもたらす。今回得た知見を活かし
ホテルの全国多店舗展開につなげていく。
⾧期成⾧ビジョン（目指す姿・ビジネスモデル） 外発的動機
• 佐世保市は観光庁の高付加価値化事業エリアに採択され、市内各所で
• 観光立県⾧崎のなかでも佐世保市は、ハウステンボスや西海国立公園をか
観光施設の高付加価値化が進んでいる。
かえ観光市としても有数の中核都市である。宿泊者数も佐世保市観光統
計によると152.8万人がコロナ前の184.5万人に戻りつつあり、佐世保市と • 市内にハウステンボス・西海国立公園を抱える中核都市であり、世界遺
して226万人を目指している 産や日本遺産など将来にわたって多くの観光客を受け入れるコンテンツが
• 現在弊社は佐世保市に2ホテル282室を運営しているが、隣接地に新しい 揃っている。
コンセプトを加えた形で新規建築することにより現在のマーケットニーズに呼 • 現在国としてインバウンド政策を進めており、佐世保市においても観光に注
応し、自分たちの中にも新しい運営ノウハウや知見を蓄積し、さらなる宿泊 力し延べ宿泊者数226万人を目指している。
事業の拡大を図っていきたい • ⾧崎新幹線開業により今まで以上のインバウンドを含めた観光客の増大が
• 具体的には弊社が経営・運営するホテルに隣接した弊社が所有する土地に 予測される。
ニューブランドホテルを建設し、新しく宿泊者用大浴場を備えた上で98室
を新築する。 内発的動機
• 和モダンな大浴場併設型ホテルを新規建築することにより、これから増える
• 昭和28年以来宿泊業を継続しているが、宿の形態を旅館からビジネスホ
であろう日本文化を求めているインバウンド観光客をも広く集客していく。
テルに変化させながら時代の要望に応えてきた。
• 佐世保市中心街に増築することによりハウステンボス 中心市街地 西海
• 昨年、高付加価値化事業により弊社グリーンホテルの大規模改修が済み、
国立公園のハブ的な役割を果たす。
ホテルとしての新しいチャレンジを計画している。
• 弊社の⾧期ビジョンを見据える中で、本事業を佐世保にとどまらず他地域へ
• 現在はお客様のウォンツも多岐にわたり、それに対応する多目的多機能ホ
の展開も視野に入れた大きなステップと捉え、中堅企業へと成⾧する。
テルが求められている。
• 佐世保コンベンション協会副理事⾧、ホテル組合理事⾧に就任したことに
売上成⾧目標（対2025年2月期） より、地域を巻き込んだ観光施策に取り組んでいける。
• 後継者育成も順調に進んでおり、事業承継の課題もクリアしている。
・2029年２月期までの会社全体の売上高 13.4億円
148.1％ • 新館建設並びに省力化・DX化を図ることにより従業員一人当たりの生産
・2029年２月期までの会社全体の売上高成⾧率
性を向上させ、従業員・役員一人毎の賃金をアップさせることができる。
・2029年２月期までの会社全体の売上高増加額 4.35億円
ニューブランドホテル （ 98室 売上高 2.4億円）
佐世保ワシントンホテル （190室 売上高 7.8億円）
ニューブランドホテル
佐世保グリーンホテル （ 92室 売上高 3.2億円）
㈱博多屋
佐世保ワシントンホテル
会社全体の賃上げ目標
7.0%
• 年平均 （基準年度～事業化報告3年目）
佐世保グリーンホテル</t>
  </si>
  <si>
    <t>【p.2】
株式会社博多屋
2. 補助事業の概要
中核都市佐世保市JR佐世保駅前に立地している当社ホテルの隣接地に新しくニューブランドホテルを建築する。３ホテル合わせた宿泊室数が380
ルームと佐世保市街地最大室数となることにより、観光客・ビジネス客に加えてインバウンド客層を大きく取り込めるようになる。新規ホテルに和モダンな
大浴場を併設することによりお客様満足度を高めることができ、宿泊施設としての魅力向上を図りADR9,500円を獲得する。中心市街地に位置する
ことでハウステンボスと西海国立公園を結ぶ観光の拠点となる。
• 佐世保市はハウステンボス・西海国立公園・陸海自衛隊・米海軍基地があり宿泊客層も観光・ビ
ジネスと多種多様である。
事業費 12億円
（補助額） （4.0億円）
• 昨年、地域一体となった観光地・高付加価値化事業に採択され、地域としてもインバウンド需要
補助事業の の増大とさらなる観光振興を予定している。
背景・目的 • ハウステンボス・西海国立公園・世界遺産・日本遺産など、将来にわたって多くの観光客を受け入
れるコンテンツが揃っている。
• 東西に広い観光エリアの中心地に新しいコンセプトのホテルを建築し観光拠点となる。
• 多様化する宿泊需要と深刻化する人手不足に対応し、省力化DX化を図り稼げる事業体となる。
• 自社保有の既存ホテルに加えて新規ホテルを建設し、佐世保市街地に今ま
でにない和モダンな大浴場併設型ホテルとする
• 新規ホテル:ニューブランドホテルの建設・RC造10階建
• 敷地面積431.39㎡・延床面積2,625.00㎡
設備投資の • 客室総占有面積1,405.10㎡・客室平均専有面積15.00㎡
内容 • 総客室数98室・駐車場台数マイクロバス3台
• 工期:着工2026年2月14 竣工2027年10月29日（20か月）
• 3ホテル併せて380ルームとなり、中心市街地最大の客室数となる。
• DX化によりどのホテルからでもチェックインチェックアウト・ルームコントロールがで
きるようになる。
2028年度 2031年度
項目
（基準年度） （基準年度＋３年後）
労働生産性 1,078万円
780万円
（単位:万円/人） （年平均上昇率＋11.4％）
従業員1人あたり給与支給総額 321万円
目標値 262万円
（単位:万円/人） （年平均上昇率＋7.0％）
役員１人あたり給与支給総額 1,066万円
870万円
（単位:万円/人） （年平均上昇率＋7.0％）
補助事業に係る従業員数
57人 63人
（単位:人）</t>
  </si>
  <si>
    <t>株式会社ジーケーエス
1.長期成長ビジョン
・創業から78年の業務用食品卸として培った信頼を基盤に、医療市場・高齢者介護市場の食のインフラを強化
・「安心・安全」な食材提供という理念を、より高度な品質管理体制で実現したい</t>
  </si>
  <si>
    <t>長期成長ビジョン（目指す姿・ビジネスモデル）
■食を通じた地域社会との共存共栄と挑戦による
持続的成長
・アレルギー対応食、ソフト食、栄養強化食、各種治療食（糖尿病、
腎臓病等）のラインナップを拡充し食のソリューションを提供
・顧客要望のキャッチ、食品・献立開発に注力
・カーボンニュートラル対応の環境配慮型物流
・労働環境改善による作業効率向上
・地域の食のインフラを守る体制を防衛・攻勢・成長戦略により構築
■長期成長ビジョンの実現に向けた事業戦略
①自動倉庫による24時間365日の稼働体制
②入庫・保管・出庫までを一元管理し在庫量を増大し在庫型物流セン
ターとなる（在庫回転率の適正化および高精度・多品種少量物流の
実現）
③売上の増大及び収益の確保により従業員確保賃上げを実施
④開発・提案力の強化
⑤デジタル人材の育成</t>
  </si>
  <si>
    <t>外発的動機
・女性の就労支援政策を背景に長時間保育や認定こども園の数が
増加
・高齢者の長期療養に対応する回復期・慢性期病床が増加
・高齢化を背景に高齢者介護施設の増加
・少子高齢化を背景に施設内での給食提供の労働力が不足してい
る
→地域の食のインフラを支える当社の役割が重要となる
外発的動機の詳細
・小学校・中学校・従来の幼稚園などは将来的に減少するが
女性就労の増加により保育園・認定こども園は増加
・回復期・慢性期病院及び高齢者介護施設の増加
→ヘルスケア・介護食品の台頭
・少子高齢化により労働力が不足し、卸先の調理の省力化が
今後、ますます必要になる</t>
  </si>
  <si>
    <t>内発的動機
• メーカーは配送を外注していることも多く、2024年問題により入庫
スピードが遅くなっている。発注翌日には入庫していたが、現状では
翌々日となっているため卸先要望に応えるためには在庫を豊富に
抱える必要がある。
• 手作業依存の物流体制により作業効率が悪い。高い場所への積
上げ・下げ作業が発生し、また入庫・保管・出庫においてヒューマン
エラーが発生している。
• 先進的なデジタル化が遅れており戦略的な在庫管理ができておら
ず倉庫容量も限界を迎えている（在庫回転率の著しい増加）
• 倉庫内作業が従業員の負担となっている
（冷凍庫（‐25℃）、常温倉庫（夏は40℃以上）での作業負
担）
• 原状では加速的な成長が見込めず賃上げが横ばいとなる可能性
がある
• 岐阜市と「柳津市・ものづくり産業等集積地」立地協定締結
内発的動機の詳細
■在庫回転率の増加 ・手作業依存
当社の在庫回転率は従来高値であるが2022年～2024年にかけて 高所作業などもあり高い場所への
56.7回から62.4回と著しく増加しており欠品リスクが発生している。 保管などが困難
現倉庫の容量が限界となっており、建設当初は在庫型物流センター 力仕事でもあるため、高齢者・
であったが現状では通過型物流センターに近く欠品リスクが生じており、 女性・障碍者などを配置するのは
アレルギー対応食、ソフト食などの今後増大する製品のラインナップ 困難。
を増やすことができず安定供給の強化が必要。
・ヒューマンエラーの発生
先端的なデジタル化が遅れているため在庫管理等においてヒュー
マンエラーが発生し、検品作業が長時間化している。
従来、受注・発注・即納品の体制をとってきたが、戦略的な在
庫管理を実現できていないため商品の過不足が起き始めている。
当社戦略を遂行する上での高精度・多品種少量物流の実現
が困難。</t>
  </si>
  <si>
    <t>【p.1／売上成長目標】
会社全体の売上成長目標
（2024年6月期～2031年6月期）
• 売上高増加額23,283百万円
• 売上高成長率15.9％</t>
  </si>
  <si>
    <t>【p.1】
株式会社ジーケーエス
1.長期成長ビジョン
・創業から78年の業務用食品卸として培った信頼を基盤に、医療市場・高齢者介護市場の食のインフラを強化
・「安心・安全」な食材提供という理念を、より高度な品質管理体制で実現したい
長期成長ビジョン（目指す姿・ビジネスモデル） 外発的動機
・女性の就労支援政策を背景に長時間保育や認定こども園の数が
■食を通じた地域社会との共存共栄と挑戦による
増加
持続的成長
・高齢者の長期療養に対応する回復期・慢性期病床が増加
・アレルギー対応食、ソフト食、栄養強化食、各種治療食（糖尿病、 ・高齢化を背景に高齢者介護施設の増加
・少子高齢化を背景に施設内での給食提供の労働力が不足してい
腎臓病等）のラインナップを拡充し食のソリューションを提供
る
・顧客要望のキャッチ、食品・献立開発に注力
→地域の食のインフラを支える当社の役割が重要となる
・カーボンニュートラル対応の環境配慮型物流
・労働環境改善による作業効率向上 内発的動機
• メーカーは配送を外注していることも多く、2024年問題により入庫
・地域の食のインフラを守る体制を防衛・攻勢・成長戦略により構築
スピードが遅くなっている。発注翌日には入庫していたが、現状では
■長期成長ビジョンの実現に向けた事業戦略
翌々日となっているため卸先要望に応えるためには在庫を豊富に
①自動倉庫による24時間365日の稼働体制 抱える必要がある。
• 手作業依存の物流体制により作業効率が悪い。高い場所への積
②入庫・保管・出庫までを一元管理し在庫量を増大し在庫型物流セン
上げ・下げ作業が発生し、また入庫・保管・出庫においてヒューマン
ターとなる（在庫回転率の適正化および高精度・多品種少量物流の
エラーが発生している。
実現）
• 先進的なデジタル化が遅れており戦略的な在庫管理ができておら
③売上の増大及び収益の確保により従業員確保賃上げを実施
ず倉庫容量も限界を迎えている（在庫回転率の著しい増加）
④開発・提案力の強化 • 倉庫内作業が従業員の負担となっている
⑤デジタル人材の育成 （冷凍庫（‐25℃）、常温倉庫（夏は40℃以上）での作業負
担）
会社全体の売上成長目標
（2024年6月期～2031年6月期） • 原状では加速的な成長が見込めず賃上げが横ばいとなる可能性
• 売上高増加額23,283百万円 がある
• 売上高成長率15.9％ • 岐阜市と「柳津市・ものづくり産業等集積地」立地協定締結
【p.2】
株式会社ジーケーエス
1.長期成長ビジョン/当社が目指すべき長期成長ビジョンと重点戦略
・長期成長ビジョンでは社会課題や変化などのメガトレンドに対応及び解決していく取り組みを考案した。
・地元を牽引し当社を取り巻く業界の課題解決及び地域の食のインフラを守る体制を構築することで、当社の持続的な成長を目指していく。
外発的動機の詳細
・小学校・中学校・従来の幼稚園などは将来的に減少するが
メガトレンド
外発的
女性就労の増加により保育園・認定こども園は増加
・人口動態の変化
動機の
・回復期・慢性期病院及び高齢者介護施設の増加
・少子高齢化の進行
詳細
→ヘルスケア・介護食品の台頭
・働き方の多様化
・少子高齢化により労働力が不足し、卸先の調理の省力化が
今後、ますます必要になる
内発的動機の詳細
■在庫回転率の増加 ・手作業依存
当社の在庫回転率は従来高値であるが2022年～2024年にかけて 高所作業などもあり高い場所への
56.7回から62.4回と著しく増加しており欠品リスクが発生している。 保管などが困難
現倉庫の容量が限界となっており、建設当初は在庫型物流センター 力仕事でもあるため、高齢者・
であったが現状では通過型物流センターに近く欠品リスクが生じており、 女性・障碍者などを配置するのは
アレルギー対応食、ソフト食などの今後増大する製品のラインナップ 困難。
を増やすことができず安定供給の強化が必要。
内発的
動機の
詳細
・ヒューマンエラーの発生
先端的なデジタル化が遅れているため在庫管理等においてヒュー
マンエラーが発生し、検品作業が長時間化している。
従来、受注・発注・即納品の体制をとってきたが、戦略的な在
庫管理を実現できていないため商品の過不足が起き始めている。
当社戦略を遂行する上での高精度・多品種少量物流の実現
が困難。</t>
  </si>
  <si>
    <t>【p.3】
株式会社ジーケーエス
.補助事業の概要
2
少子高齢化を背景とし医療市場、高齢者介護市場では専門食が求められている。地域の食のインフラを支えている当社が自動
ラック型冷凍庫の在庫保有量を2倍、総在庫4倍となる物流倉庫を建設し地域包括ヘルスケアフード・サプライチェーンを構築する。
• 女性就労率の向上、労働力不足、高齢化を背景として簡単調理食品、専門食のニーズが増加している。 事業費 2, 百万円
補助事業の 495
• 豊富に在庫をかかえラインナップを増加する必要があるが倉庫容量及び手作業による生産性の低さから安定 （補助額） （ 百万円）
背景・目的 832
供給に懸念があり、成長戦略をとることができない。
■建物建設費：27.3億円
・自動ラック型冷凍庫300パレット→600パレットと容量が2倍となる
・総在庫を約4倍に増強することで学校給食、病院食等、介護食への安定供給を実現
・搬出入口を断熱性・気密性が高い断熱ドックシェルターとし、温度負荷の影響の少ない自動ラック
倉庫で商品保管する事で、省エネ化を目指す
・太陽光発電パネルを設置し事業開始後にパネル増設を計画
・厨房を備え試食会のプレゼンを積極的に行い、地産地消メニューやアレンジ献立をアピール
・外壁に国産木材や木材チップを混入した窯業系デザインを採用することでCO2の固定化
に貢献（およそ950㎏を達成予定）
設備投資の ・車いす対応のスロープ・エレベーター、身障者WCを設けサスティナブルな建物とする
内容 ・補助事業終了後の事業拡大を視野に入れ増築可能な敷地を確保（約17,000㎡）
■自動ラック・自動倉庫システム：1億円
・24時間稼働が可能となり生産性が飛躍的に向上
・冷凍庫内は‐25℃になるが自動化で対応、常温倉庫は夏は40℃になるが最新空調を完備
・賞味期限管理を自動化しヒューマンエラーの削減によるフードロス減少
■ソーティングロボットシステム：5,000万円
・仕分け業務の自動化を図る小型AGV（無人搬送車）を導入し倉庫内で物品を搬送
・力作業が不要となり搬送時間も短縮される
基準年度 事業化報告3年目
項目
2028年6月期 2031年6月期
労働生産性
6,539
21,814
（単位：千円/人） （年平均上昇率＋49.4％）
目標値 従業員1人あたり給与支給総額 5,735
（単位：千円/人）
4,682
（年平均上昇率＋7.0％）
役員
（
１
単
人
位
あた
：
り
千
給
円
与
/
支
人
給
）
総額
17,310
（年平均上
20
昇
,2
率
11
＋5.3％）
補助事業に係る従業員数
270 294
（単位：人）
【p.4】
株式会社ジーケーエス
.補助事業の概要/設計図・自動倉庫システム
2
・ドライ倉庫・異なる温度帯のチルド室・固定ラック型冷凍庫・1階～2階までの自動ラック型冷凍庫を備えた建物を建設する。
・課題である手作業を解消。上部空間を有効活用できるため保管効率がアップする。
ロボット制御用のPVCシート上を走行し、予め
バケット単位の荷物の入庫・保管・出庫までの
設定されたシステムに基づき搬送・仕分けする自
一連の作業を一元管理できる自動倉庫。
動仕分けロボット。当社は、顧客要望に合わせ
フリーサイズ対応の移載装置やフリーロケーション
た小分けでの納入も行うため搬送・仕分け作業
機能を搭載したタイプ。システムによる受発注の
が省力化できる。また、力作業が不要となるため
管理が可能となる。
女性・高齢者・障がい者でも従事できる。
現在の人員 補助事業後の人員
冷凍倉庫 13人 6人
チルド室 2人 2人
ドライ倉庫 12人 6人
翌日の配送品は前日に仕分けしチェックを行っている。当日は、配
送前に営業職がもう一度検品を行い、間違いのないようにしている。
省力化により倉庫人員は13名削減し、配送前の検品作業に配
置転換を行う。
この配置転換により営業職が営業活動に注力できるようになる。</t>
  </si>
  <si>
    <t>株式会社エルス
1.長期成長ビジョン
• 当社は、環境とサステナビリティを経営の軸に据え、保管・物流から製造支援までを一体化した総合ソリュー
ションを通じて物流業界に革新をもたらす企業へと進化する
• 2029年度には売上高10,884百万円、営業利益2,367百万円という高い目標の達成を目指す</t>
  </si>
  <si>
    <t>長期成長ビジョン（目指す姿・ビジネスモデル）
〈基本方針〉
環境保護やサステナビリティ・法令遵守を意識した事業展開により物流業界にイノベーションをもたらし、単なる物流企業から製造支
援機能等の多角的な総合ソリューションを提案可能な企業へと成長する。
〈重点戦略〉
• 製造業直結型物流モデルの全国展開 • サテライトセンター網による革新的配送体制構築
製造工場に直結した冷凍冷蔵倉庫を展開し、解凍工程や仕分け業務 物流の中継地点となるサテライトセンターを戦略的に配置し、多様な働き
など製造支援機能を付加。プリマハム鹿児島工場での成功事例をもとに 手を活用した効率的な配送網を実現。小型車両とパートタイム人材の活
三重工場など全国へ展開し、製造業との一体型物流を確立する。 用により、持続可能な物流網を構築する。
• 物流×販売融合による新ビジネスモデル創造 • 持続的な賃上げによる人材確保・定着強化
サテライトセンターによる広域運送網を活かし、メーカーが手の届かないエリ 継続的な賃上げ（年平均7.0%）と投資により、高度専門人材を確
アに対する卸売販売モデルを構築。混載方式と末端までの配送網を活 保・育成。新倉庫建設やサテライトセンター展開による多様な雇用形態
用した新たな収益機会を創出し、物流の枠を超えた総合サービスを展開。 の創出により働きがいのある組織風土を醸成する。
〈売上成長目標〉
※CAGRは2025年度~2029年度の数字
■2029年度の会社全体の売上高10,884百万円（CAGR※26％）・営業利益2,367百万円（CAGR※85%）</t>
  </si>
  <si>
    <t>外発的動機
引先からの要請増加
物流人材の確保難
24年問題の顕在化
ステナビリティへの意識高まり</t>
  </si>
  <si>
    <t>内発的動機
社名に込めた使命感
共存共栄の精神
ン物流への先駆的取組
域雇用創出への責任</t>
  </si>
  <si>
    <t>〈売上成長目標〉
■2029年度の会社全体の売上高10,884百万円（CAGR※</t>
  </si>
  <si>
    <t>【p.1／売上成長目標】
〈売上成長目標〉
■2029年度の会社全体の売上高10,884百万円（CAGR※</t>
  </si>
  <si>
    <t>【p.1】
株式会社エルス
1.長期成長ビジョン
• 当社は、環境とサステナビリティを経営の軸に据え、保管・物流から製造支援までを一体化した総合ソリュー
ションを通じて物流業界に革新をもたらす企業へと進化する
• 2029年度には売上高10,884百万円、営業利益2,367百万円という高い目標の達成を目指す
長期成長ビジョン（目指す姿・ビジネスモデル）
〈基本方針〉
環境保護やサステナビリティ・法令遵守を意識した事業展開により物流業界にイノベーションをもたらし、単なる物流企業から製造支
援機能等の多角的な総合ソリューションを提案可能な企業へと成長する。
〈重点戦略〉
• 製造業直結型物流モデルの全国展開 • サテライトセンター網による革新的配送体制構築
製造工場に直結した冷凍冷蔵倉庫を展開し、解凍工程や仕分け業務 物流の中継地点となるサテライトセンターを戦略的に配置し、多様な働き
など製造支援機能を付加。プリマハム鹿児島工場での成功事例をもとに 手を活用した効率的な配送網を実現。小型車両とパートタイム人材の活
三重工場など全国へ展開し、製造業との一体型物流を確立する。 用により、持続可能な物流網を構築する。
• 物流×販売融合による新ビジネスモデル創造 • 持続的な賃上げによる人材確保・定着強化
サテライトセンターによる広域運送網を活かし、メーカーが手の届かないエリ 継続的な賃上げ（年平均7.0%）と投資により、高度専門人材を確
アに対する卸売販売モデルを構築。混載方式と末端までの配送網を活 保・育成。新倉庫建設やサテライトセンター展開による多様な雇用形態
用した新たな収益機会を創出し、物流の枠を超えた総合サービスを展開。 の創出により働きがいのある組織風土を醸成する。
〈売上成長目標〉 ※CAGRは2025年度~2029年度の数字
■2029年度の会社全体の売上高10,884百万円（CAGR※26％）・営業利益2,367百万円（CAGR※85%）
外発的動機 内発的動機
取引先からの要請増加 社名に込めた使命感
物流人材の確保難 共存共栄の精神
2024年問題の顕在化 グリーン物流への先駆的取組
環境・サステナビリティへの意識高まり 地域雇用創出への責任</t>
  </si>
  <si>
    <t>【p.2】
株式会社エルス
.補助事業の概要
2
• 成長へのシナリオとして、現状の課題と設備投資による効果を記載
• 補助事業の成果により、労働生産性はCAGR33.0％、1人あたり給与支給総額はCAGR7.0％の実現を
目指す
• 2024年問題や少子高齢化による労働人口減少が進む中、取引先工場から生産数量増加
補助事業の 事業費 2 , 151 百万円
に伴う2棟目倉庫建設の要請を受けている。これを商機と捉え、効率的で持続可能な次世代
背景・目的 （補助額） （6 40 百万円）
物流モデルを構築する必要がある。
■現状課題
• 取引先工場の生産拡大に伴い、当社の倉庫容量が完全に不
足しており、対応しきれない貨物が発生して売上機会の損失に
直結している。
• 倉庫増設には19億円超規模の投資が必要であり、当社の事業
規模からすると財務的に大きな負担となるため、慎重な資金計
現状課題・ 画とリスク管理が求められる。
投資内容 • 人口減少を想定した省力化仕様の倉庫とする必要がある。
■投資内容
• 取引先工場直結の鹿児島西薩D･C新棟建設
• 冷凍冷蔵設備・空調冷熱総合管理ｼｽﾃﾑ、冷凍監視ｼｽﾃﾑ工事
• 省力化効果の高い移動・固定ラックを導入 移動・固定ラック イメージ
項目 基準年度 事業化報告3年目
労働生産性 15,637
（単位：千円/人）
6,647
（年平均上昇率＋33.0％）
目標値 従業員1人あたり給与支給総額 4,746
3,874
（単位：千円/人） （年平均上昇率＋7.0％）
役員１人あたり給与支給総額
-
（単位：千円/人） - （年平均上昇率＋7.0％）
補助事業に係る従業員数
252 274
（単位：人）</t>
  </si>
  <si>
    <t>古川電気工業株式会社
1.長期成長ビジョン
「世間良し」、「買い手良し」、「売りて良し」の三方良しの精神をもって成長を続け、自社の強みと外部環境の
ニーズを掛け合わせ、革新的な取組みを基に、2032年3月期にコンソーシアム合計売上200億円を目指す</t>
  </si>
  <si>
    <t>長期成長ビジョン（目指す姿・ビジネスモデル）
◼ 目指す姿
「世間良し」、「買い手良し」、「売りて良し」の三方良しの精神
⚫
をもって弊社の製品で街を活性化させ、カーボンニュートラルな
社会に向けて、高い顧客満足度で社会に貢献していく
◼ ビジネスモデル
主要事業である配電盤類の製造・販売事業を、近未来型の
⚫
製造システム構築（マザー工場の確立の第一歩）、AIや
DXを活用した営業～設計の革新的な業務高度化を踏まえ
た顧客開拓によってさらに伸長
- 新規エリア・新規ターゲットの開拓推進
（西日本エリア・データセンター）
- 海外販売展開の検討
主要事業の依存度低下に向けて新規事業の実施を検討
⚫
- 足許では、省エネ製品の製造・販売を検討中
（テストマーケティングを実施中であり、結果に応じて本格的
に事業へ参入するか否かを決定していく）</t>
  </si>
  <si>
    <t>外発的動機
◼ 当社は、今後もグループ一貫となる生産体制・オーダーメイド設計
技術を基に、下記のメガトレンドを捉えていくことに注力
配電盤類世界市場CAGR（2024年-2030年)
⚫
- 5.2%
データセンター用配電盤世界市場CAGR(2024年-2030年)
⚫
- 6.5%
【市場の拡大】
◼ 首都圏の再開発による建設投資の増加・AI投資の増加による
データセンター建設投資の拡大が確実視され、配電盤類の市場
が拡大する見込み
【市場の変化】
◼ 国内の労働人口が減少していくことを踏まえ、労働生産性の向上
に対する取組みが急務
◼ また、持続可能な社会の実現のために、製造メーカー各社の課題と
して、製造プロセス・製品における環境負荷低減が挙げられる</t>
  </si>
  <si>
    <t>内発的動機
◼ 近年の建築物構造の複雑化、脱炭素化の進展により、顧客から
の配電盤類に対するニーズが多様化
省スペース化・高機能化
⚫
カスタマイズ性の担保
⚫
環境認証・規格対応
⚫
◼ 当社としては、オーダーメイド設計によって顧客の要望に応え続け
てきており、顧客に寄り添う姿勢によって顧客から高い評価を獲得
し続けている
◼ 今後の上記の姿勢を継続し、顧客、引いては地域、環境にも波及
効果を与えるような企業となっていきたい</t>
  </si>
  <si>
    <t>【p.1／売上成長目標】
会社全体の売上成長目標
（2025年3月期～2032年3月期）
【コンソーシアム合計】
◼ 売上高増加額12,252百万円（目標：20,000百万円）
◼ 売上高年平均成長率14.5％
【古川電気工業単体】
◼ 売上高増加額9,982百万円 （目標：16,500百万円）
◼ 売上高年平均成長率14.2％
【古川工業単体】
◼ 売上高増加額2,270百万円 （目標：3,500百万円）
◼ 売上高年平均成長率16.1％
【p.2／設備投資の内容】
【設備投資の内容】
◼ 最新設備（ロボット・AI）の導入（7.87億円）
古川工業工場（船岡工場）で加工・塗装に関する自動化設備
⚫
◼ 古川工業工場（船岡工場）の増築（10億円）
古川工業工場（船岡工場）を増築し、生産能力を2倍以上に引
⚫
【設備投資による効果】
◼ 売上高・利益の増加
新規顧客の開拓・既存顧客からの引合を漏らすことなく対応可能に
⚫
とで売上高・利益が増加
◼ 生産効率・生産キャパシティの向上
最新設備導入による効率化、工場増築による生産キャパシティ拡
⚫
全社の生産能力を現在の2倍以上に引き上げ
◼ 品質の安定化・対応可能工程の拡大
ロボットを活用し属人的な特殊技能を承継することで作業の平準化
⚫
【p.3／設備投資の内容】
【設備投資の内容】
◼ 作業負担軽減・効率化に向けた設備・治具の導入（0.13億
これまで対応に手間がかかっていた業務の効率化のために、溶接用
⚫
仕上げ用の治具を導入
前述の自動化設備導入とは異なり、「作業そのものの効率化」に重
⚫
置いた投資
【設備投資による効果】
◼ 売上高・利益の増加
前頁の通り、古川電気工業の売上高増加に伴い、製造受託を請
⚫
ている当社の売上高・利益が増加
◼ 生産効率・生産キャパシティの向上
これまで全て人の手で実施していた溶接、仕上げの工程に設備・治
⚫
導入することで生産効率を向上
併せて、人的リソースの置き換えが可能になることから生産キャパシ
⚫</t>
  </si>
  <si>
    <t>【p.1】
古川電気工業株式会社
1.長期成長ビジョン
「世間良し」、「買い手良し」、「売りて良し」の三方良しの精神をもって成長を続け、自社の強みと外部環境の
ニーズを掛け合わせ、革新的な取組みを基に、2032年3月期にコンソーシアム合計売上200億円を目指す
長期成長ビジョン（目指す姿・ビジネスモデル）
外発的動機
◼ 目指す姿 ◼ 当社は、今後もグループ一貫となる生産体制・オーダーメイド設計
「世間良し」、「買い手良し」、「売りて良し」の三方良しの精神 技術を基に、下記のメガトレンドを捉えていくことに注力
⚫
をもって弊社の製品で街を活性化させ、カーボンニュートラルな ⚫ 配電盤類世界市場CAGR（2024年-2030年)
社会に向けて、高い顧客満足度で社会に貢献していく - 5.2%
◼ ビジネスモデル ⚫ データセンター用配電盤世界市場CAGR(2024年-2030年)
- 6.5%
主要事業である配電盤類の製造・販売事業を、近未来型の
⚫
【市場の拡大】
製造システム構築（マザー工場の確立の第一歩）、AIや
◼ 首都圏の再開発による建設投資の増加・AI投資の増加による
DXを活用した営業～設計の革新的な業務高度化を踏まえ
データセンター建設投資の拡大が確実視され、配電盤類の市場
た顧客開拓によってさらに伸長
が拡大する見込み
- 新規エリア・新規ターゲットの開拓推進
【市場の変化】
（西日本エリア・データセンター）
◼ 国内の労働人口が減少していくことを踏まえ、労働生産性の向上
- 海外販売展開の検討
に対する取組みが急務
主要事業の依存度低下に向けて新規事業の実施を検討
⚫
◼ また、持続可能な社会の実現のために、製造メーカー各社の課題と
- 足許では、省エネ製品の製造・販売を検討中
して、製造プロセス・製品における環境負荷低減が挙げられる
（テストマーケティングを実施中であり、結果に応じて本格的
に事業へ参入するか否かを決定していく）
内発的動機
会社全体の売上成長目標
◼ 近年の建築物構造の複雑化、脱炭素化の進展により、顧客から
（2025年3月期～2032年3月期）
の配電盤類に対するニーズが多様化
【コンソーシアム合計】
省スペース化・高機能化
⚫
◼ 売上高増加額12,252百万円（目標：20,000百万円） カスタマイズ性の担保
⚫
◼ 売上高年平均成長率14.5％
環境認証・規格対応
⚫
【古川電気工業単体】
◼ 当社としては、オーダーメイド設計によって顧客の要望に応え続け
◼ 売上高増加額9,982百万円 （目標：16,500百万円）
てきており、顧客に寄り添う姿勢によって顧客から高い評価を獲得
◼ 売上高年平均成長率14.2％
し続けている
【古川工業単体】
◼ 今後の上記の姿勢を継続し、顧客、引いては地域、環境にも波及
◼ 売上高増加額2,270百万円 （目標：3,500百万円）
効果を与えるような企業となっていきたい
◼ 売上高年平均成長率16.1％
（出所） 株式会社グローバルインフォメーション「配電盤の市場規模、シェア、動向分析レポート」より
QYRESERCH「データセンター用配電盤（PDU)―グローバル市場シェアとランキング、全体の売上と需要予測、2024～2030」より</t>
  </si>
  <si>
    <t>【p.2】
古川電気工業株式会社
.補助事業の概要
2
増築・最新設備の導入を古川工業工場（船岡工場）に対して実施することで、生産能力を飛躍的に向上し、
労働生産性の向上を背景に賃上げを実現
古川電気工業
◼ 西日本へのエリア拡大・データセンター向け販売の注力、今後の海外展開を見据えた事業
株式会社
補助事業の 拡大のために生産能力の向上が急務 事業費 , 百万円
2 131
背景・目的 ◼ また、工場の増築によって古川工業工場の立会検査用スペースを確保することで、製品輸 （補助額） （596百万円）
送が必要になることに起因する輸送の非効率性の解消を企図
【設備投資の内容】
工場レイアウトのイメージ
◼ 最新設備（ロボット・AI）の導入（7.87億円）
古川工業工場（船岡工場）で加工・塗装に関する自動化設備を導入
⚫
◼ 古川工業工場（船岡工場）の増築（10億円）
最新設備
古川工業工場（船岡工場）を増築し、生産能力を2倍以上に引き上げ
⚫ 導入
【設備投資による効果】
◼ 売上高・利益の増加
自動化設備の例
新規顧客の開拓・既存顧客からの引合を漏らすことなく対応可能になるこ
⚫
設備投資の
とで売上高・利益が増加
増築
内容 ◼ 生産効率・生産キャパシティの向上
最新設備導入による効率化、工場増築による生産キャパシティ拡大により、
⚫
全社の生産能力を現在の2倍以上に引き上げ
◼ 品質の安定化・対応可能工程の拡大
ロボットを活用し属人的な特殊技能を承継することで作業の平準化・品
⚫
質の安定化を実現。併せて現在外注している一部業務を内製化
◼ 労働環境改善・環境負荷低減 （出所） IKOMAロボテック株式会社HPより
危険工程の省人化による従業員の負担軽減、製品輸送の効率化による
⚫
環境負荷低減を実現
項目 基準年度 事業化報告3年目
労働生産性 28,886千円/人
12,519千円/人
（単位：千円/人） （年平均上昇率＋32.1％）
従業員1人あたり給与支給総額 7,001千円/人
5,651千円/人
目標値 （単位：千円/人） （年平均上昇率＋7.4％）
役員１人あたり給与支給総額
-
（単位：千円/人） - （年平均上昇率＋6.6％）
補助事業に係る従業員数
209人 213人
（単位：人）
【p.3】
古川電気工業株式会社
.補助事業の概要
2
古川電気工業の投資と並行し、古川工業でも作業の効率化に向けた設備・治具を導入することで、生産効率
を向上し、労働生産性の向上を背景に賃上げを実現
古川工業
◼ 現在、古川工業の生産キャパシティが不足しており、事業拡大に応じた古川電気工業から
株式会社
補助事業の の製造要請に十分に対応しきれていない 事業費 1 百万円
4
背景・目的 ◼ 上記に加え、製造工程の各業務にて、非効率的な手法が採用されている一面があり、設 （補助額） （4.3百万円）
備・治具の入れ替えによる作業効率化が急務
【設備投資の内容】
◼ 作業負担軽減・効率化に向けた設備・治具の導入（0.13億円） 設備のイメージ
これまで対応に手間がかかっていた業務の効率化のために、溶接用設備・
⚫
仕上げ用の治具を導入
前述の自動化設備導入とは異なり、「作業そのものの効率化」に重点を
⚫
置いた投資
【設備投資による効果】
◼ 売上高・利益の増加
設備投資の 前頁の通り、古川電気工業の売上高増加に伴い、製造受託を請け負っ
⚫
内容 ている当社の売上高・利益が増加
◼ 生産効率・生産キャパシティの向上
これまで全て人の手で実施していた溶接、仕上げの工程に設備・治具を
⚫
導入することで生産効率を向上
併せて、人的リソースの置き換えが可能になることから生産キャパシティが
⚫
向上 溶接用設備 仕上げ用治具
◼ 労働環境改善 （ファイバーレーザー溶接機） （バリ取り機）
手作業で実施していた工程の作業負担が軽減するため、従業員の身体
⚫
的負担を大幅に軽減可能
項目 基準年度 事業化報告3年目
労働生産性 9,968千円/人
4,760千円/人
（単位：千円/人） （年平均上昇率＋27.9％）
従業員1人あたり給与支給総額 4,754千円/人
3,838千円/人
目標値 （単位：千円/人） （年平均上昇率＋7.4％）
役員１人あたり給与支給総額
-
（単位：千円/人） - （年平均上昇率＋6.6％）
補助事業に係る従業員数
98人 100人
（単位：人）</t>
  </si>
  <si>
    <t>株式会社ライズクリエイション
1.長期成長ビジョン
・直近決算と事業化報告3年目比較で、売上高年平均成長率を21.8％目指す。
・重点戦略としては、物流拠点の集約と自動化による出荷効率の向上、新製品の開発および新規事業分野へ進出することで、
多角的な事業ポートフォリオを構築し、高付加価値業務に人的リソースを優先的に配置することなどであり、長期成長を実現する。</t>
  </si>
  <si>
    <t>長期成長ビジョン（目指す姿・ビジネスモデル）
【目指す姿】
・物流基盤の革新的再構築と高単価商品への本格参入による
収益体制の拡大
・地域連携型事業への進出により、D2Cビジネスモデルを進化させ、高収益
企業として地域経済と共に持続的な成長を実現
【重点戦略】
・物流拠点集約と自動化による出荷効率の飛躍的向上
5拠点に分散した物流機能を新倉庫に集約し、自動梱包機導入により年
間225万件の出荷能力を確保。顧客満足度向上と利益率改善の両立を
実現する。
・高付加価値商品開発による客単価向上と差別化強化
小型家電市場への本格参入により平均購入単価を引上げる。独自性のあ
る高品質商品を開発し、40%超のリピート率をさらに向上させる。
・地域連携型事業による多角的な事業ポートフォリオ構築
新倉庫スペースを活用した3PL事業展開と、奈良県産品を活用したふるさ
と納税返礼品の開発で事業多角化を推進。地域経済活性化に貢献する
新たな収益源を確立する。
・人的資本への戦略的投資による組織力向上
物流DXにより余剰となる人材リソースを高付加価値業務へ配置転換。労
働生産性向上により年平均6.8%の給与引上げを実現し、優秀人材の確
保と定着を促進する。</t>
  </si>
  <si>
    <t>外発的動機
• EC市場の持続的拡大
2030年にはEC市場が20兆円以上の規模へ拡大すると予測されて
おり、特に高品質・独自性を重視する消費者層の増加が顕著である。
• 物流2024・2030年問題
労働人口の減少による物流業界の人手不足が深刻化しており、特
に2024年と2030年に大きな転換点を迎える。
• 地域経済活性化の社会的要請
地方創生が国家的課題となる中、地域の特産品や産業を活かした
経済循環の創出が求められている。</t>
  </si>
  <si>
    <t>内発的動機
• 三方良しの理念の追求
「クリエイティブな三方良しが実現できる会社を創る」という企業理念
のもと、顧客・従業員・社会すべてに価値を提供するビジネスモデルの
進化を追求したい。
• 一貫体制による差別化追求
企画から販売・発送まで全工程を内製化する当社の強みをさらに強
化し、他社が模倣困難な事業モデルを確立したい。
• 地域貢献への強い意志
奈良県に拠点を置く企業として、地域経済との共存共栄を実現した
い。ふるさと納税事業や3PL事業を通じて地域の中小企業や生産者
と連携し、地域の雇用創出と経済活性化に寄与する企業として発展
することを目指している。</t>
  </si>
  <si>
    <t>【p.1／売上成長目標】
会社全体の売上成長目標（～2030年度）
• 売上高増加額11,400百万円
• 売上高成長率21.8％</t>
  </si>
  <si>
    <t>【p.1】
株式会社ライズクリエイション
1.長期成長ビジョン
・直近決算と事業化報告3年目比較で、売上高年平均成長率を21.8％目指す。
・重点戦略としては、物流拠点の集約と自動化による出荷効率の向上、新製品の開発および新規事業分野へ進出することで、
多角的な事業ポートフォリオを構築し、高付加価値業務に人的リソースを優先的に配置することなどであり、長期成長を実現する。
長期成長ビジョン（目指す姿・ビジネスモデル） 外発的動機
• EC市場の持続的拡大
【目指す姿】
2030年にはEC市場が20兆円以上の規模へ拡大すると予測されて
・物流基盤の革新的再構築と高単価商品への本格参入による
おり、特に高品質・独自性を重視する消費者層の増加が顕著である。
収益体制の拡大
・地域連携型事業への進出により、D2Cビジネスモデルを進化させ、高収益
• 物流2024・2030年問題
企業として地域経済と共に持続的な成長を実現
労働人口の減少による物流業界の人手不足が深刻化しており、特
に2024年と2030年に大きな転換点を迎える。
【重点戦略】
・物流拠点集約と自動化による出荷効率の飛躍的向上 • 地域経済活性化の社会的要請
地方創生が国家的課題となる中、地域の特産品や産業を活かした
5拠点に分散した物流機能を新倉庫に集約し、自動梱包機導入により年
間225万件の出荷能力を確保。顧客満足度向上と利益率改善の両立を 経済循環の創出が求められている。
実現する。
・高付加価値商品開発による客単価向上と差別化強化
内発的動機
小型家電市場への本格参入により平均購入単価を引上げる。独自性のあ
• 三方良しの理念の追求
る高品質商品を開発し、40%超のリピート率をさらに向上させる。
「クリエイティブな三方良しが実現できる会社を創る」という企業理念
・地域連携型事業による多角的な事業ポートフォリオ構築
のもと、顧客・従業員・社会すべてに価値を提供するビジネスモデルの
新倉庫スペースを活用した3PL事業展開と、奈良県産品を活用したふるさ
進化を追求したい。
と納税返礼品の開発で事業多角化を推進。地域経済活性化に貢献する
新たな収益源を確立する。
• 一貫体制による差別化追求
・人的資本への戦略的投資による組織力向上
企画から販売・発送まで全工程を内製化する当社の強みをさらに強
物流DXにより余剰となる人材リソースを高付加価値業務へ配置転換。労
化し、他社が模倣困難な事業モデルを確立したい。
働生産性向上により年平均6.8%の給与引上げを実現し、優秀人材の確
保と定着を促進する。
• 地域貢献への強い意志
奈良県に拠点を置く企業として、地域経済との共存共栄を実現した
会社全体の売上成長目標（～2030年度）
い。ふるさと納税事業や3PL事業を通じて地域の中小企業や生産者
• 売上高増加額11,400百万円
と連携し、地域の雇用創出と経済活性化に寄与する企業として発展
• 売上高成長率21.8％
することを目指している。</t>
  </si>
  <si>
    <t>【p.2】
株式会社ライズクリエイション
.補助事業の概要
2
・基準年度から３年後までの売上高における年平均成長率は29.1％を目指す。
・本補助金を活用した投資額は2,578百万円を予定している。
・事業戦略としては、物流拠点の集約と面積の拡大による新製品の開発および新事業への進出である。
• EC市場は堅調に拡大し、2030年までに20兆円以上の規模へ成長すると予測される
補助事業の 事業費 2, 百万円
• 売上拡大に向け、物流拠点の分散による非効率性の解消とコスト負担の軽減、 630
背景・目的 （補助額） （859百万円）
作業品質向上による出荷能力の確保が急務となっている
◆新規物流倉庫建設
• 概要：5拠点に分散している物流拠点を集約することで作業効率の大幅向上を図り、
老朽化した既存倉庫での労働安全リスクを解消し、年間225万件以上の
出荷能力を確保する。
• 効果：拠点間移動の解消で作業効率が30％改善。加えて、床面積を1.6倍拡張
することで保管能力増強と3PL事業進出による収益の確保が可能
設備投資の
内容 ◆自動梱包機２台（ネコポス・ゆうパック対応）
・概要：手作業依存による非効率と日雇いアルバイトへの依存による作業品質のムラを解消するために自動梱包機を含めた自動
化ラインを構築する。これにより、225万件/年の出荷に対応する処理能力を確保する。
・効果：本設備導入により20名以上必要だった出荷作業が4名程度で対応が可能となる。
加えて作業時間も30％以上短縮できる見込みとなる。作業員の省人化から品質の安定化や出荷ミスの抑制も期待する。
省人化による人件費削減効果化は36,897千円/年を見込み、給与支払総額6.8％引き上げ実現の財源とする。
項目 基準年度（2026年度） 事業化報告3年目（2029年度）
（単
労
位
働
：
生
千
産
円
性
/人）
9,669
（年平均上
1
昇
7,2
率
5
＋
9
21.3％）
目標値 従業員
（
1
単
人
位
あ
：
た
千
り給
円
与
/人
支
）
給総額 2,329
（年平均上
2
昇
,83
率
7
＋6.8％）
役員１人あたり給与支給総額
-
（単位：千円/人） - （年平均上昇率＋6.8％）
補助事業に係る従業員数
175 192
（単位：人）</t>
  </si>
  <si>
    <t>株式会社シー・エス・ケイ
1.長期成長ビジョン
本事業では外部環境の強力な追い風を得ながら、建設中の新工場に自動化の設備を投入します。新設備によるスマート工場化で生産効
率を上げ、職場環境を整備し、余剰人材をリスキリングして適正な再配置を行うことで、生産性の向上、品質管理の強化、採用力の強化、
新商品・新分野展開など、様々な取り組みを行います。</t>
  </si>
  <si>
    <t>長期成長ビジョン（目指す姿・ビジネスモデル）
①自動化設備によるスマート工場化
ボトルネックとなっていた仕掛品の移動やバリ取り等の
自動化に取り組み、生産性が高いスマート工場を実
現させます。経験の少ない外国人労働者や派遣社
員の教育コストを下げ、製品コストに反映させます。</t>
  </si>
  <si>
    <t>外発的動機
• 社会インフラの老朽化
建設後50年超の道路や橋などが老朽化。建替や補強工
事の需要は増加傾向。
• 物流2024年問題による生産拠点の移転
大手企業が地方に新拠点を設ける動きが活発化。
• 円安・トランプ関税による製造拠点の国内回帰
大手による国内の新工場や物流拠点建設の需要が増加。</t>
  </si>
  <si>
    <t>内発的動機
• 積極的な設備投資とM&amp;Aによる成長精神
• 二次加工までワンストップで対応する加工体制。
• 製鉄会社の資本が入っておらず営業のフットワークが軽い。
• 大量加工から多品種少量加工まで受けられるため、顧
客にとって競合他社より利便性が高い。
• 生産能力の限界。売上90億円で頭打ちの見込み。
• 少子化で人手不足。人件費高騰で新規採用の困難化。
• 外国人労働者、派遣社員への教育コスト。</t>
  </si>
  <si>
    <t>【p.1／②採用力強化、働きやすい職場環境整備】
②採用力強化、働きやすい職場環境整備
スマート工場を求職者に積極的にアピールすることで、地元からの採用力を強
化します。自動クレーン等で安全で働きやすい職場環境を構築します。
③組織の再構築
スマート工場による省力化と工場集約による勤務地の統一で、余剰人員の
柔軟な活躍が可能になります。リスキリングにより、生産管理や品質管理、営
業力のさらなる強化を行います。
④新商品・新分野展開
新しい設備で、長尺のビルドH鋼を高効率かつ安全に生産できるようになりま
す。また、再生エネルギー関連の製罐の大型案件の受注も可能になります。
【p.1／売上成長目標】
会社全体の売上成長目標（～2030年）
・売上高増加額：10,900百万円 ・売上高成長率：30.0%
【p.1／その他Box 6】
スマート工場化の実現のために、先行投資として3工場と2倉庫を集約する新工場を建設中です。（補助対象外）
本事業では最新の加工設備や各種自動化の設備を導入予定です。自動クレーン、自動搬送台車、自動ピッキング、無人搬送フォークリフト、自動収納
ラック等の設備を連動して稼働させることで、入荷から加工・出荷までの主要工程を自動化し、スマート工場を完成させる画期的な試みです。</t>
  </si>
  <si>
    <t>【p.1】
株式会社シー・エス・ケイ
1.長期成長ビジョン
本事業では外部環境の強力な追い風を得ながら、建設中の新工場に自動化の設備を投入します。新設備によるスマート工場化で生産効
率を上げ、職場環境を整備し、余剰人材をリスキリングして適正な再配置を行うことで、生産性の向上、品質管理の強化、採用力の強化、
新商品・新分野展開など、様々な取り組みを行います。
長期成長ビジョン（目指す姿・ビジネスモデル） 自動クレーン等
外発的動機
①自動化設備によるスマート工場化 • 社会インフラの老朽化
ボトルネックとなっていた仕掛品の移動やバリ取り等の 建設後50年超の道路や橋などが老朽化。建替や補強工
自動化に取り組み、生産性が高いスマート工場を実 事の需要は増加傾向。
現させます。経験の少ない外国人労働者や派遣社 • 物流2024年問題による生産拠点の移転
員の教育コストを下げ、製品コストに反映させます。 大手企業が地方に新拠点を設ける動きが活発化。
• 円安・トランプ関税による製造拠点の国内回帰
②採用力強化、働きやすい職場環境整備 大手による国内の新工場や物流拠点建設の需要が増加。
スマート工場を求職者に積極的にアピールすることで、地元からの採用力を強
化します。自動クレーン等で安全で働きやすい職場環境を構築します。
内発的動機
③組織の再構築
• 積極的な設備投資とM&amp;Aによる成長精神
スマート工場による省力化と工場集約による勤務地の統一で、余剰人員の
• 二次加工までワンストップで対応する加工体制。
柔軟な活躍が可能になります。リスキリングにより、生産管理や品質管理、営
業力のさらなる強化を行います。 • 製鉄会社の資本が入っておらず営業のフットワークが軽い。
• 大量加工から多品種少量加工まで受けられるため、顧
④新商品・新分野展開 客にとって競合他社より利便性が高い。
新しい設備で、長尺のビルドH鋼を高効率かつ安全に生産できるようになりま • 生産能力の限界。売上90億円で頭打ちの見込み。
す。また、再生エネルギー関連の製罐の大型案件の受注も可能になります。 • 少子化で人手不足。人件費高騰で新規採用の困難化。
• 外国人労働者、派遣社員への教育コスト。
会社全体の売上成長目標（～2030年）
・売上高増加額：10,900百万円 ・売上高成長率：30.0%
Point
スマート工場化の実現のために、先行投資として3工場と2倉庫を集約する新工場を建設中です。（補助対象外）
本事業では最新の加工設備や各種自動化の設備を導入予定です。自動クレーン、自動搬送台車、自動ピッキング、無人搬送フォークリフト、自動収納
ラック等の設備を連動して稼働させることで、入荷から加工・出荷までの主要工程を自動化し、スマート工場を完成させる画期的な試みです。</t>
  </si>
  <si>
    <t>【p.2】
株式会社シー・エス・ケイ
.補助事業の概要
2
当社はこれまでに積極的な設備投資やM&amp;Aで売上を拡大してきましたが、生産性の問題で成長の加速が弱まってきていました。
本事業では革新的な自動化に取り組み、鋼板加工のスマート工場として世界的なモデルケースを目指します。この大改革により2030年ま
でに売上200億円を目指します。
補助事業の • 外部環境が追い風の状況に対して、工場は生産能力の限界で売上が停滞。 事業費 1, 百万円
769
背景・目的 • 各種自動化の設備で工場をスマート化し、生産性と生産能力を大改革する。 （補助額） （ 百万円）
590
• 導入する自動化設備例
• 運搬工程の自動化
自動クレーン、自動搬送台車、自動ピッキング、無人搬送フォークリフト等で 自動クレーン 無人搬送フォークリフト
搬送工程の自動化に取り組みます。これらの自動化を実現するためのスケ
ジューラー・入出庫管理システムを導入します。スマート工場化で生産性を
向上し、働きやすく安全な職場環境を実現します。
設備投資の • 加工工程の改善
内容
高出力の新型ファイバーレーザ切断機で加工工程を革新します 。従来、複
数の工程で加工していたものを1工程に集約することが可能になるだけではな 自動搬送台車 自動ピッキング
く、加工スピードも向上し、生産能力を拡大させます。
• 新分野への挑戦
40mmまでの厚板の高精度加工が可能になり、橋梁用の部品やビルドH鋼
の加工、自然エネルギー関連の製罐・板金分野への進出を行います。
項目 基準年度 事業化報告3年目
労働生産性 10,990 22,26 8
（単位：千円/人） （年平均上昇率＋26.5％）
目標値 従業員1人あたり給与支給総額 5,810
4,74
3
（単位：千円/人） （年平均上昇率＋7.0％）
役員１人あたり給与支給総額 -
-
（単位：千円/人） （年平均上昇率＋7.0％）
補助事業に係る従業員数
123 168
（単位：人）</t>
  </si>
  <si>
    <t>株式会社シャノワール
1.長期成長ビジョン
◼ 大阪を中心としたドミナント出店戦略を加速し、地域一番の洋菓子チェーン店としての地位を確立
◼ パティシエが店舗で仕上げる鮮度の高いケーキを低価格で提供するビジネスモデルが最大の強み</t>
  </si>
  <si>
    <t>当社のビジョン：美味しいお菓子を気軽に
「Make Our Guest Happy」
長期成長ビジョン
①パティシエ品質のケーキ屋として地域に愛されるNo.1ブランドを確立
②ドミナント戦略を基本に商圏を関西・名古屋へ拡大
③新工場設立による効率化を進め、事業成長に向けた生産能力を確保
目指す姿・ビジネスモデル
①既存のドミナント戦略（ロードサイド出店）を加速し、地域に愛される
「シャノワール」ブランドを高め、優位性あるビジネスモデルを築く
②新たな成長エンジンは、集客性が高い駅・商業施設への出店とグループ
企業を通じた販売網の拡大 長年培ったブランド力を生かし集客
③自動化による労働生産性向上、コスト競争力の強化を進め、手作業中
心の古い洋菓子業界の働き方から脱却、従業員の待遇改善を図る</t>
  </si>
  <si>
    <t>外発的動機
■拡大するターゲット市場
• 国内の和洋菓子・スイーツ市場は、2兆2,000億円規模で推移
デパ地下やコンビニスイーツの人気もあり、大きな市場を形成
• 少子高齢化で将来的に市場縮小につながるものの、インバウンド
を含めた旺盛なスイーツ需要は今後も継続する見込み
■競合他社の動向
• シャトレーゼが独自の商品ラインナップを強みに市場を牽引
• コンビニ業界やデパ地下も人気スイーツ店とのコラボを加速
■市場ニーズ、事業環境の変化
• 光熱費や原材料高騰が進み、手作りケーキ屋の値打ち感が薄れ、
大量生産の冷凍ケーキが売上を伸ばしている
• 冷凍ケーキでは対応できない商品を手頃な価格で提供するには、
より効率化できる生産体制が必要</t>
  </si>
  <si>
    <t>内発的動機
■地域に根差した洋菓子ブランドの強み
• パティシエが目の前でケーキを作ることで、子供たちへ夢を与えるブ
ランドを作りたい（将来、パティシエになるという夢を描いてもらう）
■従業員満足の向上
• 賃金上昇による従業員の生活水準の維持・向上は社会的責任、
その原資を獲得するための売上・利益の確保が必要
■成長に向けた布石
• 生洋菓子の「鮮度」と「価格」は当社の最大の強み。商圏拡大に
よる更なる成長に向け、生産体制の増強が不可欠</t>
  </si>
  <si>
    <t>【p.1／売上成長目標】
売上成長目標
【直近：2025年3月期】 【事業化３年目：2031年3月期】
売上高 1,686百万円 売上高 5,091百万円
営業利益 167百万円 営業利益 1,033百万円
売上高増加額 3,405百万円
売上高成長率 301.9％
【p.2／既存工場の供給力不足により、 既存工場は建屋が狭く、 焼き菓子は製造委託に依存】
既存工場の供給力不足により、 既存工場は建屋が狭く、 焼き菓子は製造委託に依存
売上増に転換できず成長が鈍化 生産設備が旧式で労働集約型 既存工場は、拡張が困難
★生産能力倍増 ★顧客接点強化
供給能力拡大により 労働生産性の大幅向上による 焼き菓子の内製化による
販売機会ロスを回避 コスト競争力あるモノづくり 付加価値の取り込み
【p.2／生産拠点の刷新 ＝ セントラルキッチンから『セントラル工場』への進化 新工場の概要】
生産拠点の刷新 ＝ セントラルキッチンから『セントラル工場』への進化 新工場の概要
生産能力拡大・生産性向上 工場用地購入済：
一人当たり生産性
①手作業の徹底した削減 パティシェ作業とスタッフ作業を分離
大阪市鶴見区焼野3丁目202番1 204番
自動化設備による省力化推進 240%向上
１階：新店舗、出荷エリア
②製造装置の大型・高速化、ライン化による大胆な生産性向上 ・生産能力：3倍
２階：焼き菓子製造
・製造人員：25％増
付加価値の向上 ３階：焼き菓子製造、冷凍庫
（現状60名→75名）
①新クーリング方式(瞬間冷凍) フルーツの鮮度保持向上 ４階：ケーキ製造、冷凍冷蔵庫
１階：アンテナショップ併設
②当社初の新焼き菓子開発 ２色フィナンシェ製造プロセス ５階：工場管理・商談エリア
【p.2／生産拠点の刷新 ＝ セントラルキッチンから『セントラル工場』への進化】
生産拠点の刷新 ＝ セントラルキッチンから『セントラル工場』への進化
【p.2／生産能力拡大・生産性向上】
生産能力拡大・生産性向上
①手作業の徹底した削減 パティシェ作業とスタッフ作業を分離
自動化設備による省力化推進
②製造装置の大型・高速化、ライン化による大胆な生産性向上
【p.2／付加価値の向上】
付加価値の向上
①新クーリング方式(瞬間冷凍) フルーツの鮮度保持向上
②当社初の新焼き菓子開発 ２色フィナンシェ製造プロセス</t>
  </si>
  <si>
    <t>【p.1】
株式会社シャノワール
1.長期成長ビジョン
◼ 大阪を中心としたドミナント出店戦略を加速し、地域一番の洋菓子チェーン店としての地位を確立
◼ パティシエが店舗で仕上げる鮮度の高いケーキを低価格で提供するビジネスモデルが最大の強み
外発的動機
当社のビジョン：美味しいお菓子を気軽に
■拡大するターゲット市場
「Make Our Guest Happy」
• 国内の和洋菓子・スイーツ市場は、2兆2,000億円規模で推移
デパ地下やコンビニスイーツの人気もあり、大きな市場を形成
長期成長ビジョン
• 少子高齢化で将来的に市場縮小につながるものの、インバウンド
①パティシエ品質のケーキ屋として地域に愛されるNo.1ブランドを確立 を含めた旺盛なスイーツ需要は今後も継続する見込み
②ドミナント戦略を基本に商圏を関西・名古屋へ拡大 ■競合他社の動向
③新工場設立による効率化を進め、事業成長に向けた生産能力を確保 • シャトレーゼが独自の商品ラインナップを強みに市場を牽引
• コンビニ業界やデパ地下も人気スイーツ店とのコラボを加速
目指す姿・ビジネスモデル
■市場ニーズ、事業環境の変化
①既存のドミナント戦略（ロードサイド出店）を加速し、地域に愛される • 光熱費や原材料高騰が進み、手作りケーキ屋の値打ち感が薄れ、
「シャノワール」ブランドを高め、優位性あるビジネスモデルを築く 大量生産の冷凍ケーキが売上を伸ばしている
• 冷凍ケーキでは対応できない商品を手頃な価格で提供するには、
②新たな成長エンジンは、集客性が高い駅・商業施設への出店とグループ
より効率化できる生産体制が必要
企業を通じた販売網の拡大 長年培ったブランド力を生かし集客
内発的動機
③自動化による労働生産性向上、コスト競争力の強化を進め、手作業中
■地域に根差した洋菓子ブランドの強み
心の古い洋菓子業界の働き方から脱却、従業員の待遇改善を図る
• パティシエが目の前でケーキを作ることで、子供たちへ夢を与えるブ
ランドを作りたい（将来、パティシエになるという夢を描いてもらう）
売上成長目標
■従業員満足の向上
【直近：2025年3月期】 【事業化３年目：2031年3月期】
• 賃金上昇による従業員の生活水準の維持・向上は社会的責任、
売上高 1,686百万円 売上高 5,091百万円
その原資を獲得するための売上・利益の確保が必要
営業利益 167百万円 営業利益 1,033百万円
■成長に向けた布石
売上高増加額 3,405百万円
• 生洋菓子の「鮮度」と「価格」は当社の最大の強み。商圏拡大に
売上高成長率 301.9％
よる更なる成長に向け、生産体制の増強が不可欠</t>
  </si>
  <si>
    <t>【p.2】
株式会社シャノワール
補助事業の概要
2.
◼ 商業施設（ららぽーと）出店を含めたドミナント戦略にでファンは拡大、黒ねこブランドは順調に浸透
◼ 一方で、セントラルキッチン(既存工場)の生産能力が不足し販売機会ロスが発生、新規出店に制限、成長への足かせとなる
◼ セントラルキッチンからセントラル工場への進化を図り、大胆な自動化・省力化を進め、成長路線へ転換
既存工場の供給力不足により、 既存工場は建屋が狭く、 焼き菓子は製造委託に依存
売上増に転換できず成長が鈍化 生産設備が旧式で労働集約型 既存工場は、拡張が困難
補助事業の 事業費 31 億円
★生産能力倍増 ★顧客接点強化
背景・目的 （補助額）（9.8億円）
供給能力拡大により 労働生産性の大幅向上による 焼き菓子の内製化による
販売機会ロスを回避 コスト競争力あるモノづくり 付加価値の取り込み
生産拠点の刷新 ＝ セントラルキッチンから『セントラル工場』への進化 新工場の概要
生産能力拡大・生産性向上 工場用地購入済：
一人当たり生産性
①手作業の徹底した削減 パティシェ作業とスタッフ作業を分離
大阪市鶴見区焼野3丁目202番1 204番
自動化設備による省力化推進 240%向上
設備投資の
１階：新店舗、出荷エリア
②製造装置の大型・高速化、ライン化による大胆な生産性向上 ・生産能力：3倍
内容
２階：焼き菓子製造
・製造人員：25％増
付加価値の向上 （現状60名→75名） ３階：焼き菓子製造、冷凍庫
①新クーリング方式(瞬間冷凍) フルーツの鮮度保持向上 ４階：ケーキ製造、冷凍冷蔵庫
１階：アンテナショップ併設
②当社初の新焼き菓子開発 ２色フィナンシェ製造プロセス ５階：工場管理・商談エリア
項目 基準年度 事業化報告3年目
労働生産性 5,843
2,872
（単位：千円/人） （年平均上昇率＋26.7％）
目標値 従業員1人あたり給与支給総額 2,099
1,723
（単位：千円/人） （年平均上昇率＋6.8％）
役員１人あたり給与支給総額 8,415
7,166
（単位：千円/人） （年平均上昇率＋5.5％）
補助事業に係る従業員数
345（本社＋製造＋店舗の総人員） 370（増員の要因：製造体制強化＋新店舗出店)
（単位：人）</t>
  </si>
  <si>
    <t>セーレンアドバンストマテリアルズ株式会社
1.長期成長ビジョン
AI、電気自動車(EV)、ロボットなどに必要な半導体部品の材料基板となる特殊な仕様のシリコンウェーハ
を生産し、ニッチ市場におけるトップ企業となる</t>
  </si>
  <si>
    <t>長期成長ビジョン（目指す姿・ビジネスモデル）
事業内容 シリコンウェーハ事業
・シリコンウェーハ加工事業：酸化膜付与やSOI加工
・シリコンウェーハ仕入販売事業：仕入品を商社として販売
補助事業の対象：シリコンウェーハ事業
・酸化厚膜 現行品の増産(6,8inch)
新製品の量産化(12inch)
・SOI 現行品の増産
新製品の量産化(精密SOI)
期待される新たな用途
・酸化厚膜：光合分波器(AIデータセンタ用)、光変調器
(光ファイバ通信用)、LiDAR(EV用)など
・SOI：圧力センサ,LiDAR,超音波センサ(EV用)
振動子(スマートフォン用）など
今後の目指す姿
顧客の研究開発段階から酸化厚膜とSOIを供給し、顧客と
共に新規半導体製品を実用化することで、ニッチ市場におけ
るトップ企業となる</t>
  </si>
  <si>
    <t>外発的動機
• 当社の酸化厚膜は光ファイバ通信に欠かせない光合分波器(PLC)を製
造するための基板として用いられてきたが、近年、AIデータセンタでも用い
られるようになっており、需要が急増している
• また、光変調器やLiDAR(光による検知と測距離)などの用途の拡大が
見込まれている
• 当社のSOIは速度センサや小型ミラーなどのMEMS製品を製造するため
の基板として用いられてきたが、近年、圧力センサや超音波センサなどの
用途が拡大しており、また電気自動車用のパワー半導体の基板としても
開発が進められている
• これらの製品はAI、電気自動車(EV)、ロボット用センサとして用いられ、
今後広く普及していくことが想定できる
• 国としてもすべての産業の基盤として必要不可欠な半導体産業を支援し
ているため、成長していくと考えられる</t>
  </si>
  <si>
    <t>内発的動機
• 当社の現工場は既にフル稼働の状態であるものの、空きスペースが無く、
増産対応ができない状態であるため、新工場を建設して、市場や顧客の
需要に応えられる生産体制を築きたい
• 酸化厚膜とSOI共に新製品の開発を行っており、量産化したいものの、
専用設備が必要で現工場では設置場所が無く、量産化できない。新工
場に新製品用の設備を導入して、量産化したい
• 現工場は順次設備を増設しており、設備レイアウトが作業性を考慮でき
ておらず、動線が長いだけでなく、製品加工における仕掛品のハンドリング
や管理などに人員が必要となり、非効率な工場になっている。新工場を
建設して、動線や仕掛品管理を考慮した工場レイアウトを実現したい
• 現在は倉庫が10㎞ほどの遠隔地にあり、運搬等に時間がかかるため工
場内に倉庫を確保したい</t>
  </si>
  <si>
    <t>【p.1／売上成長目標】
会社全体の売上成長目標（～2030年）
• 売上高増加額46億円（2024年比）
• 売上高年平均成長率19％</t>
  </si>
  <si>
    <t>【p.1】
セーレンアドバンストマテリアルズ株式会社
1.長期成長ビジョン
AI、電気自動車(EV)、ロボットなどに必要な半導体部品の材料基板となる特殊な仕様のシリコンウェーハ
を生産し、ニッチ市場におけるトップ企業となる
外発的動機
長期成長ビジョン（目指す姿・ビジネスモデル）
• 当社の酸化厚膜は光ファイバ通信に欠かせない光合分波器(PLC)を製
造するための基板として用いられてきたが、近年、AIデータセンタでも用い
事業内容 シリコンウェーハ事業
られるようになっており、需要が急増している
・シリコンウェーハ加工事業：酸化膜付与やSOI加工 • また、光変調器やLiDAR(光による検知と測距離)などの用途の拡大が
見込まれている
・シリコンウェーハ仕入販売事業：仕入品を商社として販売
• 当社のSOIは速度センサや小型ミラーなどのMEMS製品を製造するため
の基板として用いられてきたが、近年、圧力センサや超音波センサなどの
補助事業の対象：シリコンウェーハ事業 用途が拡大しており、また電気自動車用のパワー半導体の基板としても
・酸化厚膜 現行品の増産(6,8inch) 開発が進められている
新製品の量産化(12inch) • これらの製品はAI、電気自動車(EV)、ロボット用センサとして用いられ、
今後広く普及していくことが想定できる
・SOI 現行品の増産
• 国としてもすべての産業の基盤として必要不可欠な半導体産業を支援し
新製品の量産化(精密SOI)
ているため、成長していくと考えられる
期待される新たな用途 内発的動機
• 当社の現工場は既にフル稼働の状態であるものの、空きスペースが無く、
・酸化厚膜：光合分波器(AIデータセンタ用)、光変調器
増産対応ができない状態であるため、新工場を建設して、市場や顧客の
(光ファイバ通信用)、LiDAR(EV用)など
需要に応えられる生産体制を築きたい
・SOI：圧力センサ,LiDAR,超音波センサ(EV用) • 酸化厚膜とSOI共に新製品の開発を行っており、量産化したいものの、
専用設備が必要で現工場では設置場所が無く、量産化できない。新工
振動子(スマートフォン用）など
場に新製品用の設備を導入して、量産化したい
• 現工場は順次設備を増設しており、設備レイアウトが作業性を考慮でき
ておらず、動線が長いだけでなく、製品加工における仕掛品のハンドリング
今後の目指す姿
や管理などに人員が必要となり、非効率な工場になっている。新工場を
顧客の研究開発段階から酸化厚膜とSOIを供給し、顧客と 建設して、動線や仕掛品管理を考慮した工場レイアウトを実現したい
共に新規半導体製品を実用化することで、ニッチ市場におけ • 現在は倉庫が10㎞ほどの遠隔地にあり、運搬等に時間がかかるため工
るトップ企業となる 場内に倉庫を確保したい
SOI：「Silicon on Insulator」の略
会社全体の売上成長目標（～2030年）
MEMS:「Micro Electro Mechanical Systems」の略
• 売上高増加額46億円（2024年比）
シリコンウェーハなどの上に、電子回路とセンサやアクチュエーターなどの機械要素
• 売上高年平均成長率19％
を立体構造で作りこんだ部品</t>
  </si>
  <si>
    <t>【p.2】
セーレンアドバンストマテリアルズ株式会社
.補助事業の概要
2
酸化厚膜とSOIの増産、新製品量産化、作業効率改善を目的とした
①工場建設、②生産設備の導入、③倉庫新設を行う
• 酸化厚膜とSOIの需要増に対応した増産のために工場建設および設備を導入する
補助事業の • 新製品生産用の設備も導入し、販売単価と売上をアップさせる 事業費 4,3 53 百万円
背景・目的 • 新工場では設備レイアウトを最適化し、作業効率を改善させる （補助額） （1,4 11 百万円）
• 工場内に倉庫を設けることで、運送や仕分けなどの作業時間を削減する
内容 効果 投資額
新規設備の設置場所が確保され
建屋建築 増産が可能となる
工場建設 3,000百万円
クリーンルーム設置 作業性が改善され、労働生産性
が高まる
設備投資の
酸化厚膜生産設備一式 厚膜生産量 1.6倍 660百万円
内容 生産設備
の導入
SOI生産設備一式 SOI生産量 2.2倍 720百万円
工場イメージ図
現倉庫は遠隔地にあるため、 －
倉庫新設 工場内倉庫新設
移動や管理が効率化される (工場に含む)
項目 基準年度 事業化報告3年目
労働生産性 42,499千円/人
16,588千円/人
（単位：千円/人） （年平均上昇率＋36.8％）
目標値 従業員1人あたり給与支給総額 6,992千円/人
5,660千円/人
（単位：千円/人） （年平均上昇率＋7.3％）
役員１人あたり給与支給総額
-
（単位：千円/人） - （年平均上昇率＋7.3％）
補助事業に係る従業員数
58人 69人
（単位：人）</t>
  </si>
  <si>
    <t>株式会社進和
1.長期成長ビジョン
スマートファクトリーイノベーション分野、航空・宇宙分野事業をさらに伸長し、グローバル事業を推進。持続可
能な社会に貢献し、未来価値を創造する企業を目指す
中期経営計画 長期経営計画</t>
  </si>
  <si>
    <t>長期成長ビジョン（進和の企業使命）
• 金属接合を事業の核とし製造部門を持つエンジニアリング商社と
して、産業界のニーズを的確にとらえ、高度なソリューション提供に
より人、モノ、社会をつなぎ、未来へ続く付加価値創造を実践す
ることで世界中のお客様から期待される企業となることを目指す
• 気候変動、ダイバーシティ、地域共生などの社会課題に真摯に向
き合い「持続可能な社会の実現」と「事業の持続的な成長」に取
り組む
• これまで培ってきた「強み」をさらに磨き上げることで、持続可能な事
業成長を実現する
※給与支給総額ベース</t>
  </si>
  <si>
    <t>外発的動機
• 産業競争力強化
国際情勢の変化を背景に、わが国においても航空宇宙技術の重
要性は増大している
• 経済成長およびグローバル化の進展
各国における経済発展および中間層の拡大により、航空運輸への
需要は増大している
• 製造業の人手不足・DX化
スマートファクトリー構築支援やロボット・AMR導入による省人
化・自動化ニーズが増加
• グローバル市場の変化
生産効率および柔軟性向上の必要性や、生産工程における品質
管理の重要性はグローバル市場で戦う上で重要となっている</t>
  </si>
  <si>
    <t>内発的動機
• 技術への誇りと挑戦心
創業以来培った接合技術を深化させ、非鉄金属や異種金属の加
工など次世代技術への挑戦を継続
• 顧客への課題解決による価値創造
単なる販売ではなく、新たな価値を生み出すために顧客課題を解
決することで当社も顧客と共に成長
• 社会貢献
社会課題を解決するための新しい価値を提供し続けることが、当
社および社員の持続的成長や企業使命の達成に繋がる</t>
  </si>
  <si>
    <t>全社の売上成長目標（基準年度前年～事業化3年目）</t>
  </si>
  <si>
    <t>【p.1／売上成長目標】
全社の売上成長目標（基準年度前年～事業化3年目）</t>
  </si>
  <si>
    <t>【p.1】
株式会社進和
1.長期成長ビジョン
スマートファクトリーイノベーション分野、航空・宇宙分野事業をさらに伸長し、グローバル事業を推進。持続可
能な社会に貢献し、未来価値を創造する企業を目指す
中期経営計画 長期経営計画
長期成長ビジョン（進和の企業使命） 外発的動機
• 産業競争力強化
• 金属接合を事業の核とし製造部門を持つエンジニアリング商社と
国際情勢の変化を背景に、わが国においても航空宇宙技術の重
して、産業界のニーズを的確にとらえ、高度なソリューション提供に
要性は増大している
より人、モノ、社会をつなぎ、未来へ続く付加価値創造を実践す
• 経済成長およびグローバル化の進展
ることで世界中のお客様から期待される企業となることを目指す
各国における経済発展および中間層の拡大により、航空運輸への
• 気候変動、ダイバーシティ、地域共生などの社会課題に真摯に向
需要は増大している
き合い「持続可能な社会の実現」と「事業の持続的な成長」に取
• 製造業の人手不足・DX化
り組む
スマートファクトリー構築支援やロボット・AMR導入による省人
• これまで培ってきた「強み」をさらに磨き上げることで、持続可能な事
化・自動化ニーズが増加
業成長を実現する
• グローバル市場の変化
経営目標 生産効率および柔軟性向上の必要性や、生産工程における品質
管理の重要性はグローバル市場で戦う上で重要となっている
※最終年度（2031年8月期）単体業績目標
全社の売上成長目標（基準年度前年～事業化3年目）
内発的動機
売上高成長率 10.３ % • 技術への誇りと挑戦心
創業以来培った接合技術を深化させ、非鉄金属や異種金属の加
売上高増加額 335 億円 工など次世代技術への挑戦を継続
• 顧客への課題解決による価値創造
会社全体の賃上げ目標（直近事業年度～基準年度）
単なる販売ではなく、新たな価値を生み出すために顧客課題を解
決することで当社も顧客と共に成長
給与支給総額増加額 7.3 億円
• 社会貢献
年平均賃上げ率 4.4 %以上 社会課題を解決するための新しい価値を提供し続けることが、当
社および社員の持続的成長や企業使命の達成に繋がる
※給与支給総額ベース</t>
  </si>
  <si>
    <t>【p.2】
株式会社進和
.補助事業の概要
2
春日井第2事業所プロジェクトは、スマートファクトリーイノベーション事業、航空・宇宙事業の伸長を通じ、地
域産業の高度化と持続的な賃上げを実現する大規模成長投資である
補助事業の • 国内製造業のスマートファクトリー化、航空・宇宙事業への需要増に対して自社事業所の 事業費 ,47 百万円
3 3
背景・目的 キャパシティがボトルネック。今回春日井第2事業所を立ち上げ、大規模成長を目指す （補助額） （ 百万円）
699
• 投資内容（合計：5,478百万円）
• うち補助対象経費
• 建物費（工場兼事業所）：2,885百万円
春日井第2事業所
• 機械装置費 ：60百万円
（自律搬送ロボット、ヒューマノイドロボット）
• ソフトウェア費 ：40百万円
（ネットワーク、ソフトウェア等）
• 実施事業（補助対象事業）
設備投資の
• スマートファクトリーイノベーション事業
内容
（顧客のスマートファクトリー化・FA化を推進）
• 航空・宇宙機器事業（航空・宇宙関係機器部品の設計～製作～メン
テナンス等を実施）
• 製造キャパシティを拡大することにより、顧客の需要増に対応。さらに、航空・宇宙
機器事業といった高付加価値の事業を伸長させることにより、創出付加価値の増
加ならびに生産性の向上を図る
• 域内企業との連携を強化し、地場の産業競争力の向上に寄与
• 賃上げおよび雇用増に取り組み、地域への貢献および持続的な成長を目指す
基準年度 事業化報告3年目
項目
（2028年8月期） （2031年8月期）
24,64
労働生産性 3
14,191
（単位：千円/人） （年平均上昇率＋20.2％）
目標値 従業員1人あたり給与支給総額 8,111
6,710
（単位：千円/人） （年平均上昇率＋6.5％）
役員1人あたり給与支給総額
（単位：千円/人） - -
補助事業に係る従業員数
154 210
（単位：人）</t>
  </si>
  <si>
    <t>丹羽鋳造株式会社
1.長期成長ビジョン
長期的成長ビジョン
：鋳造業を牽引する技術革新を図るため、最新技術への挑戦につなぐ！</t>
  </si>
  <si>
    <t>長期成長ビジョン（目指す姿・ビジネスモデル）
• 当社のような鋳造や油圧といった古くから積み重ねられた技術が、3D
モデリング、デジタルツイン、AIといった最新技術をどのように活用して
いくか、かつて主軸だった産業、すたれつつある産業という印象から、コ
スト面でも技術面でも、今後も基盤産業の一つとされるような進化を、
業界だけでなく社会にも示していけるような道を示していきます。
• その手始めとして、装置産業が目指すべき姿として、デジタルツインの
有効活用のあり方を示します（＝BIM再編計画）。
• 社会ニーズとして多品種少量といった、従来のライン生産では難しい
課題に対して、真正面から向き合っていきます。
• 究極の自動化を目指し、そのロードマップの在り方を模索していきます。
※対象期間において増員計画としているため賃上げ目標を総支給額目標で
換算すると、年率は7.5%となります。</t>
  </si>
  <si>
    <t>外発的動機
• 近年発展及び開発のスピードが目まぐるしい３DやAI、IoTに代表さ
れるようなDX化技術の進歩と、参入障壁の低下
• 長く続いた日本のデフレ経済からの脱却の機運と設備投資に対する追
い風
• 地政学的または環境的変動に起因する近年の不安定な世界情勢と、
それに伴う社会経済の再構築を巡る機会到来の予測</t>
  </si>
  <si>
    <t>内発的動機
• 技術的な難題を乗り越えてきた経験を次なる挑戦につなげていく、挑
戦しつづける企業文化
• 安定した経営基盤を背景に、後発からでも先進的な変革を推進する
経営層の意思と実行力
• 若年層を中心とした柔軟な組織体制と、“きれいな鋳物工場”の実現、
冷暖房完備の職場環境、全数検査体制など、他社に先駆けた現場
改革に基づく独自性、そして確かな成功体験</t>
  </si>
  <si>
    <t>会社全体の売上成長目標（2030年度 :5年後）
4月期
• 売上高成長率 121.5％（基準年度比）で年平均40.5%up
• 売上高増加額 99億円（売上高180億円突破）
会社全体の賃上げ目標（1人当たり年平均賃上率）
• 6.3%（基準年度以降、事業化報告3年目までの年率）</t>
  </si>
  <si>
    <t>【p.1／売上成長目標】
会社全体の売上成長目標（2030年度 :5年後）
4月期
• 売上高成長率 121.5％（基準年度比）で年平均40.5%up
• 売上高増加額 99億円（売上高180億円突破）
会社全体の賃上げ目標（1人当たり年平均賃上率）
• 6.3%（基準年度以降、事業化報告3年目までの年率）
【p.1／その他Box 5】
【BIM再編について】BIMはその名が示すとおり、主に建築業界で使われているモデリングソフト群の総称ですが、その中身は3Dモデリングデータ
に合わせて情報を管理するものです。当社は更地に工場を建設するという段階は終わり、今後既存の設備・建物をいかに効率よく改善していくかと
いう段階に来ています。それを踏まえてのBIM再編であり、今回の物流BIM再編はその皮切りです。今後は在庫管理や、保全などの定常管理業
務への活用、設備改築や新生産ラインの創造など、今後様々なプロジェクトの中心に置くのがBIM再編計画です。
【p.2／屋内ﾄﾗｯｸﾔｰﾄﾞ 立体自動倉庫 物流ｺﾝﾄﾛｰﾙﾀﾜｰ】
屋内ﾄﾗｯｸﾔｰﾄﾞ 立体自動倉庫 物流ｺﾝﾄﾛｰﾙﾀﾜｰ</t>
  </si>
  <si>
    <t>【p.1】
丹羽鋳造株式会社
1.長期成長ビジョン
長期的成長ビジョン
：鋳造業を牽引する技術革新を図るため、最新技術への挑戦につなぐ！
長期成長ビジョン（目指す姿・ビジネスモデル） 外発的動機
• 近年発展及び開発のスピードが目まぐるしい３DやAI、IoTに代表さ
• 当社のような鋳造や油圧といった古くから積み重ねられた技術が、3D
れるようなDX化技術の進歩と、参入障壁の低下
モデリング、デジタルツイン、AIといった最新技術をどのように活用して
いくか、かつて主軸だった産業、すたれつつある産業という印象から、コ • 長く続いた日本のデフレ経済からの脱却の機運と設備投資に対する追
スト面でも技術面でも、今後も基盤産業の一つとされるような進化を、 い風
業界だけでなく社会にも示していけるような道を示していきます。
• 地政学的または環境的変動に起因する近年の不安定な世界情勢と、
• その手始めとして、装置産業が目指すべき姿として、デジタルツインの
それに伴う社会経済の再構築を巡る機会到来の予測
有効活用のあり方を示します（＝BIM再編計画）。
• 社会ニーズとして多品種少量といった、従来のライン生産では難しい
課題に対して、真正面から向き合っていきます。
• 究極の自動化を目指し、そのロードマップの在り方を模索していきます。
内発的動機
会社全体の売上成長目標（2030年度4月期:5年後） • 技術的な難題を乗り越えてきた経験を次なる挑戦につなげていく、挑
戦しつづける企業文化
• 売上高成長率 121.5％（基準年度比）で年平均40.5%up
• 安定した経営基盤を背景に、後発からでも先進的な変革を推進する
• 売上高増加額 99億円（売上高180億円突破）
経営層の意思と実行力
会社全体の賃上げ目標（1人当たり年平均賃上率）
• 若年層を中心とした柔軟な組織体制と、“きれいな鋳物工場”の実現、
• 6.3%（基準年度以降、事業化報告3年目までの年率） 冷暖房完備の職場環境、全数検査体制など、他社に先駆けた現場
改革に基づく独自性、そして確かな成功体験
※対象期間において増員計画としているため賃上げ目標を総支給額目標で
換算すると、年率は7.5%となります。
【BIM再編について】BIMはその名が示すとおり、主に建築業界で使われているモデリングソフト群の総称ですが、その中身は3Dモデリングデータ
に合わせて情報を管理するものです。当社は更地に工場を建設するという段階は終わり、今後既存の設備・建物をいかに効率よく改善していくかと
いう段階に来ています。それを踏まえてのBIM再編であり、今回の物流BIM再編はその皮切りです。今後は在庫管理や、保全などの定常管理業
務への活用、設備改築や新生産ラインの創造など、今後様々なプロジェクトの中心に置くのがBIM再編計画です。</t>
  </si>
  <si>
    <t>【p.2】
丹羽鋳造株式会社
.補助事業の概要
2
物流基地の建設により、在庫保管量の増加と物流自動化を実現し出荷能力を大幅に改善し、更なる飛躍を目指す
続く最新技術との融合を図ることで、デジタル技術と職人技を融合。次世代鋳造企業へと進化する
• 当社は長期的な視野に立った工場の再編計画に当たりBIMを活用した3Dモデルで考える事
補助事業の 業改革を進めています。補助事業はその第1段階として、売上の頭打ちの原因となっている出 事業費 1, 300 百万円
背景・目的 荷能力の向上を目的として、物流基地の建設を進めます。これは、それに連なる自働化、省 （補助額） （372百万円）
力化、生産能力向上の第2段階の計画に繋げていきます。
物流拠点の建設
① 屋内作業可能なトラックヤードの設置
鋳物など重量物の出荷・在庫作業が屋外で行われているため、天候によ
り作業効率が大きく低下している。120㎡超の屋内化により安定した作
業が可能となり、労働生産性は25％以上向上する見込み。
② 自働化、省力化を進めた自動倉庫の設置による在庫・出荷管理
設備投資の
人手とリフト作業に頼る在庫管理を自動化、在庫量そのものを大きく増
内容
やす(現状対比約3倍)。工数削減＝特に2名分のリフト作業が不要に。
③ 社内の生産流動と社外の配送業者をつなぐコントロールタワーの設置
社内の生産と社外の配送をつなぐ指令拠点として、情報を集約・管理す
る事務所を設置。物流全体の可視化と効率化を図る。
※ 安全を確保した上で生産性向上を、会社全体での取組みとして展開す
るために、安全道場、品質道場等の従業員の学びの場を設けます。 屋内ﾄﾗｯｸﾔｰﾄﾞ 立体自動倉庫 物流ｺﾝﾄﾛｰﾙﾀﾜｰ
項目 基準年度 事業化報告3年目
労働生産性 16,350
9,492
（単位：千円/人） （年平均上昇率＋19.9％）
従業員1人あたり給与支給総額 5,94
目標値 4,941 8
（単位：千円/人） （年平均上昇率＋6.4％）
役員１人あたり給与支給総額 23,642
19,726
（単位：千円/人） （年平均上昇率＋6.2％）
補助事業に係る従業員数
177 183
（単位：人）</t>
  </si>
  <si>
    <t>株式会社サン海苔
1.長期成長ビジョン
佐賀海苔ブランドの新たな価値を創出。
伝統×技術の生産体制で、高品質かつ安定価格の供給を実現する企業を目指す。</t>
  </si>
  <si>
    <t>長期成長ビジョン（目指す姿・ビジネスモデル）
「佐賀海苔」の普及と価格の安定を基本思想に設立した
当社の意義を再認識し、「佐賀海苔ブランド」の新たな提
供価値を創造する。
佐賀海苔生産者の想いを受け、海苔の製造から販売を一貫する加
工業者として人と社会の健康を目指し、国内外へ佐賀海苔の美味し
さを提供する
①佐賀海苔の普及・新たな提供価値の創造
• 国内におけるBtoBビジネスの新たな成長ストーリーを構築、海外
進出を本格化する
• 既存商品カテゴリ、取引先を整理し、国内外販路拡大に向け、
「佐賀海苔」の新たな提供価値を見出す新商品開発に取り組む
②価格の安定
• 工程自動化等の先進技術を活用し、経営理念を具体化した高
い安全性と生産性、伝統技術を反映した生産体制を構築、物価
高騰の中でも、安定した価格での供給を実現する。</t>
  </si>
  <si>
    <t>外発的動機
• 物価高騰で海苔の価格が全国的に上昇。海苔は嗜好品のため、一般
家庭での買い控えや、コンビニ・スーパー等のおにぎりでも“のりを巻かない
商品”が登場する等、食品メーカー、消費者の海苔離れが懸念
• 海苔の食料自給率は減少し、韓国・中国産の安価な海外産海苔の国
内流入が起きている
• SNSでの情報発信や訪日観光客の増加から、世界各地で日本食ブー
ムや健康志向で食材としての「海苔」が注目され、海外需要が高まってい
る</t>
  </si>
  <si>
    <t>内発的動機
• 佐賀県沖の有明海は全国有数の養殖のりの産地であり、生産量・販売
額ともに19年連続日本一を誇っていたが、2023年以降、雨不足とプラン
クトンの増殖で栄養塩が不足。有明海の海苔は記録的な不作になり、
３期連続で兵庫県に日本一を奪われ、大差で２位に沈んだ。当社は佐
賀海苔生産者たちの出資で設立した経緯があり、不作で苦境に立たされ
ている今こそ、生産者や地域を盛り上げていきたい
• 「佐賀海苔」は、九州では一定の知名度を獲得しているが、関東の展示
会に出展した際、来場者の反応から認知度の低さを実感した。悔しい思
いから、佐賀海苔の美味しさを日本全国に伝えたいと強く感じた
• 会社としてダイバーシティを実現し、全ての社員と会社がともに成長できる
環境を目指し、生産性向上、労働環境改善に取り組みたいと感じた</t>
  </si>
  <si>
    <t>【p.1／売上成長目標】
会社全体の売上成長目標
（2025年9月期～2030年9月期）
• 売上高増加額 ＋3,139百万円
• 売上高年平均成長率 14.0％</t>
  </si>
  <si>
    <t>【p.1】
株式会社サン海苔
1.長期成長ビジョン
佐賀海苔ブランドの新たな価値を創出。
伝統×技術の生産体制で、高品質かつ安定価格の供給を実現する企業を目指す。
長期成長ビジョン（目指す姿・ビジネスモデル） 外発的動機
「佐賀海苔」の普及と価格の安定を基本思想に設立した • 物価高騰で海苔の価格が全国的に上昇。海苔は嗜好品のため、一般
当社の意義を再認識し、「佐賀海苔ブランド」の新たな提 家庭での買い控えや、コンビニ・スーパー等のおにぎりでも“のりを巻かない
商品”が登場する等、食品メーカー、消費者の海苔離れが懸念
供価値を創造する。
• 海苔の食料自給率は減少し、韓国・中国産の安価な海外産海苔の国
佐賀海苔生産者の想いを受け、海苔の製造から販売を一貫する加
内流入が起きている
工業者として人と社会の健康を目指し、国内外へ佐賀海苔の美味し
• SNSでの情報発信や訪日観光客の増加から、世界各地で日本食ブー
さを提供する
ムや健康志向で食材としての「海苔」が注目され、海外需要が高まってい
①佐賀海苔の普及・新たな提供価値の創造 る
• 国内におけるBtoBビジネスの新たな成長ストーリーを構築、海外
進出を本格化する
• 既存商品カテゴリ、取引先を整理し、国内外販路拡大に向け、 内発的動機
「佐賀海苔」の新たな提供価値を見出す新商品開発に取り組む
• 佐賀県沖の有明海は全国有数の養殖のりの産地であり、生産量・販売
②価格の安定
額ともに19年連続日本一を誇っていたが、2023年以降、雨不足とプラン
• 工程自動化等の先進技術を活用し、経営理念を具体化した高 クトンの増殖で栄養塩が不足。有明海の海苔は記録的な不作になり、
３期連続で兵庫県に日本一を奪われ、大差で２位に沈んだ。当社は佐
い安全性と生産性、伝統技術を反映した生産体制を構築、物価
賀海苔生産者たちの出資で設立した経緯があり、不作で苦境に立たされ
高騰の中でも、安定した価格での供給を実現する。
ている今こそ、生産者や地域を盛り上げていきたい
• 「佐賀海苔」は、九州では一定の知名度を獲得しているが、関東の展示
会に出展した際、来場者の反応から認知度の低さを実感した。悔しい思
会社全体の売上成長目標（2025年9月期～2030年9月期）
いから、佐賀海苔の美味しさを日本全国に伝えたいと強く感じた
• 売上高増加額 ＋3,139百万円
• 会社としてダイバーシティを実現し、全ての社員と会社がともに成長できる
• 売上高年平均成長率 14.0％
環境を目指し、生産性向上、労働環境改善に取り組みたいと感じた</t>
  </si>
  <si>
    <t>【p.2】
株式会社サン海苔
2.補助事業の概要
本事業は、生産能力不足による成長制約を最重要課題と位置付け、これに加えて生産性低下・品質リスク、
人手依存の解消、海外販路拡大を一体的に解決することを目的に大規模な設備投資を行う。
• 売上拡大の潜在性はあるが、現状の製造能力が不足しており事業拡大を阻害している。
• また、人材採用の難易度が年々高まっており、労働力に依存する人為プロセスが多く残り、現行体制では将 事業費 1,388百万円
来的に現状の生産量の維持も困難となる。 （補助額） （426百万円）
• 本補助事業を通じ、深刻化する人手不足の課題を抜本的に解決し、生産性向上を実現。持続的な事業
補助事業の 拡大の基盤を構築する。
背景・目的
製造面における問題点 事業目的（解決すべき課題）
製造能力不足が営業機会を損失。成長の制約となっている ①増産体制構築による製造能力増加
人員確保難・社員高齢化で人手作業工程の生産性低下、品質リスク増 ②自動化・省人化に資する設備投資で原価低減・品質安定
HACCP認定基準未対応のため海外販路拡大に制限 ③海外の本格展開を見据え、HACCP認証を受け販路拡大
補助事業による投資内容② 高効率装置、自動化ラインの導入
補助事業による投資内容① 新工場の建設工事
省人化した新生産プロセスに必要な自動化設備を導入
販路拡大に向けた生産能力の増加を図るため、 HACCP認証に対応
した設計で新工場建設を行う 投資効果
設備投資の
投資効果 高効率装置・工程自動化により生産速度が上がり、製造能力向上（課題①）
内容
HACCP認証基準に適合した製造環境を整備することで、衛生面の課 人手作業の機械化・省人化で生産性向上による原価低減と品質安定を実現
題（課題③）を解決。 （課題②）
自動化設備を配置しやすい内部構造とすることで、省人化・生産性向
上といった課題①・②の解決にも寄与する。 ※投資内容①②の詳細は次頁に補足
項目 基準年度 事業化報告3年目
労働生産性 11,494
4,211
（単位：千円/人） （年平均上昇率＋39.8％）
従業員1人あたり給与支給総額 3,845
目標値 3,229
（単位：千円/人） （年平均上昇率＋6.0％）
役員１人あたり給与支給総額 -
-
（単位：千円/人） （年平均上昇率＋5.0％）
補助事業に係る従業員数
72 72
（単位：人）</t>
  </si>
  <si>
    <t>株式会社玉子屋
1.長期成長ビジョン
本補助事業を通じた設備投資により生産力を増強することで、学童保育・私立学校を始めとする新たなマーケッ
トを開拓し、当社の中長期的な成長と「食のインフラ企業」としての社会貢献を果たす</t>
  </si>
  <si>
    <t>長期成長ビジョン（目指す姿・ビジネスモデル）
【目指す姿】
 「人々の健康を支える食のインフラ企業」としての役割を果たし、より多
くの方へ美味しくて安心できる食を提供する
 お弁当という日本ならではの食文化を振興・継承していく
【ビジネスモデル】
主にオフィス向けの仕出し弁当を製造・販売
 毎日日替わり弁当一種類を製造。一種類製造に特化することにより、
安価でありながら十分な利益を確保することが可能
 当日注文・当日配送により、廃棄ロス0.1%以下を実現
 自社配送によるエリア別の効率的配達方式を構築
【更なる成長に向けた事業戦略】
設備投資により生産力を強化し、新しいマーケットを開拓する
 学生向けの弁当販売
-
共働き、一人親家庭の増加により、給食の無い日や学童保育等
での食事準備の負担が課題
⇒給食を実施していない私立学校やデリバリー方式のニーズの
ある公立学校、学童保育向けの弁当事業を新たに展開
 設備投資による工場の増設、既存工場の省力化・環境整備
-
現在の生産力を2倍以上に
-
工場の環境を快適にし、従業員がより気持ちよく安心して働くこと
のできるように⇒最新設備の導入と併せて、生産性の向上・人材
確保を目指す</t>
  </si>
  <si>
    <t>外発的動機

社会構造の変化によるお弁当ニーズの増加
 共働き家庭、一人親家庭の増加によって、保護者が子供のお弁当を
準備するという従来の在り方が難しくなっている。これによって、働く人々
のお弁当ニーズだけでなく、子供たちのお弁当ニーズも増加
 私立学校では給食の実施率が低く、当社の商圏である東京では特に
上記のような傾向が顕著

給食から弁当への移行
 公立の小学校の場合は学校の建て替えが順次計画されている。建て
替え中は給食室の用意がないため弁当の需要が増し、当社が受け皿
となっている
 公立学校で給食としてデリバリー方式（配送弁当）を採用する自治
体も現れるように。校舎の建替えに伴い、こうした需要が増加する機運
となっている</t>
  </si>
  <si>
    <t>内発的動機

食のインフラ企業
 当社は「安全・安心で美味しく、健康的な商品を適正価格でお届け
する」ことを理念とし、創業以来50年間、法人向け仕出し弁当の提
供を通じて、企業で働く人々の健康を支えてきた
 共働き家庭の増加等の社会構造が変化する中、次世代を担う子供
たちにも健康で安心できる食事を届けたい
 お弁当という日本の食文化を振興・継承することで社会貢献したい

持続的な成長の実現
 販路を増やすことでオフィス向け以外にも新たな収益の柱を構築し、中
長期的に高い成長を目指していく
 工場を増設することで生産力を強化するとともに、1日に2種類の弁当
製造を可能とする</t>
  </si>
  <si>
    <t>【p.1／売上成長目標】
会社全体の売上成長目標（～2030年度）
• 売上高増加額＋8,212百万円
• 売上高成長率＋155％
【p.2／設備投資の内容】

設備投資の内容
 工場の新設及び既存工場の改装・最新機械設備の導入

設備投資による課題の解消について
【省力化・生産効率向上】

手作業で行っていた工程を最新機械の導入により自動化。現
る工程についても、工程の短縮と作業従事者の削減が可能と
【売上・利益の増加】

工場の新設や機械設備導入による生産効率向上により、生産
最大4.5万食→12万食超まで増加。弁当も1日2種類以上

上記の労働生産性向上の他、利益率の高い学校・学童向け
とで全体の利益率も向上
【人材の確保】

自動化や動線最適化により作業員の負荷も軽減。工場環境</t>
  </si>
  <si>
    <t>【p.1】
株式会社玉子屋
1.長期成長ビジョン
本補助事業を通じた設備投資により生産力を増強することで、学童保育・私立学校を始めとする新たなマーケッ
トを開拓し、当社の中長期的な成長と「食のインフラ企業」としての社会貢献を果たす
長期成長ビジョン（目指す姿・ビジネスモデル） 外発的動機
 社会構造の変化によるお弁当ニーズの増加
【目指す姿】
 共働き家庭、一人親家庭の増加によって、保護者が子供のお弁当を
 「人々の健康を支える食のインフラ企業」としての役割を果たし、より多
準備するという従来の在り方が難しくなっている。これによって、働く人々
くの方へ美味しくて安心できる食を提供する
のお弁当ニーズだけでなく、子供たちのお弁当ニーズも増加
 お弁当という日本ならではの食文化を振興・継承していく
 私立学校では給食の実施率が低く、当社の商圏である東京では特に
上記のような傾向が顕著
【ビジネスモデル】
主にオフィス向けの仕出し弁当を製造・販売
 給食から弁当への移行
 毎日日替わり弁当一種類を製造。一種類製造に特化することにより、
 公立の小学校の場合は学校の建て替えが順次計画されている。建て
安価でありながら十分な利益を確保することが可能
替え中は給食室の用意がないため弁当の需要が増し、当社が受け皿
 当日注文・当日配送により、廃棄ロス0.1%以下を実現
となっている
 自社配送によるエリア別の効率的配達方式を構築
 公立学校で給食としてデリバリー方式（配送弁当）を採用する自治
体も現れるように。校舎の建替えに伴い、こうした需要が増加する機運
【更なる成長に向けた事業戦略】
となっている
設備投資により生産力を強化し、新しいマーケットを開拓する
 学生向けの弁当販売
-
共働き、一人親家庭の増加により、給食の無い日や学童保育等
内発的動機
での食事準備の負担が課題
 食のインフラ企業
⇒給食を実施していない私立学校やデリバリー方式のニーズの
 当社は「安全・安心で美味しく、健康的な商品を適正価格でお届け
ある公立学校、学童保育向けの弁当事業を新たに展開
する」ことを理念とし、創業以来50年間、法人向け仕出し弁当の提
 設備投資による工場の増設、既存工場の省力化・環境整備
- 供を通じて、企業で働く人々の健康を支えてきた
現在の生産力を2倍以上に
-  共働き家庭の増加等の社会構造が変化する中、次世代を担う子供
工場の環境を快適にし、従業員がより気持ちよく安心して働くこと
たちにも健康で安心できる食事を届けたい
のできるように⇒最新設備の導入と併せて、生産性の向上・人材
 お弁当という日本の食文化を振興・継承することで社会貢献したい
確保を目指す
 持続的な成長の実現
会社全体の売上成長目標（～2030年度）
 販路を増やすことでオフィス向け以外にも新たな収益の柱を構築し、中
• 売上高増加額＋8,212百万円
長期的に高い成長を目指していく
• 売上高成長率＋155％
 工場を増設することで生産力を強化するとともに、1日に2種類の弁当
製造を可能とする</t>
  </si>
  <si>
    <t>【p.2】
株式会社玉子屋
2.補助事業の概要
需要拡大する新マーケットを開拓するため、設備投資により新工場を増設し生産力を強化。さらに、機械設備の
導入による省力化により生産性・収益性を向上させ、従業員の賃上げ・就業環境の向上を企図
 新マーケットを開拓し新たな収益の柱を構築するに当たり、生産能力を増強する
 2年前より学校・学童向けの弁当販売を開始。現在では複数校で導入されるに至り、需要も多いことを確認。
補助事業の 事業費 34億円
本格参入するに当たり、生産力の増強及びオフィス向けとは異なる子供向けメニューの専用工場が必要となる
背景・目的  手作業に依存する工程が多く、生産効率に改善余地がある。人材の確保や安価な商品提供の継続のため、 （補助額） （10億円）
工程の省力化等による従業員の負担軽減や、利益率の向上と賃上げの両立が求められる
 設備投資の内容 新工場イメージ
 工場の新設及び既存工場の改装・最新機械設備の導入
 設備投資による課題の解消について
【省力化・生産効率向上】
 手作業で行っていた工程を最新機械の導入により自動化。現在機械で行われてい
る工程についても、工程の短縮と作業従事者の削減が可能となる
設備投資の
【売上・利益の増加】
内容  工場の新設や機械設備導入による生産効率向上により、生産能力は現在の1日
最大4.5万食→12万食超まで増加。弁当も1日2種類以上製造可能に 機械設備（一部）
 上記の労働生産性向上の他、利益率の高い学校・学童向けの販売を強化するこ
とで全体の利益率も向上
【人材の確保】
 自動化や動線最適化により作業員の負荷も軽減。工場環境も整備しより快適に
 加えて大幅な賃上げの実施により、離職率低下・雇用促進が期待される
2027年5月期 2030年5月期
項目
（基準年度） （事業化報告3年目）
労働生産性 9,610
4,234
（単位：千円/人） （年平均上昇率＋31.4％）
従業員1人あたり給与支給総額 4,270
目標値 3,585
（単位：千円/人） （年平均上昇率＋6.0％）
役員１人あたり給与支給総額 -
-
（単位：千円/人） （年平均上昇率＋6.0％）
補助事業に係る従業員数
200 270
（単位：人）</t>
  </si>
  <si>
    <t>株式会社大熊製作所
1.長期成長ビジョン
当社の強みである板金から塗装までの一貫体制のグレードアップを図り、トラック・建機業界のTier1内で板金・
塗装サプライヤーとしてのNo1のポジションを確保。会社の成長とともに、「働きやすい会社への変革」を成す。</t>
  </si>
  <si>
    <t>長期成長ビジョン（目指す姿・ビジネスモデル）
1. トラック・建機業界のTier1内で板金・塗装サプライヤーとしての
No1のポジションを確保する。(2030年に売上増加額8,094百万円)
i. 当社の強みである板金から塗装までの一貫体制のグレードアップを図り、生産余力、
コスト削減を提示できるサプライヤーとして当社の存在意義を更に強固なものにする。
ii. 現在はトラック・建機業界における板金・塗装企業の1社であるが、本投資でTier1
内でNo1のシェアを確保することを目指す。
2. デジタルに対応した工場を新設し、日本のトラック・建機業界のリー
ディングカンパニーとなり、メーカー・協力企業の成長を牽引する企
業を目指す。(2030年に工場稼働率80％)
i. DX化、自動化、省力化、省人化、省エネ化などの最先端技術を投入し、板金
・塗装サプライヤーとして一番進んだ自動化工場を新設する。
ii. 製品の安定供給、品質保証、コストメリットを提示しメーカーから一番信頼される
企業を目指す。
3. 業界平均を大幅に超える給料を支給し、かつ自動化が困難であり
付加価値の高い業務へ人材を集約させることで、スキルの高く、市
場価値の高い人材を育成する。(2030年に平均年収597万円)
i. 従業員が自ら考え、互いに成長できる明るい職場をつくる。会社として積極的な
設備投資で成長を遂げることで、業界平均を大幅に超える給料で還元する。
ii. 自動化設備を多用することで残業時間の削減と有給休暇取得に繋げるとともに
付加価値の高い業務に人手作業を集約することで、スキルの高い人材を育成する。
iii.2030年度までに平均年収597万円を達成し、地域No1の待遇を構築する。</t>
  </si>
  <si>
    <t>外発的動機
◼ 社会課題
トラック・建機業界の社会課題としては、後継者問題・人手不足・技術革新への
対応等が挙げられる。なかでも、後継者問題は深刻な状況であり、廃業を選択
する企業や予備軍も増えてきている。また、比較的小規模企業が多い業界でも
あるため、技術革新のための大規模な設備投資を行うことができる企業も限ら
れている現状にある。
◼ 顧客ニーズ
トラック、建機の大手メーカーは、品質に加え、安定供給が可能な規模の大きい
サプライヤーを求めている。また、塗装コスト削減や品質強化のため、生産性の
高い塗装設備を有する企業へ部品製造を集約する傾向が強まっている。
→当社としては、社会課題や顧客ニーズに対応すべく、省力化と自動化を融合
した次世代型スマート工場を建設することを立案した。</t>
  </si>
  <si>
    <t>内発的動機
◼ 当社は創業以来80年以上にわたり、トラックや建機用部品を製造する企業と
して自動車関連産業とともに歩んできた会社である。
◼ 近年、当社を取り巻く主として板金サプライヤーは引継ぎ手のいない後継者問題
や労働力不足の問題もあり廃業を選択が増えている状況に危惧を感じている。
◼ そういった状況下もあり顧客から更なる受注要請を受けており、顧客からの安定
供給の期待に応えるべく、本社である川口工場では住居専用地域にあり増改築
できないことから、栃木工場への製造移管を進めてきた。
◼ 今回、DX化・自動化・省力化・省人化・省エネ化を備えた最先端技術を備え
た大型設備投資を実行することで、受けきれない受注への対応→仕事量を増や
すことでの収益力向上→獲得した利益を原資とした持続的な賃上げの実行と
いった好循環、そして従業員が「働きやすい会社への変革」を成す。</t>
  </si>
  <si>
    <t>【p.1／売上成長目標】
会社全体の売上成長目標（～2030年）
• 売上高増加額8,094百万円 ※基準年度(2027年)比
• 売上高成長率298.1％ ※基準年度(2027年)比</t>
  </si>
  <si>
    <t>【p.1】
株式会社大熊製作所
1.長期成長ビジョン
当社の強みである板金から塗装までの一貫体制のグレードアップを図り、トラック・建機業界のTier1内で板金・
塗装サプライヤーとしてのNo1のポジションを確保。会社の成長とともに、「働きやすい会社への変革」を成す。
長期成長ビジョン（目指す姿・ビジネスモデル） 外発的動機
1. トラック・建機業界のTier1内で板金・塗装サプライヤーとしての ◼ 社会課題
No1のポジションを確保する。(2030年に売上増加額8,094百万円) トラック・建機業界の社会課題としては、後継者問題・人手不足・技術革新への
対応等が挙げられる。なかでも、後継者問題は深刻な状況であり、廃業を選択
i. 当社の強みである板金から塗装までの一貫体制のグレードアップを図り、生産余力、
する企業や予備軍も増えてきている。また、比較的小規模企業が多い業界でも
コスト削減を提示できるサプライヤーとして当社の存在意義を更に強固なものにする。
あるため、技術革新のための大規模な設備投資を行うことができる企業も限ら
ii.現在はトラック・建機業界における板金・塗装企業の1社であるが、本投資でTier1 れている現状にある。
内でNo1のシェアを確保することを目指す。
◼ 顧客ニーズ
2. デジタルに対応した工場を新設し、日本のトラック・建機業界のリー トラック、建機の大手メーカーは、品質に加え、安定供給が可能な規模の大きい
ディングカンパニーとなり、メーカー・協力企業の成長を牽引する企 サプライヤーを求めている。また、塗装コスト削減や品質強化のため、生産性の
業を目指す。(2030年に工場稼働率80％) 高い塗装設備を有する企業へ部品製造を集約する傾向が強まっている。
i. DX化、自動化、省力化、省人化、省エネ化などの最先端技術を投入し、板金
→当社としては、社会課題や顧客ニーズに対応すべく、省力化と自動化を融合
・塗装サプライヤーとして一番進んだ自動化工場を新設する。
した次世代型スマート工場を建設することを立案した。
ii.製品の安定供給、品質保証、コストメリットを提示しメーカーから一番信頼される
企業を目指す。
3. 業界平均を大幅に超える給料を支給し、かつ自動化が困難であり
内発的動機
付加価値の高い業務へ人材を集約させることで、スキルの高く、市
場価値の高い人材を育成する。(2030年に平均年収597万円)
◼ 当社は創業以来80年以上にわたり、トラックや建機用部品を製造する企業と
i. 従業員が自ら考え、互いに成長できる明るい職場をつくる。会社として積極的な して自動車関連産業とともに歩んできた会社である。
設備投資で成長を遂げることで、業界平均を大幅に超える給料で還元する。 ◼ 近年、当社を取り巻く主として板金サプライヤーは引継ぎ手のいない後継者問題
や労働力不足の問題もあり廃業を選択が増えている状況に危惧を感じている。
ii.自動化設備を多用することで残業時間の削減と有給休暇取得に繋げるとともに
付加価値の高い業務に人手作業を集約することで、スキルの高い人材を育成する。 ◼ そういった状況下もあり顧客から更なる受注要請を受けており、顧客からの安定
供給の期待に応えるべく、本社である川口工場では住居専用地域にあり増改築
iii.2030年度までに平均年収597万円を達成し、地域No1の待遇を構築する。
できないことから、栃木工場への製造移管を進めてきた。
◼ 今回、DX化・自動化・省力化・省人化・省エネ化を備えた最先端技術を備え
会社全体の売上成長目標（～2030年）
た大型設備投資を実行することで、受けきれない受注への対応→仕事量を増や
• 売上高増加額8,094百万円 ※基準年度(2027年)比
すことでの収益力向上→獲得した利益を原資とした持続的な賃上げの実行と
• 売上高成長率298.1％ ※基準年度(2027年)比
いった好循環、そして従業員が「働きやすい会社への変革」を成す。</t>
  </si>
  <si>
    <t>【p.2】
株式会社大熊製作所
.補助事業の概要
2
各工程を建屋内で一貫して完結させ、自動化・自動搬送・高性能塗装設備・自動倉庫などを導入することで、
24時間稼働を可能とする省力化と自動化を融合した次世代型スマート工場を構築する。
◼ トラック・建機メーカーは、海外メーカーとの競争・業界の変革期等、環境が大きく変化している中で、今後部品の安定供給を受け
るために生産余力や競争力のあるサプライヤーの選択と集中に着手している。また、コスト削減のためにメーカーの要求を満たす塗
補助事業の 装設備を有するサプライヤーに部品を発注する傾向が強まっており、より広い部品群において板金から塗装までの一貫生産ができ 事業費 4 ,7 75 百万円
るサプライヤーの存在価値が高くなってきている。 （補助額）（1, 百万円）
背景・目的 533
◼ より製造コストを下げるために、DX化・自動化・省力化・省人化・省エネ化を兼ね備えた新工場を建設し、顧客の要求に応える。
新工場は24時間稼働を可能にしたスマート工場となり、既存工場では収益性の異なる部品の製造を行うことで労働生産性も
飛躍的に向上させ持続的な賃上げを実現させる。
本件に対する主な設備投資は以下の4つ
新工場イメージ図
A) 工場建屋)板金~塗装~出荷までが一つの建屋内で完結する生産性を追求した工場
・板金~塗装~出荷まで一貫生産に対応し、自動化設備を備えた省エネスマート工場を新設し、工場建屋、板金
ライン、塗装ライン、自動搬送、自動倉庫、CPS対応システムの投資を行う
B) 板金ライン)材料入庫⇒切断⇒曲げ⇒溶接の行程の7割を自動化する、仕掛品も自動搬送（AGV）
設備投資の 工程)切断工程・曲げ工程に自動化機械を設置し、多台持ちを可能とする
自動搬送)フォークリフトで行っていた搬送を自動搬送（AGV）に置き換え
内容
C) 塗装ライン)高性能塗装設備を導入し、競合他社との差別化を実現
・競合他社が導入していない長物製品にも対応した高耐候性カチオン設備を導入し、コスト削減を実現 板金棟(工程) 塗装棟(工程) 倉庫棟(入出荷)
・競合他社が導入していない酸化被膜除去装置を導入し、コスト削減に寄与
板金部品
D) 自動倉庫)入出荷・保管業務の自動化 切 断 曲 げ 溶 接 切 削 検 査 入庫 左 工 記 の 程 図 出荷
・ポリボックス（小型部品）対応の自動倉庫と、その他部品対応の汎用自動倉庫を導入し、省人化・省力化を 塗装部品 塗装 検査
図る
本スマート工場で、多くの工程の自動化が可能になり、生産性が飛躍的に改善
項目 基準年度 事業化報告3年目
労働生産性 20,505千円/人
7,087千円/人
（単位：千円/人） （年平均上昇率＋42.5％）
目標値 従業員1人あたり給与支給総額 5,973千円/人
4,979千円/人
（単位：千円/人） （年平均上昇率＋6.3％）
役員１人あたり給与支給総額 23, 483千円/人
19,721千円/人
（単位：千円/人） （年平均上昇率＋6.0％）
補助事業に係る従業員数
128人 193人
（単位：人）</t>
  </si>
  <si>
    <t>コモライフ株式会社
1.長期成長ビジョン
◼ 国内物流の自動化・省力化と、海外市場への販路拡大による日本製品のグローバル展開を牽引。
◼ 社会課題の解決を背景に、高効率かつ持続可能な次世代物流モデルを構築し日本経済の成長に貢献。</t>
  </si>
  <si>
    <t>長期成長ビジョン（目指す姿・ビジネスモデル）
• ① 国内物流の自動化・省力化と規模拡大
深刻な労働人口減少を背景に、倉庫業務の省力化と自動化を
本事業で推進。最新の自動搬送システム、ロボティクス、AI在庫
管理を取り入れ、物流業務の生産性を飛躍的に向上させる。
物流処理能力を現状比8倍以上に拡張し、国内の取引先に対し
てより迅速で正確な物流サービスを提供。
• ② 国内1000社以上の仕入先が持つ商品を世界市場へ展開
日本全国の仕入先各社は、優れた商品を生み出す高度な製造
力を持つものの、海外販路を有していない企業が多い。
この状況を打開するため、大規模自動化倉庫をハブとして海外市
場への商品展開を推進。2030年までに既存仕入先の海外展開
数500社を目標に国際競争力強化へ取り組む。
• ③ 地域企業との共存共栄を実現するプラットフォームの構築
物流ネットワークの強化と自動化倉庫の稼働により、地域の中小
企業が自力ではアクセスできない新規販路を提供、仕入先企業と
のパートナーシップを強化。物流基盤の革新を通じて地域経済の
活性化を促進し、地域の雇用創出・持続的な発展に貢献する。</t>
  </si>
  <si>
    <t>外発的動機
• 円安を背景とした成長機会、日本企業の海外販路不足
世界市場では近年、日本製品に対する評価は高く、特に昨今の
歴史的な円安環境が追い風となり、価格競争力という点でも日本
製品に絶好の機会が到来している。
しかし、海外市場での販売ノウハウや物流ネットワークを持たない企
業が多く国内市場に販路が限定され、グローバル市場での成長機
会を逃し続けている現状。
• 国内物流業界における人手不足の深刻化と物流革新の必要性
国内の物流業界では、深刻な人手不足が恒常化し、少子高齢化
による労働人口の減少がさらに状況が悪化していく。この課題に対
し、日本企業が競争力を維持し持続的な成長を遂げるためには、
省人化や自動化といった物流革新が不可欠となっている。</t>
  </si>
  <si>
    <t>内発的動機
• 日本各地の魅力ある仕入先が生み出す商品を世界へ
創業以来、日本企業が生み出す高品質で繊細な商品が、販路
構築や物流面の課題により海外市場への進出が阻まれている現状
を目の当たりにしてきた。
そのため「自社の物流基盤と企画力を駆使し、日本の商品を世界
の人々に届け、国内中小企業が持つ無限の可能性を切り拓きた
い」という強い使命感を抱いている。
• 労働人口減少を乗り越える超高効率組織・物流の実現
私たち自身が物流の自動化・効率化をリードし、少子高齢化による
社会課題を解決することで、持続可能で安定的な国内物流を築
き上げ、日本企業や地域社会の将来を支える役割を担っていく所
存である。</t>
  </si>
  <si>
    <t>【p.1／売上成長目標】
会社全体の売上成長目標（2030年度）
• 売上高増加額＋22,542百万円（2023年度比）
• 売上高成長率＋302.2％（2023年度比）</t>
  </si>
  <si>
    <t>【p.1】
コモライフ株式会社
1.長期成長ビジョン
◼ 国内物流の自動化・省力化と、海外市場への販路拡大による日本製品のグローバル展開を牽引。
◼ 社会課題の解決を背景に、高効率かつ持続可能な次世代物流モデルを構築し日本経済の成長に貢献。
外発的動機
長期成長ビジョン（目指す姿・ビジネスモデル）
• 円安を背景とした成長機会、日本企業の海外販路不足
• ① 国内物流の自動化・省力化と規模拡大 世界市場では近年、日本製品に対する評価は高く、特に昨今の
深刻な労働人口減少を背景に、倉庫業務の省力化と自動化を
歴史的な円安環境が追い風となり、価格競争力という点でも日本
本事業で推進。最新の自動搬送システム、ロボティクス、AI在庫 製品に絶好の機会が到来している。
管理を取り入れ、物流業務の生産性を飛躍的に向上させる。 しかし、海外市場での販売ノウハウや物流ネットワークを持たない企
物流処理能力を現状比8倍以上に拡張し、国内の取引先に対し 業が多く国内市場に販路が限定され、グローバル市場での成長機
てより迅速で正確な物流サービスを提供。 会を逃し続けている現状。
• 国内物流業界における人手不足の深刻化と物流革新の必要性
• ② 国内1000社以上の仕入先が持つ商品を世界市場へ展開 国内の物流業界では、深刻な人手不足が恒常化し、少子高齢化
日本全国の仕入先各社は、優れた商品を生み出す高度な製造
による労働人口の減少がさらに状況が悪化していく。この課題に対
力を持つものの、海外販路を有していない企業が多い。 し、日本企業が競争力を維持し持続的な成長を遂げるためには、
この状況を打開するため、大規模自動化倉庫をハブとして海外市 省人化や自動化といった物流革新が不可欠となっている。
場への商品展開を推進。2030年までに既存仕入先の海外展開
数500社を目標に国際競争力強化へ取り組む。
内発的動機
• ③ 地域企業との共存共栄を実現するプラットフォームの構築 • 日本各地の魅力ある仕入先が生み出す商品を世界へ
物流ネットワークの強化と自動化倉庫の稼働により、地域の中小 創業以来、日本企業が生み出す高品質で繊細な商品が、販路
企業が自力ではアクセスできない新規販路を提供、仕入先企業と 構築や物流面の課題により海外市場への進出が阻まれている現状
のパートナーシップを強化。物流基盤の革新を通じて地域経済の を目の当たりにしてきた。
活性化を促進し、地域の雇用創出・持続的な発展に貢献する。 そのため「自社の物流基盤と企画力を駆使し、日本の商品を世界
の人々に届け、国内中小企業が持つ無限の可能性を切り拓きた
い」という強い使命感を抱いている。
会社全体の売上成長目標（2030年度） • 労働人口減少を乗り越える超高効率組織・物流の実現
• 売上高増加額＋22,542百万円（2023年度比） 私たち自身が物流の自動化・効率化をリードし、少子高齢化による
• 売上高成長率＋302.2％（2023年度比） 社会課題を解決することで、持続可能で安定的な国内物流を築
き上げ、日本企業や地域社会の将来を支える役割を担っていく所
存である。</t>
  </si>
  <si>
    <t>【p.2】
コモライフ株式会社
.補助事業の概要
2
◼ 大規模な自動物流倉庫の整備により、国内物流の効率化と海外展開を両立し、持続的な成長を実現。
◼ 省人化・迅速化を通じて国内外EC市場の拡大に対応し、日本商品のグローバル競争力を一層強化する。
補助事業の • 大規模な自動物流倉庫を整備し、国内における効率的な物流体制の強化による利益改善 事業費 3 , 200 百万円
とともに、仕入先企業の商品を海外市場へ積極的に展開する。
背景・目的 （補助額） (1, 060 百万円)
• 輸出増を図ることで日本の経済成長を牽引し、持続的な成長を実現する。
• 設備投資の概要
① 建物：超大型倉庫の建設 35億円
② 設備：生産性向上・省力化を実現する自動化設備 10億円
• 設備投資による効果
① AI管理システムにより、多品種・大量商品の高精度かつリアルタイムな在
設備投資の
庫管理を実現し、国内外の大規模な受発注を支える。
内容
② 自律搬送ロボットや自動ピッキングシステムなど先端設備により、物流作 次世代物流倉庫建屋(上)と自動化設備(下)
業の迅速化・省人化、物流業界が抱える人手不足の課題を解決。
③ 海外向け商品配送リードタイムを大幅に短縮し、海外顧客の満足度向
上と海外市場での競争力を生み出していく。
④ 国内仕入先企業の商品を物流拠点に集約・一元管理し、物流の効率
性を飛躍的に向上させ、国内企業の商品展開を強力に支援。
項目 基準年度 事業化報告3年目
労働生産性 29,954千円
14,378千円
（単位：千円/人） （年平均上昇率＋27.7％）
目標値 従業員1人あたり給与支給総額 6,41 千円 7,96 9 千円
（単位：千円/人） 3 （年平均上昇率＋7.5％）
役員１人あたり給与支給総額
-
（単位：千円/人） - （年平均上昇率＋5.5％）
補助事業に係る従業員数
63人 115人
（単位：人）</t>
  </si>
  <si>
    <t>アルフレッド株式会社
1.⾧期成⾧ビジョン
2022年の住宅等アスベストの事前調査が義務化を契機に創業
ベンチャー企業から2028年に中堅企業へ成⾧目指す 2030年には新技術で国内シェア40％を目指す</t>
  </si>
  <si>
    <t>⾧期成⾧ビジョン（目指す姿・ビジネスモデル）
2030年までに国内シェア40％、そしてインド進出へ
• 国内事業
日本における解体・リフォーム業者向けサービスとして、精度が高いア
スベスト分析結果を、より早くリーズナブルに提供できる技術を開発し
経営してきた。2025年内に国内シェア１位（12%）、年間10万
検体を超える分析体制を構築しているが、更に安定したシェアを獲得
する為に国内２拠点の工場を統合し、新しい工場を設立する。
• インド事業（インド）
日本におけるアスベスト分析技術とノウハウをもとに、新たにアスベスト
の規制が始まるインドに参入する。2025年にインド駐在所設立予
定（JETROハンズオン支援事業採択済）であり、デリーでの設立に
向けて準備が進む。2030年以降のビジネス軸として計画している。</t>
  </si>
  <si>
    <t>外発的動機
• 2022年以降、アスベスト分析事業に新規参入する会社が増えて
いる。現在は先行者として国内シェア1位となっているが、価格競争
が激化する前に競合より早く、市場シェアを勝ち取る。
• 静岡大学等と共同研究によるAIを使った新技術（特許出願）
により、更に他社との差別化を図る事が出来る。
• 現在本社がある浜松イノベーションキューブは独立行政法人中小
企業基盤整備機構のスタートアップ支援施設であり、2028年には
ミドルステージを迎え退去する計画。
• 日本においては国内アスベスト分析需要の伸び率は2030年頃を
ピークに減少していくと予想され、海外市場を含め事業展開を検討
する。</t>
  </si>
  <si>
    <t>内発的動機
• 代表者は、 20年にわたって分析受託事業に携わってきた。また世
界最大の分析受託企業（Eurofinsグループ）において、技術、
管理及び経営手法を学んできた経験を活かし、早期に事業を拡大
することが出来る。
• 現在の事業所は入居して5年間のサポートを受けることが出来るが、
2028年でこの期限を迎える。これを期にベンチャー企業から中堅企
業へと成⾧し、自走できる体制を構築する為に本事業の補助事業
を活用し新工場を設立する。
• アスベストは健康被害に関連する物質であり、当社がより良いサー
ビスを広げられることで日本及び国際社会に貢献できる。</t>
  </si>
  <si>
    <t>会社全体の売上成⾧目標（～2030年）</t>
  </si>
  <si>
    <t>【p.1／奇跡の物質から一転、静かなる時限爆弾へ】
奇跡の物質から一転、静かなる時限爆弾へ
2006年に全面禁止されるまで建築材料に広く使われていた
アスベストは繊維状の天然鉱物。製造コストが安く、 耐火・防火・吸音
など様々な目的で使い勝手が良く、奇跡の物質と称され建築材料に⾧
年使用されてきた。しかし、アスベスト繊維を⾧年吸い込み続けると、中
皮腫や肺がんの要因となる事が分かり、近年世界中で規制が強化され
ている。2018年には、１年あたりの中皮腫による死亡者数は1500人
を超え、解体やリフォーム時に飛散するアスベストについて社会問題と
なっている。
2022年の大規模な法規制強化
アスベスト健康被害の増大に伴い、2022年に大気汚染防止法等が
大幅改正された。いままでの大型の商業施設や工業用施設に加え、
・80㎡以上の解体工事
・100万円以上の改修工事
等を行う場合には、事前にアスベストが含まれているか調査し報告及び
対策をすることが義務つけられた。これには木造・戸建住宅を含めるため、
その対象となる建物は法改正を機に従来の280万棟から、3300万棟
に拡大された。
アスベストの調査・分析事業の市場拡大
法改正以降、解体・リフォームに伴うアスベスト事前調査が年間60万件
が報告されている。1件あたりの分析数は1.7検体（アルフレッド調べ）
であり、市場規模は約100万検体/年と予測されている。
アスベスト調査は現地にて含有可能性建材を目視にて確認し、分析会
社が顕微鏡等を用いてアスベストの有無を分析する。当社はこの分析受
託事業を実施するため2021年に創業した。
【p.2／当社の生産の80％を担う浜松第1第2工場は、東京/大阪圏の】
当社の生産の80％を担う浜松第1第2工場は、東京/大阪圏の
検体を受け入れている。2028年にはキャパシティを超えることから、
新工場設立を計画している。
当社の要件を満たす土地の購入目途がたったため、
以下の順序で工場再編し、日本最大のアスベスト分析工場
を設立する
1. 新工場の設立 2027年9月
2. 浜松第1工場の分析ライン移設 2027年10月
3. 浜松第2工場の分析ライン移設 2027年11月
4. 日本最大新工場での量産開始 2027 年12月
【p.3／売上成長目標】
会社全体の売上成⾧目標（～2030年）
【p.4／項目 基準年度】
項目 基準年度</t>
  </si>
  <si>
    <t>【p.1】
アルフレッド株式会社
1.⾧期成⾧ビジョン
当社概要及びアスベスト分析についての補足資料
奇跡の物質から一転、静かなる時限爆弾へ
2006年に全面禁止されるまで建築材料に広く使われていた
アスベストは繊維状の天然鉱物。製造コストが安く、 耐火・防火・吸音
など様々な目的で使い勝手が良く、奇跡の物質と称され建築材料に⾧
年使用されてきた。しかし、アスベスト繊維を⾧年吸い込み続けると、中
皮腫や肺がんの要因となる事が分かり、近年世界中で規制が強化され
ている。2018年には、１年あたりの中皮腫による死亡者数は1500人
を超え、解体やリフォーム時に飛散するアスベストについて社会問題と
なっている。
2022年の大規模な法規制強化
アスベスト健康被害の増大に伴い、2022年に大気汚染防止法等が
大幅改正された。いままでの大型の商業施設や工業用施設に加え、
・80㎡以上の解体工事
・100万円以上の改修工事
等を行う場合には、事前にアスベストが含まれているか調査し報告及び
対策をすることが義務つけられた。これには木造・戸建住宅を含めるため、
その対象となる建物は法改正を機に従来の280万棟から、3300万棟
に拡大された。
アスベストの調査・分析事業の市場拡大
法改正以降、解体・リフォームに伴うアスベスト事前調査が年間60万件
が報告されている。1件あたりの分析数は1.7検体（アルフレッド調べ）
であり、市場規模は約100万検体/年と予測されている。
アスベスト調査は現地にて含有可能性建材を目視にて確認し、分析会
社が顕微鏡等を用いてアスベストの有無を分析する。当社はこの分析受
託事業を実施するため2021年に創業した。
【p.2】
アルフレッド株式会社
1.⾧期成⾧ビジョン
当社概要及びアスベスト分析についての補足資料
沿革
2021年 7 月 ～ 仙台ラボ
第1期
 静岡県浜松市浜北区にて創業開始
2026年開設予定
2022年 福岡ラボ
 中小企業基盤整備機構（中小機構）の支援の下、
浜松市の浜松イノベーションキューブ（現住所）
に本社移転
第2期
 分析機器メーカーとタイアップにより
コンサルティング事業開始
 浜松市新産業創出事業費補助事業に開発事業が採択
浜松第1工場、浜松第2工場
2023年
 偏光顕微鏡15台、SEM１台、XRD1台に増台
当社の生産の80％を担う浜松第1第2工場は、東京/大阪圏の
第3期  ラボスペース220㎡に拡張
 独自システム完成、Lean生産方式を採用 検体を受け入れている。2028年にはキャパシティを超えることから、
 国立大学と新技術開発研究を開始 新工場設立を計画している。
当社の要件を満たす土地の購入目途がたったため、
2024年 ～
以下の順序で工場再編し、日本最大のアスベスト分析工場
 海外分析事業及び新事業の着手
 偏光顕微鏡50台、SEM3台、XRD4台に増台 を設立する
第4期  福岡ラボ設立
 浜松第二ラボ設立
1. 新工場の設立 2027年9月
 浜松ラボにてISO/IEC17025（試験所および校正
2. 浜松第1工場の分析ライン移設 2027年10月
機関の能力に関する国際規格）を取得
 特許2案出願 3. 浜松第2工場の分析ライン移設 2027年11月
 2025年版・静岡県の従業員数増加率ランキング 4. 日本最大新工場での量産開始 2027年12月
第2位（出典：SalesNow DB 調べ）
【p.3】
アルフレッド株式会社
1.⾧期成⾧ビジョン
2022年の住宅等アスベストの事前調査が義務化を契機に創業
ベンチャー企業から2028年に中堅企業へ成⾧目指す 2030年には新技術で国内シェア40％を目指す
⾧期成⾧ビジョン（目指す姿・ビジネスモデル） 外発的動機
• 2022年以降、アスベスト分析事業に新規参入する会社が増えて
2030年までに国内シェア40％、そしてインド進出へ
いる。現在は先行者として国内シェア1位となっているが、価格競争
• 国内事業 が激化する前に競合より早く、市場シェアを勝ち取る。
日本における解体・リフォーム業者向けサービスとして、精度が高いア • 静岡大学等と共同研究によるAIを使った新技術（特許出願）
スベスト分析結果を、より早くリーズナブルに提供できる技術を開発し により、更に他社との差別化を図る事が出来る。
経営してきた。2025年内に国内シェア１位（12%）、年間10万 • 現在本社がある浜松イノベーションキューブは独立行政法人中小
検体を超える分析体制を構築しているが、更に安定したシェアを獲得 企業基盤整備機構のスタートアップ支援施設であり、2028年には
する為に国内２拠点の工場を統合し、新しい工場を設立する。 ミドルステージを迎え退去する計画。
• インド事業（インド） • 日本においては国内アスベスト分析需要の伸び率は2030年頃を
日本におけるアスベスト分析技術とノウハウをもとに、新たにアスベスト ピークに減少していくと予想され、海外市場を含め事業展開を検討
の規制が始まるインドに参入する。2025年にインド駐在所設立予 する。
定（JETROハンズオン支援事業採択済）であり、デリーでの設立に
向けて準備が進む。2030年以降のビジネス軸として計画している。
内発的動機
会社全体の売上成⾧目標（～2030年）
• 代表者は、 20年にわたって分析受託事業に携わってきた。また世
界最大の分析受託企業（Eurofinsグループ）において、技術、
管理及び経営手法を学んできた経験を活かし、早期に事業を拡大
することが出来る。
• 現在の事業所は入居して5年間のサポートを受けることが出来るが、
2028年でこの期限を迎える。これを期にベンチャー企業から中堅企
業へと成⾧し、自走できる体制を構築する為に本事業の補助事業
を活用し新工場を設立する。
• アスベストは健康被害に関連する物質であり、当社がより良いサー
ビスを広げられることで日本及び国際社会に貢献できる。</t>
  </si>
  <si>
    <t>【p.4】
アルフレッド株式会社
2.補助事業の概要
新工場の設立により、国内最大のアスベスト工場となり2028年35億円の売上を達成する
同時に労働生産性21,402千円、従業員１人あたりの給与総支給額7,511千円を2028年に達成
• 2025年分析実施数が13万検体（2024年比200％増）を超える見込みで、すでに浜松に
補助事業の 第二工場を増設したが、第二工場も2027年にはキャパシティを超える見込み。2028年には増
背景・目的 設した工場も面積限界を迎えるため、新工場を設立し、浜松２か所の工場を統合し、国内最 事業費 1,635百万円
大のアスベスト工場を設立する。 （補助額）（516百万円）
• 新工場設置
新工場設立により、浜松第１工場と浜松第２工場を全移転する。
現在は浜松第１・２工場間のサンプルを輸送しているため作業効率が ←アスベスト分析用
悪い。新工場に集約することで物流ロスを軽減し生産性向上に寄与 偏光顕微鏡
することができる。
設備投資の
• 新ラインの設置 写真等
内容
創業当初から部分的に拡張し、継ぎ足しになっていた工場では、レイアウ
トが悪く作業効率が高められない。新工場ではレイアウトを最適化し、新
ラインを設立する事でロボット化等による改善をすることが出来る。これ
工場分析室 →
により、面積あたりの生産量を増やす事ができる。
風景
項目 基準年度 事業化報告3年目
労働生産性 33,275千円
21,403千円
（単位:千円/人） （年平均上昇率＋15.8％）
目標値 従業員1人あたり給与支給総額 10,029千円
7,512千円
（単位:千円/人） （年平均上昇率＋10.1％）
役員１人あたり給与支給総額 31,566千円
23,716千円
（単位:千円/人） （年平均上昇率＋10.0％）
補助事業に係る従業員数
104 140
（単位:人）</t>
  </si>
  <si>
    <t>信和化工株式会社
1.長期成長ビジョン
人類の発展に必要不可欠なクロマトグラフィー分析の根幹をなすカラムは、高性能品が求められてきており、その
ニーズを満たすため製造キャパシティの拡大と業種に特化した製品ラインナップの拡充により売上向上を目指す。</t>
  </si>
  <si>
    <t>長期成長ビジョン（目指す姿・ビジネスモデル）
創業66年の歴史を持ち、クロマトグラフィーのカラム製造
では日本屈指の技術力を誇る当社が、技術の革新を支
える成分分析の分野でより高性能な分析を提供すること
で人類の発展に貢献する。
• より高性能品のニーズが高いバイオ産業分野に応じた製
品ラインナップの拡充
• インフラが未発達な国に対して環境水の分析が可能とな
るように、環境水用のラインナップの拡充
• 新技術の開発により、分離が困難なタンパク質等の分離
の実現</t>
  </si>
  <si>
    <t>外発的動機
• 先進国のバイオ産業や途上国での環境水等、人類の発展に重要
な要素がクロマトグラフィー分析により成り立っており、今後急速に成
長していくことが見込まれている。
• 先進国を中心に食の安全、環境の整備等が重要視されてきており、
それらはクロマトグラフィー分析により危険な成分が入っていないか確
認されているため、引き続き市場の成長が見込まれる。
• クロマトグラフィー分析に利用されるカラムで高性能製品は製造でき
る会社が限定されており、その中でも当社は分野によっては当社し
か作れない製品等が存在しており、重要なポジションを担っている。</t>
  </si>
  <si>
    <t>内発的動機
• 技術力で評価されている当社が高性能品を必要としているバイオ
産業に進出することで、分離が困難であったタンパク質等の分離精
度を向上させることで、バイオ産業に新たな可能性を示すことが可
能。
• 当社は高付加価値製品に注力をし、高水準の利益率を維持し、
「人・もの」に投資をしてきたが、さらなる投資と成長のために成長市
場である、バイオ・環境水分野に適した高付加価値製品の開発製
造に取り組む必要がある。
• インド等ではいまだ水質検査が義務化されていないが、中国が義務
化されているように近い将来様々な国で、水質検査は義務化され
る見込みであり、その時に当社の高性能カラムを普及させることで大
きな成長を見込む。</t>
  </si>
  <si>
    <t>【p.1／売上成長目標】
会社全体の売上成長目標（～2030年）
• 売上高増加額908百万円
• 売上高成長率15％</t>
  </si>
  <si>
    <t>【p.1】
信和化工株式会社
1.長期成長ビジョン
人類の発展に必要不可欠なクロマトグラフィー分析の根幹をなすカラムは、高性能品が求められてきており、その
ニーズを満たすため製造キャパシティの拡大と業種に特化した製品ラインナップの拡充により売上向上を目指す。
長期成長ビジョン（目指す姿・ビジネスモデル）
外発的動機
• 先進国のバイオ産業や途上国での環境水等、人類の発展に重要
な要素がクロマトグラフィー分析により成り立っており、今後急速に成
創業66年の歴史を持ち、クロマトグラフィーのカラム製造 長していくことが見込まれている。
では日本屈指の技術力を誇る当社が、技術の革新を支 • 先進国を中心に食の安全、環境の整備等が重要視されてきており、
える成分分析の分野でより高性能な分析を提供すること それらはクロマトグラフィー分析により危険な成分が入っていないか確
認されているため、引き続き市場の成長が見込まれる。
で人類の発展に貢献する。
• クロマトグラフィー分析に利用されるカラムで高性能製品は製造でき
る会社が限定されており、その中でも当社は分野によっては当社し
か作れない製品等が存在しており、重要なポジションを担っている。
• より高性能品のニーズが高いバイオ産業分野に応じた製
品ラインナップの拡充
• インフラが未発達な国に対して環境水の分析が可能とな 内発的動機
るように、環境水用のラインナップの拡充 • 技術力で評価されている当社が高性能品を必要としているバイオ
産業に進出することで、分離が困難であったタンパク質等の分離精
度を向上させることで、バイオ産業に新たな可能性を示すことが可
• 新技術の開発により、分離が困難なタンパク質等の分離
能。
の実現
• 当社は高付加価値製品に注力をし、高水準の利益率を維持し、
「人・もの」に投資をしてきたが、さらなる投資と成長のために成長市
場である、バイオ・環境水分野に適した高付加価値製品の開発製
会社全体の売上成長目標（～2030年） 造に取り組む必要がある。
• 売上高増加額908百万円 • インド等ではいまだ水質検査が義務化されていないが、中国が義務
• 売上高成長率15％ 化されているように近い将来様々な国で、水質検査は義務化され
る見込みであり、その時に当社の高性能カラムを普及させることで大
きな成長を見込む。</t>
  </si>
  <si>
    <t>【p.2】
信和化工株式会社
.補助事業の概要
2
世界的にニーズが高いバイオ産業や環境水向けの高品質な製品ラインナップを製造できる体制を構築し、バイオ
産業の研究開発スピードを加速し、世界規模での衛生環境の改善を手助けする。
補助事業の • バイオ産業や環境水の市場が急成長、高品質製品のニーズが急拡大 事業費 1, 百万円
510
背景・目的 • 原料製造によるバイオ産業、環境水向けラインナップの拡充 （補助額） （4 9百万円）
2
新工場建設による製造能力、及び付加価値強化と、製品ラインナップ
の拡充
【具体的な投資内容】
• 工場建設（1,288百万円）
製造能力強化のための製造ラインの新設及び原料製造のための製造ラ
インの新設が可能な広さの新工場を建設
• 原料製造のための機械装置（91百万円）
設備投資の
製造ラインの新設による生産能力強化、及び、原料製造のための製造
内容
ラインの新設
【補助事業により見込まれる効果】
• 製品の品質を向上させることで、売上・利益率拡大、労働生産性向上
• 高品質で高速な分析を提供することでバイオ産業の研究開発スピード
向上
• 途上国における水質検査が義務化することを見越して、水質検査向け
の製品を揃えておくことで、世界規模での衛生環境の改善の手助け
項目 基準年度 事業化報告3年目
労働生産性 24,779
12,516
（単位：千円/人） （年平均上昇率＋25.6％）
目標値 従業員1人あたり給与支給総額 7,136
（単位：千円/人）
5,613
（年平均上昇率＋8.3％）
役員１人あたり給与支給総額
-
（単位：千円/人） - （年平均上昇率＋5.7％）
補助事業に係る従業員数
40 49
（単位：人）
【p.3】
信和化工株式会社
.補助事業の概要
2
新工場は十分な広さを確保できており、原料の製造ラインや新製品の製造ラインはもちろん、創業から66年積
み重ねた知見に基づく最適な導線が整備できている。
１F
２F
３F
【導線改善】
【キャパシティの拡大】
頻繁に利用するエリアを中心にすることで 【環境省エネ配慮】
既存製品の生産能力拡張だけでなく、
効率的な導線を確保 屋上にはソーラーパネルを設置し、
原料の製造や新製品の製造も可能な広
その他にも別階層での行き来が最低限に 環境への配慮も設計
さを確保
抑えられるよう製造工程を分析し設計</t>
  </si>
  <si>
    <t>上野ロジケム株式会社
1.⾧期成⾧ビジョン
上野グループでのシナジー効果を最大限発揮し、社会を支えるインフラとして、ケミカル物流のワンストップサービス
を実現することで2030年度に150億円以上の売上高を達成する</t>
  </si>
  <si>
    <t>⾧期成⾧ビジョン（目指す姿・ビジネスモデル）</t>
  </si>
  <si>
    <t>外発的動機
• 近年、スペシャリティケミカルの取扱量増加や Eコマース市場の拡大
により、危険物倉庫には多品種・小ロット貨物を安全・迅速にハンド
リングできる高度な機能が求められている
• トラックドライバーの残業上限規制強化や化学物質規制の更新を
背景に、メーカー・商社は自前物流を手放し、専門事業者へ委託
する動きが加速している
• ワンストップで危険物物流を担えるインフラは地域も荷姿も限定的
で、市場には「専門性の高い危険物物流プラットフォーム」が不足</t>
  </si>
  <si>
    <t>内発的動機
• 当社は創業1869 年の上野グループの一員として、物流に関する
専門知識と安全文化を150年以上培っており、継続的な安全教
育やグループ横断の知見共有を行っている
• 2018年の会社設立後、グループ各社の内航汎用ケミカル事業を
集約し、売上を56 億円から70 億円超へ拡大させました
• エリア戦略としては、現在は、関東圏に集中しており、本事業を通じ
て中部エリア（四日市・名古屋湾岸）へ拡大し、グループ企業と
連携してワンストップ物流を実現する
• 将来的には関西エリア（阪神港湾圏）にも事業拠点を設け、東
名阪の三大経済圏をカバーする体制を視野に入れています。</t>
  </si>
  <si>
    <t>【p.1／「エネルギー」の次へ、「運ぶ」の先へ、環境の未来へ、】
「エネルギー」の次へ、「運ぶ」の先へ、環境の未来へ、
先んじて挑み、社会を支えるエネルギーであり続ける
【p.1／ケミカルグループの中心となり、グループ収益の両輪となっ】
ケミカルグループの中心となり、グループ収益の両輪となっ
ているケミカル物流のワンストップサービスが実現している
【p.1／【ワンストップ物流の更なる実践】】
【ワンストップ物流の更なる実践】
• 当社が強みをもつタンカー/ローリー輸送だけでなく、ドライコンテナや
ISOタンクなど様々な荷姿でのワンストップ物流を実現
【グループシナジーの最大限の発揮】
• 関東エリアだけでなく中部エリアでもグループシナジーを発揮すること
で事業の拡大を図る
【サービスの高付加価値化】
• 多品種・小ロットの貨物への対応や出庫前スペック検査業務など
危険物倉庫事業の高付加価値化を実現
• 物流管理業務の受託も行うことで更なる高付加価値化を目指す
2024年度 2027年度 2030年度
※2023年度とは
2024年6月期決算 (直近年度) (基準年度) (最終年度)
売上高 75億円 91億円 152億円
付加価値額 9.4億円 12.5億円 30.2億円
【p.1／2024年度 2027年度 2030年度】
2024年度 2027年度 2030年度
※2023年度とは
2024年6月期決算 (直近年度) (基準年度) (最終年度)
売上高 75億円 91億円 152億円
付加価値額 9.4億円 12.5億円 30.2億円</t>
  </si>
  <si>
    <t>【p.1】
上野ロジケム株式会社
1.⾧期成⾧ビジョン
上野グループでのシナジー効果を最大限発揮し、社会を支えるインフラとして、ケミカル物流のワンストップサービス
を実現することで2030年度に150億円以上の売上高を達成する
上野グループミッション 外発的動機
「エネルギー」の次へ、「運ぶ」の先へ、環境の未来へ、 • 近年、スペシャリティケミカルの取扱量増加や Eコマース市場の拡大
先んじて挑み、社会を支えるエネルギーであり続ける により、危険物倉庫には多品種・小ロット貨物を安全・迅速にハンド
リングできる高度な機能が求められている
• トラックドライバーの残業上限規制強化や化学物質規制の更新を
上野ロジケム 2030年あり姿
背景に、メーカー・商社は自前物流を手放し、専門事業者へ委託
ケミカルグループの中心となり、グループ収益の両輪となっ する動きが加速している
ているケミカル物流のワンストップサービスが実現している • ワンストップで危険物物流を担えるインフラは地域も荷姿も限定的
で、市場には「専門性の高い危険物物流プラットフォーム」が不足
⾧期成⾧ビジョン（目指す姿・ビジネスモデル）
【ワンストップ物流の更なる実践】
• 当社が強みをもつタンカー/ローリー輸送だけでなく、ドライコンテナや
内発的動機
ISOタンクなど様々な荷姿でのワンストップ物流を実現
【グループシナジーの最大限の発揮】 • 当社は創業1869 年の上野グループの一員として、物流に関する
• 関東エリアだけでなく中部エリアでもグループシナジーを発揮すること 専門知識と安全文化を150年以上培っており、継続的な安全教
で事業の拡大を図る 育やグループ横断の知見共有を行っている
【サービスの高付加価値化】
• 2018年の会社設立後、グループ各社の内航汎用ケミカル事業を
• 多品種・小ロットの貨物への対応や出庫前スペック検査業務など
集約し、売上を56 億円から70 億円超へ拡大させました
危険物倉庫事業の高付加価値化を実現
• エリア戦略としては、現在は、関東圏に集中しており、本事業を通じ
• 物流管理業務の受託も行うことで更なる高付加価値化を目指す
て中部エリア（四日市・名古屋湾岸）へ拡大し、グループ企業と
※2023年度とは 2024年度 2027年度 2030年度 連携してワンストップ物流を実現する
2024年6月期決算 (直近年度) (基準年度) (最終年度)
• 将来的には関西エリア（阪神港湾圏）にも事業拠点を設け、東
売上高 75億円 91億円 152億円
名阪の三大経済圏をカバーする体制を視野に入れています。
付加価値額 9.4億円 12.5億円 30.2億円</t>
  </si>
  <si>
    <t>【p.2】
上野ロジケム株式会社
2.補助事業の概要
高付加価値な危険物倉庫を木曽岬に建設し、顧客ニーズへの対応とグループシナジーを活用したワンストップ物
流を実践することで、労働生産性の向上を期待しており、継続的な賃上げを通じて従業員への還元を行う
 化学品の物流業務の外部委託ニーズやスペシャリティケミカルなどの多品種・小ロット対応
補助事業の 事業費 3,541百万円
が求められている
背景 （補助額） 943百万円
 中部エリアではグループシナジーを発揮できておらず、ワンストップ物流が実現できていない
 名古屋港と四日市港の中間地点に位置する木曽岬新輪工業団
地に危険物倉庫を新たに建設する
設備投資の
事業実施場所
内容  マルチワークステーションを設置して液体化学品の詰め替え作業
を可能にすることで多様な顧客ニーズに対応する
名古屋港
 危険物倉庫をプラットフォームとして、グループ各社とも連携しながら
通関業務、陸運、販売まで幅広いサービスを提供
四日市港
 危険物倉庫は更に需要の高まりが見込まれており、優れた立地に
期待する
おいて操業する事で、 恒久的な貨物確保が見込まれる。 また、
効果
各企業のコンプライアンス意識が高まる中、サプライチェーン全体に
危険品を適正に取り扱う機運が高まっており、今後石油製品以外
の取り扱いの増加を図り、企業価値の向上に期待
項目 基準年度 事業化報告3年目
労働生産性 46,030
29,819
（単位:千円/人） （年平均上昇率＋15.6％）
従業員1人あたり給与支給総額 7,971
目標値 6,506
（単位:千円/人） （年平均上昇率＋7.0％）
役員1人あたり給与支給総額
- -
（単位:千円/人）
補助事業に係る従業員数
16 46
（単位:人）
【p.3】
上野ロジケム株式会社
2.補助事業の概要
本事業を通じて中部エリアでドラム等のワンストップ物流を実現したのちには、対象となる荷姿やエリアを拡大する
とともに、物流管理業務といった上流工程への進出も計画している
現状(2025年度) 補助事業(2027~2028年度) さらなる拡大(2029年度~)
 ISOタンクコンテナでのアルコール輸送も開始
 中部エリアのタンカーでの輸送のみワンストッ  高付加価値な危険物倉庫を建設して中部
し幅広い荷姿でワンストップを実現
概 プが可能 エリアでもワンストップ物流を実現
 中部エリアの陸運事業を当社に集約
要
 中部エリアは自社倉庫を保有していないため  危険物倉庫事業の売上だけでなく、陸運事
 物流管理業務も受託し、バリューチェーンの
トラック輸送でのワンストップができていない 業やグループ会社の売上拡大にもつながる
上流に進出し、関西エリアでも営業を開始
当社 グループ会社 他社 当社 グループ会社 他社 当社 グループ会社 他社
関西へ展開
関東エリア 中部エリア 関東エリア 中部エリア 関東エリア 中部エリア
タンカー トラック ISO タンカー トラック ISO タンカー トラック ISO タンカー トラック ISO タンカー トラック ISO タンカー トラック ISO
荷主 荷主 荷主
物流管理業務も受託
バ
リ 通 通 通
ュ 関 関 関
ー
チ
ェ 輸 輸 輸
ー 送 送 送
ン
保 保 保
管 管 管
輸 輸 輸
送 送 送
ワンストップ 外部倉庫を利用 高付加価値倉庫でワンストップ ISOタンクコンテナのワンストップ 陸運を当社に集 約</t>
  </si>
  <si>
    <t>株式会社ワイズマート
1.長期成長ビジョン
地域を支える「お客様の身近な冷蔵庫」を体現し続けるため、駅前コンパクトストア拡大による利便性向上、
プロセスセンター＆AutoStoreによる商品の質・幅の向上、生産性向上による安心価格を実現、店舗数を拡大。</t>
  </si>
  <si>
    <t>長期成長ビジョン（目指す姿・ビジネスモデル）
地域を支える「お客様の身近な冷蔵庫でありたい」という経営理念を
さらに追及し、プロセスセンター＆AutoStore設立・コンパクトストア
出店拡大を進め5年後62店舗、10年後100店舗規模に拡大
「お客様の身近な冷蔵庫」を体現し続けるための事業戦略
お ①利便性 ②商品の質・幅 ③安心価格
客
「駅前等、通いやす 「毎日買っても飽きない 「毎日の食費は抑え
様
い場所にある店」 バラエティ」 たい」
へ
「気軽に買い物しや 「日々の食卓が美味しく 「節約が要る時代に
の
価 すい店内」 楽しくなる」 対応する必要」
値 ↑ ↑ ↑
提 駅前等中心に店舗 ・商品バラエティ向上 ・店舗のオペレーショ
供 数拡大、コンパクトス ・先進的な調理技術の ン効率向上
トア化 導入 ・物流・調理効率化
価
貢 地域密着型プロセスセンター・Auto Store設立により、
効 値
献
率 提 少量多品種の商品バラエティ向上・先進技術導入による質向上、
す
化 供 調理・物流効率の向上、新型の駅前コンパクトストア・
る
に
狭小店出店を可能とし、長期成長ビジョンを実現していく</t>
  </si>
  <si>
    <t>外発的動機
•
共働き・高齢者世帯の増加により、車で行く大型店舗より徒歩で
短時間に買い物できる「駅前コンパクトスーパー」のニーズが高まった
•
景気による節約志向が高まっており、食品購入で重視するポイント
の調査では1位が価格、2位が商品、3位がアクセスの良さとのこと
（※全国スーパーマーケット協会調べ）
•
一部の小売り大手に経営効率化を求める株主の意見などからスー
パーマーケット事業を縮小する動きもみられ、買い物難民の発生等
が社会課題となっており、地域密着型スーパーによる地域の食料イ
ンフラ支援が重要となっている</t>
  </si>
  <si>
    <t>内発的動機
•
社長の吉野は、10年後の「ありたい姿」として、『①コンパクトストア
に磨きをかけ』お客様に「あって良かった、美味しい、楽しい」と言って
もらえる商品と価値を提供し、社員が『②物心両面の幸福実現』を
図り、社員自ら「小さな経営者」として商いを楽しみ自然と育つ「場」
を作ることを掲げている。
•
全国スーパーマーケット協会加盟270社の平均値比で店舗面積は
1/3ほどで月商は9割近くと、坪効率でみると2.5倍以上の生産性
の高い経営を磨いている。一方でプロセスセンター・AutoStoreがな
いため店舗ごとの調理により店舗運営の効率化余地がまだ大きい。
•
お客様によりワイズマートのファンになっていただきたいという思いから、
23万人以上のワイズカード＆アプリのアクティブ会員様を対象に、産
地・工場視察や料理教室・お買物イベント・ワイン即売会を実施し
ている。また店舗所在地の自治体への寄付やフードロス・貧困対策
等の貢献も継続している。</t>
  </si>
  <si>
    <t>売上成長目標（27年2月期比較）
•
30年2月期までに会社全体の売上高成長率13％
•
30年2月期までに会社全体の売上高増加額259億円
会社全体の賃上げ目標
•
4.4%（直近事業年度～基準年度）
•
8.0%（基準年度～事業化報告3年目）</t>
  </si>
  <si>
    <t>【p.1／売上成長目標】
売上成長目標（27年2月期比較）
•
30年2月期までに会社全体の売上高成長率13％
•
30年2月期までに会社全体の売上高増加額259億円
会社全体の賃上げ目標
•
4.4%（直近事業年度～基準年度）
•
8.0%（基準年度～事業化報告3年目）</t>
  </si>
  <si>
    <t>【p.1】
株式会社ワイズマート
1.長期成長ビジョン
地域を支える「お客様の身近な冷蔵庫」を体現し続けるため、駅前コンパクトストア拡大による利便性向上、
プロセスセンター＆AutoStoreによる商品の質・幅の向上、生産性向上による安心価格を実現、店舗数を拡大。
長期成長ビジョン（目指す姿・ビジネスモデル） 外発的動機
• 共働き・高齢者世帯の増加により、車で行く大型店舗より徒歩で
地域を支える「お客様の身近な冷蔵庫でありたい」という経営理念を
短時間に買い物できる「駅前コンパクトスーパー」のニーズが高まった
さらに追及し、プロセスセンター＆AutoStore設立・コンパクトストア
出店拡大を進め5年後62店舗、10年後100店舗規模に拡大 • 景気による節約志向が高まっており、食品購入で重視するポイント
の調査では1位が価格、2位が商品、3位がアクセスの良さとのこと
「お客様の身近な冷蔵庫」を体現し続けるための事業戦略 （※全国スーパーマーケット協会調べ）
お ①利便性 ②商品の質・幅 ③安心価格 • 一部の小売り大手に経営効率化を求める株主の意見などからスー
客 パーマーケット事業を縮小する動きもみられ、買い物難民の発生等
「駅前等、通いやす 「毎日買っても飽きない 「毎日の食費は抑え
様
い場所にある店」 バラエティ」 たい」 が社会課題となっており、地域密着型スーパーによる地域の食料イ
へ
の 「気軽に買い物しや 「日々の食卓が美味しく 「節約が要る時代に ンフラ支援が重要となっている
価 すい店内」 楽しくなる」 対応する必要」
値 ↑ ↑ ↑
提 駅前等中心に店舗 ・商品バラエティ向上 ・店舗のオペレーショ
内発的動機
供 数拡大、コンパクトス ・先進的な調理技術の ン効率向上
• 社長の吉野は、10年後の「ありたい姿」として、『①コンパクトストア
トア化 導入 ・物流・調理効率化
に磨きをかけ』お客様に「あって良かった、美味しい、楽しい」と言って
もらえる商品と価値を提供し、社員が『②物心両面の幸福実現』を
価 図り、社員自ら「小さな経営者」として商いを楽しみ自然と育つ「場」
貢 地域密着型プロセスセンター・Auto Store設立により、
効 値
献 を作ることを掲げている。
率 提 少量多品種の商品バラエティ向上・先進技術導入による質向上、
す
化 供 調理・物流効率の向上、新型の駅前コンパクトストア・
る
に 狭小店出店を可能とし、長期成長ビジョンを実現していく • 全国スーパーマーケット協会加盟270社の平均値比で店舗面積は
1/3ほどで月商は9割近くと、坪効率でみると2.5倍以上の生産性
の高い経営を磨いている。一方でプロセスセンター・AutoStoreがな
売上成長目標（27年2月期比較）
いため店舗ごとの調理により店舗運営の効率化余地がまだ大きい。
• 30年2月期までに会社全体の売上高成長率13％
• 30年2月期までに会社全体の売上高増加額259億円
• お客様によりワイズマートのファンになっていただきたいという思いから、
会社全体の賃上げ目標
23万人以上のワイズカード＆アプリのアクティブ会員様を対象に、産
• 4.4%（直近事業年度～基準年度）
地・工場視察や料理教室・お買物イベント・ワイン即売会を実施し
• 8.0%（基準年度～事業化報告3年目）
ている。また店舗所在地の自治体への寄付やフードロス・貧困対策
等の貢献も継続している。</t>
  </si>
  <si>
    <t>【p.2】
2.補助事業の概要
プロセスセンター＆AutoStore設立により、価値を維持・向上した狭小店出）・コストカット/省人・省力化を図り、
年間労働生産性12.1%、従業員・役員一人当たり給与支給総額8.0%の年平均成長率を実現。
• 好立地の狭小店舗出店戦略を、顧客価値を維持・向上したスタイルで実行することにハードル
• 店舗内調理が難しいことによる、生鮮品を中心とした魅力・品揃えの維持が難しい、他
補助事業の 事業費 5,818百万円
• 上記出店戦略のハードルを越えるために、一定の効率化・コストカットも必要な経営状況
背景・目的 （補助額） （1,917百万円）
• 省人化・効率化の要請（人員採用が難しい市場環境）、出店余地向上（必要
店舗スペースを削減する必要）、他
投資内容：プロセスセンター（セントラルキッチン）とAutoStore（自動倉庫）を設立、各種システム投資・DXも実施
• 建物：千葉県船橋市のベイエリアに6600平米のワンフロア型プロセスセンター（3階）＆AutoStore（2階）を設置。
大手チルド物流企業の建物内であり、日に4度の店舗搬送が可能で出来立て生鮮品やグロッサリーの提供に寄与
• 導入機械：
• プロセスセンター：高品質化・省人省力化をかなえる最新調理設備を導入
（（例）おむすび機：現行機械120個/時→2500個/時、
水産スライサー：手切150枚/時→機械2800枚/時 等）
設備投資の • AutoStore：グリッド上のロボットが高密度に収納されたグロッサリーの
内容 入出庫を実施、効率化（（例）他社では、1.8倍の省力化（人員55⇒30名）、
1/2以下の省スペース（同スペースの取扱アイテム5,000SKU⇒20,000SKU）
• システム：発注から調理工程指示、出荷まで通貫でシステム管理（生産管理システム 等）
効果：狭小店舗出店に関わる、「価値の維持・向上」・「効率化・コストカット」が各々
高い水準で実現可能
• 価値の維持・向上：魅力（おいしい・出来立ての生鮮品を顧客に提供）、
品揃え（豊富な生鮮品・欠品防止） 等
• 効率化・コストカット：省人化（投資により30年476名の省人化）、出店余地向上（調理場不要な省スペース狭小店舗）
2027年2月期 2030年2月期
項目
（基準年度） （基準年度＋３年後）
労働生産性 877
648
（単位：万円/人） （年平均上昇率＋10.6％）
目標値 従業員1人あたり給与支給総額 455 573
（単位：万円/人） （年平均上昇率＋8.0％）
役員１人あたり給与支給総額 2,396
1,902
（単位：万円/人） （年平均上昇率＋8.0％）
補助事業に係る従業員数
1,332 1,857
（単位：人）
↑
導
セ プ
入
ン ロ
設
タ セ
備
ー ス
例
AutoStore
↑
株式会社ワイズマート
導
入
設
備
例</t>
  </si>
  <si>
    <t>1.長期成長ビジョン 株式会社セントラルフード
• 食肉加工の更なる増産体制と省力化を実現し、2030年度に売上108億円を突破
• 加工人材の不足や加工コストの高騰等の社会的課題解決をけん引する企業へと成長し、地域・日本経済
に貢献</t>
  </si>
  <si>
    <t>長期成長ビジョン（目指す姿・ビジネスモデル）
〈基本方針〉
製造量拡大と製造工程の省力化を実現させ、食肉加工業界における社会的な課題の解決を目指す。
業界の人手不足・原材料高騰という課題解決に貢献することで、食肉加工市場でのシェア拡大を目指す。
〈重点戦略〉
• 生産量拡大と省力化による利益率改善 • 地元の食肉卸売企業の開拓と安定的な仕入れ確保
製造工程において手作業で行う工程があり、生産量が頭打ちになってい 製造数増加に伴う原材料の確保が必要不可欠となる。北関東の食肉
る。そのため、新工場建設と自動化を可能とする新設備の導入により省 卸売企業の仕入れ開拓を行い、安定的な仕入れ数の確保とともに、流
力化での生産量の拡大や利益率の改善が図る。 通拡大による地域経済の活性化に寄与する。
• 事業多角化の推進 • 労働環境整備と人材への投資強化
中食市場の拡大に対応するため、既存の食肉加工技術と販売網を活用 自動化による生産性向上の成果を従業員に還元し、年平均6.5%の賃
した惣菜事業の拡大を推進。地元特産品を活用した商品開発や、食肉 上げを実現。また、託児所併設や時短勤務制度導入など働きやすい環
加工で培った生産技術を惣菜製造に応用し新たな収益の柱構築。 境を整備し、女性管理職比率向上と従業員の帰属意識強化を図る。
〈売上成長目標〉
※CAGRは基準年度の前年と事業化3年目の期間で算出
■2030年度の会社全体の売上高10,842百万円（CAGR※15%）・営業利益700百万円（CAGR※70%）</t>
  </si>
  <si>
    <t>外発的動機
外部化・中食需要の拡大
働人口減少の深刻化
の安全への意識高まり
材料・物流コストの高騰</t>
  </si>
  <si>
    <t>内発的動機
会課題解決への貢献
心・美味しさの追求
業員の成長と地域貢献
術革新による業界変革</t>
  </si>
  <si>
    <t>〈売上成長目標〉
■2030年度の会社全体の売上高10,842百万円（CAGR</t>
  </si>
  <si>
    <t>【p.1／売上成長目標】
〈売上成長目標〉
■2030年度の会社全体の売上高10,842百万円（CAGR
【p.2／設備投資の内容】
状態である。
■設備投資の内容
• 新たな土地を活用してさらに工場拡張し、新古河工場を
• 生産能力を向上させるため、食肉の各加工工程間の移動
を自動化仕様にする。（国内では初の試み）
• 自動化の実現により、業界の課題である労働人口の減少
※投資内容の詳細は
項目 基
労働生産性
（単位：千円/人）
従業員1人あたり給与支給総額
（単位：千円/人）
役員１人あたり給与支給総額
【p.3／設備投資の内容】
設備投資内容（建物）
◆新古河工場
・概要：取引先からの加工量の増加要請に応えるために生産力強化が必要のため、新工場を建設する
・効果：本建物による生産ライン構築により、 IQF製造ラインにおける年間製造数200％増加が見込まれる
【p.3／設備投資の内容】
設備投資内容（設備）
◆高周波解凍装置 ◆小袋軽量包装ライン
◆ローラー搬送コンベア
冷凍された食材を 効 食材を正確に計量し、
各工程間の移動において自動化を
率的かつ均一に解凍 小袋を効率的に包装
実現し、省力化が可能となる
▲ローラー搬送コンベア イメージ
◆製品急速凍結ライン ◆その他
◆食肉用コンベア
食材の品質を保ち、 短 デュアルX線検査装置、
各工程間の移動において自動化を
時間で急速に凍結 金属検出器等、各設備
実現し、省力化が可能となる
▲食肉用コンベア イメージ
【p.4／〈現状〉 1日の稼働時間：8:30～22:00】
〈現状〉 1日の稼働時間：8:30～22:00
営業日数：255日 年間出荷量：3,000t
【p.4／〈補助事業後〉 1日の稼働時間：5:00～24:00】
〈補助事業後〉 1日の稼働時間：5:00～24:00
営業日数：255日 年間出荷量： ６,000 t</t>
  </si>
  <si>
    <t>【p.1】
1.長期成長ビジョン 株式会社セントラルフード
• 食肉加工の更なる増産体制と省力化を実現し、2030年度に売上108億円を突破
• 加工人材の不足や加工コストの高騰等の社会的課題解決をけん引する企業へと成長し、地域・日本経済
に貢献
長期成長ビジョン（目指す姿・ビジネスモデル）
〈基本方針〉
製造量拡大と製造工程の省力化を実現させ、食肉加工業界における社会的な課題の解決を目指す。
業界の人手不足・原材料高騰という課題解決に貢献することで、食肉加工市場でのシェア拡大を目指す。
〈重点戦略〉
• 生産量拡大と省力化による利益率改善 • 地元の食肉卸売企業の開拓と安定的な仕入れ確保
製造工程において手作業で行う工程があり、生産量が頭打ちになってい 製造数増加に伴う原材料の確保が必要不可欠となる。北関東の食肉
る。そのため、新工場建設と自動化を可能とする新設備の導入により省 卸売企業の仕入れ開拓を行い、安定的な仕入れ数の確保とともに、流
力化での生産量の拡大や利益率の改善が図る。 通拡大による地域経済の活性化に寄与する。
• 事業多角化の推進 • 労働環境整備と人材への投資強化
中食市場の拡大に対応するため、既存の食肉加工技術と販売網を活用 自動化による生産性向上の成果を従業員に還元し、年平均6.5%の賃
した惣菜事業の拡大を推進。地元特産品を活用した商品開発や、食肉 上げを実現。また、託児所併設や時短勤務制度導入など働きやすい環
加工で培った生産技術を惣菜製造に応用し新たな収益の柱構築。 境を整備し、女性管理職比率向上と従業員の帰属意識強化を図る。
〈売上成長目標〉 ※CAGRは基準年度の前年と事業化3年目の期間で算出
■2030年度の会社全体の売上高10,842百万円（CAGR※15%）・営業利益700百万円（CAGR※70%）
外発的動機 内発的動機
食の外部化・中食需要の拡大 社会課題解決への貢献
労働人口減少の深刻化 安心・美味しさの追求
食の安全への意識高まり 従業員の成長と地域貢献
原材料・物流コストの高騰 技術革新による業界変革</t>
  </si>
  <si>
    <t>【p.2】
.補助事業の概要 株式会社セントラルフード
2
• 消費者行動の変化による惣菜・中食ニーズ拡大でコンビニ各社の「惣菜商品」における競争戦略が激化
• 惣菜商品向けの食肉加工増産要請に応えることで当社の売上を大幅に向上させる
• 省力化により労働生産性は年平均上昇率＋30.8％となる
• 共働き世代の増加や「タイパ」を求める消費者の趣向の変化による惣菜・中食ニーズの拡大。
補助事業の 事業費 , 百万円
3 023
• コンビニエンスストア各社のPB商品の「惣菜商品」における競争戦略の激化。
背景・目的 （補助額） （ 百万円）
625
• 市場の状況により取引先からの加工量の増加要請に応えるために生産力強化が必要となる。
■現状課題
• 現在の加工量では取引先の加工量の増産要請に応えることができず、
失注や機会ロスを招く。
• 製造工程にて最も人手を要する工程の自動化が未対応であり、昨今
の人材不足に拍車がかかる。
現状課題・ • 現状の食肉加工工程において、人的エラーによる誤作業のリスクが高い
▲ローラー搬送コンベア イメージ
設備投資の 状態である。
内容 ■設備投資の内容
• 新たな土地を活用してさらに工場拡張し、新古河工場を新設する。
• 生産能力を向上させるため、食肉の各加工工程間の移動と冷凍工程
を自動化仕様にする。（国内では初の試み）
• 自動化の実現により、業界の課題である労働人口の減少に対応する。
※投資内容の詳細は次スライド参照
▲食肉用コンベア イメージ
項目 基準年度 事業化報告3年目
労働生産性 11,248
（単位：千円/人）
5,031
（年平均上昇率＋30.8％）
目標値 従業員1人あたり給与支給総額 4,205
3,481
（単位：千円/人） （年平均上昇率＋6.5％）
役員１人あたり給与支給総額
-
（単位：千円/人） - （年平均上昇率＋6.5％）
補助事業に係る従業員数
123 132
（単位：人）
【p.3】
.補助事業の概要 株式会社セントラルフード
2
• 新古河工場を建設し、自動化加工設備並びに工程移動間の自動コンベアライン等を導入する
• IQF製造ラインにおける年間製造量は200%が見込まれ、取引先の増産ニーズに応えることが可能となる
設備投資内容（建物）
◆新古河工場
・概要：取引先からの加工量の増加要請に応えるために生産力強化が必要のため、新工場を建設する
・効果：本建物による生産ライン構築により、 IQF製造ラインにおける年間製造数200％増加が見込まれる
投資内容
詳細
▲新古河工場の平面図 イメージ:色付部分が自動搬送ライン部分
設備投資内容（設備）
◆ローラー搬送コンベア ◆高周波解凍装置 ◆小袋軽量包装ライン
各工程間の移動において自動化を 冷凍された食材を 効 食材を正確に計量し、
実現し、省力化が可能となる 率的かつ均一に解凍 小袋を効率的に包装
▲ローラー搬送コンベア イメージ
◆食肉用コンベア ◆製品急速凍結ライン ◆その他
各工程間の移動において自動化を 食材の品質を保ち、 短 デュアルX線検査装置、
実現し、省力化が可能となる 時間で急速に凍結 金属検出器等、各設備
▲食肉用コンベア イメージ
【p.4】
.補助事業の概要 株式会社セントラルフード
2
• 入荷から搬送まで、効率的かつ増産体制に重きを置いた製造ラインを構築する
• 国内食肉加工業界で「初」となる工程間の移動を手作業から自動化にすることで大幅な効率化を実現
• 従来22人工必要だった生産ラインを18人工(約18％削減）での対応が可能となる
〈現状〉 1日の稼働時間：8:30～22:00 〈補助事業後〉 1日の稼働時間：5:00～24:00
営業日数：255日 年間出荷量：3,000t 営業日数：255日 年間出荷量： ６,000 t
現状の課題 現状の工程 補助事業後の工程 課題の解決方法
入荷 入荷
入荷した原料 大型トラック対
解決方法①
の引き受けや 応、フォークリフ
課題① 入 検品 冷凍庫での 4人工 入 検品 ト使用、パレッ 2人工 ・加工工程間の食肉
加工工程間の食肉原 荷 荷 原料の移動の自動化
一時保管する ト管理を実施
料の移動並びに解凍作 冷凍保存 冷凍保存 を行うことにより省人
業を手作業で行っており、 化を実現
生産量に限界がある 工程間移動を手作業にて実施 工程間の移動を自動化で可能 ・解凍作業についても
高周波解凍 全自動にて行う
解凍 高周波解凍 解凍
装置により、
課題② 解 装置による解 解
補 に 助 よ 事 る 業 ・ で 加 最 工 も 前 人 後 手 の 作 移 業 動 が 工 必 程 要 凍 搬送 凍作業の実施 4人工 凍 搬送 当 実 日 現 の解凍を 6人工 解 ・各 決 加 方 工 法 設 ② 備への移
動を自動化することに
生産性向上 ・1日の出勤者のうち多 工程間移動を手作業にて実施 工程間の移動を自動化で可能
より省人化と生産性
く ・ の ら が 夜 難 人 当 間 し 件 該 い 稼 費 工 働 負 程 は 担 に 当 の 従 該 観 事 工 点 程 か 加 工 計 食 量 肉 ・包 加 装 工 食 で 形 要 肉 状 望 加 へ に 加 工 よ 工 機 る ８人工 加 工 計 食 量 肉 ・ 加 包 工 装 時 1 効 を . 実 5 率 間 倍 施 で 当 の の た 加 加 り 工 工 8人工 向 ・ 稼 省 働 上 人 を も 化 実 実 に 現 現 よ で り き 夜 る 間の
・人的エラーも削減可
・人的エラーによる誤作
工程間移動を手作業にて実施 工程間の移動を自動化で可能 能
業のリスクが高い
各検査機の
金属探知機と 解決方法③
高精度化によ
検 検品 目視で検品 検 検品 ・凍結を同時に行うこ
り、省人化を
課題③ 品 作業を実施 4人工 品 2人工 とができる搬送コンベア
実現
・凍結と搬送作業を手
3列を導入する
作業で行っており、多く 工程間移動を手作業にて実施 工程間の移動を自動化で可能
・凍結温度に合わせて
の人手が必要
移動と冷凍を同時に
搬送しながら
搬送しながら 行うことが可能であり、
搬 搬送・凍結 凍結や計量と 2人工 搬 搬送・凍結 0人工
凍結を実施 作業時間の大幅短縮
送 包装を実施 送
を実現
計22人工必要 計18人工必要</t>
  </si>
  <si>
    <t>株式会社ファーストライン
1.長期成長ビジョン
当社は、和歌山市に拠点を置く㈱フォワードホールディングス・グループ傘下の企業として現在、運用中の第１～第３センターに加えて
和歌山県初の5温度帯対応倉庫となる第4センターを新築し、今後の物流市場ニーズを捉えて事業規模を更に成長・発展させる。</t>
  </si>
  <si>
    <t>長期成長ビジョン（目指す姿・ビジネスモデル）
■人口減少の加速による小ロット多頻度配送の増加など物流市場
の成長を視野に和歌山県初の５温度帯対応倉庫を建設、更なる
共同配送の強化と新サービスを創出する。
■また、これに伴う事業規模拡大に則した営業活動により、和歌山
県に大手企業の事業誘致を実現する。
■このような本補助事業を契機としたフォワードホールディングス・グ
ループ全体の物流事業の成長を契機に、高齢化に伴う地域物流会
社の廃業に歯止めをかけるM＆Aの実施などにより、地域における雇
用創出を促しつつ、地域物流会社に対する新規物流業務を提供す
ることで当該地域経済の活性化に寄与する。
■基準年度～最終年度成果目標
売上高増加額 売上高成長率
ファーストライン 1,060百万円 18.0%</t>
  </si>
  <si>
    <t>外発的動機
2024年問題以降、長時間労働など規制強化が進む運送業界にお
いて、和歌山県の入り口に面した、和歌山市に拠点倉庫のある当社
に物流に関する様々な要望が寄せられている。このような要望を受け、
縦に長い地形の和歌山県において、食品など要冷温輸送を必要とす
る物流の重要な中継拠点としての役割を拡大・発展するために、既存
の3棟の冷凍冷蔵倉庫／1棟の常温倉庫に加え、当社が所属する
フォワードホールディングス・グループ初／和歌山県初の5温度帯対応
倉庫の新設・運用を掲げるに至った。</t>
  </si>
  <si>
    <t>内発的動機
和歌山県では人口減少や高齢化により、地域の物流会社の縮小や
雇用機会の損失が進んでいる。このような状況で、当社は、県内の物
流事業を維持・発展させる役割の一端を担うことが責務と考え、本補
助事業による事業規模の拡大と、それに則した営業活動を展開して、
和歌山県へ大手企業の事業誘致を実現、これに併せて、M＆Aを実
施することで、今後、高齢化による地域の物流事業の縮小に歯止めを
かけ、地域物流会社に対する新規物流業務の提供や、地域における
雇用の創出につなげることで当該地域経済の活性化に寄与したいとの
考えに至った。</t>
  </si>
  <si>
    <t>【p.1／売上成長目標】
会社全体の売上成長目標（27年～30年）
• 売上高増加額：1,060百万円
• 売上高成長率：18.0％(年率平均）
【p.2／設備投資の内容】
• 設備投資の内容：5温度帯対応倉庫となる第4センター
• 第4センターの導入により、超低温(-50℃)、冷凍（-25
められる全ての温度帯に対応した保管・配送が可能となる
• また、上記設備の温度管理に対応するシステム導入およ
を導入することにより、新たな物流需要を取り込んで、新規
り労働生産性を向上させる。
倉庫建物（イメージ） 冷凍冷蔵設
【p.3／差別化の取組・詳細】
■差別化の取組・詳細
※本補助事業で導入する、国内でも非常に希少性が高い「超低温・冷凍・冷蔵・定温・常温」の5温度帯に対応した倉庫は、、
今後の事業展開において非常に大きな差別化の要素になると考えている。
＜差別化のポイント＞
1.各温度帯（特に超低温：-50℃以下など）を安定して維持するには、高度な冷却設備と断熱構造が必要。
・技術的・設備的なハードルが高い
・温度帯ごとに異なる管理システムが必要。
→当社には、これまで取り組んできた医薬品関連製品や温度管理が重要な食品配送で培ってきたノウハウや実績があり、
これらの技術的・設備的なハードルにも十分対応できる。
2. 対応できる商品が多岐にわたる
・食品（冷凍・冷蔵・常温）、医薬品関連（定温・冷蔵）、水産物（超低温）など、多様な業種のニーズに対応可能。
・そのため、一つの倉庫で多業種の荷主を受け入れられるという点で、競争優位性がある。
3. 国内でも導入事例は限られている。
※5温度帯すべてに対応している倉庫を保有ている企業は以下のように非常に限られており、いずれも多温度帯対応の先進企業
として注目されている。
企業名 特徴 備考
＜5温度帯倉庫保有企業＞
ニチレイロジグループ 国内最大手の冷蔵倉庫業者。IoTを活用した温度管理に強み。 設備能力157万トン、シェア8.4%
横浜冷凍（ヨコレイ） 水産物流に強く、冷凍・冷蔵に特化。 設備能力98万トン
C&amp;Fロジホールディングス 急成長中。冷凍・冷蔵・定温に対応。 成長率33.1%（2022-23年）
センコー×ランテック 常温＋低温のハイブリッド物流を展開。 グループ連携で三温度帯対応
キユーソー流通システム 食品物流に強く、定温・冷蔵・冷凍に対応。 医薬品にも対応可能な体制あり
4. 法規制や品質管理の厳格化
食品衛生法やGDP（医薬品の適正流通基準）などにより、温度管理の厳格化が進むことで今後、5温度帯対応倉庫は
さらにその価値が高まると見ている。
【p.4／差別化の取組・詳細】
■差別化の取組・詳細
※本補助事業で導入する「超低温・冷凍・冷蔵・定温・常温」の5温度帯に対応した倉庫について
＜温度帯対応の希少性と差別化要素＞
要素 内容
超低温（-50℃以下）まで対応する倉庫は非常に少なく、
希少性
和歌山県内で同設備を保有する物流事業者は現状存在しない。
・全温度帯を1施設で完結でき、効率的な運用が可能。温度帯ごとのゾーニングと動線設計
差別化
・多業種対応（食品・医薬品関連製品・化学品等）
ポイント
・様々な温度帯の商品を一括で手配可能（通常は顧客が保管・出荷等を個々に手配する必要があり手間）
導入障壁 初期投資が非常に高額（冷却設備、断熱構造、電力設備）→参入が難しい
＜今後の市場動向とチャンス＞
■大手企業ニーズ：大手企業の生鮮品の冷凍保管基準を満たすには、超低温保管が必要で、需要拡大は確実。
■食品ロス削減・品質保持ニーズ：温暖化の影響を受けて今後、常温下でも温度管理が必要になることで、定温帯～冷蔵帯配
送の大きな需要増加を見込み、先んじて各温度帯対応の設備を整備、その需要を取り込む。
温度帯 保存温度 希少性・差別化要因 対象食品/商品
超低温帯 -50℃以下 和歌山県内で初 特殊な冷凍食品、試料、医薬品関連、マグロ等の水産物など
冷凍帯 -25℃以下 冷凍食品、アイスクリームなど
全温度帯を1施設で
完結。効率的運用可能
冷蔵帯 0℃～10℃ 乳製品、肉類、野菜など
定温帯 15℃～20℃ 県内では当社のみ導入 医薬品関連、および米・小麦・チョコレート・パンなど食品関連
常温帯 常温管理 缶詰、乾物、瓶詰食品など
当社は、本補助事業による5温度帯対応倉庫の導入により、これらのビジネスチャンスを確実に捉え事業の成長を加速する。
【p.4／超低温（-50℃以下）まで対応する倉庫は非常に少なく、】
超低温（-50℃以下）まで対応する倉庫は非常に少なく、
和歌山県内で同設備を保有する物流事業者は現状存在しない。
【p.4／全温度帯を1施設で完結でき、効率的な運用が可能。温度帯ごとのゾーニングと動線設計】
・全温度帯を1施設で完結でき、効率的な運用が可能。温度帯ごとのゾーニングと動線設計
・多業種対応（食品・医薬品関連製品・化学品等）
・様々な温度帯の商品を一括で手配可能（通常は顧客が保管・出荷等を個々に手配する必要があり手間）</t>
  </si>
  <si>
    <t>【p.1】
株式会社ファーストライン
1.長期成長ビジョン
当社は、和歌山市に拠点を置く㈱フォワードホールディングス・グループ傘下の企業として現在、運用中の第１～第３センターに加えて
和歌山県初の5温度帯対応倉庫となる第4センターを新築し、今後の物流市場ニーズを捉えて事業規模を更に成長・発展させる。
長期成長ビジョン（目指す姿・ビジネスモデル） 外発的動機
2024年問題以降、長時間労働など規制強化が進む運送業界にお
■人口減少の加速による小ロット多頻度配送の増加など物流市場
いて、和歌山県の入り口に面した、和歌山市に拠点倉庫のある当社
の成長を視野に和歌山県初の５温度帯対応倉庫を建設、更なる
に物流に関する様々な要望が寄せられている。このような要望を受け、
共同配送の強化と新サービスを創出する。
縦に長い地形の和歌山県において、食品など要冷温輸送を必要とす
■また、これに伴う事業規模拡大に則した営業活動により、和歌山
る物流の重要な中継拠点としての役割を拡大・発展するために、既存
県に大手企業の事業誘致を実現する。
の3棟の冷凍冷蔵倉庫／1棟の常温倉庫に加え、当社が所属する
■このような本補助事業を契機としたフォワードホールディングス・グ
フォワードホールディングス・グループ初／和歌山県初の5温度帯対応
ループ全体の物流事業の成長を契機に、高齢化に伴う地域物流会
倉庫の新設・運用を掲げるに至った。
社の廃業に歯止めをかけるM＆Aの実施などにより、地域における雇
用創出を促しつつ、地域物流会社に対する新規物流業務を提供す
ることで当該地域経済の活性化に寄与する。
■基準年度～最終年度成果目標 内発的動機
和歌山県では人口減少や高齢化により、地域の物流会社の縮小や
売上高増加額 売上高成長率
雇用機会の損失が進んでいる。このような状況で、当社は、県内の物
流事業を維持・発展させる役割の一端を担うことが責務と考え、本補
ファーストライン 1,060百万円 18.0%
助事業による事業規模の拡大と、それに則した営業活動を展開して、
和歌山県へ大手企業の事業誘致を実現、これに併せて、M＆Aを実
施することで、今後、高齢化による地域の物流事業の縮小に歯止めを
会社全体の売上成長目標（27年～30年）
かけ、地域物流会社に対する新規物流業務の提供や、地域における
• 売上高増加額：1,060百万円
雇用の創出につなげることで当該地域経済の活性化に寄与したいとの
• 売上高成長率：18.0％(年率平均）
考えに至った。</t>
  </si>
  <si>
    <t>【p.2】
株式会社ファーストライン
.補助事業の概要
2
和歌山県初の５温度帯対応倉庫となる第4センター新設を機に、基準年度以降、当社が現在、引合を受け、契約に向けて
協議中の新規顧客と取引を開始することで、その波及効果も含め、最終年度に向けて物流事業の成長を加速する。
■温暖化の影響により、物流における更なる温度管理(品質管理)の厳格化を求める市場ニーズ
補助事業の
の拡大に対し、当社の強みである地の利や経験値を存分に活かせる5温度帯対応倉庫を導入す 事業費 1, 百万円
624
背景・目的
ることで、その需要を確実に捉え、物流事業の成長を目指す。医薬品関連配送サービス （補助額） ( 百万円）
397
事業および倉庫事業に大きな成果をもたらすと見込んでいる。
• 設備投資の内容：5温度帯対応倉庫となる第4センターの新設とその稼働に必要な移動ラックなど機械設備およびシステムを導入する。
• 第4センターの導入により、超低温(-50℃)、冷凍（-25℃）、冷蔵（0～10℃）、定温（15～20℃）常温という今後、物流に求
められる全ての温度帯に対応した保管・配送が可能となる。
• また、上記設備の温度管理に対応するシステム導入および、同設備の稼働に要する経費削減や脱炭素に寄与する太陽光発電設備
を導入することにより、新たな物流需要を取り込んで、新規雇用の増加、事業展開の更なる拡大による売上高増、付加価値額増によ
り労働生産性を向上させる。
倉庫建物（イメージ） 冷凍冷蔵設備 移動ラック
設備投資の
内容
項目 基準年度 事業化報告3年目
労働生産性
10,694千円/人 16,855千円/人（年平均上昇率＋16.4％）
（単位：千円/人）
目標値 従業員1人あたり給与支給総額
3,878千円/人 4,685千円/人（年平均上昇率＋6.5％）
（単位：千円/人）
役員１人あたり給与支給総額
11,109千円/人 12,970千円/人（年平均上昇率＋5.3％）
（単位：千円/人）
補助事業に係る従業員数
70人 75人
（単位：人）
【p.3】
株式会社ファーストライン
.補助事業の概要
2
当社が導入する、和歌山県初の５温度帯対応倉庫となる第4センターは、温暖化に伴う品質基準の厳格化や消費者動向
の変化といった外部環境による物流サービスの多様化・取扱い量増加の動きに対応できるもので、具体的には以下のような差
別化の取組により、補助事業の事業化において受注の拡大・成長を実現する。
■差別化の取組・詳細
※本補助事業で導入する、国内でも非常に希少性が高い「超低温・冷凍・冷蔵・定温・常温」の5温度帯に対応した倉庫は、、
今後の事業展開において非常に大きな差別化の要素になると考えている。
＜差別化のポイント＞
1.各温度帯（特に超低温：-50℃以下など）を安定して維持するには、高度な冷却設備と断熱構造が必要。
・技術的・設備的なハードルが高い
・温度帯ごとに異なる管理システムが必要。
→当社には、これまで取り組んできた医薬品関連製品や温度管理が重要な食品配送で培ってきたノウハウや実績があり、
これらの技術的・設備的なハードルにも十分対応できる。
2. 対応できる商品が多岐にわたる
・食品（冷凍・冷蔵・常温）、医薬品関連（定温・冷蔵）、水産物（超低温）など、多様な業種のニーズに対応可能。
・そのため、一つの倉庫で多業種の荷主を受け入れられるという点で、競争優位性がある。
3. 国内でも導入事例は限られている。
設備投資の
※5温度帯すべてに対応している倉庫を保有ている企業は以下のように非常に限られており、いずれも多温度帯対応の先進企業
内容／
として注目されている。
差別化の
取組
企業名 特徴 備考
＜5温度帯倉庫保有企業＞
ニチレイロジグループ 国内最大手の冷蔵倉庫業者。IoTを活用した温度管理に強み。 設備能力157万トン、シェア8.4%
横浜冷凍（ヨコレイ） 水産物流に強く、冷凍・冷蔵に特化。 設備能力98万トン
C&amp;Fロジホールディングス 急成長中。冷凍・冷蔵・定温に対応。 成長率33.1%（2022-23年）
センコー×ランテック 常温＋低温のハイブリッド物流を展開。 グループ連携で三温度帯対応
キユーソー流通システム 食品物流に強く、定温・冷蔵・冷凍に対応。 医薬品にも対応可能な体制あり
4. 法規制や品質管理の厳格化
食品衛生法やGDP（医薬品の適正流通基準）などにより、温度管理の厳格化が進むことで今後、5温度帯対応倉庫は
さらにその価値が高まると見ている。
【p.4】
株式会社ファーストライン
.補助事業の概要
2
当社が導入する、和歌山県初の５温度帯対応倉庫となる第4センターは、温暖化に伴う品質基準の厳格化や消費者動向
の変化といった外部環境による物流サービスの多様化・取扱い量増加の動きに対応できるもので、具体的には以下のような差
別化の取組により、補助事業の事業化において受注の拡大・成長を実現する。
■差別化の取組・詳細
※本補助事業で導入する「超低温・冷凍・冷蔵・定温・常温」の5温度帯に対応した倉庫について
＜温度帯対応の希少性と差別化要素＞
要素 内容
超低温（-50℃以下）まで対応する倉庫は非常に少なく、
希少性
和歌山県内で同設備を保有する物流事業者は現状存在しない。
・全温度帯を1施設で完結でき、効率的な運用が可能。温度帯ごとのゾーニングと動線設計
差別化
・多業種対応（食品・医薬品関連製品・化学品等）
ポイント
・様々な温度帯の商品を一括で手配可能（通常は顧客が保管・出荷等を個々に手配する必要があり手間）
導入障壁 初期投資が非常に高額（冷却設備、断熱構造、電力設備）→参入が難しい
設備投資の ＜今後の市場動向とチャンス＞
内容／ ■大手企業ニーズ：大手企業の生鮮品の冷凍保管基準を満たすには、超低温保管が必要で、需要拡大は確実。
差別化の ■食品ロス削減・品質保持ニーズ：温暖化の影響を受けて今後、常温下でも温度管理が必要になることで、定温帯～冷蔵帯配
取組 送の大きな需要増加を見込み、先んじて各温度帯対応の設備を整備、その需要を取り込む。
温度帯 保存温度 希少性・差別化要因 対象食品/商品
超低温帯 -50℃以下 和歌山県内で初 特殊な冷凍食品、試料、医薬品関連、マグロ等の水産物など
冷凍帯 -25℃以下 冷凍食品、アイスクリームなど
全温度帯を1施設で
完結。効率的運用可能
冷蔵帯 0℃～10℃ 乳製品、肉類、野菜など
定温帯 15℃～20℃ 県内では当社のみ導入 医薬品関連、および米・小麦・チョコレート・パンなど食品関連
常温帯 常温管理 缶詰、乾物、瓶詰食品など
当社は、本補助事業による5温度帯対応倉庫の導入により、これらのビジネスチャンスを確実に捉え事業の成長を加速する。</t>
  </si>
  <si>
    <t>株式会社ダイドー
1.長期成長ビジョン
現在の成長限界を突破して飛躍するために、生産能力増強と全社的な生産体制の再構築を図り会社全体の行動変容を図る。建材事業における事業拡大お
よび既存事業で培った技術を活用したアシストスーツ、アルミ等部材の加工技術を活かした新規分野、海外事業などの成長分野への進出を図り、住まい環境・
働く環境において独自の価値を提供する企業に飛躍する。</t>
  </si>
  <si>
    <t>長期成長ビジョン（目指す姿・ビジネスモデル）
建材分野で培った設計・加工技術を応用し、
住まい環境・働く環境において独自の価値を提供する企業に躍進する
①生産能力強化・東西生産拠点の確立による建材事業での新規シェア獲得
➢ 主力事業である住宅建材事業において、全社的な生産体制再構築により生産
能力拡大とコスト削減を図り、お客様のBCP対応に関する複数購買化や小規模
サプライヤーの廃業による取引機会を獲得する。生産性改善により能力を強化す
ることで、住宅関連企業への供給を拡大し、シェア基盤を拡大する。
②「働く環境」分野への事業拡大を加速
➢ 既存事業で培ってきた技術である“ばね”や“ダンパー”を活用した設計技術や,
アルミ等の金属加工技術を活かし、働く人の労働環境を改善する「機械設備
（アルミ切断機MACM）」や「アシストスーツ」事業の拡大を加速。人手不足
による省人化・省力化需要を取り込む。
③東日本および海外市場など拡大余地のある市場へ展開
➢ 当社が取り込めていない東日本のシェアおよび中国・東南アジアなど今後の拡大余
地の大きい市場への製品供給を強化し、飛躍的な成長につなげる。
働く環境を改善 住宅建材事業の
する製品分野へ 競争力強化とグ
展開を加速 ローバル展開
鹿沼工場新設に
よる生産体制再構築</t>
  </si>
  <si>
    <t>外発的動機
① BCPへの対応や廃業増加に起因する需要増への対応
• 災害の多発からBCPに取り組むお客様が増加。仕入先分散の観点からこれまで取引
の無いお客様から引き合いをいただくことが増えている。加えてサプライヤーの廃業増に
より新たな引き合いをいただくことも増加。新たなシェア拡大のチャンスとなっている。
• 生産能力拡大、生産拠点分散化により、これらの需要を獲得。成長につなげたい。
② 少子高齢化による省人化・省力化需要拡大
• 国内では少子高齢化の進展により労働者不足が深刻化し、企業の現場において省
人化・省力化需要が拡大している。
• 高齢者や女性などの労働参加はさらに拡大が見込まれ、「働く環境」の負荷低減の
設備の需要は今後も高くなることが予想される。
③ 海外市場の成長拡大
• 海外の住宅建設市場は今後も市場規模が拡大することが予想されている。
• 特に中国、東南アジアは今後の市場拡大が見込め、有望であり取引を拡大したい。</t>
  </si>
  <si>
    <t>内発的動機
①住宅建材事業においての地位を盤石にする
国内における新規住宅着工件数は一定の規模を維持することが予想される。当社は現状
既存のお客様への供給が精一杯の状態であり、東日本のお客様への供給や新規の取引
が実施できない状況である。今後の事業拡大には、生産性向上や能力拡大によりお客様
の要望に応じられる生産体制を再構築する必要がある。
②新規分野・市場への進出の必要性
当社のさらなる成長のためには成長分野への進出も不可欠である。当社は建材事業で長
年培った設計開発・生産のノウハウを保有。これらを活かした新分野への参入を企画し既に
アシストスーツ等一部商品化にも成功している。また、海外市場についても展開を開始して
おり、今後の拡大には生産能力がボトルネックになっている。
③社員全員で高い目標を目指し、新たなステージに飛躍したい
これまでは住宅建材分野でお客様から高いご評価をいただいてきたが、そこから会社を新た
なステージに飛躍させたいと考えている。大規模な投資を行い、高い目標を社員全員で共
有して達成を目指す中で、行動変容を促し、ステークホルダーの皆様により貢献できる会社
にしたいと考えている。</t>
  </si>
  <si>
    <t>【p.1／売上成長目標】
会社全体の売上成長目標（2029年度）
• 売上高増加額(2023年度比）：7,407百万円
• 売上高成長率：23.1％（CAGR）
• 給与支給総額：6.5％（CAGR）
【p.1／当社の方針】
当社の方針
当社はこれまで住宅建材事業で、技術を蓄積しお客様の要望に適した製品を供給しつづけてきました。今回の大規模投資により全社的な生産体制の再構築を実施し、これま
でのお客様により多くの製品を供給できるようにするとともに、新たに「働く環境」分野への進出により、今後の日本社会の課題解決にも貢献します。
【p.2／設備投資の内容】
④ 西日本に加工拠点が集中しており、東日本のシェア拡大において不利な状
【設備投資の内容】
① 栃木県鹿沼市に新工場建設。マシニングセンタやCNC旋盤等を導入し、
② 本社工場他に建材等部品加工設備を導入。生産能力の拡大を図る。
③ 長期的には鹿沼新工場にも既存の住宅建材の生産ラインも設けることを想
【設備投資による効果】
① アシストスーツおよび機械設備については専用ライン化により、生産能力が
庫の保有により製品の安定供給が可能となることで、今後より多くの受注
外作していた部品の内作も可能となり、納期とコストダウンが見込める。
② 本社工場の製造ラインに余裕がでることで、住宅建材事業についても生産
た営業活動が可能となる。海外輸出用の機構製品の製造にも余力が発生
③ 外注加工の削減により、コスト競争力も向上
④ 鹿沼工場を東日本の拠点とすることで、東日本のシェア拡大に向けた事業
⑤ 東西複数の製造拠点を設けることで災害等に対するレジリエンスも強化す
項目 基
労働生産性
（単位：千円/人）</t>
  </si>
  <si>
    <t>【p.1】
株式会社ダイドー
1.長期成長ビジョン
現在の成長限界を突破して飛躍するために、生産能力増強と全社的な生産体制の再構築を図り会社全体の行動変容を図る。建材事業における事業拡大お
よび既存事業で培った技術を活用したアシストスーツ、アルミ等部材の加工技術を活かした新規分野、海外事業などの成長分野への進出を図り、住まい環境・
働く環境において独自の価値を提供する企業に飛躍する。
長期成長ビジョン（目指す姿・ビジネスモデル） 外発的動機
① BCPへの対応や廃業増加に起因する需要増への対応
建材分野で培った設計・加工技術を応用し、
• 災害の多発からBCPに取り組むお客様が増加。仕入先分散の観点からこれまで取引
住まい環境・働く環境において独自の価値を提供する企業に躍進する
の無いお客様から引き合いをいただくことが増えている。加えてサプライヤーの廃業増に
より新たな引き合いをいただくことも増加。新たなシェア拡大のチャンスとなっている。
①生産能力強化・東西生産拠点の確立による建材事業での新規シェア獲得 • 生産能力拡大、生産拠点分散化により、これらの需要を獲得。成長につなげたい。
➢ 主力事業である住宅建材事業において、全社的な生産体制再構築により生産 ② 少子高齢化による省人化・省力化需要拡大
能力拡大とコスト削減を図り、お客様のBCP対応に関する複数購買化や小規模 • 国内では少子高齢化の進展により労働者不足が深刻化し、企業の現場において省
サプライヤーの廃業による取引機会を獲得する。生産性改善により能力を強化す 人化・省力化需要が拡大している。
ることで、住宅関連企業への供給を拡大し、シェア基盤を拡大する。 • 高齢者や女性などの労働参加はさらに拡大が見込まれ、「働く環境」の負荷低減の
②「働く環境」分野への事業拡大を加速 設備の需要は今後も高くなることが予想される。
③ 海外市場の成長拡大
➢ 既存事業で培ってきた技術である“ばね”や“ダンパー”を活用した設計技術や,
アルミ等の金属加工技術を活かし、働く人の労働環境を改善する「機械設備 • 海外の住宅建設市場は今後も市場規模が拡大することが予想されている。
（アルミ切断機MACM）」や「アシストスーツ」事業の拡大を加速。人手不足 • 特に中国、東南アジアは今後の市場拡大が見込め、有望であり取引を拡大したい。
による省人化・省力化需要を取り込む。 内発的動機
③東日本および海外市場など拡大余地のある市場へ展開
①住宅建材事業においての地位を盤石にする
➢ 当社が取り込めていない東日本のシェアおよび中国・東南アジアなど今後の拡大余
国内における新規住宅着工件数は一定の規模を維持することが予想される。当社は現状
地の大きい市場への製品供給を強化し、飛躍的な成長につなげる。
既存のお客様への供給が精一杯の状態であり、東日本のお客様への供給や新規の取引
が実施できない状況である。今後の事業拡大には、生産性向上や能力拡大によりお客様
の要望に応じられる生産体制を再構築する必要がある。
働く環境を改善 住宅建材事業の ②新規分野・市場への進出の必要性
する製品分野へ 競争力強化とグ
当社のさらなる成長のためには成長分野への進出も不可欠である。当社は建材事業で長
展開を加速 ローバル展開
鹿沼工場新設に 年培った設計開発・生産のノウハウを保有。これらを活かした新分野への参入を企画し既に
よる生産体制再構築
アシストスーツ等一部商品化にも成功している。また、海外市場についても展開を開始して
会社全体の売上成長目標（2029年度） おり、今後の拡大には生産能力がボトルネックになっている。
③社員全員で高い目標を目指し、新たなステージに飛躍したい
• 売上高増加額(2023年度比）：7,407百万円
これまでは住宅建材分野でお客様から高いご評価をいただいてきたが、そこから会社を新た
• 売上高成長率：23.1％（CAGR）
なステージに飛躍させたいと考えている。大規模な投資を行い、高い目標を社員全員で共
• 給与支給総額：6.5％（CAGR）
有して達成を目指す中で、行動変容を促し、ステークホルダーの皆様により貢献できる会社
にしたいと考えている。
当社の方針
当社はこれまで住宅建材事業で、技術を蓄積しお客様の要望に適した製品を供給しつづけてきました。今回の大規模投資により全社的な生産体制の再構築を実施し、これま
でのお客様により多くの製品を供給できるようにするとともに、新たに「働く環境」分野への進出により、今後の日本社会の課題解決にも貢献します。</t>
  </si>
  <si>
    <t>【p.2】
株式会社ダイドー
.補助事業の概要
2
補助事業として栃木県鹿沼市に新工場を建設。アシストスーツとアルミ切断機（MACM）の専用ラインを設けるとともに本社（大阪）工場他既存工場
にも部品加工設備を導入する。新規事業向けの生産能力を拡張することで、事業展開を加速化しするとともに、既存工場の住宅建材向け部材などの
生産余力を生み出すことで全社的な生産体制の再構築を行い成長余力を伸長させる。
栃木県鹿沼市に新工場を建設しアシストスーツおよびアルミ切断機等の機械装置の専用製造ラインを設ける
とともに本社工場等にも部品加工設備を導入する。当社は住宅建材事業で長年培ってきた開発力や加工技
補助事業の 事業費 1, 百万円
術により、様々な分野への進出を図り、事業化を推進してきたが、生産能力の不足がボトルネックとなり、新分野・ 569
背景・目的 新市場への事業拡大は加速化していない。本事業で生産能力を拡張するとともに会社全体の生産体制の再 （補助額） （ 371 百万円）
構築を行い、アシストスーツや機械装置だけでなく、住宅建材等のシェア拡大、海外展開も実現する計画。
【課題】
① 現状は住宅建材とアシストスーツ、アルミ切断機等の機械設備の製造は本社工場（大阪）の製造ラインを共有しており、特に
マシニングセンターについて受注が重なった際には負荷が集中し、ボトルネックとなっている。住宅建材については既存顧客以外へ
の取引を拡大する十分な余力がなく、アシストスーツについても在庫が持てず、拡販が行えない状態である。
② 旋削設備が無く、すべて複合機で加工しているため、生産性が低い。また加工寸法の制約があり部材の外部購入が多くなって
いる。
③ 本社工場の負荷が大きく、ここでしか生産できない部品もありBCPの観点から懸念がある。
④ 西日本に加工拠点が集中しており、東日本のシェア拡大において不利な状況である。
【設備投資の内容】
① 栃木県鹿沼市に新工場建設。マシニングセンタやCNC旋盤等を導入し、アシストスーツ等機械設備の専用生産ラインを設ける。
設備投資の
② 本社工場他に建材等部品加工設備を導入。生産能力の拡大を図る。
内容 ③ 長期的には鹿沼新工場にも既存の住宅建材の生産ラインも設けることを想定している。
【設備投資による効果】 工場完成予想図
① アシストスーツおよび機械設備については専用ライン化により、生産能力が飛躍的に向上し多品種少量生産も可能となる。在
庫の保有により製品の安定供給が可能となることで、今後より多くの受注を獲得することが可能となる。加工設備の充実により
外作していた部品の内作も可能となり、納期とコストダウンが見込める。
② 本社工場の製造ラインに余裕がでることで、住宅建材事業についても生産性が改善。新規取引先の拡大などシェア拡大に向け
た営業活動が可能となる。海外輸出用の機構製品の製造にも余力が発生。
③ 外注加工の削減により、コスト競争力も向上
④ 鹿沼工場を東日本の拠点とすることで、東日本のシェア拡大に向けた事業拠点とし、新規取引を拡大。
⑤ 東西複数の製造拠点を設けることで災害等に対するレジリエンスも強化する。
項目 基準年度 事業化報告3年目
労働生産性 13,621
7,920
（単位：千円/人） （年平均上昇率＋19.8％）
従業員1人あたり給与支給総額 6,678
目標値 5,527
（単位：千円/人） （年平均上昇率＋6.5％）
役員１人あたり給与支給総額
-
（単位：千円/人） - （年平均上昇率＋6.5％）
補助事業に係る従業員数
275 284
（単位：人）</t>
  </si>
  <si>
    <t>株式会社デイリーエッグ
1.長期成長ビジョン
大規模な設備投資の実施により、成長が期待される液卵市場に注力する。強みである全国３位の鶏卵生産
能力を背景に、用途別液卵に注力し、競合他社との差別化を図る</t>
  </si>
  <si>
    <t>長期成長ビジョン（目指す姿・ビジネスモデル）
液卵の生産能力拡大、用途別液卵の安定供給により、鶏卵価格の安定化、
中食・外食産業の作業の効率化に貢献、食のインフラを支えていく
■鶏卵価格の高騰を抑え、中食・外食産業の人手不足の課題に対応
液卵は単なる規格外たまごの使い道だけでなく、最長2年間の冷凍保存が可能
であり、鶏卵の供給減少、価格高騰に対処して、凍結液卵を供給することで鶏
卵価格の安定化に貢献、国民生活の負担を軽減することができる。
また、人手不足の課題を抱えるスーパー惣菜などの中食産業、飲食店などの外
食産業において、狭いスペースで作業が求められる調理場でも使いやすい個包
装パックの液卵を供給することで、作業の効率化に貢献、食のインフラ全体を支
えていくことができる。
■補助事業の内容
現在、堺市にある液卵製造の工場を、近隣に新設・移転させることで、従来の
液卵製造能力の３倍の製造能力を獲得することができる。生産能力の向上だ
けでなく、最新の工場設備の導入、及び工場ラインの見直しによって、販売先の
ニーズに応じた用途別液卵の製造・販売を高い生産性で実現する。</t>
  </si>
  <si>
    <t>外発的動機
■国内鶏卵市場の不安定化

大規模な鳥インフルエンザ発生による鶏の殺処分、ウクライナ危機に端を
発した世界的な穀物価格上昇は、鶏卵の供給不足を招き、鶏卵価格の
高騰をもたらしている。鶏卵価格の安定化のため、長期保存ができる液
卵の活用が期待されている。
■顧客ニーズ（生産性の向上）

スーパー惣菜などの中食産業、飲食店などの外食産業での調理場におい
ては、人手不足の課題に対応しながら、狭いスペースで作業の効率化が
求められている。調理場では一般的に卵が多く使用されるが、液卵を活
用することで、卵を割って撹拌する作業を減らすことができ、生産性の向上
を図ることができる。

当社の既存取引先からも、液卵の販売拡大の引き合いが続いている。</t>
  </si>
  <si>
    <t>内発的動機
■用途別液卵製造のノウハウの蓄積

セパレート、ブランド卵液卵、調味液卵など、販売先のニーズに応じた細や
かな対応を続けることで、高品質な液卵製造のノウハウが蓄積されている。

液卵事業は液卵製造のための専用設備が必要であり、工場運営のノウ
ハウが必要なことから、鶏卵事業と液卵製造を同時に手掛ける会社は少
ない。当社では難易度の高い事業に挑戦することで新たな市場を開拓し
てきた。
■液卵事業を支える鶏卵事業の展開

関西・中部・中国地方を中心にグループ全体で総数700万羽の鶏を飼
育、全国第3位の規模であり、自社農場での生産力を背景に、液卵の原
料を確保可能である。</t>
  </si>
  <si>
    <t>【p.1／売上成長目標】
■会社全体の売上成長目標
• 2029年度売上高：290億円
• 2029年度までの売上高増加額：101億円
• 2029年度までの売上高成長率：7.4％</t>
  </si>
  <si>
    <t>【p.1】
株式会社デイリーエッグ
1.長期成長ビジョン
大規模な設備投資の実施により、成長が期待される液卵市場に注力する。強みである全国３位の鶏卵生産
能力を背景に、用途別液卵に注力し、競合他社との差別化を図る
長期成長ビジョン（目指す姿・ビジネスモデル） 外発的動機
■国内鶏卵市場の不安定化
液卵の生産能力拡大、用途別液卵の安定供給により、鶏卵価格の安定化、  大規模な鳥インフルエンザ発生による鶏の殺処分、ウクライナ危機に端を
中食・外食産業の作業の効率化に貢献、食のインフラを支えていく 発した世界的な穀物価格上昇は、鶏卵の供給不足を招き、鶏卵価格の
高騰をもたらしている。鶏卵価格の安定化のため、長期保存ができる液
卵の活用が期待されている。
■鶏卵価格の高騰を抑え、中食・外食産業の人手不足の課題に対応
液卵は単なる規格外たまごの使い道だけでなく、最長2年間の冷凍保存が可能
■顧客ニーズ（生産性の向上）
であり、鶏卵の供給減少、価格高騰に対処して、凍結液卵を供給することで鶏
 スーパー惣菜などの中食産業、飲食店などの外食産業での調理場におい
卵価格の安定化に貢献、国民生活の負担を軽減することができる。
ては、人手不足の課題に対応しながら、狭いスペースで作業の効率化が
また、人手不足の課題を抱えるスーパー惣菜などの中食産業、飲食店などの外
求められている。調理場では一般的に卵が多く使用されるが、液卵を活
食産業において、狭いスペースで作業が求められる調理場でも使いやすい個包
用することで、卵を割って撹拌する作業を減らすことができ、生産性の向上
装パックの液卵を供給することで、作業の効率化に貢献、食のインフラ全体を支
を図ることができる。
えていくことができる。
 当社の既存取引先からも、液卵の販売拡大の引き合いが続いている。
■補助事業の内容
現在、堺市にある液卵製造の工場を、近隣に新設・移転させることで、従来の
内発的動機
液卵製造能力の３倍の製造能力を獲得することができる。生産能力の向上だ
けでなく、最新の工場設備の導入、及び工場ラインの見直しによって、販売先の ■用途別液卵製造のノウハウの蓄積
ニーズに応じた用途別液卵の製造・販売を高い生産性で実現する。  セパレート、ブランド卵液卵、調味液卵など、販売先のニーズに応じた細や
かな対応を続けることで、高品質な液卵製造のノウハウが蓄積されている。
 液卵事業は液卵製造のための専用設備が必要であり、工場運営のノウ
ハウが必要なことから、鶏卵事業と液卵製造を同時に手掛ける会社は少
ない。当社では難易度の高い事業に挑戦することで新たな市場を開拓し
■会社全体の売上成長目標 てきた。
• 2029年度売上高：290億円
• 2029年度までの売上高増加額：101億円 ■液卵事業を支える鶏卵事業の展開
• 2029年度までの売上高成長率：7.4％  関西・中部・中国地方を中心にグループ全体で総数700万羽の鶏を飼
育、全国第3位の規模であり、自社農場での生産力を背景に、液卵の原
料を確保可能である。</t>
  </si>
  <si>
    <t>【p.2】
株式会社デイリーエッグ
2.補助事業の概要
液卵工場を新設・移転させることで生産能力・生産性の向上を図り、用途別液卵により市場の様々なニーズに
対応し、高品質で安全な液卵を安定供給する
・液卵は最長2年間の冷凍保存が可能であり、凍結液卵の販売により鶏卵価格の安定化に貢献する。
・人手不足の課題を抱えるスーパー惣菜などの中食産業、飲食店などの外食産業において、調理場でも
補助事業の 事業費 3,042百万円
使いやすい個包装パックの液卵を供給することで、作業の効率化に貢献する。
背景・目的 （補助額） （974百万円）
・大阪府堺市の現工場の近郊に新液卵製造工場を新設・移転させることによって、液卵事業の生産能力
及び生産性の向上を図り、高品質で安全な液卵を安定供給する。
設備投資の主な内訳 概要 投資額 うち補助対象額
① 工場建設 27/5までに工場完工 1,950 1,950
② 割卵機、ローダー、卵殻搬送スクリューコンベア 割卵工程の自動化を図る設備 218 218
③ CIP対応濾過フィルター ろ過工程の生産性向上を図る設備 20 20
④ 殺菌機 殺菌工程の生産性向上を図る設備 130 130
⑤ 自動ピロー充填機 充填工程の自動化を図る設備 45 45
設備投資の
⑥ 自動ラック押出機、パレタイジングロボット、
原卵入庫・保管の自動化を図る設備 117 117
内容 原料保管自動倉庫、原料自動計量装置
⑦ 容器洗浄機 容器洗浄工程の自動化を図る設備 30 30
液卵製造から設備の洗浄までを自動化・生産
⑧ 液卵製造・CIP制御装置 350 350
性向上を図る設備
装置稼動の安定化、動力源となり、機械稼働
⑨ 低温循環型冷水装置、ボイラー、コンプレッサー 62 62
のため生産活動に不可欠な設備
⑩ 構築物 その他構築物 120 0
計 単位：百万円(税抜） 3,042 2,922
項目 基準年度 事業化報告3年目
労働生産性 57,002千円/人
16,910千円/人
（単位：千円/人） （年平均上昇率＋49.9％）
目標値 従業員1人あたり給与支給総額 5,820千円/人
4,738千円/人
（単位：千円/人） （年平均上昇率＋7.1％）
役員１人あたり給与支給総額 -
-
（単位：千円/人） （年平均上昇率＋5.5％）
補助事業に係る従業員数
25人 35人（＋10人）
（単位：人）</t>
  </si>
  <si>
    <t>三恵株式会社
1.⻑期成⻑ビジョン
「無から有を⽣み出す。⾼度な技術と創造性で合成樹脂の無限の可能性に挑む。」という理念のもと、⼤きく変貌
する⾃動⾞産業界において、合成樹脂の新たな可能性を求めて挑戦し続ける</t>
  </si>
  <si>
    <t>⻑期成⻑ビジョン（⽬指す姿・ビジネスモデル）
無から有を⽣み出す。⾼度な技術と創造性で合成樹脂
の無限の可能性に挑む。
フルサービスサプライヤーへの進化
■ 開発・設計から成形・塗装・めっき・組⽴まで、⼀貫対応により顧
客に対して⼀層の価値提供を⾏うビジネスモデルへの進化
環境と⼈に優しい次世代型モノづくり体制の構築
■ FA・IoT・再エネ・省エネ対応を進め、⽣産性と持続可能性を両
⽴するスマートファクトリーを⽬指す
EV・グローバル対応⼒の強化
■ 次世代⾞両に不可⽋な軽量・⾼機能部品を開発し、国内外の
多様なニーズに応える体制を構築
会社全体の売上成⻑⽬標（〜31年3⽉期）
• 売上⾼年平均成⻑率8.9％
• 売上⾼増加額120億円
会社全体の賃上げ⽬標
• 2.5%（直近事業年度〜基準年度）
• 7.0%（基準年度〜事業化報告3年⽬）</t>
  </si>
  <si>
    <t>外発的動機
• ⾃動⾞業界における電動化・軽量化・意匠性⾼度化の進展により、
部品サプライヤーにも⾼付加価値化・技術⾰新が求められている。
• CO₂削減・VOC規制強化など環境規制の厳格化により、塗装・乾燥
・電⼒使⽤等における省エネ・脱炭素対応が不可避となっている。
• スズキをはじめとするOEM各社が、サプライヤーに設計・開発段階か
らの関与（FSS機能）を求めるようになっている。
• スズキ国内外⼯場の⽣産能⼒増強に伴い、⼀貫供給体制の再構
築と⼤型樹脂成形品の対応⼒強化が求められている。
• 外注先の⽣産余⼒・品質⼒の限界から、安定供給体制の内製
化・強化が不可⽋となっている。</t>
  </si>
  <si>
    <t>内発的動機
• 「成形・塗装・めっきの全⼯程を⾃社で完結」できる強みをさらに進
化させ、業界でも稀有な⼀貫供給体制を確⽴したいという想い
• 創業以来⽀えてきたスズキとの⻑年の信頼関係を深化させるべく、
より上流から関与できるフルサービス型企業（FSS）を⽬指す
• スズキ依存からの脱却と新たな市場開拓により、企業としての持続
可能性を⾼めると共に成⻑市場への挑戦を推進
• 社員・協⼒会社の⾼齢化や⼈⼿不⾜に対応するため、省⼈化・
⾃動化による次世代⽣産モデルへの転換が急務
• 会社の成⻑と従業員への利益還元（賃上げ）を両⽴させ、地域
と社員がともに恵みを分かち合う企業であり続けたいという理念</t>
  </si>
  <si>
    <t>【p.1】
三恵株式会社
1.⻑期成⻑ビジョン
「無から有を⽣み出す。⾼度な技術と創造性で合成樹脂の無限の可能性に挑む。」という理念のもと、⼤きく変貌
する⾃動⾞産業界において、合成樹脂の新たな可能性を求めて挑戦し続ける
⻑期成⻑ビジョン（⽬指す姿・ビジネスモデル） 外発的動機
• ⾃動⾞業界における電動化・軽量化・意匠性⾼度化の進展により、
無から有を⽣み出す。⾼度な技術と創造性で合成樹脂 部品サプライヤーにも⾼付加価値化・技術⾰新が求められている。
の無限の可能性に挑む。 • CO₂削減・VOC規制強化など環境規制の厳格化により、塗装・乾燥
・電⼒使⽤等における省エネ・脱炭素対応が不可避となっている。
フルサービスサプライヤーへの進化
• スズキをはじめとするOEM各社が、サプライヤーに設計・開発段階か
■ 開発・設計から成形・塗装・めっき・組⽴まで、⼀貫対応により顧 らの関与（FSS機能）を求めるようになっている。
客に対して⼀層の価値提供を⾏うビジネスモデルへの進化
• スズキ国内外⼯場の⽣産能⼒増強に伴い、⼀貫供給体制の再構
築と⼤型樹脂成形品の対応⼒強化が求められている。
環境と⼈に優しい次世代型モノづくり体制の構築
■ FA・IoT・再エネ・省エネ対応を進め、⽣産性と持続可能性を両 • 外注先の⽣産余⼒・品質⼒の限界から、安定供給体制の内製
⽴するスマートファクトリーを⽬指す 化・強化が不可⽋となっている。
EV・グローバル対応⼒の強化
内発的動機
■ 次世代⾞両に不可⽋な軽量・⾼機能部品を開発し、国内外の
多様なニーズに応える体制を構築 • 「成形・塗装・めっきの全⼯程を⾃社で完結」できる強みをさらに進
化させ、業界でも稀有な⼀貫供給体制を確⽴したいという想い
• 創業以来⽀えてきたスズキとの⻑年の信頼関係を深化させるべく、
会社全体の売上成⻑⽬標（〜31年3⽉期） より上流から関与できるフルサービス型企業（FSS）を⽬指す
• 売上⾼年平均成⻑率8.9％
• スズキ依存からの脱却と新たな市場開拓により、企業としての持続
• 売上⾼増加額120億円
可能性を⾼めると共に成⻑市場への挑戦を推進
会社全体の賃上げ⽬標
• 2.5%（直近事業年度〜基準年度） • 社員・協⼒会社の⾼齢化や⼈⼿不⾜に対応するため、省⼈化・
⾃動化による次世代⽣産モデルへの転換が急務
• 7.0%（基準年度〜事業化報告3年⽬）
• 会社の成⻑と従業員への利益還元（賃上げ）を両⽴させ、地域
と社員がともに恵みを分かち合う企業であり続けたいという理念</t>
  </si>
  <si>
    <t>【p.2】
三恵株式会社
2.補助事業の概要
4募⽤
既存⼯場隣接地に新建屋を建設すると共に、⼤型成形設備や最新鋭の塗装専⽤設備、⾃動搬送機・⾃動
⾦型交換台等の省⼈化設備導⼊のための投資約46.8億円を実⾏する
補助事業の • 既存⼯場の⽣産量限界により、機会損失が発⽣しており、⽣産能⼒増強が必須 事業費 4,764百万円
背景・⽬的 • EV時代を⾒据えた中⻑期的な向上のためには⽣産性改善と⾼付加価値化が必須 （補助額） (1,170百万円)
新⼯場建設と⼤型製品対応設備・省⼈化設備導⼊による競争⼒強化と中⻑期成⻑基盤確⽴
【具体的な投資内容】
① 新⼯場建屋建設（23.8億円）
増産のための⽣産⼯場を既存⼯場隣接地に建設し、顧客からの増産要
請・新規取引開拓を実現可能な製造体制整備
② ⼤型成形対応設備・⾃動搬送機等導⼊（23.0億円）
⼤型成形設備導⼊や塗着率の⾼い専⽤設備導⼊による⾼付加価値
設備投資の
化・効率化と、⾃動搬送機・⾃動⾦型交換台等の省⼈化設備導⼊
内容
【補助事業により⾒込まれる効果】
• ⽣産⼯場新設による⽣産キャパシティの約1.5倍化
• ⼤型成形品の内製化による原価率15％改善
• 塗着率向上（40%→60%）による塗料使⽤量24％削減
• 搬送⾃動化による搬送⼯程⼈員50%削減（30名→15名）
項⽬ 基準年度 事業化報告3年⽬
労働⽣産性 16,783千円/⼈
10,225千円/⼈
（単位︓千円/⼈） （年平均上昇率＋18.0％）
従業員1⼈あたり給与⽀給総額 5,026千円/⼈
⽬標値 （単位︓千円/⼈） 4,103千円/⼈ （年平均上昇率＋7.0％）
役員１⼈あたり給与⽀給総額 -
-
（単位︓千円/⼈） （年平均上昇率＋5.0％）
補助事業に係る従業員数
327⼈ 350⼈
（単位︓⼈）</t>
  </si>
  <si>
    <t>MHT株式会社
1.長期成長ビジョン
マグロ需要の拡大やアジアでの新造船需要増を背景に、大中型まき網漁船向け油圧システムで国内シェア95％の技術力の強
みを活かし、海外の最新鋭の漁船に搭載される油圧システムのグローバルニッチトップを目指す。</t>
  </si>
  <si>
    <t>長期成長ビジョン（目指す姿・ビジネスモデル）
◆目指す姿
海外まき網漁船(特にアジア)を始めとした最新鋭の漁船に搭載される
油圧システムのグローバルニッチトップを目指す。
◆長期的なビジネスモデル（当社の社会的価値）
• 大中型まき網漁船用の油圧システムは、シェアNo1(95%)であり、国
内に水揚げされるカツオ、マグロ等のマグロ類は当社の油圧システムを
用いて漁獲されており、当社なしには日本水産業は成り立たない。日
本の魚のある食卓を守るために売上を維持し供給責任を果たしていく。
• 一方、国内漁業は衰退するため、国内シェアNo1(95％)の強みを活
かし、アジアを中心として輸出新船・輸出単品・メンテナンス事業を強
化し、事業の拡大を図る。
具体的には、すでに開始している中国、台湾、韓国の売上を伸ばし、
引き合いの来ているフィリピンの販路拡大をし、さらにはインドネシア、
ベトナム、タイ等の新興国の経済成長とともに販売を強化し、
グローバルニッチトップを目指す。</t>
  </si>
  <si>
    <t>外発的動機
• 当社の油圧システムが主に搭載されている漁船で行うカツオ、マグロ等の
まき網漁についてのメガトレンドは以下である。
①国内：海外まき網漁船の隻数枠が決まっており、当社のシェアが高い。
漁師の人手不足により漁獲量も年々減っている。
②海外：1975年頃は約50万トンであったが、2020年には
約500万トンまで増加しており、その後も伸び続けている。
• マグロ需要が高まっている。ツナ缶は世界中で大変好まれている食材であ
る。また、缶詰のため常温で長期保存が可能で物流コストも安く、東南ア
ジアや、インドでも需要が伸びている。
• 海外の海外まき網漁船の需要が高まっている。東南アジア地域では、漁
が高度化されておらず、経済発展に伴い、最新型の海外まき網漁船の需
要が増加すると考えられる。</t>
  </si>
  <si>
    <t>内発的動機
• 当社は、台湾に現地法人を立ち上げ、海外事業部と連携しアジア圏の
国々へ営業を行っている。この海外展開が功を奏し、コロナ禍でも安定し
た受注を得てきた。2023年9月に韓国に現地法人を設立しさらに海外
展開を進めている。
• 海外では漁船の近代化が遅れ、漁業の安全性が低いことを実体験として
感じ取り、当社製品が貢献できると考え営業を推進してきた。
• この海外営業網の情報から、今後アジアでの新船需要増加は確度が高
いこと。また、実際に輸出船に納品した油圧システムが好評であり、かつ
「販売よりもメンテナンスを最優先」の大方針に沿ったきめ細やかなメンテナ
ンスサービスが支持されている。
• これにより国内の大中型まき網漁船油圧システム国内シェアNo1(95％)
の技術力に間違いはないと確信し、海外事業をさらに強化し、「海外まき
網漁船を始めとした最新鋭の漁船に搭載される油圧システムのグローバル
ニッチトップ」を5年後の目指す姿として掲げ、挑戦することとした。</t>
  </si>
  <si>
    <t>【p.1／売上成長目標】
会社全体の売上成長目標（～2030年）
現状（直近決算期の実績）
• 2024年12月期の会社全体の売上高75億円
計画の最終年の目標（2030年12月期）
• 会社全体の売上高150億円
• 会社全体の売上高成長率100％
• 会社全体の売上高増加額75億円</t>
  </si>
  <si>
    <t>【p.1】
MHT株式会社
1.長期成長ビジョン
マグロ需要の拡大やアジアでの新造船需要増を背景に、大中型まき網漁船向け油圧システムで国内シェア95％の技術力の強
みを活かし、海外の最新鋭の漁船に搭載される油圧システムのグローバルニッチトップを目指す。
外発的動機
長期成長ビジョン（目指す姿・ビジネスモデル）
• 当社の油圧システムが主に搭載されている漁船で行うカツオ、マグロ等の
◆目指す姿
まき網漁についてのメガトレンドは以下である。
海外まき網漁船(特にアジア)を始めとした最新鋭の漁船に搭載される
①国内：海外まき網漁船の隻数枠が決まっており、当社のシェアが高い。
油圧システムのグローバルニッチトップを目指す。
漁師の人手不足により漁獲量も年々減っている。
②海外：1975年頃は約50万トンであったが、2020年には
◆長期的なビジネスモデル（当社の社会的価値）
約500万トンまで増加しており、その後も伸び続けている。
• 大中型まき網漁船用の油圧システムは、シェアNo1(95%)であり、国 • マグロ需要が高まっている。ツナ缶は世界中で大変好まれている食材であ
内に水揚げされるカツオ、マグロ等のマグロ類は当社の油圧システムを
る。また、缶詰のため常温で長期保存が可能で物流コストも安く、東南ア
用いて漁獲されており、当社なしには日本水産業は成り立たない。日
ジアや、インドでも需要が伸びている。
本の魚のある食卓を守るために売上を維持し供給責任を果たしていく。
• 海外の海外まき網漁船の需要が高まっている。東南アジア地域では、漁
• 一方、国内漁業は衰退するため、国内シェアNo1(95％)の強みを活 が高度化されておらず、経済発展に伴い、最新型の海外まき網漁船の需
かし、アジアを中心として輸出新船・輸出単品・メンテナンス事業を強
要が増加すると考えられる。
化し、事業の拡大を図る。
具体的には、すでに開始している中国、台湾、韓国の売上を伸ばし、
内発的動機
引き合いの来ているフィリピンの販路拡大をし、さらにはインドネシア、
ベトナム、タイ等の新興国の経済成長とともに販売を強化し、 • 当社は、台湾に現地法人を立ち上げ、海外事業部と連携しアジア圏の
国々へ営業を行っている。この海外展開が功を奏し、コロナ禍でも安定し
グローバルニッチトップを目指す。
た受注を得てきた。2023年9月に韓国に現地法人を設立しさらに海外
展開を進めている。
会社全体の売上成長目標（～2030年）
• 海外では漁船の近代化が遅れ、漁業の安全性が低いことを実体験として
現状（直近決算期の実績） 感じ取り、当社製品が貢献できると考え営業を推進してきた。
• 2024年12月期の会社全体の売上高75億円 • この海外営業網の情報から、今後アジアでの新船需要増加は確度が高
いこと。また、実際に輸出船に納品した油圧システムが好評であり、かつ
計画の最終年の目標（2030年12月期） 「販売よりもメンテナンスを最優先」の大方針に沿ったきめ細やかなメンテナ
• 会社全体の売上高150億円 ンスサービスが支持されている。
• 会社全体の売上高成長率100％ • これにより国内の大中型まき網漁船油圧システム国内シェアNo1(95％)
• 会社全体の売上高増加額75億円 の技術力に間違いはないと確信し、海外事業をさらに強化し、「海外まき
網漁船を始めとした最新鋭の漁船に搭載される油圧システムのグローバル
ニッチトップ」を5年後の目指す姿として掲げ、挑戦することとした。</t>
  </si>
  <si>
    <t>【p.2】
MHT株式会社
.補助事業の概要
2
本事業では、アジア輸出向けに大型油圧システムを製造するための製造体制及び倉庫、メンテナンス拠点を整備・強化する。製
造面では、大型化を推進するための設備、保管面では、ボトルネックとなっている本社倉庫の新設、メンテナンス面では、整備機
械の拡充を実施する。収益性、労働生産性を向上することで、雇用の増大、高い賃上げ目標を達成する。
本事業では、海外巻き漁船用油圧システムのアジア輸出の拡大を目的としている。当社の輸出展開はすでに開始しており、 事業費 1,5 24 百万円
先行投資も進んでいる。具体的には、営業面では、台湾、韓国、中国に現地法人及び、営業拠点を設けており、展示会 （補助額） （ 百万円）
375
出展、テストマーケティングを実施した。製造面では、人員を拡充しており、海外人材採用のため寮の建設を実施した。
すでに、売上が拡大しており、2024年12月期は、売上高75億円(対前年29.3%増)となっている。
展示会出展、テスト―マーケティングで、顧客ニーズを調査したところ、漁業の大規模化により、国内向けよりも大型化の
補助事業の
ニーズが強いことが判明した。そこで、今後の輸出事業の更なる成長のため、以下の課題がある。
背景・目的
■製造面：輸出向け大型化対応するための設備の未整備
■保管面：輸出向けの増加に伴い、購入品在庫、製品在庫等の保管容量が増加する。
現状の倉庫では、手狭であり、効率的な在庫管理ができない。
■メンテナンス面：当社はメンテナンス面を重視しているが、輸出向けに大型対応した
メンテナンス設備が未整備である。
■製造面：輸出向け大型化対応のための製造体制強化
• 部品加工の大型化のため、複合加工機、電炉、組立用の定盤、横中ぐり盤等を導入する。
• 大型部品は熱膨張精度低下を引き起こすため、精緻な温度管理をするため屋根改修を実施する。
• 製品大型化に伴い、工場内ホイストクレーンの重量対応が必要である。
設備投資の ■保管面：輸出向け在庫倉庫の整備
内容 • 倉庫の新設により、スペースの確保をすることで、輸出在庫の最適化、入出庫の効率化を推進する。
• 効率的な入出庫を推進するため、マテハン設備（フォークリフト、ラクサー）を新規導入する。
■メンテナンス面：輸出向け大型メンテナンス拠点の整備
• 大型設備のメンテナンスが行えるサイズのショットブラストマシン、塗装ブースを導入する。
• 大型化に対応する国内最大級の検査装置(テストスタンド)を導入する。
項目 基準年度 事業化報告3年目
労働生産性 24,654
8,056
（単位：千円/人） （年平均上昇率＋45. ％）
2
目標値 従業員1人あたり給与支給総額 5,22 6,28 2
（単位：千円/人） 1 （年平均上昇率＋6. ％）
4
役員１人あたり給与支給総額 -
（単位：千円/人） - （年平均上昇率＋6.0％）
補助事業に係る従業員数
136 142
（単位：人）
【p.3】
MHT株式会社
.補助事業の概要
2
本事業では、全社売上150億円、補助事業である輸出新船、輸出単品、メンテナンス事業売上93億円を目
指して各拠点に投資を実施する。これらの詳細は以下の通りある。
製造面 輸出向け大型化対応のための製造体制強化
設備 目的 投資額(円)
オークマ製複合加工機 5m級の大物旋盤加工が可能な複合加工機を導入し、生産性を向上する。 200,526,068
トウネツ製電気炉 大物に対応可能で、クリーンで高出力な電炉を導入し、生産性を向上する。 42,820,000
ニデック製横中ぐり盤 大物に対応可能な横中ぐり盤を導入し、生産性を向上する。 148,000,000
導入複合機 イメージ写真
大和重工製定盤 大物組立に対応可能な定盤を導入する。 20,420,000
日本ホイスト製5tクレーン 大物対応が可能な5トン級のホイストクレーンを導入する 13,670,000
今回導入予定の複合機、電炉、横中ぐり盤等追加により増加した電力量をまかなえる
中原電気製キュービクル 49,900,000
キュービクルを導入する
設
屋根改修工事 部品の熱膨張防止のため温度管理徹底を可能にするため、建屋の屋根の改修を実施する。 56,500,000
備
投 保管面 輸出向け在庫倉庫の整備
資 設備 目的 投資額(円)
詳 倉庫兼整備工場イメージパース
倉庫兼整備工場建設 輸出向け材料、購入品、製品在庫をするためのスペース確保と適正在庫の保管をする。 889,012,532
細
トヨタ製フォークリフト 新倉庫の入出荷の効率化を実施し、生産性を向上する。 4,639,400
ニチュ製ラクサー ユニット単位の大物の運搬が可能なサイズの設備を導入し、生産性を向上する。 250,000
メンテンナンス面
輸出向け大型メンテナンス拠点の整備
設備 目的 投資額(円)
国内最大級５０㌧クラスの大物対応可能なテストスタンドを導入し、メンテナンス力を強
テストスタンド 50,000,000
化する。
ニッチュー製
大物でもサビ取り、表面処理可能なサイズの設備を導入し、生産性を向上する。 15,152,000
ショットブラストマシン
三井精機製コンプレッサー 上記、ショットブラストマシンで使用するために必要な設備である。 2,000,000
テストスタンド
イメージ写真
栗田工業製塗装ブース 大物でも内部で塗装作業可能なサイズの設備を導入し、生産性を向上する。 7,110,000</t>
  </si>
  <si>
    <t>株式会社東豊精工
1.長期成長ビジョン
国内のトップメーカーと直接取引し、高い技術開発力を持つ当社は、豊岡市から世界を見据え、この地で夢を
持って働くことができる魅力ある企業の実現と成長を通じて、地域の持続的発展を牽引する</t>
  </si>
  <si>
    <t>外発的動機
• 1957年の創業時から1980年代前半まではカメラ向け精密ばねを主力製品としてきたが、以
降は事務機はじめ他の業界へもリスク分散し取引の幅を広げていった。その中で進出した自動
車及び医療機器向けの精密ばね製造はリーマンショック後に大きく増加し、現在では自動車
向けが主力製品、医療機器向けが準主力製品となっている
• 近年では、釣り具等のレジャー用品やホビー用品向けにも製品群が広がっている
• 当社の手掛けるばねは、時代の変化・顧客の業界の変化とともに「多様化・大型化」してきて
いるが、当社が受注するばねは安価な汎用品ではなく、顧客たる製造メーカーが求める高機
能部品としての「オーダーメイド」品が中心であることは変わっていない
• 社長が豊岡商工会議所会頭や豊岡市ワークイノベーション推進会議共同代表をはじめ地域
の様々な公的な役割を通じて学んだことの一つには、少子高齢化・人口減少の本質には、高
卒後に一旦流出する若者、特に女性の回復率が著しく低く、生産年齢人口の減少に直結し
ていることがある。それらの課題解決のためには企業が自ら選ばれる魅力ある企業に変革しな
ければならず、地元企業が地域経済や諸問題解決に行政とも一体になり取り組んでいくこと
は不可欠であり、当社も自ら先頭を切って取り組んでいく必要性を強く考えるようになった</t>
  </si>
  <si>
    <t>内発的動機
• 2010年までには、現工場のスペースが限界に達し、以後は新たな受注のための設備を導入
するために、既存の経年設備を撤去して新たな設備に入れ替えるということが起こり始めた
• 将来の本社全面建替えを見越した用地取得も行っていたものの、リーマンショックや、自動車
業界の海外展開などの経営環境の変化や不透明さにより、大規模投資に踏み切れない状
況が続いた。新型コロナウイルス感染症を経て、当社の投資余力と経営環境のバランスを考え
る中で、成長のための大規模投資を行うべき時が来たと認識している
• 置場のない材料や仕掛品・完成品が通路や食堂にも置かれるようになり、効率的な工場内
のレイアウトも制約され、生産性の向上を図ることが困難になっている。また、新規設備投資が
必要な製品の受注に際しても、躊躇したり後手に回り、受注機会を逃すこともおきている。
• 当社には元々、国内ばね業界で初めて「トーションマシン」を自社開発し、当時業界トップ企
業が視察に来るほどの高い研究開発力がある。当社はこの強みを活かし、将来に繋ぐとともに
進化させていく必要がある
• 新工場を建設して製造ラインを増設・再構築し設備やシステムを導入することによって、生産
性を向上させるとともに、食堂などの福利厚生施設も整備し、社員が働きやすい環境を整える。
これにより当社及び地域の将来を担う人材を確保し、業績を拡大させる。当社が社員や地
域・取引先とともに成長していくためにも、大規模成長投資の必要性を強く認識した</t>
  </si>
  <si>
    <t>【p.1／売上成長目標】
会社全体の売上成長目標（～2030年）
• 売上高増加額21.4億円
• 売上高成長率14.8％</t>
  </si>
  <si>
    <t>【p.1】
株式会社東豊精工
1.長期成長ビジョン
国内のトップメーカーと直接取引し、高い技術開発力を持つ当社は、豊岡市から世界を見据え、この地で夢を
持って働くことができる魅力ある企業の実現と成長を通じて、地域の持続的発展を牽引する
長期成長ビジ 目指す 外発的動機
(cid:23887)(cid:23899)(cid:1602) (cid:3013)(cid:23907)(cid:23867)(cid:23840)(cid:23861)(cid:23841)(cid:23882)(cid:23855)(cid:23891)(cid:1603)
• 1957年の創業時から1980年代前半まではカメラ向け精密ばねを主力製品としてきたが、以
(cid:891) 豊岡発「精密ばねの専門メーカー」として、線ばね・板ばね・プレス 降は事務機はじめ他の業界へもリスク分散し取引の幅を広げていった。その中で進出した自動
成形品（金型による加工品）を取扱い、自動車・医療機器・デ 車及び医療機器向けの精密ばね製造はリーマンショック後に大きく増加し、現在では自動車
向けが主力製品、医療機器向けが準主力製品となっている
ジタル機器・事務機・住宅機器に加えてレジャーやホビーに至るま
• 近年では、釣り具等のレジャー用品やホビー用品向けにも製品群が広がっている
で、産業用から個人用までの様々なばねを、当社の高い技術力を
• 当社の手掛けるばねは、時代の変化・顧客の業界の変化とともに「多様化・大型化」してきて
活かして製造し世界中のユーザーに供給する いるが、当社が受注するばねは安価な汎用品ではなく、顧客たる製造メーカーが求める高機
能部品としての「オーダーメイド」品が中心であることは変わっていない
• 少子高齢化と人口減少が進む豊岡市において、当社が明確な長
• 社長が豊岡商工会議所会頭や豊岡市ワークイノベーション推進会議共同代表をはじめ地域
期ビジョン策定と大規模成長投資を行うことにより、地域の雇用の
の様々な公的な役割を通じて学んだことの一つには、少子高齢化・人口減少の本質には、高
受け皿となるとともに、U・Iターンを促進させる一助になればと考え 卒後に一旦流出する若者、特に女性の回復率が著しく低く、生産年齢人口の減少に直結し
ていることがある。それらの課題解決のためには企業が自ら選ばれる魅力ある企業に変革しな
る。また、この投資によって労働環境の改善を始めとするワークイノ
ければならず、地元企業が地域経済や諸問題解決に行政とも一体になり取り組んでいくこと
ベーションの推進と賃金上昇を図り、「働きやすく働きがいのある会
は不可欠であり、当社も自ら先頭を切って取り組んでいく必要性を強く考えるようになった
社」への変革を進めていきたいと考える。そのことにより、社員一人
一人が未来に向けて夢を持ち働くことが出来る魅力ある企業の実
内発的動機
現とその成長を通じて、地域社会、国家そして世界の発展に貢献
• 2010年までには、現工場のスペースが限界に達し、以後は新たな受注のための設備を導入
し続ける好循環を生んでいく
するために、既存の経年設備を撤去して新たな設備に入れ替えるということが起こり始めた
• 当社は、地元で創業し成長してきた歴史も踏まえ、地域でも有数 • 将来の本社全面建替えを見越した用地取得も行っていたものの、リーマンショックや、自動車
の雇用を抱える企業として、率先して地域経済の発展に対する責 業界の海外展開などの経営環境の変化や不透明さにより、大規模投資に踏み切れない状
況が続いた。新型コロナウイルス感染症を経て、当社の投資余力と経営環境のバランスを考え
任を果たしていきたいと考える
る中で、成長のための大規模投資を行うべき時が来たと認識している
• 置場のない材料や仕掛品・完成品が通路や食堂にも置かれるようになり、効率的な工場内
のレイアウトも制約され、生産性の向上を図ることが困難になっている。また、新規設備投資が
必要な製品の受注に際しても、躊躇したり後手に回り、受注機会を逃すこともおきている。
• 当社には元々、国内ばね業界で初めて「トーションマシン」を自社開発し、当時業界トップ企
業が視察に来るほどの高い研究開発力がある。当社はこの強みを活かし、将来に繋ぐとともに
進化させていく必要がある
会社全体の売上成長目標（～2030年）
• 新工場を建設して製造ラインを増設・再構築し設備やシステムを導入することによって、生産
• 売上高増加額21.4億円 性を向上させるとともに、食堂などの福利厚生施設も整備し、社員が働きやすい環境を整える。
これにより当社及び地域の将来を担う人材を確保し、業績を拡大させる。当社が社員や地
• 売上高成長率14.8％
域・取引先とともに成長していくためにも、大規模成長投資の必要性を強く認識した</t>
  </si>
  <si>
    <t>【p.2】
株式会社東豊精工
.補助事業の概要
2
既存工場と新工場を一体とした生産体制の再編、自動化・高速化・高品質化・デジタル化設備や大型設備の
導入による省人化をはかり、生産性・収益性を向上し、地域を牽引する持続的な成長と賃上げを実現
• 設備投資を積み重ねてきた結果、機能別レイアウトの手狭な工場となり動線も悪く、大型設備導入も困難
• 業績は上向いているが設備・人員不足によって思い切った受注ができず、売上増加の商機を掴めていない
補助事業の • 補助事業により新工場を建築し、自動化・省人化効果の高い機械装置を導入して工場レイアウトも見直す 事業費 2, 331 百万円
• 自社開発機械・金型等との組み合わせによって、省人・省スペースでの大量生産と高付加価値製品生産の双方を大幅に増強
背景・目的 し、営業力・開発力・生産力を高次元で組み合わせることでの労働生産性向上を実現 （補助額） （ 550 百万円）
• 労働環境整備により人材確保にプラス効果が生まれ、強みや技術の伝承と継続的な賃上げを目指す
• 2004年台風23号により工場1階の一部が浸水したので、主要NCマシンを新工場２階にレイアウトし水害対策とする
• 既存工場の隣接地に新工場を建設し、既存工場・新工場を一体とした生産体制の再編
• 新工場は、製品別レイアウトに機能別レイアウトのメリットを合わせたハイブリッド型
• 線ばねの生産能力・生産性を向上するための、製造工程の自動化設備・生産リードタイム
短縮に資する熱処理・検査・研磨の自動化・省人化設備を導入及び高品質化
• 板ばねの生産能力・生産性を向上するための、金型製作及びプレス工程の自動化設備・
リードタイム短縮に資する三次元CAD・CAMの省人化機器の導入及び高品質化
• 移動式在庫棚の導入による、在庫保管スペースと管理の効率化と省人化
設備投資の
写真等
内容
項目 基準年度 事業化報告3年目
労働生産性
６，４８３
１３，９５3
（単位：千円/人） （年平均上昇率＋２９．１％）
目標値 従業員1人あたり給与支給総額
４，５００
５，３60
（単位：千円/人） （年平均上昇率＋６．０％）
役員１人あたり給与支給総額
-
（単位：千円/人） - （年平均上昇率＋６．０％）
補助事業に係る従業員数
９７ １２７
（単位：人）</t>
  </si>
  <si>
    <t>株式会社南鐵建
1.長期成長ビジョン
今後も続く「再開発計画」に代表されるような超高層ビルなど「Sグレード」が求められる建設市場へ新規参入。
鉄骨の製造・建設技術の高度化によって、サプライチェーンの国内回帰や我が国の国土強靭化に貢献。</t>
  </si>
  <si>
    <t>長期成長ビジョン（目指す姿・ビジネスモデル）
【目指す姿】
• ビジョンは「上空に広がる快適空間の創造を目指して」。
• コアコンピタンスである、設計に関する「鉄骨部材の製造・施工に特
化した専門性」および「次代を見据えた海外含めたM&amp;A等による
豊富な設計生産能力」を活かして、高品質な鉄骨建物の製造・
施工を通じて、我が国のインフラ事業を支えるとともに、災害等に対
する強靭化に貢献する。
【ビジネスモデル】
• 上記ビジョンに向けて、今後、当社は「鉄骨製作工場認定制度」
の最高位となる「Sグレード」の認定を取得し、高さ60mを超える超
高層ビルの鉄骨部材の製造・施工に参入していく。
• 併せて、建築物用の鉄骨部材に関する継続的な研究開発に取り
組むことで、我が国の鉄骨建築業界における「技術発展」や「産業
競争力の強化」の一翼を担う。
• 「Sグレード」認定取得と並行して、本社工場の移転を予定してい
る。その意図としては、「三河港田原公共ふ頭2号」の増深に向け
た岸壁整備によって、大型船の入港が可能となることを見据え、よ
り臨海部へ立地することで、海外の協力会社からの輸入部材の運
搬や製品保管の効率化を図り、経営効率を高めるものとなる。</t>
  </si>
  <si>
    <t>外発的動機
• 都市部を中心に、多くの再開発事業が計画されており、超高層ビ
ルの建設も毎年何棟も竣工している。当社の受注先大手ゼネコン
等からの情報によると、今後も再開発計画は続くとのことである。
• 一方、こうした大型物件を手掛ける際は、「鉄骨製作工場認定制
度」における最高位「Sグレード」認定を受ける必要がある。
• 現在当社が認定を受けている「Hグレード」が全国で344工場認定
されているのに対し、「Sグレード」は22工場と、非常にハードルの高
い認定となっている。
• こうした状況から、一部の大手ゼネコンは、「Sグレード」の鉄骨部材
を、まとまった物量を提供できるタイから輸入している。しかし、震災
や感染症、政治的リスクなどによってサプライチェーンが寸断される可
能性も残されている。</t>
  </si>
  <si>
    <t>内発的動機
• 「Hグレード」の認定を取得する事業者が、近年増加してきたことから、
鉄骨製造業者の「Hグレード」クラスの価値が、相対的に低下してき
た。当社としても、受注の際、競合他社が増加し、簡単には受注で
きなくなってきた感覚がある。
• そこで、質・量ともに高水準にある設計力を活かして、さらに今よりワ
ンランク上の鉄骨部材を製造できるようになり、当社の事業領域を
拡大したい（最高位「Sグレード」が受注しているの案件を手掛けた
い）と考えた。
• また、2021年から始まった日本大学との共同研究によって、新たに
「制震ブレース」が誕生。その開発段階において、「鉄骨製造技術を
高め、日本の鉄骨業界の産業競争力を高めることが、まだまだ可能
である」と考え、鉄骨建築物の高度化に取り組む必要がある。</t>
  </si>
  <si>
    <t>【p.1／売上成長目標】
◆会社全体の売上成長目標
（基準：2024年9月期 目標年度：2031年9月期）
• 売上高増加額 20,651百万円（同成長率 106％）
◆会社全体の賃上目標
• 1.43％（直近事業年度～基準年度）
• 6.44％（基準年度～事業化後3年目）</t>
  </si>
  <si>
    <t>【p.1】
株式会社南鐵建
1.長期成長ビジョン
今後も続く「再開発計画」に代表されるような超高層ビルなど「Sグレード」が求められる建設市場へ新規参入。
鉄骨の製造・建設技術の高度化によって、サプライチェーンの国内回帰や我が国の国土強靭化に貢献。
長期成長ビジョン（目指す姿・ビジネスモデル） 外発的動機
【目指す姿】 • 都市部を中心に、多くの再開発事業が計画されており、超高層ビ
ルの建設も毎年何棟も竣工している。当社の受注先大手ゼネコン
• ビジョンは「上空に広がる快適空間の創造を目指して」。
等からの情報によると、今後も再開発計画は続くとのことである。
• コアコンピタンスである、設計に関する「鉄骨部材の製造・施工に特
化した専門性」および「次代を見据えた海外含めたM&amp;A等による • 一方、こうした大型物件を手掛ける際は、「鉄骨製作工場認定制
度」における最高位「Sグレード」認定を受ける必要がある。
豊富な設計生産能力」を活かして、高品質な鉄骨建物の製造・
施工を通じて、我が国のインフラ事業を支えるとともに、災害等に対 • 現在当社が認定を受けている「Hグレード」が全国で344工場認定
する強靭化に貢献する。 されているのに対し、「Sグレード」は22工場と、非常にハードルの高
い認定となっている。
【ビジネスモデル】
• 上記ビジョンに向けて、今後、当社は「鉄骨製作工場認定制度」 • こうした状況から、一部の大手ゼネコンは、「Sグレード」の鉄骨部材
を、まとまった物量を提供できるタイから輸入している。しかし、震災
の最高位となる「Sグレード」の認定を取得し、高さ60mを超える超
や感染症、政治的リスクなどによってサプライチェーンが寸断される可
高層ビルの鉄骨部材の製造・施工に参入していく。
能性も残されている。
• 併せて、建築物用の鉄骨部材に関する継続的な研究開発に取り
組むことで、我が国の鉄骨建築業界における「技術発展」や「産業
内発的動機
競争力の強化」の一翼を担う。
• 「Hグレード」の認定を取得する事業者が、近年増加してきたことから、
• 「Sグレード」認定取得と並行して、本社工場の移転を予定してい
鉄骨製造業者の「Hグレード」クラスの価値が、相対的に低下してき
る。その意図としては、「三河港田原公共ふ頭2号」の増深に向け
た。当社としても、受注の際、競合他社が増加し、簡単には受注で
た岸壁整備によって、大型船の入港が可能となることを見据え、よ
きなくなってきた感覚がある。
り臨海部へ立地することで、海外の協力会社からの輸入部材の運
搬や製品保管の効率化を図り、経営効率を高めるものとなる。 • そこで、質・量ともに高水準にある設計力を活かして、さらに今よりワ
ンランク上の鉄骨部材を製造できるようになり、当社の事業領域を
拡大したい（最高位「Sグレード」が受注しているの案件を手掛けた
◆会社全体の売上成長目標
い）と考えた。
（基準：2024年9月期 目標年度：2031年9月期）
• 売上高増加額 20,651百万円（同成長率 106％） • また、2021年から始まった日本大学との共同研究によって、新たに
◆会社全体の賃上目標 「制震ブレース」が誕生。その開発段階において、「鉄骨製造技術を
高め、日本の鉄骨業界の産業競争力を高めることが、まだまだ可能
• 1.43％（直近事業年度～基準年度）
である」と考え、鉄骨建築物の高度化に取り組む必要がある。
• 6.44％（基準年度～事業化後3年目）</t>
  </si>
  <si>
    <t>【p.2】
株式会社南鐵建
.補助事業の概要
2
高い設計力を持つ豊富な人材を擁した設計部門の強みを活かして、都市部を中心に今後もしばらくは続く“再開発
計画”と“超高層ビルの建設計画”（ニーズ）を捉え、新たにSグレード取得可能な工場と設備の設置をおこなう。
①都市部でまだまだ計画されている再開発と超高層ビルの建設需要
補助事業の 事業費 , 百万円
②当社の対売上高外注比率は28％と利益率の向上に伸びしろを残す構造 2 214
背景・目的 （補助額） （64 百万円）
③近年多発している地震に対応した、新たな制震建物の研究開発 8
（単位：百万円）
【本事業で設定した課題】
①「Sグレード」に適合した鉄骨製品の製造環境の整備 設備投資の名称 金額
②「一次加工」から求められる鉄骨部材に対する高い品質管理への対応 １．新本社工場 (1,548)
③イノベーションを創出し得る研究・開発環境の整備
① 新本社工場の建設、空調設置 673
【課題に対する解決策】
② 溶接ロボット 77
①「Sグレード」認定に必要な工場の建設と専用機器の導入
③ 天井クレーン、外部用門型クレーン 384
②「一次加工」の内製化とそれに必要なドリルほか専用機械の導入
設備投資の
④ 柱大組み立て機 102
③研究開発室の設置（※旧本社工場の有効活用）
内容
⑤ 輸入材取り出し機 48
【労働生産性向上などの効果】
従前より当社が手掛けてきた「Hグレード」の受注は1棟あたり平均5億円であ ⑥ 太陽光発電装置・フォークリフトほか 264
るのに対し、「Sグレード」の受注は同30億円となり、大きく売上高が向上。加 ２．旧本社工場 (395)
えて、鉄骨部材の一次加工を内製化することから、当社の営業利益率は格
⑦ ドリルほか一次加工機 293
段に向上することが期待できる。導入する設備も「ロボット溶接」などを活用した、
⑧ エレスラサブマージ溶接機ほか 102
自動化・省力化された製造方法を採用する。以上より、労働生産性の向上
が期待できる。 合計 1,943
項目 基準年度 事業化報告3年目
労働生産性
24,686
60,676
（単位：千円/人） （年平均上昇率＋35.0％）
目標値 従業員1人あたり給与支給総額 8,676
（単位：千円/人）
7,187
（年平均上昇率6.5％）
役員１人あたり給与支給総額
-
（単位：千円/人） - （年平均上昇率6.4％）
補助事業に係る従業員数
117 134
（単位：人）</t>
  </si>
  <si>
    <t>株式会社新潟食品運輸
1.長期成長ビジョン
食品物流に特化した高品質オペレーションと地域密着ネットワークを武器に、社会課題と顧客ニーズに対応した「3PLハブ拡張」と
「労働環境改革による人材確保」を両輪とした成長戦略を展開。31年売上高240億円を目指す。</t>
  </si>
  <si>
    <t>長期成長ビジョン（目指す姿・ビジネスモデル）
• （ 会 社 （ 又はグループ全体）が長期的（５～10年後）に目指
長期 ビ ジョ ン
す姿として、社会に対しどのような価値を提供するか等のビジョンに
ついてご記載ください）
戦略の方向性
「広域3PLハブ×物流ソリューション×労働改革」で、
地域物流の限界突破
3PL拡張戦略 労働環境改善による雇用強化戦略
需要側（荷主）からの要請と社会構造変化に応
「物流は人が創る現場産業」──人への投資によ
える、広域ハブ型3PLへの転換と拡張
る“攻めの経営”への転換
1. 冷凍冷蔵倉庫の大規模増設と多温度帯イン
1. 省人化・自動化設備の導入で、肉体労働負
フラの整備
担を軽減
2. 共同配送・中継拠点機能の強化による、非
2. 次世代人材の安定雇用と教育体制の強化
効率な単独配送からの脱却
3. 業務効率改善による生産性向上と賃上げ原
3. トレーサビリティ・温度管理等の付加価値サー
資の創出
ビスの高度化
企業理念
「安全・確実・丁寧・親切な輸送で、お客様との信頼関係を築く」</t>
  </si>
  <si>
    <t>外発的動機
• 物流業界は3PL (サード・パーティー・ロジスティクス)市場を中心に、荷主企
業に代わる物流システム構築・実行需要が高まりを受けて、過去5年間の
CAGRは+5.3%となる、24.6兆円の市場規模へ成長
• 物流業界における「2024年問題」到来により、荷主単独での輸配送能力の
制約が顕在化し、共同配送や中継拠点の分散化ニーズが急拡大
• 地震・水害などの自然災害リスク増加を背景に、サプライチェーンのBCP対策
として「広域分散型物流拠点」への移行が加速
• 大手小売・食品メーカーから「高品質・温度帯管理・トレーサビリティ対応」を
備えた高度物流の要求水準が上昇
• 冷凍・冷蔵食品の需要増加に伴い、低温物流インフラの逼迫と拠点整備の
必要性が顧客側から高まっている。実際、複数取引先から「保管容量の拡
張」の要請が相次いでおり、喫緊の対策が求められる</t>
  </si>
  <si>
    <t>内発的動機
• 1981年に設立以来、「物流は人が創る現場産業」と捉え、「安全・確実・丁寧・
親切な輸送で、お客様との信頼関係を築く」という企業理念に基づき、食品物流
に特化し、常温・冷蔵・冷凍輸送技術の向上に努めてきた
• しかし、近年は業界全体の「労働力不足」「燃料・電力等コスト高騰」「2024年
問題」に起因して、①荷主単独での物流構築が困難、②同業の倒廃業が相次
ぎ、当社への貨物委託量は増加傾向にある
• 当社としても20年にNCL第2センター、23年に長岡センターを新築し、受入余力
を高めてきたが、倉庫の逼迫状況が続き、現状のままでは物理的キャパシティによ
り売上高160億円が天井。成長限界点が迫ってきている
• 新たな倉庫整備を前提にした保管量拡大要請が既存及び新規顧客から相次
いでおり、従前の「守りの経営」ではなく、「攻めの経営」によるボトルネック解消が
喫緊の課題と認識し、強い信念を持ち変革へ取り組む組織土壌が整ってきた
• 本補助事業を単なる増設ではなく、「人を主役とした次世代物流モデル」としての
ハブとして機能させ、物流の未来を見据えた世代交代の布石とする</t>
  </si>
  <si>
    <t>会社全体の売上成長目標（～2031年）
• 2031年までに会社全体の売上高240億円
• 売上高増加額99.1億円(直近期比)
• 売上高成長率9.3%(25.3期～31.3期)
会社全体の賃上げ目標
• 補助事業取組前は3.49%（直近決算期～基準年度）に留まる
• 補助事業取組後は6.50%（基準年度～事業化報告3年目）
• 給与支給総額の年平均成長率8.8％</t>
  </si>
  <si>
    <t>【p.1／売上成長目標】
会社全体の売上成長目標（～2031年）
• 2031年までに会社全体の売上高240億円
• 売上高増加額99.1億円(直近期比)
• 売上高成長率9.3%(25.3期～31.3期)
会社全体の賃上げ目標
• 補助事業取組前は3.49%（直近決算期～基準年度）に留まる
• 補助事業取組後は6.50%（基準年度～事業化報告3年目）
• 給与支給総額の年平均成長率8.8％</t>
  </si>
  <si>
    <t>【p.1】
株式会社新潟食品運輸
1.長期成長ビジョン
食品物流に特化した高品質オペレーションと地域密着ネットワークを武器に、社会課題と顧客ニーズに対応した「3PLハブ拡張」と
「労働環境改革による人材確保」を両輪とした成長戦略を展開。31年売上高240億円を目指す。
長期成長ビジョン（目指す姿・ビジネスモデル） 外発的動機
• （ 長期 会 ビ 社 ジョ （ ン 又はグループ全体）が長期的（５～10年後）に目指 • 物流業界は3PL (サード・パーティー・ロジスティクス)市場を中心に、荷主企
す姿として、社会に対しどのような価値を提供するか等のビジョンに
業に代わる物流システム構築・実行需要が高まりを受けて、過去5年間の
ついてご記載ください） CAGRは+5.3%となる、24.6兆円の市場規模へ成長
戦略の方向性 • 物流業界における「2024年問題」到来により、荷主単独での輸配送能力の
「広域3PLハブ×物流ソリューション×労働改革」で、 制約が顕在化し、共同配送や中継拠点の分散化ニーズが急拡大
地域物流の限界突破 • 地震・水害などの自然災害リスク増加を背景に、サプライチェーンのBCP対策
3PL拡張戦略 労働環境改善による雇用強化戦略 として「広域分散型物流拠点」への移行が加速
需要側（荷主）からの要請と社会構造変化に応 • 大手小売・食品メーカーから「高品質・温度帯管理・トレーサビリティ対応」を
「物流は人が創る現場産業」──人への投資によ
える、広域ハブ型3PLへの転換と拡張 備えた高度物流の要求水準が上昇
る“攻めの経営”への転換
1. 冷凍冷蔵倉庫の大規模増設と多温度帯イン
フラの整備 1. 省人化・自動化設備の導入で、肉体労働負 • 冷凍・冷蔵食品の需要増加に伴い、低温物流インフラの逼迫と拠点整備の
担を軽減
2. 共同配送・中継拠点機能の強化による、非 必要性が顧客側から高まっている。実際、複数取引先から「保管容量の拡
2. 次世代人材の安定雇用と教育体制の強化
効率な単独配送からの脱却
3. 業務効率改善による生産性向上と賃上げ原 張」の要請が相次いでおり、喫緊の対策が求められる
3. トレーサビリティ・温度管理等の付加価値サー
資の創出
ビスの高度化
企業理念
内発的動機
「安全・確実・丁寧・親切な輸送で、お客様との信頼関係を築く」
• 1981年に設立以来、「物流は人が創る現場産業」と捉え、「安全・確実・丁寧・
親切な輸送で、お客様との信頼関係を築く」という企業理念に基づき、食品物流
に特化し、常温・冷蔵・冷凍輸送技術の向上に努めてきた
• しかし、近年は業界全体の「労働力不足」「燃料・電力等コスト高騰」「2024年
問題」に起因して、①荷主単独での物流構築が困難、②同業の倒廃業が相次
ぎ、当社への貨物委託量は増加傾向にある
会社全体の売上成長目標（～2031年）
• 当社としても20年にNCL第2センター、23年に長岡センターを新築し、受入余力
• 2031年までに会社全体の売上高240億円 を高めてきたが、倉庫の逼迫状況が続き、現状のままでは物理的キャパシティによ
• 売上高増加額99.1億円(直近期比) り売上高160億円が天井。成長限界点が迫ってきている
• 売上高成長率9.3%(25.3期～31.3期) • 新たな倉庫整備を前提にした保管量拡大要請が既存及び新規顧客から相次
会社全体の賃上げ目標 いでおり、従前の「守りの経営」ではなく、「攻めの経営」によるボトルネック解消が
• 補助事業取組前は3.49%（直近決算期～基準年度）に留まる 喫緊の課題と認識し、強い信念を持ち変革へ取り組む組織土壌が整ってきた
• 補助事業取組後は6.50%（基準年度～事業化報告3年目） • 本補助事業を単なる増設ではなく、「人を主役とした次世代物流モデル」としての
ハブとして機能させ、物流の未来を見据えた世代交代の布石とする
• 給与支給総額の年平均成長率8.8％</t>
  </si>
  <si>
    <t>【p.2】
株式会社新潟食品運輸
.補助事業の概要
2
地域食品物流の次世代拠点を構築し、共同配送や温度帯対応への急増するニーズに対応。
入出庫効率や車両回転率を向上させ、労働生産性は年10.3%成長。1人当たり給与支給総額年6.5%を実現する原資を創出。
冷凍・冷蔵に関する3PL需要の拡大により、共同配送・広域拠点分散・温度帯対応型倉庫へのニーズが急増。
補助事業の しかし、当社の既存施設の稼働率も逼迫し、新規需要への対応が困難。 事業費 3, 109 百万円
背景・目的 本補助事業により、新拠点(冷蔵冷凍倉庫+高度仕分け機能)を整備し、既存拠点の小口業務を分離。 （補助額） （1, 百万円）
015
全社的に入出荷・配送体制を高効率化させ、地域全体の食品物流を新たな成長フェーズへ昇華する。
設備投資一覧
項目 内容(必要理由) 金額(補助対象のみ) 新潟市江南区丸山ノ内善之丞組1148番地
予定地
(NCL第2センター敷地内)
建築工事・冷凍冷蔵設備工事など
建物費 3,177,000千円
(冷凍冷蔵倉庫の中核施設建設に必要) 延床面積 6,840㎡
マテハン設備・ラック設備など
機械装置費 122,000千円
(高効率な入出荷業務の遂行に必要) 新倉庫(NCL第3センター)イメージ
物流倉庫システム
設備投資の ソフトウェア費 1,000千円
(高効率な入出荷・輸送業務・車両管理に必要)
内容
合計 3,300,000千円
【課題解決/労働生産性向上について】
• 新倉庫の整備により、既存倉庫の逼迫を解消。入出庫・仕分け業務の分担を最適化
• 個別ピックが必要な小口商品には自動倉庫は適さないため、敢えて移動式ラック・固定
ラックを組み合わせる当社オリジナルの庫内オペレーションで省力化・高度化
• WMS(物流倉庫システム)は、GPS配車システムと連動したオーダーメイド版を活用
• 庫内動線を整理し、作業時間あたりの処理件数を1.2倍に向上
※NCL第2センター敷地内に新規併設
• 車両回転率を月間10%以上改善し、配送効率を向上
項目 基準年度 事業化報告3年目
労働生産性 8,567千円
6,383千円
（単位：千円/人） （年平均上昇率＋10.3％）
目標値 従業員1人あたり給与支給総額 5,479千円
4,536千円
（単位：千円/人） （年平均上昇率＋6.5％）
役員１人あたり給与支給総額
-
（単位：千円/人） - （年平均上昇率＋6.5％）
補助事業に係る従業員数
697人 750人
（単位：人）</t>
  </si>
  <si>
    <t>株式会社カネヒロ
1.長期成長ビジョン
当社は、アルミニウム加工・販売事業を成長戦略の柱と位置付けています。本補助事業を通じ、加工と生産能
力を増強することで、外部環境以上の成長実現および、「お客様の喜び」に貢献します。</t>
  </si>
  <si>
    <t>長期成長ビジョン（目指す姿・ビジネスモデル）
・当社は『お客様に少しでもお役に立てる仕事をする事に
よってお客様に喜ばれたい。』という願いのもと、『終わりなき
品質の向上』を掲げ、社会貢献・ステークホルダーへの価
値創出・当社の持続的な成長を実現する。
&lt;上記ビジョンを達成するための具体的行動&gt;
• アルミニウム部品の引き合い件数増加に対し、当社の生産能力の
制約から、機会損失していた案件に対応すべく、工場を移転・拡張。
生産能力が格段に増加することでお客様からの需要に対応、さら
に関連する卸売部材への波及等、全社売上高の向上にも貢献。
• 導線改善および、全自動外観検査機といった最新機器を導入。省
力化及び生産性向上を実現し、試作・開発・設計といった付加価
値の高い業務に注力することが可能となる。
• 上記により、既存の延長線上にない分野への進出を図る。具体的
には、半導体製造装置領域をはじめとする成長分野を積極的に開
拓。各分野での国内サプライチェーンの安定化にも貢献していく。</t>
  </si>
  <si>
    <t>外発的動機
①自動二輪車の軽量化ニーズへの対応
EVシフトなどを背景に、車体の軽量化ニーズが高まっており、車体に用いるアル
ミ部品の開発・供給の需要が高まっている。一方で生産の拠点は海外に移っ
ており、国内向けの供給については将来的に逼迫する可能性がある。国内サプ
ライチェーンの安定化のためにも生産体制を強化する必要がある。
②半導体製造領域への参入
当社の製造拠点である熊本県菊池市周辺では、いまや国内有数の半導体
製造工場立地地域となり、台湾TSMC、Sonyや東京エレクトロン等の大企業
が大規模な投資を実施している。一方で部品等の現地調達については対応で
きる企業が少なく、今まで取扱いのない当社にも引き合いが来るほどに参入
余地が存在している。
③トラック架装、鉄道、事務機など他分野での受注機会の増加
「トラック架装」では市場の供給状況が改善し、「鉄道」では車体の入れ替え
やリニア新幹線の開通に伴う需要が見込まれている。「事務機」ではモバイル
ワークブース向け製品の需要が増加しており、各分野で新たな受注機会が発
生している。</t>
  </si>
  <si>
    <t>内発的動機
①品質第一を貫く生産体制の強化
現状、工場が手狭かつ、工程ごと（保管倉庫・出荷検査が離れている）の導
線が悪く、引き合いに対し受注を受けることができない状態である。それらを集
約・拡大することで、更なる需要への対応と効率化を目指す。やむを得ず外注
していた案件を内製化し、収益改善を図る。
②競争力の高い領域を強化
工場面積を拡大し新たな加工設備を導入することで、現在取り扱うことができ
ない技術力の高い領域（半導体製造装置向けの部品等）へリソースを投
入していく。</t>
  </si>
  <si>
    <t>【p.1／売上成長目標】
会社全体の売上成長目標（～2030年）
• 売上高増加額52億円
• 売上高成長率（年平均成長率）10.8%</t>
  </si>
  <si>
    <t>【p.1】
株式会社カネヒロ
1.長期成長ビジョン
当社は、アルミニウム加工・販売事業を成長戦略の柱と位置付けています。本補助事業を通じ、加工と生産能
力を増強することで、外部環境以上の成長実現および、「お客様の喜び」に貢献します。
長期成長ビジョン（目指す姿・ビジネスモデル） 外発的動機
①自動二輪車の軽量化ニーズへの対応
・当社は『お客様に少しでもお役に立てる仕事をする事に
EVシフトなどを背景に、車体の軽量化ニーズが高まっており、車体に用いるアル
よってお客様に喜ばれたい。』という願いのもと、『終わりなき ミ部品の開発・供給の需要が高まっている。一方で生産の拠点は海外に移っ
品質の向上』を掲げ、社会貢献・ステークホルダーへの価 ており、国内向けの供給については将来的に逼迫する可能性がある。国内サプ
ライチェーンの安定化のためにも生産体制を強化する必要がある。
値創出・当社の持続的な成長を実現する。
②半導体製造領域への参入
&lt;上記ビジョンを達成するための具体的行動&gt;
当社の製造拠点である熊本県菊池市周辺では、いまや国内有数の半導体
• アルミニウム部品の引き合い件数増加に対し、当社の生産能力の
製造工場立地地域となり、台湾TSMC、Sonyや東京エレクトロン等の大企業
制約から、機会損失していた案件に対応すべく、工場を移転・拡張。
が大規模な投資を実施している。一方で部品等の現地調達については対応で
生産能力が格段に増加することでお客様からの需要に対応、さら きる企業が少なく、今まで取扱いのない当社にも引き合いが来るほどに参入
に関連する卸売部材への波及等、全社売上高の向上にも貢献。 余地が存在している。
• 導線改善および、全自動外観検査機といった最新機器を導入。省 ③トラック架装、鉄道、事務機など他分野での受注機会の増加
力化及び生産性向上を実現し、試作・開発・設計といった付加価 「トラック架装」では市場の供給状況が改善し、「鉄道」では車体の入れ替え
値の高い業務に注力することが可能となる。 やリニア新幹線の開通に伴う需要が見込まれている。「事務機」ではモバイル
ワークブース向け製品の需要が増加しており、各分野で新たな受注機会が発
生している。
• 上記により、既存の延長線上にない分野への進出を図る。具体的
には、半導体製造装置領域をはじめとする成長分野を積極的に開
内発的動機
拓。各分野での国内サプライチェーンの安定化にも貢献していく。
①品質第一を貫く生産体制の強化
現状、工場が手狭かつ、工程ごと（保管倉庫・出荷検査が離れている）の導
線が悪く、引き合いに対し受注を受けることができない状態である。それらを集
約・拡大することで、更なる需要への対応と効率化を目指す。やむを得ず外注
していた案件を内製化し、収益改善を図る。
会社全体の売上成長目標（～2030年） ②競争力の高い領域を強化
• 売上高増加額52億円 工場面積を拡大し新たな加工設備を導入することで、現在取り扱うことができ
• 売上高成長率（年平均成長率）10.8% ない技術力の高い領域（半導体製造装置向けの部品等）へリソースを投
入していく。</t>
  </si>
  <si>
    <t>【p.2】
.補助事業の概要
2
熊本工場の生産能力を向上させ、更なる需要増加に対応すると共に、これまでニーズに応えきれず外注対応していたものを内製化。
設計段階から関与する案件数と試作の受け入れを拡大し、新規領域への参入・案件獲得による売上拡大を目指す。
• 現在、当社では既存の分野・製品に関する製造・販売を安定的に実施している一方、新販路の開拓・ 事業費
補助事業の 製品展開は十分に着手出来ていない。 （補助額）
背景・目的 • 熊本工場への投資を通じ、生産能力の向上・製造部品の拡充や試作品の受注強化を図る。熊本工場
の売上高増はもちろん、卸売販売の販路拡大・提案強化に繋げる目的である。
• 事業費1,684百万円のうち、建物1,562百万円 、機械設備109百万円、ソフトウェア13百万円へ投資を行う。
• アルミ加工製品の需要増加に対し、手狭となった工場を移転し、新たに工場を新設することで生産能力および生産性を格段に向上させる計画。
• (生産能力)新規設備としてマシニングセンタを導入することで生産能力が最大で2倍向上、新規製品の受注や新規領域へ参入を目指す。設計・開発
や試作にかかる機械設備も導入することで、より川上から関与できる体制を強化。開発試作から量産案件の獲得に繋げていく。
• (生産性)現在、製造や設計開発と、検査でフロアが分かれており、更に資材倉庫、出荷場所については工場外と導線が複雑である。本事業への投資に
より同工場内で生産効率が大幅に向上、さらに外観検査機器や生産管理システムの導入も行うことで、大幅に生産性が向上する。
→上記により合計6名の省人化を実現することができ、更に製造課に配置転換することで高まる需要に対応する。(新規採用合わせて製造課+11名)
• 新工場の環境対応として、遮熱塗装で太陽光による温度上昇の影響を抑制。また、屋上にソーラーパネルを設置予定。
設備投資の
内容
保
管
倉
庫
納
品
目標値
(
現
状
別
棟
)
検
査
( 現
状
別
フ
ロ
ア
)
出
荷 設
計
試
・
作
開
発
(
現
状
工
場
外
)
株式会社カネヒロ
1, 百万円 243
（ 百万円） 309
◆完成イメージ図
※赤枠内が本事業で取り組むことにより改善が図れる工程
(例)検査：現状別フロアが同一フロアに改善
原
料 製
受 造
入
項目 基準年度 事業化報告3年目
労働生産性 26,440千円
9,544千円
（単位：千円/人） （年平均上昇率＋40.4％）
従業員1人あたり給与支給総額 7,375千円
6,106千円
（単位：千円/人） （年平均上昇率＋6.5％）
役員１人あたり給与支給総額
-
（単位：千円/人） - （年平均上昇率＋6.5％）
補助事業に係る従業員数
82人 88人
（単位：人）</t>
  </si>
  <si>
    <t>明和工業株式会社
1.長期成長ビジョン
溶接と機械加工技術の効率的な組合せにより、国内で製造を完結する工場（プラント）向けの「産業用設備
ユニットの総合エンジニアリング企業」へと脱皮を行う
・明和工業のエンジニアリング事業への投資（新工場の建設および機械設備の導入）で、省人化による効率的なモノづくりを行い、持続的な賃上げを行う
・子会社のヨシカワ機械の新工場（第一工場・第二工場）の建設を行い、明和工業グループとしての生産力を拡大
・地方での採用競争に勝ち抜くために、明和工業グループとして数十年の新人採用と育成計画の中心となる社員寮の建設投資を行う</t>
  </si>
  <si>
    <t>・明和工業のエンジニアリング事業への投資（新工場の建設および機械設備の導入）で、省人化による効率的なモノづくりを行い、持続的な賃上げを行う
・子会社のヨシカワ機械の新工場（第一工場・第二工場）の建設を行い、明和工業グループとしての生産力を拡大
・地方での採用競争に勝ち抜くために、明和工業グループとして数十年の新人採用と育成計画の中心となる社員寮の建設投資を行う</t>
  </si>
  <si>
    <t>長期成長ビジョン（目指す姿・ビジネスモデル）
高度な溶接と精密機械加工技術の融合で、総合エンジニアリング企業を目指す
• 明和工業が長年の水道事業で培った高度な溶接技術
に、子会社のヨシカワ機械等の精密機械加工技術を組
み合わせ、産業用設備の部品や配管、処理ユニットを国
内で垂直統合型生産を行い、全国エリアで展開する
• 明和工業は化学・医療・半導体分野を対象に工場・プ
ラントの高精度な水処理などプラント・ユニット製造等エン
ジニアリング事業を拡大。ヨシカワ機械は、既存顧客の産
業用ロボットメーカー等への部品供給を拡大し、明和工
業のエンジニアリング事業に必要な基幹部品の供給を拡
大し、グループ全体の生産能力を最大化
→上記ビジョンを実現のため、①設備投資による開発・生
産能力向上（工場新設と設備更新および開発オフィスの
新設）②キーファクターである「人材の雇用と育成」を充
実させるための投資（社員寮および管理棟改修）を行う</t>
  </si>
  <si>
    <t>外発的動機
• 明和工業の主力の水道事業は、自治体の予算は頭打ちで、
市場規模も今後変化しない。既存の利益確保はできるものの、
会社の将来的な売上を伸ばす要因とならない。
• 民間の製造業では、省人化や効率化を目的に、生産設備への
投資を増やしており、設備の改修・更新のタイミングに入っている。
• 地政学・為替リスクの増大で、完全国内製造のメリットが高い
→企業成長のためには、民間投資をターゲットにした生産設備
向けのエンジニアリング事業がカギとなる</t>
  </si>
  <si>
    <t>内発的動機
• 水道事業で培った溶接技術をもとに、既存事業の利益を守り、
新分野で2030年にグループとして全体売上を3倍以上にする
• ターゲットとしている溶接技術と部品加工技術を組み合わせたエ
ンジニアリング事業は顧客からのニーズがすでに顕在化しており、
明和工業エンジニアリング部門としても売上が伸長している
• ヨシカワ機械をM&amp;Aしたように、事業承継ができず、廃業リスク
のある小規模企業のM&amp;Aを行い、日本のモノづくりを守り、グ
ループ会社としての「モノづくり集団」を目指す
→すでにニーズが顕在化しているエンジニアリング事業へ、当社と
して積極的な投資を行い、生産能力の拡大が必要不可欠</t>
  </si>
  <si>
    <t>【p.1／上段要旨】
・明和工業のエンジニアリング事業への投資（新工場の建設および機械設備の導入）で、省人化による効率的なモノづくりを行い、持続的な賃上げを行う
・子会社のヨシカワ機械の新工場（第一工場・第二工場）の建設を行い、明和工業グループとしての生産力を拡大
・地方での採用競争に勝ち抜くために、明和工業グループとして数十年の新人採用と育成計画の中心となる社員寮の建設投資を行う
【p.1／売上成長目標】
会社全体の売上成長目標（2025年3月期～2031年3月期）
【明和工業】
・売上増加額 約168.4億円（2030年目標値247.5億円）
・年平均売上高成長率CAGR＝20.9％
【ヨシカワ機械】
・売上増加額 約35.6億円（2030年目標値39.4億円）
・年平均売上高成長率CAGR＝47.6％</t>
  </si>
  <si>
    <t>【p.1】
明和工業株式会社
1.長期成長ビジョン
溶接と機械加工技術の効率的な組合せにより、国内で製造を完結する工場（プラント）向けの「産業用設備
ユニットの総合エンジニアリング企業」へと脱皮を行う
・明和工業のエンジニアリング事業への投資（新工場の建設および機械設備の導入）で、省人化による効率的なモノづくりを行い、持続的な賃上げを行う
・子会社のヨシカワ機械の新工場（第一工場・第二工場）の建設を行い、明和工業グループとしての生産力を拡大
・地方での採用競争に勝ち抜くために、明和工業グループとして数十年の新人採用と育成計画の中心となる社員寮の建設投資を行う
長期成長ビジョン（目指す姿・ビジネスモデル）
外発的動機
高度な溶接と精密機械加工技術の融合で、総合エンジニアリング企業を目指す
• 明和工業の主力の水道事業は、自治体の予算は頭打ちで、
• 明和工業が長年の水道事業で培った高度な溶接技術 市場規模も今後変化しない。既存の利益確保はできるものの、
に、子会社のヨシカワ機械等の精密機械加工技術を組 会社の将来的な売上を伸ばす要因とならない。
み合わせ、産業用設備の部品や配管、処理ユニットを国
• 民間の製造業では、省人化や効率化を目的に、生産設備への
内で垂直統合型生産を行い、全国エリアで展開する
投資を増やしており、設備の改修・更新のタイミングに入っている。
• 明和工業は化学・医療・半導体分野を対象に工場・プ
• 地政学・為替リスクの増大で、完全国内製造のメリットが高い
ラントの高精度な水処理などプラント・ユニット製造等エン
→企業成長のためには、民間投資をターゲットにした生産設備
ジニアリング事業を拡大。ヨシカワ機械は、既存顧客の産
向けのエンジニアリング事業がカギとなる
業用ロボットメーカー等への部品供給を拡大し、明和工
業のエンジニアリング事業に必要な基幹部品の供給を拡
大し、グループ全体の生産能力を最大化
内発的動機
→上記ビジョンを実現のため、①設備投資による開発・生
• 水道事業で培った溶接技術をもとに、既存事業の利益を守り、
産能力向上（工場新設と設備更新および開発オフィスの
新分野で2030年にグループとして全体売上を3倍以上にする
新設）②キーファクターである「人材の雇用と育成」を充
実させるための投資（社員寮および管理棟改修）を行う • ターゲットとしている溶接技術と部品加工技術を組み合わせたエ
ンジニアリング事業は顧客からのニーズがすでに顕在化しており、
会社全体の売上成長目標（2025年3月期～2031年3月期） 明和工業エンジニアリング部門としても売上が伸長している
【明和工業】
• ヨシカワ機械をM&amp;Aしたように、事業承継ができず、廃業リスク
・売上増加額 約168.4億円（2030年目標値247.5億円）
のある小規模企業のM&amp;Aを行い、日本のモノづくりを守り、グ
・年平均売上高成長率CAGR＝20.9％
ループ会社としての「モノづくり集団」を目指す
【ヨシカワ機械】
→すでにニーズが顕在化しているエンジニアリング事業へ、当社と
・売上増加額 約35.6億円（2030年目標値39.4億円）
して積極的な投資を行い、生産能力の拡大が必要不可欠
・年平均売上高成長率CAGR＝47.6％</t>
  </si>
  <si>
    <t>【p.2】
明和工業株式会社
.補助事業の概要
2
明和工業株式会社（コンソーシアム幹事社）における補助事業概要
総合エンジニアリング企業に向けたエンジニアリング工場の新設と建築プラント事業工場拡大、および社員寮投資
, 百万円
• 売上を２～３倍と成長させていくうえで、①新たに成長の柱となっているエンジニアリング事業の 2 195
（ 百万円）
新工場が必要②労働生産性を上げるために、機械加工棟へ複合加工ができる機械設備の導 事業費 712
補助事業の 以下明和工業分
入が必須③また、今後コンソーシアム企業や当社グループ企業で人材採用（高卒新卒）の確 （補助額）
背景・目的 , 百万
1 718
保が一番の課題となることから、これを解決するための設備投資（社員寮）が必要となる
（ 百万）
555
• 【投資計画内容】成長の柱となっているエンジニアリング事業の工場（Ｈ棟
1,447㎡）の建設と、機械加工を行うB棟（2,399㎡）へ複合加工がで
きるNC旋盤の導入と、５軸マシニングセンタの導入、新卒者の確保を行う
ための社員寮の建設に加え、プラント向けの配管製造を行う建築プラント事
業の専用工場を別の敷地に確保し、生産能力の拡充を行う
社員寮イメージ
• 【課題】機械が老朽化しており、単一機能のNC旋盤は作業効率が悪く労
設備投資の 働生産性が低い。また、将来的な事業の柱となる可能性の高いエンジニアリ
写真等
内容 ング事業専門の大型工場がないため、既存の事業の生産設備のあるスペー エンジニアリ
ング新工場
スを材料が回るため、生産効率が悪い。明和工業およびグループ会社では、
H棟
機械加工や溶接工等の職種で、拠点や子会社のある場所で高校卒業の
新卒採用を強化する必要があるが、採用の競争が激しく採用が困難
B棟 A棟
• 【課題の解決】エンジニアリング専門工場の新設および５軸マシニングセンタ
機械加工 水道事業
や複合NC旋盤の導入による生産性の向上、また、社員寮建設による新卒
社員の確保と、人員増による生産能力の安定化
基準年度(2027年度ー2028年3月期）
項目 事業化報告3年目
小数点以下切り捨て
労働生産性 21,274
14,783
（単位：千円/人） （年平均上昇率＋12.9％）
目標値 従業員1人あたり給与支給総額
4,692
5,515
（単位：千円/人） （年平均上昇率＋5.5％）
役員１人あたり給与支給総額
-
（単位：千円/人） - （年平均上昇率＋0％）
補助事業に係る従業員数
（単位：人） 54 84
【p.3】
明和工業株式会社
.補助事業の概要
2
株式会社ヨシカワ機械における補助事業概要
明和工業のグループとして、機械加工部門の生産性向上と、将来的な製缶工程を見据えた工場の新設
, 百万円
2 195
• 顧客の受注増に応じる生産能力が限界に達しているのに加え、より生産効率と労働生産性を
（ 百万円）
712
補助事業の 上げる課題の解決が成長に必須となる。また、明和工業の子会社としてのグループ内の生産能 事業費
以下ヨシカワ機械分
背景・目的 力を上げていくために、今後は単なる機械加工だけでなく、親会社の明和工業の技術を使った （補助額） 百万円
477
部品と部品を組み合わせる「製缶」工程への脱皮も目標 （ 百万円）
157
• 【設備投資内容】工場の新設（第一工場は1,100㎡、第二工場は ヨシカワ機械
700㎡）と現在主力のNC旋盤13機のうち、1992年～97年に製造 現在の工場内
された7機の設備入れ替えを実施。
• 【課題】現在の工場は受注増により、面積、生産能力ともに上限に達し
ており、NC旋盤なども単機能なため、生産効率も悪い。
• 【設備投資による課題の解決】工場の隣接地を買収し、今の約３倍の
設備投資の
床面積の新工場建設をすることで、生産能力が向上するだけでなく、こ 写真等
内容
れまでヨシカワ機械でできなかった溶接作業（製缶作業）も明和工業
の技術指導のもと可能となり、付加価値の向上につながる。また、新規
機械設備の導入（複合加工ができるNC旋盤）により、生産能力が 用地取得を行った
２倍となり、それまでNC旋盤とマシニングにそれぞれ配置していた人材が 新工場建設地 ボーリング調査中
１名でよくなるため、作業効率も上がり、労働生産性の向上につながる 調査は補助対象経費外
基準年度(2027年度ー2028年3月期）
項目 事業化報告3年目
小数点以下切り捨て
（単
労
位
働
：
生
千
産
円
性
/人）
14,812
（年平均上
3
昇
0,9
率
5
＋
9
27.9％）
目標値 従業員1人あたり給与支給総額 4,475
3,705
（単位：千円/人） （年平均上昇率＋6.5％）
役員１人あたり給与支給総額
-
（単位：千円/人） - （年平均上昇率＋6.5％）
補助事業に係る従業員数
33 48
（単位：人）</t>
  </si>
  <si>
    <t>鈴木鉄工株式会社
1.長期成長ビジョン
⚫ メガトレンドである「電動化の進展」を踏まえ、可動部品製造の自動化・省力化により、社会課題に当社の技術で貢献
⚫ 2035年までに「自動車シート・ドア自動部品の世界的ニッチトップ企業」となることが目標
⚫ 可動部品組付の自動化により生産能力を拡大し、売上152億円増加を目指す</t>
  </si>
  <si>
    <t>長期成長ビジョン（目指す姿・ビジネスモデル）
メガトレンド
• 電動車普及で電動シートやスライドドアの標準装備化が進む
• 北米欧州で高級車のSUV、東南アジアでミニバン需要増
• 静音・小型化で高精度スクリュー、ウォーム部品が必要
• 人手不足で省力化・多様な人材活用進む
目指す姿とビジネスモデル
自動車シート・ドアなど自動可動部品の世界的ニッチトップ企業を目
指す
・ 可動部品組付工程の自動化による生産能力の拡大
・ 可動部品組付工程の省力化により女性、シニアの活躍を促進
・ 生産能力の拡大により海外向け販売を強化
※可動組付部品：スクリューやギヤの部品から構成される、
シートやドアを動かす部品</t>
  </si>
  <si>
    <t>外発的動機
• 可動組付部品の引き合いが強く、新工場がなければ生産要求
に対応できない。
• 中国などアジア諸国の技術力向上により、競争が激しくなる。
• 物価・賃金の上昇傾向により、製品の高付加価値化（組付など
技術が要求されるもの）が必要。
• 国内需要の長期的な伸びが見込めず、海外売上比率の向上
が求められる。
• 就労人口の減少・高齢化により、人手不足対策が急務。
可動部品組付の自動化ラインを整備し、生産能力と品質を向上
多様な人材が働ける省力ラインの導入で人手不足に対応
海外営業体制を強化し販路を拡大</t>
  </si>
  <si>
    <t>内発的動機
• 量産向け組付部品の製造を拡大し過去7年で売上が2.5倍にな
た。この流れを止めず、加速したい。
• 組付部品製造を自動化し、競争優位性を確立したい。
• 今まで培ってきた自動化技術を早く具現化したい。
• 従業員が「働いて幸せ」と思える会社にしたい。女性やシニア
が加工工程でも活躍できる職場にしたい。
• 顧客層・業種を拡大し、経営基盤をさらに強化したい。
• 付加価値をさらに高めるため、研究開発活動を強化したい。</t>
  </si>
  <si>
    <t>【p.1／売上成長目標】
会社全体の売上成長目標（直近決算～2031年）
• 売上高成長率：年平均成長率 12.5%
• 売上高増加額：152億円</t>
  </si>
  <si>
    <t>【p.1】
鈴木鉄工株式会社
1.長期成長ビジョン
⚫ メガトレンドである「電動化の進展」を踏まえ、可動部品製造の自動化・省力化により、社会課題に当社の技術で貢献
⚫ 2035年までに「自動車シート・ドア自動部品の世界的ニッチトップ企業」となることが目標
⚫ 可動部品組付の自動化により生産能力を拡大し、売上152億円増加を目指す
長期成長ビジョン（目指す姿・ビジネスモデル） 外発的動機
メガトレンド • 可動組付部品の引き合いが強く、新工場がなければ生産要求
に対応できない。
• 電動車普及で電動シートやスライドドアの標準装備化が進む • 中国などアジア諸国の技術力向上により、競争が激しくなる。
• 北米欧州で高級車のSUV、東南アジアでミニバン需要増 • 物価・賃金の上昇傾向により、製品の高付加価値化（組付など
• 静音・小型化で高精度スクリュー、ウォーム部品が必要 技術が要求されるもの）が必要。
• 人手不足で省力化・多様な人材活用進む • 国内需要の長期的な伸びが見込めず、海外売上比率の向上
目指す姿とビジネスモデル が求められる。
• 就労人口の減少・高齢化により、人手不足対策が急務。
自動車シート・ドアなど自動可動部品の世界的ニッチトップ企業を目
可動部品組付の自動化ラインを整備し、生産能力と品質を向上
指す
多様な人材が働ける省力ラインの導入で人手不足に対応
・ 可動部品組付工程の自動化による生産能力の拡大
海外営業体制を強化し販路を拡大
・ 可動部品組付工程の省力化により女性、シニアの活躍を促進
・ 生産能力の拡大により海外向け販売を強化
※可動組付部品：スクリューやギヤの部品から構成される、
シートやドアを動かす部品
内発的動機
• 量産向け組付部品の製造を拡大し過去7年で売上が2.5倍にな
た。この流れを止めず、加速したい。
• 組付部品製造を自動化し、競争優位性を確立したい。
• 今まで培ってきた自動化技術を早く具現化したい。
• 従業員が「働いて幸せ」と思える会社にしたい。女性やシニア
が加工工程でも活躍できる職場にしたい。
• 顧客層・業種を拡大し、経営基盤をさらに強化したい。
会社全体の売上成長目標（直近決算～2031年）
• 付加価値をさらに高めるため、研究開発活動を強化したい。
• 売上高成長率：年平均成長率 12.5%
• 売上高増加額：152億円</t>
  </si>
  <si>
    <t>【p.2】
鈴木鉄工株式会社
.補助事業の概要
2
⚫ 生産能力と付加価値向上を両立するため、難しい部品組付に対応した自動化工場を新設
⚫ 自動組付ラインやIoT、研究設備の導入で、省力化・高効率化・人手不足対策を実現
⚫ 女性やシニアも活躍できる体制とし、海外競争力と継続的成長を見据えた基盤を強化
背景：シート、ドア向け電動部品の引合い増加で生産能力が不足。人手不足も懸念
補助事業の 事業費
2, 百万円
目的：難しい組付作業の自動工場を新設。生産能力高めると同時に人手不足に対応 535
背景・目的 （補助額）
（ 百万円）
方法：①新工場の建設、 ②自動組付ライン開発導入、③研究所設備、付帯部品製造効率化 843
①新工場の建設
• 新工場建設工事
• ボンデ処理装置、排水装置、敷設工事
• コンプレッサー、ミストコレクターなど、製造ライン付帯設備工事
②自動組付ライン開発導入
設備投資の
• パワーシート、パワーバック・スライドドアなどの部品組付自動化設備
内容
• パワーシート、パワーバック・スライドドアなどの部品製造設備
• 夜間運転のための稼働管理システム※
• IoT予兆保守システム※
③研究所設備、付帯部品製造効率化
• 自動化、技術開発のための研究設備導入※ ※自己経費予定
①生産数増強 新工場、組付ラインの増設、部品製造設備強化で生産数増加が可能となり、顧客の増産要求満たせる
②生産性向上 難しい組付工程で自動化で、サイクルタイム減、省人化、品質向上となる。海外競合に対して優位性築ける
課題解決
③採用強化・技術伝承 自動組付工場により、細かい手作業、労働負荷の低減で未経験者・女性・シニアがより活躍できる
④継続的競争力 研究所（建設済み）に設備拡充で、さらなる自動化、特殊転造などの新工法、刃具・ダイスの革新に挑戦
①組付作業の手作業工程を自動化することで画期的な省力化となる。熟練者以外でも作業可能
労働生産性 ②単価の高い（難しい）部品組付業務を増やせる
向上 ③IoT予兆保守システムで設備の停止を未然に防ぎ、ダウンタイム減、稼働率向上で生産性向上
項目 基準年度 事業化報告３年目
労働生産性（単位：千円/人） 66,170 125,750（年平均上昇率＋23.9％）
目標値 従業員1人あたり給与支給総額（単位：千円/人） 5,067 6,383（年平均上昇率＋8.0％）
役員１人あたり給与支給総額（単位：千円/人） - -（年平均上昇率＋6.50％）
補助事業に係る従業員数（単位：人） 38 40</t>
  </si>
  <si>
    <t>オギハラ食品株式会社
1.長期成長ビジョン
世界一、高菜愛のあふれる人々がつくる、最高においしい高菜トップメーカーを目指す。</t>
  </si>
  <si>
    <t>長期成長ビジョン（目指す姿・ビジネスモデル）
• 対社会では、地元大牟田発祥である三池高菜の食文
化継承者として、生産者と顧客を繋ぐ中核的な役割を
担うため、顧客に高品質で高い付加価値の商品を提
供し、その利益を生産者に還元しながら持続可能な共
存共栄を図ることで、社会的になくてはならない存在を
目指します
• 対顧客においては国内トップシェア実績の高品質・おい
しさ・安定生産能力を更に増強し、更なるニーズに応え
得るため新製品・新用途の開発を通じて新たな高菜の
可能性を探求する存在になります
• 対社員については、個人の人生の生きがいと仕事のや
りがいが会社の目指す理念と一致する、人生を掛ける
に値する企業体を目指します</t>
  </si>
  <si>
    <t>外発的動機
• 国内の農業従事者人口の減少に伴い、三池高菜生産者において
も高齢化や採算性の低さから、生産量の減少に歯止めが掛からな
い状況 →顧客に対し、より高菜の魅力を存分に発揮し、更なる
価値を創造できる生産体制を整えることで、高付加価値商品を供
給し、生産者に利益を還元していく体制が急務
• 高菜漬メーカーは量産化や省力化が立ち遅れており、市場開拓の
余地があるにも関わらずチャンスロスが発生している
→主な原因として高菜漬原料の特性でもある異物除去の困難
さがあり、その対策にはより高度な設備や目視確認を行う人的
要素が重要。そのためにも製造工員が作業しやすいだけに留まら
ず、将来を見据えた魅力ある職場環境を整えることが急務</t>
  </si>
  <si>
    <t>内発的動機
• 当社は大正5年創業より、長らく同族家業として高菜漬製造に従
事してきたが、平成13年に食品衛生７Ｓ活動を切っ掛けに、家業
から企業へと舵を切り現在に至っている
• この間、同族外の社員を大いに採用し、そして成長してくれた。その
結果、品質と生産能力の向上に多大な貢献を果たしてくれた
• 経営者として感謝すると共に、当社の理念追求をすることで、人財
である従業員が将来持続可能な豊かさを享受できる企業及び組
織体制にしておくことが4代目経営者としての使命と責任であると考
えている。</t>
  </si>
  <si>
    <t>【p.1／売上成長目標】
会社全体の売上成長目標（基準年度～2030年度）
• 売上高増加額3,143百万円
• 売上高成長率49.4％</t>
  </si>
  <si>
    <t>【p.1】
オギハラ食品株式会社
1.長期成長ビジョン
世界一、高菜愛のあふれる人々がつくる、最高においしい高菜トップメーカーを目指す。
外発的動機
長期成長ビジョン（目指す姿・ビジネスモデル） • 国内の農業従事者人口の減少に伴い、三池高菜生産者において
も高齢化や採算性の低さから、生産量の減少に歯止めが掛からな
• 対社会では、地元大牟田発祥である三池高菜の食文
い状況 →顧客に対し、より高菜の魅力を存分に発揮し、更なる
化継承者として、生産者と顧客を繋ぐ中核的な役割を 価値を創造できる生産体制を整えることで、高付加価値商品を供
担うため、顧客に高品質で高い付加価値の商品を提 給し、生産者に利益を還元していく体制が急務
供し、その利益を生産者に還元しながら持続可能な共 • 高菜漬メーカーは量産化や省力化が立ち遅れており、市場開拓の
余地があるにも関わらずチャンスロスが発生している
存共栄を図ることで、社会的になくてはならない存在を
→主な原因として高菜漬原料の特性でもある異物除去の困難
目指します
さがあり、その対策にはより高度な設備や目視確認を行う人的
• 対顧客においては国内トップシェア実績の高品質・おい
要素が重要。そのためにも製造工員が作業しやすいだけに留まら
しさ・安定生産能力を更に増強し、更なるニーズに応え ず、将来を見据えた魅力ある職場環境を整えることが急務
得るため新製品・新用途の開発を通じて新たな高菜の
可能性を探求する存在になります
• 対社員については、個人の人生の生きがいと仕事のや 内発的動機
りがいが会社の目指す理念と一致する、人生を掛ける • 当社は大正5年創業より、長らく同族家業として高菜漬製造に従
事してきたが、平成13年に食品衛生７Ｓ活動を切っ掛けに、家業
に値する企業体を目指します
から企業へと舵を切り現在に至っている
• この間、同族外の社員を大いに採用し、そして成長してくれた。その
結果、品質と生産能力の向上に多大な貢献を果たしてくれた
会社全体の売上成長目標（基準年度～2030年度）
• 経営者として感謝すると共に、当社の理念追求をすることで、人財
• 売上高増加額3,143百万円
である従業員が将来持続可能な豊かさを享受できる企業及び組
• 売上高成長率49.4％
織体制にしておくことが4代目経営者としての使命と責任であると考
えている。</t>
  </si>
  <si>
    <t>【p.2】
オギハラ食品株式会社
2.補助事業の概要
本事業の目的「生産量アップ」「労働生産性向上」「品質向上」「就労環境改善」の達成のため、
工場の新築により工場面積を拡張するとともに、最新設備の導入により生産性・品質を向上させる
• 生産能力を大幅に拡充し、長期的な成長が可能な体制を構築する
全社
• 省人化による労働生産性向上と、従業員の作業負荷軽減
事業費 4,192百万円
外食チェーン • 取引先の新規出店に伴う増産要求への対応
（補助額） （1,171百万円）
補助事業の • より高品質・高付加価値で安全な製品の提供
店舗販売
背景・目的 • 販路拡大（取扱い店舗増加）に向けた増産
業務用 • 供給制限の解除と販路拡大
数値確定後記入
海外展開 • 輸出に必要な認証（FSSC22000）の取得
〈工場の新築〉
• 現在2か所に分散している工場を集約、仕掛品の運搬に係るリソースを削減
• 温度管理が徹底できる設計とし、品質向上と就労環境の改善を図る
• FSSC22000取得条件である工程間のゾーニングが徹底できる設計とする
• 本補助事業実施後もラインの増設が可能なスペースを確保する
設備投資の
〈省力化設備の導入〉
内容
• 処理能力の高い最新式の設備を導入し、生産量を飛躍的に増加させる
• 特に人的負荷の高い充填・包装工程を半自動化し、生産性を向上させる
〈品質向上に資する設備投資〉
• 検査機を最新式へ更新、菌検査施設を新設して内製化し品質管理体制を強化
• テストキッチンを現在よりも拡充し、製品開発体制を整備
項目 基準年度 事業化報告3年目
労働生産性 16,506
5,866
（単位：千円/人） （年平均上昇率＋41.2％）
従業員1人あたり給与支給総額 4,148
目標値 3,463
（単位：千円/人） （年平均上昇率＋6.2％）
役員１人あたり給与支給総額 -
-
（単位：千円/人） （年平均上昇率＋6.2％）
補助事業に係る従業員数
58 91
（単位：人）</t>
  </si>
  <si>
    <t>株式会社環境整備産業
1.長期成長ビジョン
◼ 循環型社会の実現をビジョンとし、廃棄物処理業を通じて地域社会のインフラ整備・資源循環に注力している
◼ 特別管理産業廃棄物処理に資する大規模投資を行うことで地域課題解決に貢献するとともに労働生産性改善を図り飛躍的な成長を遂げる</t>
  </si>
  <si>
    <t>長期成長ビジョン（目指す姿・ビジネスモデル）
• 当社は、地球環境を守るため、廃棄物収集運搬および処理業を通
じ、地域社会における公衆衛生の社会水準を維持するとともに「ご
みをごみとして終わらせない」 循環型社会の実現をビジョンとして掲
げ、サーキュラーエコノミーへの貢献を追求している。
• 一般廃棄物/産業廃棄物の収集運搬 -中間処理（リサイクル）ま
でワンストップで可能な体制を構築しており、例えば食品残さの堆肥
化など廃棄物の品目に応じた専門リサイクル工場を複数運営。
• 処理に高度な専門知識・設備を要する「特別管理産業廃棄物
（感染性廃棄物・廃液・薬品類）」のノウハウ不足が当社課題で
あったが、本課題解決に向け 2023年に特別管理廃棄物の中間処
理を強みとする㈱エスプレス大分を M&amp;Aによりグループ化。
• 大分県内に特別管理産業廃棄物の中間処理が可能な施設は僅
少で、県内で発生する感染性廃棄物の 65.8％、廃酸・廃アルカリ
の61.3％が県外処理されている。
（令和6年版大分県環境白書「資料編」）
• 本補助事業では、有害性の高い特別管理産業廃棄 物の県外流
出に伴う漏洩リスク及び長距離輸送による排出事業者の物流コス
ト削減を図る目的で、県内最大規模の特別管理産業廃棄物焼
却・中和処理施設を新設する。これにより、危険廃棄物の漏洩リス
クおよび搬入業者の輸送にかかる CO2排出量、燃料費の削減に貢
献するとともに、工場新設により新たな雇用の創出、投入作業を自
動化することで労働生産性の向上を図る。</t>
  </si>
  <si>
    <t>外発的動機
• TSMC進出に伴う半導体関連廃液排出量の増加
半導体製造は有害性の薬品を用いる工程が多くあり、廃酸・廃アル
カリとして排出され、液状での埋立処理もできないため中間処理
（中和）の必要性が高い 。熊本への
（水質汚濁防止法・廃棄物処理法）
TSMC進出に伴い、廃液処理施設不足が表面化。隣県である
大分の処理施設にもTSMCが視察に来るほどインフラ整備が課題。
• 特別管理産業廃棄物の県外処理依存
感染性廃棄物の中間処理（焼却）施設が不足しているため、大
分県内の産業廃棄物収集運搬業者は医療機関から排出された廃
棄物を北九州市（福岡県）・熊本県の処理施設まで運搬している。
2024年問題に起因したドライバー不足が深刻化する中で長距離
輸送による非効率・機会損失は当社のみならず、地域の産業廃棄
物収集業者の大きな課題となっている。</t>
  </si>
  <si>
    <t>内発的動機
• 新型コロナウイルス感染症の流行時、検査キット・注射器など感染
性廃棄物の排出量が急増。これに伴い、感染性廃棄物の中間処理
（焼却）で大分県最大のシェアを誇るグループ会社㈱エスプレス大
分に処理依頼が大幅増加。しかし処理施設の能力不足で断らざる
を得ない受注が頻発。結果、これらの廃棄物は県外処理施設に持
ち込まれ、排出事業者の物流コスト/管理コスト増加・長距離運搬
による漏洩・二次感染リスク増加など地域の大きな課題と認識。
• 大分県内における廃棄物処理業界のリーディングカンパニーとして、
地域の持続可能性向上を目指す当社にとって、本補助事業の構想
に至る大きな契機となった。
• 更には、特別管理産業廃棄物の処理環境は過酷なもので、新施設
により省人化を実現することで労働集約型の処理工程から脱却し、
労働環境改善・労働生産性の向上を図り、飛躍的な成長を遂げる。</t>
  </si>
  <si>
    <t>【p.1／売上成長目標】
会社全体の売上成長目標(2024年9月期-2030年9月期)
• 売上高増加額：+22.8億円
• 売上高成長率：年平均成長率+12.0％
【p.2／設備投資の内容】
《設備投資の内容》
① 焼却・中和施設建設工事（延床面積2,234.88㎡） 7
② 廃棄物焼却設備 7
③ 廃液処理除外設備 1
④ 有機汚泥処理設備 0
⑤ 発光分光分析装置 0
• 大分県大分市豊海に保有する遊休地（総敷地面積7,060
大規模の焼却・中和処理施設を建設する。
• 工業団地内の最奥に位置しており、周辺環境への影響が少な
設として最適な立地。センサー・IoT・ロボットなど先端デジタル
た設備導入により、大分市内唯一の焼却施設を有するグルー
レス大分の2倍以上の処理能力を見込む。
• 県外へ流出していた医療系廃棄物・化学工業系廃棄物の処
とで、県内排出事業者の処理コスト低減を図るとともに、資源
形成に貢献する。
• 省力化設備導入による廃棄物処理業の3K（きつい・汚い・
【p.2／◎廃棄物焼却設備イメージ】
◎廃棄物焼却設備イメージ
【p.2／◎中和処理設備イメージ（一部）】
◎中和処理設備イメージ（一部）</t>
  </si>
  <si>
    <t>【p.1】
株式会社環境整備産業
1.長期成長ビジョン
◼ 循環型社会の実現をビジョンとし、廃棄物処理業を通じて地域社会のインフラ整備・資源循環に注力している
◼ 特別管理産業廃棄物処理に資する大規模投資を行うことで地域課題解決に貢献するとともに労働生産性改善を図り飛躍的な成長を遂げる
長期成長ビジョン（目指す姿・ビジネスモデル） 外発的動機
• TSMC進出に伴う半導体関連廃液排出量の増加
• 当社は、地球環境を守るため、廃棄物収集運搬および処理業を通
半導体製造は有害性の薬品を用いる工程が多くあり、廃酸・廃アル
じ、地域社会における公衆衛生の社会水準を維持するとともに「ご
カリとして排出され、液状での埋立処理もできないため中間処理
みをごみとして終わらせない」循環型社会の実現をビジョンとして掲
（中和）の必要性が高い 。熊本への
（水質汚濁防止法・廃棄物処理法）
げ、サーキュラーエコノミーへの貢献を追求している。
TSMC進出に伴い、廃液処理施設不足が表面化。隣県である
• 一般廃棄物/産業廃棄物の収集運搬-中間処理（リサイクル）ま
大分の処理施設にもTSMCが視察に来るほどインフラ整備が課題。
でワンストップで可能な体制を構築しており、例えば食品残さの堆肥
• 特別管理産業廃棄物の県外処理依存
化など廃棄物の品目に応じた専門リサイクル工場を複数運営。 感染性廃棄物の中間処理（焼却）施設が不足しているため、大
• 処理に高度な専門知識・設備を要する「特別管理産業廃棄物 分県内の産業廃棄物収集運搬業者は医療機関から排出された廃
（感染性廃棄物・廃液・薬品類）」のノウハウ不足が当社課題で 棄物を北九州市（福岡県）・熊本県の処理施設まで運搬している。
あったが、本課題解決に向け2023年に特別管理廃棄物の中間処 2024年問題に起因したドライバー不足が深刻化する中で長距離
理を強みとする㈱エスプレス大分をM&amp;Aによりグループ化。 輸送による非効率・機会損失は当社のみならず、地域の産業廃棄
• 大分県内に特別管理産業廃棄物の中間処理が可能な施設は僅 物収集業者の大きな課題となっている。
少で、県内で発生する感染性廃棄物の65.8％、廃酸・廃アルカリ
内発的動機
の61.3％が県外処理されている。
（令和6年版大分県環境白書「資料編」）
• 新型コロナウイルス感染症の流行時、検査キット・注射器など感染
• 本補助事業では、有害性の高い特別管理産業廃棄物の県外流
性廃棄物の排出量が急増。これに伴い、感染性廃棄物の中間処理
出に伴う漏洩リスク及び長距離輸送による排出事業者の物流コス
（焼却）で大分県最大のシェアを誇るグループ会社㈱エスプレス大
ト削減を図る目的で、県内最大規模の特別管理産業廃棄物焼
分に処理依頼が大幅増加。しかし処理施設の能力不足で断らざる
却・中和処理施設を新設する。これにより、危険廃棄物の漏洩リス
を得ない受注が頻発。結果、これらの廃棄物は県外処理施設に持
クおよび搬入業者の輸送にかかるCO2排出量、燃料費の削減に貢
ち込まれ、排出事業者の物流コスト/管理コスト増加・長距離運搬
献するとともに、工場新設により新たな雇用の創出、投入作業を自
による漏洩・二次感染リスク増加など地域の大きな課題と認識。
動化することで労働生産性の向上を図る。
• 大分県内における廃棄物処理業界のリーディングカンパニーとして、
地域の持続可能性向上を目指す当社にとって、本補助事業の構想
会社全体の売上成長目標(2024年9月期-2030年9月期)
に至る大きな契機となった。
• 売上高増加額：+22.8億円 • 更には、特別管理産業廃棄物の処理環境は過酷なもので、新施設
により省人化を実現することで労働集約型の処理工程から脱却し、
• 売上高成長率：年平均成長率+12.0％
労働環境改善・労働生産性の向上を図り、飛躍的な成長を遂げる。</t>
  </si>
  <si>
    <t>【p.2】
株式会社環境整備産業
.補助事業の概要
2
◼ 県内最大規模の廃棄物焼却・中和処理施設を新設。県内排出事業者のコスト・リスクの低減、資源循環型社会の形成に貢献する
◼ 省力化設備導入を行い、従業員の労働環境改善を図るとともに、労働生産性年平均成長率+24.7％の成長を目指す
• 大分県内において特別管理産業廃棄物・重工業関連有害物質の「焼却」「中和」が可能な事業者が極めて
少なく、令和6年版大分県環境白書による公表値では、県内で発生する感染性廃棄物の65.8％、廃酸・廃
補助事業の アルカリの61.3％が県外で処理されている。 事業費 1,7 百万円
77
• 県外処理に伴い排出事業者の処理・管理コスト増加、運搬時の漏洩リスク増加、不法投棄リスク増加など、
背景・目的 （補助額） （5 百万円）
地域において深刻な課題となっている（自治体としても課題認識）。 57
• 本補助事業により県内最大規模の廃棄物焼却・中和処理施設を新設することで上記課題を解決
するとともに、リサイクルによる再資源化の推進及び持続的な賃上げに向けた飛躍的な成長を図る。
《設備投資の内容》
◎廃棄物焼却設備イメージ
① 焼却・中和施設建設工事（延床面積2,234.88㎡） 7.6億円
② 廃棄物焼却設備 7.0億円
③ 廃液処理除外設備 1.8億円
④ 有機汚泥処理設備 0.8億円
⑤ 発光分光分析装置 0.2億円
• 大分県大分市豊海に保有する遊休地（総敷地面積7,060㎡）に県内最
設備投資の 大規模の焼却・中和処理施設を建設する。
• 工業団地内の最奥に位置しており、周辺環境への影響が少ない中間処理施
内容
設として最適な立地。センサー・IoT・ロボットなど先端デジタル技術を活用し
◎中和処理設備イメージ（一部）
た設備導入により、大分市内唯一の焼却施設を有するグループ会社㈱エスプ
レス大分の2倍以上の処理能力を見込む。
• 県外へ流出していた医療系廃棄物・化学工業系廃棄物の処理を受託するこ
とで、県内排出事業者の処理コスト低減を図るとともに、資源循環型社会の
形成に貢献する。
• 省力化設備導入による廃棄物処理業の3K（きつい・汚い・危険）イメージ
脱却を通じて、従業員の労働環境改善、労働生産性の向上を目指す。
項目 基準年度 事業化報告3年目
労働生産性 20,065
（単位：千円/人）
10,345
（年平均上昇率＋24.7％）
目標値 従業員1人あたり給与支給総額 4,674
3,869
（単位：千円/人） （年平均上昇率＋6.5％）
役員１人あたり給与支給総額
-
（単位：千円/人） - （年平均上昇率＋5.8％）
補助事業に係る従業員数
（単位：人） 55 65</t>
  </si>
  <si>
    <t>ナカネ新建材株式会社
1.長期成長ビジョン
建材卸売業としての更なる成長と、建材3PL事業への本格参入を両立するため、地域最大級の倉庫新設を起
点に物流の抜本的改革と事業構造の多角化を実現。2030年に向けて飛躍的な売上拡大を目指す。</t>
  </si>
  <si>
    <t>長期成長ビジョン（目指す姿・ビジネスモデル）
• 本事業の概要
地域最大クラスの建材・住設専用倉庫を新設
業界史上初となる建材3PL事業の実現と
建材・住設卸事業の更なる飛躍的成長を目指す
本事業は建材・住設卸売事業の再構築と新規3PL事業への参入を目的と
した戦略的投資である。
老朽化・狭隘化した既存倉庫の課題を解消し、建材流通の効率性を高め
るとともに、建材卸業者の在庫・配送管理を担う3PL拠点としても機能する
新倉庫を建設する。
• 目指す姿
・建材卸売業の持続的成長
既存の取引基盤と商圏を活かしつつ、新倉庫による供給力の強化と物
流効率化を通じて、建材卸売事業の持続的な売上成長と収益性向上
を図る。
・建材業界初の3PL事業への挑戦
新倉庫を活用し、建材に特化した在庫・配送管理のアウトソーシングを展
開。業界初の3PLモデル構築により、新たな収益源を創出する。
・物流DXによる働き方改革
移動ラックやWMSの導入により、属人的だった倉庫業務をデジタルで最
適化。労働生産性の向上と働きやすい職場環境の実現を目指す。</t>
  </si>
  <si>
    <t>外発的動機
• 運送・建設業界の働き方改革における2024年問題への対応
時間外労働の上限規制により、運送・建設業では従来の作業体
制が困難となる。物流効率や倉庫作業の省力化が急務であり、対
応が企業成長の鍵を握る。
• 空き家対策・リフォーム市場の伸張
空き家の増加に伴い、リフォーム市場が拡大している。水廻り建材
の需要が増す中、迅速な供給体制の構築が重要な課題となってい
る。
• 労働人口の減少に伴う省人化・効率化ニーズ
人手不足が深刻化する中、建設・物流業界では省人化と効率化
が急務である。WMSや自動ラックの導入が対応策として注目されて
いる。</t>
  </si>
  <si>
    <t>内発的動機
• 倉庫容量不足による業務ボトルネックの解消
既存倉庫の収容力不足が、建材配送や在庫管理の制約となって
いた。新倉庫の建設により、キャパシティの拡張と業務効率の向上
を図る。
• 荷役作業の非効率性とトラック渋滞の解消
狭隘な現倉庫前道路により荷積み・荷下ろしが非効率で、渋滞が
常態化していた。広い敷地への移転により、この課題の抜本的な解
消を目指す。
• 属人的な在庫管理からの脱却
現場では入庫者以外が在庫場所を把握できず、検索や確認に時
間を要していた。新倉庫ではWMSを導入し、在庫情報の共有・見
える化を実現する。</t>
  </si>
  <si>
    <t>【p.1／売上成長目標】
会社全体の売上成長目標（～2030年）
• 売上高171億円
• 売上高増加額106億円
• 売上高成長率163％（直近期末→30年10月期）</t>
  </si>
  <si>
    <t>【p.1】
ナカネ新建材株式会社
1.長期成長ビジョン
建材卸売業としての更なる成長と、建材3PL事業への本格参入を両立するため、地域最大級の倉庫新設を起
点に物流の抜本的改革と事業構造の多角化を実現。2030年に向けて飛躍的な売上拡大を目指す。
長期成長ビジョン（目指す姿・ビジネスモデル） 外発的動機
• 運送・建設業界の働き方改革における2024年問題への対応
• 本事業の概要
時間外労働の上限規制により、運送・建設業では従来の作業体
地域最大クラスの建材・住設専用倉庫を新設
制が困難となる。物流効率や倉庫作業の省力化が急務であり、対
業界史上初となる建材3PL事業の実現と
応が企業成長の鍵を握る。
建材・住設卸事業の更なる飛躍的成長を目指す
• 空き家対策・リフォーム市場の伸張
空き家の増加に伴い、リフォーム市場が拡大している。水廻り建材
本事業は建材・住設卸売事業の再構築と新規3PL事業への参入を目的と
の需要が増す中、迅速な供給体制の構築が重要な課題となってい
した戦略的投資である。
る。
老朽化・狭隘化した既存倉庫の課題を解消し、建材流通の効率性を高め
• 労働人口の減少に伴う省人化・効率化ニーズ
るとともに、建材卸業者の在庫・配送管理を担う3PL拠点としても機能する
人手不足が深刻化する中、建設・物流業界では省人化と効率化
新倉庫を建設する。
が急務である。WMSや自動ラックの導入が対応策として注目されて
いる。
• 目指す姿
・建材卸売業の持続的成長
既存の取引基盤と商圏を活かしつつ、新倉庫による供給力の強化と物 内発的動機
流効率化を通じて、建材卸売事業の持続的な売上成長と収益性向上
• 倉庫容量不足による業務ボトルネックの解消
を図る。
既存倉庫の収容力不足が、建材配送や在庫管理の制約となって
・建材業界初の3PL事業への挑戦
いた。新倉庫の建設により、キャパシティの拡張と業務効率の向上
新倉庫を活用し、建材に特化した在庫・配送管理のアウトソーシングを展
を図る。
開。業界初の3PLモデル構築により、新たな収益源を創出する。
• 荷役作業の非効率性とトラック渋滞の解消
・物流DXによる働き方改革
狭隘な現倉庫前道路により荷積み・荷下ろしが非効率で、渋滞が
移動ラックやWMSの導入により、属人的だった倉庫業務をデジタルで最
常態化していた。広い敷地への移転により、この課題の抜本的な解
適化。労働生産性の向上と働きやすい職場環境の実現を目指す。
消を目指す。
• 属人的な在庫管理からの脱却
会社全体の売上成長目標（～2030年）
現場では入庫者以外が在庫場所を把握できず、検索や確認に時
• 売上高171億円
間を要していた。新倉庫ではWMSを導入し、在庫情報の共有・見
• 売上高増加額106億円
える化を実現する。
• 売上高成長率163％（直近期末→30年10月期）</t>
  </si>
  <si>
    <t>【p.2】
ナカネ新建材株式会社
.補助事業の概要
2
新倉庫を建設と物流効率化により、当社物流の在り方を大きく進化。3PL事業への本格参入と新たな成長軸
の創出を見据えた、未来を見据えた戦略的な大規模投資である。
背景：現有倉庫は狭小で収容力不足。市街地の狭路でトラックの積卸渋滞が発生。属人的な
補助事業の ロケーション管理が生産性を低下させている 事業費 2, 百万円
268
背景・目的 目的：新倉庫を建設し、移動ラックシステムと基幹システムを導入して収納力と管理精度を向上。 （補助額） （ 百万円）
709
広大敷地で積卸効率化を図り、3PL事業も開始して新規収益源を創出する。
• 設備投資の概要と狙い
延床面積8,813㎡（A棟5,580㎡、B棟3,233㎡）の新倉庫を建設し、物流
インフラの再構築と新規3PL事業の立ち上げを図る。現状の倉庫が手狭で非効
率で、収容量・作業導線・在庫管理において改善が急務という課題を解決する。
• 投資内容
新倉庫の建設
設備投資の 新倉庫を新たに建設する。本投資により保管・配送のキャパシティを大幅に拡張し、
内容 ヤード内での積み下ろし作業も円滑に行える環境を整える。
移動ラックの導入
移動ラックシステムを導入し、限られた面積内でも効率的な高密度保管を実現す
る。収納効率を向上させることで、物量の増加に対応可能。
基幹システムの導入
基幹ソフトを導入し、各種管理をシステム化する。在庫状況の可視化や誤出荷の
防止が可能。
項目 基準年度 事業化報告3年目
労働生産性 28,294
9,956
（単位：千円/人） （年平均上昇率＋41.6％）
目標値 従業員1人あたり給与支給総額 7,305
6,046
（単位：千円/人） （年平均上昇率＋6.5％）
役員１人あたり給与支給総額
-
（単位：千円/人） - （年平均上昇率＋6.5％）
補助事業に係る従業員数
75 90
（単位：人）</t>
  </si>
  <si>
    <t>化成工業株式会社
1.長期成長ビジョン
製造・物流の要所としての重要度を増す長野を拠点として、地域の企業をまとめながら、高い技術力で
プラスチック部品を製造・安定供給し、日本のモノづくりを支えつつ地方創生の柱となる企業を目指す</t>
  </si>
  <si>
    <t>長期成長ビジョン（目指す姿・ビジネスモデル）
長野から日本のモノづくりを支えていくプラスチック射出成形企業として、
地域をまとめながら製造・物流の安定供給の要・地方創生の柱となる
• 日本のモノづくりに必要かつ重要性を増していくプラスチック部品を高い技術で支える。三遠
南信自動車道やリニア中央新幹線の開通による立地の強み、自社の技術力、自社及び
地域の協力会社を巻き込んだネットワーク型の供給力を活かし、地方創生の柱となる
中期目標
全国屈指の技術力への信頼や立地コストの安さを強みに、
大きく増えるプラスチック需要に対応できる供給能力を増強することで成長していく
• 金属部品からのシフトやEV・ハイブリッド車の普及等に伴い年々増えるプラスチック需要及
び受注（特に大型部品）に対応可能な供給力の向上・物流体制の構築を図る
• 協力会社ネットワークの拡大を行い、立地的に不利な協力会社の受注・物流も当社が担
いながら、自社の供給力の柔軟性向上と地域への還元を同時に達成し、成長に繋げる
• 旧倉庫跡地は新たに事務所を設置し、間接部門を集約して効率化を図る
本補助事業
• 需要の増える大型部品等に対応できる大型のプラスチック射出成形機及び自動倉庫を含
めた高効率生産建屋の導入により、供給力の限界を克服し、労働生産性の向上を図りな
がら事業規模拡大を図る
• 自動倉庫の導入をもとに、長野県内の協力会社の物流を当社が担えるようにすることで地
域への波及効果と同時に自社の供給力の柔軟性を向上し、営業力強化にもつなげる
2025年3月期 2031年3月期 売上高成長率
（直近年度） （6年後）
売上高 58.6億円 114.7億円 CAGR11.8％
増加額：＋56.1億円</t>
  </si>
  <si>
    <t>外発的動機
◼ プラスチック需要の増加
• 軽量化・コストダウン・量産性等のための金属部品からプラスチック部品へのシ
フトや、部品の大型化（複数部品の一体化等）により新規需要が増加
• ハイブリッド車・EV車の普及やスマートメーターの検満等も追い風
◼ 飯田地区の物流拠点としての発展性
• 三遠南信自動車道が全線開通した場合、飯田市-浜松市間の所要時間は
4時間から2時間に短縮される。また飯田市にはリニア長野県駅（仮称）の
設置も予定されており、交通・物流の重要拠点となる
◼ 人口減少
• 交通利便性の向上により一定の人口増加効果はあるものの、全国的な労働
人口減少は避けられず、事業拡大においては省力化が重要である
◼ 協力会社
• 長野県北部・東部にプラスチック成形会社が多く存在しているが、立地的な不
利により、受注増加や物流改善のハードルが高い</t>
  </si>
  <si>
    <t>内発的動機
◼ コスト競争力
• 中京地区・浜松地区へ近いながら、土地が安く、コスト競争力が高い
◼ 技術力
• 1次部品メーカーから指定仕入先に認定されることが難しい中、当社は精密な
金型設計や射出成形・加工技術で指定先に認定され、かつ長野県でも数少
ない350t以上の大型成形機を保有する強みがある。また、大手自動車メー
カーの某安全部品を任されており（全国で2社程度）、全国屈指の高い技
術力を有しているという自負がある
◼ 成長への手ごたえ
• 大型部品の受注が大きく伸びている一方、供給力の不足及び物流面でのボ
トルネックを解消しないと成長が頭打ちになる。また、大型部品の新規参入は
難しいものの、当社が対応できない場合は新たな競合が育ってしまう恐れがあ
る⇒今後の大型部品の受注に応えられるかに社運がかかっている
• 協力会社に一部製造を委託する試みが成功。当社の物流面での課題を改
善できれば、大きな成長が見込めるとともに地方創生への貢献となる</t>
  </si>
  <si>
    <t>【p.1】
化成工業株式会社
1.長期成長ビジョン
製造・物流の要所としての重要度を増す長野を拠点として、地域の企業をまとめながら、高い技術力で
プラスチック部品を製造・安定供給し、日本のモノづくりを支えつつ地方創生の柱となる企業を目指す
外発的動機
長期成長ビジョン（目指す姿・ビジネスモデル）
◼ プラスチック需要の増加
長野から日本のモノづくりを支えていくプラスチック射出成形企業として、 • 軽量化・コストダウン・量産性等のための金属部品からプラスチック部品へのシ
地域をまとめながら製造・物流の安定供給の要・地方創生の柱となる フトや、部品の大型化（複数部品の一体化等）により新規需要が増加
• ハイブリッド車・EV車の普及やスマートメーターの検満等も追い風
• 日本のモノづくりに必要かつ重要性を増していくプラスチック部品を高い技術で支える。三遠
南信自動車道やリニア中央新幹線の開通による立地の強み、自社の技術力、自社及び ◼ 飯田地区の物流拠点としての発展性
地域の協力会社を巻き込んだネットワーク型の供給力を活かし、地方創生の柱となる • 三遠南信自動車道が全線開通した場合、飯田市-浜松市間の所要時間は
4時間から2時間に短縮される。また飯田市にはリニア長野県駅（仮称）の
設置も予定されており、交通・物流の重要拠点となる
中期目標
◼ 人口減少
全国屈指の技術力への信頼や立地コストの安さを強みに、
• 交通利便性の向上により一定の人口増加効果はあるものの、全国的な労働
大きく増えるプラスチック需要に対応できる供給能力を増強することで成長していく
人口減少は避けられず、事業拡大においては省力化が重要である
◼ 協力会社
• 金属部品からのシフトやEV・ハイブリッド車の普及等に伴い年々増えるプラスチック需要及
• 長野県北部・東部にプラスチック成形会社が多く存在しているが、立地的な不
び受注（特に大型部品）に対応可能な供給力の向上・物流体制の構築を図る
利により、受注増加や物流改善のハードルが高い
• 協力会社ネットワークの拡大を行い、立地的に不利な協力会社の受注・物流も当社が担
いながら、自社の供給力の柔軟性向上と地域への還元を同時に達成し、成長に繋げる
内発的動機
◼ コスト競争力
• 旧倉庫跡地は新たに事務所を設置し、間接部門を集約して効率化を図る
• 中京地区・浜松地区へ近いながら、土地が安く、コスト競争力が高い
◼ 技術力
本補助事業
• 1次部品メーカーから指定仕入先に認定されることが難しい中、当社は精密な
• 需要の増える大型部品等に対応できる大型のプラスチック射出成形機及び自動倉庫を含 金型設計や射出成形・加工技術で指定先に認定され、かつ長野県でも数少
めた高効率生産建屋の導入により、供給力の限界を克服し、労働生産性の向上を図りな ない350t以上の大型成形機を保有する強みがある。また、大手自動車メー
がら事業規模拡大を図る カーの某安全部品を任されており（全国で2社程度）、全国屈指の高い技
• 自動倉庫の導入をもとに、長野県内の協力会社の物流を当社が担えるようにすることで地 術力を有しているという自負がある
域への波及効果と同時に自社の供給力の柔軟性を向上し、営業力強化にもつなげる ◼ 成長への手ごたえ
• 大型部品の受注が大きく伸びている一方、供給力の不足及び物流面でのボ
2025年3月期 2031年3月期 売上高成長率
トルネックを解消しないと成長が頭打ちになる。また、大型部品の新規参入は
（直近年度） （6年後）
難しいものの、当社が対応できない場合は新たな競合が育ってしまう恐れがあ
売上高 58.6億円 114.7億円 CAGR11.8％ る⇒今後の大型部品の受注に応えられるかに社運がかかっている
増加額：＋56.1億円
• 協力会社に一部製造を委託する試みが成功。当社の物流面での課題を改
善できれば、大きな成長が見込めるとともに地方創生への貢献となる</t>
  </si>
  <si>
    <t>【p.2】
化成工業株式会社
.補助事業の概要
2
全国屈指の技術力をもとに、プラスチック部品の需要に応えるための労働生産性を向上しながら供給力を増強し、
地域経済そして日本経済を支える中堅企業として、長期成長ビジョンの達成に向けて大規模な成長を遂げていく
• 金属部品からのシフトやEV・ハイブリッド車の普及、スマートメーター更新等に伴いプラスチック需要が年々増加している。 事業費 , 百万円
1 702
当社の高い技術力やコスト競争力が市場ニーズと合致し、受注が大幅に拡大しているが、現状の供給能力が不足している
（補助額） （ 百万円）
398
• 大型部品分野の需要増加に対応するには、大型成形機の増設が不可欠だが、既存工場内に余剰スペースがなく、大型
成形機の導入と同時に新建屋の建設が必要となる
• 現状では倉庫不足が供給力のボトルネックとなっていることに加え、保管場所も工場内に分散しているため、入庫・出庫及
補助事業の
び管理上の非効率も発生している
背景・
目的 • 新建屋に大型成形機と自動倉庫を導入することで、新建屋で高効率な生産体制を実現するだけでなく、省力化しながら
物流キャパシティを向上するにより、既存の工場の供給力の天井を解消することで全社の労働生産性が向上する
大型成形機 大容量の自動倉庫
• また、地域の他企業と生産協力をした部品の物流・販売を行う余地も生まれ、さらに発注を受けることができるようになる
• 省力化を図りつつ売上を増加させ、労働生産性の向上や賃上げ・優秀な人材確保を継続し、地域経済への
波及効果をもたらす大規模成長のため、以下の補助投資を行う
うち補助
投資内容 概要 投資額
対象額
大型部品の
大型成形機及び自動倉庫を設置した高効率の生産建屋。将来
新建屋 的にさらに大型成形機等を導入することも想定 1,550 517 効率生産 新高効率建屋
設備投資の
350t×4台の大型成形機を導入。自動車関連の大型部品やス 供給力の天井の解消
内容 大型成形機等 160 53 既存工場
マートメーター等の部品に対応可能なサイズ 物流効率化
現在の供給力だけではなく、将来投資や協力会社への委託生
自動倉庫等 375 125
産分まで格納でき、倉庫業務に必要な人工を約60%以上削減 協力会社の営業・物流を当社が一部 協力会社
実施⇒当社の供給力拡張
計 単位：百万円(税抜） 2,085 695
項目 基準年度 事業化報告3年目
労働生産性（単位：千円/人） 9,341 16,690（年平均上昇率＋21.3％）
目標値
(全社＝ 従業員1人あたり給与支給総額（単位：千円/人） 4,136 5,067（年平均上昇率＋7.0％）
補助事業）
役員１人あたり給与支給総額（単位：千円/人） - -（年平均上昇率＋5.3％）
補助事業に係る従業員数（単位：人） 190 199</t>
  </si>
  <si>
    <t>北アルプス飲料株式会社
1.⾧期成⾧ビジョン
「サステナブルな未来を、共に創る。」
革新的な紙容器技術を用いて、松川村の貴重なアルプス水脈を活用した新たな地域産業を創出する</t>
  </si>
  <si>
    <t>⾧期成⾧ビジョン（目指す姿・ビジネスモデル）
■目指す姿:脱ペットボトル型飲料事業のパイオニア
■ビジネスモデル
✔紙パック容器を用いた飲料事業の展開
• ペットボトル製品が主流となっている飲料事業において、環境負荷
の低い紙容器での代替生産技術を確立
• 商社等との連携により、飲料メーカーのOEM事業を主力としつつ
企画から販売までの出口戦略まで一貫した伴走支援を構築
✔地域特産物を活かした商品開発と新たな地場産業の創出
• ⾧野県安曇群松川村の特産物である米を活かし、ライスミルク等
の商品開発を行う
• 酒米を吟醸用に研磨した際に発生する残渣物を活用した商品も
研究開発することで、フードロス削減に貢献
• 地場産業を新たに創出することで雇用に伴う地域人口が増加
✔労働生産性・収益性の確保
• 補助事業により飲料充填機（SIG社製）を国内で初導入し、生
産環境の確立と安定した利益率の確保を実現する</t>
  </si>
  <si>
    <t>外発的動機
■地方創生の機運の高まりと政策動向
• 人口減少や東京一極集中を背景とし、付加価値創出型の新しい
地方経済の創生が注目されている
• デジタル・革新的技術の活用により人手不足を解消しつつ、地域の
魅力を活かした産業創出により、地方で誰もが安心して暮らせる生
活基盤の確立が求められている（内閣府「地方創生2.0」）
■脱プラスチックの機運の高まり
• 環境問題などを背景に、プラスチック資源循環促進法の施工等で
脱プラスチック対応の飲料容器ニーズが拡大
• 世界的にもごみの排出を抑制しようという動きが活発化</t>
  </si>
  <si>
    <t>内発的動機
■地方自治体からの要請に応える
• ⾧野県安曇野市松川村より、10年以上遊休地となっていたエリア
の開発要請があり、これに応需すべく当社を設立した経緯あり。
• 北アルプス山脈からの流れる豊富な水資源を活用した飲料製造事
業を通じ、地域活性化に資する事業に発展させたい
■飲料メーカーからの要請に応える
• 当社代表の辻村は、複数の大手外食企業や商社の顧問等を務
めており、ペットボトル飲料事業が転換期にあることを認識
• 価格競争に囚われない付加価値の高いサービスを提供したい</t>
  </si>
  <si>
    <t>会社全体の売上成⾧目標（2030年）
 売上高増加額6,382百万円
 売上高成⾧率480％
会社全体の賃上げ目標
 従業員:8.0％（基準年度～事業化報告3年目）</t>
  </si>
  <si>
    <t>【p.1／売上成長目標】
会社全体の売上成⾧目標（2030年）
 売上高増加額6,382百万円
 売上高成⾧率480％
会社全体の賃上げ目標
 従業員:8.0％（基準年度～事業化報告3年目）
【p.2／設備投資の内容】
• その他（インフラ関連・予備費）:１５億円
■設備投資の内容
• ペットボトル型（センターキャップ）の紙容器を使用した飲
体制を構築
• アルミレスでレンジアップが図られ、固形物の充填も可能と
■その他、見込める効果等
• 作業自動化による労働者の負担軽減と生産性の向上
• 収益性の向上
項目 基
労働生産性
（単位:千円/人）
従業員1人あたり給与支給総額
（単位:千円/人）
役員１人あたり給与支給総額
【p.2／項目 基準年度】
項目 基準年度</t>
  </si>
  <si>
    <t>【p.1】
北アルプス飲料株式会社
1.⾧期成⾧ビジョン
「サステナブルな未来を、共に創る。」
革新的な紙容器技術を用いて、松川村の貴重なアルプス水脈を活用した新たな地域産業を創出する
⾧期成⾧ビジョン（目指す姿・ビジネスモデル） 外発的動機
■地方創生の機運の高まりと政策動向
■目指す姿:脱ペットボトル型飲料事業のパイオニア
• 人口減少や東京一極集中を背景とし、付加価値創出型の新しい
地方経済の創生が注目されている
■ビジネスモデル
• デジタル・革新的技術の活用により人手不足を解消しつつ、地域の
✔紙パック容器を用いた飲料事業の展開
魅力を活かした産業創出により、地方で誰もが安心して暮らせる生
• ペットボトル製品が主流となっている飲料事業において、環境負荷
活基盤の確立が求められている（内閣府「地方創生2.0」）
の低い紙容器での代替生産技術を確立
• 商社等との連携により、飲料メーカーのOEM事業を主力としつつ
■脱プラスチックの機運の高まり
企画から販売までの出口戦略まで一貫した伴走支援を構築
• 環境問題などを背景に、プラスチック資源循環促進法の施工等で
脱プラスチック対応の飲料容器ニーズが拡大
✔地域特産物を活かした商品開発と新たな地場産業の創出
• 世界的にもごみの排出を抑制しようという動きが活発化
• ⾧野県安曇群松川村の特産物である米を活かし、ライスミルク等
の商品開発を行う
• 酒米を吟醸用に研磨した際に発生する残渣物を活用した商品も
研究開発することで、フードロス削減に貢献
内発的動機
• 地場産業を新たに創出することで雇用に伴う地域人口が増加
■地方自治体からの要請に応える
• ⾧野県安曇野市松川村より、10年以上遊休地となっていたエリア
✔労働生産性・収益性の確保
の開発要請があり、これに応需すべく当社を設立した経緯あり。
• 補助事業により飲料充填機（SIG社製）を国内で初導入し、生
• 北アルプス山脈からの流れる豊富な水資源を活用した飲料製造事
産環境の確立と安定した利益率の確保を実現する
業を通じ、地域活性化に資する事業に発展させたい
会社全体の売上成⾧目標（2030年）
■飲料メーカーからの要請に応える
 売上高増加額6,382百万円
• 当社代表の辻村は、複数の大手外食企業や商社の顧問等を務
 売上高成⾧率480％
めており、ペットボトル飲料事業が転換期にあることを認識
会社全体の賃上げ目標
• 価格競争に囚われない付加価値の高いサービスを提供したい
 従業員:8.0％（基準年度～事業化報告3年目）</t>
  </si>
  <si>
    <t>【p.2】
北アルプス飲料株式会社
2.補助事業の概要
補助事業により紙パック容器での飲料製品製造事業を展開。OEM事業に加え、特産品の米を使った自社製
品の開発まで生産体制を自社で確立し、売上増進と安定した利益率の向上、継続的な賃上げを目指す。
• 本補助事業では、国内導入事例初となる紙容器（センターキャップ対応）の充填機導入及び製造工場新 事業費
設を実施。脱ペットボトルの関係配慮型商材として市場優位性を高め、業容拡大を目指す計画。 （補助額）
• 紙容器且つ厳格な滅菌管理により固形物の充填も可能とし、OEM受注で幅広いメーカーからの要望に応え
補助事業の
られる生産体制を確立。
背景・目的 132億円
• 加えて、補助事業実施場所となる⾧野県の松川村と協力し、地域特産の米を活用した植物性飲料（ライス
（40億円）
ミルク）や地産果実を使用した無添加ジュース等を、北アルプスの豊富な水資源を活用して生産することで、
地域共創の一環として、持続可能な地域経済の構築に貢献する。
■概算費用の内訳
• 充填機（SIG社製）:３５億円
• 関連設備（包装・検査・保管）:３５億円
• 建屋建設（工場・倉庫・事務所）:３５億円
• その他（インフラ関連・予備費）:１５億円
設備投資の ■設備投資の内容
内容 • ペットボトル型（センターキャップ）の紙容器を使用した飲料品の生産
体制を構築
• アルミレスでレンジアップが図られ、固形物の充填も可能となる
■その他、見込める効果等
• 作業自動化による労働者の負担軽減と生産性の向上
• 収益性の向上
項目 基準年度 事業化報告3年目
労働生産性 162,123
51,556
（単位:千円/人） （年平均上昇率＋46.5％）
目標値 従業員1人あたり給与支給総額 4,630
2,640
（単位:千円/人） （年平均上昇率＋20.6％）
役員１人あたり給与支給総額 60,000
18,000
（単位:千円/人） （年平均上昇率＋49.4％）
補助事業に係る従業員数
16 33
（単位:人）</t>
  </si>
  <si>
    <t>八光エルアール株式会社
1.長期成長ビジョン
高級車販売企業から、富裕層の人生全体を豊かにする「トータルサービス企業」に転換し、企業としての持続的
な成長と社会への貢献を目指す</t>
  </si>
  <si>
    <t>長期成長ビジョン（目指す姿・ビジネスモデル）
これまでの高級輸入車ディーラー事業で培った実績と信頼を基盤に、
富裕層向けのトータルサービス企業へと事業領域を拡大する。高級
輸入車販売事業を軸に、顧客のライフスタイル全般を豊かにする多様
なサービスを提供し、企業としての持続的な成長と社会への貢献を目
指す。
具体的には、以下の事業を統合的に展開する。
1.高級輸入車事業のさらなる成長
高品質な車両とサービスを提供し、業界内での確固たる地位を維
持する。
2.教育事業への参入
富裕層のニーズが高いインターナショナルスクールの経営を開始し、
次世代を担うグローバルリーダーの育成に貢献する。
3.富裕層の生活の質を高めるための多彩なサービスを提供
顧客の期待を上回る体験を創出するため、衣・食・住・遊すべての
面で高品質かつ個別最適なサービス提供を行い、唯一無二のライ
フスタイル価値を提供。
社は長期成長ビジョンに掲げる「富裕層向けトータルサービ
国際バカロレア:IB)に準拠し、英国トップクラスの評価を
ルを開校する。
25年9月開校予定の小学校については校舎を確保済み
貫した教育機会の提供には、中学校・高等学校の教育
投資により解決しうる課題】
業の本格展開 本補助事業により中学校・高等学校の
一貫した国際バカロレア（IB）準拠の教育を提供できる
となる。また、寄宿舎の建設によって、全国の生徒を受け
につながるため、本事業は安定した学校経営を実現に不
産性向上への貢献 教育事業は自動車販売業に比べ
べた付加価値が高い。学校運営には、教員や事務職員
事業は地域に質の高い新たな雇用を生み出す。これによ</t>
  </si>
  <si>
    <t>外発的動機
• ライフスタイルが多様化し、高級車販売だけでは満たせない、より多角的
なライフスタイル支援サービスへの需要が増加している。
• 富裕層は子供の教育に熱心であり、グローバルに活躍できる次世代の育
成ニーズが高まっている。
• 共通の価値観を持つ人々が集い、交流できる上質な社交の場が求めら
れている。
• 単なる自己の豊かさだけでなく、社会課題の解決や次世代の未来に貢献
したいという意識が高まっている。
• 富裕層の消費行動の変化し、物質的な「モノ消費」から、体験やライフス
タイルを重視する「コト消費」へと価値観が変化している。</t>
  </si>
  <si>
    <t>内発的動機
• 長年培ってきた海外自動車のディーラー業を通じて、海外発の製品・サー
ビスを日本人の特性に合わせながら取り入れる「フランチャイズビジネス」を
得意としている。
• 富裕層のお客様に寄り添い、その潜在的なニーズを深く理解してきた。こ
の経験から、お客様の人生を豊かにするトータルサービスを提供したいとい
う強い想いが生まれた。
• 当社の強みである「富裕層との強固な信頼関係」を活かし、高級車販売
に留まらない新たな価値を創出することが、企業のさらなる発展に繋がると
確信している。
• 長年の事業で蓄積した資産を、地域社会・次世代に還元したい。</t>
  </si>
  <si>
    <t>会社全体の売上成長目標（～2030年12月期）
• 売上高成長率7.9％
• 売上高増加額12,709百万円
会社全体の賃上げ目標
• 7.20%（2027～2030年12月期）</t>
  </si>
  <si>
    <t>【p.1／売上成長目標】
会社全体の売上成長目標（～2030年12月期）
• 売上高成長率7.9％
• 売上高増加額12,709百万円
会社全体の賃上げ目標
• 7.20%（2027～2030年12月期）</t>
  </si>
  <si>
    <t>【p.1】
八光エルアール株式会社
1.長期成長ビジョン
高級車販売企業から、富裕層の人生全体を豊かにする「トータルサービス企業」に転換し、企業としての持続的
な成長と社会への貢献を目指す
長期成長ビジョン（目指す姿・ビジネスモデル） 外発的動機
• ライフスタイルが多様化し、高級車販売だけでは満たせない、より多角的
これまでの高級輸入車ディーラー事業で培った実績と信頼を基盤に、
なライフスタイル支援サービスへの需要が増加している。
富裕層向けのトータルサービス企業へと事業領域を拡大する。高級
輸入車販売事業を軸に、顧客のライフスタイル全般を豊かにする多様 • 富裕層は子供の教育に熱心であり、グローバルに活躍できる次世代の育
なサービスを提供し、企業としての持続的な成長と社会への貢献を目 成ニーズが高まっている。
指す。 • 共通の価値観を持つ人々が集い、交流できる上質な社交の場が求めら
れている。
具体的には、以下の事業を統合的に展開する。
• 単なる自己の豊かさだけでなく、社会課題の解決や次世代の未来に貢献
1.高級輸入車事業のさらなる成長
したいという意識が高まっている。
高品質な車両とサービスを提供し、業界内での確固たる地位を維
• 富裕層の消費行動の変化し、物質的な「モノ消費」から、体験やライフス
持する。
タイルを重視する「コト消費」へと価値観が変化している。
2.教育事業への参入
富裕層のニーズが高いインターナショナルスクールの経営を開始し、
次世代を担うグローバルリーダーの育成に貢献する。 内発的動機
• 長年培ってきた海外自動車のディーラー業を通じて、海外発の製品・サー
3.富裕層の生活の質を高めるための多彩なサービスを提供
ビスを日本人の特性に合わせながら取り入れる「フランチャイズビジネス」を
顧客の期待を上回る体験を創出するため、衣・食・住・遊すべての
面で高品質かつ個別最適なサービス提供を行い、唯一無二のライ 得意としている。
フスタイル価値を提供。 • 富裕層のお客様に寄り添い、その潜在的なニーズを深く理解してきた。こ
の経験から、お客様の人生を豊かにするトータルサービスを提供したいとい
会社全体の売上成長目標（～2030年12月期）
う強い想いが生まれた。
• 売上高成長率7.9％
• 売上高増加額12,709百万円 • 当社の強みである「富裕層との強固な信頼関係」を活かし、高級車販売
に留まらない新たな価値を創出することが、企業のさらなる発展に繋がると
会社全体の賃上げ目標
確信している。
• 7.20%（2027～2030年12月期）
• 長年の事業で蓄積した資産を、地域社会・次世代に還元したい。</t>
  </si>
  <si>
    <t>【p.2】
八光エルアール株式会社
.補助事業の概要
2
• 当社は「富裕層向けトータルサービス企業」への転換を実現するため、国際基準（国際バカロレア:IB)に準拠したインターナショナ
ルスクールを開校する
• 教育事業の発展に必要不可欠な中学校・高等学校用の校舎および、遠方在住の生徒用の寄宿舎を建設する
• 当社は長期成長ビジョンに掲げる「富裕層向けトータルサービス企業」への転換を実現するため、国際基準
事業費 , 百万円
9 544
（国際バカロレア:IB)に準拠し、英国トップクラスの評価を得るNLCSと提携したインターナショナルス
補助事業の （補助額）（2,333百万円）
クールを開校する。
背景・目的
• 2025年9月開校予定の小学校については校舎を確保済みであるが、教育事業の本格展開と生徒への
一貫した教育機会の提供には、中学校・高等学校の教育施設の整備が不可欠である。
【設備投資により解決しうる課題】
教育事業の本格展開 本補助事業により中学校・高等学校の校舎が整備されることで、小学
校から一貫した国際バカロレア（IB）準拠の教育を提供できる体制が整い、事業の本格展開
が可能となる。また、寄宿舎の建設によって、全国の生徒を受け入れ可能になり、入学希望者
の増加につながるため、本事業は安定した学校経営を実現に不可欠である。
労働生産性向上への貢献 教育事業は自動車販売業に比べ利益率が高く、投入する労働
設備投資の 量に比べた付加価値が高い。学校運営には、教員や事務職員など多数の人材が必要であるた
内容 め、本事業は地域に質の高い新たな雇用を生み出す。これにより、地域全体の所得向上と経
済の活性化を力強く牽引する。
【補助事業で整備する設備】
学校建造物一式
• 中学校・高等学校用の校舎
• 寄宿舎
• 体育館グラウンド整備等
2027年度 2030年度
項目
（基準年度） （基準年度＋３年後）
労働生産性
-1,881 25,21
（単位：千円/人） 2
目標値 従業員1人あたり給与支給総額 8,089 9,89 （年平均＋6.9%）
3
（単位：千円/人）
役員１人あたり給与支給総額
（年平均＋5.8%）
- -
（単位：千円/人）
補助事業に係る従業員数
47 138（年平均＋43.2%）
（単位：人）</t>
  </si>
  <si>
    <t>株式会社メタルテック
1.長期成長ビジョン
「技術と信頼で未来を拓く」という理念のもと、提案型サプライヤーへと進化し、高効率・高品質生産モデルを構
築することで、自動車産業の発展に貢献する</t>
  </si>
  <si>
    <t>長期成長ビジョン（目指す姿・ビジネスモデル）
技術と信頼で未来を拓く
提案型サプライヤーへの進化
◼ 設計段階から参画可能な提案型サプライヤーへと進化し、QCD
（品質・コスト・納期）に優れた部品供給力とソリューション提案
力を併せ持つパートナーとしての地位を確立
高効率・高品質生産モデルの構築
◼ 省人化・スマートファクトリー化による高効率・高品質生産モデルの
構築を通じ、慢性的な人手不足や品質要求高度化に対応した
「持続可能なモノづくり企業」へと転換
グローバル対応力を備えた分散型サプライチェーンの中核
◼ アジアにおける供給体制を強化し、タイ拠点を核としたグローバル調
達対応力を拡充</t>
  </si>
  <si>
    <t>外発的動機
• 自動車業界におけるEV化・軽量化・車体構造の変化により、高
強度かつ複雑形状のプレス部品ニーズが急増している
• 三菱・トヨタなどの大手完成車メーカーがBCP対応・調達多様化の
観点から国内中堅部品メーカーの活用を拡大
• 顧客ニーズの多様化により、短納期・多品種・少量生産に柔軟対
応できるサプライヤーへの評価が上昇
• 人手不足・技能継承難などにより、製造現場の自動化・省人化・
スマートファクトリー化が喫緊の課題となっている
• タイを中心とした東南アジア生産拠点の活用が再評価されており、
アジア分散供給に対応できる企業の戦略的重要性が高まっている</t>
  </si>
  <si>
    <t>内発的動機
• 創業以来こだわり続けてきた「金型から組立加工までの一貫生産
体制」を、より高精度・高効率に進化させたいという強い意志
• 顧客要求レベルの上昇や競争激化を現場で肌身で感じてきた経
験から、技術力と対応力をさらに高める必要性を痛感
• 人材難・技能伝承の壁に直面する中で、持続可能なモノづくり体
制を構築したいという経営者としての危機感と使命感
• 地域社会・取引先・従業員に支えられてきた企業として、今後は地
域産業の中核を担う存在へと成長したいという想い
• 海外顧客対応やタイ工場運営を通じた実体験を踏まえ、グローバ
ルサプライチェーンの中で存在感を高めたいという意欲</t>
  </si>
  <si>
    <t>会社全体の売上成長目標（～30年）
• 売上高成長率8.2％
• 売上高増加額159億円
会社全体の賃上げ目標
• 2.5%（直近事業年度～基準年度）
• 5.5%（基準年度～事業化報告3年目）</t>
  </si>
  <si>
    <t>【p.1／売上成長目標】
会社全体の売上成長目標（～30年）
• 売上高成長率8.2％
• 売上高増加額159億円
会社全体の賃上げ目標
• 2.5%（直近事業年度～基準年度）
• 5.5%（基準年度～事業化報告3年目）
【p.3／生産性大幅向上】
生産性大幅向上
1時間当たり生産量 1日当たり稼働時間
現状 660個 8時間
+127% 2倍
導入後 1500個 16時間
コスト競争力向上
【p.3／生産性の大幅な向上】
生産性の大幅な向上
【p.3／高付加価値製品への対応幅向上】
高付加価値製品への対応幅向上
【p.3／1.5GPa級の超ハイテン材対応力強化】
1.5GPa級の超ハイテン材対応力強化
熱間成形 冷間成形
現状 ホットスタンプ
継続 導入
新トランスファプレス
ホットスタンプ
導入後
新ブランキングプレス
高強度・軽量化対応幅の強化</t>
  </si>
  <si>
    <t>【p.1】
株式会社メタルテック
1.長期成長ビジョン
「技術と信頼で未来を拓く」という理念のもと、提案型サプライヤーへと進化し、高効率・高品質生産モデルを構
築することで、自動車産業の発展に貢献する
長期成長ビジョン（目指す姿・ビジネスモデル） 外発的動機
技術と信頼で未来を拓く • 自動車業界におけるEV化・軽量化・車体構造の変化により、高
強度かつ複雑形状のプレス部品ニーズが急増している
提案型サプライヤーへの進化 • 三菱・トヨタなどの大手完成車メーカーがBCP対応・調達多様化の
◼ 設計段階から参画可能な提案型サプライヤーへと進化し、QCD 観点から国内中堅部品メーカーの活用を拡大
（品質・コスト・納期）に優れた部品供給力とソリューション提案 • 顧客ニーズの多様化により、短納期・多品種・少量生産に柔軟対
力を併せ持つパートナーとしての地位を確立 応できるサプライヤーへの評価が上昇
高効率・高品質生産モデルの構築 • 人手不足・技能継承難などにより、製造現場の自動化・省人化・
スマートファクトリー化が喫緊の課題となっている
◼ 省人化・スマートファクトリー化による高効率・高品質生産モデルの
構築を通じ、慢性的な人手不足や品質要求高度化に対応した • タイを中心とした東南アジア生産拠点の活用が再評価されており、
アジア分散供給に対応できる企業の戦略的重要性が高まっている
「持続可能なモノづくり企業」へと転換
グローバル対応力を備えた分散型サプライチェーンの中核
内発的動機
◼ アジアにおける供給体制を強化し、タイ拠点を核としたグローバル調
• 創業以来こだわり続けてきた「金型から組立加工までの一貫生産
達対応力を拡充
体制」を、より高精度・高効率に進化させたいという強い意志
• 顧客要求レベルの上昇や競争激化を現場で肌身で感じてきた経
会社全体の売上成長目標（～30年） 験から、技術力と対応力をさらに高める必要性を痛感
• 売上高成長率8.2％
• 人材難・技能伝承の壁に直面する中で、持続可能なモノづくり体
• 売上高増加額159億円
制を構築したいという経営者としての危機感と使命感
会社全体の賃上げ目標
• 2.5%（直近事業年度～基準年度） • 地域社会・取引先・従業員に支えられてきた企業として、今後は地
域産業の中核を担う存在へと成長したいという想い
• 5.5%（基準年度～事業化報告3年目）
• 海外顧客対応やタイ工場運営を通じた実体験を踏まえ、グローバ
ルサプライチェーンの中で存在感を高めたいという意欲</t>
  </si>
  <si>
    <t>【p.2】
株式会社メタルテック
.補助事業の概要
2
設備老朽化等により生産性が低下傾向にあり、生産性の大幅向上と冷間成形による超ハイテン材対応を可能
とするために、大型トランスファプレス・ブランキングプレスを導入する
補助事業の • 設備老朽化に伴う低生産性を改善することによりコスト競争力向上と生産能力強化 事業費 百万円
2,369
背景・目的 • 製造可能な高付加価値製品の対応幅を広げることによる競合との差別化 （補助額） ( 百万円)
581
大型トランスファプレス・ブランキングプレス導入によるコスト競争力向上と高付加価値製品強化
【具体的な投資内容】
大型トランスファプレス・ブランキングプレスの導入（30億円）
• 大型・複雑形状部品にも対応可能な大型トランスファプレス（35,000kN）
及び6,000kNブランキングプレス導入
• 当該設備により、冷間成形による1.5GPa級の超ハイテン材対応が可能とな
設備投資の
り、対応製品幅を拡充する
内容
【補助事業により見込まれる効果】
• 1時間あたり加工量の大幅増と1日当たり稼働時間2倍化による生産性向上
• コスト競争力向上かつ軽量・高強度等の高付加価値化による競争力強化
• 既存顧客との取引深耕＋新規開拓への対応力向上による売上・利益増
項目 基準年度 事業化報告3年目
労働生産性 14,366千円/人
9,008千円/人
（単位：千円/人） （年平均上昇率＋16.8％）
従業員1人あたり給与支給総額 7,089千円/人
目標値 6,037千円/人
（単位：千円/人） （年平均上昇率＋5.5％）
役員１人あたり給与支給総額
-
（単位：千円/人） - （年平均上昇率＋5.0％）
補助事業に係る従業員数
442人 451人
（単位：人）
【p.3】
株式会社メタルテック
.補助事業の概要
2
補助事業によって大型トランスファプレス・ブランキングプレスを導入することで、1時間当たり生産量が約30％増・
1日あたり稼働時間が2倍化するのみならず、冷間成形による超ハイテン材成形加工が可能となる
大型トランスファプレス・ブランキングプレス導入による2つのメリット 生産性大幅向上
1時間当たり生産量 1日当たり稼働時間
1 生産性の大幅な向上
現状 660個 8時間
+127% 2倍
2 高付加価値製品への対応幅向上
導入後 1500個 16時間
コスト競争力向上
1.5GPa級の超ハイテン材対応力強化
熱間成形 冷間成形
現状 ホットスタンプ
6,000KNブランキングプレス 継続 導入
新トランスファプレス
導入後 ホットスタンプ
新ブランキングプレス
高強度・軽量化対応幅の強化
35,000kNトランスファプレス</t>
  </si>
  <si>
    <t>株式会社クラスコ
1.長期成長ビジョン
当社は、暮らしの未来をデザインし、社会課題の解決と新たな価値創造を両立する企業として、
社員の挑戦と成長を軸に、地域や業界全体の進化を牽引していく</t>
  </si>
  <si>
    <t>長期成長ビジョン（目指す姿・ビジネスモデル）
I. 「暮らしの未来をデザインする企業」として、社会課題の解決と
新しい価値創造を両立する
人口減少や空き家問題、地域活性化といった課題に対し、テク
ノロジーとデザインの力で持続可能な住まいと滞在の形を提案す
る
II. 「人生楽しい人（GO FUN）」を世界中に増やし、共感の輪
を広げる
住まいやホテルでの滞在、働き方、学び、遊びといったライフシーン
全体でポジティブな体験を提供し、自然と「GO FAN」を増やして
いく
III.不動産業界を超えた新しいライフスタイル・プラットフォームを
構築する
住まい・宿泊・地域交流・教育・働き方支援などを一体化させた
「暮らしのエコシステム」を形成する
IV. 地域と共に成長し、全国・世界へ事業を展開する
地域資源を活かした事業を展開し、雇用の創出を通じて地域
経済の活性化に貢献する
V. 「DO IDEA」を基盤に、社員一人ひとりが挑戦し続ける組織
をつくる
社員の成長を会社や業界の進化につなげ、未来を切り拓く人材
を輩出する企業であり続ける</t>
  </si>
  <si>
    <t>外発的動機
1. 社会課題の変化
少子高齢化や地方都市の人口減少に伴い、既存の不動産市場
は縮小傾向にある。空室問題や資産価値の低下も懸念され、持
続可能な住環境の提供や地域活性化が求められている
2. 顧客ニーズと価値観の多様化
働き方改革やリモートワーク普及、インバウンド需要の増加により、
住まいや働く場所、滞在に対する価値観が大きく変化した。「自分
らしい暮らし」「楽しく働く」といったライフスタイル志向が高まり、従来
の不動産ビジネスでは十分に応えられないニーズが増えている
3. テクノロジー進化による市場機会
AIやDXの進展により、不動産業界でも効率化や付加価値創出
が加速している。こうした技術革新を取り入れることで、新たなサー
ビスやビジネスモデルを展開できる可能性が広がってる</t>
  </si>
  <si>
    <t>内発的動機
4. 創業以来の挑戦と進化のDNA
クラスコは創業当初から「暮らしを再発明する企業」として、新しい
価値を創造する姿勢を貫いてきた。「DO IDEA（アイデアをカタチ
に）」という文化を軸に、自ら課題を見つけ、行動して解決する企
業風土が根付いている
5. 社員の成長を会社の進化につなげる仕組み
「TATSUJIN」人材育成プログラムや、挑戦を評価する文化（DO
IDEA AWARDなど）によって、社員一人ひとりの成長が会社の
進化を支える構造ができている
6. 業界全体をアップデートする使命感
全国の不動産会社と連携し、ノウハウや仕組みを共有する取組を
通じて、業界全体の成長と変革を牽引するという強い想いがある</t>
  </si>
  <si>
    <t>会社全体の売上成長目標（～2030年度）
• 売上高増加額 1,580百万円（最新決算期比較）
• 売上高成長率 40.1％（基準年度～2030年度）
会社全体の賃上げ目標（～2030年度）
• 3.0% （直近事業年度～基準年度）
• 8.1% （基準年度＝事業化報告3年目）</t>
  </si>
  <si>
    <t>【p.1／売上成長目標】
会社全体の売上成長目標（～2030年度）
• 売上高増加額 1,580百万円（最新決算期比較）
• 売上高成長率 40.1％（基準年度～2030年度）
会社全体の賃上げ目標（～2030年度）
• 3.0% （直近事業年度～基準年度）
• 8.1% （基準年度＝事業化報告3年目）</t>
  </si>
  <si>
    <t>【p.1】
株式会社クラスコ
1.長期成長ビジョン
当社は、暮らしの未来をデザインし、社会課題の解決と新たな価値創造を両立する企業として、
社員の挑戦と成長を軸に、地域や業界全体の進化を牽引していく
このページは、補助金に採択され
た場合公表されますのでその点も 長期成長ビジョン（目指す姿・ビジネスモデル） 外発的動機
含めてご確認ください 1. 社会課題の変化
I. 「暮らしの未来をデザインする企業」として、社会課題の解決と
少子高齢化や地方都市の人口減少に伴い、既存の不動産市場
新しい価値創造を両立する
は縮小傾向にある。空室問題や資産価値の低下も懸念され、持
人口減少や空き家問題、地域活性化といった課題に対し、テク
続可能な住環境の提供や地域活性化が求められている
ノロジーとデザインの力で持続可能な住まいと滞在の形を提案す
2. 顧客ニーズと価値観の多様化
る
働き方改革やリモートワーク普及、インバウンド需要の増加により、
II. 「人生楽しい人（GO FUN）」を世界中に増やし、共感の輪
住まいや働く場所、滞在に対する価値観が大きく変化した。「自分
を広げる
らしい暮らし」「楽しく働く」といったライフスタイル志向が高まり、従来
住まいやホテルでの滞在、働き方、学び、遊びといったライフシーン
の不動産ビジネスでは十分に応えられないニーズが増えている
全体でポジティブな体験を提供し、自然と「GO FAN」を増やして
3. テクノロジー進化による市場機会
いく
AIやDXの進展により、不動産業界でも効率化や付加価値創出
III.不動産業界を超えた新しいライフスタイル・プラットフォームを
が加速している。こうした技術革新を取り入れることで、新たなサー
構築する
ビスやビジネスモデルを展開できる可能性が広がってる
住まい・宿泊・地域交流・教育・働き方支援などを一体化させた
「暮らしのエコシステム」を形成する
内発的動機
IV. 地域と共に成長し、全国・世界へ事業を展開する
地域資源を活かした事業を展開し、雇用の創出を通じて地域 4. 創業以来の挑戦と進化のDNA
経済の活性化に貢献する クラスコは創業当初から「暮らしを再発明する企業」として、新しい
V. 「DO IDEA」を基盤に、社員一人ひとりが挑戦し続ける組織 価値を創造する姿勢を貫いてきた。「DO IDEA（アイデアをカタチ
をつくる に）」という文化を軸に、自ら課題を見つけ、行動して解決する企
社員の成長を会社や業界の進化につなげ、未来を切り拓く人材 業風土が根付いている
を輩出する企業であり続ける 5. 社員の成長を会社の進化につなげる仕組み
「TATSUJIN」人材育成プログラムや、挑戦を評価する文化（DO
会社全体の売上成長目標（～2030年度）
IDEA AWARDなど）によって、社員一人ひとりの成長が会社の
• 売上高増加額 1,580百万円（最新決算期比較）
進化を支える構造ができている
• 売上高成長率 40.1％（基準年度～2030年度）
6. 業界全体をアップデートする使命感
会社全体の賃上げ目標（～2030年度）
全国の不動産会社と連携し、ノウハウや仕組みを共有する取組を
• 3.0% （直近事業年度～基準年度） 通じて、業界全体の成長と変革を牽引するという強い想いがある
• 8.1% （基準年度＝事業化報告3年目）</t>
  </si>
  <si>
    <t>【p.2】
株式会社クラスコ
.補助事業の概要
2
金沢市で地域資源やネットワークを活かし、観光客・ビジネス客向けの“暮らすように滞在できる”自社ブランドの
「GO HOTEL」を新設し、地域活性化を図る。将来的には自社ネットワークを活用し全国展開も視野に入れる
このページは、補助金に採択され • 金沢市に関する知見や地域ネットワークを活かし、観光客・ビジネス向けに“暮らすように滞在で
た場合公表されますのでその点も きる”オンリーワンのホテル（自社ブランドホテル「GO HOTEL」）を新設する
含めてご確認ください
• ホテル運営を通じて地域の魅力を発信し、観光需要の拡大とエリア活性化に貢献する
（役員給与は様式2で非公表を 補助事業の 事業費 2, 499 百万円
• 不動産事業で培ったネットワークも活用して集客を行うと共に、ホテル宿泊客に対して不動産の
希望するようにします） 背景・目的 （補助額） （ 590 百万円）
提案を行うなど、クロスセルによる既存不動産事業の収益拡大も図る
8/4 背景・目的の4つ目に全国 • 将来的には、当社が築いた全国531社の不動産会社のネットワークを活用し、GO HOTELの
展開について追記しました フランチャイズによる全国展開を行う
項目 本町1丁目GO HOTELプロジェクト 本町2丁目GO HOTELプロジェクト
石川県金沢市本町1丁目2-17 石川県金沢市本町2丁目5-1
所在地
（JR金沢駅徒歩8分） （JR金沢駅徒歩8分）
客室数等 49室/地上9階建て/延床面積 815.81坪 40室/地上9階建て/延床面積 523.93坪
ターゲット 外国人グループ旅行客、日本人観光客、ビジネス客
設備投資の
• 災害時には地域住民の避難場所としての利用を想定
内容 備考
• 運営省力化のため、AIを活用したホテル運営管理システムの構築を想定
（イメージ）
項目 基準年度 事業化報告3年目
労働生産性 23,175
9,985
（単位：千円/人） （年平均上昇率＋32.4％）
目標値 従業員1人あたり給与支給総額 5,998
4,748
（単位：千円/人） （年平均上昇率＋8.1％）
役員１人あたり給与支給総額
-
（単位：千円/人） - （年平均上昇率＋5.5％）
補助事業に係る従業員数
83 94
（単位：人）</t>
  </si>
  <si>
    <t>株式会社森田あられ
1.長期成長ビジョン
企業アイデンティティである「餅を愛し、餅一筋に生きる」 のもと、これまで培ってきたプレミアム米菓展開のノウハウ
を活かし、国内外に加速度的に展開していく（持続的成長を通じたお客様・社会へのニーズ対応）</t>
  </si>
  <si>
    <t>長期成長ビジョン（目指す姿・ビジネスモデル）
• 企業アイデンティティである「餅を愛し、餅一筋に生きる」 （長年培って
きたもち吉の製造・販売・商品開発の一気通貫したSPAモデル）を通
じて持続的成長を実現し、国産米の付加価値向上を図る。
老朽化・点在している工場を、新工場のもと集約し、持続的成長のボトル
ネックとなっていた製造部門における抜本的改善（以下）を図る。
①生産性改善（製造力増強） ②労働環境の良化（採用力向上）
③国際規格取得/継続の容易化
これらにより、国産米の付加価値（米本来がもつ自然の甘み、風味）を
国内外に加速度的に展開していく
① 国内店舗網の拡充（出店余地がある地域への積極攻勢）
• 都市部（首都圏・大阪等）における新業態（ビルイン・小規模・
高単価商品）の展開、国内土産・インバウンド需要の獲得/これら
を通じて、米国向け商品の開発を継続実施
• FC店の拡充による国内地方の空白地域（小商圏）への対応
② 海外（とくに米国）のグルテンフリー需要への対応、国産米の付加
価値認知の浸透へ（海外で戦える国産米商品）
• プレミアム米菓でのSPA展開のノウハウを活かし、米国市場へ進出。
米国での国産米の付加価値認知の浸透を通じて、国内米市場の
活性化、海外で戦える国産米商品を実現させる。
• 台湾（現在、現地パートナー企業にて1店舗運営）店舗網拡充</t>
  </si>
  <si>
    <t>外発的動機
① 国内外におけるグルテンフリー需要への対応（アレルギー対応）
※とくに市場と認知が伸長している米国グルテンフリー市場
② 国内農家・米価の不安定化（農政の変化と商流の変化）
③ 首都圏への人口集中、インバウンド需要の爆発的増加を踏まえた都
市部への本格対応の必要性
④ 2050年まで続く高齢者（当社主要顧客層）の増加／人口縮小
が続く地方の小商圏での米菓需要
☞ 国産米×付加価値×グルテンフリー の当社展開による上記社会課
題の解決・需要への対応</t>
  </si>
  <si>
    <t>内発的動機
① 製造、販売、商品開発、三位一体のビジネスモデル（自信と責任を
もって自分たちの手で販売する）を長年に渡って続け、全国200店
舗を超える店舗網を展開
② 「もち吉の中心はお客様」との社員共通の価値観・姿勢のもと、素材
へのこだわり、お客様からの直接の声、直販中心であることで培った供
給体制
③ これらをバックボーンとして、国産米×付加価値×グルテンフリー の当
社展開によって、社会課題の解決・需要への対応を図りたい
④ 大相撲協会とのコラボ商品（高単価・インバウンド需要）、ゴディバ
への商品提供、全日空機内食への採用（今秋）等、高付加価値
商品の外部連携が進んでいる（当社への期待が高まっている）
※大相撲協会コラボ ※全日空機内食
☞ 老朽化・点在している工場を、
新工場のもと集約することで、
これまでの制約が打破され、
加速度的に展開できるもの
と考えている</t>
  </si>
  <si>
    <t>【p.1／売上成長目標】
会社全体の売上成長目標（2024年度～2030年度）
• 売上高増加額＋7,376百万円
• 売上高成長率＋9.0％（2024年度から2030年度での年平均）</t>
  </si>
  <si>
    <t>【p.1】
株式会社森田あられ
1.長期成長ビジョン
前窪
企業アイデンティティである「餅を愛し、餅一筋に生きる」 のもと、これまで培ってきたプレミアム米菓展開のノウハウ
を活かし、国内外に加速度的に展開していく（持続的成長を通じたお客様・社会へのニーズ対応）
国内外土産市場（とくにインバウ
長期成長ビジョン（目指す姿・ビジネスモデル） 外発的動機
① 国内外におけるグルテンフリー需要への対応（アレルギー対応） ンド注力＝都市型店舗での強化
• 企業アイデンティティである「餅を愛し、餅一筋に生きる」 （長年培って
※とくに市場と認知が伸長している米国グルテンフリー市場 顧客層）を注力する
きたもち吉の製造・販売・商品開発の一気通貫したSPAモデル）を通
② 国内農家・米価の不安定化（農政の変化と商流の変化） 商品開発としても、相撲協会コラ
じて持続的成長を実現し、国産米の付加価値向上を図る。
長期成長ビジョン（目指す姿・ビジネスモデル）
③ 首都圏への人口集中、インバウンド需要の爆発的増加を踏まえた都
ボの決まり手せんべい（俗称：力
市部への本格対応の必要性
• （会社（又はグループ全体）が長期的（５～10年後）に目指 老朽化・点在している工場を、新工場のもと集約し、持続的成長のボトル 缶）※写真付ける
④ 2050年まで続く高齢者（当社主要顧客層）の増加／人口縮小
す姿として、社会に対しどのような価値を提供するか等のビジョンに ネックとなっていた製造部門における抜本的改善（以下）を図る。
（https://yamada-
が続く地方の小商圏での米菓需要
ついてご記載ください） ①生産性改善（製造力増強） ②労働環境の良化（採用力向上）
cg.app.box.com/file/19332
• （本社機能の一部移転等に関する構想がある場合は、その狙い ③国際規格取得/継続の容易化 ☞国産米×付加価値×グルテンフリー の当社展開による上記社会課
76658182）
や移転する機能、それによる想定効果についても記載ください。） これらにより、国産米の付加価値（米本来がもつ自然の甘み、風味）を 題の解決・需要への対応
ANA機内食は写真素材もらう
国内外に加速度的に展開していく
内発的動機 （依頼済み）
① 製造、販売、商品開発、三位一体のビジネスモデル（自信と責任を
① 国内店舗網の拡充（出店余地がある地域への積極攻勢）
もって自分たちの手で販売する）を長年に渡って続け、全国200店
• 都市部（首都圏・大阪等）における新業態（ビルイン・小規模・
舗を超える店舗網を展開
高単価商品）の展開、国内土産・インバウンド需要の獲得/これら
② 「もち吉の中心はお客様」との社員共通の価値観・姿勢のもと、素材
を通じて、米国向け商品の開発を継続実施
へのこだわり、お客様からの直接の声、直販中心であることで培った供
• FC店の拡充による国内地方の空白地域（小商圏）への対応 給体制
② 海外（とくに米国）のグルテンフリー需要への対応、国産米の付加
③ これらをバックボーンとして、国産米×付加価値×グルテンフリー の当
価値認知の浸透へ（海外で戦える国産米商品）
社展開によって、社会課題の解決・需要への対応を図りたい
• プレミアム米菓でのSPA展開のノウハウを活かし、米国市場へ進出。 ④ 大相撲協会とのコラボ商品（高単価・インバウンド需要）、ゴディバ
米国での国産米の付加価値認知の浸透を通じて、国内米市場の への商品提供、全日空機内食への採用（今秋）等、高付加価値
活性化、海外で戦える国産米商品を実現させる。 商品の外部連携が進んでいる（当社への期待が高まっている）
修正予定
• 台湾（現在、現地パートナー企業にて1店舗運営）店舗網拡充 ※大相撲協会コラボ ※全日空機内食
☞老朽化・点在している工場を、
新工場のもと集約することで、
会社全体の売上成長目標（2024年度～2030年度）
これまでの制約が打破され、
• 売上高増加額＋7,376百万円
加速度的に展開できるもの
• 売上高成長率＋9.0％（2024年度から2030年度での年平均）
と考えている</t>
  </si>
  <si>
    <t>【p.2】
株式会社森田あられ
.補助事業の概要
2
塚原・吉田
販売会社であるもち吉での成長戦略（売上拡大・海外展開本格化）の実現に向け、長期的な労働人口の減少
及び海外展開へ対応しながら生産能力増強・労働生産性の向上を図り、従業員の更なる賃上げを実現する
• 労働人口の減少に対応しながら事業拡大（増産）・持続的成長を実現するためには、点在する老朽化工場の集約・自動 投資に一部重複あり
化による生産性向上、及び職場環境・待遇改善による人員確保が不可欠。また、海外での拡販（特にアメリカ）を軌道に乗 14M減少予定
補助事業の せるためには国際規格JFS-Cへの準拠が必要だが、既存工場及び既存設備では現実的に対応が困難という課題がある 事業費 5, 315 百万円
背景・目的 • 補助計画では、自動化による省人化・生産性向上に加え、現在人員確保の上で課題となっている作業・職場環境の改善に （補助額）(1, 271 百万円)
より増産体制を構築すると共に、新工場にてJFS-C規格取得を目指すことで海外展開へも繋げていく。これらの取組を通し競争
力を高め、九州を代表とする老舗菓子メーカーとして雇用の維持創出・海外でも日本ブランドとして認知度向上の実現を目的とする
掲載上、問題のある内容が
新工場 あるか確認必要
①点在している老朽化工場の集約に向けた新工場の建設
• 新工場として、延べ床面積約7,500m2(工場棟)、約1,600m2(オフィス棟)の工場を建築予定。補助
計画では、3工場（頓野・タテピロ・新堅焼）及び本社一部工程を集約し生産性向上を図り、補助計
画期間以降で更なる集約を想定
• 作業環境改善により、現在焼成工程にて発生している夏場の離職防止を図る。また、現在派遣応募者
の職場見学後の入社率が50~80%程度と低くなっている課題に対し、職場環境改善・新設リフレッシュ
ルームへも見学時に案内することで入社率向上・人員確保し、一部工程の二直化により増産を図る
• 国際規格（JFS-C）への対応を想定した工場の設計としており（部屋毎に温度管理可能、化粧室の
設備投資の
前室設置による衛生管理等）、海外展開本格化に向けた生産面での課題解決が可能
リフレッシュルーム
内容 • ライン毎のエネルギー消費のデータ化等、DX技術を活用した新型工場であり、環境対応とコスト削減
（太陽光発電による電力代削減等）の実現と共に、データに基づいた改善活動推進体制を構築
厚生棟のパースに入替
②生産キャパシティ拡大・生産性向上に向けた設備導入
• 分散していた個包装ラインの新工場への集約・焼成ライン変更による段取り替え時間の大幅削減、大型
横ピロー包装機導入による省人化・生産性向上を実現
③海外展開に向けた完全密封個包装対応・高効率設備の導入
• ボックスモーション設備導入による完全密封個包装（アルミ蒸着袋）対応によって、海外展開本格化に
必要な賞味期限の延長が可能（100日⇒180日程度）。通常包装にも対応可能であり、既存設備と
比較して生産性も高く、労働生産性向上にも寄与する 要更新
項目 2027年度（基準年度） 2030年度（事業化報告3年目）
労働生産性 10,024
5,804
（単位：千円/人） （年平均上昇率＋20.0％）
従業員1人あたり給与支給総額 4,619
3,942
目標値 （単位：千円/人） （年平均上昇率＋5.4％）
全般的に文字多い・・・（審査官泣かせだ
役員１人あたり給与支給総額
-
（単位：千円/人） - （年平均上昇率＋7.0％） が・・・やむなしか）
補助事業に係る従業員数
554 599
（単位：人）
・外国人採用（特定技能実習生26名）
・派遣会社（）：
人事部が、まとめて工場を案内し、工場の作業内容を説明している。
おおよそ見学に来てもらい。
来た人がどれくらい
昼休み
・食堂：冷食の会社半額負担、ファミマ商品の自動販売機、うどん
★新工場で、どれだけ人を集めやすくなるか</t>
  </si>
  <si>
    <t>株式会社手原産業倉庫
1.長期成長ビジョン
在庫共有モデルによる在庫最適化と物流高度化で次世代成長モデルを構築</t>
  </si>
  <si>
    <t>長期成長ビジョン（目指す姿・ビジネスモデル）
• 当社は「物流の枠を超え、在庫価値を最大化するパートナーへ」と
いう理念のもと、2030年までに売上高120億円体制を確立しま
す。
• 在庫共有型WMSの導入とマテハン設備の積極的な活用、共同
倉庫機能の整備を通じて、複数荷主間で在庫を横断的に共有・
最適化し、欠品による販売機会損失や過剰在庫による廃棄を削
減します。これにより、物流業務を単なる作業請負から、需給リス
クを解決する「次世代物流プラットフォーム」へと進化させ、消費者
起点での在庫最適化と価値創造を実現します。
• この取組により、物流業界の構造課題解決に貢献し、持続的に
付加価値を創出する企業となることを目指します。</t>
  </si>
  <si>
    <t>外発的動機
• 物流業界は、人口減少による労働者不足、EC市場拡大に伴う短
納期・多頻度配送への対応、サステナビリティ重視の高まりといった
環境変化に直面している
• また、荷主各社では在庫過不足に起因する問題が顕在化しており、
欠品による販売機会損失（売上の約10％相当）過剰在庫によ
る商品廃棄と保管リスクの増大が業績を圧迫している
• これら社会的・顧客的課題の解決は、企業価値向上と同時に社
会的責任を果たす取り組みであり、当社が次世代型の物流プラット
フォームを構築する大きな動機である</t>
  </si>
  <si>
    <t>内発的動機
• 創業以来、当社は事業運営で発生する欠品・廃棄といった課題を
常に目の当たりにしており、荷主の単独最適の限界を感じている
• 複数荷主間で在庫情報を共有し横断的に管理する仕組みでリス
ク分散できる可能性がある
• 「物流の枠を超え、在庫価値を最大化するパートナーへ」というビジョ
ンは、そうした現場経験と課題意識からうまれたものであり、荷主と
共創しながら需給リスクを分散し、社会全体の物流価値を高めたい
という強い想いが背景にある</t>
  </si>
  <si>
    <t>【p.1／売上成長目標】
会社全体の売上成長目標（～2030年）
• 売上高増加額3,631百万円
• 売上高成長率9.01％</t>
  </si>
  <si>
    <t>【p.1】
株式会社手原産業倉庫
1.長期成長ビジョン
在庫共有モデルによる在庫最適化と物流高度化で次世代成長モデルを構築
長期成長ビジョン（目指す姿・ビジネスモデル） 外発的動機
• 当社は「物流の枠を超え、在庫価値を最大化するパートナーへ」と • 物流業界は、人口減少による労働者不足、EC市場拡大に伴う短
納期・多頻度配送への対応、サステナビリティ重視の高まりといった
いう理念のもと、2030年までに売上高120億円体制を確立しま
環境変化に直面している
す。
• 在庫共有型WMSの導入とマテハン設備の積極的な活用、共同 • また、荷主各社では在庫過不足に起因する問題が顕在化しており、
欠品による販売機会損失（売上の約10％相当）過剰在庫によ
倉庫機能の整備を通じて、複数荷主間で在庫を横断的に共有・
る商品廃棄と保管リスクの増大が業績を圧迫している
最適化し、欠品による販売機会損失や過剰在庫による廃棄を削
減します。これにより、物流業務を単なる作業請負から、需給リス • これら社会的・顧客的課題の解決は、企業価値向上と同時に社
会的責任を果たす取り組みであり、当社が次世代型の物流プラット
クを解決する「次世代物流プラットフォーム」へと進化させ、消費者
フォームを構築する大きな動機である
起点での在庫最適化と価値創造を実現します。
• この取組により、物流業界の構造課題解決に貢献し、持続的に
付加価値を創出する企業となることを目指します。
内発的動機
• 創業以来、当社は事業運営で発生する欠品・廃棄といった課題を
常に目の当たりにしており、荷主の単独最適の限界を感じている
会社全体の売上成長目標（～2030年） • 複数荷主間で在庫情報を共有し横断的に管理する仕組みでリス
• 売上高増加額3,631百万円 ク分散できる可能性がある
• 売上高成長率9.01％ • 「物流の枠を超え、在庫価値を最大化するパートナーへ」というビジョ
ンは、そうした現場経験と課題意識からうまれたものであり、荷主と
共創しながら需給リスクを分散し、社会全体の物流価値を高めたい
という強い想いが背景にある</t>
  </si>
  <si>
    <t>【p.2】
株式会社手原産業倉庫
.補助事業の概要
2
在庫共有型WMSとマテハン導入、共同倉庫機能を通じて、在庫最適化・労働力不足への対応・荷
主連携強化を図る。
1, 百万円
• 国内物流市場は緩やかな成長が続く一方、2024年問題による労働力不足や配送多頻度 事業費 789
補助事業の （ 百万円）
化、環境配慮の要請に対応するため、テクノロジーによる効率化と人海戦術の簡素化を （補助額） 418
背景・目的
目指し、持続可能な物流体制を構築する。
１、在庫共有型WMS（倉庫管理システム）導入
・ 荷主在庫とセンター在庫の可視化と共同管理モデルの構築
・ 仕入れ、調達機能の追加
・ 欠品・在庫ロス削減
２、マテハン設備（自動倉庫、DAS（デジタルアソートシステム）、
設備投資の ピースソーター（自動仕分け機）、 自動フォークリフト等）の導入
内容
・ 出荷処理能力の向上（最大20％向上目標）
・ 作業者の負担軽減と労働力不足への対応
３、共同倉庫機能の拡充
・ 共有在庫の同ロケ管理による保管スペース効率化
・ マテハン設備（自動倉庫）により保管スペース25％(3000㎡相当)削減の保管効率向上
項目 基準年度 事業化報告3年目
労働生産性
5,394千円/人
8,492千円/人
（単位：千円/人） （年平均上昇率＋16.3％）
目標値 従業員
（
1
単
人
位
あ
：
た
千
り給
円
与
/人
支
）
給総額
2,625千円/人
（年平
3
均
,3
上
29
昇
千
率
円
＋
/人
8.2％）
役員１人あたり給与支給総額
（単位：千円/人） - -
補助事業に係る従業員数
329人 359人
（単位：人）</t>
  </si>
  <si>
    <t>株式会社北十
1.長期成長ビジョン
地域社会・顧客・従業員すべての成長に貢献する“選ばれる物流企業”へ進化する</t>
  </si>
  <si>
    <t>長期成長ビジョン（目指す姿・ビジネスモデル）
【目指す姿・ビジネスモデル】
当社は、地域社会の基幹インフラを担う物流企業として、単なる運送・保
管サービスの提供にとどまらず、地域経済や暮らしを根底から支える「唯一
無二の存在」を目指している。冷凍冷蔵倉庫の建設と共同配送ネットワー
クの構築を通じて、地元企業や自治体との連携を強化し、災害時も含めて
安定した流通インフラを提供することで、地域とともに持続的な成長を実現
する。今後も、社会的責任を果たすとともに、地域の未来を支える存在とし
て進化を続けていく。
【今後の企業戦略】
EC市場や冷凍需要の成長を機会と捉え、運送事業のノウハウと販路を
活用、そして冷凍冷蔵専用の倉庫建築という大規模投資により、コールド
チェーン市場へ参入する。売上高は直近の2.45倍である42億円を目標と
して第2の収益柱の構築を目指す。
【命綱】
物流業界は「2024年問題」を契機に、今なおドライバー不足や人件費
の高騰、GXへの対応、物流コストの増大といった構造的な課題が一層深
刻化している。このような状況下で持続的な成長を実現するためには、中
距離輸送の地場化推進や長距離輸送依存の脱却、自社による中間倉
庫機能の確立は、まさに“企業存続の命綱”となる取り組みであると考えて
いる。これらの取り組みを長期ビジョンの中核に据え、事業環境の変化に左
右されない「持続可能なビジネスモデル」の構築を目指していく。</t>
  </si>
  <si>
    <t>外発的動機
・保管用倉庫の需要拡大（コールドチェーン市場）
・EC需要や冷凍冷蔵配送需要の高まり
・製造業・食品業界など企業間輸送への影響
・輸送トン数減少に伴う滞留品の増加
・物流の2024年問題の影響
・トラックドライバー不足
・法規制による長距離輸送の運行回数減少
・原油高騰・円安により軽油価格が大幅上昇</t>
  </si>
  <si>
    <t>内発的動機
・冷凍/チルド/ドライ製品の輸送ノウハウを活用したい
・海運や陸運の大手企業との取引がある
・空トラックの運送、荷待ち時間などの有効活用
・物流の2024年問題への対策のため
・荷下ろしや積み込みの効率化を図りたい
・運送事業の収益が少しずつ低下していきている
・ドライバーの高齢化と若手の雇用が困難である
・適正運賃を授受できていない</t>
  </si>
  <si>
    <t>【p.1／売上成長目標】
右されない「持続可能なビジネスモデル」の構築を目指していく。
会社全体の売上成長目標（基準年度～30年）
• 売上高成長率 23.8％
• 売上高増加額 2,077百万円
【p.1／会社全体の賃上げ目標】
会社全体の賃上げ目標
• 1.09%（直近事業年度～基準年度）
• 7.77%（基準年度～事業化報告3年目）</t>
  </si>
  <si>
    <t>【p.1】
株式会社北十
1.長期成長ビジョン
地域社会・顧客・従業員すべての成長に貢献する“選ばれる物流企業”へ進化する
長期成長ビジョン（目指す姿・ビジネスモデル）
外発的動機
【目指す姿・ビジネスモデル】
・保管用倉庫の需要拡大（コールドチェーン市場）
当社は、地域社会の基幹インフラを担う物流企業として、単なる運送・保
・EC需要や冷凍冷蔵配送需要の高まり
管サービスの提供にとどまらず、地域経済や暮らしを根底から支える「唯一
・製造業・食品業界など企業間輸送への影響
無二の存在」を目指している。冷凍冷蔵倉庫の建設と共同配送ネットワー
・輸送トン数減少に伴う滞留品の増加
クの構築を通じて、地元企業や自治体との連携を強化し、災害時も含めて
・物流の2024年問題の影響
安定した流通インフラを提供することで、地域とともに持続的な成長を実現
する。今後も、社会的責任を果たすとともに、地域の未来を支える存在とし ・トラックドライバー不足
て進化を続けていく。 ・法規制による長距離輸送の運行回数減少
【今後の企業戦略】 ・原油高騰・円安により軽油価格が大幅上昇
EC市場や冷凍需要の成長を機会と捉え、運送事業のノウハウと販路を
活用、そして冷凍冷蔵専用の倉庫建築という大規模投資により、コールド 内発的動機
チェーン市場へ参入する。売上高は直近の2.45倍である42億円を目標と
・冷凍/チルド/ドライ製品の輸送ノウハウを活用したい
して第2の収益柱の構築を目指す。
・海運や陸運の大手企業との取引がある
【命綱】 ・空トラックの運送、荷待ち時間などの有効活用
物流業界は「2024年問題」を契機に、今なおドライバー不足や人件費 ・物流の2024年問題への対策のため
の高騰、GXへの対応、物流コストの増大といった構造的な課題が一層深
・荷下ろしや積み込みの効率化を図りたい
刻化している。このような状況下で持続的な成長を実現するためには、中
・運送事業の収益が少しずつ低下していきている
距離輸送の地場化推進や長距離輸送依存の脱却、自社による中間倉
・ドライバーの高齢化と若手の雇用が困難である
庫機能の確立は、まさに“企業存続の命綱”となる取り組みであると考えて
いる。これらの取り組みを長期ビジョンの中核に据え、事業環境の変化に左 ・適正運賃を授受できていない
右されない「持続可能なビジネスモデル」の構築を目指していく。
会社全体の売上成長目標（基準年度～30年） 会社全体の賃上げ目標
• 売上高成長率 23.8％ • 1.09%（直近事業年度～基準年度）
• 売上高増加額 2,077百万円 • 7.77%（基準年度～事業化報告3年目）</t>
  </si>
  <si>
    <t>【p.2】
株式会社北十
.補助事業の概要
2
補助事業による冷凍冷蔵倉庫建設と地域物流最適化の取組
補助事業の • 冷凍冷蔵倉庫を建築して倉庫事業の「仕組み化」を構築 事業費 1 億円
0
背景・目的 • 物流センターとしての役割をもたせることで運送業の輸送原価を低減させる （補助額） （ . 億円）
2 5
【投資設備】
• 冷凍冷蔵倉庫（683坪 約1,983㎡）
【課題】
①地場中心に荷物を集約出来る施設の建設
②物価高騰による適正運賃及び保管料の価格転嫁
③運送事業の空トラック、ドライバーの荷待ち時間の解消
④従業員の作業環境への配慮
設備投資の
内容
【解決し得ること】
①物流センターを新築することで荷物の集約化が行える
②運送事業に加え倉庫事業を行う事で自社に強みが持てる
③拠点から倉庫への配送を帰りに行う事で空トラックを30％削減
③物流センターで荷物を保管することで荷待ち時間を無くす
④休憩所など設けて従業員が働きやすい環境を整備できる
④定期的なジョブローテーションで気持ちの負担を軽減
2027年度 2030年度
項目
（基準年度） （基準年度＋３年後）
労働生産性 2,821万円/人
1,074万円/人
（単位：万円/人） （年平均上昇率＋38.0％）
目標値 従業員1人あたり給与支給総額 568万円/人
（単位：万円/人）
445万円/人
（年平均上昇率＋8.5％）
役員１人あたり給与支給総額
-
（単位：万円/人） - （年平均上昇率＋7.0％）
補助事業に係る従業員数
12人 18人
（単位：人）</t>
  </si>
  <si>
    <t>ナカシマヘルスフォース株式会社
1.長期成長ビジョン
整形外科インプラント（人工関節及び骨接合材料、脊椎固定具）に関する最先端工場を建設し、運動器障
害に苦しむ日本、アジアのあらゆる患者の「からだが動く。こころが動く。」豊かな社会を実現する</t>
  </si>
  <si>
    <t>長期成長ビジョン（目指す姿・ビジネスモデル）
• 『からだが動く、こころが動く』をスローガンに、こころが踊る豊かな社会の実現
を目指す
• 他社では対応していない少数疾患や原形をとどめないような重度の運
動器疾患に対してフルラインアップしからだを自由に動かすために必要な
製品・サービスを通じて活動的に生きる喜びを一人ひとりに提供する
• 共同研究や独自の開発ノウハウを生かして、未来に向けて革新的な製
品を生み出し、企業とそこで働く従業員の成長を推進する
• 最先端工場の建設により会社の生産性・創造性を高め、さらなる新規事
業に挑戦できる土壌を作り受注増加につなげる
• 最先端工場の建設にあたっては、当社のコアコンピタンスである金属積
層造形技術と、アナトミカルデザイン（解剖学に基づいた人体構造や動
きに沿ったデザイン）等の高い設計技術をさらに追求すべく、高付加価
値製品製造のための設備の導入と、基礎研究・製品開発を促進すると
ともに、自動化による生産性の向上を図る
• 自由度の高いオフィス設計とすることで、女性・若手も活躍する次世代
に向けた多様な働き方への対応をはかる
• 工場内の自動化・効率化を推し進めコア業務に充てる時間を増やすと
ともに、研究機能を集約し、生産性・創造性を高める
• 地域や日本を支え、ひいてはアジアの高齢化を支える1社になる
• 雇用創出や地元企業・大学との連携によって、地域社会の活性化に
貢献していく
• 高齢化が進み、運動器障害が増加している日本、ひいてはアジアのあら
ゆる運動器疾患から患者を救う</t>
  </si>
  <si>
    <t>外発的動機
• 高齢化に伴う整形外科インプラントの需要の高まり
• 2045年までは、日本国内の65歳以上人口は断続的に増加
• 「健康寿命の延伸」が国家課題であり、運動機能の改善・再建がはか
られる人工関節、骨接合材料、脊椎固定具への需要は今後も高まる
• 日本に限らずアジア諸国においても高齢化は進行していく
• 輸入販売品の価格高騰
• 円安や人件費、輸送費の上昇などの影響で輸入販売される整形外
科インプラントは価格が高騰している
• 外資企業の撤退傾向
• 脊椎を中心に、外資系企業が中国や欧米などの、より大きなマーケット
に注力するため撤退する方向にあり、それを埋めることが急務である
• 製品の高機能化及び、生産性を向上を実現するための各種技術の進展
• ３Ｄプリンタ技術の進展などにより、生体に適合しかつ複雑な金属造
形が可能となり、さらに少量多品種製品の自動化が可能となった。
• 自動制御ロボット技術の進展により、省力化設備導入が容易になった
外発的動機
伴い整形外科インプラントの需
りを見せる一方、外資系の撤退
増産ニーズがある
向上するための各種要素技術
ある</t>
  </si>
  <si>
    <t>内発的動機
• 日本の医療機器産業を発展させたい
• 創業時において国内では人工関節に係る医療機器メーカーは極めて
少なく、ほとんど外国製品に頼るしかなかった。（現在も日本シェア1位
から4位までが外資系、市場シェアトップ10社中7社）国内の経済安
全保障のためにも、祖業であるプロペラの設計・鋳造・加工技術を基に
した整形外科インプラントを通じて社会に貢献したい
• 地域における成長と分配の好循環を生み出したい
• 付加価値の増大により、利益創出と賃上げを継続的に行っていくととも
に、継続的に雇用を創出し、地元企業・大学との連携を深めて地域
活性化に貢献したい
ある
内発的動機
事業費 9,8 百万円
04
度推定生産個数は2018年度 （補助額） （2,68 百万円）
0
6倍となり製造キャパシティーの
えている。
イテム数増加に伴い物流倉庫
迎えている
に伴い、社員数も増加し、研
製造・管理・物流の各機能集
連携迅速化が必要になっている
備に掛かる投資：81.2億円（税抜き）
するため、新工場を建設する。
参照）</t>
  </si>
  <si>
    <t>【p.1／売上成長目標】
会社全体の売上成長目標（～2030年度）
• 売上高増加額18,598百万円
• 売上高成長率18.4％（CAGR）
【p.2／2025年度推定生産個数は2018年度 （】
• 2025年度推定生産個数は2018年度 （
比で約3.6倍となり製造キャパシティーの
限界を迎えている。
• 取り扱いアイテム数増加に伴い物流倉庫
も限界を迎えている
• 実績拡大に伴い、社員数も増加し、研
究・開発・製造・管理・物流の各機能集
約による連携迅速化が必要になっている
【p.4／多品種少量品が可能 カスタム製品可能 骨梁構造再現可能】
多品種少量品が可能 カスタム製品可能 骨梁構造再現可能
【p.4／自動旋盤】
自動旋盤
脊椎用インプラントの
自動生産</t>
  </si>
  <si>
    <t>【p.1】
ナカシマヘルスフォース株式会社
1.長期成長ビジョン
整形外科インプラント（人工関節及び骨接合材料、脊椎固定具）に関する最先端工場を建設し、運動器障
害に苦しむ日本、アジアのあらゆる患者の「からだが動く。こころが動く。」豊かな社会を実現する
長期成長ビジョン（目指す姿・ビジネスモデル） 外発的動機
• 高齢化に伴う整形外科インプラントの需要の高まり
• 『からだが動く、こころが動く』をスローガンに、こころが踊る豊かな社会の実現
• 2045年までは、日本国内の65歳以上人口は断続的に増加
を目指す
• 「健康寿命の延伸」が国家課題であり、運動機能の改善・再建がはか
• 他社では対応していない少数疾患や原形をとどめないような重度の運
られる人工関節、骨接合材料、脊椎固定具への需要は今後も高まる
動器疾患に対してフルラインアップしからだを自由に動かすために必要な
• 日本に限らずアジア諸国においても高齢化は進行していく
製品・サービスを通じて活動的に生きる喜びを一人ひとりに提供する
• 輸入販売品の価格高騰
• 共同研究や独自の開発ノウハウを生かして、未来に向けて革新的な製
• 円安や人件費、輸送費の上昇などの影響で輸入販売される整形外
品を生み出し、企業とそこで働く従業員の成長を推進する
科インプラントは価格が高騰している
• 最先端工場の建設により会社の生産性・創造性を高め、さらなる新規事
• 外資企業の撤退傾向
業に挑戦できる土壌を作り受注増加につなげる
• 脊椎を中心に、外資系企業が中国や欧米などの、より大きなマーケット
• 最先端工場の建設にあたっては、当社のコアコンピタンスである金属積
に注力するため撤退する方向にあり、それを埋めることが急務である
層造形技術と、アナトミカルデザイン（解剖学に基づいた人体構造や動
• 製品の高機能化及び、生産性を向上を実現するための各種技術の進展
きに沿ったデザイン）等の高い設計技術をさらに追求すべく、高付加価
• ３Ｄプリンタ技術の進展などにより、生体に適合しかつ複雑な金属造
値製品製造のための設備の導入と、基礎研究・製品開発を促進すると
形が可能となり、さらに少量多品種製品の自動化が可能となった。
ともに、自動化による生産性の向上を図る
• 自動制御ロボット技術の進展により、省力化設備導入が容易になった
• 自由度の高いオフィス設計とすることで、女性・若手も活躍する次世代
に向けた多様な働き方への対応をはかる
内発的動機
• 工場内の自動化・効率化を推し進めコア業務に充てる時間を増やすと
• 日本の医療機器産業を発展させたい
ともに、研究機能を集約し、生産性・創造性を高める
• 創業時において国内では人工関節に係る医療機器メーカーは極めて
• 地域や日本を支え、ひいてはアジアの高齢化を支える1社になる
少なく、ほとんど外国製品に頼るしかなかった。（現在も日本シェア1位
• 雇用創出や地元企業・大学との連携によって、地域社会の活性化に
から4位までが外資系、市場シェアトップ10社中7社）国内の経済安
貢献していく
全保障のためにも、祖業であるプロペラの設計・鋳造・加工技術を基に
• 高齢化が進み、運動器障害が増加している日本、ひいてはアジアのあら
した整形外科インプラントを通じて社会に貢献したい
ゆる運動器疾患から患者を救う
• 地域における成長と分配の好循環を生み出したい
会社全体の売上成長目標（～2030年度） • 付加価値の増大により、利益創出と賃上げを継続的に行っていくととも
に、継続的に雇用を創出し、地元企業・大学との連携を深めて地域
• 売上高増加額18,598百万円
活性化に貢献したい
• 売上高成長率18.4％（CAGR）</t>
  </si>
  <si>
    <t>【p.2】
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外発的動機
• 生産拡大によって起こった研究・開発・
製造・管理・物流に関する物理的制約 • 高齢化に伴い整形外科インプラントの需
の問題を解消し、生産性を向上させる 要の高まりを見せる一方、外資系の撤退
• 安全性と精巧さを両立させた３Ｄプリン もあり強い増産ニーズがある
タなど最先端設備を導入し、金属積層 • 生産性を向上するための各種要素技術
造形製品の拡大及び、当該技術を前 の進展がある
提とした高機能製品の開発により、生産 内発的動機
補助事業の 目 背 事業費 9,8 04 百万円
性を向上させ、増産をはかるとともに、利
背景・目的 的 景 • 2025年度推定生産個数は2018年度 （補助額） （2,68 0 百万円）
益率を高めていく
比で約3.6倍となり製造キャパシティーの
• 日本中、アジア中のお客様のニーズによ
限界を迎えている。
りいっそう応えられる会社に成長するとと
• 取り扱いアイテム数増加に伴い物流倉庫
もに、今まで以上のシェア拡大をはかり、
も限界を迎えている
継続的に利益を確保し、さらなる賃上げ
• 実績拡大に伴い、社員数も増加し、研
や設備投資を積極的に行う企業に転換
究・開発・製造・管理・物流の各機能集
する
約による連携迅速化が必要になっている
最先端整形外科インプラント工場の基盤整備に掛かる投資：81.2億円（税抜き）
• 継続的な利益確保・賃上げ・設備投資を実現する基盤を整備するため、新工場を建設する。
目 • 整形外科インプラントの効率的な製造環境を整備する（次頁参照）
的 • 研究・開発・製造・管理・物流の集約による効率化により生産性を向上する（次頁参照）
• 生産性向上・開発力向上が可能となる設備を導入できる環境を整える
設備投資
（個別）の 新
• 住所 • 赤磐市河本岩田地区
目的と内容 工
場
に • 敷地面積 • 約 37,000㎡
つ
い • 状況 • 基本設計完了済み
て
【p.3】
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 生産体制の効率化をはかるため、確保したスペースを生かし、前工程(機械加工工程)の内製化を行うとともに、内製化が必須
となる後工程(洗浄包装)の増強を図る。金属造形装置(３Ｄプリンタ)や横型マシニングセンター、搬送ロボットなどの広いスペー
スを必要とする自動化設備を設置する環境を整える。
• 工場に加えて研究開発のための場所や倉庫、管理部門のスペースを集約することで、生産性・効率性を高める。
• さらに、次ページで説明する新設備と連携し、研究開発を推進し、さらなる商品の上市とシェア拡大をはかる。
製
造
環
境
設備投資
（個別）の
目的と内容
最先端工場の高度化（生産性向上・自動制御・金属造形装置(３Ｄプリンタ)）に係る投資：10.5億円（税抜）
• 生産性の高い最先端設備導入により、自動化・効率化をはかり、高い需要に応えるとともに、人件費の高騰や診療報酬の改定
に伴う価格下落圧力に対抗する。(日勤8時間有人、夜間16時間+休日を無人稼働を目的とする自動化設備を導入)
目
• 特に大きな成長が見込まれる金属積層造形製品のコスト競争力を高めるため、機械加工時における材料脱着の自動化や製品
的
の自動計測を行うとともに、少量多品種にも対応した設備を導入する。
• 工場レイアウトの最適化と工程間自動搬送による生産性の向上
粉塵爆発圧力拡散型集塵機ダクト1式、ミストコレクター、エアー搬送ファ
導 ン、簡易貫流蒸気ボイラ、乾燥機、コンプレッサー、排水処理装置、純水
入 製造装置、クリーンエアシステム、超音波洗浄機、スチーム洗浄機、ドラフ
設 ター、混錬自動化装置、フォークリフト、CNC旋盤、縦型マシニングセン
備 ター、陽極酸化装置、ロボドリル、ロボカット、ホーニング盤、ロボットバレル、
真空熱処理炉、大型遠心バレル、基幹システムサーバー、通信・NET
【p.4】
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 金属造形装置
• 電子ビームまたはファイバーレーザーにより必要な部分の
金属粉末を溶解し、凝固させて金属部品を製作する
技術
• 複雑な形状や強度の高い金属などの難しい成形を可
能にし、緻密な3D形状を造形する
• 本補助事業の最重要技術であり、金属積層造形技
術による製品の増加が成長の大きな部分を占めると想
多品種少量品が可能 カスタム製品可能 骨梁構造再現可能
定している
• 複合旋盤+協働ロボット
• 旋回機能付きミル主軸を搭載した旋盤
• 旋削機能と５軸マシニングセンターの機能を有した設
備により、多様な加工手法を1台でまかなうことができる
設備投資 導 • 協働ロボットと併用することで材料の自動脱着が可能
入 となり夜間休日の無人化が可能となる。 攪拌機 成型機
（個別）の
目的と内容 設 • 成型機+攪拌脱泡装置
備 ・ 人工関節の摺動面に使用する、耐摩耗性ビタミンE混 内径加工 材料 外形加工 ポリ材料製造
錬超高分子量ポリエチレン材料の量産化
自動旋盤
• 自動旋盤（or自動盤？） 脊椎用インプラントの
・ 脊椎用インプラント・骨接合用スクリューの自動生産 自動生産
夜間、休日も稼働するため自動消火装置搭載
• 工場レイアウトの最適化と自動搬送ロボット
• 複数の工作機械を使用して製品となるため、工作機
械間の部品搬送を自動化することで生産効率が向上
• 各工程間の距離が長いため、工程エリア間の搬送も
自動化を図る。
• 搬送の効率化自動化を図る上で、工場全体のレイア
ウトが重要となる。平面搬送だけでなく立体的に搬送
が可能となるような建築設計とする。
【p.5】
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よりよい整形外科インプラントを作るための研究開発にかかる投資：7.1億円（税抜き）
• マルチスライスCT
• X線CTの一種で、複数のX線検出器を使って一度の撮影で複数の断層画
像を同時に取得する技術。非破壊にて材料の密度や組成などを評価する
• 当社では、模擬手術で設置した人工関節の設計検証用に使用する
• 手術台・無影灯カメラ1式
• 臨床現場に即した環境で、開発ドクターを招いて模擬手術を実施。開発要
設計検証
求事項の検証やリスクマネジメントを実施する
• 当社の製品を用いて、ドクター向けに手術トレーニングを実施する。
設備投資の 導 • 医師を招いて、臨床現場を想定した営業向けの手術手技研修を実施。
内容 入 • X線回析装置
設 • 物質の結晶構造や原子配列を分析するための装置
備 • 金属の材料分析は勿論、骨の成長方向を分析し製品開発に繋げる。
トレーニング 模擬手術室
• 走査電子顕微鏡(SEM)
・ 試料から放出される二次電子などを検出し、試料表面の形態や組成の
違いを観察。新材料の開発などに使用する
その他、製造用物質実験台、器具除染用洗浄器、自動洗浄器、電動移動棚、自動比重計、冷凍
機付衝撃試験機、画像寸法測定器、試験片寸法測定器、ノッチ加工機、DSC、力学試験機、レー
ザーラマン、共焦点レーザー顕微鏡、デジタルマイクロスコープ、化学発光ゲル撮影装置、粒子画像分
析装置、疲労試験機、材料試験システム、圧縮試験機、ピンオンディスク試験機、マイクロスコープ、 X線回析装置 FE-SEM
非接触３次元計測器、３D測定レーザー顕微鏡、QMS/文書管理システムの導入を予定。
2027年度 2030年度
項目
（基準年度） （基準年度＋３年後）
労働生産性 22,484
（単位：千円/人）
15,758
（年平均上昇率＋12.6％）
目標値 従業員1人あたり給与支給総額 7,445
（単位：千円/人）
6,164
（年平均上昇率＋6.5％）
役員１人あたり給与支給総額
-
（単位：千円/人） - （年平均上昇率＋6.5％）
補助事業に係る従業員数
425 613
（単位：人）</t>
  </si>
  <si>
    <t>1.長期成長ビジョン 日電精密工業株式会社
精密金属プレス技術の深化とGeO₂次世代パワー半導体ウエハーの量産化にリソースを再分配し、
中長期的な収益力向上に取り組み、30.9期に24.9期の1.85倍の売上高を達成する。
【24.9期7,087百万円⇒30.9期13,108百万円、CAGR+10.8%】</t>
  </si>
  <si>
    <t>■長期成長ビジョン（目指す姿・ビジネスモデル）
〇目指す姿
コア技術である精密金属プレス技術をさらに深化させ、
生活様式の多様化やエコ・省電力社会の実現に際して直面する
様々な課題に応える企業となる。
〇実現すること
得意先・最終消費者への貢献：環境負荷の低減と快適な暮らしの
両立を実現し、世界中の人々の生活の質の向上に貢献する。
従業員への貢献：上記を通じて、売上高を倍増させ、その成果を
従業員の賃上げとして還元することで、従業員の生活を安定を図
るとともに、積極的な人材採用により地域雇用を拡大する。
地域企業への貢献：地域企業との協業による技術力向上と経済活
性化を通じて、地域社会との持続的な共栄を実現する。
〇補助事業（※補助対象事業：全事業）における取組事項
➢ 事業ポートフォリオの再編：既存事業である精密金属プレス事
業は高成長市場へターゲットをシフトする。加えて、高い成長
ポテンシャルと収益性がある半導体ウエハー関連事業に取り組
み、中長期的な収益力向上に取り組む。
➢ 工場再編による経営基盤の強化：工場再編により、①増産体制
の構築②新規事業開発のリソース確保③コスト効率の向上を実
現。経営基盤を強化する。</t>
  </si>
  <si>
    <t>外発的動機
【精密金属プレス（リードフレーム類）：パワー半導体分野の成長】
• リードフレーム市場全体では、パワー半導体分野が成長市場として見込まれる。
※流通数：2029年までCAGR6-10%の成長が見込まれている。
【精密金属プレス（電機部品）：モーターコアの成長】
• 当社の主要製品であるリードフレーム（従来型）の市場成長が限定的であるため、
電子・電機部品の成長領域へ多角化を志向する。
• モーターコアの業界課題を解決する特性を有する極薄金属素材「鉄系アモルファス金
属」に着目。得意とする精密金属プレスの知見を活かし、小型化・高効率化を実現す
る高付加価値製品を製造する。
【精密金属プレス（電子部品）：エコ・省電力社会の需要拡大】
• LEDや各種センサー、エコ・省電力社会の普及に伴い、需要拡大を見込む。
• 代替技術であるエッチング加工は廃液処理が困難であるのに対して、プレス加工は
端材の再利用が可能であるため、サステナブル需要に応えられる。
• 特にLED市場は2033年までCAGR7.4%と高成長が期待される。</t>
  </si>
  <si>
    <t>内発的動機
【精密金属プレス技術をさらに深化させ、社会の発展に貢献したい】
• 当社は精密プレス金型技術を中核とした金属プレス部品の製造を継続的に
行い、自動車、鉄道、家電などの身近な製品から社会インフラ機器まで、
広範な分野で生活を支える重要な役割を果たしてきた。
• リードフレーム（従来型）が当社の業績を牽引してきたが半導体産業の潮流の変化
が当社の業況にも影響を与えている。
• このような状況下で、当社が持続的成長を実現するためには競争優位のある独自の
新技術で地域・国内の経済発展に貢献するため、大掛かりな設備投資を行い、早期
の事業化を目指したいと考えた。
【内部構造を見直し、持続的成長を実現したい】
• リードフレーム（従来型）を主とする精密金属プレス事業において、市場動向を鑑み
事業ポートフォリオの見直しが必要と考え、新事業を計画。電子・電気部品領域の強
化や半導体ウエハー領域への進出を目指す。
• 人材獲得・長期就労の観点でも、事業・製品の高付加価値化や工場再編による非
効率の解消は効果的。従業員が健康的かつモチベｰション高く働ける会社としたい。</t>
  </si>
  <si>
    <t>会社全体の売上高成長目標（～2030年）
• 売上高増加額6,021百万円
（24.9期7,087百万円→30.9期13,108百万円）
• 成長率（CAGR）+10.8％、30.9期に24.9期比1.85倍を計画
会社全体の賃上げ目標（補助事業実施後～2030年）
• 賃上げ目標7.0%</t>
  </si>
  <si>
    <t>【p.1／売上成長目標】
会社全体の売上高成長目標（～2030年）
• 売上高増加額6,021百万円
（24.9期7,087百万円→30.9期13,108百万円）
• 成長率（CAGR）+10.8％、30.9期に24.9期比1.85倍を計画
会社全体の賃上げ目標（補助事業実施後～2030年）
• 賃上げ目標7.0%</t>
  </si>
  <si>
    <t>【p.1】
日電精密工業株式会社
1.長期成長ビジョン
精密金属プレス技術の深化とGeO₂次世代パワー半導体ウエハーの量産化にリソースを再分配し、
中長期的な収益力向上に取り組み、30.9期に24.9期の1.85倍の売上高を達成する。
【24.9期7,087百万円⇒30.9期13,108百万円、CAGR+10.8%】
■長期成長ビジョン（目指す姿・ビジネスモデル） 外発的動機
【精密金属プレス（リードフレーム類）：パワー半導体分野の成長】
〇目指す姿
• リードフレーム市場全体では、パワー半導体分野が成長市場として見込まれる。
コア技術である精密金属プレス技術をさらに深化させ、 ※流通数：2029年までCAGR6-10%の成長が見込まれている。
生活様式の多様化やエコ・省電力社会の実現に際して直面する 【精密金属プレス（電機部品）：モーターコアの成長】
様々な課題に応える企業となる。 • 当社の主要製品であるリードフレーム（従来型）の市場成長が限定的であるため、
電子・電機部品の成長領域へ多角化を志向する。
〇実現すること
• モーターコアの業界課題を解決する特性を有する極薄金属素材「鉄系アモルファス金
得意先・最終消費者への貢献：環境負荷の低減と快適な暮らしの 属」に着目。得意とする精密金属プレスの知見を活かし、小型化・高効率化を実現す
両立を実現し、世界中の人々の生活の質の向上に貢献する。 る高付加価値製品を製造する。
【精密金属プレス（電子部品）：エコ・省電力社会の需要拡大】
従業員への貢献：上記を通じて、売上高を倍増させ、その成果を
• LEDや各種センサー、エコ・省電力社会の普及に伴い、需要拡大を見込む。
従業員の賃上げとして還元することで、従業員の生活を安定を図
• 代替技術であるエッチング加工は廃液処理が困難であるのに対して、プレス加工は
るとともに、積極的な人材採用により地域雇用を拡大する。
端材の再利用が可能であるため、サステナブル需要に応えられる。
地域企業への貢献：地域企業との協業による技術力向上と経済活
• 特にLED市場は2033年までCAGR7.4%と高成長が期待される。
性化を通じて、地域社会との持続的な共栄を実現する。
〇補助事業（※補助対象事業：全事業）における取組事項
内発的動機
➢ 事業ポートフォリオの再編：既存事業である精密金属プレス事 【精密金属プレス技術をさらに深化させ、社会の発展に貢献したい】
業は高成長市場へターゲットをシフトする。加えて、高い成長 • 当社は精密プレス金型技術を中核とした金属プレス部品の製造を継続的に
ポテンシャルと収益性がある半導体ウエハー関連事業に取り組 行い、自動車、鉄道、家電などの身近な製品から社会インフラ機器まで、
み、中長期的な収益力向上に取り組む。 広範な分野で生活を支える重要な役割を果たしてきた。
➢ 工場再編による経営基盤の強化：工場再編により、①増産体制 • リードフレーム（従来型）が当社の業績を牽引してきたが半導体産業の潮流の変化
が当社の業況にも影響を与えている。
の構築②新規事業開発のリソース確保③コスト効率の向上を実
現。経営基盤を強化する。 • このような状況下で、当社が持続的成長を実現するためには競争優位のある独自の
新技術で地域・国内の経済発展に貢献するため、大掛かりな設備投資を行い、早期
会社全体の売上高成長目標（～2030年） の事業化を目指したいと考えた。
• 売上高増加額6,021百万円 【内部構造を見直し、持続的成長を実現したい】
（24.9期7,087百万円→30.9期13,108百万円） • リードフレーム（従来型）を主とする精密金属プレス事業において、市場動向を鑑み
事業ポートフォリオの見直しが必要と考え、新事業を計画。電子・電気部品領域の強
• 成長率（CAGR）+10.8％、30.9期に24.9期比1.85倍を計画
化や半導体ウエハー領域への進出を目指す。
会社全体の賃上げ目標（補助事業実施後～2030年） • 人材獲得・長期就労の観点でも、事業・製品の高付加価値化や工場再編による非
• 賃上げ目標7.0% 効率の解消は効果的。従業員が健康的かつモチベｰション高く働ける会社としたい。</t>
  </si>
  <si>
    <t>【p.2】
日電精密工業株式会社
.補助事業の概要
2
成長領域の拡大・進出を目指し、工場再編を通じて大胆に既存リソースを再分配する。
増産体制の構築や生産性向上により、収益性を飛躍的に上昇させる。総事業費は4,044百万円を予定。
補助事業の 成長領域の拡大・進出を目指し、工場再編を通じて大胆に既存リソースを再分配する。 事業費 , 百万円
3 717
背景・目的 増産体制の構築や生産性向上により、収益性を飛躍的に上昇させる。 （補助額） （補助額1,1 百万円）
84
総投資額
場所 投資内容 備考 設備投資の目的
（税抜）
新工場 設立費用 土地代 諸手続き料を含む総額 ※補助対象外 450
各工場で行っているプレス加工を新工場に集約し、製造工程の合理化を図る。
（池田工場） 土地造成費 造成工事、その他手数料 310
現在：オイルプレス、オイルレスプレスともに４工場で行っている。
建築費 池田工場（約7,000㎡） 2,200
設備投資の 2,960 計画：オイルプレスは新工場、オイルレスプレスは安八工場へ集約する。
内容 DX用設備 省力化設備 自動ラック倉庫、自動搬送ロボット、協働ロボット 300 労働生産性を向上させ人員配置を見直すため、ロボットや省力設備を導入する。
生産稼働監視 稼働監視システム(AIカメラ) 50 生産設備の稼働率向上のため、稼働監視システムを導入する。
350
単位：百万円 生産設備 生産財設備 プレス、洗浄機、平面研削盤 394 補助事業の実施により新品種の量産が予定されるため、生産設備を新たに導入する。
アモルファス加工用設備 10 アモルファスモーターコアの事業化を推進するため専用設備を導入する。
3,714
安八工場 粗化鍍金用設備 シート鍍金装置4条等（うち260百万円はリース） 290 粗化鍍金ラインを増強し、量産対応を行う。
神戸工場 GeO₂成膜事業用設備 40 GeO₂成膜事業の事業化を推進するため専用設備を導入する。
計 4,044 百万円
項目 単位 基準年度 事業化報告 3年目 年平均上昇率
労働生産性 千円/人 6,972 14,561 27.8%
従業員1人あたり
目標値 千円/人 5,031 6,163 7.0%
給与支給総額
役員１人あたり
千円/人 - - 7.0%
給与支給総額
補助事業に係る
人 240 261 2.8%
従業員数
新工場イメージ/
レイアウト（図面）</t>
  </si>
  <si>
    <t>石坂産業株式会社
1.長期成長ビジョン
循環型社会、環境構築のビジョンの下、「資源循環リサイクラーから、製造、リジェネラティブインフラストラクチャー移行」という
戦略を掲げ、本事業で新工場設立、先端分別設備導入、処理設備のDX化を図ることで、画期的な省力化を達成する。</t>
  </si>
  <si>
    <t>長期成長ビジョン（目指す姿・ビジネスモデル）
ビジョン（実現したい未来像）
物:循環と共生が機能する物・品質、コストプロセス
・HSE（健康、安全、環境）の企業価値向上、競争力強化
・再生資源のブルーカーボン、グリーンカーボン社会実装(製品高付加価値化)
・自己発電、自己循環するプロダクト
場所:自然と循環が共存できる場所
・共創による技術、人的能力開発、ESGの実施とともに収益構造確立
事:環境価値を生む仕事行動
土壌、水、森の再生を行う事業(リジェネラティブビジネスの加速)
成長戦略（メガトレンドへの対応）
循環型経済の中核を担う価値創造産業へ進化する
物、事、場所への総合的ハード面ソフト面の大規模転換を図る
＊中期計画(5年) （本事業）
資源循環リサイクラーから製造、リジェネラティブインフラストラクチャーに移行
＊長期計画
地域と地球の未来デザインをするエッセンシャル産業へ
成長手段（本事業）
■新工場設立・省力化設備・システム導入による処理能力向上
・新工場設立により受入れ処理能力拡大
・AI光学システムで、現在手作業での廃棄物仕分けを、自動化、省力化する。
・MES(製造実行システム)により、処理設備の稼働状況を基幹システムに統合し、
省人化、品質、生産能力向上
■混合物の自動選別ライン新設により、プラスチック、金属等の再資源化
（資源循環国家戦略に貢献）
老朽化設備の集約とライン再配置により、処理能力・再資源化能力の両面で大幅な
拡張を図る。中長期的な搬入量の増加に備える</t>
  </si>
  <si>
    <t>外発的動機
① 再生樹脂のほとんどが輸出される
国内ユーザーの求める高品質・低価格なマテリアルリサイクルが必須
② 国内スクラップは将来、需要に対して不足
高品位スクラップが不足しており、金属再資源化の対策が必要
万t 万t
200 5,000
不足量
4,000
150
3,000
輸出
100
製造量
2,000
50
1,000
国内活用
0 0
再生樹脂の消費※1 スクラップの将来需要※2
※1 動静脈物流解剖図（2023年9月 経産省） ※2 鉄鋼資源循環戦略と課題（2023年12月 日本鉄鋼連盟）</t>
  </si>
  <si>
    <t>内発的動機
①搬入量が工場処理能力を越え、顧客ニーズに応えきれていない
これ以上の成長には工場増設が不可欠
②新規採用者、特に若手の教育環境を充実させたい
省力化による余剰時間を若手教育に充てる。自動化、AI活用で熟練者で
ないと実施できない作業を減らし、若手が活躍しやすい環境をつくる
③「資源循環リサイクラーから、製造、リジェネラティブインフラストラクチャー移行」
日本のサーキュラーエコノミーを支える静脈産業のリーディングカンパニーとなるべく、廃プ
ラスチック・金属のマテリアルリサイクルを強化し、動脈産業への再生材供給に進出する
更に、「再資源化100% 廃棄物の埋め立てがない日本をつくる！」を達成すべく、廃
棄物を無害化・減容化・資源化する事業への大規模投資やM＆Aを活用し、再生資源
製造業、収集運搬、解体事業等への進出を実施したい
4</t>
  </si>
  <si>
    <t>【p.1／売上成長目標】
会社全体の売上成長目標（直近決算～2030年度）
• 売上高増加額8,536百万円（6,716百万円➨15,252百万円）
• 売上高成長率12.4％</t>
  </si>
  <si>
    <t>【p.1】
石坂産業株式会社
1.長期成長ビジョン
循環型社会、環境構築のビジョンの下、「資源循環リサイクラーから、製造、リジェネラティブインフラストラクチャー移行」という
戦略を掲げ、本事業で新工場設立、先端分別設備導入、処理設備のDX化を図ることで、画期的な省力化を達成する。
長期成長ビジョン（目指す姿・ビジネスモデル） 外発的動機
① 再生樹脂のほとんどが輸出される
ビジョン（実現したい未来像）
国内ユーザーの求める高品質・低価格なマテリアルリサイクルが必須
物:循環と共生が機能する物・品質、コストプロセス
② 国内スクラップは将来、需要に対して不足
・HSE（健康、安全、環境）の企業価値向上、競争力強化
・再生資源のブルーカーボン、グリーンカーボン社会実装(製品高付加価値化) 高品位スクラップが不足しており、金属再資源化の対策が必要
・自己発電、自己循環するプロダクト
場所:自然と循環が共存できる場所 万t 200 万t 5,000
・共創による技術、人的能力開発、ESGの実施とともに収益構造確立 不足量
4,000
事:環境価値を生む仕事行動 150
土壌、水、森の再生を行う事業(リジェネラティブビジネスの加速) 3,000
100 輸出
2,000 製造量
成長戦略（メガトレンドへの対応）
50
循環型経済の中核を担う価値創造産業へ進化する 1,000
国内活用
物、事、場所への総合的ハード面ソフト面の大規模転換を図る
0 0
＊中期計画(5年) （本事業）
再生樹脂の消費※1 スクラップの将来需要※2
資源循環リサイクラーから製造、リジェネラティブインフラストラクチャーに移行
＊長期計画 ※1 動静脈物流解剖図（2023年9月 経産省） ※2 鉄鋼資源循環戦略と課題（2023年12月 日本鉄鋼連盟）
地域と地球の未来デザインをするエッセンシャル産業へ
内発的動機
成長手段（本事業）
①搬入量が工場処理能力を越え、顧客ニーズに応えきれていない
■新工場設立・省力化設備・システム導入による処理能力向上 これ以上の成長には工場増設が不可欠
・新工場設立により受入れ処理能力拡大
・AI光学システムで、現在手作業での廃棄物仕分けを、自動化、省力化する。
②新規採用者、特に若手の教育環境を充実させたい
・MES(製造実行システム)により、処理設備の稼働状況を基幹システムに統合し、
省力化による余剰時間を若手教育に充てる。自動化、AI活用で熟練者で
省人化、品質、生産能力向上
ないと実施できない作業を減らし、若手が活躍しやすい環境をつくる
■混合物の自動選別ライン新設により、プラスチック、金属等の再資源化
（資源循環国家戦略に貢献）
③「資源循環リサイクラーから、製造、リジェネラティブインフラストラクチャー移行」
老朽化設備の集約とライン再配置により、処理能力・再資源化能力の両面で大幅な
日本のサーキュラーエコノミーを支える静脈産業のリーディングカンパニーとなるべく、廃プ
拡張を図る。中長期的な搬入量の増加に備える
ラスチック・金属のマテリアルリサイクルを強化し、動脈産業への再生材供給に進出する
会社全体の売上成長目標（直近決算～2030年度） 更に、「再資源化100% 廃棄物の埋め立てがない日本をつくる！」を達成すべく、廃
• 売上高増加額8,536百万円（6,716百万円➨15,252百万円） 棄物を無害化・減容化・資源化する事業への大規模投資やM＆Aを活用し、再生資源
• 売上高成長率12.4％ 製造業、収集運搬、解体事業等への進出を実施したい
4</t>
  </si>
  <si>
    <t>【p.2】
石坂産業株式会社
.補助事業の概要
2
補助事業実施による付加価値向上により、労働生産性を年平均28.5％向上し、基準の年平均上昇率
4.5%を大幅に上回る８.0％の賃上げ目標を確実に達成する。
• ［背景］環境規制強化に伴う再資源化需要の拡大、廃棄物処理能力・処理精度の限界 事業費 4,922百万円
• ［目的］持続的成長とサーキュラーエコノミー推進の実現 （補助額）（1,641百万円）
補助事業の
• ➨廃棄物受入量の拡大
背景・目的
• ➨混合物処理高度化による新規再生リサイクル品製造・販売強化（再生プラスチック、金属、再生砂、固形燃料）
• ［課題］生産規模拡大、処理能力（効率・精度・新規分別技術）向上、製品高付加価値化、安定稼働
経費項目 名称 投資額 効果 労働生産性向上
RPF製造/可燃混合選別 ・本社工場隣接地に新工場建設➨生産 ・既存施設を含めた各プラントの役割再編、
建物費 /有価物（金属） 18.4億円 規模拡大 従業員再配置、レイアウト最適化、作業
統合プラントほか ・本社既存工場への改修・改善工事 環境改善
選別機・破砕機 ・分別工程：手作業の自動化によ
成形機 る生産効率向上、製造コスト削減 ・省力化設備導入に伴う生産工程自動化
設備投資の 機械装置費 モニタリング設備他 30.1億円 ・AI・センサー技術活用による分別 ➨省人化・サイクルタイム大幅削減
内容 分級精度向上 ・製品の高付加価値化により付加価値額増加
その他設備
・本社既存工場効率化
生産統括管理システム ・生産管理情報の見える化による業 ・生産情報や機械設備の稼働状況がシステム
プラント3Dデータ化他 務効率の向上、安定稼働の実現 に自動入力
ソフトウェア費 0.73億円
・廃棄物持込時の待ち時間短縮によ ・廃棄物持込車両の場内整理や待ち時間問
廃棄物持込待機場管理システム
る処理業務効率化、顧客満足向上 合せのための人員削減
項目 基準年度 事業化報告3年目
労働生産性 32,134
15,160
（単位：千円/人） (年平均上昇率+28.5%）
目標値 従業員1人あたり給与支給総額 7,891
6,264
（単位：千円/人） （年平均上昇率＋8.0％）
役員１人あたり給与支給総額
-
（単位：千円/人） - （年平均上昇率＋6.0％）
補助事業に係る従業員数
145 180
（単位：人）</t>
  </si>
  <si>
    <t>吉田海運ロジソリューションズ株式会社
1.長期成長ビジョン
• JR九州との拠点の共同開発等の施策により、九州地方における物流倉庫のリーディングカンパニーを目指す
• 物流の効率化等を推進し、物流業界の課題解決に向けて挑戦・成長し続ける企業を目指す</t>
  </si>
  <si>
    <t>長期成長ビジョン（目指す姿・ビジネスモデル）
＜基本方針＞
九州地方における低温倉庫のリーディングカンパニーを目指す
九州の物流インフラを支え、アジアとの低温食品サプライチェーンを強靭
化するリーディングカンパニーを目指し、地域経済の発展に貢献する
物流業界全体の輸送の効率化・省人化を推進
物流拠点の整備や自動化、配送の集約などの輸送の合理化をすす
め、物流業務の省力化および効率化を実現する。蓄積したノウハウを
物流業界に展開し、業界全体の課題解決に貢献する。
＜重点戦略＞
• 市場環境の需要を捉え、 JR九州との協業スキーム等を活用した
物流拠点の開発・運営
• 自社管理倉庫の自動化を推進
• 独立系3PLの強みを活かした幹線輸送や共同輸送等の輸送効率
向上に向けた取組みの推進
• 三温度帯倉庫や自動化等のノウハウを活かした、不動産開発事
業・オペレーション事業の全国展開
※2026年度~2030年度の数字</t>
  </si>
  <si>
    <t>外発的動機
• 共働き世帯の増加等による冷凍・冷蔵食品の需要拡大
• 冷食の輸入割合の増加に伴う港湾型倉庫需要の拡大
• 冷凍・冷蔵倉庫の老朽化による不測の懸念
• 地球温暖化の進行や環境意識の高まり
• 少子高齢化による労働力人口の減少
• 物流関連2法により、荷主・物流事業者間の商慣行を見
直し、荷待ち・荷役時間の削減や積載率の向上等の対
策が必要</t>
  </si>
  <si>
    <t>内発的動機
• 「事業を通じて地域社会に貢献する」の使命の実現
• 物流業界の2024年問題によるドライバーの労働時間を
考慮した、中継拠点へのニーズの高まり
• 新規・既存倉庫の自動化による人手不足への対応
• 大型冷凍倉庫の要望
• 従業員の負担抑制及び若手の成長支援</t>
  </si>
  <si>
    <t>【p.1／売上成長目標】
会社全体の売上成長目標（2030年度）
• 2030年度の会社全体の売上高：157億円
• 売上高増加額：93億円※
• 売上高成長率： CAGR25％※</t>
  </si>
  <si>
    <t>【p.1】
吉田海運ロジソリューションズ株式会社
1.長期成長ビジョン
• JR九州との拠点の共同開発等の施策により、九州地方における物流倉庫のリーディングカンパニーを目指す
• 物流の効率化等を推進し、物流業界の課題解決に向けて挑戦・成長し続ける企業を目指す
長期成長ビジョン（目指す姿・ビジネスモデル）
外発的動機
＜基本方針＞ • 共働き世帯の増加等による冷凍・冷蔵食品の需要拡大
• 冷食の輸入割合の増加に伴う港湾型倉庫需要の拡大
九州地方における低温倉庫のリーディングカンパニーを目指す
九州の物流インフラを支え、アジアとの低温食品サプライチェーンを強靭 • 冷凍・冷蔵倉庫の老朽化による不測の懸念
化するリーディングカンパニーを目指し、地域経済の発展に貢献する
• 地球温暖化の進行や環境意識の高まり
物流業界全体の輸送の効率化・省人化を推進
• 少子高齢化による労働力人口の減少
物流拠点の整備や自動化、配送の集約などの輸送の合理化をすす
• 物流関連2法により、荷主・物流事業者間の商慣行を見
め、物流業務の省力化および効率化を実現する。蓄積したノウハウを
物流業界に展開し、業界全体の課題解決に貢献する。 直し、荷待ち・荷役時間の削減や積載率の向上等の対
策が必要
＜重点戦略＞
• 市場環境の需要を捉え、 JR九州との協業スキーム等を活用した
物流拠点の開発・運営
• 自社管理倉庫の自動化を推進
内発的動機
• 独立系3PLの強みを活かした幹線輸送や共同輸送等の輸送効率
向上に向けた取組みの推進 • 「事業を通じて地域社会に貢献する」の使命の実現
• 三温度帯倉庫や自動化等のノウハウを活かした、不動産開発事 • 物流業界の2024年問題によるドライバーの労働時間を
業・オペレーション事業の全国展開
考慮した、中継拠点へのニーズの高まり
• 新規・既存倉庫の自動化による人手不足への対応
会社全体の売上成長目標（2030年度）
• 2030年度の会社全体の売上高：157億円 • 大型冷凍倉庫の要望
• 売上高増加額：93億円※ • 従業員の負担抑制及び若手の成長支援
• 売上高成長率： CAGR25％※
※2026年度~2030年度の数字</t>
  </si>
  <si>
    <t>【p.2】
吉田海運ロジソリューションズ株式会社
.補助事業の概要
2
• 物流の効率化や省人化といった物流業界の課題解決に向けて、自動倉庫システムを導入する
• 庫内作業の自動化により、パレットの出荷能力は約8倍となり省人化が可能
国内冷凍食品市場は、消費者のライフスタイルの変化や冷凍食品の多様化・品質向上等を理由に拡大しており、
国内で消費される冷凍食品の輸入品の割合が増加傾向にあることから、港湾での通関・検疫が可能な冷凍倉庫
補助事業の の需要が拡大している。また、物流の2024年問題やEC販売の普及による物流需要の拡大に伴い、物流業界で 事業費
2, 百万円
284
背景・目的 は輸送の効率化や省人化への対応が課題となっている。 （補助額）
（ 百万円）
761
上記の背景から、日本屈指の貿易拠点である博多港で、通関・検疫に対応が可能な港湾型倉庫をJR九州と
共同で開発し、自動倉庫システムによる省人化を図り、物流サービスを通して社会課題の解決に取り組む。
パレット立体自動倉庫 移動ラック 冷却設備一式
設備投資の
内容
設備投資 ①自動で搬入・搬出が可能 ①ラックが移動することで、リフトの搬入路 ①冷凍装置の運営に必要な冷却装置
②システムによる出荷指示で自動搬出 を最小限に抑え、保管効率を高める ②エネルギー効率が高く、高い省エネ効果
による効果
③高層ラックによる保管容量の向上 ②高層ラックによる保管容量の向上 を実現
2027年度 2030年度
項目
（基準年度） （基準年度＋３年後）
労働生産性 9,03
4,60 9
（千円/人） 2 （年平均上昇率＋25.2%）
目標値 従業員1人あたり 4,040
3,298
給与支給総額（千円/人） （年平均上昇率＋7.0%）
役員1人あたり 12,250
10,000
給与支給総額（千円/人） （年平均上昇率＋7.0%）
補助事業に係る
68 72
従業員数（人） 7 4</t>
  </si>
  <si>
    <t>株式会社ビクトリー
1.長期成長ビジョン
⚫ 国内のミネラルウォーター市場の拡大、普及により、ミネラルウォーターがライフウォーターとして身近になっている
⚫ ミネラルウォーターは災害時にも重要な役割を果たす
⚫ 当社は安く品質の良い安全なミネラルウォーターを、安定して世の中に供給する</t>
  </si>
  <si>
    <t>長期成長ビジョン（目指す姿・ビジネスモデル）
メガトレンド
• 国内のミネラルウォーター市場は年々拡大しており、直近
20年で4倍に伸長。それでも1人当たりの年間消費量は
欧米比1/3程度であり、さらなる国内市場の拡大が見込
まれる
• 災害時において飲料水は1番必要なモノとなっている。防災
備蓄のためにミネラルウォーターは重宝されている。
目指す姿とビジネスモデル
• ライフウォーターとして、安く品質の良い安全なミネラルウォー
ターを世の中に供給する。
• 粗利が小さく大手が嫌う２Lを積極的に販売
家庭の普段使いのおいしい水を提供
• 防災時に貢献する。
• メーカーの多くは山梨県（富士山周辺）で採水。地域
が被災した場合、関東への供給量は半減する。
当社は群馬で採水</t>
  </si>
  <si>
    <t>外発的動機
• 国内のミネラルウォーター市場の年々拡大
• インバウンドによるホテル向けの需要の拡大
【２リットル ペットボトルに需要増】
• 大手は利幅の小さい２Lペットボトルは作りたがらない
価格競争力のある当社に需要が集まる
• 小売業者からの引き合いが強く、需要に供給が追いつかない状
況が続いている
• 災害時においても飲料水２Lボトルは1番必要なモノとなっている。</t>
  </si>
  <si>
    <t>内発的動機
• 事業を始めるきっかけとなったのは東日本大震災で被災者が
飲み水を求めている声を聞いたことがきっかけ
• 災害大国日本において、水を必要としているお客様に、当社商
品をいち早く提供する事が経営基本方針かつ最重要の動機で
ある
• 弊社はグループ会社で薬品、健康食品を販売し、販売網は全
国にある。全国の国民に安心・安全・美味しく・安価な水を提供
する事で、社会貢献は当社の使命である事を達成していく。
• 競合の水源は富士山麓に集中しており、リスク低減のために、当
社は他社と異なる水源をもつことで災害時に関東の水を確保で
きる。
• 家庭用の２Lペットボトル水は大手競合が手を出しにくい分野、
当社の生産ノウハウで関東市場の需要を取り込める</t>
  </si>
  <si>
    <t>【p.1／売上成長目標】
会社全体の売上成長目標
（2025年3月期～2031年3月期）
• 売上高増加額:18661百万円
• 売上高年平均成長率24.6％
関東市場で人気ベスト５の製品となる</t>
  </si>
  <si>
    <t>【p.1】
株式会社ビクトリー
1.長期成長ビジョン
⚫ 国内のミネラルウォーター市場の拡大、普及により、ミネラルウォーターがライフウォーターとして身近になっている
⚫ ミネラルウォーターは災害時にも重要な役割を果たす
⚫ 当社は安く品質の良い安全なミネラルウォーターを、安定して世の中に供給する
長期成長ビジョン（目指す姿・ビジネスモデル） 外発的動機
• 国内のミネラルウォーター市場の年々拡大
メガトレンド
• インバウンドによるホテル向けの需要の拡大
• 国内のミネラルウォーター市場は年々拡大しており、直近 【２リットル ペットボトルに需要増】
20年で4倍に伸長。それでも1人当たりの年間消費量は • 大手は利幅の小さい２Lペットボトルは作りたがらない
価格競争力のある当社に需要が集まる
欧米比1/3程度であり、さらなる国内市場の拡大が見込
• 小売業者からの引き合いが強く、需要に供給が追いつかない状
まれる
況が続いている
• 災害時において飲料水は1番必要なモノとなっている。防災
• 災害時においても飲料水２Lボトルは1番必要なモノとなっている。
備蓄のためにミネラルウォーターは重宝されている。
目指す姿とビジネスモデル
• ライフウォーターとして、安く品質の良い安全なミネラルウォー 内発的動機
ターを世の中に供給する。 • 事業を始めるきっかけとなったのは東日本大震災で被災者が
• 粗利が小さく大手が嫌う２Lを積極的に販売 飲み水を求めている声を聞いたことがきっかけ
家庭の普段使いのおいしい水を提供 • 災害大国日本において、水を必要としているお客様に、当社商
品をいち早く提供する事が経営基本方針かつ最重要の動機で
• 防災時に貢献する。
ある
• メーカーの多くは山梨県（富士山周辺）で採水。地域
• 弊社はグループ会社で薬品、健康食品を販売し、販売網は全
が被災した場合、関東への供給量は半減する。
国にある。全国の国民に安心・安全・美味しく・安価な水を提供
当社は群馬で採水
する事で、社会貢献は当社の使命である事を達成していく。
会社全体の売上成長目標 • 競合の水源は富士山麓に集中しており、リスク低減のために、当
（2025年3月期～2031年3月期） 社は他社と異なる水源をもつことで災害時に関東の水を確保で
• 売上高増加額:18661百万円 きる。
• 売上高年平均成長率24.6％ • 家庭用の２Lペットボトル水は大手競合が手を出しにくい分野、
関東市場で人気ベスト５の製品となる 当社の生産ノウハウで関東市場の需要を取り込める</t>
  </si>
  <si>
    <t>【p.2】
株式会社ビクトリー
.補助事業の概要
2
●既存工場（岐阜工場）はフル生産である。関東は中部の約10倍の需要があり、既に引き合いが来ている
●旺盛な需要に対応するために既に完成済の群馬工場に加えて、群馬新工場（建設・先端設備導入）を本事業投資で実施
●売上向上・利益率向上を図り、労働生産性を向上させるとともに、賃上げを実現する
• 既存工場（岐阜工場）がフル生産。関東からの引き合い拡大に伴い群馬工場設立済。
補助事業の
• 供給不足である２Lペットボトルの生産サイクルアップと能増対応に向けて本事業で群馬新工場設立。
背景・目的 • 関東生産・物流効率化による得意先へのCO2排出低減。 事業費 1 6 , 5 00百万円
（補助額） （ , 百万円）
4 999
●環境負荷低減や生産性向上を目的とした新工場 ①・ボトリング 充填
（新規PET成型装置と 成型・充填一体型新規設備
充填機の一体設備導入）
・プリフォーム生産
（新規PET原料内製/
補助事業外）
設備投資の +
内容 ②製品検査箱詰め
（自動箱詰め装置化）
+ 自動出荷倉庫 RFIDパレット PET原料・ブロー成型
③輸送出荷体制構築
（自動出荷倉庫と
RFIDパレットの
活用による省人化）
項目 基準年度 事業化報告3年目
労働生産性 66,038
36,767
（単位：千円/人） （年平均上昇率＋21.6％）
目標値 従業員1人あたり給与支給総額 5,470
4.342
（単位：千円/人） （年平均上昇率＋8.0％）
役員１人あたり給与支給総額
-
（単位：千円/人） - （年平均上昇率＋8.0％）
補助事業に係る従業員数(役員含まず）
35 100
（単位：人）</t>
  </si>
  <si>
    <t>フクビ岡山株式会社
1.⾧期成⾧ビジョン
フクビ化学グループの成⾧を牽引する高性能断熱材「フェノバボード」の製造拠点として、生産能力の強化と技術
革新を通じて社会課題解決に貢献し、変化する建設業界のニーズを捉え、持続的な成⾧を遂げる
企業理念 中⾧期ビジョン
化学に立脚し、新たな価値を創造、提案する。 × 新たな技術開発と市場創造に絶え間なく挑戦し、快適な社会の実現
企業経営を通じて、地域に貢献し、環境共生型社会形成に寄与する。 に貢献する。一人一人の成⾧と企業の成⾧が一体になることで、喜び
を実現できるフクビグループを目指す。</t>
  </si>
  <si>
    <t>企業理念 中⾧期ビジョン
化学に立脚し、新たな価値を創造、提案する。 × 新たな技術開発と市場創造に絶え間なく挑戦し、快適な社会の実現
企業経営を通じて、地域に貢献し、環境共生型社会形成に寄与する。 に貢献する。一人一人の成⾧と企業の成⾧が一体になることで、喜び
を実現できるフクビグループを目指す。
⾧期成⾧ビジョン（目指す姿・ビジネスモデル）
新たな住まい オフィス＆ファクトリー
・高性能建築物/新築 ・非住宅建築物
・リフォーム/リノベーション （オフィス,工場,文教施設）
成⾧牽引分野
当社が持つフェノール樹脂成型技術で、社会課題の解決に貢献で
きる領域にこそ成⾧の機会があると考えている。特に、フクビ化学グ
ループが成⾧けん引分野と定めた「新たな住まい」「オフィス＆ファクト
リー」分野において、カーボンニュートラル実現をうけて、省エネ性能
向上が求められる高性能建材のニーズが伸びており、当社は、この
需要に応えるための技術・製品を提供していく</t>
  </si>
  <si>
    <t>外発的動機
成⾧のために捉えていく事業機会
• 2025年4月からの断熱基準義務化による、住宅・建築物の省エ
ネ性能の向上の要求より高性能断熱材の需要が拡大
• 環境配慮型製品・低環境負荷性能に対するニーズをキャッチアップ
し、 フェノバボードの製造・開発を通じて貢献していく
• 輸送・原材料・エネルギーコストの高騰に対応し、サプライチェーンの
再構築と先端技術の活用により、コスト最適化と業務改善を図る
• 市場が変化する中、当社はフクビ化学グループと連携し、新たな市
場の開拓に必要な高性能フェノバボードの生産体制を構築し、需
要の変化に柔軟に対応する</t>
  </si>
  <si>
    <t>内発的動機
• フクビ化学グループの戦略として建設業界全体が断熱性能を重視
した設計・施工にシフトする中、当社はフェノバボードの製造・開発を
通じて断熱事業の成⾧に貢献し、高性能断熱材の安定供給と技
術革新を追求する。
• 現在の生産能力の限界や、技術革新への迅速な対応の必要性
が顕在化しているが、本投資によりスピード感を持って課題解決
に取り組み、市場の変化に柔軟に対応した成⾧を遂げていく</t>
  </si>
  <si>
    <t>会社全体の売上成⾧目標（2030年度）
• 売上高成⾧率230.8％（基準年度2025年3月期）
• 売上高増加額35.4億円
会社全体の賃上げ目標
• CAGR3.1%（直近事業年度～基準年度）
• CAGR6.2%（基準年度～事業化報告3年目）</t>
  </si>
  <si>
    <t>【p.1／売上成長目標】
会社全体の売上成⾧目標（2030年度）
• 売上高成⾧率230.8％（基準年度2025年3月期）
• 売上高増加額35.4億円
会社全体の賃上げ目標
• CAGR3.1%（直近事業年度～基準年度）
• CAGR6.2%（基準年度～事業化報告3年目）
【p.2／項目 基準年度】
項目 基準年度</t>
  </si>
  <si>
    <t>【p.1】
フクビ岡山株式会社
1.⾧期成⾧ビジョン
フクビ化学グループの成⾧を牽引する高性能断熱材「フェノバボード」の製造拠点として、生産能力の強化と技術
革新を通じて社会課題解決に貢献し、変化する建設業界のニーズを捉え、持続的な成⾧を遂げる
企業理念 中⾧期ビジョン
化学に立脚し、新たな価値を創造、提案する。 × 新たな技術開発と市場創造に絶え間なく挑戦し、快適な社会の実現
企業経営を通じて、地域に貢献し、環境共生型社会形成に寄与する。 に貢献する。一人一人の成⾧と企業の成⾧が一体になることで、喜び
を実現できるフクビグループを目指す。
⾧期成⾧ビジョン（目指す姿・ビジネスモデル） 外発的動機
成⾧のために捉えていく事業機会
新たな住まい オフィス＆ファクトリー
• 2025年4月からの断熱基準義務化による、住宅・建築物の省エ
・高性能建築物/新築 ・非住宅建築物
ネ性能の向上の要求より高性能断熱材の需要が拡大
・リフォーム/リノベーション （オフィス,工場,文教施設）
• 環境配慮型製品・低環境負荷性能に対するニーズをキャッチアップ
し、 フェノバボードの製造・開発を通じて貢献していく
成⾧牽引分野 • 輸送・原材料・エネルギーコストの高騰に対応し、サプライチェーンの
再構築と先端技術の活用により、コスト最適化と業務改善を図る
当社が持つフェノール樹脂成型技術で、社会課題の解決に貢献で
きる領域にこそ成⾧の機会があると考えている。特に、フクビ化学グ • 市場が変化する中、当社はフクビ化学グループと連携し、新たな市
場の開拓に必要な高性能フェノバボードの生産体制を構築し、需
ループが成⾧けん引分野と定めた「新たな住まい」「オフィス＆ファクト
要の変化に柔軟に対応する
リー」分野において、カーボンニュートラル実現をうけて、省エネ性能
向上が求められる高性能建材のニーズが伸びており、当社は、この
内発的動機
需要に応えるための技術・製品を提供していく
• フクビ化学グループの戦略として建設業界全体が断熱性能を重視
した設計・施工にシフトする中、当社はフェノバボードの製造・開発を
会社全体の売上成⾧目標（2030年度）
通じて断熱事業の成⾧に貢献し、高性能断熱材の安定供給と技
• 売上高成⾧率230.8％（基準年度2025年3月期）
術革新を追求する。
• 売上高増加額35.4億円
• 現在の生産能力の限界や、技術革新への迅速な対応の必要性
会社全体の賃上げ目標 が顕在化しているが、本投資によりスピード感を持って課題解決
• CAGR3.1%（直近事業年度～基準年度） に取り組み、市場の変化に柔軟に対応した成⾧を遂げていく
• CAGR6.2%（基準年度～事業化報告3年目）</t>
  </si>
  <si>
    <t>【p.2】
フクビ岡山株式会社
2.補助事業の概要
高性能フェノールフォーム断熱材「フェノバボード」の第2生産拠点を建設し、生産体制を強化することで、フクビ化学グループの
成⾧に貢献する。省エネ基準適合義務化を背景に、独自の不燃性・平滑性を備えたフェノバボードの製造能力を拡大する
補助事業の 省エネ基準適合義務化を背景に、当社は独自の不燃性・平滑性を備えた高性能断熱材 事業費 3,652百万円
背景・目的 製造を開始し、非住宅分野や未開拓市場で持続的な売上成⾧を実現 （補助額） （900百万円）
補助事業計画費の内訳
① 新工場建設費 16億9300万円
② 生産装置設備 24億6000万円
③ 省人省力設備 1億3600万円
・高品質な断熱材製造を実現するため、独自開発した製法の製造設備
を導入し、原料配合から完成梱包出荷まで一連の工程を集約化し、同
設備投資の
時に、物流と人員配置の効率化を確立する
内容
・搬送工程にロボットを導入して省人化と連続作業の労働負荷を低減し、
シフト生産を実現し生産性を向上する
・新工場は作業者の周辺の換気空調を強化することで、労働環境改善
を図り、加えてエネルギー面においてはソーラー発電およびグリーンエネル
イメージ図
ギーを率先利用し、地域協定で掲げられるカーボンフリーの実現に貢献
する次世代の環境先進モデル工場を目指す
項目 基準年度 事業化報告3年目
労働生産性 32,752千円/人
17,445千円/人
（単位:千円/人） （年平均上昇率＋23.4％）
従業員1人あたり給与支給総額 6,279千円/人
目標値 5,242千円/人
（単位:千円/人） （年平均上昇率＋6.2％）
役員１人あたり給与支給総額 -
-
（単位:千円/人） （年平均上昇率＋6.2％）
補助事業に係る従業員数
40名 60名（＋20名）
（単位:人）</t>
  </si>
  <si>
    <t>ソントン食品株式会社
1.長期成長ビジョン
世界の人々がより豊かで健康的な食生活を楽しんでいただけるように、新しい価値のある商品を提案し続けるこ
とで、お客さまの生活の充実、ひいては社会の発展に寄与する</t>
  </si>
  <si>
    <t>長期成長ビジョン（目指す姿・ビジネスモデル）
人と技術の力で世界の人々の健康と豊かな食文化の発
展に貢献する
技術力強化を元にイノベーションを起こす
◼ 新しい世界の市場、新しいニーズに向け、新しい商品を生み出して
いくことで、今一度メーカーの原点に立ち戻る
アジア圏をはじめとした海外市場への進出
◼ 海外市場への展開に本格的に取り組み、日本品質を海外の人々
にも届けることで、中長期的な成長基盤を確立する
お客さまの生活の充実、ひいては社会の発展に寄与
◼ 国内パン市場はもちろん、外食・中食・冷菓分野等、新しい価値
のある商品の提供範囲を拡大する</t>
  </si>
  <si>
    <t>外発的動機
• パン・外食・冷菓・中食市場の拡大に伴い、機能性・省力化・品質
安定性を備えたフィリング需要が高まっている
• 労働人口の減少に伴い、現場調理を要さない加工食品（既製
フィリング等）の導入ニーズが食品業界で顕著に拡大している
• 消費者ニーズの多様化に伴い、低糖質・アレルゲンフリー・機能性な
ど、より付加価値の高いフィリング開発が求められている
• 世界的な「日本食・和スイーツ」需要の高まりを受け、冷凍流通を
活用した輸出・間接輸出のフィリング供給が拡大
• アジアを中心とした人口成長圏において、日本品質の菓子・パン素
材への関心が高まっており、現地での展開ニーズが顕在化</t>
  </si>
  <si>
    <t>内発的動機
• 「詰めるもの・塗るもの」という食品インフラ的存在として、80年にわ
たり食卓と業界を支えてきた自負と使命
• 創業以来、常に“ない商品をつくる”開発姿勢で新市場を切り拓い
てきた歴史があり、再びイノベーション起点に立ち返る決意
• 業界トップシェアに甘んじず、新カテゴリ・新用途（冷菓・喫茶・輸
出など）へ挑戦し続けることで組織の進化を目指す
• グループ再編によって機動力のある組織体制が整い、「全社一丸で
の次の成長」を実現するべきタイミングを迎えている
• 「人と技術の力で世界の人々の健康と食文化に貢献する」という企
業理念を、グローバル視点で具現化するフェーズにある</t>
  </si>
  <si>
    <t>会社全体の売上成長目標（～31年3月期）
• 売上高年平均成長率9.8％
• 売上高増加額248億円
会社全体の賃上げ目標
• 2.5%（直近事業年度～基準年度）
• 6.5%（基準年度～事業化報告3年目）</t>
  </si>
  <si>
    <t>【p.1／売上成長目標】
会社全体の売上成長目標（～31年3月期）
• 売上高年平均成長率9.8％
• 売上高増加額248億円
会社全体の賃上げ目標
• 2.5%（直近事業年度～基準年度）
• 6.5%（基準年度～事業化報告3年目）</t>
  </si>
  <si>
    <t>【p.1】
ソントン食品株式会社
1.長期成長ビジョン
世界の人々がより豊かで健康的な食生活を楽しんでいただけるように、新しい価値のある商品を提案し続けるこ
とで、お客さまの生活の充実、ひいては社会の発展に寄与する
長期成長ビジョン（目指す姿・ビジネスモデル） 外発的動機
• パン・外食・冷菓・中食市場の拡大に伴い、機能性・省力化・品質
人と技術の力で世界の人々の健康と豊かな食文化の発 安定性を備えたフィリング需要が高まっている
展に貢献する • 労働人口の減少に伴い、現場調理を要さない加工食品（既製
フィリング等）の導入ニーズが食品業界で顕著に拡大している
技術力強化を元にイノベーションを起こす
• 消費者ニーズの多様化に伴い、低糖質・アレルゲンフリー・機能性な
◼ 新しい世界の市場、新しいニーズに向け、新しい商品を生み出して ど、より付加価値の高いフィリング開発が求められている
いくことで、今一度メーカーの原点に立ち戻る
• 世界的な「日本食・和スイーツ」需要の高まりを受け、冷凍流通を
活用した輸出・間接輸出のフィリング供給が拡大
アジア圏をはじめとした海外市場への進出
◼ 海外市場への展開に本格的に取り組み、日本品質を海外の人々 • アジアを中心とした人口成長圏において、日本品質の菓子・パン素
材への関心が高まっており、現地での展開ニーズが顕在化
にも届けることで、中長期的な成長基盤を確立する
お客さまの生活の充実、ひいては社会の発展に寄与
内発的動機
◼ 国内パン市場はもちろん、外食・中食・冷菓分野等、新しい価値
のある商品の提供範囲を拡大する • 「詰めるもの・塗るもの」という食品インフラ的存在として、80年にわ
たり食卓と業界を支えてきた自負と使命
• 創業以来、常に“ない商品をつくる”開発姿勢で新市場を切り拓い
会社全体の売上成長目標（～31年3月期）
てきた歴史があり、再びイノベーション起点に立ち返る決意
• 売上高年平均成長率9.8％
• 業界トップシェアに甘んじず、新カテゴリ・新用途（冷菓・喫茶・輸
• 売上高増加額248億円
出など）へ挑戦し続けることで組織の進化を目指す
会社全体の賃上げ目標
• グループ再編によって機動力のある組織体制が整い、「全社一丸で
• 2.5%（直近事業年度～基準年度）
の次の成長」を実現するべきタイミングを迎えている
• 6.5%（基準年度～事業化報告3年目）
• 「人と技術の力で世界の人々の健康と食文化に貢献する」という企
業理念を、グローバル視点で具現化するフェーズにある</t>
  </si>
  <si>
    <t>【p.2】
ソントン食品株式会社
.補助事業の概要
2
3つのラインを有する茨城中央工場を設立し、製品搬送設備や自動箱詰め機、自動倉庫などの自動化・省人
化設備導入により、高度に自動化された生産ラインを構築する
補助事業の • 今後見込まれる需要拡大に対して製造キャパシティが不十分 事業費 1 , 百万円
3 005
背景・目的 • 市場におけるシェア拡大のためには老朽化設備の改善とコスト競争力向上が必須 （補助額） ( , 百万円)
3 909
製造能力・顧客対応力強化によるフィリング市場における圧倒的ポジション確立
【具体的な投資内容】
① 茨城中央工場建設（86億円）
新工場を新設し、現工場よりもラインを3ライン増設す
ることによる製造能力の大幅向上
② 自動化・省人化設備の導入（35.6億円）
製品搬送設備や自動箱詰め機、自動倉庫を含む自
設備投資の
動化・省人化設備導入による高度に自動化された
内容
生産ラインの構築
【補助事業により見込まれる効果】
• 製造能力の1.5倍化による各市場における需要増への対応強化
• 自動化や歩留り改善による生産性向上とコスト競争力の向上
• デポ機能を持つ倉庫内製化による外注費・物流コストの削減
• 多品種少量生産対応力強化によるベーカリー・中食・外食業界向け取引拡大
項目 基準年度 事業化報告3年目
労働生産性 19,298千円/人
10,270千円/人
（単位：千円/人） （年平均上昇率＋23.4％）
従業員1人あたり給与支給総額 6,640千円/人
目標値 5,497千円/人
（単位：千円/人） （年平均上昇率＋6.5％）
役員１人あたり給与支給総額
-
（単位：千円/人） - （年平均上昇率＋5.0％）
補助事業に係る従業員数
595人 631人
（単位：人）</t>
  </si>
  <si>
    <t>リバードコーポレーション株式会社
1.⾧期成⾧ビジョン
「ヒューマニゼーション(人化)」による高付加価値化が進むペットフードをコア事業とし、ヒューマングレードの商品アソートメントを拡充するととも
に、EC中心の時代に合わせた、低在庫と適時配荷を叶えるDtoCバリューチェーンを構築して、着実に市場シェアを獲得して成⾧する。
ヒューマングレードの商品拡充 適時配荷のDtoCバリューチェーン構築 着実な市場シェア獲得</t>
  </si>
  <si>
    <t>⾧期成⾧ビジョン（目指す姿・ビジネスモデル）
• 「モノ創りの力で 鳥取の潜在価値を解き放ち すべての生命へ 幸
福と感動を届ける」というパーパスのもと、ペットフード市場においても
ミッション「愛する家族にいいモノを 地球の仲間にいいコトを」を実践
し、ペットフード市場への後発参入および地方企業の利点を活かし
た新規提案型ビジネスで市場シェア獲得を加速させる。
• 市場ニーズを汲み取りながら、新機軸の提案型商品をタイムリーに
提供するために、企画開発から製造・販売までを一貫して手掛け
る垂直統合型のペットフード製造におけるDtoCバリューチェーンモデ
ルを構築する。新たに拡充する商品群を立ち上げてから量産体制
に入るまでを自動化とDXで効率化をさせながらも、在庫最適と適
時配荷を両立する次世代工場を実現する。
• バリューチェーンを支えるために、事業基幹システムの整備や、生産
管理・製造技術・管理部門によるバックオフィスの強化にて、包括
的な体制な運営体制を構築し、成⾧基盤を盤石にする。</t>
  </si>
  <si>
    <t>外発的動機
• ペットフード市場は、ペット飼育数こそ横ばいであるものの、ペットの
「ヒューマニゼーション(人化)」が進むことで、年率2.9%の市場成⾧
が見込まれており、当社の成⾧余地は広がっている。
• ペットの健康志向は高まっており、人間同様に添加物を使用しない
無添加商品などがトレンドに。また、猫では腎臓病予防の観点から、
水分を多く含む液状商品（レトルト型ウェットフード）の市場が拡
大中。今後も人間同様に健康にこだわったヒューマングレードのペット
フードが拡大していくと予想される。
• 当社が所在する鳥取市における2030年の労働人口は8.3万人に
まで縮小する予想であり、事業継続には自動化やDXが必達となる。</t>
  </si>
  <si>
    <t>内発的動機
• 地域未来牽引企業認定を受け、2020年に工場を新築した当社
は、健康志向ペットフードの波に乗り、年率23.3%と市場成⾧率
を上回る成⾧を実現してきた。一方で工場生産能力の頭打ちが近
づいており、工場拡張が喫緊の課題となっている。
• より幅の広い健康志向の提案型商品を製造する設備と、タイムリー
かつシームレスな生産供給が可能な製造流通網を構築するために
自動化とDX化は急務となっている。
• 年々、労働力確保が難しくなってきており、それに伴って賃金も向上
してきている。省力化と賃金を向上する体制の両立が急がれる。</t>
  </si>
  <si>
    <t>会社全体(ペットフード事業) 売上成⾧目標（～30
年）
• 売上高成⾧率 +272.0％
• 売上高増加額 +27.8億円
会社全体の賃上げ目標
• 3.1%（直近事業年度～基準年度）
• 6.8%（基準年度～事業化報告3年目）</t>
  </si>
  <si>
    <t>【p.1／売上成長目標】
会社全体(ペットフード事業) 売上成⾧目標（～30
年）
• 売上高成⾧率 +272.0％
• 売上高増加額 +27.8億円
会社全体の賃上げ目標
• 3.1%（直近事業年度～基準年度）
• 6.8%（基準年度～事業化報告3年目）
【p.2／項目 基準年度】
項目 基準年度</t>
  </si>
  <si>
    <t>【p.1】
リバードコーポレーション株式会社
1.⾧期成⾧ビジョン
「ヒューマニゼーション(人化)」による高付加価値化が進むペットフードをコア事業とし、ヒューマングレードの商品アソートメントを拡充するととも
に、EC中心の時代に合わせた、低在庫と適時配荷を叶えるDtoCバリューチェーンを構築して、着実に市場シェアを獲得して成⾧する。
ヒューマングレードの商品拡充 適時配荷のDtoCバリューチェーン構築 着実な市場シェア獲得
⾧期成⾧ビジョン（目指す姿・ビジネスモデル） 外発的動機
• ペットフード市場は、ペット飼育数こそ横ばいであるものの、ペットの
• 「モノ創りの力で 鳥取の潜在価値を解き放ち すべての生命へ 幸
「ヒューマニゼーション(人化)」が進むことで、年率2.9%の市場成⾧
福と感動を届ける」というパーパスのもと、ペットフード市場においても
が見込まれており、当社の成⾧余地は広がっている。
ミッション「愛する家族にいいモノを 地球の仲間にいいコトを」を実践
し、ペットフード市場への後発参入および地方企業の利点を活かし
• ペットの健康志向は高まっており、人間同様に添加物を使用しない
た新規提案型ビジネスで市場シェア獲得を加速させる。
無添加商品などがトレンドに。また、猫では腎臓病予防の観点から、
水分を多く含む液状商品（レトルト型ウェットフード）の市場が拡
• 市場ニーズを汲み取りながら、新機軸の提案型商品をタイムリーに
大中。今後も人間同様に健康にこだわったヒューマングレードのペット
提供するために、企画開発から製造・販売までを一貫して手掛け
フードが拡大していくと予想される。
る垂直統合型のペットフード製造におけるDtoCバリューチェーンモデ
ルを構築する。新たに拡充する商品群を立ち上げてから量産体制
• 当社が所在する鳥取市における2030年の労働人口は8.3万人に
に入るまでを自動化とDXで効率化をさせながらも、在庫最適と適
まで縮小する予想であり、事業継続には自動化やDXが必達となる。
時配荷を両立する次世代工場を実現する。
内発的動機
• バリューチェーンを支えるために、事業基幹システムの整備や、生産
管理・製造技術・管理部門によるバックオフィスの強化にて、包括 • 地域未来牽引企業認定を受け、2020年に工場を新築した当社
的な体制な運営体制を構築し、成⾧基盤を盤石にする。 は、健康志向ペットフードの波に乗り、年率23.3%と市場成⾧率
を上回る成⾧を実現してきた。一方で工場生産能力の頭打ちが近
会社全体(ペットフード事業) 売上成⾧目標（～30
づいており、工場拡張が喫緊の課題となっている。
年）
• 売上高成⾧率 +272.0％ • より幅の広い健康志向の提案型商品を製造する設備と、タイムリー
• 売上高増加額 +27.8億円 かつシームレスな生産供給が可能な製造流通網を構築するために
会社全体の賃上げ目標 自動化とDX化は急務となっている。
• 3.1%（直近事業年度～基準年度）
• 6.8%（基準年度～事業化報告3年目） • 年々、労働力確保が難しくなってきており、それに伴って賃金も向上
してきている。省力化と賃金を向上する体制の両立が急がれる。</t>
  </si>
  <si>
    <t>【p.2】
リバードコーポレーション株式会社
2.補助事業の概要
さらに広がりをみせるECビジネスおよび省在庫時代に適合したビジネスモデルへ再構築するために、新工場を核とした次世代型商
品群とDtoCサプライチェーンを構築。横断的に事業を推し進めるオペレーションズマネジメントとの掛け合わせにより、ハードウェア
(工場)とソフトウェア(オペレーション)を包含した新しい垂直統合型ビジネスモデルを実現する。
• 単なる工場投資に留めず、オペレーション部分から刷新した、DtoCバリューチェーンを実現する次
補助事業の 事業費 5,918百万円
世代型工場を建築。将来競争力を備えた次世代型製造設備を導入し、バリューチェーン以降
背景・目的 （補助額） （1,860百万円）
の需要創造までを組み込んだ、垂直統合型のビジネスモデルを再構築する。
工程や考え方自体に手を入れて、製品やサプライチェーンを再構築。それを
叶えるため、以下の設備投資に取り組んでいく。
• 既存工場(4,594㎡)横に、製造エリアを増築。増築エリアでは、新規製
品用設備を導入し、既存の商品でカバーしていないカテゴリでも売上成⾧
を目指す。
• 既存製品のキャパシティの上限も近く、既存工場のレイアウトを変更し、生
産設備を増強することにより、現状の15バッチ/日から、22バッチ/日の生
設備投資の
産が可能な体制へ。これに合わせて、ボトルネックである包装工程の自動
内容
化を進める。
• 主な設備投資内容
加熱撹拌機1台、充填機2台、Ⅹ線・ウエイトチェッカー各2台、レトルト殺菌
機1台、ローダー4台、アンローダー2台、除水機2台、袋タイプ自動包装機1
台、箱タイプ半自動包装機1台、フレーカーミキサー1台、クッキングミキサー2
台、テトラパックセミオートライン1式、マイクロウエーブ真空乾燥機1台
• 自動化に伴い、8名分の作業工数の削減、新製品ラインで、20名の新
規雇用を見込む。
項目 基準年度 事業化報告3年目
労働生産性 13,174
10,647
（単位:千円/人） （年平均上昇率＋7.4％）
目標値 従業員1人あたり給与支給総額 4,609
3,728
（単位:千円/人） （年平均上昇率＋7.3％）
役員１人あたり給与支給総額 -
-
（単位:千円/人） （年平均上昇率＋6.0％）
補助事業に係る従業員数
120 135
（単位:人）</t>
  </si>
  <si>
    <t>株式会社レクザム
1.長期成長ビジョン
エレクトロニクスを核として、お客様の立場で果敢に挑戦する「開発好奇心集団」として更なる飛躍を目指す。
ものづくりの現場でお客様とともに成長し、お客様や地域社会にとってかけがえのないパートナーであり続けたい。</t>
  </si>
  <si>
    <t>長期成長ビジョン（目指す姿・ビジネスモデル）
• レクザム西条工場を電子回路実装基板の自動生産モデル工場に
変革して、生産コストを削減することで受注量を増加。自社生産
拠点に技術展開し、電子回路実装基板の生産・販売を増加する。
• レクザム綾歌工場の自動車用板金部品生産拡大事業で、メタル
ワーキングBUの生産・販売を増加して労働生産性向上を実現。
• パッチ式脳波計「HARU-３」の病院・介護施設での活用を推進、
世界最小最軽量ECMOやアイケア製品の生産・販売を増加する。
• 超臨界流体や自然冷媒技術など半導体製造のESG課題への
戦略的技術を磨き、半導体製造装置の生産・販売を増加する。
• 基板外観検査装置、スキーブーツ、工業用乾燥剤、地ビールなど
自社製品の技術力・優位性を向上して生産・販売を増加する。
• 株主配当・役員報酬ゼロで財務強化・拡大生産の伝統を継続。</t>
  </si>
  <si>
    <t>外発的動機
• 米国の関税政策への対応が必要。
• 人手不足、部品価格や輸送費の値上がりなどへの対応が必要。
• 中国経済の混乱・減速、地政学的対立や危機管理対応が必要。
• インド・北米等のエアコン需要拡大で基板生産の安定成長が継続。
• 自動車産業の拡大などで自動車用板金部品生産が順調に拡大。
• 我が国の半導体戦略の推進が日本復活の成長産業になって行く。
• 環境・社会・ガバナンス（ESG）課題への対応要求が強くなる。
• サプライチェーン全体のグリーンファクトリー化の要求が強くなる。</t>
  </si>
  <si>
    <t>内発的動機
• 電子回路実装基板の自動化生産推進によるコスト低減が重要。
• 祖業ながら売上比率の低いメタルワーキングBUの生産拡大を実現、
事業の柱を構築して、雇用拡大を通じた地域貢献を果たしたい。
• お客様や地域社会にとってかけがえのないパートナーであり続けたい。
• ものづくり現場の知恵を開発に反映して、お客様とともに成長したい。
• パッチ式脳波計・世界最小最軽量ECMO等の開発生産をしている。
• 次世代半導体プロセス対応の超臨界乾燥装置などを開発している。
• もったいない精神から地ビールの麦芽滓で工業用乾燥剤を製品化。
• 自家消費型太陽光発電の設置推進で再エネ率を向上する。</t>
  </si>
  <si>
    <t>会社全体の売上成長目標（～2030年）
• 売上高成長率11.5％
• 売上高増加額100億円
会社全体の賃上げ目標
• 7.1%（直近事業年度～基準年度）
• 11.0%（基準年度～事業化報告3年目）</t>
  </si>
  <si>
    <t>【p.1／売上成長目標】
会社全体の売上成長目標（～2030年）
• 売上高成長率11.5％
• 売上高増加額100億円
会社全体の賃上げ目標
• 7.1%（直近事業年度～基準年度）
• 11.0%（基準年度～事業化報告3年目）</t>
  </si>
  <si>
    <t>【p.1】
株式会社レクザム
1.長期成長ビジョン
エレクトロニクスを核として、お客様の立場で果敢に挑戦する「開発好奇心集団」として更なる飛躍を目指す。
ものづくりの現場でお客様とともに成長し、お客様や地域社会にとってかけがえのないパートナーであり続けたい。
長期成長ビジョン（目指す姿・ビジネスモデル） 外発的動機
• レクザム西条工場を電子回路実装基板の自動生産モデル工場に • 米国の関税政策への対応が必要。
変革して、生産コストを削減することで受注量を増加。自社生産 • 人手不足、部品価格や輸送費の値上がりなどへの対応が必要。
拠点に技術展開し、電子回路実装基板の生産・販売を増加する。 • 中国経済の混乱・減速、地政学的対立や危機管理対応が必要。
• レクザム綾歌工場の自動車用板金部品生産拡大事業で、メタル • インド・北米等のエアコン需要拡大で基板生産の安定成長が継続。
ワーキングBUの生産・販売を増加して労働生産性向上を実現。 • 自動車産業の拡大などで自動車用板金部品生産が順調に拡大。
• パッチ式脳波計「HARU-３」の病院・介護施設での活用を推進、 • 我が国の半導体戦略の推進が日本復活の成長産業になって行く。
世界最小最軽量ECMOやアイケア製品の生産・販売を増加する。 • 環境・社会・ガバナンス（ESG）課題への対応要求が強くなる。
• 超臨界流体や自然冷媒技術など半導体製造のESG課題への • サプライチェーン全体のグリーンファクトリー化の要求が強くなる。
戦略的技術を磨き、半導体製造装置の生産・販売を増加する。
• 基板外観検査装置、スキーブーツ、工業用乾燥剤、地ビールなど
自社製品の技術力・優位性を向上して生産・販売を増加する。
内発的動機
• 株主配当・役員報酬ゼロで財務強化・拡大生産の伝統を継続。
• 電子回路実装基板の自動化生産推進によるコスト低減が重要。
• 祖業ながら売上比率の低いメタルワーキングBUの生産拡大を実現、
会社全体の売上成長目標（～2030年）
事業の柱を構築して、雇用拡大を通じた地域貢献を果たしたい。
• 売上高成長率11.5％
• お客様や地域社会にとってかけがえのないパートナーであり続けたい。
• 売上高増加額100億円
• ものづくり現場の知恵を開発に反映して、お客様とともに成長したい。
会社全体の賃上げ目標
• パッチ式脳波計・世界最小最軽量ECMO等の開発生産をしている。
• 7.1%（直近事業年度～基準年度） • 次世代半導体プロセス対応の超臨界乾燥装置などを開発している。
• 11.0%（基準年度～事業化報告3年目） • もったいない精神から地ビールの麦芽滓で工業用乾燥剤を製品化。
• 自家消費型太陽光発電の設置推進で再エネ率を向上する。</t>
  </si>
  <si>
    <t>【p.2】
株式会社レクザム
.補助事業の概要
2
レクザム西条工場（愛媛県西条市）で「電子回路実装基板の自動生産モデル工場への変革」を実現。
自動生産（倉庫・ピッキング・搬送・実装・検査など）と生産拡大で労働生産性向上と賃上げを実現する。
補助事業の • レクザム西条工場が、電子回路実装基板の自動生産モデル工場への変革をする。 事業費 19億円
背景・目的 • 電子回路実装基板を自動一貫生産して労働生産性の向上と賃上げを実現する。 （補助額） （ . 億円）
4 5
• 自動倉庫装置、最新SMT実装ライン、後工程自動一貫生産等で
省人化を追求して、労働者不足の対応と生産拡大を実現する。
・ レクザム西条工場の３棟と電子棟に大規模設備投資を実施。
設備投資の
内容
レクザム西条工場 インバータ電子回路実装基板
2026年度 2029年度
項目
（基準年度） （基準年度＋３年後）
労働生産性 795
410
（単位：万円/人） （年平均上昇率＋24.7％）
目標値 従業員1人あたり給与支給総額 397
331
（単位：万円/人） （年平均上昇率＋6.2％）
役員１人あたり給与支給総額
（単位：万円/人） - -
補助事業に係る従業員数
102 108
（単位：人）</t>
  </si>
  <si>
    <t>岩手雪運株式会社
1.長期成長ビジョン
「小口共同配送のパイオニアとして築き上げた知見」×「北東北最大級の食品物流拠点の設置」により、
いわて花巻から地方における持続可能な食品物流モデルを全国、そして世界へ発信する。</t>
  </si>
  <si>
    <t>長期成長ビジョン（目指す姿・ビジネスモデル）
冷凍食品市場の拡大と地方における人口減少を背景に、これまで以上
に小ロット配送ニーズの高まりが見込まれ、小口共同配送に強みを持つ
当社が果たすべき役割は増すものと想定される。今後も食生活を支える
重要なインフラであり続け、成長を続けるべく、以下の取組を推進し、
地方における食品物流モデルを創造し、全国・世界へ発信したい。
1×A×B
• 大手から小規模事業者まで利用可能な大規模冷蔵・冷凍物流セン
ター（以下新センター）の建設により、地域の雇用創出と産業創出に
貢献し、顧客と共存共栄を図る。
2×3×A
• 規模の拡大により取扱量を増加させることで、小口共同配送のメリット
を最大化させ、積載率の向上による1台当たり売上高の向上（＝投
資の費用対効果向上）とドライバー不足解消の両軸に取り組んでいく。
2×B
• 関東・仙台・盛岡方面へのアクセスが良好な中継輸送に適した立地で
ある花巻市に新センターを設けることで、業界全体の課題である長時
間運行の改善に寄与する。
1×A
• 保税蔵置場の申請により荷主のコスト削減や貿易活動支援に貢献す
るほか、好立地の優位性を生かし、モーダルシフトへの対応も推し進め
ることで、顧客の物流課題を解決する提案型物流業を目指す。</t>
  </si>
  <si>
    <t>外発的動機
1. 地域コールドチェーンの問題
• 社会的に冷凍食品の需要が高まっている中、東北エリアの冷蔵・冷凍
倉庫が不足、老朽化も進んでおり、当社も引き受けが出来ない状況
である。
• 大手企業専用の倉庫はあるものの、当社のような複数の企業が同じ
建物内で物流スペースを共有することを前提とした倉庫がないため、
地場の中小企業が恩恵を受けられない。
2. 2024年問題および物流効率化法施行への対応
• 長距離輸送が前提となる東北エリアの運送会社は、物流品質の
維持が困難となることが予想される。
• 積載効率の向上、荷待ち・荷役時間の短縮が荷主と物流事業者の
共通で取り組むべき課題であり、対応が急務である。
3. 燃料費および車両価格の高騰
• 軽油価格の高止まり状態が続く中、年々車両価格の値上げも続い
ており、運送会社の収支は悪化傾向にあるため、新たな設備投資等
を控えざるを得ない環境化となっている。</t>
  </si>
  <si>
    <t>内発的動機
A) 物流業への進化⇒付加価値の提供⇒安定経営
• 単なる“モノを運ぶ”だけでなく、お客様にとって価値のあるサービスを
提供するために、運送業から物流業へ進化し、価格競争に左右され
ず、安定した利益を確保できる企業を目指したい。これにより、将来
必要となる設備投資や人材育成にも対応できる持続可能な体制を
築いていきたい。
B) 業界イメージの向上
• 運送業は人々の暮らしや企業活動を支える重要なインフラである一方
で、長時間労働や人手不足といった課題も多く、ネガティブな印象を
持たれる業界である。地域を代表する企業体へと成長し、業界イメー
ジの向上を図り、従業員・顧客満足度の高い企業を目指したい。</t>
  </si>
  <si>
    <t>【p.1／売上成長目標】
会社全体の売上成長目標（基準年度～31年）
• 売上高成長率25.79％
• 売上高増加額+48億円
【p.2／設備投資の内容】
• 設備投資の内容
1. 計画場所：岩手県花巻市山の神地区 花南産業団
2. 敷地面積：32,371㎡（9,809坪）
3. 建築面積：7,945.12㎡（2,403.40坪）
4. 容積対象床面積：15,260.84㎡（4,616.41坪）
5. 温度帯別面積：冷蔵約2,000坪、冷凍約1,500坪
6. 階層・高さ：地上2階、基準階高さ8ｍ
7. 駐車台数：バース接車17台、トラック66台、乗用車1
• 設備投資の効果
1. 基準階高さ8ｍ、容積対象床面積4,616坪により、現
ンター合計面積の2倍以上の取扱量を実現できる。
2. 取扱量増加により積載率が大幅に改善することで増車
より抑えた上で一台当たり売上高の引き上げ（＝付加
生産性の向上）を行うことが可能となる。</t>
  </si>
  <si>
    <t>【p.1】
岩手雪運株式会社
1.長期成長ビジョン
「小口共同配送のパイオニアとして築き上げた知見」×「北東北最大級の食品物流拠点の設置」により、
いわて花巻から地方における持続可能な食品物流モデルを全国、そして世界へ発信する。
長期成長ビジョン（目指す姿・ビジネスモデル） 外発的動機
1. 地域コールドチェーンの問題
冷凍食品市場の拡大と地方における人口減少を背景に、これまで以上
• 社会的に冷凍食品の需要が高まっている中、東北エリアの冷蔵・冷凍
に小ロット配送ニーズの高まりが見込まれ、小口共同配送に強みを持つ
倉庫が不足、老朽化も進んでおり、当社も引き受けが出来ない状況
当社が果たすべき役割は増すものと想定される。今後も食生活を支える
である。
重要なインフラであり続け、成長を続けるべく、以下の取組を推進し、
• 大手企業専用の倉庫はあるものの、当社のような複数の企業が同じ
地方における食品物流モデルを創造し、全国・世界へ発信したい。
建物内で物流スペースを共有することを前提とした倉庫がないため、
地場の中小企業が恩恵を受けられない。
1×A×B
2. 2024年問題および物流効率化法施行への対応
• 大手から小規模事業者まで利用可能な大規模冷蔵・冷凍物流セン
• 長距離輸送が前提となる東北エリアの運送会社は、物流品質の
ター（以下新センター）の建設により、地域の雇用創出と産業創出に
維持が困難となることが予想される。
貢献し、顧客と共存共栄を図る。
• 積載効率の向上、荷待ち・荷役時間の短縮が荷主と物流事業者の
2×3×A
共通で取り組むべき課題であり、対応が急務である。
• 規模の拡大により取扱量を増加させることで、小口共同配送のメリット
3. 燃料費および車両価格の高騰
を最大化させ、積載率の向上による1台当たり売上高の向上（＝投
• 軽油価格の高止まり状態が続く中、年々車両価格の値上げも続い
資の費用対効果向上）とドライバー不足解消の両軸に取り組んでいく。
ており、運送会社の収支は悪化傾向にあるため、新たな設備投資等
2×B
を控えざるを得ない環境化となっている。
• 関東・仙台・盛岡方面へのアクセスが良好な中継輸送に適した立地で
ある花巻市に新センターを設けることで、業界全体の課題である長時 内発的動機
間運行の改善に寄与する。
A) 物流業への進化⇒付加価値の提供⇒安定経営
1×A
• 単なる“モノを運ぶ”だけでなく、お客様にとって価値のあるサービスを
• 保税蔵置場の申請により荷主のコスト削減や貿易活動支援に貢献す 提供するために、運送業から物流業へ進化し、価格競争に左右され
るほか、好立地の優位性を生かし、モーダルシフトへの対応も推し進め
ず、安定した利益を確保できる企業を目指したい。これにより、将来
ることで、顧客の物流課題を解決する提案型物流業を目指す。
必要となる設備投資や人材育成にも対応できる持続可能な体制を
築いていきたい。
B) 業界イメージの向上
会社全体の売上成長目標（基準年度～31年）
• 運送業は人々の暮らしや企業活動を支える重要なインフラである一方
• 売上高成長率25.79％
で、長時間労働や人手不足といった課題も多く、ネガティブな印象を
• 売上高増加額+48億円
持たれる業界である。地域を代表する企業体へと成長し、業界イメー
ジの向上を図り、従業員・顧客満足度の高い企業を目指したい。</t>
  </si>
  <si>
    <t>【p.2】
岩手雪運株式会社
.補助事業の概要
2
北東北における食品物流の最適化と自社の強みである小口共同配送を最大限発揮するため、大規模冷蔵・
冷凍食品物流施設（中継拠点）を整備し、付加価値額・労働生産性の大幅な向上を図る。
• 背景・現在抱えている課題感：2024年問題を背景に、長距離輸送が前提となる東北エリアの運送 事業費 8, 百万円
569
会社は、配送ルートの根本的な見直しが必要となる中で、特に北東北エリアでは冷蔵・冷凍倉庫が （補助額）（ , 百万円）
1 975
補助事業の 不足しており、当社も同様の課題を抱えている。
背景・目的 • 目的：本センターに食品物流機能を集約化させ、小口共同配送に強みを持つ当社がリードタイムの
決定権を持つことで、同業他社を含めた配送ルートの再構築と、食品メーカーの3PL受託を拡大する。
• 設備投資の内容
1. 計画場所：岩手県花巻市山の神地区 花南産業団地B工区
2. 敷地面積：32,371㎡（9,809坪）
3. 建築面積：7,945.12㎡（2,403.40坪）
4. 容積対象床面積：15,260.84㎡（4,616.41坪）
5. 温度帯別面積：冷蔵約2,000坪、冷凍約1,500坪）
設備投資の
6. 階層・高さ：地上2階、基準階高さ8ｍ
内容
7. 駐車台数：バース接車17台、トラック66台、乗用車120台
• 設備投資の効果
1. 基準階高さ8ｍ、容積対象床面積4,616坪により、現在の花巻3セ
ンター合計面積の2倍以上の取扱量を実現できる。
2. 取扱量増加により積載率が大幅に改善することで増車・増員を現状
より抑えた上で一台当たり売上高の引き上げ（＝付加価値額・労働
生産性の向上）を行うことが可能となる。
項目 基準年度 事業化報告3年目
労働生産性 10,804千円/人
4,766千円/人
（単位：千円/人） （年平均上昇率＋31.4％）
目標値 従業員1人あたり給与支給総額 4,694千円/人
4,007千円/人
（単位：千円/人） （年平均上昇率＋5.4％）
役員１人あたり給与支給総額
-
（単位：千円/人） - （年平均上昇率＋4.6％）
補助事業に係る従業員数
306人 393人
（単位：人）</t>
  </si>
  <si>
    <t>1.長期成長ビジョン 日本毛織株式会社
日本毛織は、国内の毛織物産業が中国に依存しているトップメイキングの技術を現在でも保持している唯一の
国内企業であり、糸・毛織物の品質を左右するトップメイキング工程を構築することでグローバル競争力を強化し、
事業成長をはかる。また、羊毛トップの国内他社への供給により国内毛織物産業全体の成長に寄与する。</t>
  </si>
  <si>
    <t>長期成長ビジョン（目指す姿・ビジネスモデル）
• 2024年11月期は、グループ全体で売上高1,154億円、営業利
益116億円であるが、2036年度には売上高2,000億円の企業
グループを目指している。
• 衣料繊維事業では、紡績～毛織物までの一貫工程に糸・毛織
物の品質を左右する工程であるトップメイキング工程を上流に加え
ることで世界トップレベルの一貫サプライチェーンを構築し、ラグジュア
リーブランドが求める「高いクオリティ・トレーサビリティ・人権配慮・環
境配慮」に応えることで海外売上の成長を実現する。
• また、当社がトップメイキング工程を持つことで、高品質のトップ・
糸・織物を尾州産地に供給することにより、ラグジュアリーブランドか
らの要求である高品質・サステナビリティ・トレーサビリティを満たし、
御幸毛織をはじめとした国内の毛織物産業、特に尾州産地の海
外競争力の増強に寄与していく。
• 地球環境への配慮が重要となっており、CO2負荷の少ないモノづく
りと、ウール衣料の「服から服へ」の取り組みを進め、サーキュラーエ
コノミーの実現に取り組んでいく。
• これらを進めていくために、顧客開発、省エネ・省人化・自動化等
の合理化、人的資本強化への投資を積極的に進めていく。</t>
  </si>
  <si>
    <t>外発的動機
• 地球環境配慮・人権配慮への意識が高まっており、CO2排出量の
削減のためにエネルギーや水資源の使用料削減が求められている。
• 衣料繊維事業においては、衣料の50％以上が廃棄されているとの
調査結果があり、3R（Reduce, Reuse, Recycle)の取り組みに
より、サステナビリティ推進が求められている。
• 国内毛織物産業は、世界レベルでの競争力がない現状であるが、
品質の高い羊毛トップを使用することで世界トップレベルの品質であ
る「日本品質」を武器にグローバル市場で戦えるようになる。
• 国内毛織物産業は、過去には多企業により一つの製造全工程を
を形成することで国際競争力を持っていたが、現在は上流工程の
トップメイキングを100％海外に依存しており、競争力を失っている。
• 国内毛織物産業の維持は、当社においても重要課題である。
• 羊毛トップはその殆どを中国および台湾に依存しており、有事の際に
は毛織物の国内生産ができなくなってしまう。</t>
  </si>
  <si>
    <t>内発的動機
• 国内衣料市場が拡大しない中で事業拡大を継続していくためには
海外での販売拡大が必須である。
• 当社の強みは国内一貫生産体制を持っていることであり、更に糸・
毛織物の品質を左右するトップメイキング工程を持つことで世界レベ
ルの品質で競争力を強化することができる。
• 当社は自社でトップメイキングを行ってきたがコストダウンのために海
外調達に切り替えた。今後成長する高品質衣料向けに「日本品
質」復活を目指す。しかし、トップメイキング工程を構築できる人財
ならびに能力が今を逃すと消滅してしまう。
• 当社は毛織物を祖業とし、毛織物産業における第一人者であり、
国内の毛織物産業を維持・発展させていく使命がある。</t>
  </si>
  <si>
    <t>会社全体の売上成長目標（～2036年度）
• 売上高成長率73％（CAGR5.6％）
• 売上高増加額846億円
会社全体の賃上げ目標
• 11.0%（年平均3.6%）（2024年度～2027年度）
• 16.0%（年平均5.1%） （2027年度～2030年度）</t>
  </si>
  <si>
    <t>【p.1／売上成長目標】
会社全体の売上成長目標（～2036年度）
• 売上高成長率73％（CAGR5.6％）
• 売上高増加額846億円
会社全体の賃上げ目標
• 11.0%（年平均3.6%）（2024年度～2027年度）
• 16.0%（年平均5.1%） （2027年度～2030年度）</t>
  </si>
  <si>
    <t>【p.1】
日本毛織株式会社
1.長期成長ビジョン
日本毛織は、国内の毛織物産業が中国に依存しているトップメイキングの技術を現在でも保持している唯一の
国内企業であり、糸・毛織物の品質を左右するトップメイキング工程を構築することでグローバル競争力を強化し、
事業成長をはかる。また、羊毛トップの国内他社への供給により国内毛織物産業全体の成長に寄与する。
長期成長ビジョン（目指す姿・ビジネスモデル） 外発的動機
• 地球環境配慮・人権配慮への意識が高まっており、CO2排出量の
• 2024年11月期は、グループ全体で売上高1,154億円、営業利
削減のためにエネルギーや水資源の使用料削減が求められている。
益116億円であるが、2036年度には売上高2,000億円の企業
• 衣料繊維事業においては、衣料の50％以上が廃棄されているとの
グループを目指している。
調査結果があり、3R（Reduce, Reuse, Recycle)の取り組みに
• 衣料繊維事業では、紡績～毛織物までの一貫工程に糸・毛織
より、サステナビリティ推進が求められている。
物の品質を左右する工程であるトップメイキング工程を上流に加え
• 国内毛織物産業は、世界レベルでの競争力がない現状であるが、
ることで世界トップレベルの一貫サプライチェーンを構築し、ラグジュア
品質の高い羊毛トップを使用することで世界トップレベルの品質であ
リーブランドが求める「高いクオリティ・トレーサビリティ・人権配慮・環
る「日本品質」を武器にグローバル市場で戦えるようになる。
境配慮」に応えることで海外売上の成長を実現する。
• 国内毛織物産業は、過去には多企業により一つの製造全工程を
• また、当社がトップメイキング工程を持つことで、高品質のトップ・
を形成することで国際競争力を持っていたが、現在は上流工程の
糸・織物を尾州産地に供給することにより、ラグジュアリーブランドか
トップメイキングを100％海外に依存しており、競争力を失っている。
らの要求である高品質・サステナビリティ・トレーサビリティを満たし、
• 国内毛織物産業の維持は、当社においても重要課題である。
御幸毛織をはじめとした国内の毛織物産業、特に尾州産地の海
• 羊毛トップはその殆どを中国および台湾に依存しており、有事の際に
外競争力の増強に寄与していく。
は毛織物の国内生産ができなくなってしまう。
• 地球環境への配慮が重要となっており、CO2負荷の少ないモノづく
りと、ウール衣料の「服から服へ」の取り組みを進め、サーキュラーエ
内発的動機
コノミーの実現に取り組んでいく。
• これらを進めていくために、顧客開発、省エネ・省人化・自動化等 • 国内衣料市場が拡大しない中で事業拡大を継続していくためには
の合理化、人的資本強化への投資を積極的に進めていく。 海外での販売拡大が必須である。
• 当社の強みは国内一貫生産体制を持っていることであり、更に糸・
毛織物の品質を左右するトップメイキング工程を持つことで世界レベ
会社全体の売上成長目標（～2036年度）
ルの品質で競争力を強化することができる。
• 売上高成長率73％（CAGR5.6％）
• 当社は自社でトップメイキングを行ってきたがコストダウンのために海
• 売上高増加額846億円
外調達に切り替えた。今後成長する高品質衣料向けに「日本品
会社全体の賃上げ目標
質」復活を目指す。しかし、トップメイキング工程を構築できる人財
• 11.0%（年平均3.6%）（2024年度～2027年度） ならびに能力が今を逃すと消滅してしまう。
• 16.0%（年平均5.1%） （2027年度～2030年度） • 当社は毛織物を祖業とし、毛織物産業における第一人者であり、
国内の毛織物産業を維持・発展させていく使命がある。</t>
  </si>
  <si>
    <t>【p.2】
日本毛織株式会社
.補助事業の概要
2
トップメイキング工程を自社工場内に構築することにより、国内毛織物産業を世界トップクラスの品質に向上させ、海外（欧州アパ
レル等）への販売を拡大して経済成長に資する。また、年々高まるサプライチェーンのトレーサビリティ保証の要求に対応する
• 日本の毛織物業は原料のほぼすべて中国に依存しており、輸入時に原料の劣化による品質
追求への限界、トレーサビリティに限界がある。また、有事の際には原料調達ができなくなるため、
補助事業の 事業費 2 億円
自社も含め国内毛織物産業の継続のためにトップメイキング工程を構築。 6
背景・目的 （補助額） （ . 億円）
• コストダウンのために自社生産を海外調達に切り替えたトップメイキング工程を、高品質製造を 4 8
目的に再構築し、「日本品質」を武器にしたグローバル成長を実現する。
• 洗ってきれいになった羊毛を、糸にする前の準備として、毛をそろえる工
程（トップメイキング工程）を自社工場内に構築する。
• 投資：建屋640百万円、インフラ756百万円、機械1,180百万円
• 現在、日本には全くない梳毛工程を構築することで、
①輸入では輸送時のカビ対策により原料にダメージが発生するが、国内
供給によりダメージはなく原料の品質が向上し、後工程である糸製 羊を育てる 羊の毛を刈る ごみを取る
造・織物製造での歩留が向上し生産性が向上する。
設備投資の
②トップメイキング工程構築のノウハウは国内ではニッケにしかなく、非常
内容
事態が発生しても国内の毛織物産業の継続が可能なように国内競
合他社への販売を行っていく。
③品質が向上することで日本の毛織物の海外での競争力を強化できる。
④中国関係の有事やコロナ禍のような非常時においても、自社で製造
工程を保有することで事業を継続できる。 毛を洗う 毛の方向を揃える 一定の太さにして巻く
• 2013年まで自社保有のトップメイキング工程を運営・管理していた技 トップメイキング工程
術者も高齢化しており、今を逃すとこの技術が消滅してしまう。
項目 基準年度 事業化報告3年目
労働生産性 23,446
（単位：千円/人）
14,945
（年平均上昇率＋16.2％）
目標値 従業員1人あたり給与支給総額 8,424
7,029
（単位：千円/人） （年平均上昇率＋6.2％）
役員１人あたり給与支給総額
-
（単位：千円/人） - （年平均上昇率＋5.0％）
補助事業に係る従業員数
340 330
（単位：人）</t>
  </si>
  <si>
    <t>有限会社ワンプラスワン
1.長期成長ビジョン
長期成長ビジョンは物流サービスの効率化・担い手の多様化により自動車部品をはじめとした国内産業発展や
国民生活を支える。2030年度の売上高増加額3,555百万円、売上高成長率（CAGR）17％を目指す</t>
  </si>
  <si>
    <t>長期成長ビジョン（目指す姿・ビジネスモデル）
• 物流サービスの効率化・担い手の多様化により、自動車部
品をはじめとした国内産業発展や国民生活を支える
⑴物流の技術革新の推進
・積極的な設備投資による効率化で作業環境を改善しホワ
イト物流の実現、物流業界の地位向上を図る
・デジタル技術やロボットなど先進技術を活用した省力化によ
り、環境対応やコスト低減を図る
⑵トヨタグループにおけるシェア拡大
・主要顧客のトヨタグループにおける当社のシェアを拡大する
・運送事業に限らず事業領域の拡大、ビジネスモデルの転換
により、売上、利益の成長を追求する
⑶一般貨物の販路拡大
自動車部品への過度な依存を回避するため、一般貨物の売
上シェア確保に向けた販路を拡大する。</t>
  </si>
  <si>
    <t>外発的動機
• ドライバー不足：時間外労働の上限規制、ドライバーの長時
間拘束、過酷な作業により、ドライバーが不足している
• 原価高騰：燃料価格や人件費、営業トラックの高騰により収
益が圧迫されている。
• 環境対応：取引先の指導や社会的要請からCO2排出量削
減への対応が求められている
• トヨタ調達物流への対応：上記の物流を取り巻く社会的状
況から、当社の主要顧客であるトヨタグループでは物流問題解
決に向けた新たな仕組み「トヨタ調達物流」を展開しており、対
応が求めれている</t>
  </si>
  <si>
    <t>内発的動機
• ホワイト物流の実現：ドライバー不足を解消するために作業
効率化や労働時間の適正化、賃金アップを進める必要がある
（※「ホワイト物流」について次ページ参照）
• 自動車部品物流による事業発展：地域の主要産業である
自動車産業において、物流サービスの受注拡大を図り、自社
の成長や地域への貢献を目指す
• 経営リスク管理：過去当社は、自動車部品の依存度が高く
リーマンショックや震災による業績低迷で1業界への売上依存
によるリスクを経験した。経営リスク分散のため一般貨物の受
注により売上のバランスをとり、経営リスクを低減する</t>
  </si>
  <si>
    <t>【p.1／売上成長目標】
会社全体の売上成長目標（～2030年度）
• 売上高増加額3,555百万円（直近事業年度～事業化報告
3年目）
• 売上高成長率 17％ （直近事業年度～事業化報告3年目
のCAGR(年平均成長率)）</t>
  </si>
  <si>
    <t>【p.1】
有限会社ワンプラスワン
1.長期成長ビジョン
長期成長ビジョンは物流サービスの効率化・担い手の多様化により自動車部品をはじめとした国内産業発展や
国民生活を支える。2030年度の売上高増加額3,555百万円、売上高成長率（CAGR）17％を目指す
長期成長ビジョン（目指す姿・ビジネスモデル）
外発的動機
• 物流サービスの効率化・担い手の多様化により、自動車部 • ドライバー不足：時間外労働の上限規制、ドライバーの長時
品をはじめとした国内産業発展や国民生活を支える 間拘束、過酷な作業により、ドライバーが不足している
• 原価高騰：燃料価格や人件費、営業トラックの高騰により収
⑴物流の技術革新の推進 益が圧迫されている。
・積極的な設備投資による効率化で作業環境を改善しホワ • 環境対応：取引先の指導や社会的要請からCO2排出量削
イト物流の実現、物流業界の地位向上を図る 減への対応が求められている
・デジタル技術やロボットなど先進技術を活用した省力化によ • トヨタ調達物流への対応：上記の物流を取り巻く社会的状
り、環境対応やコスト低減を図る 況から、当社の主要顧客であるトヨタグループでは物流問題解
決に向けた新たな仕組み「トヨタ調達物流」を展開しており、対
⑵トヨタグループにおけるシェア拡大 応が求めれている
・主要顧客のトヨタグループにおける当社のシェアを拡大する
・運送事業に限らず事業領域の拡大、ビジネスモデルの転換
内発的動機
により、売上、利益の成長を追求する
• ホワイト物流の実現：ドライバー不足を解消するために作業
効率化や労働時間の適正化、賃金アップを進める必要がある
⑶一般貨物の販路拡大
（※「ホワイト物流」について次ページ参照）
自動車部品への過度な依存を回避するため、一般貨物の売
• 自動車部品物流による事業発展：地域の主要産業である
上シェア確保に向けた販路を拡大する。
自動車産業において、物流サービスの受注拡大を図り、自社
の成長や地域への貢献を目指す
会社全体の売上成長目標（～2030年度）
• 売上高増加額3,555百万円（直近事業年度～事業化報告 • 経営リスク管理：過去当社は、自動車部品の依存度が高く
3年目） リーマンショックや震災による業績低迷で1業界への売上依存
• 売上高成長率 17％ （直近事業年度～事業化報告3年目 によるリスクを経験した。経営リスク分散のため一般貨物の受
のCAGR(年平均成長率)） 注により売上のバランスをとり、経営リスクを低減する</t>
  </si>
  <si>
    <t>【p.2】
有限会社ワンプラスワン
.補助事業の概要
2
トヨタグループの新しい物流システム「トヨタ調達物流」を担う大規模物流センターを当社が新設し賃貸、荷役や
輸送を行う新事業を開始する。それに伴う輸送事業の拡大により大規模成長を実現する
• 物流業界はドライバー不足、燃料の高騰、CO2削減などの対応を迫られている。本事業はトヨタグループ
補助事業の が新たに取り組む「トヨタ調達物流」において、当社が大規模物流センターを新設しティア1である愛知陸 事業費 3,831百万円
背景・目的 運（株）と連携し効率化に取り組むことで、物流の課題解決を実現し、自社の事業成長に繋げる （補助額）（1, 百万円）
112
• 補助事業により当社は、従来の輸送のみから物流センターの賃貸、荷役と事業領域を広げ、売上・利
益の向上により、一段上の成長を目指す。
物流センター（イメージ）
• トヨタグループの生産工場が集中する中京地区の中心であり高速道路
へのアクセスも近い愛知県みよし市に、大規模物流センターを新設する。
【設備投資の概要】
名称：みよし物流センター
建設予定地：愛知県みよし市
設備投資の
概算面積：敷地39,945㎡ 延床面積16,792㎡
内容
• 中京地区の各部品サプライヤーから部品を集荷し当物流センターで車
両生産に応じた積み替えを行いトヨタの生産工場に輸送する。
• 従来のサプライヤーが個別で輸送する仕組みから1台のトラックが集荷す
ることで輸送ルートや積載率の向上を図ることができる。
2027年度 2030年度
項目
（基準年度） （基準年度＋３年後）
（単
労
位
働
：
生
千
産
円
性
/人）
8,512千円/人
（年平
1
均
2,
上
83
昇
3
率
千
＋
円
1
/人
4.7％）
目標値 従業員
（
1
単
人
位
あ
：
た
千
り給
円
与
/人
支
）
給総額 5,629千円/人
（年平
6
均
,8
上
98
昇
千
率
円
＋
/人
7.0％）
役員１人あたり給与支給総額
-
（単位：千円/人） - （年平均上昇率＋5.0％）
補助事業に係る従業員数
150人 212人
（単位：人）</t>
  </si>
  <si>
    <t>ハムリー株式会社
1.⻑期成⻑ビジョン
■社会課題や顧客ニーズを踏まえた、⻑期的な社会への価値提供の⻑期ビジョンと売上成⻑⽬標</t>
  </si>
  <si>
    <t>⻑期成⻑ビジョン（⽬指す姿・ビジネスモデル）
【当社が⽬指す姿】
■企業理念︓新薬開発のサポートを通じて、⼈類・社会の発展に貢献する
■事業⽬標︓「新薬開発にかかわる分野」において、技術の研鑽に努め、
ノウハウを蓄積しつづけ、広範で⾼度な顧客ニーズに応える
【当社ビジネスと補助事業遂⾏による⻑期ビジョンの概要】
当社は医薬品分野で、開発品の安全性試験・薬理試験・動態試験、感染試験、
制癌試験など、「⾮臨床試験」の受託を主事業としている。それに合わせて動物販
売、飼育機器販売、他社試験施設の管理業務受託などの業務も⾏っている。
「⾮臨床試験」また「実験⽤動物」は医療分野の技術⾰新によって需要が拡⼤し
ており、当社の既存設備では⾼まる需要に対応できないため、本補助事業にて⼤規
模な設備投資を⾏うと共に、各種検査・測定技術の⾼度化を実現することで、中⻑
期的に顧客ニーズへの対応と収益⼒強化を同時に達成し、新規雇⽤と⼤幅な賃上
げを実現する。
本取り組みにより、５年後の2030年に売上⾼8,606百万円、43名の新規雇
⽤、年平均賃上げ率6.5%を⽬指す。
事業セグメント 内容 主要顧客 構成⽐
受託試験 ⾮臨床試験の受託 国⽴研究所、学術機関、⼤⼿製薬会社 53%
⽣体販売 動物の販売 各研究機関 29%
業務受託 他社施設管理の受託 各研究機関 11%
機器販売 動物飼育機器の販売 各研究機関 7%
会社全体の売上成⻑⽬標（2025年〜2030年）
• 売上⾼成⻑率２８２％（CＡＧＲ︓２７.６%）
• 売上⾼増加額５,５５８百万円
会社全体の賃上げ⽬標
• 3.7%（直近事業年度〜基準年度）
• 6.5%（基準年度〜事業化報告3年⽬）</t>
  </si>
  <si>
    <t>■外発的動機
【社会課題からの動機】（マクロ視点）
コロナ渦のワクチン開発において、各研究機関から試験依頼を多数受け、当社事業は社
会資本としての役割を担うと再認識した。当社の企業理念に沿って、有事への対応が可
能な体制を整える必要性があると考えた。
【技術トレンドからの動機】（技術⾰新視点）
現在の医薬品では治療困難な疾患に対し、「遺伝⼦治療の研究」が世界的に活発化
しており、国内の⾮臨床試験においても年率10.3%の成⻑で市場規模も1兆円に迫って
いる。よって当社も最新設備と⼗分な受託キャパシティを準備する必要に迫られている。
【顧客ニーズからの動機】（ミクロ視点）
医薬品の研究開発費に関して、武⽥薬品は2019年4,263億円から2023年7,299
億円へ増加し、⼩野薬品は2017年575億円から2023年度に1,122億円へ増加する
など、開発が近年拡⼤傾向にある中、当社への委託数も年々増加しているが、当社設備
のキャパシティの課題により現在６か⽉〜１２か⽉待っていただいている状態となっている。
成長（副次効果）
⽣体販売
（動物の販売）
※受託試験事業を
下⽀え</t>
  </si>
  <si>
    <t>機、内発的動機
る
、
、感染試験、
て動物販
ている。
要が拡⼤し
■内発的動機
【社会的責任】
当社は、企業理念である「新薬開発のサポートを通じて、⼈類・社会の発展に貢献する」
を軸に、継続的な設備投資と⼈材教育によって、社会課題の解決に資する体制を整えて
おく使命があると考えている。
本補助事業で新たな体制が整えば、ひっ迫している国内試験市場のニーズを補完すると
同時に、新規採⽤と教育で医薬品研究における未来を創ることに貢献出来ると考えている。
【事業性の認識】
当社事業セグメントの中でも、「⾮臨床試験」を受託する受託試験の事業分野は、動物
⽣体を扱うことと、細菌やウイルスを扱う事業のため、参⼊障壁が極めて⾼く、また利益率も
⾼い。さらに上述の通り市場拡⼤も⾒込めるため、当該事業の拡⼤は当社経営基盤の強
化に直結するものであると認識している。
しかしながら現状では、施設規模の課題によって年間の試験数が限られているため、⼤規
模な投資によって試験数キャパシティを拡⼤する必要性に迫られている。
よって当該分野への⼤規模投資は、投資回収の可能性が極めて⾼く、⼗分に事業性が
⾒込める分野であると考えている。
機、内発的動機
べき姿 当
■受託試
⾮臨床
（感染
（⾮感
■⽣体販
当社飼
■業務委
他社施</t>
  </si>
  <si>
    <t>【p.2／当社事業 あるべき姿】
当社事業 あるべき姿
（本事業での投資）
・ 飼育施設増強
成長（副次効果）
により、動物飼育可能数が拡
⽣体販売
⼤するため、事業規模拡⼤
（動物の販売）
機器販売
※受託試験事業を
（飼育機器販売）
下⽀え
⾃社で新たな設
備を導⼊しモデル
あるべき姿
ケースとなることで、
顧客への訴求⼒強
化が可能となり、飼 成長
育機器販売の販
売拡⼤が⾒込める
受託試験
（⾮臨床試験受託）
（基軸事業）
（本事業での投資）
・ 試験施設増強
・ ⾼度検査機導⼊
により、顧客ニーズに応えることで
規模拡⼤と付加価値増⼤
最新設備の感染実験施設
の運⽤実績によって、施設管
業務委託
理業務の熟練度が上昇し、
（施設管理業）
より⾼度な施設管理業務の
受託拡⼤が⾒込める。
【p.2／遺伝⼦治療を軸とする各種疾患薬の開発、mRNAワクチン、再⽣医療など、世界的な医薬】
遺伝⼦治療を軸とする各種疾患薬の開発、mRNAワクチン、再⽣医療など、世界的な医薬
業界の技術イノベーションによって期待される新薬開発トレンドにおいて、国営研究機関も含めた
⽇本国内事業者の研究ニーズ（試験需要・動物需要）が⾼まっている。
当社は本補助事業を通じて、中⻑期トレンドの需要に応え、⾃社の成⻑のみならず、当社企
業理念の達成、社会貢献を⽬指す。
【p.3／2027年度 2030年度】
2027年度 2030年度
項⽬
（基準年度） （基準年度＋３年後）</t>
  </si>
  <si>
    <t>【p.1】
ハムリー株式会社
1.⻑期成⻑ビジョン
■社会課題や顧客ニーズを踏まえた、⻑期的な社会への価値提供の⻑期ビジョンと売上成⻑⽬標
■⻑期ビジョン策定に⾄るまでの外発的動機、内発的動機を踏まえた、当社の持続的な成⻑への思い
⻑期成⻑ビジョン（⽬指す姿・ビジネスモデル） ■外発的動機
【社会課題からの動機】（マクロ視点）
【当社が⽬指す姿】
コロナ渦のワクチン開発において、各研究機関から試験依頼を多数受け、当社事業は社
■企業理念︓新薬開発のサポートを通じて、⼈類・社会の発展に貢献する 会資本としての役割を担うと再認識した。当社の企業理念に沿って、有事への対応が可
能な体制を整える必要性があると考えた。
■事業⽬標︓「新薬開発にかかわる分野」において、技術の研鑽に努め、
ノウハウを蓄積しつづけ、広範で⾼度な顧客ニーズに応える
【技術トレンドからの動機】（技術⾰新視点）
【当社ビジネスと補助事業遂⾏による⻑期ビジョンの概要】 現在の医薬品では治療困難な疾患に対し、「遺伝⼦治療の研究」が世界的に活発化
しており、国内の⾮臨床試験においても年率10.3%の成⻑で市場規模も1兆円に迫って
当社は医薬品分野で、開発品の安全性試験・薬理試験・動態試験、感染試験、
いる。よって当社も最新設備と⼗分な受託キャパシティを準備する必要に迫られている。
制癌試験など、「⾮臨床試験」の受託を主事業としている。それに合わせて動物販
売、飼育機器販売、他社試験施設の管理業務受託などの業務も⾏っている。 【顧客ニーズからの動機】（ミクロ視点）
医薬品の研究開発費に関して、武⽥薬品は2019年4,263億円から2023年7,299
「⾮臨床試験」また「実験⽤動物」は医療分野の技術⾰新によって需要が拡⼤し
億円へ増加し、⼩野薬品は2017年575億円から2023年度に1,122億円へ増加する
ており、当社の既存設備では⾼まる需要に対応できないため、本補助事業にて⼤規
など、開発が近年拡⼤傾向にある中、当社への委託数も年々増加しているが、当社設備
模な設備投資を⾏うと共に、各種検査・測定技術の⾼度化を実現することで、中⻑
のキャパシティの課題により現在６か⽉〜１２か⽉待っていただいている状態となっている。
期的に顧客ニーズへの対応と収益⼒強化を同時に達成し、新規雇⽤と⼤幅な賃上
げを実現する。
■内発的動機
本取り組みにより、５年後の2030年に売上⾼8,606百万円、43名の新規雇
【社会的責任】
⽤、年平均賃上げ率6.5%を⽬指す。
当社は、企業理念である「新薬開発のサポートを通じて、⼈類・社会の発展に貢献する」
事業セグメント 内容 主要顧客 構成⽐ を軸に、継続的な設備投資と⼈材教育によって、社会課題の解決に資する体制を整えて
受託試験 ⾮臨床試験の受託 国⽴研究所、学術機関、⼤⼿製薬会社 53% おく使命があると考えている。
⽣体販売 動物の販売 各研究機関 29% 本補助事業で新たな体制が整えば、ひっ迫している国内試験市場のニーズを補完すると
同時に、新規採⽤と教育で医薬品研究における未来を創ることに貢献出来ると考えている。
業務受託 他社施設管理の受託 各研究機関 11%
機器販売 動物飼育機器の販売 各研究機関 7%
【事業性の認識】
当社事業セグメントの中でも、「⾮臨床試験」を受託する受託試験の事業分野は、動物
会社全体の売上成⻑⽬標（2025年〜2030年）
⽣体を扱うことと、細菌やウイルスを扱う事業のため、参⼊障壁が極めて⾼く、また利益率も
• 売上⾼成⻑率２８２％（CＡＧＲ︓２７.６%）
⾼い。さらに上述の通り市場拡⼤も⾒込めるため、当該事業の拡⼤は当社経営基盤の強
• 売上⾼増加額５,５５８百万円
化に直結するものであると認識している。
しかしながら現状では、施設規模の課題によって年間の試験数が限られているため、⼤規
会社全体の賃上げ⽬標
模な投資によって試験数キャパシティを拡⼤する必要性に迫られている。
• 3.7%（直近事業年度〜基準年度）
よって当該分野への⼤規模投資は、投資回収の可能性が極めて⾼く、⼗分に事業性が
• 6.5%（基準年度〜事業化報告3年⽬）
⾒込める分野であると考えている。
【p.2】
ハムリー株式会社
1.⻑期成⻑ビジョン
■社会課題や顧客ニーズを踏まえた、⻑期的な社会への価値提供の⻑期ビジョンと売上成⻑⽬標
■⻑期ビジョン策定に⾄るまでの外発的動機、内発的動機を踏まえた、当社の持続的な成⻑への思い
当社事業 （本事業での投資） あるべき姿 当社の価値提供 顧客ニーズ 社会ニーズ
・ 飼育施設増強 （実需） （メガトレンド）
成長（副次効果）
により、動物飼育可能数が拡
⽣体販売 武⽥薬品⼯業(株) 遺伝⼦治療への期待
⼤するため、事業規模拡⼤ ■受託試験
（動物の販売）
⾮臨床試験の提供
肝疾患研究
単⼀遺伝⼦疾患
機器販売 ※受託試験事業を （感染試験）
（飼育機器販売）
下⽀え （⾮感染試験） 中枢神経系疾患研究
⾎液疾患
■⽣体販売
⾎液系疾患研究
⾃社で新たな設
当社飼育の動物販売 眼科疾患
備を導⼊しモデル
あるべき姿 消化器系疾患研究
ケースとなることで、 ■業務委託
神経変性疾患
顧客への訴求⼒強 他社施設管理の受託
化が可能となり、飼 成長 ⼩野薬品⼯業(株)
育機器販売の販 ■機器販売 mRNA・RNAへの期待
結腸・直腸がん研究
売拡⼤が⾒込める 動物飼育機器の販売
受託試験 ⾮⼩細胞肺がん研究 がん
（⾮臨床試験受託） [百万円]
感染症
⽇本医療研究開発機構
売上 2023年 2030年
（基軸事業）
受託試験 2,262 4,980 感染症研究 その他ワクチン
（本事業での投資） ⽣体販売 1,265 2,155
・ 試験施設増強 遺伝⼦治療研究 再⽣医療
業務委託 484 895
・ ⾼度検査機導⼊
機器販売 291 575 iPS細胞由来
国内市場規模
により、顧客ニーズに応えることで
規模拡⼤と付加価値増⼤ 全体 4,302 8,606 GAGR 約10.2% 間葉系幹細胞
(2030年市場︓1兆300億)
CAR-NK
最新設備の感染実験施設
の運⽤実績によって、施設管
業務委託
理業務の熟練度が上昇し、 遺伝⼦治療を軸とする各種疾患薬の開発、mRNAワクチン、再⽣医療など、世界的な医薬
（施設管理業）
より⾼度な施設管理業務の
業界の技術イノベーションによって期待される新薬開発トレンドにおいて、国営研究機関も含めた
受託拡⼤が⾒込める。
⽇本国内事業者の研究ニーズ（試験需要・動物需要）が⾼まっている。
当社は本補助事業を通じて、中⻑期トレンドの需要に応え、⾃社の成⻑のみならず、当社企
■企業理念︓新薬開発のサポートを通じて、⼈類・社会の発展に貢献する 業理念の達成、社会貢献を⽬指す。</t>
  </si>
  <si>
    <t>【p.3】
ハムリー株式会社
2.補助事業の概要
■補助事業の⽬的、補助額、設備投資内容、解決する課題、労働⽣産性向上への効果
■補助事業における労働⽣産性・賃上げの⽬標値
• 市場の拡⼤によってウイルスや細菌の⾮臨床試験の依頼は増加し続けているが、当社設備の
補助事業の
キャパシティによってこれ以上の受注が困難な状況であるため、試験施設及び⽣体育成施設を
背景・⽬的
事業費 2,367百万円
増設し、顧客要求に対応する。
（補助額） （729百万円）
【動物実験・飼育施設 新築⼯事】︓約16.9億円
・ 当社敷地内に新たに実験・飼育施設を新築する
敷地⾯積（旧施設 390㎡ ⇒ 新施設 780㎡）
試験室数（旧施設 ５室 ⇒ 新施設 １５室）
飼育室数（旧施設 ６室 ⇒ 新施設 １４室）
【試験機器⼀式の導⼊】︓約4.8億円
設備投資の
・ ⾼度試験に対応可能な新試験設備を導⼊する
内容
SCV、イメージング装置、FACSレーザー解析機、IVC など
【課題解決と労働⽣産性向上の根拠】
（課題解決） ︓ 本投資によって現在当社で抱えている受注キャパシ
ティの課題を解決するため、事業拡⼤が⾒込める
（労働⽣産性）: ⾼度試験対応の機器を導⼊するため、より利益率の
⾼い試験の受注が可能となり、労働⽣産性が向上する
2027年度 2030年度
項⽬
（基準年度） （基準年度＋３年後）
労働⽣産性 1,608
811
（単位︓万円/⼈） (年平均上昇率︓25.6%
⽬標値 従業員1⼈あたり給与⽀給総額 552
457
（単位︓万円/⼈） (年平均上昇率︓6.5%
役員１⼈あたり給与⽀給総額 -
-
（単位︓万円/⼈） (年平均上昇率︓5.0%
補助事業に係る従業員数
205 227
（単位︓⼈）
【p.4】
ハムリー株式会社
2.補助事業の概要
■導⼊する最新の試験機器（⼀部抜粋）
• 以下最新検査機器の導⼊によって、試験の⾼度化を⾏い、売上単価を20〜30%上昇させる。特に、需要拡⼤が⾒込める遺伝⼦治療に関連する分
野において、⾼い収益を⾒込める。これにより、労働⽣産性の向上が⾒込め、賃上げ原資とすることが可能となる。</t>
  </si>
  <si>
    <t>東海デキストリン株式会社
1.長期成長ビジョン
◼ 食品に対する嗜好の広がりに対して、加工でん粉に期待される役割は大きい
◼ 当社は国内大手でん粉事業者として、でん粉を通した食品のダイバーシティ化に貢献する</t>
  </si>
  <si>
    <t>長期成長ビジョン（目指す姿・ビジネスモデル）
◼ 食品のタイバーシティ化の実現
国内における食品消費者の構造変化により、食に対
⚫
する嗜好も多様化していく
当社は、加工でん粉が持つポテンシャルを最大限に引
⚫
き出し、嗜好の多様化に合わせた様々な特性をもつ
食品の開発に寄与することで、「食品のダイバーシティ
化」の実現の一翼を担う
ビジョン実現のための戦略
新製品開発 市場浸透
◼ 最終製品の多様化への対応 ◼ 内製化による原価の低減
◼ アイス、グミをはじめ、でん粉を ◼ 製造キャパシティ拡張による
使っていなかった最終製品向 シェア拡大
けの製品開発
大規模な設備投資によって実現</t>
  </si>
  <si>
    <t>外発的動機
◼ 訪日・在留外国人の増加や個人の嗜好の多様化が進行するため、
加工食品のバリエーションは拡大する見込み
食感の好みが出身国や年齢によって異なるため、例えばホテルで
⚫
提供される食事について、客層に応じ細かな調整を加えた種類
を増やすことが求められる
ホテルや飲食店での食事を通して、観光客の土産物としての食
⚫
品ニーズも拡大。ただしお土産用に製造されたものは味や食感
が劣り、再現性の向上が課題
日本人の消費者向けでも、冷凍食品を生の食感に近づけたいと
⚫
いったニーズがある</t>
  </si>
  <si>
    <t>内発的動機
◼ 国内大手事業者として、でんぷんの付加価値向上に寄与したい
馬鈴薯原料の酸化加工でん粉の製造ができるメーカーも、業界
⚫
で大手とされるのは当社を含め4社
加工でん粉の市場は拡大している一方、既存メーカーは工場の
⚫
排水規制等の問題により製造量を拡大できず、国内馬鈴薯原
料の製造量減少も相まって、馬鈴薯原料でも海外での生産が
増えている
また、上記国内4社のうち2社は撤退の可能性があり、当社への
⚫
製造委託の相談がある
⇒当社は環境規制をクリアした用地を確保済。工場を新設するこ
とにより、国内最大手の酸化加工でん粉製造メーカーとして供給
を担う</t>
  </si>
  <si>
    <t>【p.1／売上成長目標】
会社全体の売上成長目標（～2031年）
• 売上高増加額 7,781百万円
• 売上高成長率(CAGR) 10.6％</t>
  </si>
  <si>
    <t>【p.1】
東海デキストリン株式会社
1.長期成長ビジョン
◼ 食品に対する嗜好の広がりに対して、加工でん粉に期待される役割は大きい
◼ 当社は国内大手でん粉事業者として、でん粉を通した食品のダイバーシティ化に貢献する
長期成長ビジョン（目指す姿・ビジネスモデル） 外発的動機
◼ 訪日・在留外国人の増加や個人の嗜好の多様化が進行するため、
◼ 食品のタイバーシティ化の実現
加工食品のバリエーションは拡大する見込み
国内における食品消費者の構造変化により、食に対
⚫
食感の好みが出身国や年齢によって異なるため、例えばホテルで
する嗜好も多様化していく ⚫
提供される食事について、客層に応じ細かな調整を加えた種類
当社は、加工でん粉が持つポテンシャルを最大限に引
⚫ を増やすことが求められる
き出し、嗜好の多様化に合わせた様々な特性をもつ
ホテルや飲食店での食事を通して、観光客の土産物としての食
⚫
食品の開発に寄与することで、「食品のダイバーシティ
品ニーズも拡大。ただしお土産用に製造されたものは味や食感
化」の実現の一翼を担う が劣り、再現性の向上が課題
日本人の消費者向けでも、冷凍食品を生の食感に近づけたいと
⚫
ビジョン実現のための戦略
いったニーズがある
新製品開発 市場浸透
内発的動機
◼ 最終製品の多様化への対応 ◼ 内製化による原価の低減
◼ 国内大手事業者として、でんぷんの付加価値向上に寄与したい
◼ アイス、グミをはじめ、でん粉を ◼ 製造キャパシティ拡張による
馬鈴薯原料の酸化加工でん粉の製造ができるメーカーも、業界
使っていなかった最終製品向 シェア拡大 ⚫
で大手とされるのは当社を含め4社
けの製品開発
加工でん粉の市場は拡大している一方、既存メーカーは工場の
⚫
排水規制等の問題により製造量を拡大できず、国内馬鈴薯原
料の製造量減少も相まって、馬鈴薯原料でも海外での生産が
大規模な設備投資によって実現
増えている
また、上記国内4社のうち2社は撤退の可能性があり、当社への
会社全体の売上成長目標（～2031年） ⚫
製造委託の相談がある
• 売上高増加額 7,781百万円
⇒当社は環境規制をクリアした用地を確保済。工場を新設するこ
• 売上高成長率(CAGR) 10.6％
とにより、国内最大手の酸化加工でん粉製造メーカーとして供給
を担う</t>
  </si>
  <si>
    <t>【p.2】
東海デキストリン株式会社
.補助事業の概要
2
◼ 本補助事業では、戦略の実行に必要な設備投資を行うことを想定
◼ 設備投資の実行により内製化や生産性の改善が実現され、新製品の開発余力の創出にも寄与
◼ 既存の2拠点体制では、効率性の問題もあり生産キャパシティが上限に達している。今後の事
業戦略遂行上必要である増産への対応が困難であるほか、新製品開発にむけた試験品製造
補助事業の の余裕も小さい 事業費 , 百万円
2 744
背景・目的 ◼ 本事業は、2拠点の機能を統合した新工場の新設を行うもの。生産キャパシティ・生産効率の （補助額） （ 百万円）
431
向上・外注品の内製化による収益力の強化を企図。新製品の開発リソースも確保すること
で、サプライチェーン上の事業者への貢献も実現する
中川工場
◼ 内容 中村工場
※倉庫機能が主
既存の中村工場・中川工場を統合・拡張した、新工場の建設
⚫
- 2拠点の統合により、材料や半製品の拠点間往復の無駄がゼロに。また工場
に適した立地のため、稼働時間も延長可
- 過去の設備投資の積み重ねで工場内動線にも無駄があったが、敷地の拡張
に伴う効率的なラインレイアウトを実現
設備投資の
- 上記の効果により、人的工数はそのままに、製造量を1.5倍以上に拡大可
内容
新工場
生産性向上のための機械設備投資を同時に実施
⚫ ※内部3Dイメージ
- 手作業に頼ってきた工程を自動化
- 前工程の作業待ちの原因となっていた乾燥工程について、大型乾燥機を導入
しボトルネックを解消。製造工程全体を整流化
- ヒューマンエラーの防止も同時に実現するため、品質の安定にも貢献
項目 基準年度 事業化報告3年目
労働生産性 48,228
11,134
（単位：千円/人） （年平均上昇率＋63.0％）
目標値 従業員1人あたり給与支給総額 5,838
4,833
（単位：千円/人） （年平均上昇率＋6.5％）
役員１人あたり給与支給総額
-
（単位：千円/人） - （年平均上昇率＋6.5％）
補助事業に係る従業員数
11 23
（単位：人）</t>
  </si>
  <si>
    <t>新日本電工株式会社
1.長期成長ビジョン
当社は創業100周年を機に、素材・環境分野で持続可能なソリューションを提供する企業へと進化を目指しています。
事業ポートフォリオの高度化を目指し500億円規模の成長投資を通じて、2030年に売上高1,100億円、営業利益率12.5％の達成を
目標としています。
〜 未来への挑戦 100年企業から次の100年へ 〜
2025年10月に創業100周年を迎える当社は、これまで培った技術力と信頼を基盤に、次の100年に向けて新たな価値創造に取
り組んでいます。事業の多角化や脱炭素・資源循環への対応を加速し、社会的責任と収益性の両立を図ってまいります。</t>
  </si>
  <si>
    <t>＜社会・環境＞全国的に埋立処分場の(cid:7783)迫や自治体の電気溶融炉停止が進む中、本計画の「焼却灰の溶融資源化」は環
境負荷低減と資源循環を両立する手法として、これらの課題を解決し循環型社会の実現に貢献することが責務である。
＜成長基盤＞合金鉄事業の外部環境依存リスクを補完し、安定した複合収益構造を持つ補助事業は当社の経営資源や技
術を最大限に活用できる領域であり、全社の成長率・利益率を大きく押し上げる「ドライバー」となる。</t>
  </si>
  <si>
    <t>長期成長ビジョン
• ＜社会と共に成長する企業へ＞当社は「素材と環境で人々の
暮らしを支え、より良い未来に向かって挑戦し続ける会社」を
2030年の“あるべき姿”として掲げています。社会課題の解決
と企業価値の向上を両立することを基本方針とし、環境、資源、
エネルギー分野で持続可能なソリューションを提供し、安定か
つ高収益な成長を目指します。
• ＜非合金鉄分野へのシフトと成長基盤の構築＞合金鉄、機能
材料、焼却灰資源化、アクアソリューション、電力の5事業の
領域において事業ポートフォリオの高度化を目指し、2027年
には目標経常利益100億円としています。その中で、焼却灰資
源化事業をはじめとして、環境・機能材料分野に経営資源を投
入していきます。これらを2030年までに全社成長の中核事業
として確立する方針です。
• ＜実現に向けた投資計画＞2030年までに総額500億円規模の
成長投資を計画し、売上高1,100億円超、経常利益130億円超
を達成、持続的な賃上げと株主還元の拡充を目指します。
• ＜焼却灰資源化事業の戦略的位置づけ＞焼却灰資源化事業は、
当社が掲げる「循環型社会の実現」を体現する重要事業の一つ
であり、補助事業による第5号電気溶融炉の建設は処理能力拡
張の起点として社会インフラとしての役割強化につながります。
会社全体の成長目標（2024年〜2030年）
売上高 1,100億円
売上高年平均成長率（CAGR） 7.2％
売上高の増加額 376億円
2030年の営業利益率 12.5％</t>
  </si>
  <si>
    <t>外発的動機
• ＜資源循環型社会実現への社会的要請＞国内では埋立処分場の
(cid:7783)迫が進んでおり、焼却灰の再資源化による埋立処分回避や有
価金属回収など、資源循環型社会への移行が求められています。
自治体などからは、有害物質を完全無害化し、環境配慮とリサ
イクル率向上を両立する技術への期待が高まっています。
• ＜脱炭素対応への圧力強化＞カーボンニュートラルの潮流の中、
合金鉄などエネルギー多消費型素材には、製造工程の脱炭素化
と再エネ活用が求められ、素材サプライヤーにも環境対応力が
問われています。
• ＜高機能素材への需要拡大＞EV普及や自動車電装化に伴い、機
能材料に対する品質・環境性・供給安定性への要求が高まって
おり、当社の非合金鉄事業の成長余地が広がっています。</t>
  </si>
  <si>
    <t>内発的動機
• ＜創業100年企業としての責任＞2025年に創業100周年を迎え
る企業として、これまで培ってきた技術を次の世代につなげ、
社会に持続的な価値を提供したいという責任感があります。
• ＜現場実感と課題意識＞現場における人手不足や老朽設備、複
雑化する処理ニーズなどに直面しており、既存ビジネスの限界
と抜本的な構造転換の必要性があります。
• ＜経営判断と将来展望＞合金鉄事業に依存する体制において、
収益の不安定性や将来成長の限界を認識し、事業構造の見直し
が必要と判断しました。こうした課題意識のもと、変化に強い
事業体制への転換を進めるにあたり、焼却灰資源化などの非合
金鉄分野は、社会的ニーズと収益性を兼ね備えた成長領域とし
て位置づけ、中長期的な収益基盤として強化していきます。</t>
  </si>
  <si>
    <t>【p.2／上段要旨】
＜社会・環境＞全国的に埋立処分場の(cid:7783)迫や自治体の電気溶融炉停止が進む中、本計画の「焼却灰の溶融資源化」は環
境負荷低減と資源循環を両立する手法として、これらの課題を解決し循環型社会の実現に貢献することが責務である。
＜成長基盤＞合金鉄事業の外部環境依存リスクを補完し、安定した複合収益構造を持つ補助事業は当社の経営資源や技
術を最大限に活用できる領域であり、全社の成長率・利益率を大きく押し上げる「ドライバー」となる。
【p.2／＜設備投資の概要＞】
＜設備投資の概要＞
鹿島工場において既存の焼却灰電気溶融炉(1号〜4号)に加え、新たに「第5号電気溶
融炉(EM5)」および「前処理プラント」を建設し処理能力拡充と運転の最適化を図る。
＜第5号電気溶融炉(EM5)の内容＞
電気溶融炉付帯設備の改良により資源化効率向上を図ると共に、既存炉との連携に
よる統合運転体制を構築し、年間処理能力を約3.2万トン増強する。あわせてDX技
EM4外観 ： 炉体
術を活用し省人化と操業安定性を高めることで、将来的なスマートファクトリー化
の基盤を整える。 炉蓋部
＜前処理プラントの内容＞
乾燥・選別・磁選などの工程を通じて原料灰の性状を安定化させ、処理効率と装置
寿命を向上させる。また、既存設備の改良・改善により重金属や異物除去効率を向
上させ、焼却灰処理歩留と収益性の改善を図る。
＜2030年目標に向けた本事業の戦略的位置づけと賃上げ効果＞
本取組は、焼却灰資源化事業において2030年までに7基体制・年間処理能力22万ト
ンの実現を目指す中長期計画の第一フェーズを担うものであり、2030年に売上高
1,100億円以上、経常利益130億円以上という全社目標の達成に向けた成長エンジン
として重要な役割を果たす。また経常利益の着実な積み上げにより、2027年比で
「+6.5％」の水準を見込む従業員賃金の持続的な引き上げにもつなげていく。</t>
  </si>
  <si>
    <t>【p.1】
新日本電工株式会社
1.長期成長ビジョン
当社は創業100周年を機に、素材・環境分野で持続可能なソリューションを提供する企業へと進化を目指しています。
事業ポートフォリオの高度化を目指し500億円規模の成長投資を通じて、2030年に売上高1,100億円、営業利益率12.5％の達成を
目標としています。
〜 未来への挑戦 100年企業から次の100年へ 〜
2025年10月に創業100周年を迎える当社は、これまで培った技術力と信頼を基盤に、次の100年に向けて新たな価値創造に取
り組んでいます。事業の多角化や脱炭素・資源循環への対応を加速し、社会的責任と収益性の両立を図ってまいります。
長期成長ビジョン 外発的動機
• ＜資源循環型社会実現への社会的要請＞国内では埋立処分場の
• ＜社会と共に成長する企業へ＞当社は「素材と環境で人々の
(cid:7783)迫が進んでおり、焼却灰の再資源化による埋立処分回避や有
暮らしを支え、より良い未来に向かって挑戦し続ける会社」を
価金属回収など、資源循環型社会への移行が求められています。
2030年の“あるべき姿”として掲げています。社会課題の解決
自治体などからは、有害物質を完全無害化し、環境配慮とリサ
と企業価値の向上を両立することを基本方針とし、環境、資源、
イクル率向上を両立する技術への期待が高まっています。
エネルギー分野で持続可能なソリューションを提供し、安定か
• ＜脱炭素対応への圧力強化＞カーボンニュートラルの潮流の中、
つ高収益な成長を目指します。
合金鉄などエネルギー多消費型素材には、製造工程の脱炭素化
• ＜非合金鉄分野へのシフトと成長基盤の構築＞合金鉄、機能
と再エネ活用が求められ、素材サプライヤーにも環境対応力が
材料、焼却灰資源化、アクアソリューション、電力の5事業の
問われています。
領域において事業ポートフォリオの高度化を目指し、2027年
• ＜高機能素材への需要拡大＞EV普及や自動車電装化に伴い、機
には目標経常利益100億円としています。その中で、焼却灰資
能材料に対する品質・環境性・供給安定性への要求が高まって
源化事業をはじめとして、環境・機能材料分野に経営資源を投
おり、当社の非合金鉄事業の成長余地が広がっています。
入していきます。これらを2030年までに全社成長の中核事業
として確立する方針です。
• ＜実現に向けた投資計画＞2030年までに総額500億円規模の 内発的動機
成長投資を計画し、売上高1,100億円超、経常利益130億円超
• ＜創業100年企業としての責任＞2025年に創業100周年を迎え
を達成、持続的な賃上げと株主還元の拡充を目指します。
る企業として、これまで培ってきた技術を次の世代につなげ、
• ＜焼却灰資源化事業の戦略的位置づけ＞焼却灰資源化事業は、 社会に持続的な価値を提供したいという責任感があります。
当社が掲げる「循環型社会の実現」を体現する重要事業の一つ
• ＜現場実感と課題意識＞現場における人手不足や老朽設備、複
であり、補助事業による第5号電気溶融炉の建設は処理能力拡
雑化する処理ニーズなどに直面しており、既存ビジネスの限界
張の起点として社会インフラとしての役割強化につながります。
と抜本的な構造転換の必要性があります。
会社全体の成長目標（2024年〜2030年） • ＜経営判断と将来展望＞合金鉄事業に依存する体制において、
収益の不安定性や将来成長の限界を認識し、事業構造の見直し
売上高 1,100億円
が必要と判断しました。こうした課題意識のもと、変化に強い
売上高年平均成長率（CAGR） 7.2％
事業体制への転換を進めるにあたり、焼却灰資源化などの非合
売上高の増加額 376億円 金鉄分野は、社会的ニーズと収益性を兼ね備えた成長領域とし
2030年の営業利益率 12.5％ て位置づけ、中長期的な収益基盤として強化していきます。</t>
  </si>
  <si>
    <t>【p.2】
新日本電工株式会社
2.補助事業の概要
本補助事業では、第5号電気溶融炉および前処理プラントを新設し、処理能力と運転最適化を図ることで、2030年までに7基体
制・年間処理能力22万トンの構築を目指します。焼却灰資源化事業を全社成長の中核と位置づけ、経営利益の着実な積み上げとと
もに、2027年比で年平均賃上げ上昇率＋6.5％を実現し、持続的な給与水準向上にもつなげていきます。
＜社会・環境＞全国的に埋立処分場の(cid:7783)迫や自治体の電気溶融炉停止が進む中、本計画の「焼却灰の溶融資源化」は環
背景 境負荷低減と資源循環を両立する手法として、これらの課題を解決し循環型社会の実現に貢献することが責務である。 事業費 10,951百万円
目的 ＜成長基盤＞合金鉄事業の外部環境依存リスクを補完し、安定した複合収益構造を持つ補助事業は当社の経営資源や技 (補助額) (3,381百万円)
術を最大限に活用できる領域であり、全社の成長率・利益率を大きく押し上げる「ドライバー」となる。
※イメージ画像
＜設備投資の概要＞
鹿島工場において既存の焼却灰電気溶融炉(1号〜4号)に加え、新たに「第5号電気溶
融炉(EM5)」および「前処理プラント」を建設し処理能力拡充と運転の最適化を図る。
＜第5号電気溶融炉(EM5)の内容＞
電気溶融炉付帯設備の改良により資源化効率向上を図ると共に、既存炉との連携に
よる統合運転体制を構築し、年間処理能力を約3.2万トン増強する。あわせてDX技
EM4外観 ：炉体
術を活用し省人化と操業安定性を高めることで、将来的なスマートファクトリー化
の基盤を整える。 炉蓋部 炉底部
設備投資の ＜前処理プラントの内容＞
内容
乾燥・選別・磁選などの工程を通じて原料灰の性状を安定化させ、処理効率と装置
EM4外観 ： 炉体
寿命を向上させる。また、既存設備の改良・改善により重金属や異物除去効率を向
上させ、焼却灰処理歩留と収益性の改善を図る。 炉蓋部 炉底部
＜2030年目標に向けた本事業の戦略的位置づけと賃上げ効果＞
© 2023NipponDenkoCo., Ltd. 24
本取組は、焼却灰資源化事業において2030年までに7基体制・年間処理能力22万ト
ンの実現を目指す中長期計画の第一フェーズを担うものであり、2030年に売上高
1,100億円以上、経常利益130億円以上という全社目標の達成に向けた成長エンジン
として重要な役割を果たす。また経常利益の着実な積み上げにより、2027年比で
「+6.5％」の水準を見込む従業員賃金の持続的な引き上げにもつなげていく。
項目 2027年度（基準年度） 2030年度（基準年度＋３年後）
© 2023NipponDenkoCo., Ltd. 24
労働生産性（万円/人） 1,997 万円/人 3,167 万円（年平均上昇率 +16.6％）
目標値 従業員1人あたり給与支給総額（万円/人） 780 万円/人 942 万円（年平均上昇率 +6.5％）
役員1人あたり給与支給総額（万円/人） - -
補助事業に係る従業員数（人） 801 人 890 人</t>
  </si>
  <si>
    <t>能勢酒造株式会社
1.長期成長ビジョン
当社の成長を牽引しているリターナブル瓶ビジネスと瓶入り付加価値型炭酸飲料（OEM、アルコール飲料を含
む）のビジネスをさらに強化し、独自のビジネスモデルを進化させる。</t>
  </si>
  <si>
    <t>長期成長ビジョン（目指す姿・ビジネスモデル）
• 当社の強みであるリターナブル瓶飲料の製造販売と地域資源を活
用した地サイダー・リキュールの開発、製造事業をさらに強化し、他
にない飲料ビジネスモデルを確立させる。
• 今春、新しいリターナブル瓶のモデルとして、栓抜きを必要としないプ
ルトップ型のリターナブル瓶を日本で初めて商品化した。このビジネ
スを拡大し、ミネラルウォーターだけでなく、緑茶などの他の飲料にも
広げて、日本にリターナブル瓶ビジネスをリードしていく会社になる。
• 地域資源を活用した飲料ビジネスにおいても、現在約10社の取り
組み先を有しており、この10社との取り組みを強化しながら、事業
を拡大させていき、このビジネスを大きな柱に育てていく。
• 新工場建設により、ISO等の国際認証を取得し、現在取引中の
良品計画様や日本ビール、生協様との取引を大きく拡大。認証
取得により、環境問題に高い意識を持つ取引先を大幅に増やして、
事業を拡大させる。</t>
  </si>
  <si>
    <t>外発的動機
• 環境問題の中で脱プラは日本が欧州に比べて大きく遅れてい
る。マイクロプラスチックの問題等で、世界のガラス瓶の需要は
欧州を中心に拡大中、今後もさらに拡大していく見通である。
その中、日本は大手飲料メーカーのリターナブル飲料の撤退な
ど、海外の取組と大きく乖離している。
• その中でも、ミネラルウォーターマーケットでは、ガラス瓶入りの需
要は増えており、今後さらに拡大していくと思われる。
• 当社の取引先である良品計画（無印良品）様は、脱プラに
対する意識が高い。現在、約３０店舗で当社ブランドの商品
を取り扱っている。認証を取得することで、取り組みを深め、大
幅に取引を拡大できる見込みがある。</t>
  </si>
  <si>
    <t>内発的動機
地域社会への貢献に対する使命
• 当社は江戸中期創業の老舗企業であり、厳しい社会環境を
乗り越え、次世代に引き継いでいくことは重要な使命である。
• そのため、環境負荷が低いガラス瓶を使用した飲料の販売に
取り組んでいる
他社と差別化されたビジネスモデルの深化
• 当社は炭酸飲料の製造において、独自の製法を採用しており、
看板商品である能勢ソーダはG20でも採用され、高級バーを
はじめ多くの飲食店で利用されている。瓶入り飲料ならではの
高級感、非日常的要素が、当社の商品の価値を向上し、価
格競争が中心のペットボトルとは一線を画する</t>
  </si>
  <si>
    <t>会社全体の売上成長目標（～2030年）
• 売上高成長率414％
• 売上高増加額23.5億円
会社全体の賃上げ目標
• 0.1%（直近事業年度～基準年度）
• 21.0%（基準年度～事業化報告3年目）</t>
  </si>
  <si>
    <t>【p.1／売上成長目標】
会社全体の売上成長目標（～2030年）
• 売上高成長率414％
• 売上高増加額23.5億円
会社全体の賃上げ目標
• 0.1%（直近事業年度～基準年度）
• 21.0%（基準年度～事業化報告3年目）</t>
  </si>
  <si>
    <t>【p.1】
能勢酒造株式会社
1.長期成長ビジョン
当社の成長を牽引しているリターナブル瓶ビジネスと瓶入り付加価値型炭酸飲料（OEM、アルコール飲料を含
む）のビジネスをさらに強化し、独自のビジネスモデルを進化させる。
外発的動機
長期成長ビジョン（目指す姿・ビジネスモデル） • 環境問題の中で脱プラは日本が欧州に比べて大きく遅れてい
る。マイクロプラスチックの問題等で、世界のガラス瓶の需要は
• 当社の強みであるリターナブル瓶飲料の製造販売と地域資源を活
欧州を中心に拡大中、今後もさらに拡大していく見通である。
用した地サイダー・リキュールの開発、製造事業をさらに強化し、他
にない飲料ビジネスモデルを確立させる。 その中、日本は大手飲料メーカーのリターナブル飲料の撤退な
• 今春、新しいリターナブル瓶のモデルとして、栓抜きを必要としないプ ど、海外の取組と大きく乖離している。
ルトップ型のリターナブル瓶を日本で初めて商品化した。このビジネ • その中でも、ミネラルウォーターマーケットでは、ガラス瓶入りの需
スを拡大し、ミネラルウォーターだけでなく、緑茶などの他の飲料にも
要は増えており、今後さらに拡大していくと思われる。
広げて、日本にリターナブル瓶ビジネスをリードしていく会社になる。
• 当社の取引先である良品計画（無印良品）様は、脱プラに
• 地域資源を活用した飲料ビジネスにおいても、現在約10社の取り
対する意識が高い。現在、約３０店舗で当社ブランドの商品
組み先を有しており、この10社との取り組みを強化しながら、事業
を拡大させていき、このビジネスを大きな柱に育てていく。 を取り扱っている。認証を取得することで、取り組みを深め、大
• 新工場建設により、ISO等の国際認証を取得し、現在取引中の 幅に取引を拡大できる見込みがある。
良品計画様や日本ビール、生協様との取引を大きく拡大。認証
内発的動機
取得により、環境問題に高い意識を持つ取引先を大幅に増やして、
事業を拡大させる。 地域社会への貢献に対する使命
• 当社は江戸中期創業の老舗企業であり、厳しい社会環境を
会社全体の売上成長目標（～2030年）
乗り越え、次世代に引き継いでいくことは重要な使命である。
• 売上高成長率414％
• そのため、環境負荷が低いガラス瓶を使用した飲料の販売に
• 売上高増加額23.5億円
取り組んでいる
会社全体の賃上げ目標
他社と差別化されたビジネスモデルの深化
• 0.1%（直近事業年度～基準年度）
• 21.0%（基準年度～事業化報告3年目） • 当社は炭酸飲料の製造において、独自の製法を採用しており、
看板商品である能勢ソーダはG20でも採用され、高級バーを
はじめ多くの飲食店で利用されている。瓶入り飲料ならではの
高級感、非日常的要素が、当社の商品の価値を向上し、価
格競争が中心のペットボトルとは一線を画する</t>
  </si>
  <si>
    <t>【p.2】
能勢酒造株式会社
.補助事業の概要
2
今後、食品衛生の意識はさらに高まることを見据えて、工場をリニューアル。同時に生産性の向上と商材の拡大
を図る。地域資源を活用した瓶入り炭酸飲料とリターナブル瓶飲料において、地域で圧倒的な企業を目指す。
補助事業の • 生産能力と衛生レベルを大幅に向上させ、関西地域で突出したリターナブル瓶ビジネスと、地域 事業費 1 5百万円
88
背景・目的 資源を活用した炭酸飲料ビジネスを確立させ、関西地域で唯一無二の飲料メーカーになる。 （補助額） （50 百万円）
7
現行の倉庫を工場に建て替えて、調合設備、充填設備を移設。一部設
備をそのままの場所で使うことで、移設期間、移設費用を抑える。
• 新工場建設（6億円、令和9年7月）
• 老朽化し不十分な衛生環境の調合室、充填室を衛生的な環境にし、
衛生認証を取得する。（JFS-B以上）
• 新規設備導入、旧設備移設一式（10.55億円）
設備投資の
• 充填ラインを増やし、新設ラインは現行の1.５倍の能力にする。
内容
• タンクの大型化、配管を更新し、衛生面の向上と省力化を実現する。
茶飲料の設備を強化し、リターナブル瓶の緑茶ビジネスを強化し、新市
場開拓に備える。
• 現行のラインもレイアウト変更し、設備を入れることで1.5倍の能力に引
き上げる。現行ライン２ラインと新ライン１ラインを合わせて２.2倍の生
産能力にひきあげる。
項目 基準年度 事業化報告3年目
労働生産性 19550
9529
（単位：千円/人） （年平均上昇率＋27.1％）
目標値 従業員1人あたり給与支給総額 4687
3873
（単位：千円/人） （年平均上昇率＋6.6％）
役員１人あたり給与支給総額
-
（単位：千円/人） - （年平均上昇率＋8.6％）
補助事業に係る従業員数
31 54
（単位：人）</t>
  </si>
  <si>
    <t>ロートニッテン株式会社
1.長期成長ビジョン
「すこやかな視界への挑戦」 という理念のもと、医薬品のみならず医療機器、コンタクトレンズ、受託事業など事業領域を広げ、
海外にも展開することで患者様や医療機関の皆様のより広い期待に応える。社会に新たな価値をもたらす社会貢献によって
持続的な発展を目指す。</t>
  </si>
  <si>
    <t>長期成長ビジョン（目指す姿・ビジネスモデル）
「すこやかな視界への挑戦」

当社にかかわるすべての人々の「Well-Being」を実現するため
に、事業領域を広げることで、患者様や医療機関の皆様のより広
い期待にお応えし社会に貢献

社会の公器として事業を通じて社会に新たな価値をもたらし、社
会貢献によって持続的な発展を目指す
【目指す姿】

ロート製薬の医療用眼科事業を担い、社会に提供する付加価
値の最大化による事業拡大を目指す

容器技術・製剤化技術を高め、Globalでも企業価値を高めるこ
とで、医薬品・医療機器のトータルアイケアカンパニーを目指す

医薬品事業・医療機器事業・コンタクトレンズ事業・受託事業の
4つの事業領域を確立し、海外展開をはかる</t>
  </si>
  <si>
    <t>外発的動機
• 若年層からの近視の増加や高齢化により、近視の視力矯正から緑内障・ド
ライアイなどの慢性眼疾患まで、眼科医療の質と量が求められている
• 医療費抑制政策や選定療養制度導入を背景に後発医薬品の需要が拡
大する一方で、「安定供給」のできる企業への社会的評価が高まっている
• 眼科疾患へは医薬品のみならず医療機器・眼科手術などでの治療も増加
し、眼科治療方法はその選択肢が増え対応を求められている。
• 海外市場でも点眼薬や医療機器・コンタクトレンズ市場の拡大が続いて
おり、グローバル基準に適合した品質と生産体制が求められている
• 人々のQOL向上や「Well-Being」への社会的関心の高まりを受け、より安
全・高機能な医薬品・医療機器の提供が重要視されている</t>
  </si>
  <si>
    <t>内発的動機
• 1961年の創業以来、「すこやかな視界への挑戦」を理念に掲げ、眼科医
療を通じて社会に貢献することを使命としてきた
• 防腐剤無添加容器「PFデラミ®」など、患者本位の製品開発を続けてきた
当社の技術と想いを、より多くの人に届けたい
• ロート製薬グループの一員として、グループの眼科事業を牽引し、医療用
医薬品や医療機器の領域での社会的存在意義を高めたい
• 自社技術（医薬品開発・容器開発・医療機器開発）を活かして、医薬
品から医療機器まで一体的する“トータルアイケアカンパニー”を目指す
• 利益の追求だけでなく、社員・顧客・取引先とともに社会に還元していく企
業文化を大切にしていきたい</t>
  </si>
  <si>
    <t>会社全体の売上成長目標（～2031年3月期）
• 売上高成長率10.2％
• 売上高増加額98億円
会社全体の賃上げ目標
• 2.5%（直近事業年度～基準年度）
• 6.2%（基準年度～事業化報告3年目）</t>
  </si>
  <si>
    <t>【p.1／売上成長目標】
会社全体の売上成長目標（～2031年3月期）
• 売上高成長率10.2％
• 売上高増加額98億円
会社全体の賃上げ目標
• 2.5%（直近事業年度～基準年度）
• 6.2%（基準年度～事業化報告3年目）</t>
  </si>
  <si>
    <t>【p.1】
ロートニッテン株式会社
1.長期成長ビジョン
「すこやかな視界への挑戦」 という理念のもと、医薬品のみならず医療機器、コンタクトレンズ、受託事業など事業領域を広げ、
海外にも展開することで患者様や医療機関の皆様のより広い期待に応える。社会に新たな価値をもたらす社会貢献によって
持続的な発展を目指す。
長期成長ビジョン（目指す姿・ビジネスモデル） 外発的動機
「すこやかな視界への挑戦」
• 若年層からの近視の増加や高齢化により、近視の視力矯正から緑内障・ド
 当社にかかわるすべての人々の「Well-Being」を実現するため
ライアイなどの慢性眼疾患まで、眼科医療の質と量が求められている
に、事業領域を広げることで、患者様や医療機関の皆様のより広
• 医療費抑制政策や選定療養制度導入を背景に後発医薬品の需要が拡
い期待にお応えし社会に貢献
大する一方で、「安定供給」のできる企業への社会的評価が高まっている
 社会の公器として事業を通じて社会に新たな価値をもたらし、社
• 眼科疾患へは医薬品のみならず医療機器・眼科手術などでの治療も増加
会貢献によって持続的な発展を目指す
し、眼科治療方法はその選択肢が増え対応を求められている。
• 海外市場でも点眼薬や医療機器・コンタクトレンズ市場の拡大が続いて
【目指す姿】
おり、グローバル基準に適合した品質と生産体制が求められている
 ロート製薬の医療用眼科事業を担い、社会に提供する付加価
• 人々のQOL向上や「Well-Being」への社会的関心の高まりを受け、より安
値の最大化による事業拡大を目指す
全・高機能な医薬品・医療機器の提供が重要視されている
 容器技術・製剤化技術を高め、Globalでも企業価値を高めるこ
とで、医薬品・医療機器のトータルアイケアカンパニーを目指す
 医薬品事業・医療機器事業・コンタクトレンズ事業・受託事業の 内発的動機
4つの事業領域を確立し、海外展開をはかる • 1961年の創業以来、「すこやかな視界への挑戦」を理念に掲げ、眼科医
療を通じて社会に貢献することを使命としてきた
• 防腐剤無添加容器「PFデラミ®」など、患者本位の製品開発を続けてきた
会社全体の売上成長目標（～2031年3月期） 当社の技術と想いを、より多くの人に届けたい
• 売上高成長率10.2％ • ロート製薬グループの一員として、グループの眼科事業を牽引し、医療用
• 売上高増加額98億円 医薬品や医療機器の領域での社会的存在意義を高めたい
会社全体の賃上げ目標 • 自社技術（医薬品開発・容器開発・医療機器開発）を活かして、医薬
• 2.5%（直近事業年度～基準年度） 品から医療機器まで一体的する“トータルアイケアカンパニー”を目指す
• 6.2%（基準年度～事業化報告3年目）
• 利益の追求だけでなく、社員・顧客・取引先とともに社会に還元していく企
業文化を大切にしていきたい</t>
  </si>
  <si>
    <t>【p.2】
ロートニッテン株式会社
2.補助事業の概要
医療用点眼医薬品は最新鋭製造設備や既存ラインへの新設備導入、生産・販売管理システム入替による製造能力増強と
生産性向上を目指す。医療機器は他社製造から自社内製化による競争力の向上とコストダウンを図る。
補助事業の • 設備老朽化・キャパシティ不足を改善することによるコスト競争力向上と生産能力強化 事業費 3,304百万円
背景・目的 • より高付加価値な先発医薬品の製造可能なライン導入による利益率改善 （補助額） (809百万円)
後発医薬品の安定供給及び新事業・新市場への進出に向けた製造力強化と医療機器 長野工場
やコンタクトレンズの内製化による品質向上と競争力向上
【具体的な投資内容】
 長野工場への新製造ライン導入（26.5億円）
先発医薬品製造も対応可能な医療用点眼医薬品の最新鋭製造設備導入による新製造ラインの構築
 名古屋工場のリノベーションと新ラインの導入等（5.9億円）
• 名古屋工場は医療機器製造も対応可能な工場としての内装変更と空調設備の変更新調による医療
機器新製造ラインの構築および医療機器製造に必要な機器新規導入
設備投資の
• 在庫管理、配送業務の効率化を目指した生産・販売管理システムの入替 名古屋工場
内容
【補助事業により見込まれる効果】
• 新製造ライン構築による製造能力の倍増と生産効率化によるコスト競争力向上
• 先発医薬品製造可能化に伴う高付加価値事業領域への拡張と、より高付加価値の医療機器の製造
可能なライン導入による利益率改善
• 新システムへの入れ替えに伴うピッキング作業効率化による生産性向上
• 新たな設備投資による仕事の創出と雇用の維持、拡大
項目 基準年度 事業化報告3年目
労働生産性 17,343千円/人
8,985千円/人
（単位：千円/人） （年平均上昇率＋24.5％）
従業員1人あたり給与支給総額 7,342千円/人
目標値 6,130千円/人
（単位：千円/人） （年平均上昇率＋6.2％）
役員１人あたり給与支給総額 12,899千円/人
11,143千円/人
（単位：千円/人） （年平均上昇率＋5.0％）
補助事業に係る従業員数
280人 300人
（単位：人）</t>
  </si>
  <si>
    <t>NICHIRO株式会社
1.長期成長ビジョン
日本最古のフィルターメーカーとしてのこれまでの信用実績、開発力、技術力を基盤として、今後の環境規制と顧客ニーズ
高度化に対応する開発力、生産能力を大幅に強化し、高性能、高機能、大型高寿命フィルターのトップメーカーへ成長し、
更なる社会貢献、地域貢献を実現する。</t>
  </si>
  <si>
    <t>長期成長ビジョン（目指す姿・ビジネスモデル）
• 大型フィルター製造の工場実現による、高利益率・労働
生産性日本トップのフィルターメーカーへ
• 環境規制に対応した高性能/高効率/高寿命フィルター
の研究開発
• 製造工程の自動化や作業環境改善により、生産性を
向上させると共に初心者や女性・高齢者も働きやすい工
場にすることにより労働人口減少に対応
• 日本最古のフィルターメーカーとして強みであるプレス加工
技術を活用した、他社が真似できない大型フィルターを
軸とした商品開発</t>
  </si>
  <si>
    <t>外発的動機
• ユーロ6や新規規制による高性能/高効率フィルターの
ニーズ拡大
• 車体メーカーの保全技術者不足による、フィルターの高寿
命化とユーザーによる交換作業＝交換作業の簡素化
• 生成AIビジネスによるデータセンター拡大に伴い、非常用
発電に使用されるディーゼルエンジン市場急成長
• 電気・ガスなどエネルギー価格の高騰
• 労働人口減少による地元求人倍率の増加
• 三遠南信道トンネル/リニア開通予定、長野・静岡・愛知
の巨大経済圏化による地域活性とビジネスチャンス</t>
  </si>
  <si>
    <t>内発的動機
• 社員の夢/目標の実現と支援
• 労働人口の減少による人財不足
• 技術者不足による自動化によるアシスト
• 温暖化による工場内労働環境の悪化
• 既存工場エリアにおける新規設備導入スペース不足
2023年 2024年</t>
  </si>
  <si>
    <t>【p.1／売上成長目標】
会社全体の売上成長目標
• 2030年までの会社全体の売上高増加額57億円
• 2030年までの会社全体の売上高成長率174％
【p.2／大型フィルターの増産に目的とした新工場】
大型フィルターの増産に目的とした新工場</t>
  </si>
  <si>
    <t>【p.1】
NICHIRO株式会社
1.長期成長ビジョン
日本最古のフィルターメーカーとしてのこれまでの信用実績、開発力、技術力を基盤として、今後の環境規制と顧客ニーズ
高度化に対応する開発力、生産能力を大幅に強化し、高性能、高機能、大型高寿命フィルターのトップメーカーへ成長し、
更なる社会貢献、地域貢献を実現する。
長期成長ビジョン（目指す姿・ビジネスモデル） 外発的動機
• ユーロ6や新規規制による高性能/高効率フィルターの
• 大型フィルター製造の工場実現による、高利益率・労働
ニーズ拡大
生産性日本トップのフィルターメーカーへ
• 車体メーカーの保全技術者不足による、フィルターの高寿
• 環境規制に対応した高性能/高効率/高寿命フィルター
命化とユーザーによる交換作業＝交換作業の簡素化
の研究開発
• 生成AIビジネスによるデータセンター拡大に伴い、非常用
• 製造工程の自動化や作業環境改善により、生産性を
発電に使用されるディーゼルエンジン市場急成長
向上させると共に初心者や女性・高齢者も働きやすい工
• 電気・ガスなどエネルギー価格の高騰
場にすることにより労働人口減少に対応
• 労働人口減少による地元求人倍率の増加
• 日本最古のフィルターメーカーとして強みであるプレス加工
• 三遠南信道トンネル/リニア開通予定、長野・静岡・愛知
技術を活用した、他社が真似できない大型フィルターを
の巨大経済圏化による地域活性とビジネスチャンス
軸とした商品開発
内発的動機
• 社員の夢/目標の実現と支援
• 労働人口の減少による人財不足
• 技術者不足による自動化によるアシスト
• 温暖化による工場内労働環境の悪化
• 既存工場エリアにおける新規設備導入スペース不足
会社全体の売上成長目標
• 2030年までの会社全体の売上高増加額57億円
• 2030年までの会社全体の売上高成長率174％
2023年 2024年</t>
  </si>
  <si>
    <t>【p.2】
NICHIRO株式会社
.補助事業の概要
2
新工場の建設と設備投資により、大型フィルターの生産を主とした量産体制を確立
自動化・省力化による生産性/付加価値を向上させ、大幅な賃上げと働きやすい環境を実現する
■当社がさらに成長するためには、中大型エンジン分野のシェアを拡大する事が必
要不可欠だが、現在保有している生産エリア・設備では生産キャパシティ不足や効
33億円
補助事業の 率的な生産方式の整備遅れといった課題がある。 事業費
背景・目的 ■本事業を通じて、新規に生産スペースを確保するとともに他社が真似できない （補助額） (11億円)
生産体制を構築する。事業拡大を通じて継続的な賃上げと地域経済の発展に
貢献し、地域のモデル企業となる。
■大型フィルターのプレス×塗装×組立の一貫ライン
大型フィルターの増産に目的とした新工場
①従来工法に比べて生産性30％UP、生産能力
200％UP、他社が真似できない厚板(1.2㎜)
深絞りを実現、高耐久・高性能フィルターの大量
設備投資の 生産を実現
内容 ②大型フィルター用の塗装ラインを導入、自動化ライン
にすることにより高い付加価値を生み出す
③自動搬送機や自動検査装置の導入により、人的
工数の削減と生産効率向上により労働生産性を
新工場完成予定図
+35.4％に向上
項目 基準年度 事業化報告3年目
労働生産性 23,183
9,331
（単位：千円/人） （年平均上昇率＋35.4％）
目標値 従業員1人あたり給与支給総額 5,611
4,581
（単位：千円/人） （年平均上昇率＋7.0％）
役員１人あたり給与支給総額 ー
ー
（単位：千円/人） （年平均上昇率ー％）
補助事業に係る従業員数
91 118
（単位：人）</t>
  </si>
  <si>
    <t>南島酒販株式会社
1.長期成長ビジョン
沖縄に根ざした酒販業者として、沖縄県産のお酒流通の促進、社員の生活を豊かにすること、幅広いお酒の安
定供給で沖縄県民の心を満たすことで、沖縄の発展に貢献する</t>
  </si>
  <si>
    <t>長期成長ビジョン（目指す姿・ビジネスモデル）
沖縄に根差した酒販業者として沖縄の発展に貢献
沖縄県産のお酒流通により沖縄県経済に利益をもたらす
◼ 酒類製造業は沖縄の貴重なものづくり業であり、沖縄製造業の維
持・発展に貢献し、引いては沖縄の豊かな経済発展に貢献
社員・その家族が豊かに健やかに暮らすことで沖縄社会に貢献
◼ 沖縄社会の一部そのものである社員とその家族が豊かに健やかに
暮らすことで、沖縄社会を豊かに、健やかに
消費者のニーズに応え沖縄県民の心を満たす
◼ お酒を幅広く安定的に供給することで、沖縄県民の心を満たす会
社であり続ける</t>
  </si>
  <si>
    <t>外発的動機
• 観光回復・インバウンド需要拡大により「沖縄らしさ」を体現する酒
類への関心が高まっている
• SDGsや地産地消志向の高まりにより、沖縄産米を活用した地域
内製造が評価される流れ
• 日本酒輸出額は過去最高水準を継続し、プレミアム清酒への世
界的需要が拡大
• 若年層・観光客の嗜好変化により、ストーリー性ある高付加価値
酒類の市場が拡大中
• 沖縄県内での製造業空洞化が進む中、地場産業の維持・雇用
創出が地域経済の重要課題</t>
  </si>
  <si>
    <t>内発的動機
• 「沖縄県産のお酒を流通させ、沖縄経済に利益をもたらす」という創
業理念を深化させたい
• 「社員とその家族が豊かに暮らすことが、沖縄社会全体の豊かさに
つながる」との信念
• 「消費者のニーズに応え、沖縄県民の心を満たす」存在であり続け
たいという原点意識
• 「酒類製造は沖縄の数少ないものづくり産業」であり、その灯を守
り、未来へつなぎたいという責任感
• お酒は「人生の華」──その喜びや文化を自ら創出し、広げることで
地域と社会に貢献したい</t>
  </si>
  <si>
    <t>会社全体の売上成長目標（～31年3月期）
• 売上高年平均成長率10.8％
• 売上高増加額75億円
会社全体の賃上げ目標
• 3.0%（直近事業年度～基準年度）
• 6.5%（基準年度～事業化報告3年目）</t>
  </si>
  <si>
    <t>【p.1／売上成長目標】
会社全体の売上成長目標（～31年3月期）
• 売上高年平均成長率10.8％
• 売上高増加額75億円
会社全体の賃上げ目標
• 3.0%（直近事業年度～基準年度）
• 6.5%（基準年度～事業化報告3年目）</t>
  </si>
  <si>
    <t>【p.1】
南島酒販株式会社
1.長期成長ビジョン
沖縄に根ざした酒販業者として、沖縄県産のお酒流通の促進、社員の生活を豊かにすること、幅広いお酒の安
定供給で沖縄県民の心を満たすことで、沖縄の発展に貢献する
長期成長ビジョン（目指す姿・ビジネスモデル） 外発的動機
• 観光回復・インバウンド需要拡大により「沖縄らしさ」を体現する酒
沖縄に根差した酒販業者として沖縄の発展に貢献 類への関心が高まっている
• SDGsや地産地消志向の高まりにより、沖縄産米を活用した地域
沖縄県産のお酒流通により沖縄県経済に利益をもたらす 内製造が評価される流れ
◼ 酒類製造業は沖縄の貴重なものづくり業であり、沖縄製造業の維 • 日本酒輸出額は過去最高水準を継続し、プレミアム清酒への世
持・発展に貢献し、引いては沖縄の豊かな経済発展に貢献 界的需要が拡大
• 若年層・観光客の嗜好変化により、ストーリー性ある高付加価値
社員・その家族が豊かに健やかに暮らすことで沖縄社会に貢献
酒類の市場が拡大中
◼ 沖縄社会の一部そのものである社員とその家族が豊かに健やかに
• 沖縄県内での製造業空洞化が進む中、地場産業の維持・雇用
暮らすことで、沖縄社会を豊かに、健やかに
創出が地域経済の重要課題
消費者のニーズに応え沖縄県民の心を満たす
◼ お酒を幅広く安定的に供給することで、沖縄県民の心を満たす会 内発的動機
社であり続ける
• 「沖縄県産のお酒を流通させ、沖縄経済に利益をもたらす」という創
業理念を深化させたい
• 「社員とその家族が豊かに暮らすことが、沖縄社会全体の豊かさに
会社全体の売上成長目標（～31年3月期） つながる」との信念
• 売上高年平均成長率10.8％
• 「消費者のニーズに応え、沖縄県民の心を満たす」存在であり続け
• 売上高増加額75億円
たいという原点意識
会社全体の賃上げ目標
• 3.0%（直近事業年度～基準年度） • 「酒類製造は沖縄の数少ないものづくり産業」であり、その灯を守
り、未来へつなぎたいという責任感
• 6.5%（基準年度～事業化報告3年目）
• お酒は「人生の華」──その喜びや文化を自ら創出し、広げることで
地域と社会に貢献したい</t>
  </si>
  <si>
    <t>【p.2】
南島酒販株式会社
.補助事業の概要
2
沖縄県唯一かつ日本最南端で製造される日本酒の高付加価値化と量産体制整備を目的として、石垣島に日
本酒蔵を建設する
補助事業の • 沖縄県製造業の維持・発展と高付加価値領域への事業拡張による成長基盤確立 事業費 1, 百万円
071
背景・目的 • 新たに取得した日本酒製造事業の製造体制整備による高付加価値化 （補助額） (3 百万円)
57
日本酒蔵建設による沖縄唯一・日本最南端の日本酒ブランド化と沖縄産業の活性化
【具体的な投資内容】
① 酒蔵建屋建設（約5億円）
蔵内温度を一定に保つことができる冷蔵機能や徹底的に無駄を排除
した製造ライン構築が可能な日本酒蔵を石垣島に建設
② 日本酒製造設備導入（約6.5億円）
設備投資の
自動米洗機や、四季醸造用冷蔵タンク、精米所一式等を含む効率
内容
性・省人化に配慮した設備の導入
【補助事業により見込まれる効果】
• 最先端の製造方法・設備導入による日本酒の高付加価値化
新日本酒蔵のイメージ
• 高付加価値領域への事業拡張による利益率向上
• 沖縄県産日本酒のブランド化による県内消費・観光消費活性化
• 地場産業の維持・発展と沖縄における雇用創出
項目 基準年度 事業化報告3年目
労働生産性 8,839千円/人
4,733千円/人
（単位：千円/人） （年平均上昇率＋23.1％）
従業員1人あたり給与支給総額 5,318千円/人
目標値 4,402千円/人
（単位：千円/人） （年平均上昇率＋6.5％）
役員１人あたり給与支給総額
-
（単位：千円/人） - （年平均上昇率＋5.0％）
補助事業に係る従業員数
114人 128人
（単位：人）</t>
  </si>
  <si>
    <t>アサヒプリテック株式会社
1.長期成長ビジョン
貴金属リサイクルのトップ企業として循環経済の担い手となるべく、既存の事業基盤を強化するとともに新分野の
開拓と一層のグローバリゼーションを推進し、企業価値をさらに向上させることで環境課題の解決に貢献していく。</t>
  </si>
  <si>
    <t>長期成長ビジョン（目指す姿・ビジネスモデル）

目指す姿:環境と社会をつなぐ循環経済の担い手
当社の事業領域は、現代社会が直面する二大課題「循環経済
の構築」と「カーボンニュートラルの実現」に正面から取り組むもので
ある。当社事業の発展を通じて、社会課題の解決に貢献していく。
1. 戦略主題①:収益性を高める事業基盤強化
既存事業の収益性向上を図り、持続的成長を実現する。設備
投資を通じて新技術の導入、デジタル化を積極的に推進し、生
産性を向上させ事業基盤を強化する。
2. 戦略主題②:貴金属事業の新分野開拓
半導体や水素エネルギー市場の伸長に伴い、今後需要の増加
が予想される白金族元素(PGM(※))分野を開拓し、成長分野
に焦点を当てた事業の展開を強化する。
(※)PGM: Platinum Group Metalsの略で白金族元素の総称。
3. 戦略主題③:一層のグローバリゼーション推進
アジア・北米の海外拠点の事業推進を一層強化することに加え、
東南アジアでの貴金属リサイクル事業の強化、新たな国・地域で
の事業展開を模索する。</t>
  </si>
  <si>
    <t>外発的動機
• 地球温暖化や気候変動の問題等、地球規模での環境課題が叫
ばれているところであり、特にCO2削減はグローバルレベルで最重要
課題とされている。当社技術を用いた貴金属リサイクルの方法によ
れば、鉱山探鉱による方法と比較してCO2排出量は90%以上削
減することが可能であり、当社事業の発展は、地球規模の環境課
題の解決に直接貢献するものである。
• 貴金属はあらゆる分野の製造工程で不可欠な材料として使用され
ており、成長市場である半導体市場や水素エネルギー市場の伸長
に伴って需要量も拡大していくことが確実視される。
• 一方で、こうした貴金属は産出量が少なく、希少性を有するもので
ある。また、ロシアや南アフリカ等、地政学的リスクの高い国が主要
産地となっているものもあり、供給が不安定にもなり得る。当社は、
貴金属リサイクルの立場から安定供給の一翼を担い、科学技術の
発展にも寄与し得る立場である。</t>
  </si>
  <si>
    <t>内発的動機
• 当社のパーパス(存在目的)として「この手で守る自然と資源」を掲
げており、創業以来70年以上にわたって一貫して貴金属リサイクル
事業を手掛け、環境問題に向き合ってきた歴史がある。
• 東証プライム市場に上場している立場から、社会の公器として企業
価値を継続して向上させ続ける責務を果たす必要がある。
• 創業以来、貴金属リサイクルというテーマは一貫しながらも、時代の
変化に合わせて扱う分野・事業のスクラップ&amp;ビルドを繰り返して成
長を続けており、「挑戦しよう」の歴史を今後も紡いでいくことが企業
価値の向上、社会課題の解決につながると考えている。</t>
  </si>
  <si>
    <t>【p.1／売上成長目標】
会社全体の売上成長目標（～2031年3月期）
• 売上高成長率+0.8％（2025年3月期比、年平均）
• 売上高増加額+237億円（2025年3月期比）</t>
  </si>
  <si>
    <t>【p.1】
アサヒプリテック株式会社
1.長期成長ビジョン
貴金属リサイクルのトップ企業として循環経済の担い手となるべく、既存の事業基盤を強化するとともに新分野の
開拓と一層のグローバリゼーションを推進し、企業価値をさらに向上させることで環境課題の解決に貢献していく。
長期成長ビジョン（目指す姿・ビジネスモデル） 外発的動機
 目指す姿:環境と社会をつなぐ循環経済の担い手 • 地球温暖化や気候変動の問題等、地球規模での環境課題が叫
ばれているところであり、特にCO2削減はグローバルレベルで最重要
当社の事業領域は、現代社会が直面する二大課題「循環経済
課題とされている。当社技術を用いた貴金属リサイクルの方法によ
の構築」と「カーボンニュートラルの実現」に正面から取り組むもので
れば、鉱山探鉱による方法と比較してCO2排出量は90%以上削
ある。当社事業の発展を通じて、社会課題の解決に貢献していく。
減することが可能であり、当社事業の発展は、地球規模の環境課
題の解決に直接貢献するものである。
1. 戦略主題①:収益性を高める事業基盤強化
• 貴金属はあらゆる分野の製造工程で不可欠な材料として使用され
既存事業の収益性向上を図り、持続的成長を実現する。設備
ており、成長市場である半導体市場や水素エネルギー市場の伸長
投資を通じて新技術の導入、デジタル化を積極的に推進し、生
に伴って需要量も拡大していくことが確実視される。
産性を向上させ事業基盤を強化する。
• 一方で、こうした貴金属は産出量が少なく、希少性を有するもので
2. 戦略主題②:貴金属事業の新分野開拓
ある。また、ロシアや南アフリカ等、地政学的リスクの高い国が主要
半導体や水素エネルギー市場の伸長に伴い、今後需要の増加
産地となっているものもあり、供給が不安定にもなり得る。当社は、
が予想される白金族元素(PGM(※))分野を開拓し、成長分野
貴金属リサイクルの立場から安定供給の一翼を担い、科学技術の
に焦点を当てた事業の展開を強化する。
発展にも寄与し得る立場である。
(※)PGM: Platinum Group Metalsの略で白金族元素の総称。
3. 戦略主題③:一層のグローバリゼーション推進
アジア・北米の海外拠点の事業推進を一層強化することに加え、 内発的動機
東南アジアでの貴金属リサイクル事業の強化、新たな国・地域で
• 当社のパーパス(存在目的)として「この手で守る自然と資源」を掲
の事業展開を模索する。
げており、創業以来70年以上にわたって一貫して貴金属リサイクル
事業を手掛け、環境問題に向き合ってきた歴史がある。
• 東証プライム市場に上場している立場から、社会の公器として企業
価値を継続して向上させ続ける責務を果たす必要がある。
会社全体の売上成長目標（～2031年3月期）
• 創業以来、貴金属リサイクルというテーマは一貫しながらも、時代の
• 売上高成長率+0.8％（2025年3月期比、年平均） 変化に合わせて扱う分野・事業のスクラップ&amp;ビルドを繰り返して成
• 売上高増加額+237億円（2025年3月期比） 長を続けており、「挑戦しよう」の歴史を今後も紡いでいくことが企業
価値の向上、社会課題の解決につながると考えている。</t>
  </si>
  <si>
    <t>【p.2】
アサヒプリテック株式会社
2.補助事業の概要
既存工場の設備増強により需要拡大に対応するとともに、新元素への対応設備を新設することにより生産性向
上と新市場への進出を図り、資源循環の立場から安定した資源を供給することを通じて世界の発展に寄与する。
• 特に今後の需要の伸長が見込まれる白金族元素(PGM)についてケイパビリティの拡張を行うべく、基
幹工場である茨城県坂東工場にPGM精製棟を建設する。
補助事業の 事業費 6,167百万円
• PGM精製棟建設に伴い、処理能力の増強が求められる中間精製を担う各工場や試験分析機能を
背景・目的 （補助額） (1,911百万円)
担うテクノセンターの設備を増強するとともに、各拠点に生産性向上効果をもたらすシステム関連投資
を積極化し、製造工程全体で生産能力の増強と生産性向上を図る。
拠点 投資額 投資概要 投資目的
設備増強
茨城県坂東工場 4,855百万円 最終精製機能の強化 茨城県坂東工場_イメージ
PGM精製棟建設
兵庫県テクノセンター 441百万円 設備増強 試験分析機能の強化
PGM精製棟
第2期(済)
兵庫県尼崎工場 300百万円 設備増強 中間精製機能の強化 (第3期)
長野工場 150百万円 設備増強 中間精製機能の強化
設備投資の
内容 福岡工場 450百万円 設備増強 中間精製機能の強化
設備増強に応じた 業務効率化・ 第1期(済)
各拠点 1,837百万円
システム構築 生産性向上
【投資の狙い・効果】
• 希少金属のリサイクル能力増強により、世界の発展に必要な資源を提供し続ける。
• PGMを国内工場でリサイクルすることにより、資源の輸入依存を解消する。
• 環境に優しい水素エネルギーの利用促進を資源循環の立場から支える。
2028年3月期 2031年3月期
項目
（基準年度） （事業化報告3年目）
労働生産性 3,736万円/人
3,059万円/人
（単位：万円/人） （年平均上昇率＋6.9％）
従業員1人あたり給与支給総額 787万円/人
目標値 652万円/人
（単位：万円/人） （年平均上昇率＋6.5％）
役員１人あたり給与支給総額 -
-
（単位：万円/人） （年平均上昇率＋6.5％）
補助事業に係る従業員数
548人 542人
（単位：人）</t>
  </si>
  <si>
    <t>ファインプラス株式会社
1.長期成長ビジョン
車両CASE時代を支えるものづくりで、自動車産業の進化に不可欠な存在へ。日本発・世界基準の製造力で
グローバルに価値を創出する。</t>
  </si>
  <si>
    <t>長期成長ビジョン（目指す姿・ビジネスモデル）
EV社会を支える日本の製造力で
次世代モビリティの進化に応える
長年の自動車部品製造のノウハウを活かし
変革する次世代モビリティを支える社会的役割を果たす
次世代モビリティを支える存在へ
電装向けコネクタやバッテリー向け電子部品など、次世代モビリティを支
える製品を国内で安定供給。地政学リスク、国際競争力といった要請
にも応え、顧客サプライチェーンに不可欠な存在を目指す。
住友電装との長期的な信頼関係を軸に成長
顧客要求、QCD提案を継続し、住友電装よりMVP評価を受賞。要
求に対応する製品生産を実行できる技術面や品質管理面で、“任せ
られる企業”としての信頼を築く。
地域製造業としての価値創出と企業風土の進化
関係メーカーとの協業を通じて域内での技術継承を進め、地域企業と
の連携を深めながら、産業競争力の強化と外需の獲得を図るとともに、
国産のものづくりに誇りを持てる企業風土の醸成を目指す。</t>
  </si>
  <si>
    <t>外発的動機
• 車両CASE化（※）によるモビリティの進展により、車載電子部
品の搭載量の増加、通信やエネルギーなどを伝える電装部品が
増加する
• 主要顧客の住友電装㈱は、『2030ビジョン戦略』として、車両ワ
イヤーハーネスの生産量の増加、コネクタやエレクトロニクス部品と
して電装部品の売上拡大を計画中、当社へも生産能力の拡大
を求められている
• 生産量の増加、高い付加価値を目指す為にも、自動化や自社
のノウハウを活かした生産工程の増強が不可欠
• 地政学リスクなどが高まる中、日本での調達による調達安定性、
製品品質への信頼からグローバル市場でも安定した需要が続く</t>
  </si>
  <si>
    <t>内発的動機
• 従来の外注や手作業を主体とした体制では、車両CASE
対応製品などの高精度・複雑な成形要求に応じきれず、開
発・量産対応での機会損失が発生しつつある
• 属人性・検査負荷・搬送作業などがボトルネックとなり、量
産時の品質安定や利益確保が困難
• 将来の競争力を確保するには、設備導入だけでなく、設計・
製造・検査を統合的に担える体制へと転換し、複合製品の
一貫した内製化を実現する必要がある</t>
  </si>
  <si>
    <t>【p.1／売上成長目標】
会社全体の売上成長目標(～2031年3月期)
• 売上高増加額 5,226百万円
• 売上高成長率 7.8％
【p.2／第一フェーズ 第二フェーズ】
第一フェーズ 第二フェーズ
新工場建設予定 新工場建設予定
※2027年度操業開始 ※2028年度着工予定
6,000㎡の敷地に生産拠点を段階的に再構築</t>
  </si>
  <si>
    <t>【p.1】
ファインプラス株式会社
1.長期成長ビジョン
車両CASE時代を支えるものづくりで、自動車産業の進化に不可欠な存在へ。日本発・世界基準の製造力で
グローバルに価値を創出する。
長期成長ビジョン（目指す姿・ビジネスモデル） 外発的動機
EV社会を支える日本の製造力で • 車両CASE化（※）によるモビリティの進展により、車載電子部
品の搭載量の増加、通信やエネルギーなどを伝える電装部品が
次世代モビリティの進化に応える
増加する
長年の自動車部品製造のノウハウを活かし
変革する次世代モビリティを支える社会的役割を果たす • 主要顧客の住友電装㈱は、『2030ビジョン戦略』として、車両ワ
イヤーハーネスの生産量の増加、コネクタやエレクトロニクス部品と
次世代モビリティを支える存在へ して電装部品の売上拡大を計画中、当社へも生産能力の拡大
を求められている
電装向けコネクタやバッテリー向け電子部品など、次世代モビリティを支
• 生産量の増加、高い付加価値を目指す為にも、自動化や自社
える製品を国内で安定供給。地政学リスク、国際競争力といった要請
のノウハウを活かした生産工程の増強が不可欠
にも応え、顧客サプライチェーンに不可欠な存在を目指す。
• 地政学リスクなどが高まる中、日本での調達による調達安定性、
製品品質への信頼からグローバル市場でも安定した需要が続く
住友電装との長期的な信頼関係を軸に成長
顧客要求、QCD提案を継続し、住友電装よりMVP評価を受賞。要
内発的動機
求に対応する製品生産を実行できる技術面や品質管理面で、“任せ
られる企業”としての信頼を築く。 • 従来の外注や手作業を主体とした体制では、車両CASE
対応製品などの高精度・複雑な成形要求に応じきれず、開
地域製造業としての価値創出と企業風土の進化 発・量産対応での機会損失が発生しつつある
関係メーカーとの協業を通じて域内での技術継承を進め、地域企業と • 属人性・検査負荷・搬送作業などがボトルネックとなり、量
の連携を深めながら、産業競争力の強化と外需の獲得を図るとともに、 産時の品質安定や利益確保が困難
国産のものづくりに誇りを持てる企業風土の醸成を目指す。
• 将来の競争力を確保するには、設備導入だけでなく、設計・
製造・検査を統合的に担える体制へと転換し、複合製品の
会社全体の売上成長目標(～2031年3月期)
一貫した内製化を実現する必要がある
• 売上高増加額 5,226百万円
• 売上高成長率 7.8％
※CASEとは、自動車業界の次世代トレンドである「Connected（接続）」
「Autonomous（自動運転）」「Shared（共有）」「Electric（電動化）」を指す総称</t>
  </si>
  <si>
    <t>【p.2】
ファインプラス株式会社
.補助事業の概要
2
既存敷地内に新工場を段階的に整備し、生産効率と品質を向上。本事業を第一フェーズと位置づけ、次段階
として第二フェーズへと整備を進め、新たなコネクタ部品生産とエレクトロニクス部品生産の体制構築を行う。
• 自動車業界の構造変化や人手不足の進行を受け、生産拠点を段階的に再 事業費 2 , 804 百万円
補助事業の
構築し、生産効率と品質を両立する体制を構築する。新工場を起点に、工程 （補助額） （ 697 百万円）
背景・目的
を集約した一体型の生産体制へと転換を図る。
① 補助事業全体に要する経費 3,410百万円
建設予定地
⑴新工場建設費
⑵機械、設備：成型機設備一式／自動台車(AGV等)／
生産監視システム／CTスキャン測定機／金型メンテナンス装置
※詳細は下図を参照
② 所在地：富山県滑川市追分3545番地
③ 面積：6,000㎡
設備投資の • 事業内容：
内容 本補助事業は、当社中長期計画の第一フェーズとして位置づけ、主力
拠点である滑川工場に新工場を整備する。既存の倉庫（右写真・赤
い四角の部分）を解体し、収益性の高い成形自動化ラインを導入した
省人・省力型の新棟を整備。同構成を第二（右写真、青い四角の部
第一フェーズ 第二フェーズ
分）へと水平展開し、既存工程を順次新工法に移行。将来的には他
新工場建設予定 新工場建設予定
の既存工場においてもエレクトロニクス事業向けに転用し、全社の成長 ※2027年度操業開始 ※2028年度着工予定
に寄与する拠点へと進化させる。また、成形加工工程の自動化に向け
6,000㎡の敷地に生産拠点を段階的に再構築
た機械装置やシステムの投資も同時に行う。
項目 基準年度：2028年3月期（2027年度） 事業化報告3年目：2031年3月期
労働生産性 15,439
6,499
（単位：千円/人） （年平均上昇率＋33.4％）
目標値 従業員1人あたり給与支給総額 4,483
3,743
（単位：千円/人） （年平均上昇率＋6.2％）
役員１人あたり給与支給総額
-
（単位：千円/人） - （年平均上昇率＋5.3％）
補助事業に係る従業員数
180 232
（単位：人）</t>
  </si>
  <si>
    <t>院庄林業株式会社
1.長期成長ビジョン
国産材の普及を通じて、自社の経営課題の解決と社会的な環境課題の解決を両立するとともに、次世代に
「木」という再生可能資源の価値を伝えていくことを長期的なビジョンとしている。</t>
  </si>
  <si>
    <t>長期成長ビジョン（目指す姿・ビジネスモデル）
1.集成材ラミナ(※)、ツーバイ材の国産化推進
－本事業により、集成材ラミナの国産化（ヒノキ）を推進するとともに、
国産スギのツーバイ材生産への進出を図る。これにより、国内森林
資源の有効活用とカーボンニュートラルの実現に貢献するとともに、
住宅品質向上に対する市場のニーズにも応えるものである。
※ラミナとは、集成材を構成する挽き板または小角材のピースを指し、
現在は海外からの輸入が中心である。
2.国産材を活用した新市場への進出
－新市場として、国内の木造非住宅分野（主に保育園や老人ホー
ム）および米国を中心とした海外住宅市場への進出を図る。これ
により、長期的に縮小が見込まれる国内住宅市場への依存を低
減しつつ、新たな販路を確保することで、当社の持続的な成長と
国内森林資源の有効活用の両立を実現するものである。</t>
  </si>
  <si>
    <t>外発的動機
• 経済産業省が中心となって策定した「2050年カーボンニュートラル
に伴うグリーン成長戦略」においては、高層木造建築の技術確立や、
非住宅・中高層建築物の木造化促進が明記されている。このよう
に、カーボンニュートラルの実現に向けて、木材の持つ可能性が改め
て注目されている状況である。
• 放置された森林が引き起こす土砂災害や洪水などの自然災害リス
クに対する社会的認識が高まっており、森林の適切な伐採および資
源としての有効活用に対して、一定の理解と支持が得られる状況と
なっている。
• 現在、集成材の原料は約80％を海外からの輸入に依存している
が、円安の進行や物流費の高騰の影響により、輸入価格は高止ま
りの状況が続いている。</t>
  </si>
  <si>
    <t>内発的動機
• 当社は、創業以来一貫して木を取り扱っており、「都市に森を、森
に息吹を。」を経営理念としている。
• 世界有数の森林資源国である我が国において、伐採後の再植林
が進まず、放置された山林が増加していることを憂慮しており、「木を
植える・育てる」事業の拡充にも注力してきた経緯がある。
• 国内の森林資源を有効に活用するとともに、伐採後の植林を通じ
て未来の資源を創出し、山林環境を保全すること、さらに、「木」と
いう再生可能資源の価値を次世代に伝えていくことは、木材産業に
携わる企業の重要な責務であると認識している。</t>
  </si>
  <si>
    <t>【p.1／売上成長目標】
会社全体の売上成長目標（～2030年12月期）
• 売上高増加額 11,807百万円 (2024年12月期比)
• 売上高成長率 8.0％ (2024年12月期比、年平均)</t>
  </si>
  <si>
    <t>【p.1】
院庄林業株式会社
1.長期成長ビジョン
国産材の普及を通じて、自社の経営課題の解決と社会的な環境課題の解決を両立するとともに、次世代に
「木」という再生可能資源の価値を伝えていくことを長期的なビジョンとしている。
長期成長ビジョン（目指す姿・ビジネスモデル） 外発的動機
• 経済産業省が中心となって策定した「2050年カーボンニュートラル
1.集成材ラミナ(※)、ツーバイ材の国産化推進 に伴うグリーン成長戦略」においては、高層木造建築の技術確立や、
－本事業により、集成材ラミナの国産化（ヒノキ）を推進するとともに、 非住宅・中高層建築物の木造化促進が明記されている。このよう
国産スギのツーバイ材生産への進出を図る。これにより、国内森林 に、カーボンニュートラルの実現に向けて、木材の持つ可能性が改め
資源の有効活用とカーボンニュートラルの実現に貢献するとともに、 て注目されている状況である。
住宅品質向上に対する市場のニーズにも応えるものである。 • 放置された森林が引き起こす土砂災害や洪水などの自然災害リス
※ラミナとは、集成材を構成する挽き板または小角材のピースを指し、 クに対する社会的認識が高まっており、森林の適切な伐採および資
現在は海外からの輸入が中心である。 源としての有効活用に対して、一定の理解と支持が得られる状況と
なっている。
• 現在、集成材の原料は約80％を海外からの輸入に依存している
2.国産材を活用した新市場への進出
が、円安の進行や物流費の高騰の影響により、輸入価格は高止ま
－新市場として、国内の木造非住宅分野（主に保育園や老人ホー
りの状況が続いている。
ム）および米国を中心とした海外住宅市場への進出を図る。これ
により、長期的に縮小が見込まれる国内住宅市場への依存を低
減しつつ、新たな販路を確保することで、当社の持続的な成長と 内発的動機
国内森林資源の有効活用の両立を実現するものである。 • 当社は、創業以来一貫して木を取り扱っており、「都市に森を、森
に息吹を。」を経営理念としている。
• 世界有数の森林資源国である我が国において、伐採後の再植林
が進まず、放置された山林が増加していることを憂慮しており、「木を
会社全体の売上成長目標（～2030年12月期）
植える・育てる」事業の拡充にも注力してきた経緯がある。
• 売上高増加額 11,807百万円 (2024年12月期比)
• 国内の森林資源を有効に活用するとともに、伐採後の植林を通じ
• 売上高成長率 8.0％ (2024年12月期比、年平均)
て未来の資源を創出し、山林環境を保全すること、さらに、「木」と
いう再生可能資源の価値を次世代に伝えていくことは、木材産業に
携わる企業の重要な責務であると認識している。</t>
  </si>
  <si>
    <t>【p.2】
院庄林業株式会社
2.補助事業の概要
集成材ラミナの国産化推進と国産スギを用いたツーバイ材による新市場進出に向けた製造ラインを新規導入し、
同時に歩留まり率の改善と生産性の向上を図る。
【背景・課題】
• 現有設備では効率的な稼働が困難であり、歩留まり率も低いため、生産量の確保に課題がある。 事業費 4,191百万円
• 国産ヒノキラミナや国産スギを用いた製品を生産するための専用設備を保有しておらず、新たな製品展 （補助額） （1,397百万円）
補助事業の 開が制限されている。
背景・目的 【目的】
• 最新設備の導入により、生産性の向上および歩留まり率の改善を図り、生産能力の増強を実現する。
• 集成材ラミナの国産化と国産スギを用いたツーバイ材の生産を通じて、非住宅市場を中心とした新たな
市場開拓を推進する。
【投資内容】
• 撤去工事等：24百万円（申請対象外）
• 1期工事：1,795百万円（申請対象外）
－小径木製造ラインを中心とした新ライン導入。
• 2期工事：4,191百万円
設備投資の －中径木製造ラインを中心とした新ライン導入。
内容 【投資効果】
• 最新の製材設備を導入することで、最適寸での加工が可能になり、生産性の
向上が見込めるのみならず、国産材ラミナの増産、新製品の国産スギのツーバ
イ材生産が可能になる。
• 生産性に関しては、自動化・省力化機能の導入、生産品目の2拠点分業化
により、現状の工場人員よりも少ない人数でおよそ2.7倍の生産量アップを見
込んでいる。
項目 基準年度 事業化報告3年目
労働生産性 18,400千円/人
9,759千円/人
（単位：千円/人） （年平均上昇率＋23.5％）
目標値 従業員1人あたり給与支給総額 5,054千円/人 6,054千円/人
（単位：千円/人） （年平均上昇率＋6.2％）
役員１人あたり給与支給総額 37,160千円/人
31,024千円/人
（単位：千円/人） （年平均上昇率＋6.2％）
補助事業に係る従業員数
287 297
（単位：人）</t>
  </si>
  <si>
    <t>株式会社エム・ケー・ケー
1.長期成長ビジョン
旧百貨店跡を商業＋松本初の外資系カジュアルホテルへ：地域経済と観光産業の成長を支えるホ
テルとなり、松本駅前の商業・経済の再活性化を担うランドマークとなる</t>
  </si>
  <si>
    <t>1.長期成長ビジョン
旧百貨店跡を商業＋松本初の外資系カジュアルホテルへ：地域経済と観光産業の成長を支えるホ
テルとなり、松本駅前の商業・経済の再活性化を担うランドマークとなる
長期成長ビジョン（目指す姿・ビジネスモデル）
【外資系ホテル誘致による地域貢献】
松本市中心部は大型商業施設（イトーヨーカドー、松本パルコ、井上百貨店）
の相次ぐ閉館により、賑わいを失いつつあり、地域経済における再生が急務と
なっている。また、都市部との賃金格差を背景に若年層の域外流出が進行して
おり、地域で働き、暮らし、誇りを持てる新たな雇用環境の創出が課題となっ
ている。こうした社会背景を踏まえ、当社は松本駅前の象徴的物件である旧井
上百貨店跡地において、外資系ホテルブランド「Marriott（Moxy）」を中核と
した新たな複合施設を開発・運営する。これは、単なる宿泊機能の提供にとど
まらず、以下のような社会的価値の創出を目的としている。
●●松松本本市市のの国国際際的的認認知知度度向向上上、、持持続続的的ななイインンババウウンンドド観観光光のの基基盤盤形形成成
●●若年層を中心とした雇用創出と地元定着を促す良質な職場環境の提供 観光ビジョン（令和6年3月版）」においてインバウンドの受け入
●飲食・小売・観光体験との融合による「回遊型観光・滞在価値の向上」 れ促進をキーワードの１つに掲げており、訪日外国人の年間宿泊
●地元企業・事業者との連携を通じた地域経済への持続的波及効果 者数においても増加の目標値を設定している
長期成長ビジョンとして中小企業庁に対して当社が掲げた100億宣言に記載の
とおり、2035年に全社売上100億円（年平均成長率19.66％）を目標としてい
る。今後の売上増加のメインドライバーとなるのはホテル事業（本事業）でこ
れを皮切りにホテル棟数を増やすことで売上拡大を図る。既存事業においても
ホテル事業とのシナジーを期待するとともに、それぞれ事業拡大を目指す。
【自社ビル「コングロエム」との連動】
駅側真向いコングロエムに入る商業テナント及びホテルエムとの融和を目指
し、ホテル1Fのエキゾチックで斬新なデザインのオープンバーを有効活用し、
観光客に加えて地域住民にとっても気軽に集い、交流できる新しいコミュニテ
ィ空間の創出を目指す。また、当該物件B1にテナントの誘致を行い、当該物
件周辺エリアへの回遊性向上を図り、一帯での経済発展を促す。</t>
  </si>
  <si>
    <t>外発的動機
• 地域の衰退傾向への危機感：松本市内では駅前およびロードサイ
ドの大型商業施設の閉館が相次ぎ、特に当該申請物件である旧井
上百貨店の閉館は地域経済に大きな象徴的打撃を与えた
✔ イトーヨーカドー南松本店 2025年1月13日 閉店
✔ 松本パルコ 2025年2月28日 閉店
✔ 井上百貨店 2025年3月31日 閉店
• 人材流出の構造的課題：賃金水準の低さから若年層の県外流出が
続いており、魅力ある雇用創出と人材還流、次世代を担う若手人
材の確保が必要である
• インバウンド市場拡大という機会：全国的にもインバウンドによ
るる観観光光・・宿宿泊泊需需要要のの恩恩恵恵をを受受けけるる中中ににおおいいてて、、松松本本市市もも「「松松本本市市</t>
  </si>
  <si>
    <t>内発的動機
自社所有の駅側真向いにある「コングロエム」においては、自社
•
で取得後、テナント誘致に加え、自社グループでのホテル運営の
実績があり、当該物件においてもホテルを核とした建物再生が可
能である
• ホテル業においては自社で所有、グループ会社が建物管理、清掃、
運営等のすべての経営を一気通貫で実施しており、その実績を基
にホテル経営の土台を新たなステージへと押し上げる
ホテルコンサル事業だけではなく、飲食事業やゴルフ場・ゴルフ
•
練習場の運営を行っており、サービス業における知見とノウハウ
を有している
人材の確保においては従業員の賃上げや労働環境改善が必要と感
•
じている。当社においては人材の高齢化も進んでおり、若手人材
の確保と共に業務効率化/省人化に取り組む必要がある</t>
  </si>
  <si>
    <t>【p.1／売上成長目標】
会社全体の売上成長目標（2025/5月期～2031/5月期）
売上高増加額 2,325百万円（2025/5期 1,661百万円→2031/5期3,986百万円）
売上高成長率 140%（年平均成長率19.12％）
【p.2／②コングロエム （外観）】
②コングロエム （外観）
①当該物件
松本駅
② ①
②コングロエム
【テナント誘致による収益期待について】
本プロジェクトは当該物件における地下1階のテナント誘致による売上期待があるが、本事業の申請時点においては、複数候補と交渉中で具体的なテナント誘致が
定まっていない。補助事業として本物件のオーナー工事は計画。ただし、当社の商業スペースリニューアルも本プロジェクトの重要案件であるため、本資料におい
ても補足的に説明を入れている。地下1階のテナント賃料で概ね年間2,500万円の売上増（賃料の性質上、ほぼ100%利益）を見込んでいる。
【p.3／2.補助事業の概要】
2.補助事業の概要
米系最大手ホテルチェーン マリオットが展開するホテルブランド「Moxy」を自社で運営し、松本
とその周辺地域の観光産業を牽引する施設へとリニューアルする
松本市内において駅前及びロードサイドの大型商業施設が相次いで閉店となる中、井上百貨店
も同様に閉店となった。長年松本市民に愛されたデパートとして地域のランドマークとなって
補助事業の 事業費 2,310 百万円
いた跡地に松本市の活性化に向けてマリオットブランド「Moxy」を誘致し、外資系ホテルを自
背景・目的 （補助額） （ 563 百万円）
社で運営。観光需要の下支えとなるだけではなく当該物件に隣接する弊社保有の商業ビル「コ
ングロエム」と一体となって地域に根付いたコミュニティーを形成していく。
当該物件の建物および土地の取得
■
建物を旧百貨店売場からホテルへと用途変更を行い、内装工事を経て客室250室の
■
ホテルへとコンバージョンする
築年数に伴う既存設備の劣化が進んでおり、電気設備・空調設備の入替を行う
■
ホテル客室備品：マリオットブランドに即した客室内設備の取り付け
■
レレスストトラランン・・厨厨房房・・フフロロンントト・・フフィィッットトネネススジジムム等等、、客客室室以以外外のの各各種種設設備備のの導導入入
■■
【p.3／設備投資の】
■■ レレスストトラランン・・厨厨房房・・フフロロンントト・・フフィィッットトネネススジジムム等等、、客客室室以以外外のの各各種種設設備備のの導導入入
設備投資の
■
ホテルシステム（PMS・カードキーシステムの導入・マリオット独自のシステム
等 の導入）
内容
清掃ロボットやスタッフ間コミュニケーション、スタッフ育成、人手不足解消や
■
生産性向上につながるシステムの導入
ホテル開業に伴う各種設備・備品類の購入
■
マリオットとのフランチャイズ契約締結や開業のための費用
■
⇒本設備投資により、周辺観光産業を牽引する施設へとリニューアル。自社の事業全
体や本事業に携わるスタッフの生産性向上にも寄与する事業となる。
項目 基準年度 事業化報告3年目
労働生産性 17,774
12,537
（単位：千円/人） （年平均上昇率＋12.3％）
目標値 従業員1人あたり給与支給総額 4,914
4,000
（単位：千円/人） （年平均上昇率＋7.1％）
役員１人あたり給与支給総額 7,187
6,000
（単位：千円/人） （年平均上昇率＋6.2％）
補助事業に係る従業員数
20 46
（単位：人）
【p.3／項目 基準年度】
項目 基準年度
【p.4／2.補助事業の概要 【参考資料②】Moxy（モクシー）についての補足】
2.補助事業の概要 【参考資料②】Moxy（モクシー）についての補足
【参考資料②】当該物件に誘致するマリオットブランド「Moxy（モクシー）」について補足
● Moxyとは
今回誘致予定の”Moxy”はMarriott Group内において“Distinctive”、”Upper Midscale” と位置付けられており、”大胆で刺激的” “独自性” “遊び心溢れる”“ミド
ルラグジュアリー” といったテーマ性が設けられている。高級路線のイメージが強いマリオットブランドの中では比較的節約志向のトラベラー向けブテ
ィックホテルというコンセプトのもと、スタイリッシュなデザインとリーズナブルな価格、本格的なサービスを組み合わせた革新的なブランドして注
目を集めている。現在Moxyは京都に１店舗、大阪２店舗、東京に１店舗の4店舗を日本国内に展開。松本で国内5店舗目となる。初の地方進出としての
希少性も高い。
（本事業が成就すればマリオットブランドとしても松本市初の出店となる）
施設はカジュアルチックな内装ながらもデザイン性があり、若者やファミリー層まで幅広くカバーができる。インバウンド顧客が施設内設備として重
要視する傾向にあるフィットネスジムも松本市内で唯一完備し、外国人宿泊客の需要も取り込むことのできる施設である。また、特徴的なのがバーと
フロントを一体化することにより、ウェルカムドリンクを飲みながらチェックインをする外資系ならではのユニークなサービス。トラディショナルな
厳格な佇まいではないため、バーだけの利用ではなく、ランチや喫茶店、会議や待ち合わせなど様々な用途での利用が検討される。宿泊者だけはなく
【p.4／Moxyとは】
● Moxyとは
今回誘致予定の”Moxy”はMarriott Group内において“Distinctive”、”Upper Midscale” と位置付けられており、”大胆で刺激的” “独自性” “遊び心溢れる”“ミド
ルラグジュアリー” といったテーマ性が設けられている。高級路線のイメージが強いマリオットブランドの中では比較的節約志向のトラベラー向けブテ
ィックホテルというコンセプトのもと、スタイリッシュなデザインとリーズナブルな価格、本格的なサービスを組み合わせた革新的なブランドして注
目を集めている。現在Moxyは京都に１店舗、大阪２店舗、東京に１店舗の4店舗を日本国内に展開。松本で国内5店舗目となる。初の地方進出としての
希少性も高い。
（本事業が成就すればマリオットブランドとしても松本市初の出店となる）
施設はカジュアルチックな内装ながらもデザイン性があり、若者やファミリー層まで幅広くカバーができる。インバウンド顧客が施設内設備として重
要視する傾向にあるフィットネスジムも松本市内で唯一完備し、外国人宿泊客の需要も取り込むことのできる施設である。また、特徴的なのがバーと
フロントを一体化することにより、ウェルカムドリンクを飲みながらチェックインをする外資系ならではのユニークなサービス。トラディショナルな
厳格な佇まいではないため、バーだけの利用ではなく、ランチや喫茶店、会議や待ち合わせなど様々な用途での利用が検討される。宿泊者だけはなく
市市民民にに対対ししててもも集集客客効効果果もも期期待待ががででききるる。。
【p.4／市市民民にに対対ししててもも集集客客効効果果もも期期待待ががででききるる。。】
市市民民にに対対ししててもも集集客客効効果果もも期期待待ががででききるる。。
● Marriott Bonvoyとは
Marriott Internationalが運営するMarriott会員制プログラム。全世界に2億2800万人、日本国内では430万人の会員数を誇る。宿泊数に応じて会員ステー
ジが付与され、各種無料サービスを受けることが出来る。Bonvoy会員は旅先のマリオット系列ホテルの有無を重視する傾向もあり、これまで未開拓の
マーケットからの集客を見込むことが出来る。Marriott Group自社予約サイトでは、会員価格で宿泊予約が可能。
▲マリオットブランド内における
「Moxy」のブランドポジション
▲ 客室一例（Moxy大阪新梅田）
▲Moxy大阪新梅田の外観
【p.4／市市民民にに対対ししててもも集集客客効効果果もも期期待待ががででききるる。。】
市市民民にに対対ししててもも集集客客効効果果もも期期待待ががででききるる。。
● Marriott Bonvoyとは
Marriott Internationalが運営するMarriott会員制プログラム。全世界に2億2800万人、日本国内では430万人の会員数を誇る。宿泊数に応じて会員ステー
ジが付与され、各種無料サービスを受けることが出来る。Bonvoy会員は旅先のマリオット系列ホテルの有無を重視する傾向もあり、これまで未開拓の
マーケットからの集客を見込むことが出来る。Marriott Group自社予約サイトでは、会員価格で宿泊予約が可能。</t>
  </si>
  <si>
    <t>【p.1】
株式会社エム・ケー・ケー
1.長期成長ビジョン
旧百貨店跡を商業＋松本初の外資系カジュアルホテルへ：地域経済と観光産業の成長を支えるホ
テルとなり、松本駅前の商業・経済の再活性化を担うランドマークとなる
長期成長ビジョン（目指す姿・ビジネスモデル）
外発的動機
• 地域の衰退傾向への危機感：松本市内では駅前およびロードサイ
【外資系ホテル誘致による地域貢献】
ドの大型商業施設の閉館が相次ぎ、特に当該申請物件である旧井
松本市中心部は大型商業施設（イトーヨーカドー、松本パルコ、井上百貨店）
上百貨店の閉館は地域経済に大きな象徴的打撃を与えた
の相次ぐ閉館により、賑わいを失いつつあり、地域経済における再生が急務と
✔ イトーヨーカドー南松本店 2025年1月13日 閉店
なっている。また、都市部との賃金格差を背景に若年層の域外流出が進行して
✔ 松本パルコ 2025年2月28日 閉店
おり、地域で働き、暮らし、誇りを持てる新たな雇用環境の創出が課題となっ
✔ 井上百貨店 2025年3月31日 閉店
ている。こうした社会背景を踏まえ、当社は松本駅前の象徴的物件である旧井
• 人材流出の構造的課題：賃金水準の低さから若年層の県外流出が
上百貨店跡地において、外資系ホテルブランド「Marriott（Moxy）」を中核と
続いており、魅力ある雇用創出と人材還流、次世代を担う若手人
した新たな複合施設を開発・運営する。これは、単なる宿泊機能の提供にとど
材の確保が必要である
まらず、以下のような社会的価値の創出を目的としている。
• インバウンド市場拡大という機会：全国的にもインバウンドによ
●●松松本本市市のの国国際際的的認認知知度度向向上上、、持持続続的的ななイインンババウウンンドド観観光光のの基基盤盤形形成成 るる観観光光・・宿宿泊泊需需要要のの恩恩恵恵をを受受けけるる中中ににおおいいてて、、松松本本市市もも「「松松本本市市
●●若年層を中心とした雇用創出と地元定着を促す良質な職場環境の提供 観光ビジョン（令和6年3月版）」においてインバウンドの受け入
●飲食・小売・観光体験との融合による「回遊型観光・滞在価値の向上」 れ促進をキーワードの１つに掲げており、訪日外国人の年間宿泊
●地元企業・事業者との連携を通じた地域経済への持続的波及効果 者数においても増加の目標値を設定している
長期成長ビジョンとして中小企業庁に対して当社が掲げた100億宣言に記載の 内発的動機
とおり、2035年に全社売上100億円（年平均成長率19.66％）を目標としてい
• 自社所有の駅側真向いにある「コングロエム」においては、自社
る。今後の売上増加のメインドライバーとなるのはホテル事業（本事業）でこ
で取得後、テナント誘致に加え、自社グループでのホテル運営の
れを皮切りにホテル棟数を増やすことで売上拡大を図る。既存事業においても
実績があり、当該物件においてもホテルを核とした建物再生が可
ホテル事業とのシナジーを期待するとともに、それぞれ事業拡大を目指す。
能である
【自社ビル「コングロエム」との連動】 • ホテル業においては自社で所有、グループ会社が建物管理、清掃、
運営等のすべての経営を一気通貫で実施しており、その実績を基
駅側真向いコングロエムに入る商業テナント及びホテルエムとの融和を目指
にホテル経営の土台を新たなステージへと押し上げる
し、ホテル1Fのエキゾチックで斬新なデザインのオープンバーを有効活用し、
観光客に加えて地域住民にとっても気軽に集い、交流できる新しいコミュニテ • ホテルコンサル事業だけではなく、飲食事業やゴルフ場・ゴルフ
ィ空間の創出を目指す。また、当該物件B1にテナントの誘致を行い、当該物 練習場の運営を行っており、サービス業における知見とノウハウ
件周辺エリアへの回遊性向上を図り、一帯での経済発展を促す。 を有している
• 人材の確保においては従業員の賃上げや労働環境改善が必要と感
会社全体の売上成長目標（2025/5月期～2031/5月期） じている。当社においては人材の高齢化も進んでおり、若手人材
売上高増加額 2,325百万円（2025/5期 1,661百万円→2031/5期3,986百万円） の確保と共に業務効率化/省人化に取り組む必要がある
売上高成長率 140%（年平均成長率19.12％）
【p.2】
株式会社エム・ケー・ケー
1.長期成長ビジョン 【参考資料①】名称の補足
【参考資料①】：駅側真向いに自社で保有するビルやそこで営業している施設等が本資料に登場
するため、以下資料中に登場する施設名称①～③について補足を入れた
①当該物件 ③ホテルエム
～申請する補助事業を実施する建物を指す。閉館となった旧井上百貨店の跡地を指す。松本駅から徒歩約5分程の好立地。 （上：フロント 下：客室例）
②コングロエム
～当該物件の駅側真向いに位置する当社所有の建物。当社が取得する以前の2010年までは旧井上百貨店別館であったが、2011年
に当社が建物を取得。現在はB1～2Fまでの3フロア「丸善松本店」（書店、約1,000坪）を核テナントとし、１階「代ゼミサテラ
イン予備校」、１階「Why_? 松本」（カフェ）3階「駿河屋 松本店」（ホビー関連リユース店、約300坪）、4階「ダイソー」
（100円ショップ、約300坪）、5階一部「アートネイチャー」（150坪）、5階一部および6階は自社グループで「ホテルエム」を
運営。コングロエムは現在年間約1.3億の賃料収入であり、申請時時点で建物は満室状態である。
③ホテルエム
～②コングロエム5階6階延148室（床）を持つホテル。客室タイプ（右写真）に加え、松本市初で唯一のカプセルホテルも備える
②コングロエム （外観）
①当該物件
松本駅
② ①
②コングロエム
【テナント誘致による収益期待について】
本プロジェクトは当該物件における地下1階のテナント誘致による売上期待があるが、本事業の申請時点においては、複数候補と交渉中で具体的なテナント誘致が
定まっていない。補助事業として本物件のオーナー工事は計画。ただし、当社の商業スペースリニューアルも本プロジェクトの重要案件であるため、本資料におい
ても補足的に説明を入れている。地下1階のテナント賃料で概ね年間2,500万円の売上増（賃料の性質上、ほぼ100%利益）を見込んでいる。</t>
  </si>
  <si>
    <t>【p.3】
株式会社エム・ケー・ケー
2.補助事業の概要
米系最大手ホテルチェーン マリオットが展開するホテルブランド「Moxy」を自社で運営し、松本
とその周辺地域の観光産業を牽引する施設へとリニューアルする
松本市内において駅前及びロードサイドの大型商業施設が相次いで閉店となる中、井上百貨店
も同様に閉店となった。長年松本市民に愛されたデパートとして地域のランドマークとなって
補助事業の 事業費 2,310百万円
いた跡地に松本市の活性化に向けてマリオットブランド「Moxy」を誘致し、外資系ホテルを自
背景・目的 （補助額） （563百万円）
社で運営。観光需要の下支えとなるだけではなく当該物件に隣接する弊社保有の商業ビル「コ
ングロエム」と一体となって地域に根付いたコミュニティーを形成していく。
■ 当該物件の建物および土地の取得
■ 建物を旧百貨店売場からホテルへと用途変更を行い、内装工事を経て客室250室の
ホテルへとコンバージョンする
■ 築年数に伴う既存設備の劣化が進んでおり、電気設備・空調設備の入替を行う
■ ホテル客室備品：マリオットブランドに即した客室内設備の取り付け
■■ レレスストトラランン・・厨厨房房・・フフロロンントト・・フフィィッットトネネススジジムム等等、、客客室室以以外外のの各各種種設設備備のの導導入入
設備投資の ■ ホテルシステム（PMS・カードキーシステムの導入・マリオット独自のシステム
内容 等 の導入）
■ 清掃ロボットやスタッフ間コミュニケーション、スタッフ育成、人手不足解消や
生産性向上につながるシステムの導入
■ ホテル開業に伴う各種設備・備品類の購入
■ マリオットとのフランチャイズ契約締結や開業のための費用
⇒本設備投資により、周辺観光産業を牽引する施設へとリニューアル。自社の事業全
体や本事業に携わるスタッフの生産性向上にも寄与する事業となる。
項目 基準年度 事業化報告3年目
労働生産性 17,774
12,537
（単位：千円/人） （年平均上昇率＋12.3％）
目標値 従業員1人あたり給与支給総額 4,914
4,000
（単位：千円/人） （年平均上昇率＋7.1％）
役員１人あたり給与支給総額 7,187
6,000
（単位：千円/人） （年平均上昇率＋6.2％）
補助事業に係る従業員数
20 46
（単位：人）
【p.4】
株式会社エム・ケー・ケー
2.補助事業の概要 【参考資料②】Moxy（モクシー）についての補足
【参考資料②】当該物件に誘致するマリオットブランド「Moxy（モクシー）」について補足
● Moxyとは
今回誘致予定の”Moxy”はMarriott Group内において“Distinctive”、”Upper Midscale” と位置付けられており、”大胆で刺激的” “独自性” “遊び心溢れる”“ミド
ルラグジュアリー” といったテーマ性が設けられている。高級路線のイメージが強いマリオットブランドの中では比較的節約志向のトラベラー向けブテ
ィックホテルというコンセプトのもと、スタイリッシュなデザインとリーズナブルな価格、本格的なサービスを組み合わせた革新的なブランドして注
目を集めている。現在Moxyは京都に１店舗、大阪２店舗、東京に１店舗の4店舗を日本国内に展開。松本で国内5店舗目となる。初の地方進出としての
希少性も高い。
（本事業が成就すればマリオットブランドとしても松本市初の出店となる）
施設はカジュアルチックな内装ながらもデザイン性があり、若者やファミリー層まで幅広くカバーができる。インバウンド顧客が施設内設備として重
要視する傾向にあるフィットネスジムも松本市内で唯一完備し、外国人宿泊客の需要も取り込むことのできる施設である。また、特徴的なのがバーと
フロントを一体化することにより、ウェルカムドリンクを飲みながらチェックインをする外資系ならではのユニークなサービス。トラディショナルな
厳格な佇まいではないため、バーだけの利用ではなく、ランチや喫茶店、会議や待ち合わせなど様々な用途での利用が検討される。宿泊者だけはなく
市市民民にに対対ししててもも集集客客効効果果もも期期待待ががででききるる。。
● Marriott Bonvoyとは
Marriott Internationalが運営するMarriott会員制プログラム。全世界に2億2800万人、日本国内では430万人の会員数を誇る。宿泊数に応じて会員ステー
ジが付与され、各種無料サービスを受けることが出来る。Bonvoy会員は旅先のマリオット系列ホテルの有無を重視する傾向もあり、これまで未開拓の
マーケットからの集客を見込むことが出来る。Marriott Group自社予約サイトでは、会員価格で宿泊予約が可能。
▲マリオットブランド内における
「Moxy」のブランドポジション
▲ 客室一例（Moxy大阪新梅田）
▲Moxy大阪新梅田の外観</t>
  </si>
  <si>
    <t>株式会社ナリコマフード
1.長期成長ビジョン
高齢者向け給食サービスの需要高まりに対して、セントラルキッチン（以降CK）稼働が逼迫しているのが大きな
経営課題そこで、本事業を活用し、7拠点目となる新たなCKを立上げ、更なる需要取り込みを図っていく</t>
  </si>
  <si>
    <t>長期成長ビジョン（目指す姿・ビジネスモデル）
• 弊社のターゲット顧客である介護食、高齢者食、病者食の調理
品（給食・配食サービス）の市場規模は年々増加傾向にあり、
2023年度において1兆5,555億円、2028年度には1兆
7,232億円（※1）になることが見込まれる
• ナリコマグループ創業当時は、各施設毎に栄養士さんが献立をつく
り、パートさんが調理していましたが、味も見た目もバラつきが出てし
まうという課題認識から、業界に先駆けて「CK」方式を導入し、現
在は全国6拠点体制で北海道・沖縄を除く全国の施設へお食事
を提供できる体制を構築
• ありがたいことに、お客様からご評価をいただき、ご契約施設数は
年々増加傾向ですが、CK稼働率が80～90%に逼迫してきてお
り、営業活動をセーブせざるを得ない状況
• そこで、ナリコマグループのお食事をもっと多くの高齢者の方々へお
届けするために、本事業を活用し、7拠点目のCKを岡山県で立
上げることを考えている（土地は2025年7月31日に取得済み、
現在は残置建物解体を開始）
• また、岡山CKは生産性向上を意識した設備投資を実施予定で
あり、生産性改善効果が確認できた後には、他CKへの横展開を
実施予定</t>
  </si>
  <si>
    <t>外発的動機
• 社会的課題 ※2
2024年10月1日時点において、日本の総人口1億2,380万人
のうち、65歳以上人口は3,624万人となり、割合（高齢化率）は
29.3%を占めている
また、少子化および医療技術の発展により、今後も高齢化率は高
まることが見込まれる（2070年における高齢化率は38.7%）
• 顧客ニーズ
高齢化率の上昇による課題の１つとして、医療・介護人材の不足
が挙げられる。身体的負担が重いことと給料水準が低いことから不人
気職種となっている</t>
  </si>
  <si>
    <t>内発的動機
• ナリコマグループ創業者であり、竹内克成の父でもある竹内美夫が
家族で経営していた大衆食堂である日、日ごろからお弁当を届けて
いた幼稚園の理事長より、運営している福祉施設の食事提供につ
いて相談を受けた。しかし、当時の人員体制では対応できる状況に
無かったため、何度もお断りをしていた
• そんなある日、その福祉施設に伺うと、施設の行事の日に、お年寄
りの方々が本当に楽しそうに食事されていて、『戦後の大変な時代
に、自分を愛情深く育ててくれたおじいちゃんおばあちゃんには、苦
労をかけっぱなしだったこんな笑顔、おじいちゃんおばあちゃんにも
させたかった…』と複雑な想いになった
• しかし、そこで目にしたのは、料理は全部ミキサーにかけられたドロドロ
な見た目の介護食であり、
• 『この方々は、戦後の日本の復興を支えてきた人たち、もっと目に
も舌にもおいしい、食事らしい食事を届けたい！』
それがナリコマの挑戦の始まりである</t>
  </si>
  <si>
    <t>【p.1／売上成長目標】
会社全体の売上成長目標（～2031年）
• 売上高増加額40,088百万円
• 売上高成長率11.9％</t>
  </si>
  <si>
    <t>【p.1】
株式会社ナリコマフード
1.長期成長ビジョン
高齢者向け給食サービスの需要高まりに対して、セントラルキッチン（以降CK）稼働が逼迫しているのが大きな
経営課題そこで、本事業を活用し、7拠点目となる新たなCKを立上げ、更なる需要取り込みを図っていく
長期成長ビジョン（目指す姿・ビジネスモデル） 外発的動機
• 社会的課題 ※2
• 弊社のターゲット顧客である介護食、高齢者食、病者食の調理
2024年10月1日時点において、日本の総人口1億2,380万人
品（給食・配食サービス）の市場規模は年々増加傾向にあり、
のうち、65歳以上人口は3,624万人となり、割合（高齢化率）は
2023年度において1兆5,555億円、2028年度には1兆
29.3%を占めている
7,232億円（※1）になることが見込まれる
また、少子化および医療技術の発展により、今後も高齢化率は高
まることが見込まれる（2070年における高齢化率は38.7%）
• ナリコマグループ創業当時は、各施設毎に栄養士さんが献立をつく
• 顧客ニーズ
り、パートさんが調理していましたが、味も見た目もバラつきが出てし
高齢化率の上昇による課題の１つとして、医療・介護人材の不足
まうという課題認識から、業界に先駆けて「CK」方式を導入し、現
が挙げられる。身体的負担が重いことと給料水準が低いことから不人
在は全国6拠点体制で北海道・沖縄を除く全国の施設へお食事
気職種となっている
を提供できる体制を構築
• ありがたいことに、お客様からご評価をいただき、ご契約施設数は
年々増加傾向ですが、CK稼働率が80～90%に逼迫してきてお 内発的動機
り、営業活動をセーブせざるを得ない状況 • ナリコマグループ創業者であり、竹内克成の父でもある竹内美夫が
家族で経営していた大衆食堂である日、日ごろからお弁当を届けて
• そこで、ナリコマグループのお食事をもっと多くの高齢者の方々へお いた幼稚園の理事長より、運営している福祉施設の食事提供につ
届けするために、本事業を活用し、7拠点目のCKを岡山県で立 いて相談を受けた。しかし、当時の人員体制では対応できる状況に
上げることを考えている（土地は2025年7月31日に取得済み、 無かったため、何度もお断りをしていた
現在は残置建物解体を開始） • そんなある日、その福祉施設に伺うと、施設の行事の日に、お年寄
• また、岡山CKは生産性向上を意識した設備投資を実施予定で りの方々が本当に楽しそうに食事されていて、『戦後の大変な時代
あり、生産性改善効果が確認できた後には、他CKへの横展開を に、自分を愛情深く育ててくれたおじいちゃんおばあちゃんには、苦
実施予定 労をかけっぱなしだったこんな笑顔、おじいちゃんおばあちゃんにも
させたかった…』と複雑な想いになった
会社全体の売上成長目標（～2031年）
• しかし、そこで目にしたのは、料理は全部ミキサーにかけられたドロドロ
• 売上高増加額40,088百万円
な見た目の介護食であり、
• 売上高成長率11.9％
• 『この方々は、戦後の日本の復興を支えてきた人たち、もっと目に
も舌にもおいしい、食事らしい食事を届けたい！』
※1 ㈱矢野経済研究所「介護食、高齢者食、病者食の市場実態と展望」 それがナリコマの挑戦の始まりである
※2 内閣府「令和7年版高齢社会白書」</t>
  </si>
  <si>
    <t>【p.2】
株式会社ナリコマフード
.補助事業の概要
2
顧客需要の急増により、全国6拠点に展開しているセントラルキッチン（以降CK)がいずれも数年以内にキャパ
オーバーとなることが見込まれるため、7拠点目となるCKを建設することで、市場シェアと利益の増大を図る
• 医療・介護施設の経営改善施策の1つとして、調理業務のアウトソースニーズが高まっている
補助事業の • ニーズ高まりにより、弊社売上は増加傾向にあるが、製造キャパが限界を迎えつつある 事業費 15, 百万円
078
背景・目的 • 岡山CKを開設し①単体CKによる生産性向上②取組の他CKへの水平展開による生産性向上 （補助額） （ , 百万円）
3 737
③CK間の生産品目組み換えによる生産性向上を見込み、溢れる需要に応えていく
【岡山CKの建設・立上げ】
• 建屋建設（11,893百万円）
4階建て延べ床面積約17,000㎡
• 生産設備（3,117百万円
生産性向上を意識した製造ラインの構築
（他CKにも順次横展開）
-入荷工程（94百万円）、仕分工程（635百万円）
設備投資の
-洗浄工程（140百万円）、調理工程（934百万円）
内容
-包装工程（505百万円）、カップ工程（809百万円）
• ソフトウェア（51百万円）・外注費（55百万円）
• メイン拠点の大阪CKで生産可能な最大食数を生産するためには、月
で約65,000時間の工数が必要となるが、
製造ラインを踏まえた工場設計及び上記生産設備を導入することで、
同一食数を月で約48,000時間の工数に短縮が可能
⇒生産性向上によるコストダウンを価格維持という形で顧客還元する
項目 基準年度 事業化報告3年目
労働生産性 12,314
7,720
（単位：千円/人） （年平均上昇率＋16.8％）
目標値 従業員1人あたり給与支給総額 6,813
5,640
（単位：千円/人） （年平均上昇率＋6.5％）
役員１人あたり給与支給総額 0
0
（単位：千円/人） （年平均上昇率＋0％）
補助事業に係る従業員数
60 178
（単位：人）</t>
  </si>
  <si>
    <t>富田薬品株式会社
1.長期成長ビジョン
熊本をけん引する企業として、九州地域に安定的に医薬品を供給することに加え、賃上げ・新規雇用を促進す
ることで、九州の医療産業・雇用創出に貢献する</t>
  </si>
  <si>
    <t>長期成長ビジョン（目指す姿・ビジネスモデル）
物流・情報・人のネットワークで付加価値を創出し
選ばれるヘルスケア企業になる
• 地域の医療機関・介護施設のニーズが強い医療（ス
ペシャリティ等）を提供し、地域医療連携の核となる
• 医療インフラを支える一員として、医薬品を滞りなくお届
けできるよう物流機能の向上を図る
• 在宅医療・遠隔医療が進展する中、患者視点に立っ
た機能・システムの開発・導入を推進する
• 働き方改革を進めるとともに、研修等を通じ人材育成
を強化し、社員のレベルアップを図る
九州の医療産業・雇用創出に貢献</t>
  </si>
  <si>
    <t>外発的動機
• 高齢化社会に伴う医薬品需要の増大、後発医薬品のＧＭＰ
（適正製造規範）違反等により、供給不足問題が生じ、
安定した医薬品供給の必要性が高まっている
• 高度な流通管理が必要なスペシャリティ医薬品の増加
• 社会保障費抑制を背景とした、毎年の薬価改定により
薬剤費が抑制される傾向</t>
  </si>
  <si>
    <t>内発的動機
• 平時・有事問わず安定的に医薬品（特に今後伸長するスペシャリ
ティ医薬品）を供給することで地域医療連携における主要プレイ
ヤーとなり、「健康づくりに奉仕する」という経営理念を実現
• 熊本地震の際、他県への医療提供が遅れ、九州他拠点の体制整
備が必要
• アルフレッサから九州におけるスペシャリティ担当を託されている。
加え、スペシャリティ専門卸 エスエムディに共同出資
• 物流機能強化による労働生産性の向上
• 熊本県第一位の売上を誇る当社が賃上げや新規雇用を促進する
ことで、地域社会をけん引する</t>
  </si>
  <si>
    <t>会社全体の売上成長目標（24～30年度）
• 売上高増加額621億円
• 売上高成長率5.9％
従業員賃上げ目標：6.5%
（基準年度～事業化報告3年目）</t>
  </si>
  <si>
    <t>【p.1／売上成長目標】
会社全体の売上成長目標（24～30年度）
• 売上高増加額621億円
• 売上高成長率5.9％
従業員賃上げ目標：6.5%
（基準年度～事業化報告3年目）</t>
  </si>
  <si>
    <t>【p.1】
富田薬品株式会社
1.長期成長ビジョン
熊本をけん引する企業として、九州地域に安定的に医薬品を供給することに加え、賃上げ・新規雇用を促進す
ることで、九州の医療産業・雇用創出に貢献する
長期成長ビジョン（目指す姿・ビジネスモデル） 外発的動機
物流・情報・人のネットワークで付加価値を創出し
• 高齢化社会に伴う医薬品需要の増大、後発医薬品のＧＭＰ
選ばれるヘルスケア企業になる
（適正製造規範）違反等により、供給不足問題が生じ、
安定した医薬品供給の必要性が高まっている
• 地域の医療機関・介護施設のニーズが強い医療（ス
• 高度な流通管理が必要なスペシャリティ医薬品の増加
ペシャリティ等）を提供し、地域医療連携の核となる
• 社会保障費抑制を背景とした、毎年の薬価改定により
• 医療インフラを支える一員として、医薬品を滞りなくお届 薬剤費が抑制される傾向
けできるよう物流機能の向上を図る
• 在宅医療・遠隔医療が進展する中、患者視点に立っ
た機能・システムの開発・導入を推進する
• 働き方改革を進めるとともに、研修等を通じ人材育成
内発的動機
を強化し、社員のレベルアップを図る
• 平時・有事問わず安定的に医薬品（特に今後伸長するスペシャリ
九州の医療産業・雇用創出に貢献 ティ医薬品）を供給することで地域医療連携における主要プレイ
ヤーとなり、「健康づくりに奉仕する」という経営理念を実現
• 熊本地震の際、他県への医療提供が遅れ、九州他拠点の体制整
備が必要
会社全体の売上成長目標（24～30年度）
• アルフレッサから九州におけるスペシャリティ担当を託されている。
• 売上高増加額621億円
加え、スペシャリティ専門卸 エスエムディに共同出資
• 売上高成長率5.9％
• 物流機能強化による労働生産性の向上
従業員賃上げ目標：6.5%
（基準年度～事業化報告3年目） • 熊本県第一位の売上を誇る当社が賃上げや新規雇用を促進する
ことで、地域社会をけん引する</t>
  </si>
  <si>
    <t>【p.2】
富田薬品株式会社
.補助事業の概要
2
物流2024年問題・薬価改定等の収益悪化リスクに備え、物流センターの増強・九州全域における物流ネット
ワーク再構築を通じて、売上高の増加・労働生産性向上による収益改善を目指す
• 物流2024年問題に伴う物流コストや薬価改定による薬剤費抑制による収益性悪化
補助事業の • シェア2位（23%）の鹿児島にて、建物の老朽化が進み、医薬品安定供給に課題 事業費 4, 199 百万円
背景・目的 （補助額） （1,3 27 百万円）
• 上記を踏まえ、物流センターの増強・九州全域における物流ネットワーク再構築が必要
【投資内容】
①1 鹿児島支店の建替、熊本八代物流センター自動倉庫用の建屋建設、
その他設備（自動入庫ライン、検品ゾーン、自家発電機）増設
（右記イメージ）：33.3億円
②2 全事業所共通システム刷新のソフトウェア費・計画策定の外注費も想定
設備投資の • 現場運用の抜本改善を目的とした管理システム（WMS）刷新：
内容 14.2億円 自動倉庫 自動入庫ライン
• 地域医療圏のPF構築を見据えた新物流ネットワーク計画※を策定：
0.5億円 ※在庫の最適化により事業拠点を絞り込む計画
物流機能を強化し、高齢化・人材確保難を見据えた省人化を図る
なお、既に発注済みのため補助対象外であるが、コンベヤ・
マテハン制御システム等の増設を実施し、労働生産性の向上に取り組んでいる
検品ゾーン 自家発電機
項目 基準年度 事業化報告3年目
労働生産性 9,005
6,833
（単位：千円/人） （年平均上昇率＋9.6％）
目標値 従業員1人あたり給与支給総額 4,842
（単位：千円/人）
4,009
（年平均上昇率＋6.5％）
役員１人あたり給与支給総額
-
（単位：千円/人） - （年平均上昇率＋6.5％）
補助事業に係る従業員数
1,269 1,269
（単位：人）</t>
  </si>
  <si>
    <t>株式会社ニシムタ
1.長期成長ビジョン
鹿児島県を主体とする南九州に営業基盤を持ち、地元の物産を主体とする地域密着型の経営を行っています。今後１０年を
展望する時、地域の少子高齢化や就労人口の減少を乗り越え、事業の拡大を図るためには営業地域を九州全域に拡大するこ
とが必要です。
営業地域の拡大に先立ち、地元南九州での事業の効率化による付加価値額の向上により、従業員に対する処遇の改善を行
います。付加価値向上策として、利益率の高い惣菜部門の生産拡充と売上向上のため、大型投資を行います。</t>
  </si>
  <si>
    <t>長期成長ビジョン（目指す姿・ビジネスモデル）
• 生鮮部門における惣菜売り上げは過去５年間で1.28倍の増加
となっています。
• 惣菜協会発表による全国ベースでの売上推移を見ても惣菜市場
は順調に成長しています。（2023年は2014年比118.6％の成
長）。
• これは女性活躍社会の到来を反映したもので、この傾向は今後継
続すると思われます。
• この需要増に対応するためには、従来型の個別店舗ごとの惣菜製
造では付加価値向上は望めません。
• 今回計画しているセントラルキッチン工場は14店舗分を賄える生
産能力を有しており、現在の鹿児島県から南九州に展開する営
業店舗網を九州一円に拡大することを前提とした戦略的に極めて
重要な位置づけとなっています。
• さらにこの惣菜セントラルキッチンではＨＡＣＣＰに基づく衛生管
理を取り入れます。
会社全体の売上成長目標
（基準年度～事業化報告3年目）
• 売上高増加額14,670百万円（863.3億円⇒1010.0億
円）
• 売上高成長率5.3％（CAGR）</t>
  </si>
  <si>
    <t>外発的動機
• 継続する円安に伴う燃料費の高騰等や物価上昇によるコスト増に
対応する為に、業務の効率化は最優先課題です。
• 女性活躍時代となり、家事に割ける時間の減少傾向は今後さらに
強まると予想され、中食の利用増に伴う惣菜の需要は継続します。
• 少子高齢化による労働人口の減少は必要人材の不足を助長する
と考えられ、設備投資による生産性向上は避けて通れません。
• 人件費や材料費の高騰を販売価格へ転嫁により吸収するには他
社との競争上無理があり、自助努力が必要です。</t>
  </si>
  <si>
    <t>内発的動機
• 現在の店舗内作業場は売り場主体であるため狭く、製造できる品
種も限られます。
• セントラルキッチン工場ではこれまで対応できなかった、豆腐、パンを
使った惣菜や、スイーツ等製造し高付加価値商品を製造します。
• また、個別店ごとの惣菜製造は天候によって売上げが左右され、食
品ロスが発生します。セントラルキッチン工場内に冷凍庫を設置し、
真空冷凍による保管で食品ロスは激減します。
• 個別店舗での製造で避けられない、ムダ、ムリ、ムラをなくします。</t>
  </si>
  <si>
    <t>【p.1／売上成長目標】
会社全体の売上成長目標
（基準年度～事業化報告3年目）
• 売上高増加額14,670百万円（863.3億円⇒1010.0億
円）
• 売上高成長率5.3％（CAGR）</t>
  </si>
  <si>
    <t>【p.1】
株式会社ニシムタ
1.長期成長ビジョン
鹿児島県を主体とする南九州に営業基盤を持ち、地元の物産を主体とする地域密着型の経営を行っています。今後１０年を
展望する時、地域の少子高齢化や就労人口の減少を乗り越え、事業の拡大を図るためには営業地域を九州全域に拡大するこ
とが必要です。
営業地域の拡大に先立ち、地元南九州での事業の効率化による付加価値額の向上により、従業員に対する処遇の改善を行
います。付加価値向上策として、利益率の高い惣菜部門の生産拡充と売上向上のため、大型投資を行います。
長期成長ビジョン（目指す姿・ビジネスモデル）
• 生鮮部門における惣菜売り上げは過去５年間で1.28倍の増加 外発的動機
となっています。
• 継続する円安に伴う燃料費の高騰等や物価上昇によるコスト増に
• 惣菜協会発表による全国ベースでの売上推移を見ても惣菜市場
対応する為に、業務の効率化は最優先課題です。
は順調に成長しています。（2023年は2014年比118.6％の成
• 女性活躍時代となり、家事に割ける時間の減少傾向は今後さらに
長）。
強まると予想され、中食の利用増に伴う惣菜の需要は継続します。
• これは女性活躍社会の到来を反映したもので、この傾向は今後継
• 少子高齢化による労働人口の減少は必要人材の不足を助長する
続すると思われます。
と考えられ、設備投資による生産性向上は避けて通れません。
• この需要増に対応するためには、従来型の個別店舗ごとの惣菜製
• 人件費や材料費の高騰を販売価格へ転嫁により吸収するには他
造では付加価値向上は望めません。
社との競争上無理があり、自助努力が必要です。
• 今回計画しているセントラルキッチン工場は14店舗分を賄える生
産能力を有しており、現在の鹿児島県から南九州に展開する営
業店舗網を九州一円に拡大することを前提とした戦略的に極めて
重要な位置づけとなっています。 内発的動機
• さらにこの惣菜セントラルキッチンではＨＡＣＣＰに基づく衛生管 • 現在の店舗内作業場は売り場主体であるため狭く、製造できる品
理を取り入れます。
種も限られます。
• セントラルキッチン工場ではこれまで対応できなかった、豆腐、パンを
使った惣菜や、スイーツ等製造し高付加価値商品を製造します。
会社全体の売上成長目標 • また、個別店ごとの惣菜製造は天候によって売上げが左右され、食
（基準年度～事業化報告3年目）
品ロスが発生します。セントラルキッチン工場内に冷凍庫を設置し、
• 売上高増加額14,670百万円（863.3億円⇒1010.0億
真空冷凍による保管で食品ロスは激減します。
円）
• 個別店舗での製造で避けられない、ムダ、ムリ、ムラをなくします。
• 売上高成長率5.3％（CAGR）</t>
  </si>
  <si>
    <t>【p.2】
株式会社ニシムタ
.補助事業の概要
2
補助事業は、従来の小売業務から食品製造業務に進出する礎となる、付加価値を生み出す「高効率セントラルキッチン工場（仮称：日置Ｎデリカ
センターＡＮＮＥＸ）」とセントラルキッチン工場の稼働率を確保する「明和店」「吉田店」の新店舗建設です。投資額は139.9億円の大規模投資と
なります。
• セントラルキッチン工場の建設による新惣菜の提供が、高齢化、女性活躍時代に合致し、売上拡大、付加価値向上に直結します。
• さらに新設店舗の建設により、工場稼働率の向上が確保され、新事業の事業目標の達成が確実となります。
• 地元密着経営のスーパーとホームセンターを合体し、「スーパーセンター」を経営し、事業基盤
補助事業の
は確立していますが、仕入れ価格、人件費、光熱費他資材の高騰に対応する為には更なる 事業費 13, 439 百万円
背景・目的
規模の拡大が必要です。 （補助額）（ 3 , 263 百万円）
セントラルキッチン工場
金額（億円）
投資内訳 （仮称：日置ＮデリカセンターＡＮＥＸ）
合計 建物 設備 造成費用他 備考
セントラルキッチン工場 51.2 39.1 9.00 3.1 6,574.18㎡
明和スーパーセンター 38.3 34.3 4.00
Ａ棟 23.5 20.0 3.50 4,578.20㎡
明和スーパーセンター Ａ・Ｂ・Ｃ棟
設備投資の Ｂ棟 8.1 7.8 0.28 2,977.88㎡
内容 Ｃ棟 6.7 6.5 0.22 2,426.96㎡
吉田スーパーセンター 50.4 46.7 3.72
Ａ棟 31.8 28.4 3.37 9,935.00㎡
Ｂ棟 18.6 18.3 0.35 6,805.78㎡ 吉田スーパーセンター Ａ棟 吉田スーパーセンター Ｂ棟
投資合計 139.9 120.1 16.7 3.1
項目 基準年度 事業化報告3年目
労働生産性 9,837
（単位：千円/人）
3,213
（年平均上昇率＋45.2％）
目標値 従業員1人あたり給与支給総額
3,120
3,716
（単位：千円/人） （年平均上昇率＋6.0％）
役員１人あたり給与支給総額 14,360
（単位：千円/人）
12,580
（年平均上昇率＋4.5％）
補助事業に係る従業員数
106 116
（単位：人）</t>
  </si>
  <si>
    <t>株式会社日本橋冷凍手島商店
1.長期成長ビジョン
当社は、製氷会社、冷凍倉庫を含め、一気通貫して食品小売業様への「暑い世界で命を守る氷」の供給責任を全う。ライフラ
インとして必要不可欠の機能を有するサプライチェーンを全国に構築して、販売数量1億パックの安定供給を実現します。</t>
  </si>
  <si>
    <t>長期成長ビジョン（目指す姿・ビジネスモデル）
• 大手小売事業者のプライベートブランドから、飲食店利用の業務用氷まで、
お客様の「生活・食シーン」に役立つ氷で社会に貢献する。
• 製氷から冷凍倉庫、顧客への供給まで、当社で供給責任を果たしていく体
制を強固にしながら、売上100億円企業を実現。パッケージ氷の安定供給
を達成する。
• お客様のニーズに合わせた、飲食・飲酒シーンに使用するロックタイプ氷、水
筒・マイボトルに最適なクラッシュ氷、コンビニエンスストア(CVS)のアイスコー
ヒーグラス氷、食品保存に便利なプレートタイプ氷、現在インバウンド需要、
もあり供給が逼迫し、航空会社から供給要請が来ている旅客機用氷等、
様々な用途、場所、時間で使用され、かつ過去に例を見ない高温な日本
全国において「命を守る氷」を必需品として購入する消費行動が定着したこ
とに対応する最適な氷を提供する。
• 現在、海外コンビニエンス氷を受託生産している。その派生効果として「くま
モン氷」2万ケースのテスト販売を2024年末から開始したところ、輸出の引
き合いが具体的にあり、これを機にグローバル進出を目指していく。</t>
  </si>
  <si>
    <t>外発的動機
• 「パッケージ氷」は、飲料の冷却だけでなく様々な料理提供シーン、競技・イベン
トでのアイスプール等多岐にわたる使用用途があり、その市場は3.75％の伸び
率があり、2030年には1500億円規模に達すると予測されている。特にそのうち
「袋詰め氷」カテゴリー、CVSのアイスコーヒーグラス氷については2桁成長で成長
している。
• 2010年頃から記録的な猛暑がトレンドとなり、2025年には7月の日最高気温
平均が左下表のとおり、3～4℃上昇。35～36℃と生命に危険を及ぼす水準
の暑さとなっている。40℃以上の気温が複数地域で観測され、冷却のための
「命の氷」が必需品となっている。
• 後継者難、資金調達余力がない中小事業者は、設備投資を行えずに淘汰さ
れていき、緩やかな寡占化がコロナ以降急速に加速している。特に全国的に食
用氷の供給が可能な大手事業者としては、当社グループ以外では、２社しかな
い。</t>
  </si>
  <si>
    <t>内発的動機
• ㈱日本橋冷凍手島商店は1892年(明治25年)機械製氷の日本での開始と
同時に日本橋にて創業、その後法人設立等を経て、業歴133年を経過する。
• 現在は、消費者の「食シーン」を把握しながら、東日本エリアを中心に製氷子会
社及び冷凍倉庫会社とグループを形成し、川上から川下へ一気通貫で、全国
の大手中小小売店からスターバックス社コーヒー原料氷、ハロハロ氷、空港・旅
客機搭載飲料氷、都内の飲食店に至るまで供給責任を果たしている。
• 小売業の再編が進む中、大手小売事業者からの供給量の数量増加と供給エリ
アの中部・関西圏拡大及び安定供給の要請をいただいている。※別紙「参考資
料①」参照願います。
• 約20年の製氷業としてのグループ3工場の新設・増設の社内ノウハウの蓄積を
踏まえ、新たに省力化等による労働生産性を抜本的に向上し、より働きやすい
労働環境整備、雇用拡大を実現する大規模設備投資を行う機が熟している。</t>
  </si>
  <si>
    <t>【p.1／売上成長目標】
会社全体の売上成長目標（2027年2月期～
2031年2月期）
• 売上高増加額 5,200百万円
• 売上高成長率 19.5％(年平均)
【p.2／写真等】
写真等
工場完成イメージ図</t>
  </si>
  <si>
    <t>【p.1】
株式会社日本橋冷凍手島商店
1.長期成長ビジョン
当社は、製氷会社、冷凍倉庫を含め、一気通貫して食品小売業様への「暑い世界で命を守る氷」の供給責任を全う。ライフラ
インとして必要不可欠の機能を有するサプライチェーンを全国に構築して、販売数量1億パックの安定供給を実現します。
長期成長ビジョン（目指す姿・ビジネスモデル） 外発的動機
• 「パッケージ氷」は、飲料の冷却だけでなく様々な料理提供シーン、競技・イベン
• 大手小売事業者のプライベートブランドから、飲食店利用の業務用氷まで、
トでのアイスプール等多岐にわたる使用用途があり、その市場は3.75％の伸び
お客様の「生活・食シーン」に役立つ氷で社会に貢献する。
率があり、2030年には1500億円規模に達すると予測されている。特にそのうち
• 製氷から冷凍倉庫、顧客への供給まで、当社で供給責任を果たしていく体 「袋詰め氷」カテゴリー、CVSのアイスコーヒーグラス氷については2桁成長で成長
制を強固にしながら、売上100億円企業を実現。パッケージ氷の安定供給 している。
を達成する。 • 2010年頃から記録的な猛暑がトレンドとなり、2025年には7月の日最高気温
• お客様のニーズに合わせた、飲食・飲酒シーンに使用するロックタイプ氷、水 平均が左下表のとおり、3～4℃上昇。35～36℃と生命に危険を及ぼす水準
筒・マイボトルに最適なクラッシュ氷、コンビニエンスストア(CVS)のアイスコー の暑さとなっている。40℃以上の気温が複数地域で観測され、冷却のための
ヒーグラス氷、食品保存に便利なプレートタイプ氷、現在インバウンド需要、 「命の氷」が必需品となっている。
もあり供給が逼迫し、航空会社から供給要請が来ている旅客機用氷等、 • 後継者難、資金調達余力がない中小事業者は、設備投資を行えずに淘汰さ
様々な用途、場所、時間で使用され、かつ過去に例を見ない高温な日本 れていき、緩やかな寡占化がコロナ以降急速に加速している。特に全国的に食
全国において「命を守る氷」を必需品として購入する消費行動が定着したこ 用氷の供給が可能な大手事業者としては、当社グループ以外では、２社しかな
とに対応する最適な氷を提供する。 い。
• 現在、海外コンビニエンス氷を受託生産している。その派生効果として「くま
モン氷」2万ケースのテスト販売を2024年末から開始したところ、輸出の引 内発的動機
き合いが具体的にあり、これを機にグローバル進出を目指していく。 • ㈱日本橋冷凍手島商店は1892年(明治25年)機械製氷の日本での開始と
同時に日本橋にて創業、その後法人設立等を経て、業歴133年を経過する。
• 現在は、消費者の「食シーン」を把握しながら、東日本エリアを中心に製氷子会
会社全体の売上成長目標（2027年2月期～ 社及び冷凍倉庫会社とグループを形成し、川上から川下へ一気通貫で、全国
の大手中小小売店からスターバックス社コーヒー原料氷、ハロハロ氷、空港・旅
2031年2月期）
客機搭載飲料氷、都内の飲食店に至るまで供給責任を果たしている。
• 売上高増加額 5,200百万円
• 小売業の再編が進む中、大手小売事業者からの供給量の数量増加と供給エリ
• 売上高成長率 19.5％(年平均)
アの中部・関西圏拡大及び安定供給の要請をいただいている。※別紙「参考資
料①」参照願います。
• 約20年の製氷業としてのグループ3工場の新設・増設の社内ノウハウの蓄積を
踏まえ、新たに省力化等による労働生産性を抜本的に向上し、より働きやすい
労働環境整備、雇用拡大を実現する大規模設備投資を行う機が熟している。</t>
  </si>
  <si>
    <t>【p.2】
株式会社日本橋冷凍手島商店
2.補助事業の概要
西日本の「命の氷」の安定的な供給体制を堅持すべく、冷凍倉庫を併設した新関西工場を新設。最新の生産ラインとして効率化を追求
し、自動化機械設備を導入、労働生産性も向上させる。
• 関西圏において中小製氷工場の廃業等により供給能力が大幅に不足していて、納入要請が多く来て
いる。顧客商品要望に対応可能な高品質でコスト競争力のある地産地消型製氷工場建設を行う。 事業費 3,435百万円
補助事業の
• 今回当社が直接投資して、前3工場でノウハウ蓄積した、環境対応型最新・最適な生産ラインを導入
背景・目的 した新関西工場を新設。需要に応えていくとともに、冷凍倉庫も新設して物流の効率化を図る。 （補助額） （1,117百万円）
• 補助事業により雇用を創出し、労働生産性を向上させ、賃上げも実現する。
• 新関西工場を新設し、西日本の供給基幹とすべく計画している。
• 今回の設備投資により新関西工場でパッケージ氷の増産が可能となる。
• 既に関東圏においては、グループ会社㈱ピュアフードサービス(埼玉県蕨市及び
東京都大田区京浜島工場)での生産で取引先への納品要望に対応し、カ
バーしてきたが、今回の工場新設により、西日本エリアにおいて、生活防衛型
消費行動のお客様にご満足いただける「EDLP氷」の地産地消型供給体制を
構築する。
設備投資の
写真等
内容
工場完成イメージ図
項目 基準年度 事業化報告3年目
労働生産性 46,797千円/人
21,000千円/人
（単位：千円/人） （年平均上昇率＋30.6％）
従業員1人あたり給与支給総額 5,185千円/人
目標値 4,000千円/人
（単位：千円/人） （年平均上昇率＋9.0％）
役員１人あたり給与支給総額 ー
ー
（単位：千円/人） （年平均上昇率－％）
補助事業に係る従業員数
2人 58人
（単位：人）</t>
  </si>
  <si>
    <t>三ッ和商事株式会社
1.長期成長ビジョン
「カカオに関わるすべての人々が幸せになるように、それをつなぐ存在でありたい」という理念のもと、高付加価値×
持続可能性」で業務用チョコレート市場の革新を牽引し、2030年までに売上高65億円を目指します。</t>
  </si>
  <si>
    <t>長期成長ビジョン（目指す姿・ビジネスモデル）
カカオに関 わ る 全 ての人 々 が幸 せになる、
それを繋げる会社へ
• 自社の従業員だけでなく、取引先やカカオ農家を含むサ
プライチェーン全体に対し、持続可能かつ健康的な生
活の実現に貢献することを目指します。
• 従業員一人ひとりが楽しく充実した人生を送れるよう、残
業ゼロの職場環境づくりに取り組みます。
• 適正な賃金と労働時間の確保を実現するため、大規模
な設備投資により生産能力を拡充し、利益率と利益総
額の向上を図ります。
• 今回の工場新棟の建設および製造設備の導入により、
矢板市における新たな雇用創出に貢献するとともに、直
売店を併設することで、地域住民がチョコレートを通じ
て幸せを実感できる事業展開を目指します。</t>
  </si>
  <si>
    <t>外発的動機
• チョコレート製造・卸売業界においては、少子高齢化に伴う労働人口の減
少、厳しい労働環境や賃金水準、業界イメージの課題、製造工程におけ
る自動化の難しさなどを背景に、深刻な人手不足が続いています。
• 特に生産現場の熟練技術者や作業員、物流ドライバーの確保が困難と
なっており、生産能力の制約、コスト増加、従業員一人あたりの負担増加
といった影響が顕在化しています。
• カカオ生産国では、劣悪な労働環境下での不正な児童労働が国際的
な問題となっており、調達段階からの倫理的配慮が強く求められています。
• このような背景のもと、当社においても持続可能なサプライチェーンの構
築、および企業としての社会的責任を果たすことが、信用維持と中長期
的な競争力の確保に不可欠であると考えています。</t>
  </si>
  <si>
    <t>内発的動機
• 当社のロゴには、「カカオに関わるすべての人々が幸せになるように、それ
をつなぐ存在でありたい」という理念が込められています。カカオビーンズ型
の4つのマークは、「製造・物流・販売・消費」の4業態を表し、それらを循
環的に結びつけることを当社の使命としています。
• この理念は、当社の代表がカカオ農園を訪れ、児童労働や教育機会の
欠如といった課題に直面した体験に基づいています。チョコレートが生産
者の犠牲の上に成り立つのではなく、すべての関係者が健やかに生活で
きる産業であるべきとの想いが出発点です。
• また、代表自身が前職で長時間労働を経験したことから、従業員が安心
して働ける職場づくりを重視し、残業ゼロを目指しています。
• 加えて、シャープ矢板工場閉鎖に伴う雇用減少を受け、地域との共生を
図る新たな事業展開に取り組む決意を固めています。</t>
  </si>
  <si>
    <t>【p.1／売上成長目標】
会社全体の売上成長目標（～2030年度）
• 売上高目標6,526百万円（最新決算期2,427百万円）
• 売上高増加額4,099百万円
• 売上高成長率17.9％</t>
  </si>
  <si>
    <t>【p.1】
三ッ和商事株式会社
1.長期成長ビジョン
「カカオに関わるすべての人々が幸せになるように、それをつなぐ存在でありたい」という理念のもと、高付加価値×
持続可能性」で業務用チョコレート市場の革新を牽引し、2030年までに売上高65億円を目指します。
長期成長ビジョン（目指す姿・ビジネスモデル） 外発的動機
• チョコレート製造・卸売業界においては、少子高齢化に伴う労働人口の減
カカオに関わる全ての人々が幸せになる、 少、厳しい労働環境や賃金水準、業界イメージの課題、製造工程におけ
それを繋げる会社へ る自動化の難しさなどを背景に、深刻な人手不足が続いています。
• 特に生産現場の熟練技術者や作業員、物流ドライバーの確保が困難と
• 自社の従業員だけでなく、取引先やカカオ農家を含むサ
なっており、生産能力の制約、コスト増加、従業員一人あたりの負担増加
プライチェーン全体に対し、持続可能かつ健康的な生
といった影響が顕在化しています。
活の実現に貢献することを目指します。
• カカオ生産国では、劣悪な労働環境下での不正な児童労働が国際的
• 従業員一人ひとりが楽しく充実した人生を送れるよう、残 な問題となっており、調達段階からの倫理的配慮が強く求められています。
業ゼロの職場環境づくりに取り組みます。 • このような背景のもと、当社においても持続可能なサプライチェーンの構
築、および企業としての社会的責任を果たすことが、信用維持と中長期
• 適正な賃金と労働時間の確保を実現するため、大規模
的な競争力の確保に不可欠であると考えています。
な設備投資により生産能力を拡充し、利益率と利益総
額の向上を図ります。 内発的動機
• 当社のロゴには、「カカオに関わるすべての人々が幸せになるように、それ
• 今回の工場新棟の建設および製造設備の導入により、
をつなぐ存在でありたい」という理念が込められています。カカオビーンズ型
矢板市における新たな雇用創出に貢献するとともに、直
の4つのマークは、「製造・物流・販売・消費」の4業態を表し、それらを循
売店を併設することで、地域住民がチョコレートを通じ 環的に結びつけることを当社の使命としています。
て幸せを実感できる事業展開を目指します。
• この理念は、当社の代表がカカオ農園を訪れ、児童労働や教育機会の
欠如といった課題に直面した体験に基づいています。チョコレートが生産
会社全体の売上成長目標（～2030年度） 者の犠牲の上に成り立つのではなく、すべての関係者が健やかに生活で
きる産業であるべきとの想いが出発点です。
• 売上高目標6,526百万円（最新決算期2,427百万円）
• また、代表自身が前職で長時間労働を経験したことから、従業員が安心
• 売上高増加額4,099百万円 して働ける職場づくりを重視し、残業ゼロを目指しています。
• 売上高成長率17.9％ • 加えて、シャープ矢板工場閉鎖に伴う雇用減少を受け、地域との共生を
図る新たな事業展開に取り組む決意を固めています。</t>
  </si>
  <si>
    <t>【p.2】
三ッ和商事株式会社
.補助事業の概要
2
高効率生産ラインと生産管理システムの導入により、省力化と生産能力の飛躍的拡大を実現。従業員をより付
加価値の高い業務に再配置することで、労働生産性と1人当たり給与支給総額の大幅向上を目指します。
受注増加により生産能力が限界に達し、柔軟な対応や新規案件への対応に支障が生じています。
補助事業の 事業費 2, 686 百万円
加えて、チョコレート市場成長の追い風を受け、安定供給と品質向上が急務です。新工場の建設
背景・目的 （補助額） （766百万円）
を通じて、供給能力と生産性を強化し、持続的な事業成長と地域貢献を実現します。
• 矢板第1工場に隣接する敷地に、新たに延床面積約1,000坪の矢板
第2工場を建設し、大規模なチョコレート製造設備を導入します。
• 生地製造（白・黒）・成型（レイヤーライン・チョコチップライン）・包装
までの一連ラインを対象に、新規設備を順次導入します。
• 黒生地製造では、主要設備を従来のリファイナーコンチェからロールリ
ファイナーに更新し、生産能力（日産2t⇒8t）と品質（生地の微 工場完成イメージ（第1工場の写真です）
設備投資の 細化・均質化）を大幅に向上させます。
内容 • 整列機能を備えた新型レイヤーラインの導入により、後工程の箱詰め
要員を6名から2名に削減し、省力化と生産性を両立させます。
• チョコチップやキューブチョコ製品についても、充填・冷却・包装までを一貫
で処理する自動計量機能付きの新型包装機を導入し、少量多品種
対応、品質安定化、納期短縮を実現します。
• 工場の生産工程全体を統合する生産管理ソリューションを導入し、原
料・生産・在庫・指示・実績の一元管理体制を構築します。 ロールリファイナー レイヤーライン 自動包装機
項目 基準年度 事業化報告3年目
労働生産性 14,093
6,537
（単位：千円/人） （年平均上昇率＋29.2％）
目標値 従業員1人あたり給与支給総額 3,986 5,022
（単位：千円/人） （年平均上昇率＋8.0％）
役員１人あたり給与支給総額 -
-
（単位：千円/人） （年平均上昇率＋6.0％）
補助事業に係る従業員数
60 120
（単位：人）</t>
  </si>
  <si>
    <t>株式会社山本製作所
1.長期成長ビジョン
• 日本の業務用洗濯機メーカーとして「Made in ONOMICHI」の技術と品質を活かし、世界市場で競争力の
ある製品を製造・提供することで売上を拡大し、ステークホルダーに貢献することで愛される企業を目指す</t>
  </si>
  <si>
    <t>外発的動機
「持続可能な社会」の達成に向けて
• 世界中において、SDGsの達成が最重要課題として認知されつつ
ある。商品の廃棄をなくし、「持続可能な社会」達成に向けて、
「壊れにくい」「壊れても部品を交換することで永久に使える」当社の
製品に対する評価がより高まっている
世界的な需要の高まり
• コロナ禍を経て、世界的に衛生意識が飛躍的に高まっている。特に
医療や介護分野では厳格な衛生基準の遵守が求められ、業務用
洗濯機への投資が増加している
• また、都市化やライフスタイルの変化による時短ニーズの高まり等
から洗濯のアウトソーシング需要が拡大している</t>
  </si>
  <si>
    <t>内発的動機
尾道市での製造のこだわり
• 尾道に集うことで従業員間の密なコミュニケーションが生まれ、スピー
ド感のある開発や品質向上に寄与する他、「人本経営」 の経営
理念にも繋がる
• また、競合他社の多くが外国資本参加となる中、当社が地元尾道
から、『Made in ONOMICHI』で日本のモノづくりを貫き続けること
が使命と感じている
海外市場における成長戦略
• 現社長は就任直後より、国内はもとより海外での事業拡大こそが
持続的成長に繋がると考え、積極的に海外の製品販売に注力
• 当社製品に対する評価や認知度の高まりを最高の契機と捉え、
海外向け製品の生産能力を強化し、更なる成長を目指す</t>
  </si>
  <si>
    <t>【p.1／売上成長目標】
会社全体の売上成長目標
(2024～2030年度)
売上高増加額：93.74億円
売上高成長率：CAGR（年平均成長率）16.7％</t>
  </si>
  <si>
    <t>【p.1】
株式会社山本製作所
1.長期成長ビジョン
• 日本の業務用洗濯機メーカーとして「Made in ONOMICHI」の技術と品質を活かし、世界市場で競争力の
ある製品を製造・提供することで売上を拡大し、ステークホルダーに貢献することで愛される企業を目指す
長期成長ビジョン（目指す姿・ビジネスモデル） 外発的動機
【目指す姿・ビジネスモデル】 「持続可能な社会」の達成に向けて
• 世界中において、SDGsの達成が最重要課題として認知されつつ
『喜びにあふれた未来の創造をめざして』
ある。商品の廃棄をなくし、「持続可能な社会」達成に向けて、
尾道から世界的な洗濯機メーカーとなることで、地域の発展
「壊れにくい」「壊れても部品を交換することで永久に使える」当社の
に貢献し、長年の夢である「尾道を洗濯機の街に」を実現 製品に対する評価がより高まっている
世界的な需要の高まり
【ビジョン(指針)】
• コロナ禍を経て、世界的に衛生意識が飛躍的に高まっている。特に
お客様の信頼に応える、“FOREVER MACHINE”の
1 医療や介護分野では厳格な衛生基準の遵守が求められ、業務用
モノづくり精神
洗濯機への投資が増加している
最大の特長は、98%を誇る純正部品の驚異的な内製化率 • また、都市化やライフスタイルの変化による時短ニーズの高まり等
堅牢かつ高品質への妥協のないこだわりと、純正部品の半永久的な から洗濯のアウトソーシング需要が拡大している
供給により、長い期間、高い性能で使える製品を提供する
内発的動機
クリエイティブな製品と、圧倒的な品質を究め、お客様に
2
尾道市での製造のこだわり
寄り添ったサービスの提供で世界へ！
世界中の多様な文化や習慣を持つお客様のニーズ対応し、唯一無二 • 尾道に集うことで従業員間の密なコミュニケーションが生まれ、スピー
の製品・サービスを提供することで、メーカーとしての本分を遂行し、求め ド感のある開発や品質向上に寄与する他、「人本経営」 の経営
られる企業を目指す 理念にも繋がる
• また、競合他社の多くが外国資本参加となる中、当社が地元尾道
3 「ライフタイムコスト」でリーズナブルな製品提供
から、『Made in ONOMICHI』で日本のモノづくりを貫き続けること
高い内製化率を強みに、部品を安価に安定供給し続けることで、長期
が使命と感じている
使用による更新を含めたコスト削減と環境負荷の低減を実現する
海外市場における成長戦略
会社全体の売上成長目標(2024～2030年度)
• 現社長は就任直後より、国内はもとより海外での事業拡大こそが
売上高増加額：93.74億円 持続的成長に繋がると考え、積極的に海外の製品販売に注力
売上高成長率：CAGR（年平均成長率）16.7％ • 当社製品に対する評価や認知度の高まりを最高の契機と捉え、
海外向け製品の生産能力を強化し、更なる成長を目指す</t>
  </si>
  <si>
    <t>【p.2】
株式会社山本製作所
.補助事業の概要
2
• 製造設備の導入により、①大型機種対応 ②労働生産性向上 ③海外向け製品開発の強化を実現
• 『Forever Machine』という国際的な評価のもと、成長スパイラルを築きあげ、更なるグローバル展開を加速させる
【背景】 (1) グローバルで持続的な成長を目指す中、既存工場では生産能力の限界が近づいている
(2) 海外市場での成長戦略の実現に向け、各国の規格等に応じた製品開発が必要不可欠
, 百万円
補助事業の 事業費 1 962
【目的】 (1) 大型機種対応・労働生産性向上：高い内製化率と一貫生産体制を継続し、 （6 百万円）
背景・目的 （補助額） 40
「競争力のあるリーズナブルな価格」を大前提とした増産体制
(2) 開発力の強化：海外の規格やニーズ等に、お客様に寄り添った製品開発体制を整備
【設備投資内容】 尾道市内の本社工場（西工場・東工場）及び山波工場へ、最新の製造設備等を導入
主な機械装置 取組内容
機械装置(ターニングセンター他) 国内外向け、大型機種対応と生産量増加に対応
製造部 生産効率向上・適正在庫管理・生産量増加への対応に向け、
ソフトウェア
ネスティング時間削減
設備投資の 機械装置(設計試験場他) 海外向け試験場、EMC試験場
設計部
内容
ソフトウェア 部品注文対応の効率化を実現
①大型機種対応 ②労働生産性向上 / 本社東工場・西工場
• ターニングセンター等を導入し、増産体制の構築と大型機種への製造に取り組む
• 自動化設備の導入により、労働生産性を向上させる
③海外向け製品開発の強化 / 山波工場
• 海外向け製品の試験場を設け、各国の規格等に応じた製品開発を加速させる 【本社東工場・西工場】 【山波工場】
項目 基準年度 事業化報告3年目
労働生産性 17,566
6,739
（単位：千円/人） （年平均上昇率＋37.6％）
従業員1人あたり給与支給総額 5,808
4,808
目標値 （単位：千円/人） （年平均上昇率＋6.5％）
役員１人あたり給与支給総額
-
（単位：千円/人） - （年平均上昇率＋6.0％）
補助事業に係る従業員数
245 270
（単位：人）</t>
  </si>
  <si>
    <t>1.長期成長ビジョン
鉛の二次精錬業に従事してきた日本海精錬。廃バッテリーのリサイクル率90%以上を目指し、当社は本事
業をもって新たな素材のリサイクルに着手する。循環社会の実現に貢献するとともに生産余力を拡大し売上
倍以上に拡大、環境面からも経済面からも地域と日本の未来を創っていく。</t>
  </si>
  <si>
    <t>長期成長ビジョン（目指す姿・ビジネスモデル）
鉛バッテリーリサイクル率90％以上
循環社会への貢献
当社は、鉛バッテリーに含まれる鉛・ポリプロピレン（PP）・電解液などを可能
な限り再資源化し、リサイクル率90％以上を目指す。主力の鉛精錬事業に
加え、PPの再生ペレット化にも着手し、廃棄物ゼロ・収益多層型の循環体制
を構築。これにより、資源循環と収益の両立を実現し、2030年までに売上高
100億円規模の達成と、地域社会・環境に貢献する持続可能な企業への
成長を目指す。
社会・地域への波及効果
鉛・PP・バッテリー液を一体で再資源化することで、従来廃棄されていた資源
を再活用し、循環型社会の実現に貢献。再生素材は自動車や物流など環
境配慮型産業に供給され、ESG調達にも対応する。処理能力の拡大により
地域での新規雇用も創出し、環境・経済の両立による持続可能な地域産業
モデルの確立に寄与する。リサイクル拠点として地域内外からの資源受け入れ
体制も強化される。
今後のターゲット市場・展開
今後は、再生PPを高機能素材として自動車部品・物流資材市場へ供給し、
高単価帯の製品として販売拡大を図る。また、既存の鉛精錬設備を増設・
自動化し、精錬能力を250トン/日まで拡大。中期的にはポリエチレン
（PE）や電解液の再生にも取り組み、将来的にはバッテリー構成素材の
90％以上の再資源化の実現を目指す。</t>
  </si>
  <si>
    <t>外発的動機
制度・政策による再資源化の義務化
2022年施行の「プラスチック資源循環促進法」やバーゼル法対応を背景に、企業
には法的責任として再生材の活用・廃棄物削減が求められている。加えて、経済
産業省のグリーン成長戦略でも、再資源化やサーキュラーエコノミーへの対応は、
今後の企業成長に不可欠なテーマとなっている。
鉛バッテリー・PPの再利用化としてのニーズ拡大
鉛蓄電池市場はEV・再エネ需要を背景に安定成長を続けており、一方で再生
PP市場は高グレード化・トレーサビリティ重視が進んでいる。こうした流れの中で、
再生材としての再利用化が求められている。</t>
  </si>
  <si>
    <t>内発的動機
既存事業の限界と収益構造の見直し
当社は鉛精錬事業に特化し成長してきたが、原料価格の高騰や仕入競争の激
化によって、鉛単体では収益安定が難しくなりつつある。当社の主力事業である鉛
精錬をさらに強化し、長期的な競争力と生産余力を維持させる必要性を強く認
識している。
未活用資源（PP）の存在と構造転換への意志
長年、廃バッテリー由来のPPを外部委託処理してきたが、一貫体制を持つ当社こ
そがこの未利用資源を活用すべきとの認識に至った。内部資源を活かした収益化
と、循環型事業モデルへの転換が今こそ必要だという会社としての強い危機感と意
志がある。さらに精錬能力を増強し、現行の2.5倍を目標に生産余力を持つ意志
がある。</t>
  </si>
  <si>
    <t>【p.1／売上成長目標】
会社全体の売上成長目標（～2029年6月期）
• 売上高増加額8,600百万円 ※対基準年度
• 売上高成長率223％ ※対基準年度</t>
  </si>
  <si>
    <t>【p.1】
1.長期成長ビジョン
鉛の二次精錬業に従事してきた日本海精錬。廃バッテリーのリサイクル率90%以上を目指し、当社は本事
業をもって新たな素材のリサイクルに着手する。循環社会の実現に貢献するとともに生産余力を拡大し売上
を倍以上に拡大、環境面からも経済面からも地域と日本の未来を創っていく。
長期成長ビジョン（目指す姿・ビジネスモデル）
外発的動機
鉛バッテリーリサイクル率90％以上
循環社会への貢献 制度・政策による再資源化の義務化
2022年施行の「プラスチック資源循環促進法」やバーゼル法対応を背景に、企業
当社は、鉛バッテリーに含まれる鉛・ポリプロピレン（PP）・電解液などを可能
には法的責任として再生材の活用・廃棄物削減が求められている。加えて、経済
な限り再資源化し、リサイクル率90％以上を目指す。主力の鉛精錬事業に
産業省のグリーン成長戦略でも、再資源化やサーキュラーエコノミーへの対応は、
加え、PPの再生ペレット化にも着手し、廃棄物ゼロ・収益多層型の循環体制
今後の企業成長に不可欠なテーマとなっている。
を構築。これにより、資源循環と収益の両立を実現し、2030年までに売上高
100億円規模の達成と、地域社会・環境に貢献する持続可能な企業への
鉛バッテリー・PPの再利用化としてのニーズ拡大
成長を目指す。
鉛蓄電池市場はEV・再エネ需要を背景に安定成長を続けており、一方で再生
社会・地域への波及効果 PP市場は高グレード化・トレーサビリティ重視が進んでいる。こうした流れの中で、
再生材としての再利用化が求められている。
鉛・PP・バッテリー液を一体で再資源化することで、従来廃棄されていた資源
を再活用し、循環型社会の実現に貢献。再生素材は自動車や物流など環
境配慮型産業に供給され、ESG調達にも対応する。処理能力の拡大により
地域での新規雇用も創出し、環境・経済の両立による持続可能な地域産業 内発的動機
モデルの確立に寄与する。リサイクル拠点として地域内外からの資源受け入れ
体制も強化される。
既存事業の限界と収益構造の見直し
当社は鉛精錬事業に特化し成長してきたが、原料価格の高騰や仕入競争の激
今後のターゲット市場・展開
化によって、鉛単体では収益安定が難しくなりつつある。当社の主力事業である鉛
今後は、再生PPを高機能素材として自動車部品・物流資材市場へ供給し、 精錬をさらに強化し、長期的な競争力と生産余力を維持させる必要性を強く認
高単価帯の製品として販売拡大を図る。また、既存の鉛精錬設備を増設・ 識している。
自動化し、精錬能力を250トン/日まで拡大。中期的にはポリエチレン
（PE）や電解液の再生にも取り組み、将来的にはバッテリー構成素材の 未活用資源（PP）の存在と構造転換への意志
90％以上の再資源化の実現を目指す。
長年、廃バッテリー由来のPPを外部委託処理してきたが、一貫体制を持つ当社こ
そがこの未利用資源を活用すべきとの認識に至った。内部資源を活かした収益化
会社全体の売上成長目標（～2029年6月期）
と、循環型事業モデルへの転換が今こそ必要だという会社としての強い危機感と意
• 売上高増加額8,600百万円 ※対基準年度 志がある。さらに精錬能力を増強し、現行の2.5倍を目標に生産余力を持つ意志
• 売上高成長率223％ ※対基準年度 がある。</t>
  </si>
  <si>
    <t>【p.2】
日本海精錬株式会社
.補助事業の概要
2
本補助事業は、鉛精錬を主力とする当社が、原材料価格高騰や仕入競争激化に直面する中、安定的かつ持続可能な経営基盤を構築することを目的とした成長投資です。
廃バッテリーから排出されるPPを自社内で再生・販売可能とするリサイクル体制の新設と、鉛処理能力を2倍に高めるキュポラ増設を柱に、処理体制と収益構造を抜本的に強化
します。これにより、最大売上140億円、資源循環・CO2削減などの社会的貢献も見込まれます。
当社は、鉛精錬を主力とするリサイクル企業として、近年の原材料価格の高騰や仕入競争の激化といった経営環境
の変化に直面しています。特に、鉛原料となる廃バッテリーの調達においては、価格上昇に加え他社との買付競争が
補助事業の 激しく、安定的な仕入れと処理能力の強化が急務となっています。また、持続可能な事業運営と循環型社会への貢 事業費 1 , 515 百万円
背景・目的 献を両立するには、鉛以外の収益源を創出し、全体の経営基盤を強化する必要があります。そこで本補助事業では、 （補助額） ( 499 百万円)
未利用資源であるポリプロピレン（PP）の再資源化と、鉛処理能力の倍増という2つの投資を軸に、成長のため
の基盤整備を進めるものです。
＜事業の概要＞
本事業では、大きく2つの投資を柱とします。第1に、廃バッテリーから排出されるPPを自社
内で再生ペレット化する体制を構築します。具体的には、洗浄・乾燥ラインや造粒機、異
物除去設備などを導入し、選別から加工までを一貫して行える生産体制を整備します。
第2に、現在の鉛精錬処理能力（120t/日）を倍増させるべく、新たにキュポラ（立
炉）を1基増設し、関連する排ガス処理装置（2次燃焼炉・脱硫塔・集塵機等）もあ
設備投資の わせて導入します。さらに、これらの投資を計画的に推進するため、PDCAサイクルに基づく
内容 KPI管理体制と、製造・営業・保全部門を横断するプロジェクトチームも編成し、設備の
円滑な導入と早期の安定稼働を目指します。
＜効果＞
本補助事業の実施により、当社の年間売上は現状の約60億円から、最大で140億円規模への拡大が期待されます。PPリサイクルによる新たな
年間収益（約1.5億円想定）は、鉛原料の仕入資金として再投資され、原材料調達の安定化に寄与します。これにより、鉛精錬の稼働率も向
上し、全体の生産性と利益率が改善されます。また、これまで廃棄せざるを得なかった資源の有効活用が可能となることで、CO₂排出の削減やプラ
スチック循環の実現など、環境・社会面においても高い付加価値をもたらす事業となります。
項目 基準年度 事業化報告3年目
労働生産性
18,619
61,917
（単位：千円/人） （年平均上昇率＋49.3％）
目標値 従業員1人あたり給与支給総額 6,370
（単位：千円/人）
5,353
（年平均上昇率＋6.0％）
役員１人あたり給与支給総額
-
（単位：千円/人） - （年平均上昇率＋6.3％）
補助事業に係る従業員数
31 37
（単位：人）
【p.3】
日本海精錬株式会社
.補助事業の概要
2
当社は廃バッテリー解体時に発生するポリプロピレン（PP）を未利用のまま廃棄していたが、再生プラスチック市場の拡大と高単価化を受け、新たな収益源とし
て再資源化に取り組む。補助事業では①再資源化設備の導入、②解体から製品化までの一貫処理、③PP収益を活用した鉛原料の仕入強化を柱とし、1.5
億円の売上増と8,000万円の再投資を見込む。これにより、循環資源の活用と調達力強化の両立を図る。
再生PP設備導入による調達力と収益性の強化
当社では、廃バッテリーの解体工程において発生するポリプロピレン（PP）を、これまで有効活用できずに廃棄してきました。しかし、近年は再生プラス
補助事業の チックへの需要が高まり、特に中～高グレードの再生PPは、自動車・物流分野を中心に高単価で流通しており、未利用資源としての価値が大きくなって
背景・目的 います。本事業では、こうしたPPを再生・販売可能な状態に加工し、事業化することで新たな収益源を確保します。これにより、鉛事業単独に依存する
経営構造から脱却し、原料価格の変動リスクを緩和するとともに、循環資源の有効活用による社会的要請にも応える体制を構築します。
① 再資源化ラインの設備導入 ② 解体から製品化までの一貫処理 ③ PP収益による買付力の強化
廃棄BT買取価格推移（弊社実績）
120
100
80
60
40
設備投資の 20
0
内容
PPリサイクルの実現に向けて、PP造粒機、洗 廃バッテリーの解体工程からPP原料の選別・回 再生PPペレットによって得られる収益の一部を、
浄ライン、乾燥設備、異物除去装置など、再 収・洗浄・再成形までを、すべて自社内で一貫し 鉛事業における廃バッテリーの買付資金へ再
資源化に必要な設備一式を導入します。これ て処理できる体制を構築します。社外委託を排 投資します。これにより、価格競争が激しい原
により、廃バッテリーから排出されるPPを高品質 除し、製品品質の安定化、歩留まり向上、ト 料市場でも、柔軟な買付対応が可能となり、
な再生ペレットとして製品化するための物理的 レーサビリティ確保につなげます。 安定的な仕入体制の維持に貢献します。
インフラを整備します。
本投資により、再生PPペレットの年間生産・販売によって約1.5億円の新たな収益を見込んでいます。そのうち約8,000万円を、鉛事業における原料調
見込まれる 達資金として再投資し、仕入競争力の強化に直接活用します。また、従来は廃棄されていた資源を再利用することにより、プラスチック資源循環促進法
効果 への対応を強化し、環境配慮型の事業運営を具体化することができます。これらにより、収益基盤の拡充と環境価値の創出を同時に達成する構造が
構築されます。
【p.4】
日本海精錬株式会社
.補助事業の概要
2
現在の鉛精錬処理能力（120トン/日）では、今後の仕入量拡大に対応しきれないため、本事業では新たにキュポラ1基を増設し、処理能力を250トン/日へと
倍増させる。加えて、排ガス処理装置として2次燃焼炉・脱硫塔・集塵機などの環境対応設備を導入し、環境規制や地域住民への配慮にも対応する。さらに、
PPリサイクルによる収益を原資に安定的な仕入を実現し、精錬能力と調達力の両面から生産基盤を強化する。
新キュポラ導入による鉛処理能力の強化
現在、当社の鉛精錬工場では1日あたり最大120トンの処理が可能ですが、今後の仕入量拡大や事業成長を見据えると処理能力がボトルネックとな
補助事業の りつつあります。廃バッテリーの安定調達に加え、既存精錬能力の限界を突破し、より効率的に鉛製品を生産するためには、設備増強による処理体制
背景・目的 の再構築が不可欠です。本事業では、1日250トン体制の確立を目指してキュポラ（立炉）の増設を実施し、売上・収益の最大化と生産基盤の強
化を同時に実現することを目的としています。
① キュポラ増設による処理能力の強化 ② 環境対応型設備の導入による脱炭素化 ③ 処理能力の向上
設備投資の
内容
鉛処理能力の倍増を実現するため、新たに1 増設にあわせて、排ガス処理設備として、2次燃 新たなキュポラの導入により、鉛の精錬処理
基のキュポラ（立型立炉）を増設します。これ 焼炉、脱硫塔、環境対応型の集塵機を導入し 能力は従来の120t/日から250t/日へと大
により、現状120トン/日の精錬処理能力を、 ます。これは大気汚染防止法や自治体の環境 幅に向上し、仕入拡大にも対応可能な生産
250トン/日規模へと大幅に拡張します。処理 規制への適合を図ると同時に、CO₂排出量削 体制を確立します。また、稼働初期には仮運
量の限界を突破し、仕入量の拡大に対応でき 減・地域住民への配慮といった社会的責任にも 転期間を設定し、現場オペレーターの訓練や
る生産基盤を構築します。 応えます。 不具合の事前検証を通じて、設備の早期安
定化と生産効率の最大化を図ります。
キュポラ増設により、鉛精錬の処理能力は従来の約2倍となる1日250トンへと拡大します。これにより、増加する仕入量に対しても滞留なく処理が可能
見込まれる となり、売上規模も最大140億円規模まで成長が見込まれます。さらに、運転効率の向上により、人員あたりの付加価値額が上昇し、生産性の大幅な
効果 改善が期待されます。また、処理能力に余裕が生まれることで、廃バッテリーの仕入判断に柔軟性が増し、リードタイムの短縮や在庫の適正化といったサ
プライチェーン全体への波及効果も見込まれます。</t>
  </si>
  <si>
    <t>株式会社トノックス
1.長期成長ビジョン
未来の移動を支える、信頼の車体製造・車両架装技術で社会に貢献</t>
  </si>
  <si>
    <t>長期成長ビジョン（目指す姿・ビジネスモデル）
1. 「未来のモビリティインフラを支える架装技術パートナー」へ進化
トノックスは「架装の技術と信頼」において国内外で確固たる地位を築いてい
ます。今後は、EV・自動運転車両など設計・製造から法的適合・整備まで
の最適な架装ソリューションを提供する“モビリティの縁の下の力持ち”として、
モビリティ社会の基盤を担います。
2. 「自社ブランド製品の創出と拡大」
OEM向け受託製造に加え、自社ブランドによる特装車やモビリティ関連機
器の開発・販売を強化し、収益の多角化を図ります。例：小型EVモビリ
ティ、災害支援用車両など。
3. 「地域・社会課題を解決するパートナー企業」へ
高齢化・過疎化・災害・カーボンニュートラルといった社会課題に対し、架
装・移動・電動化の技術を活かしてソリューションを提供。例：地域MaaS
への車両提供、防災拠点となる架装ユニット、再生可能エネルギー対応の
車載システム。</t>
  </si>
  <si>
    <t>外発的動機
1．高齢化社会と過疎化
高齢化と過疎化が進む中、移動手段の提供が重要な課題となっています。地
域MaaSの需要が増加しており、地域社会に適したモビリティソリューションが求め
られています。
2．災害の頻発 自然災害が頻発し、迅速な対応が求められています。
災害支援用車両や防災拠点となる架装ユニットの需要が高まっており、トノックス
の技術が社会的に重要な役割を果たすことが期待されています。
３．カーボンニュートラルと環境意識の高まり
環境への配慮がますます重要視されており、電動化や再生可能エネルギー対応
車両の需要が高まっています。これに伴い、EVや環境に優しいモビリティ関連機
器の開発が急務となっています。</t>
  </si>
  <si>
    <t>内発的動機
• これまでの特装車製造を通じた社会貢献の経験に基づいています。
安心・安全の提供を重視し、特に緊急車両や災害支援車両で
培った技術を活かし、EVや自動運転車両を使った社会課題への対
応を目指しています。受託生産だけでなく、自社ブランドの製品を強
化し、社会のニーズに応じたソリューションを提供することで、企業とし
ての影響力を拡大し、お客様からの受注生産型から自社で発信す
る企業へと進化し、社会的責任を果たしながら成長したいと考えて
います。</t>
  </si>
  <si>
    <t>【p.1／売上成長目標】
会社全体の売上成長目標（2035年）
• 2035年目標売上高 20,000百万円
• 最新決算からの増加額 ＋11,668百万円
• 売上高年平均成長率 ９．８％
【p.2／項目 基準年度 事業化報告3年目】
項目 基準年度 事業化報告3年目</t>
  </si>
  <si>
    <t>【p.1】
株式会社トノックス
1.長期成長ビジョン
未来の移動を支える、信頼の車体製造・車両架装技術で社会に貢献
長期成長ビジョン（目指す姿・ビジネスモデル）
外発的動機
1. 「未来のモビリティインフラを支える架装技術パートナー」へ進化 1．高齢化社会と過疎化
トノックスは「架装の技術と信頼」において国内外で確固たる地位を築いてい 高齢化と過疎化が進む中、移動手段の提供が重要な課題となっています。地
域MaaSの需要が増加しており、地域社会に適したモビリティソリューションが求め
ます。今後は、EV・自動運転車両など設計・製造から法的適合・整備まで
られています。
の最適な架装ソリューションを提供する“モビリティの縁の下の力持ち”として、
2．災害の頻発 自然災害が頻発し、迅速な対応が求められています。
モビリティ社会の基盤を担います。
災害支援用車両や防災拠点となる架装ユニットの需要が高まっており、トノックス
の技術が社会的に重要な役割を果たすことが期待されています。
2. 「自社ブランド製品の創出と拡大」
３．カーボンニュートラルと環境意識の高まり
OEM向け受託製造に加え、自社ブランドによる特装車やモビリティ関連機
環境への配慮がますます重要視されており、電動化や再生可能エネルギー対応
器の開発・販売を強化し、収益の多角化を図ります。例：小型EVモビリ
車両の需要が高まっています。これに伴い、EVや環境に優しいモビリティ関連機
ティ、災害支援用車両など。
器の開発が急務となっています。
3. 「地域・社会課題を解決するパートナー企業」へ
内発的動機
高齢化・過疎化・災害・カーボンニュートラルといった社会課題に対し、架
装・移動・電動化の技術を活かしてソリューションを提供。例：地域MaaS • これまでの特装車製造を通じた社会貢献の経験に基づいています。
への車両提供、防災拠点となる架装ユニット、再生可能エネルギー対応の 安心・安全の提供を重視し、特に緊急車両や災害支援車両で
車載システム。 培った技術を活かし、EVや自動運転車両を使った社会課題への対
応を目指しています。受託生産だけでなく、自社ブランドの製品を強
会社全体の売上成長目標（2035年） 化し、社会のニーズに応じたソリューションを提供することで、企業とし
ての影響力を拡大し、お客様からの受注生産型から自社で発信す
• 2035年目標売上高 20,000百万円
る企業へと進化し、社会的責任を果たしながら成長したいと考えて
• 最新決算からの増加額 ＋11,668百万円
います。
• 売上高年平均成長率 ９．８％</t>
  </si>
  <si>
    <t>【p.2】
株式会社トノックス
.補助事業の概要
2
設備投資① 工場建屋
・工場建物建設 自走運転車両架装ラインと超小型モビリティ製造ラインを設置
補助事業の • 現状の工場設備はフル稼働であり、新規の自動運転架装業務、超小型モビリティ製造を行うス 事業費 1, 百万円
641
背景・目的 ペースがなく新工場の建設により業務拡大可能 （補助額） （473 万円）
百
・新工場建設予定地（2025年3月取得）
新工場 鉄筋スレート平屋建て 1,500坪
神奈川県伊勢原市鈴川31番（伊勢原工業団地内）
・敷地面積 11314.82㎡
設備投資の
・建屋面積 1,500坪
内容
自動運転車両架装ライン、超小型モビリティ製造ラインを設置する
項目 基準年度 事業化報告3年目
労働生産性 20,656
13,936
（単位：千円/人） （年平均上昇率＋14.0%）
目標値 従業員1人あたり給与支給総額 6,338
5,169
（単位：千円/人） （年平均上昇率＋7.0%）
役員１人あたり給与支給総額 -
-
（単位：千円/人） （年平均上昇率＋5.7％）
補助事業に係る従業員数
195 210
（単位：人）
【p.3】
株式会社トノックス
.補助事業の概要
2
設備投資② 主な機械設備類
補助事業の • 特装車製造は工員の手作業による労働集約型の作業が多く、自動化への取組が出来る範囲は限られている。
背景・目的 しかしながら、部品作り、作業方法等の改善活動により生産性を高めている。
車両リフター 高所作業車
設備投資の
内容
レーザーマシン ベンダー</t>
  </si>
  <si>
    <t>株式会社ベネフル
1.長期成長ビジョン
2031年5月期に売上高50億円を目指し、社会課題の解決と収益性を両立する3本柱を推進する。①廃車を再生し月額5千円で提供するアップサ
イクルカー事業、②観光と連動した隣県向け車検・車販モデルの展開、③全メーカー・EV・輸入車対応の整備士育成センター新設。生活困窮者支
援・高齢化対応・環境配慮を軸に、地域の中核企業として新たなモビリティ産業モデル構築を図る。
長期成長ビジョン（目指す姿・ビジネスモデル）
★自動車再生で地域、若者、環境に恩恵（ベネフル）を！
ベネフルは「役立つことがいっぱいある会社」として、お客様の期待を超える
サービスを追求し続けてきました。私たちは今、2031年5月期に「売上高
50億円」という目標を通じて、地域に必要とされる企業としての次なるス
テージに挑戦します。単なる事業規模の拡大ではなく、廃車の再生事業
や整備士育成を通じた社会課題の解決、顧客満足の最大化、そして社
員一人ひとりの成長と待遇向上を実現します。
【重点事業】
①アップサイクルカー事業
廃車を無償引取りして再生、月額5千円程度で生活困窮者や高齢
者にレンタルする事業。
②隣県顧客向け自動車販売・車検事業
奈良観光と連携し隣県顧客の“インバウンド型車検・購入”を実現する
タワー型ショールームを開設。
③ 全メーカー対応！整備士育成センターの開設
高度化する車両整備ニーズに応えるべく、全メーカー・EV・輸入車対応
の整備士育成セン
ターを新設。
会社全体の売上成長目標（2031年5月期）
• 売上高50億円（現店舗20億円、新店舗10億円×3店）
• 売上高成長率18.3％（2024年5月実績と比較）</t>
  </si>
  <si>
    <t>長期成長ビジョン（目指す姿・ビジネスモデル）
★自動車再生で地域、若者、環境に恩恵（ベネフル）を！
ベネフルは「役立つことがいっぱいある会社」として、お客様の期待を超える
サービスを追求し続けてきました。私たちは今、2031年5月期に「売上高
50億円」という目標を通じて、地域に必要とされる企業としての次なるス
テージに挑戦します。単なる事業規模の拡大ではなく、廃車の再生事業
や整備士育成を通じた社会課題の解決、顧客満足の最大化、そして社
員一人ひとりの成長と待遇向上を実現します。
【重点事業】
①アップサイクルカー事業
廃車を無償引取りして再生、月額5千円程度で生活困窮者や高齢
者にレンタルする事業。
②隣県顧客向け自動車販売・車検事業
奈良観光と連携し隣県顧客の“インバウンド型車検・購入”を実現する
タワー型ショールームを開設。
③ 全メーカー対応！整備士育成センターの開設
高度化する車両整備ニーズに応えるべく、全メーカー・EV・輸入車対応
の整備士育成セン
ターを新設。</t>
  </si>
  <si>
    <t>【p.1／売上成長目標】
会社全体の売上成長目標（2031年5月期）
• 売上高50億円（現店舗20億円、新店舗10億円×3店）
• 売上高成長率18.3％（2024年5月実績と比較）</t>
  </si>
  <si>
    <t>【p.1】
株式会社ベネフル
1.長期成長ビジョン
2031年5月期に売上高50億円を目指し、社会課題の解決と収益性を両立する3本柱を推進する。①廃車を再生し月額5千円で提供するアップサ
イクルカー事業、②観光と連動した隣県向け車検・車販モデルの展開、③全メーカー・EV・輸入車対応の整備士育成センター新設。生活困窮者支
援・高齢化対応・環境配慮を軸に、地域の中核企業として新たなモビリティ産業モデル構築を図る。
長期成長ビジョン（目指す姿・ビジネスモデル）
★自動車再生で地域、若者、環境に恩恵（ベネフル）を！
ベネフルは「役立つことがいっぱいある会社」として、お客様の期待を超える
サービスを追求し続けてきました。私たちは今、2031年5月期に「売上高
50億円」という目標を通じて、地域に必要とされる企業としての次なるス
テージに挑戦します。単なる事業規模の拡大ではなく、廃車の再生事業
や整備士育成を通じた社会課題の解決、顧客満足の最大化、そして社
員一人ひとりの成長と待遇向上を実現します。
【重点事業】
①アップサイクルカー事業
廃車を無償引取りして再生、月額5千円程度で生活困窮者や高齢
者にレンタルする事業。
②隣県顧客向け自動車販売・車検事業
奈良観光と連携し隣県顧客の“インバウンド型車検・購入”を実現する
タワー型ショールームを開設。
③ 全メーカー対応！整備士育成センターの開設
高度化する車両整備ニーズに応えるべく、全メーカー・EV・輸入車対応
の整備士育成セン
ターを新設。
会社全体の売上成長目標（2031年5月期）
• 売上高50億円（現店舗20億円、新店舗10億円×3店）
• 売上高成長率18.3％（2024年5月実績と比較）</t>
  </si>
  <si>
    <t>【p.2】
株式会社ベネフル
.補助事業の概要
2
奈良県内での再生車両販売・整備拠点整備や観光誘客型ショールーム構築、再生工程の内製化、AI診断装置・低VOC塗装などの設備導入を
通じて、生産性向上と脱炭素化を推進する。顧客対応もCRM等で一体化し、労働生産性は3年後9,761千円/人（9.2％%向上）を目指す。
補助事業の 廃車再生モビリティの需要拡大と、若手整備士不足・設備老朽化・属人作業の課題解決を目的 事業費 1, 百万円
885
背景・目的 に、再生工程の標準化・効率化・脱炭素化を図る新拠点を整備する。 （補助額） （3 3百万円）
3
以下に箇条書きでまとめる。
①奈良県内に再生車両販売・整備対応型の新店舗を2店舗出店し、広
域エリアでの対応力・供給力を強化
②観光・インバウンド・富裕層向けタワー型ショールームを整備、再生車の
魅力を体験型で伝える販促拠点とする（高級車・輸入車・コンセプト車を
展示）
設備投資の
③廃車再生の全工程（分解〜再塗装〜EV化）を内製化する一体型
内容
リビルドライン設備を導入し、生産性と作業平準化を実現
④低VOC対応再塗装ブースや自動化組立・外観診断装置（AI搭
載）を導入し、工程の省人化と脱炭素を両立
⑤CRM・予約管理連携システムにより、タワーショールーム・2店舗・本社
の連携体制を整備し、顧客対応と販促を一体化
項目 基準年度 事業化報告3年目
労働生産性
7,496千円／人
9,762千円／人
（単位：千円/人） （年平均上昇率＋9.2％）
目標値 従業員1人あたり給与支給総額 4,700千円／人
（単位：千円/人）
3,830千円／人
（年平均上昇率＋7.1％）
役員１人あたり給与支給総額
-
（単位：千円/人） - （年平均上昇率＋5.0％）
補助事業に係る従業員数
47人 100人
（単位：人）</t>
  </si>
  <si>
    <t>株式会社アイ・グラン・ソリューション
1.長期成長ビジョン
サウナ利用の圧倒的顧客ニーズによる【サウナ×フィットネス】
ウェルネス事業を通して健康寿命の延伸に貢献する</t>
  </si>
  <si>
    <t>長期成長ビジョン（目指す姿・ビジネスモデル)
＜現状＞
日本人の健康寿命を伸ばすことで未来に貢献したい。いつでも・どこでも・気軽に運動ができる
環境を提供することで、運動習慣がつき、国民の健康寿命の延伸に貢献し、最終的に
国の医療費の削減にも寄与したいという想いでフィットネス事業(エニタイムのフランチャイズ)を
展開しています。そのためにも、当社のサービスの本質である「相手の立場に立って思いやる心」
に基づき、「自分が会費を払ってでも会員になりたいと心から思えるか」という視点で独自のサー
ビスを取り入れ、フィットネスを運営しています。
＜ビジネスモデル＞
■今後、圧倒的顧客ニーズにより、新たにサウナ事業を立ち上げ科学的根拠に基づき、
フィットネス事業を掛け合わせた“ウェルネス事業”を展開いたします。
■ウェルネス事業は、従来の 「鍛える」や「整える」にとどまらず、「リカバリー」や「メンタルケア」
まで含む包括的なウェルネス体験を提供する新しい業態。単体施設では満たせない
「トータルケア」の提供が可能になります。
■競合他社には無い、ただ来るだけで、全身のケアが完了する」ワンストップ設計となり、
「身体と心を整える施設」として代替の無いサービスとなります。
■広島大学との産学連携により、サウナとフィットネスの相乗効果が、血行促進・筋肉疲労
回復・熱中症対策、予防へ貢献できる科学的根拠を研究。
＜成長戦略＞
■顧客ニーズによりサブスクリプションサービスを導入します。安定したキャッシュフローと、
高利益率を生む事が出来ます。
■自社FCエニタイムフィットネス会員に新設サウナを優遇価格で提供する事で、サウナ、フィット
ネスの二重での収益化が見込めます。
■強い集客力・収益力を持つ当社がその会員数や独自のサービス力を活かし、このウェルネス
事業を展開するからこそ、収益構造の改善が想定され、多店舗展開を加速させることが可
能となり、お客様の健康寿命の延伸、雇用の創出、賃上げなどの日本の社会題の解決に
繋がるビジネスとなっております。</t>
  </si>
  <si>
    <t>外発的動機
■全国の当社運営フィットネス会員様へアンケートを実施。
6,381名からのアンケート回答の結果、 「フィットネスの近隣に
あったら嬉しい設備・サービスは何ですか？」という質問に対する回答
の第1位は「サウナ施設」、また「利用しているフィットネス施設の近隣
にサウナ施設があったら利用してみたいですか？」という質問に対して、
85%の方が「利用してみたい」という圧倒的な回答がありました。
■コロナ禍を経て免疫力や基礎体力を付けることの大切さを改めて実感
した人や、テレワークの普及で運動不足に陥り、健康維持に努めようと
考える人が増えております。
■ライフスタイルの変化や、“ウェルネス”（心身の健康）に対する関心が
高まっていることで、身体だけでなく、リラクゼーションや精神的健康のた
めにも、フィットネス施設だけでなく、サウナ施設を連携させることで、トー
タルボディケアを可能とするウェルネス事業が社会に必要と考えます。</t>
  </si>
  <si>
    <t>内発的動機
■当グループは、『未来に貢献できる企業でありたい』という企業理
念を掲げており、その理念に基づく事業しかしないと決めています。
■50年後の未来に貢献できる事業として新事業であるウェルネス事業を
展開し、健康寿命を伸ばすことに貢献したいと思っています。
■当グループ代表が数年前に大病を患い、その時に健康の大切さを身
をもって実感したこともあり、より思いは強くなっております。さらに今ある
事業だけでなく、シナジー効果を生み出せる新たな事業も加えることで、
より事業成長を図っていきたいと考えております。</t>
  </si>
  <si>
    <t>会社全体の売上成長目標（直近決算期2024年～2030年）
売上高成長率528％、売上高増加額107億円
会社全体の賃上げ目標
• 8.58%（直近事業年度～基準年度）
• 10.77%（基準年度～事業化報告3年目）</t>
  </si>
  <si>
    <t>【p.1／売上成長目標】
会社全体の売上成長目標（直近決算期2024年～2030年）
売上高成長率528％、売上高増加額107億円
会社全体の賃上げ目標
• 8.58%（直近事業年度～基準年度）
• 10.77%（基準年度～事業化報告3年目）</t>
  </si>
  <si>
    <t>【p.1】
株式会社アイ・グラン・ソリューション
1.長期成長ビジョン
サウナ利用の圧倒的顧客ニーズによる【サウナ×フィットネス】
ウェルネス事業を通して健康寿命の延伸に貢献する
長期成長ビジョン（目指す姿・ビジネスモデル)
外発的動機
＜現状＞
日本人の健康寿命を伸ばすことで未来に貢献したい。いつでも・どこでも・気軽に運動ができる ■全国の当社運営フィットネス会員様へアンケートを実施。
環境を提供することで、運動習慣がつき、国民の健康寿命の延伸に貢献し、最終的に 6,381名からのアンケート回答の結果、 「フィットネスの近隣に
国の医療費の削減にも寄与したいという想いでフィットネス事業(エニタイムのフランチャイズ)を あったら嬉しい設備・サービスは何ですか？」という質問に対する回答
展開しています。そのためにも、当社のサービスの本質である「相手の立場に立って思いやる心」
の第1位は「サウナ施設」、また「利用しているフィットネス施設の近隣
に基づき、「自分が会費を払ってでも会員になりたいと心から思えるか」という視点で独自のサー
にサウナ施設があったら利用してみたいですか？」という質問に対して、
ビスを取り入れ、フィットネスを運営しています。
85%の方が「利用してみたい」という圧倒的な回答がありました。
＜ビジネスモデル＞
■今後、圧倒的顧客ニーズにより、新たにサウナ事業を立ち上げ科学的根拠に基づき、 ■コロナ禍を経て免疫力や基礎体力を付けることの大切さを改めて実感
フィットネス事業を掛け合わせた“ウェルネス事業”を展開いたします。 した人や、テレワークの普及で運動不足に陥り、健康維持に努めようと
■ウェルネス事業は、従来の 「鍛える」や「整える」にとどまらず、「リカバリー」や「メンタルケア」
考える人が増えております。
まで含む包括的なウェルネス体験を提供する新しい業態。単体施設では満たせない
「トータルケア」の提供が可能になります。
■ライフスタイルの変化や、“ウェルネス”（心身の健康）に対する関心が
■競合他社には無い、ただ来るだけで、全身のケアが完了する」ワンストップ設計となり、
高まっていることで、身体だけでなく、リラクゼーションや精神的健康のた
「身体と心を整える施設」として代替の無いサービスとなります。
めにも、フィットネス施設だけでなく、サウナ施設を連携させることで、トー
■広島大学との産学連携により、サウナとフィットネスの相乗効果が、血行促進・筋肉疲労
回復・熱中症対策、予防へ貢献できる科学的根拠を研究。 タルボディケアを可能とするウェルネス事業が社会に必要と考えます。
＜成長戦略＞
■顧客ニーズによりサブスクリプションサービスを導入します。安定したキャッシュフローと、
高利益率を生む事が出来ます。 内発的動機
■自社FCエニタイムフィットネス会員に新設サウナを優遇価格で提供する事で、サウナ、フィット ■当グループは、『未来に貢献できる企業でありたい』という企業理
ネスの二重での収益化が見込めます。
念を掲げており、その理念に基づく事業しかしないと決めています。
■強い集客力・収益力を持つ当社がその会員数や独自のサービス力を活かし、このウェルネス
事業を展開するからこそ、収益構造の改善が想定され、多店舗展開を加速させることが可
■50年後の未来に貢献できる事業として新事業であるウェルネス事業を
能となり、お客様の健康寿命の延伸、雇用の創出、賃上げなどの日本の社会題の解決に
展開し、健康寿命を伸ばすことに貢献したいと思っています。
繋がるビジネスとなっております。
■当グループ代表が数年前に大病を患い、その時に健康の大切さを身
会社全体の売上成長目標（直近決算期2024年～2030年）
売上高成長率528％、売上高増加額107億円 をもって実感したこともあり、より思いは強くなっております。さらに今ある
事業だけでなく、シナジー効果を生み出せる新たな事業も加えることで、
会社全体の賃上げ目標
より事業成長を図っていきたいと考えております。
• 8.58%（直近事業年度～基準年度）
• 10.77%（基準年度～事業化報告3年目）</t>
  </si>
  <si>
    <t>【p.2】
株式会社アイ・グラン・ソリューション
.補助事業の概要
2
社会課題の解決と顧客ニーズに応えるために
新たにウェルネス事業を展開する事で事業規模の拡大を図る
補助事業の 顧客ニーズの高まりにより、サウナとフィットネスを連携させた事業を再構築 事業費 億円
58
背景・目的 新たにウェルネス事業を立ち上げ、新規出店により、売上拡大・健康寿命の延伸に貢献する。 （補助額） （19億円）
【新規出店への投資】
■新規でのサウナとフィットネスを融合させた施設を展開いたします。
■当社運営中のフィットネス施設に併設、もしくは近隣に新たにサウナ施設を出店します。
■NEWYORKのBATHHOUSEをはじめとした最先端のサウナと同レベルの施設を日本で展開いたします。
■2027年12月までに27施設開店予定(サウナ14施設・フィットネス13施設)
設
【サウナ設備投資内容】
備 ■最新チラー導入により、温度帯の異なる複数の水風呂を設置。オゾン濾過システム導入で清潔且つ管理手間の軽減、
投 運用効率による省人化に繋げます。 ■高付加価値を生むオートロウリュシステム導入で運用効率向上による省人化に
■サウナ施設イメージ
資 繋げます。■高品質のサウナチェアを導入。究極のととのいを提供します。■極上の癒しの最新マッサージチェア(あんま王)
を導入します。■美容と、リラックス。保湿効果のある高品質なミストサウナを導入します。
の
【フィットネス設備投資】
内
■他社には無い圧倒的なマシンラインナップ。
容 【DX化による省人化効果】
■AGC株式会社と連携した新システムの開発⇒ミラリア（AGCオリジナルのミラー型サイネージ）と体組成AIを
組み合わせた新たな体組成計を設置し、AIによる現状分析や、目標設定、トレーニングメニューの提案などを
行える事で、省人化や・スタッフ不在時でのサービスの維持向上に繋げます。
■ポストシステムズの無人レジカウンターシステムの導入⇒無人レジカウンター設置により、有人受付サービスの削減。
顧客管理システムによる、顧客管理業務の削減。販促システム活用による、販促活動業務の削減が実現可能です。 ■AI診断ミラーイメージ
2027年度 2030年度
項目
（基準年度） （基準年度＋３年後）
労働生産性 67,145千円/人
41,258千円/人
（単位：万円/人） （年平均上昇率＋17.6％）
目標値 従業員1人あたり給与支給総額 4,925千円/人
3,819千円/人
（単位：万円/人） （年平均上昇率＋8.8％）
役員１人あたり給与支給総額 -
-
（単位：万円/人） （年平均上昇率0％）
補助事業に係る従業員数
54人 120人
（単位：人）
※賃上げ要件の通り、各事業年度において全月分（決算月後から決算期までの12か月分）の給与等の支給を受けた従業員のみにて算出</t>
  </si>
  <si>
    <t>創建ホーム株式会社
1.長期成長ビジョン
・中長期成長ビジョンとして「わたしたちは、総合住宅建築メーカーとして地域社会に貢献し未来を創る」を掲げ、
創建イノベーションの実現という経営戦略を遂行。2030年度に売上高201億円（＋116億円）を目指す
長期成長ビジョン（目指す姿・ビジネスモデル）
人口減少（広島県は4年連続人口流出ワースト） 社会課題
経営理念 すべてのサービスの高いクオリティを実現させ、お客
・広島県は日本全体と同様に少子高齢化の影響を受けている
様・社員・取引先の満足度向上に挑戦する なか、2024年度の転出超過は約１万人
特に大学進学、新卒就職、40代までのUIターンで大きな転出
パーパス わたしたちは、総合住宅建築メーカーとして地域社会 外
の波（広島県社会減少要因調査分析）があり、将来の住宅
に貢献し未来を創る 発
着工件数に影響がある
的
・「広島の暮らしに、彩りを」
動
・地元企業として積極的に地域活性化に寄与していく。 顧客ニーズの多様化、市場競争に負ける 顧客ニーズ
機
そのために総合住宅建築メーカーとして事業多角化を図る
・お客様はライフスタイルや好みに合わせて、間取りやデザイン、エ
経営戦略 創建イノベーションの実現 コ住宅（省エネ性能や断熱性能）を自由に選ばれる
・顧客ニーズを汲み取りサービスを提供し、当社が選ばれる差別
① 新しいアイデア・商品・サービス・プロセスを創造し具現化する
化戦略が重要となる
・DX化、部署間連携を推進し業務の質やスピードを向上させることは当然、
顧客情報を一元管理するなかで例えば住宅を建設されたお客さまが次に要
望されることを新しい切り口からご提案していく
経営者の動機
当社事業で地域の社会課題を解決したい！
② 新しい価値を生み出し、人材・企業・地域の成長に繋げる
・現状の当社の主力事業は、注文住宅、リフォーム、エクステリア
・地域イベントやネットワーキングの場を提供し、交流を促進地域社会や環
（建物の外部空間や外観）等の住宅建設であるが、まだまだ
境に配慮した事業活動を行い、社会的責任を果たす
事業領域を拡大できるポテンシャルはあると確信している
内
③ ビジネスモデルの変革・新しい市場の開拓など新しい仕組みを
発 ・当社が住宅建設以外の事業領域に進出することで、お客様の
構築し、主体的に挑戦する人材になる
的 ニーズを捉えた広島でのライフスタイルを提案し、広島に住みたい
・創造的なアイデアを奨励し、また失敗を恐れずに挑戦する姿勢を褒め称え、 人を増やしたい
動
学びを重視する企業文化を醸成する
機 ・また、競合他社との差別化を図り、収益源を多様化することで、
雇用拡大や賃上げにより従業員に利益を還元したい
会社全体の売上成長目標(2024～2030年度)
・さらに、団塊ジュニア世代の都市移住等による住宅承継問題
売上高増加額：11,642百万円 や、人口減少に伴う空き家対策など、社会課題の解決に資す
売上高成長率：238％ (CAGR：15.54％) る事業を展開したい</t>
  </si>
  <si>
    <t>・補助事業である①大型施設の建築、②住宅展示場の建築、③テナント等ビルの建築を通じて、すべてのサービ
スの高いクオリティを実現させ、お客様・社員・取引先の満足度向上に挑戦する。</t>
  </si>
  <si>
    <t>【p.1／人口減少（広島県は4年連続人口流出ワースト） 社会課題】
人口減少（広島県は4年連続人口流出ワースト） 社会課題
・広島県は日本全体と同様に少子高齢化の影響を受けている
なか、2024年度の転出超過は約１万人
特に大学進学、新卒就職、40代までのUIターンで大きな転出
の波（広島県社会減少要因調査分析）があり、将来の住宅
着工件数に影響がある
顧客ニーズ
顧客ニーズの多様化、市場競争に負ける
・お客様はライフスタイルや好みに合わせて、間取りやデザイン、エ
コ住宅（省エネ性能や断熱性能）を自由に選ばれる
・顧客ニーズを汲み取りサービスを提供し、当社が選ばれる差別
化戦略が重要となる
【p.1／経営者の動機】
経営者の動機
当社事業で地域の社会課題を解決したい！
・現状の当社の主力事業は、注文住宅、リフォーム、エクステリア
（建物の外部空間や外観）等の住宅建設であるが、まだまだ
事業領域を拡大できるポテンシャルはあると確信している
・当社が住宅建設以外の事業領域に進出することで、お客様の
ニーズを捉えた広島でのライフスタイルを提案し、広島に住みたい
人を増やしたい
・また、競合他社との差別化を図り、収益源を多様化することで、
雇用拡大や賃上げにより従業員に利益を還元したい
・さらに、団塊ジュニア世代の都市移住等による住宅承継問題
や、人口減少に伴う空き家対策など、社会課題の解決に資す
る事業を展開したい
【p.1／売上成長目標】
会社全体の売上成長目標
(2024～2030年度)
売上高増加額：11,642百万円
売上高成長率：238％ (CAGR：15.54％)
【p.2／上段要旨】
・補助事業である①大型施設の建築、②住宅展示場の建築、③テナント等ビルの建築を通じて、すべてのサービ
スの高いクオリティを実現させ、お客様・社員・取引先の満足度向上に挑戦する。</t>
  </si>
  <si>
    <t>【p.1】
創建ホーム株式会社
1.長期成長ビジョン
・中長期成長ビジョンとして「わたしたちは、総合住宅建築メーカーとして地域社会に貢献し未来を創る」を掲げ、
創建イノベーションの実現という経営戦略を遂行。2030年度に売上高201億円（＋116億円）を目指す
長期成長ビジョン（目指す姿・ビジネスモデル）
人口減少（広島県は4年連続人口流出ワースト） 社会課題
経営理念 すべてのサービスの高いクオリティを実現させ、お客
・広島県は日本全体と同様に少子高齢化の影響を受けている
様・社員・取引先の満足度向上に挑戦する なか、2024年度の転出超過は約１万人
特に大学進学、新卒就職、40代までのUIターンで大きな転出
パーパス わたしたちは、総合住宅建築メーカーとして地域社会 外
の波（広島県社会減少要因調査分析）があり、将来の住宅
に貢献し未来を創る 発
着工件数に影響がある
的
・「広島の暮らしに、彩りを」
動
・地元企業として積極的に地域活性化に寄与していく。 顧客ニーズの多様化、市場競争に負ける 顧客ニーズ
機
そのために総合住宅建築メーカーとして事業多角化を図る
・お客様はライフスタイルや好みに合わせて、間取りやデザイン、エ
経営戦略 創建イノベーションの実現 コ住宅（省エネ性能や断熱性能）を自由に選ばれる
・顧客ニーズを汲み取りサービスを提供し、当社が選ばれる差別
① 新しいアイデア・商品・サービス・プロセスを創造し具現化する
化戦略が重要となる
・DX化、部署間連携を推進し業務の質やスピードを向上させることは当然、
顧客情報を一元管理するなかで例えば住宅を建設されたお客さまが次に要
望されることを新しい切り口からご提案していく
経営者の動機
当社事業で地域の社会課題を解決したい！
② 新しい価値を生み出し、人材・企業・地域の成長に繋げる
・現状の当社の主力事業は、注文住宅、リフォーム、エクステリア
・地域イベントやネットワーキングの場を提供し、交流を促進地域社会や環
（建物の外部空間や外観）等の住宅建設であるが、まだまだ
境に配慮した事業活動を行い、社会的責任を果たす
事業領域を拡大できるポテンシャルはあると確信している
内
③ ビジネスモデルの変革・新しい市場の開拓など新しい仕組みを
発 ・当社が住宅建設以外の事業領域に進出することで、お客様の
構築し、主体的に挑戦する人材になる
的 ニーズを捉えた広島でのライフスタイルを提案し、広島に住みたい
・創造的なアイデアを奨励し、また失敗を恐れずに挑戦する姿勢を褒め称え、 人を増やしたい
動
学びを重視する企業文化を醸成する
機 ・また、競合他社との差別化を図り、収益源を多様化することで、
雇用拡大や賃上げにより従業員に利益を還元したい
会社全体の売上成長目標(2024～2030年度)
・さらに、団塊ジュニア世代の都市移住等による住宅承継問題
売上高増加額：11,642百万円 や、人口減少に伴う空き家対策など、社会課題の解決に資す
売上高成長率：238％ (CAGR：15.54％) る事業を展開したい</t>
  </si>
  <si>
    <t>【p.2】
創建ホーム株式会社
.補助事業の概要
2
・補助事業である①大型施設の建築、②住宅展示場の建築、③テナント等ビルの建築を通じて、すべてのサービ
スの高いクオリティを実現させ、お客様・社員・取引先の満足度向上に挑戦する。
・ライフスタイルの変化に応じてお客様のニーズも多様化している。お客様から選ばれるためには、
信頼や品質の確保、新しい価値ある商品のご提供は言うまでもなく、総合住宅建築メーカーと 事業費 1,560百万円
補助事業の
しての事業多角化、ブランド力の更なる強化、DX・デジタル化の推進など対応していかなけれ （補助額） （520百万円）
背景・目的
ばならない。補助事業により経営理念である「すべてのサービスの高いクオリティを実現させ、お
客様・社員・取引先の満足度向上に挑戦する」を実現する
新たなフラグシップである大型施設
・集客や営業の役割を担う重要施策として一線を画した最新のモデルハウスやショー
ルーム等を建築していく。
・特に新たなフラグシップ（重要拠点）として当社東広島本部隣地に建築する大型施
設にはモデルハウスやショールームのほか、テナントやオフィスが加わり、全長65ｍの
空間をイチョウ並木と複数の建物群が際立たせ、人々が集う新しい風景を生む
設備投資の 項目 場所 投資額（百万円）
内容
①新たなフラグシップである大型施設の建築 東広島市 936
東広島本部（LIFE/CULTURE MARKET L/C）
②集客や営業の役割を担う住宅展示場の建築 広島市 102
③事業多角化に向けたテナント等ビルの建築 福山市 522
①には東広島本部（LIFE/CULTURE MARKET L/C：注文住宅、リフォーム、外構、エクステリアから家具、インテリア、イベントなど住まいから
暮らしまでトータルにプロデュースする施設）の改修を含む
項目 基準年度（2027年度） 事業化報告3年目（2030年度）
労働生産性（単位：千円/人） 7,287 22,699（年平均上昇率＋46.0%）
目標値 従業員1人あたり給与支給総額（単位：千円/人） 5,025 6,070（年平均上昇率＋6.5%）
役員１人あたり給与支給総額（単位：千円/人） （年平均上昇率＋5.7%）
- -
補助事業に係る従業員数（単位：人） 156 196</t>
  </si>
  <si>
    <t>全ページBox分割 - 縦持ち</t>
  </si>
  <si>
    <t>PDFの図形座標を基準に1ページを複数Boxへ分割。右上会社名ヘッダーと認識済み子Boxを座標除外し、文章の相互混入を防いでいます。</t>
  </si>
  <si>
    <t>ページ種別</t>
  </si>
  <si>
    <t>Box番号</t>
  </si>
  <si>
    <t>Box分類</t>
  </si>
  <si>
    <t>Boxタイトル</t>
  </si>
  <si>
    <t>X0</t>
  </si>
  <si>
    <t>Y0</t>
  </si>
  <si>
    <t>X1</t>
  </si>
  <si>
    <t>Y1</t>
  </si>
  <si>
    <t>会社名ヘッダー除外</t>
  </si>
  <si>
    <t>長期成長ビジョン</t>
  </si>
  <si>
    <t>上段要旨</t>
  </si>
  <si>
    <t>除外済</t>
  </si>
  <si>
    <t>vector_rectangle</t>
  </si>
  <si>
    <t>当社（半導体製造装置向け部品製造業）は、半導体製造装置を販売するエンドユーザーからの強い要請
に基づき、6年度後に現在の1.55倍の売上高を達成（2023年度:168億円⇒2029年度:260億円）</t>
  </si>
  <si>
    <t>長期成長ビジョン（目指す姿・ビジネスモデル）
現在の姿
• 昭和49年の設立以来、兵庫県丹波篠山市で精密電子機
器等製造（①精密電子機器事業(整合器製造)、
②ハーネス事業、③制御盤事業を行う
長期成長ビジョン
• 生産能力拡大のための大規模投資を通じ、半導体製造装
置の市場成長に貢献
• 当社エンドユーザーの、半導体製造装置世界シェア拡大に
寄与</t>
  </si>
  <si>
    <t>外発的動機</t>
  </si>
  <si>
    <t>内発的動機</t>
  </si>
  <si>
    <t>審査基準 ☑メガトレンドを踏まえ、5～10年後の社会に価値提供する自社のありたい姿（長期成長ビジョン）が具現化されている
との整合性 ☑その中において、高い売上高成長率及び売上高増加額が示されている</t>
  </si>
  <si>
    <t>補助事業の概要</t>
  </si>
  <si>
    <t>・現有の工場・設備類では顧客からの増産依頼に対応しきれない
・①新工場建築、②製造/検査ラインの導入、③システム導入により、顧客要望に応えられる体制を構築</t>
  </si>
  <si>
    <t>その他Box</t>
  </si>
  <si>
    <t>エンドユーザーから頂戴した増産計画に基づき、既存の工場では生産対応しきれないため、</t>
  </si>
  <si>
    <t>エンドユーザーから頂戴した増産計画に基づき、既存の工場では生産対応しきれないため、
新工場建築による製造面積増加、設備・システム導入を通じて増産体制を構築する</t>
  </si>
  <si>
    <t>売上高800億円、デパ地下、空港・駅ナカNo.1達成のため、成長市場への積極投資や事業運営の
省力化・合理化を推進し、コストや顧客ニーズなどの外部環境変化を克服する。</t>
  </si>
  <si>
    <t>当社・会社の概要</t>
  </si>
  <si>
    <t>補助事業実施により労働生産性を年平均14.9％向上し、地域別最低賃金の上昇率を上回る年平均3.0％の</t>
  </si>
  <si>
    <t>［背景・目的］コスト増加に伴うビジネスモデルの再構築、成長市場の取り込みを目的とした実施体
制の整備
［課題］生産規模拡大と経営効率の向上</t>
  </si>
  <si>
    <t>経費項目 名称 効果 労働生産性</t>
  </si>
  <si>
    <t>経費項目 名称 効果 労働生産性
下記の機械設備、システム導入による
建物費 桑名工場増築 スペース拡充による生産規模拡大
労働生産性向上
成形機
焼成・成形・包装の品質向上
オーブン・焼成機 自動化・省力化に伴う
機械装置費 時間短縮
包装機・箱詰め 労働生産性向上
コスト削減
その他
情報一元管理
ERP
部門間連携強化
業務工数削減、生産・販売フロー見直しに
ソフトウェア費 資材所要量、在庫管理適正化
MES よる労働生産性向上
トレーサビリティ構築
POS トレーサビリティ構築</t>
  </si>
  <si>
    <t>2026年度 2029年度</t>
  </si>
  <si>
    <t>2026年度 2029年度
項目
（基準年度） （基準年度＋３年後）
労働生産性
1,236 1,870( 年平均上昇率＋14.8％)
（単位：万円 /人）
従業員1人あたり給与支給総額
336 369 (年平均上昇率＋3.0％)
（単位：万円 /人）
役員１人あたり給与支給総額
- - (年平均上昇率＋11.1％)
（単位：万円 /人）
補助事業に係る従業員数
840 1,132
（単位：人）</t>
  </si>
  <si>
    <t>まとめ</t>
  </si>
  <si>
    <t>まとめ
投資内容は、桑名工場の増築、各種機械設備・システムの導入である。生産面では工場増築と設備導入により生産ラインを従来の5本か
ら11本に増やすとともに、ERP、MES導入により生産プロセスの最適化・効率化に取り組み、最大生産能力を200億円から450億円に拡
大する。販売面では、2029年9月期に160店舗を目指しており、ERP、POS導入により管理業務の効率化と顧客情報収集によるマーケ
ティング強化に取り組む。</t>
  </si>
  <si>
    <t>長期成長ビジョン（目指す姿・ビジネスモデル）
2038年の弊社売上目標1,000億円、経常利益目標160億円、純利
益目標100億円を達成すべく、長浜工場に大規模投資を行い、省
人化機械設備を導入し、40,000ｔ/年のチーズ及びチーズ代替品の
生産を可能にしたい。さらに、日本のみならずアジアへも代替市場
を開拓し持続可能な食文化を提供したい。
生産を内製化し安定した価格で収益を上げるビジネスモデルとして
代替チーズ市場規模拡大に貢献する。弊社独自のチーズ代替品ブ
ランド「スティリーノ」（商標第5130289号）、チーズに含まれる乳脂
肪を植物油脂に置き換えたチーズ代替素材。「コレステロール98％
オフ実現」「脂肪分カット」「冷めてもやわらかい食感」など独自の付
加価値がある。輸入に頼り高騰するチーズ市場において、原材料
を仕入れ製造を内製化しているスティリーノは為替相場や有事に左
右されにくく安定供給ができ持続的に成長性が見込まれる。
さらに、動物性原料一切不使用の「ヴィーガン」シリーズも開発。ア
レルギー28品目不使用で、健康志向の高まる市場の規模拡大に
寄与する。これらプラントベースフードは温室効果ガス削減や森林
破壊の低減など、持続可能な開発目標(SDGｓ)に貢献する食材で
ある。代替チーズ国内シェア80％の弊社が伸張する需要に応える
べく大型投資による省力・省人化で増産増益を叶え、更なる開発・
製造販売・雇用創出・賃上げにつなげ国内の経済発展へ寄与する。
今後はチーズ消費量が急増しているアジア圏、さらに北米への販
路拡大も目指す。</t>
  </si>
  <si>
    <t>heading_region_fallback</t>
  </si>
  <si>
    <t>）、自動計量器を導入し省力・省人化で労働
して長期成長ビジョンに掲げる国内代替食品業
高騰により自社存続をかけて開発、商品化した植物油
続可能な発展(サスティナビリティ)、食物アレルギーにも対
られる供給が出来ておらず、追随する新規参入に先んじ
目指す。
賀県長浜市の工場脇スペースに増設）
自動倉庫（スティリーノ冷却システム）、自動計量器、ラ</t>
  </si>
  <si>
    <t>〇⾧期経営ビジョン NEXT20 （2041年に向かって）</t>
  </si>
  <si>
    <t>設備投資の内容</t>
  </si>
  <si>
    <t>（設備投資の内容を記載ください。）
①新工場、事務所建設費 4,849百万
②新工場製造機械導入費 1,750百万
③新工場太陽光パネル/大型蓄電池設置費 268百万
④工場の見える化システム構築費 49百万
（設備投資が課題を解決）
7,474坪の新工場を建設、20tクレーン、ロボット等の最新
高生産性で省人化可能な、大型で高重量、高難度の案件
会社となる。再生エネルギーの活用、IOTシステムを装備し工
化を実現し、低コストでリアルタイムで工場の稼働状況を管理
な工場を建設する。（労働生産性向上）
10t超の鉄骨製造が可能で、ロボット等の自動化設備の導
増加と低コスト製造が可能となる。IOTシステムを装備した新
工場の見える化が実現し、正確なデジタルデータを元に改善</t>
  </si>
  <si>
    <t>2026年度
項目
（基準年度）</t>
  </si>
  <si>
    <t>2027年度
項目
（基準年度）</t>
  </si>
  <si>
    <t>2030年度
（基準年度＋3年後）</t>
  </si>
  <si>
    <t>ン/当社の概要
電子基板組立を開始、1995年に異業種であ
ら真空分野をコアとして、半導体製造装置や液
業名：株式会社ミラプロ
在地：山梨県北杜市須玉町穴平1100番地
本金：9,750万円</t>
  </si>
  <si>
    <t>企業名：株式会社ミラプロ</t>
  </si>
  <si>
    <t>企業名：株式会社ミラプロ
所在地：山梨県北杜市須玉町穴平1100番地
資本金：9,750万円
従業員：750名（23年3月）
理 念：人々の生活・文化に貢献する企業集団を目指します。
創業時の3つの理念
奇蹟の創造 たゆまぬ努力 豊かさの追求</t>
  </si>
  <si>
    <t>沿革</t>
  </si>
  <si>
    <t>沿革
1984年~ 創業、下請け時代（基板組立を開始）
1995年~ 真空部品メーカーへ
2002年~ 海外展開、医療分野への進出
2010年~ KAGRA参画、次世代事業を展開
2012年 津金洋之が代表取締役に就任
2018年~ 真空をコアとして更なる飛躍へ</t>
  </si>
  <si>
    <t>資本金：9,750万円
会社概要
従業員：750名（23年3月）
・沿革
理 念：人々の生活・文化に貢献する企業集団を目指します。
創業時の3つの理念
奇蹟の創造 たゆまぬ努力 豊かさの追求
事業 真空 ユニット
事業・
半導体やフラットパネルディスプレイの
事業内容・ 事業内容
製造装置の（真空）部品製造・組立・据付
売上比率
売上比率 半導体・FPD製造装置分野：92%程度</t>
  </si>
  <si>
    <t>内発的動機
ESS」を掲げ事業推進・採用促進
」「たゆまぬ努力」「豊かさの追求」
長「売上高1,000億円の達成」と利益率向上</t>
  </si>
  <si>
    <t>外発的動機
普及に伴う、高性能な半導体製造装置需要
ど業界トップ企業の意思決定の迅速さ
増加に伴う、医療機器類の需要
ける発電・蓄電に関する研究開発の進展</t>
  </si>
  <si>
    <t>「BORDERLESS」を掲げ事業推進・採用促進</t>
  </si>
  <si>
    <t>「奇蹟の創造」「たゆまぬ努力」「豊かさの追求」</t>
  </si>
  <si>
    <t>設立50周年に向けた成長「売上高1,000億円の達成」と利益率向上</t>
  </si>
  <si>
    <t>高性能な 業界トップ企業の 高齢者の増加に伴う エネルギー分野の</t>
  </si>
  <si>
    <t>高性能な 業界トップ企業の 高齢者の増加に伴う エネルギー分野の
半導体製造装置需要 意思決定の迅速さ 医療機器類の需要増 発電・蓄電の発展
〈具体的内容〉 〈具体的内容〉 〈具体的内容〉 〈具体的内容〉
IoTやAI,5G通信技術などの 半導体分野・医療分野など 負担が少なく効果の高い最 環境負荷の少ないエネルギー
普及に伴い、高性能な半導体 当社取引先は業界トップ企業 新の医療機器やディスポーザ の発電や蓄電の研究開発が進
と製造装置の需要が増加 であり、投資の意思決定が迅速 ブル医療用品の需要が増加 んでいる
〈トレンドへの対応〉 〈トレンドへの対応〉 〈トレンドへの対応〉 〈トレンドへの対応〉
当社の真空関連技術を活か 取引先の投資判断に迅速に 技術の進歩に伴う製品ライ 当社の真空に関する知見や
し、半導体分野において、開発 追随するためデータ活用体制を フサイクルの短縮化に対応す 技術はエネルギー分野の発電・
から保守メンテまで一貫対応体 整備して経営判断・意思決定 るため製造データを一元管理 蓄電においても活躍しており、
制を確立する のスピードと確度を高める し、引き合いから製造までの 知見の効率的な提供で研究
時間を短縮化する 開発に貢献する</t>
  </si>
  <si>
    <t>普及に伴い、高性能な半導体 当社取引先は業界トップ企
外発的動機 と製造装置の需要が増加 であり、投資の意思決定が迅
の詳細
〈トレンドへの対応〉 〈トレンドへの対応〉
当社の真空関連技術を活か 取引先の投資判断に迅速
し、半導体分野において、開発 追随するためデータ活用体制
から保守メンテまで一貫対応体 整備して経営判断・意思決
制を確立する のスピードと確度を高める
「奇蹟の創造」
「BORDERLESS」 「たゆまぬ努力」
「豊かさの追求」
年齢、性別、人種、国籍など 創業時に掲げた３つの理</t>
  </si>
  <si>
    <t>「奇蹟の創造」</t>
  </si>
  <si>
    <t>「奇蹟の創造」
設立50周年
「BORDERLESS」 「たゆまぬ努力」
に向けた成長
「豊かさの追求」
年齢、性別、人種、国籍など 創業時に掲げた３つの理念を 設立50年を迎える2034年
の壁を一切つくることなく事業を 根幹とし、市場の変化や顧客の に売上高1,000億円を社員
推進、採用を促進し、国内外 ニーズを先取りし、社員の成長と 一丸となって目指している。
の事業所で多国籍な人材が自 技術の革新を通して、人々の生 各成長市場の拡大に追随
分の能力を発揮し活躍できる 活・文化に貢献する企業集団 するとともに、高付加価値化
環境を整えていく を目指す や省力化による利益率の向
上にも取り組んでいく</t>
  </si>
  <si>
    <t>年齢、性別、人種、国籍など 創業時に掲げた３つの理
内発的動機
の壁を一切つくることなく事業を 根幹とし、市場の変化や顧
の詳細
推進、採用を促進し、国内外 ニーズを先取りし、社員の成
の事業所で多国籍な人材が自 技術の革新を通して、人々
分の能力を発揮し活躍できる 活・文化に貢献する企業集
環境を整えていく を目指す</t>
  </si>
  <si>
    <t>【パワー半導体製造工程におけるめっき処理】</t>
  </si>
  <si>
    <t>【パワー半導体製造工程におけるめっき処理】
製品 受入 プラズマ ＜新技術＞ 膜厚 完成品 完成品
受入 検査 処理 めっき処理 測定 検査 出荷
2025年度
項目</t>
  </si>
  <si>
    <t>【経営理念】</t>
  </si>
  <si>
    <t>【経営理念】
近江商人の「三方良し」の精神に、モノづくりの会社として「作り手良し」を加えた「四方良し」を経営理念と定義し、「作り手」＝「生産部門」が「売り
手・買い手・世間良し」を意識したモノづくりに徹し、「お客様に喜ばれるモノづくりを通して、自らの品質や技量の向上に喜びを感じることができる企業」を
目指している。</t>
  </si>
  <si>
    <t>２次・３次加工工程</t>
  </si>
  <si>
    <t>２次・３次加工工程
ベンディングロール
２台導入
溶接装置
4台導入
費用:約2.0億円
ターニングロール
費用:約6.8億円
3台導入
風力用で最も実績がある、DIVI製設備を
費用:約0.6億円
導入。板厚130mmの高速製缶加工が
可能となり、品質と生産性が向上する。 大型製品の効率的な溶接が可能</t>
  </si>
  <si>
    <t>その他Box 1</t>
  </si>
  <si>
    <t>一般的な鉄筋加工工場にあるのは「切断機」と「曲げ機」の２種類である。自動機が普及しているものの「数本の鉄筋をセットした長さに切る」「セットした角度に
曲げる」程度の自動機能であり、機械への鉄筋のセットと搬出や、機械への情報入力は作業員が行っている（鉄筋は数本で30kgなどの重さになり、重労働）。
作業員は、絵符（鉄筋１品の加工形状を記した図）を元に加工を行うが、その絵符は、ゼネコンから入手した図面を元にベテランが時間をかけて作成している。
さらに、複数ある加工をどの機械でどの順番に行うかを手作業で決めている。そのため、例えば同じ材料を使う加工の間に別の材料を使う加工を行うなどしており、
材料交換や機械セットの時間を無駄に発生させている。空いている機械と忙しい機械ができてしまっている。
新工場では、これら全てにメスを入れる。切断機と曲げ機を接続した自動ラインやロボット等を導入する。絵符の作成や作業の振り分けなどをシステム化する。
さらに、一般的な機械では加工できない『高強度鉄筋』や『PC対応レベルの高精度加工』にも対応する。新設工場なので、全ての機械は最新鋭の新品である。
太陽光発電設備で、工場電力の大半を賄う（一般的な鉄筋加工工場では製造原価の数％が電気代）。
これらにより、他社ではできない加工（高強度鉄筋、PC、ユニット）ができるだけでなく、労働生産性の抜本的な向上が図られた最新鋭の工場となる。</t>
  </si>
  <si>
    <t>＜3PL事業とは＞</t>
  </si>
  <si>
    <t>＜3PL事業とは＞
企業の物流業務を外部業者が一括して受託・運営するアウトソーシングサービス。在庫管理、配送、
通関手続きなど多岐にわたる物流プロセスを効率化し、コスト削減と業務のスピードアップを図ることが
可能となる。荷主企業はこれにより、自社のコアビジネスに集中でき、競争力を強化できる。</t>
  </si>
  <si>
    <t>コンベヤを使用せず、着脱式ラックハンガークレーンとケース搬送AGVで荷物をス</t>
  </si>
  <si>
    <t>・コンベヤを使用せず、着脱式ラックハンガークレーンとケース搬送AGVで荷物をス
テーションまで移載/搬送が可能
・入庫から保管、ピッキング、ピース仕分け、保管、出庫までの工程を自動化
・自動で高速仕分け・検品レス</t>
  </si>
  <si>
    <t>1時間あたり最大1,000個の商品を包装</t>
  </si>
  <si>
    <t>・1時間あたり最大1,000個の商品を包装
・1商品サイズに合わせて自動で商品を梱包、送り状伝票も自動貼り付け可能
・操作性の高いタッチパネル搭載</t>
  </si>
  <si>
    <t>1時間あたり最大1,200個の商品を包装</t>
  </si>
  <si>
    <t>・1時間あたり最大1,200個の商品を包装
・ピッキング済みの商品を機械にセッティングするだけで最低2名から梱包作業可能
・シュリンクフイルムにより緩衝材が不要。送り状伝票も自動貼り付け可能。高さ
5cmの箱にも対応。
・操作性の高いタッチパネル搭載。</t>
  </si>
  <si>
    <t>商品サイズを自動測定し、最適な高さのケースを自動作成必要な資材は段ボー</t>
  </si>
  <si>
    <t>・商品サイズを自動測定し、最適な高さのケースを自動作成必要な資材は段ボー
ルシートとフィルムの2種類のみ。資材置場を大幅に集約可
・ケースに余分な空間がなくなり、輸送効率の向上に直結する
・シュリンクフイルムにより緩衝材が不要。送り状伝票も自動貼り付け可能。</t>
  </si>
  <si>
    <t>1枚物～冊子物まで多様なチラシの丁合が可能。</t>
  </si>
  <si>
    <t>・1枚物～冊子物まで多様なチラシの丁合が可能。</t>
  </si>
  <si>
    <t>•• 1省時ス間ペーあスたでり最も設大置15可0能0個なの最商新品型をの梱高包速ソーティングシステム
•• 衣モジ類ュやー雑ル貨のな組どみの合緩わ衝せ材でが自必由要自な在い商にレ品イのア梱ウ包ト可に対能応。
•• 製6,品00投0入ケーと同ス/時ｈにのバ仕ー分コーけド能を力読でみ物取流りセ、ン自タ動ーでの送能り力状をを向貼上付。
• 操作性の高いタッチパネル搭載。</t>
  </si>
  <si>
    <t>物流DXソリューション事業に対応した＜ワンストップ次世代倉庫＞</t>
  </si>
  <si>
    <t>物流DXソリューション事業に対応した＜ワンストップ次世代倉庫＞
港湾の保税倉庫内で、保税から国内貨物の輸送までワンストップで作業が
でき、顧客の利便性とコスト面で大きなアドバンテージを持っている。
横浜港から直接倉庫に持ち込める利点だけでなく、羽田空港からも近い。
越境EC事業（BtoC）と3PL事業（BtoBtoC）に対応したハイブリッド
倉庫。</t>
  </si>
  <si>
    <t>1時間あたり最大1500個の商品を梱包</t>
  </si>
  <si>
    <t>• 1時間あたり最大1500個の商品を梱包
• 衣類や雑貨などの緩衝材が必要ない商品の梱包に対応。
• 製品投入と同時にバーコードを読み取り、自動で送り状を貼付。
• 操作性の高いタッチパネル搭載。</t>
  </si>
  <si>
    <t>◼ 設備投資の内容
工場建設費 9億2000万円
機械設備費 4億8000万円 合計 14.0億円
◼ 愛知県の常滑工場に明太バラコを製造する工場を増設
2,400tの生産力を有し、量産化に最適な生産体制、
⚫
→現在の明太バラコの需要（引き合い）への対応可
機械化により、形のある明太子製造に比べ1/5の人員
⚫
→将来の労働人口の減少の対策として省力化を実現
労働負荷を低減し、快適な作業環境を構築することで
機械設備は保存性を高める低温殺菌装置、急速冷凍
⚫
設置し、品質が高い幅広い用途の製品が可能
→顧客の幅広い要望に対応可能</t>
  </si>
  <si>
    <t>長期成長ビジョン
私たちは、DX活用システムと社屋建設を契機に、組織強化を図
り、社会に感動と、価値創造を提供し続けます。そして、美容
業界に、革新的なアプローチとサービス提供の変革を図り、コ
ンシューマーや美容店に喜びをお届けします。
• 業界の将来に対する懸念と課題への挑戦：
国内の美容業界は過当競争であり、収益性や生産性が低いとい
う現状があります。しかし、当社のヘアエクステは、高い収益
性と生産性を持つ製品であり、技術認定をもった美容店のみが
扱える希少性のある製品です。
このような中、当社はDXによる効率化と社屋建設による拠点
集約化を図り、要員を市場開拓に傾注し、美容室の占有率
0.04%から大きく拡大を図り、業界発展に貢献していきます。
• リーディングカンパニーへの道：
当社の強みは、独自のヘアエクステ製品の販売やデジタル広告
など美容室支援サービスの提供にあります。
当社の成長戦略は、高品質ヘアエクステ製品の販売に加え、美
容室への経営支援サービスを提供し、美容室の収益性向上と美
容師の給与水準UPの機会を作り、美容業界のイノベーション
を牽引していくことを挙げています。
今後、DX活用による次世代美容プラットフォームを中核拠点
となる新社屋から情報発信するなど新技術開発や循環型社会に
対応した製品リサイクルに注力し、業界や社会に対して影響力
を高め、リーディングカンパニーの地位を確立します。</t>
  </si>
  <si>
    <t>長期成長ビジョン深掘り
1.具体的な施策：
(1)新製品開発のスケジュール：
・2024年：新しい高品質ヘアエクステ製品のリリース
・2025年：デジタルマーケティングツールの導入と運用開始
・2026年：エコフレンドリーな製品ラインの展開
(2)マーケティング戦略：
・SNSキャンペーンやインフルエンサーコラボレーションを活用したブランド認知度向上
・オンラインプラットフォームの充実と顧客体験の向上
(3)地域経済への貢献：
・地域美容室や美容師への経営支援プログラム（研修、コンサルティング）
・地域イベントやフェアの開催を通じた地域コミュニティとの連携強化
2.リスク管理計画：
(1)内部リスク対策：
・意思伝達やコミュケーション活性化のための社屋建設による本社拠点集約
・人材確保と育成プログラムの充実
・技術開発の遅れに対するバックアッププランの策定
(2)市場リスク対策：
・市場変化に柔軟に対応するための定期的な市場調査と顧客フィードバックの収集
・競争激化に対する差別化戦略として、独自技術と高品質サービスの強化
3.ステークホルダーとの協力：
(1)産学官連携：具体的な協力内容やプロジェクト、パートナー機関を詳細に記載
(2)他企業との連携：具体的な協業プロジェクトや提携先企業を明示
(3)地域経済への貢献：地域美容室や美容師への具体的な支援プログラム（研修、経営コンサルティングなど）
4.持続可能性の具現化：
(1)環境への配慮：再生可能エネルギーの利用、廃棄物削減プログラム
(2)社会的インパクトの評価方法：地域経済や美容師の職業満足度向上に関する具体的な評価指標と方法</t>
  </si>
  <si>
    <t>新社屋建設計画地：</t>
  </si>
  <si>
    <t>新社屋建設計画地：
・次世代美容プラットフォームとして情報発信の中核拠点を目指す
・若者やファミリーが集う名古屋繁華街に立地（名古屋市中区栄地区）
・全国有数の再開発エリア(10拠点近い再開発計画進行中)</t>
  </si>
  <si>
    <t>続利用する前提の場合、労働生産性成長率は年平均8.7％となる。</t>
  </si>
  <si>
    <t>（※）派遣社員内製化による従業員数増加により、計算上の労働生産性成長率は年平均6.0%に留まるが、派遣社員を継
続利用する前提の場合、労働生産性成長率は年平均8.7％となる。</t>
  </si>
  <si>
    <t>(注)参考：サーキュラデザインビルド®</t>
  </si>
  <si>
    <t>(注)参考：サーキュラデザインビルド®
• 製鋼原料加工会社、電炉鉄鋼メーカー、ゼネコン5社が連携、建築に
おいて電炉材を活用した鉄スクラップ循環サイクルの全体最適に向
け、2023年12月から始動している。</t>
  </si>
  <si>
    <t>高度選別・再商品化施設 プラント主要設備</t>
  </si>
  <si>
    <t>高度選別・再商品化施設 プラント主要設備
破袋機
バリスティックセパレータ 磁選機
光学選別機 PS溶融成形機 圧縮梱包機
湿式 太陽光
ペレット押出機
洗浄粉砕機 比重選別機 発電設備</t>
  </si>
  <si>
    <t>及び売上成長目標
て「収集〜最終処分」までを自
大胆な投資や挑戦を行います。
ープ10年ビジョン「Ch</t>
  </si>
  <si>
    <t>自社施設により一貫処理できる体制を構築。長期成長ビジョンとして業界
す。売上高成長目標として2030年までに売上高増加額+66億円、売上高平
hallenge 80th」を掲げています〜</t>
  </si>
  <si>
    <t>では処理能力が不足しており、生産性も低いため、効率の悪さが課題となっています。</t>
  </si>
  <si>
    <t> 廃棄物処理事業の「水処理（中間処理）」および「最終処分場」の需要が高まっている一方で、既存の施設
では処理能力が不足しており、生産性も低いため、効率の悪さが課題となっています。</t>
  </si>
  <si>
    <t>イメージ写真</t>
  </si>
  <si>
    <t>ン、設備投資の内容＞
きる「生産ラインを構築」「大型の最新機械設備を
でも最大規模の産業廃棄物水処理施設を建設します
油水分離設備、フィルタープレス」等を中心に設備
する設備は大型となり、既存水処理施設の5倍以上
となります（例：廃液280㎥/1日、廃油120㎥/1日等
大限に発揮した機械設備であるため、操作もシンプ
で施設運営することが可能となります。
について/2030年度目標値＞
、大型の最新設備を導入することで既存水処理施設
ことができます。
りの労働生産性を18,063万円、1人あたり給与支</t>
  </si>
  <si>
    <t>を行いながらも生産性を大きく向上させることが可能となる。また、大幅な賃上げも実現する。</t>
  </si>
  <si>
    <t>• 大型倉庫に拠点及びバックオフィスを集約。これにより、回収品受入→査定→仕分け→流通の流れをワンストップで行い、多品種で大量の受入
を行いながらも生産性を大きく向上させることが可能となる。また、大幅な賃上げも実現する。</t>
  </si>
  <si>
    <t>回収品 査定</t>
  </si>
  <si>
    <t>回収品 査定
保管
受入 仕分け</t>
  </si>
  <si>
    <t>現在、当社は、岩手県一関市内に、2か所の生産拠点を有しているが、花泉工場と一関工場の</t>
  </si>
  <si>
    <t>現在、当社は、岩手県一関市内に、2か所の生産拠点を有しているが、花泉工場と一関工場の
それぞれで生産管理や薬品処理の部署を有するなど、拠点が分かれていることが、労働生産性向
上の妨げの要因になっている。また、花泉の第１工場は1985年に創業されたもので老朽化が著し
いこと、さらに、花泉工場で主に生産しているガラスベースエッチング製品の需要が、メタルエッチング
製品に置き換わることによる生産量の著しい減少を踏まえ、一関工場敷地内に新たなる工場を新
設し、花泉工場の機能を集約させつつ、生産性向上のための設備投資を大規模に行うことを決
定した。工場の新設・生産設備の刷新に加え、需要の増加が見込まれるメタルエッチング製品に対
する生産能力の拡大と技術力の向上を図り、より高付加価値の製品を提供する体制を実現する。
補助事業終了後も、既存の一関各工場への設備投資を続行し、生産性の向上を継続させ、
年平均16%の生産性向上、年平均5%の賃上げを目標とする。</t>
  </si>
  <si>
    <t>下の地元運送業者まで】が連携して課題に立ち向かう必要がある。</t>
  </si>
  <si>
    <t>• 2024年問題と呼ばれるトラックドライバーの時間外労働規制による輸送能力の低下が日本の物流業界にとって大きな問題となっている。
• 将来的な輸送能力低下に向けた対応として弊社だけではなく、物流に関わる事業者【川上のVOLVOトラック(車輛メーカー)から販売会社及び運送会社、川
下の地元運送業者まで】が連携して課題に立ち向かう必要がある。
• 60年余りトラック販売・整備業界に携わり、確固たる信用と顧客基盤を有している弊社の役割として物流トラック稼働率向上のために整備時間短縮等の体
制整備、人員不足による整備遅れの解消、地域の物流連携を目指していきたい。</t>
  </si>
  <si>
    <t> 設備投資の内容
 ロボットハンド製造工場を移転・拡大するとともに、設備導入に
- 生産効率の改善:新型研磨機や焼入炉、協働ロボット、
- 生産能力の増強:最新の工作機械を導入
 設備投資による効果
【売上の増加】
 敷地・延床が約2倍となり、生産キャパシティの問題が解決。増
【生産性の向上による利益の増加】
 キャパシティの増加のほか、余裕のある敷地を活かした効率的
 各種自動化設備の導入によって人的工数を削減
 これまで外注していた一部の表面処理工程についても、焼入炉
【従業員に対する賃上げや労働環境改善】
 人手不足の中、人的工数を抑えつつも増産が可能となるため
 過密で老朽化した既存工場に比べて従業員の安全性や労働</t>
  </si>
  <si>
    <t>【設備投資の内容】
宇城市松橋町に鉄骨造２階建の倉庫棟（延べ床面積
事務所棟（延べ床面積943㎡）を建設。2025年９月完
10月稼働予定。
【設備投資の効果等】
熊本県内では、半導体関連企業の進出が相次いでおり、
需要が急激に増えているが、クリーンルームを備えた倉庫は圧
ている。今後も高まる需要に応えるために、クリーンルームを備
設し、弊社のノウハウを活用した効率的な倉庫サービスや物
供する。活況を呈している半導体関連企業をターゲットとして
ニーズに合致していること、付加価値の高いサービスを提供す
先駆けて取り組むことで差別化も図られること等から、弊社に
働生産性向上に繋がる革新的取組みである。また、取引先
にも寄与するものであり、半導体業界の活況を支える事業で</t>
  </si>
  <si>
    <t>1.長期成長ビジョン
我社は、複雑化・多様化する社会問題やお客様のニーズを
目指す姿を定めました。これによりステークホルダーに届ける</t>
  </si>
  <si>
    <t>長期成長ビジョン（目指す姿・ビジネスモデル）
社会では環境問題や人手不足が起き、お客様には複雑化・多様化する
ニーズがあり、我社も様々な課題を抱えています。我社は、こうした不確実
性を成長の機会と捉え、イノベーションを契機とする将来目指す姿を定めま
した。社会に、お客様に、そして社員に価値を届けていくことで、それぞれの
課題解決と発展に寄与し我社も持続的成長が遂げられると考えます。
が目指す姿
GX Innovation 180
環境配慮と生産性向上を実現し
お客様のニーズに応え
社員が生き生きと働く企業
社会への価値 お客様への価値 社員への価値
環境問題への対応 環境配慮型製造 賃上げ
地域雇用の増加 高い品質 職場環境改善
地域経済の発展 高い生産能力 多様な人材の活躍</t>
  </si>
  <si>
    <t>Before</t>
  </si>
  <si>
    <t>Before
非効率なライン 生産能力限界 人材不足
充填事業は検品、梱包作業は人手によるところが多くある。また既存工
場の建物の制約からラインの配置が非効率で、生産能力にも限界がある。</t>
  </si>
  <si>
    <t>Before
人力作業 労働環境問題 VOC・CO2排出 火災リスク
フィルム印刷におけるグラビア印刷※は高い印刷品質である一方、VOCやCO2
の排出や火災のリスクなど環境負荷が大きく、従業員にとっても重労働でインキ
汚れも常態的にあるなど労働環境に課題がある。
※グラビア印刷とは、版の凹んだ部分にインキを付着させて、印刷物に押しあてる印刷方法</t>
  </si>
  <si>
    <t>After</t>
  </si>
  <si>
    <t>After
効率的なライン ラインの増設 ラインの掛持ち 自動化による省人化
既存ラインの移設により直線的なライン配置とし、作業効率の改善を図
り、検品・梱包の自動化により省人化を進める。そのうえでラインを増設
し生産能力を増強する。</t>
  </si>
  <si>
    <t>After
省力化 クリーンな VOCフリー 安全安心
労働環境 脱炭素化
EBオフセット印刷 はフィルム印刷において革新的な方式であり、高い印刷品質と生
※
産能力を実現しながら、VOCフリー・CO２削減など環境負荷を大幅低減できる。
さらに従業員の労働環境を改善することができ、塗料を扱う仕事の「危険」「きつい」
「汚い」という業界の課題を改善し人材確保や退職防止に繋がる。
※オフセット印刷とは、版につけたインクをローラーに転写、それをローラーに移して紙に印刷する方式</t>
  </si>
  <si>
    <t>新工場建設</t>
  </si>
  <si>
    <t>・新工場建設
用地 ：加西インター産業団地…約18,757㎡（5,674坪）／建築面積…13,288㎡（4,026坪）【２階建】
構造 ：重量鉄骨造（予定）
用地の造成工事は今年6月に完了。今回導入する設備の配置を検討し、敷地面積や建築面積を想定。併せて設計を依頼する。
工場には後述する新型印刷・ラミネート機の導入により、従来のようなVOC対策設備や排気ダクトの設置が不要で、においやファ
ンの音もしない。加西市の玄関口にある工場として環境配慮をテーマにし、地域に先進的なイメージを提供できる外観を検討している。</t>
  </si>
  <si>
    <t>GXコンバーティング事業</t>
  </si>
  <si>
    <t>・GXコンバーティング事業
当事業の目的は、包装資材の製造工程をGXに対応した環境配慮型に転換し、高い付加価値の受注を獲得し生産能力を引き上げることにある。
導入する設備は、軟包装印刷において革新的なEBオフセット印刷機をはじめとして、いずれもこの目的に適うものである。
解決し得る課題・・・VOC、CO2排出などの環境負荷を低減でき、低エネルギー化、版や廃プラスチックの削減など省資源化を図れる。溶剤不要、
版の入れ替えもロボットで行えるなど労働環境を改善することができ、多様な人材が働ける職場になる。
労働生産性向上に繋がる点・・・最新鋭の設備により高速化・ロボットによる自動化・工程の削減など効率化を図ることで、高付加価値の案件
を受注することに繋がり、収益性を引き上げ労働生産性は向上に繋がる。</t>
  </si>
  <si>
    <t>OEM充填事業</t>
  </si>
  <si>
    <t>・OEM充填事業
選別→計量→充填→包装→梱包→パレタイズまでの一連の作業をラインを構築し自動化。現状は数社のペットフードの充填作業を請け負って
おり、増産対応の要請がある。また他社の引き合い多く、生産効率の改善とラインの増設により生産能力を増強し、事業の横展開を図る。
・解決し得る課題・・・設備動線の改善、ボトルネック工程の自動化により生産効率を大幅に引き上げられる。4基のラインを新設し生産能
力を増強することで、既存取引先の囲い込みと新規先への事業の横展開ができる。
・労働生産性向上に繋がる点・・・最新の高精度・高速設備の導入により収益性は増し、生産効率の改善からも労働生産性は向上する。</t>
  </si>
  <si>
    <t>１）「気候変動問題」などの社会課題や、「より健康的な生活」や「超スマート社会の進展」などの顧客ニーズの変化に対応する
２）80年以上培った技術力とグローバルネットワークで、「環境」・「健康/衛生」・「先端材料」の分野での成長を図る
３）2030年までに、売上年平均成長率(CAGR)5%、売上高増加額200億円の高い目標を設定している</t>
  </si>
  <si>
    <t>１）化粧品事業の成長に向け、新たに「生産、商品開発、営業支援」の先進拠点を設置する。</t>
  </si>
  <si>
    <t>１）化粧品事業の成長に向け、新たに「生産、商品開発、営業支援」の先進拠点を設置する。
２）労働生産性の向上を図り、従業員の給与増額と、新たな雇用を確保することで、地域、日本の活性化に貢献する。</t>
  </si>
  <si>
    <t>＜補助事業＞</t>
  </si>
  <si>
    <t>＜補助事業＞
明和工場への大規模投資
協働ロボット/AGV/自動倉庫など最新鋭の設備投資
による、省人化を追求したモデル（次世代）工場の
実現</t>
  </si>
  <si>
    <t>①</t>
  </si>
  <si>
    <t>①
＜ 補助事業実施中（後）に実現したいこと＞
明和工場以外の国内工場4か所（宮崎県・兵庫
県・三重県松阪市・⾧崎県）へ省人化ノウハウを転
用する。
⇒採用が難しくなっている地方において、生産性向上
による人手不足解消と各地で賃上げを行う</t>
  </si>
  <si>
    <t>②</t>
  </si>
  <si>
    <t>②
＜ 補助事業実施中に実現したいこと＞
関東への新工場設立に向けた試験工場的立ち位置
⇒明和工場のノウハウを活用して、関東に新たな工場
を設立し、さらなる業績拡大、雇用創出を行う。</t>
  </si>
  <si>
    <t>③</t>
  </si>
  <si>
    <t>③
＜ 補助事業実施中に実現したいこと＞
海外工場（上海・インドネシア）へ省人化ノウハウを
転用する。
⇒さらなる生産性向上と業績拡大を実現する。</t>
  </si>
  <si>
    <t>＜投資内容＞</t>
  </si>
  <si>
    <t>＜投資内容＞
生産能力を3倍に増強
• 協働ロボット5台
マテハン工程の自動化・省人化
• AGV
材料運搬の自動化
• 自動倉庫システム
部材保管・移動、入出荷管理の自動化
• 自動塗布機
絶縁材の塗布を自動化する。
• 自動挿入機省人化ロボット
挿入工程の自動化
• 検査自動化機
検査工程の自動化を行う。</t>
  </si>
  <si>
    <t>＜投資内容＞
従来工場の4倍の生産能力を実現
• 協働ロボット
マテハン工程の自動化・省人化
• AGV
材料・仕掛品・商品の移動自動化
• 搬送コンベア
搬送の自動化を行う
• 自動倉庫システム
部材保管・移動、入出荷管理の自動化
• 樹脂材料自動供給
樹脂材料の自動共有による生産性向上
• 自動はんだ付け組立ライン
はんだ付け・部品組み立ての自動化
• 3D自動測定器
測定の自動化・省人化
• 太陽光発電設備
自家消費型太陽光発電設備</t>
  </si>
  <si>
    <t>〈顧客ニーズ〉</t>
  </si>
  <si>
    <t>〈顧客ニーズ〉
近場で生活必需品を揃えたい。商圏人口が少ない過疎地や、市街地で
も採算が取れず他社スーパーが撤退したエリア等、買い物の便の改善が待
たれている。</t>
  </si>
  <si>
    <t>〈現在の課題〉</t>
  </si>
  <si>
    <t>〈現在の課題〉
現在は、熊本市南区の加工場で牛肉と豚肉の加工、上益城の加工場で
鶏肉、惣菜、青果、鮮魚の加工を行っている。現在の店舗数で生産キャ
パシティが限界に近づいており、新規出店が困難である。また、熊本市南
区の加工場からTCへの輸送コストが発生している。</t>
  </si>
  <si>
    <t>〈投資内容〉</t>
  </si>
  <si>
    <t>〈投資内容〉
上益城の工場を増設し、生産ライン増設に必要なスペースを確保する。
上益城に生産拠点を集約し、熊本市南区加工場は閉鎖する。また、補助
実施期間中に3店舗を建設し、売上増を図る。</t>
  </si>
  <si>
    <t>〈顧客ニーズ〉
共働き世帯の増加、単身世帯・夫婦のみ世帯の増加により、時短ニーズ
が高まっている。自宅での調理を省ける商品の需要が高い。</t>
  </si>
  <si>
    <t>〈現在の課題〉
手動式のスライサーや、手作業による加工が主となっており、作業効率が悪
い。このことが、消費者の時短ニーズに沿った、加工度の高い商品（味付
け肉、餃子、焼肉セット等）の開発・販売にあたってボトルネックとなってい
る。</t>
  </si>
  <si>
    <t>〈投資内容〉
半自動ミンチライン、高速スライサー、餃子・ハンバーグ成形機等を導入し、
時短ニーズに対応する。</t>
  </si>
  <si>
    <t>〈顧客ニーズ〉
前述した時短ニーズの高まりとともに、1世帯あたり人数の減少に伴いセルフ
ユース商品の需要が増加している。</t>
  </si>
  <si>
    <t>〈現在の課題〉
炊飯の生産キャパシティが不足しており、セルフユース商品である弁当・お
にぎりの供給が十分ではない。また、寿司やフライ、菓子といった自宅では
調理しづらいセグメントのメニュー開発が十分ではない。</t>
  </si>
  <si>
    <t>〈投資内容〉
炊飯ラインの新設による供給力の増強、オートフライヤー、スイーツ製造設
備の導入により、顧客ニーズに対応する商品の開発・販売を強化する。</t>
  </si>
  <si>
    <t>〈顧客ニーズ〉
短時間で必要な買い物を済ませたい（ショートタイムショッピング・ワンストッ
プショッピング）。</t>
  </si>
  <si>
    <t>〈現在の課題〉
当社は日用雑貨の取り扱いも豊富でワンストップショッピングのニーズには対
応できている。一方、レジは自動釣銭機は導入しているもののピークタイム
は混雑し、待ち時間が発生している。</t>
  </si>
  <si>
    <t>〈顧客ニーズ〉
開店から閉店前まで、いつ来店しても欲しい商品を購入したい。</t>
  </si>
  <si>
    <t>〈現在の課題〉
常温品はAIの需要予測による自動発注システムを導入しているが、生鮮
品は従業員が売れ数を見ながら手動発注している。時間がかかるうえ、発
注精度が従業員のスキルに依存しており、欠品による売り逃しや期限切
迫による値引き販売、期限切れによる廃棄が発生している。
⇒営業中に需要予測を変更できないアウトパックの弱点</t>
  </si>
  <si>
    <t>〈投資内容〉
生鮮EDIシステムを導入し、AIによる需要予測機能を活用した自動発注
を実現する。
⇒アウトパックの弱みを克服</t>
  </si>
  <si>
    <t>〈顧客ニーズ〉
鮮度の良い商品を購入したい（品質重視）/見切り品をお買い得に購
入したい（価格重視）/フードロスをなくしたい（社会的価値重視）</t>
  </si>
  <si>
    <t>〈現在の課題〉
期限チェックは従業員の目視で行っており、時間がかかるうえ、定刻にチェッ
クができていないケースや見落としがある。適切な値下げ販売の機会を逸
することで、廃棄ロスが発生している。また、期限チェックのモレにより気づか
ないうちに期限が切迫しており、過剰な値引き販売（定価→半額など）
をせざるをえないケースもある。</t>
  </si>
  <si>
    <t>〈投資内容〉
消費期限データ付きJANコードシステムと専用の包装機を導入し、値下
げが必要な商品の在庫数・値下げ額を自動表示できるようにする。</t>
  </si>
  <si>
    <t>（設備投資の内容）
量産FAB立ち上げのため、以下の投資を実施
１. 建屋の購入（シャープ三重事業所第１工場）、
クリーンルームの増床および既存装置の移設
２. 生産装置の購入
３. 車載品品質保証体制の構築
（設備投資による課題解決、労働生産性の向上につなが
１. 現有のレガシーパッケージに新たな分野のパワー半
取り込むことで、売上拡大を図る。
２. 車載品向けの品質保証体制を更新することにより
を獲得する。
３. 自動化ラインの構築により人材不足の課題を解決</t>
  </si>
  <si>
    <t>2025年度 2028 年度</t>
  </si>
  <si>
    <t>2025年度 2028 年度
項 目
（基準年度） （基準年度 +３年後）</t>
  </si>
  <si>
    <t>長期成長ビジョン（目指す姿・ビジネスモデル）
(1)「課題解決型物流サービス」の提供
現状の「物流・情報処理に問題を抱えている会社」に対し、単なる商品保
管・配送といった個別機能の提供ではなく、物流の枠を超えた「課題解決型
サービスの提供」を行うことにより、地域経済の活性化を支援する企業を目
指す。
(2)物流コンサルティングにより顧客の課題を解決
「物流コンサルティング」に力を入れ、さまざまな物流問題を抱える企業に
対して的確なソリューションを提供する。
(3)「高品質・高い生産性」の実績と経験を活かす。
長年培ってきた最先端コールドチェーン分野での実績と経験を生かし、地
域経済の発展に貢献する。
(4)低温物流分野の物流機能強化
近年需要性が高まっている低温物流分野にて物流機能を強化し、
コールドチェーンを最適化・青森県水産業の高付加価値化を支援する。</t>
  </si>
  <si>
    <t>②将来の投資のための適正利益を確保し続ける。
③長期ビジョンを実現できる人材を確保する。
⇒一定水準以上の昇給の維持・労働環境の整備
3)青森県水産業の課題解決に貢献する。</t>
  </si>
  <si>
    <t>(3)青森県水産業の課題解決に貢献する。
※長期ビジョンの実現と地元水産業の高付加価値化を実現するために、
セミ超低温倉庫（-35℃）を建設し、付帯サービスを提供すると共に、
「目指す会社の姿」を実現する。</t>
  </si>
  <si>
    <t>◆背景</t>
  </si>
  <si>
    <t>◆背景
(1)従来型水産業の水揚高（量）が減少する中、青森県の今後の方針として、養殖業を推進していく計画がある。
(2)一方、鮮度維持のために必要な-35℃の冷凍倉庫が青森県にはない。
(3)-35℃で保管できる冷凍倉庫の不足、またコールドチェーンの再構築を必要としている。
(詳細14ページ参照)
◆目的
青森県の水産業が抱える課題の解決により、水産業の経済を活性化させ、地域の企業を発展させる。
(詳細15～17ページ参照)
◆課題
建築費の高騰により、顧客が許容できる範囲の料金を実現することが困難なため、本補助金の採択がなければ本事業は成
立しない。</t>
  </si>
  <si>
    <t>• 設備投資の内容 （詳細18ページ参照）
(1)設置場所 ：青森県八戸市長苗代 八戸総合卸センター内
(2)土地 ：9,379㎡（2,837坪）
(3)建物 ：セミ超低温倉庫（-35℃） ２層
(4)延床面積 ：5,014㎡（1,517坪）
(5)機械設備 ：移動式パレットラック、
在庫管理（ＷＭＳ）システム、
ハンディ・音声物流システム、
トラック予約受付システム 等
・労働生産性向上 （詳細19～20ページ参照）
(1)作業効率が向上する機械設備・システムを導入し、生産性を向上させる。
(2)サーモン養殖業者は現在、超低温倉庫(-45℃)に保管するため、関東まで商品
をトラック輸送している。当社が新冷凍倉庫を建設することにより、長距離輸送が
減少する。また海外への輸出入は八戸港の利用が可能となる。
【効果】
構内作業時間削減目標 延べ8,000時間/年（従来比28％削減）
配送ドライバー荷待ち時間削減目標 延べ 429時間/年（従来比93％削減）</t>
  </si>
  <si>
    <t>【補助事業に関わる従業員及び役員の判定が困難である理由】</t>
  </si>
  <si>
    <t>補助事業に関わる従業員、及び役員の判定が困難であることにより、補助事業の範囲を「事業者全体」として申請します。
【補助事業に関わる従業員及び役員の判定が困難である理由】
(1)従業員の部署異動が年１回、その他必要に応じて都度発生する。
(2)各部署の日々の物量・作業量の変動により、他部門より応援要員の移動を日々行っている。
(3)役員は会社全体を管理監督している。
「事業者全体」を補助事業とし、従業員数・付加価値額・労働生産性等の各数値を計算します。</t>
  </si>
  <si>
    <t>【設備投資の内容】
現在伸びている都心型の「しんぱち食堂」と、これまでのトラ
「和めし処」の新店舗を出店する
• 内外装工事費
• 厨房機器（独自開発の炭火焼き台含む）
• 外国語対応のテーブルオーダーシステム
• 自動精算機
【設備投資による課題の解決・労働生産性向上】
• テーブルオーダーシステムと自動精算機により、スタッフ
なり、労働生産性が向上する
【工夫点】
• テーブルオーダーは外国語（複数言語）対応とし、増
員の中で対応できるようにする
• 新しいエリアに直営で出店することで、当該エリアでのブ</t>
  </si>
  <si>
    <t>事務所・作業場が点在 高知市中心部の住宅地に立地</t>
  </si>
  <si>
    <t>経営理念</t>
  </si>
  <si>
    <t>経営理念
平和食品工業㈱は、従業員一人ひとりが健康な身体と健全な生活態度を保持し、仕入先様、お得意先様、地域社会、従業員同士、その家族など、
食に関わるすべての人々に感謝の気持を持って接します。</t>
  </si>
  <si>
    <t>ニーズの多い極小～大ロットの生産を可能とする大規模投資を実施</t>
  </si>
  <si>
    <t>• ニーズの多い極小～大ロットの生産を可能とする大規模投資を実施
• 高い労働生産性と静岡県における直近５年間の最低賃金の年平均上昇率2.8％を上回る5.5％の賃上げを実現</t>
  </si>
  <si>
    <t>ハード面での
外発的動機*
老朽施設/ 設
らず、宴会場な
置されているた</t>
  </si>
  <si>
    <t>置されているた
内発的動機
順次、老朽施
バウンドといった
同様、宴会場
員の工数も増
ソフト面での</t>
  </si>
  <si>
    <t>ソフト面での
外発的動機*
従業員の待遇
約している。ま
への支障も生</t>
  </si>
  <si>
    <t>への支障も生
内発的動機
従業員の賃上
採用難に直面
調整も実施せ
上であり、業務</t>
  </si>
  <si>
    <t>試作特化型企業集団PSG
金属構造部品 担当
㈱旭ウエルテック
(例：機械フレーム、ブラケット)
設備投資内容
技術連携 技術連携
五面加工機＆CAD (2.6億円)
金属構造部品製造工場(14億円)
材料自動搬送機 AGV (0.5億円)
3社がそれぞれ①異なる製造分野②一貫生産体制③短納期対応が得意
であることを活かし、短納期で試作機製造 及び 図面の改良提案を実施
機械制御 担当 機能部品 担当
㈱朝日電機製作所 ㈱石川プレート
(例：制御盤、電動部品) (例：樹脂部品、精密シム)
設備投資内容 設備投資内容
技術連携
制御盤AI配置管理&amp;CAD (0.5億円) アルミ切削加工機&amp;CAD (0.6億円)
機械制御ユニット製造工場 (13億円)
配線自動加工ロボット(1.5億円)
機能部品製造工場(隣接物件)(2億円)
樹脂切削加工機 (0.5億円)</t>
  </si>
  <si>
    <t>設備投資内容
五面加工機＆CAD (2.6億円)
金属構造部品製造工場(14億円)
材料自動搬送機 AGV (0.5億円)</t>
  </si>
  <si>
    <t>設備投資内容
制御盤AI配置管理&amp;CAD (0.5億円)
機械制御ユニット製造工場 (13億円)
配線自動加工ロボット(1.5億円)</t>
  </si>
  <si>
    <t>設備投資内容
アルミ切削加工機&amp;CAD (0.6億円)
機能部品製造工場(隣接物件)(2億円)
樹脂切削加工機 (0.5億円)</t>
  </si>
  <si>
    <t>当社の沿革・特徴</t>
  </si>
  <si>
    <t>当社の沿革・特徴
当社は1923年中島材木店として創業、1970年に銘建工業株式会社に社名変更、現在では売上高約300億円、従業員数355名（2023年12月期実績）、製材業か
ら出発し、集成材事業への新規進出での市場創出を図り、木くずの有効活用を図るバイオマス事業の展開、CLT事業の創出等、新たな挑戦を続けることにより社会に貢献、
木材業界のトップメーカーを担うまで成長することができた。今後も木材業界のリーディングカンパニーとして、環境配慮型製品の拡充を図り、売上高436億円を目指していく。</t>
  </si>
  <si>
    <t>②工場内 製造ライン設備 39億円 1 新工場建屋</t>
  </si>
  <si>
    <t>②工場内 製造ライン設備 39億円 1 新工場建屋
2 製造ライン
3 板削モルダー
4 仕上モルダー
5 仕上げ検品カメラ
6 集塵装置
7 自動走行ラック
8 接着剤設備
9 ラベル張り機
10 作業足場
11 安全対策費
12 フォークリフト
13 電気設備
14 暖房設備
15 エアー配管
16 インクジェット
17 インサイジング
18 フィンガージョイント</t>
  </si>
  <si>
    <t>補助事業実施後</t>
  </si>
  <si>
    <t>補助事業実施後
新工場
機 溶 品 最
鉄 カ 納 組 販
械 接 質 終
ッ
加 加 確 製
板 ト 品 立 売
自動 工 化 工 認 自動化 品
一元管理</t>
  </si>
  <si>
    <t>材料鉄線の表面に付着する異物（スケール）を機械的に除去する</t>
  </si>
  <si>
    <t>◼ 設備投資の内容
✓ 既存の2拠点を集約した、新物流センターの建設投資
◼ 設備投資による課題の解消について
【売上・利益の増加】
✓ 本事業により物流センターの在庫許容量は1.5倍、処理能力は既
カーおよび取引先のニーズに応える形での拡販を実施する。
✓ 中部地方における大規模中継拠点を設けることで商圏の拡大が
拓も推進。
✓ また、AIシステムの導入により生産性が改善。人手不足の中でも
となり、売上と利益の伸長を両立する。
【省力化・生産効率向上】
✓ 倉庫管理システム、AIカメラ等の最新設備の導入により、処理量
✓ 在庫量と倉庫稼働の最適化システムも導入し、スペースを有効活
【雇用の促進・業界への貢献】
✓ 本事業により、人的工数を抑えつつも処理能力を増強することが</t>
  </si>
  <si>
    <t>長期成長ビジョン（目指す姿・ビジネスモデル）
Plan･Do･See琉球は沖縄の素晴らしい文化・風土・歴史をホテルや観光
を通して、日本・世界の人々に感動の体験を提供し、沖縄のホテル・観光を
牽引し、沖縄の経済を盛り上げて行きます
2023年6月に那覇市内に Southwest Grand Hotelを開業し、那覇市
内には希少な45㎡以上のラグジュアリーな客室、最上階プール、４つのレス
トランを併設したホテルを作りました。富裕層やリゾートを那覇で楽しみたい
ニーズに応えています
2025年冬に那覇市の泊ふ頭で開業予定しています。沖縄在住の個人や
法人からコロナにより前ホテルが撤退しての復活を望む声に応えたい、慶良
間諸島の離島を含めた、沖縄を盛り上げたい、伸びしろが大きいことへを期
待しています
目指す姿として、
Plan･Do･See琉球は那覇を中心に、観光やMICE需要に対応し、那覇
を始めとする沖縄県内に未だ無い役割のホテルや施設運営を行うことで、
「利用したいホテル」となり、また「働いてみたい施設」を目指します
長期的には、
離島の観光事業へ進出し、離島の持続的発展（雇用創出、経済貢献
等）に貢献できるビジネスモデルを構築します
Plan･Do･See琉球はPlan･Do･Seeの一員として、世界中から観光客が
集まる沖縄にて当グループが掲げるビジョンである「日本のおもてなしを世界
中の人々へ」というミッションを具現化します</t>
  </si>
  <si>
    <t>した長期成長ビジョン
2023-2
STEP：３
2022年
STEP：2 拡大 那覇市に新
Plan・Do・See琉球設立 地域の魅力
沖縄の観光ポテンシャルを高め
持続可能な観光産業を展開
働く環境・
・業界全体
現地労働</t>
  </si>
  <si>
    <t>Plan・Do・See琉球</t>
  </si>
  <si>
    <t>Plan・Do・See琉球
コンソーシアムにおける役割
沖縄のホテル運営会社として、現地の従業員雇用を行い、
ホテル運営を行う
Plan･Do･See琉球で補助事業の投資を行う
コン
課題①
により
設立から間もないため以下項目の成長が課題
・財務
・運営ノウハウ
・人材育成
課題②
今後さらに拡大する以下ニーズに対して
SWGHの施設のみでは受入不可能
・宿泊団体予約（グループ利用）
・MICE/宴会の受入
泊ふ頭
・交通手段・アクティビティとの連携
より
課題③
その他
・現地採用従業員のキャリアフロー拡大
・仕入れコストの圧縮</t>
  </si>
  <si>
    <t>Plan・Do・See</t>
  </si>
  <si>
    <t>Plan・Do・See
コンソーシアムにおける役割
Plan･Do･See琉球に足りていない部分を補完する
投資/ホテル開発におけるノウハウ提供/メンバー出向、等
【シナジー効果】
・Plan･Do･Seeのビジョン具現を加速させる
・新しい土地での事業参考となる
ム
決
課題①解決案
本事業はPlan･Do･Seeとコンソーシアムを組むことで
財務や人材育成の課題を解決
・Plan･Do･Seeが保証
・Plan･Do･See従業員の派遣/出向</t>
  </si>
  <si>
    <t>泊ふ頭ホテル開発</t>
  </si>
  <si>
    <t>泊ふ頭ホテル開発
課題②解決案
・バンケットセースル
発に ・ホテル間での送客活動
決 （レストラン・バンケット・客室の相互相関）
・交通手段のセットプラン
課題③解決案
・新しいポジション/役割の創出
・スケールメリット</t>
  </si>
  <si>
    <t>泊ふ頭ターミナル含む地域概要</t>
  </si>
  <si>
    <t>泊ふ頭ターミナル含む地域概要
■ 沖縄本島から慶良間（けらま）諸島をはじめとする離島へのフェリーや高速船の発着ターミナル
■ 那覇空港から近く国道58号線沿いに位置し、観光客に加え、離島に暮らす島民にとっても重要
な交通施設
■ ターミナル施設の大部分を占めるホテルは2021年10月末で閉館、以降活用が無く、価値低迷
■ 花空港から車・ゆいレールの両方で短時間でアクセスでき、有名観光地も徒歩圏内で楽しむこと
ができる
■ 既存施設SouthWestGrandHotelと泊ふ頭ホテルは近距離に位置している</t>
  </si>
  <si>
    <t>持続的な成長を遂げるため、当社が提供する価値の「量」「質」両方の拡大と深掘りに取り組む。</t>
  </si>
  <si>
    <t>• 当社の市場である「半導体」は、経済安全保障上の戦略物資として重要性を増し、社会的なニーズは高まる見通し。
• 持続的な成長を遂げるため、当社が提供する価値の「量」「質」両方の拡大と深掘りに取り組む。</t>
  </si>
  <si>
    <t>（設備投資の内容）
「生産設備の増強」
（建物）新工場の建設（2階建、延床面積6,090㎡）
（機械装置）板金・溶接加工用設備・システム 4.9億円
「外部環境に左右されやすい経営を省力化で克服」
ファイバーレーザー複合機、無人搬送ロボットなど省力化設
設備4.9億円のうち
（設備投資が課題を解決し得ること、労働生産性向上につな
現在、補助事業実施部門である精密加工部では、加工・段
全体でも成長著しい事業分野であり、持続的な成長のため
当社は申請時点で省力化設備の稼働領域を拡大させてい
補助事業で省力化設備（上図）導入し、人の手が必要な</t>
  </si>
  <si>
    <t>2027年５月期</t>
  </si>
  <si>
    <t>2027年５月期
項目
（基準年度）</t>
  </si>
  <si>
    <t>外発的動機
世界市場において、車載用リチウムイオン電池の2019年は約4兆円、
2030年には約33兆円、2050年には約53兆円の規模に達するとみられる。
昨今、リチウムイオン電池メーカーから、欧州バッテリー規則に基づき、 当社の
NMPリサイクルに伴う、カーボンフットプリントデータの報告（燃料の燃焼によ
るCO２の排出量および電気の使用によるCO２の排出量）が求められるよ
うになった。
また、CO2排出量削減の観点から、お客様からの引き合いが2021年に比べ
約1.5倍増加していることや、「地球温暖化対策計画」による閣議決定
（R3.10.22）からも廃棄物焼却量の削減にともなう、廃溶剤のマテリアル
リサイクル量の増加要請が高まっている。
（2013年度：490kt/2025年度：619kt/2030年度：716kt）
※マテリアルリサイクルとは、廃棄されたものを新しい製品の原材料として再利
用する方法。</t>
  </si>
  <si>
    <t>、地球環境の保全と持続可能な社会の構築に貢献していく。 約
後は外発的動機を通じ、あらゆるモノづくり業界の使用済み溶剤を （
リサ
収、精製、リサイクルすることで資源として完全に循環させることを目
（
。
※</t>
  </si>
  <si>
    <t>※
く、内発的動機にある、ウェルビーイング経営
用
、「安全」、「思いやり」、のある職場環境も
向上に努め、生産性向上を図る。
内
当</t>
  </si>
  <si>
    <t>内発的動機
当社は、「人類が持続的に発展できる社会を実現するために『資源』、『環
境』、『こころ』のリファインを業とし社会に貢献する」を企業理念とする。
環境保全と経済成長の両立に貢献できる企業として、更なる社会貢献が可
能であると感じている。
リファイン＝精製という意味であるが、当社のビジネスモデルである、有機溶剤
の精製リサイクル事業にとどまらず、精製を通じ、CO２削減によるカーボン
ニュートラル社会の実現に貢献する。
当社は、サスティナビリティの一歩先を行く、リジェネラティブ（環境と経済の持
続的発展）を目指している。
また、従業員もより身体的、精神的、社会的に『こころ』が満たされるよう、ウェ
ルビーング経営を推し進めていきたい。</t>
  </si>
  <si>
    <t>て、安定した製品品質、製品提供を実現し、トップメーカーへの参入を果たし存在感を高めてゆく</t>
  </si>
  <si>
    <t>• 今後、市場規模拡大が見込まれる医療機器分野や、特に高機能・高品質を要求される理化学分析機器、半導体製造装置用等の分野におい
て、安定した製品品質、製品提供を実現し、トップメーカーへの参入を果たし存在感を高めてゆく
• 5年後（2029年度）には、会社全体売上530億円を目指す</t>
  </si>
  <si>
    <t>①敷地面積:46,152ｍｍ2、床面積:20,400mm2(3階建て)</t>
  </si>
  <si>
    <t>①敷地面積:46,152ｍｍ2、床面積:20,400mm2(3階建て)
②工場ユーティリティ使用量監視機能付</t>
  </si>
  <si>
    <t>①外径自動制御機能の搭載により押出し作業の無人化</t>
  </si>
  <si>
    <t>①外径自動制御機能の搭載により押出し作業の無人化
②段取替えは品目No.入力により各機器の製造条件切替え可能</t>
  </si>
  <si>
    <t>①製品の形状検討や治具金型設計にて開発工数削減・効率化</t>
  </si>
  <si>
    <t>①製品の形状検討や治具金型設計にて開発工数削減・効率化
②製品開発スピードUpを図り、生産性10%向上</t>
  </si>
  <si>
    <t>①成形金型の内製化・製品の寸法能力の改善・ロス低減</t>
  </si>
  <si>
    <t>①成形金型の内製化・製品の寸法能力の改善・ロス低減
②段取替えは品目No.入力により各機器の製造条件切替え可能</t>
  </si>
  <si>
    <t>①医療用チューブ加工工程の無人化・量産対応</t>
  </si>
  <si>
    <t>①医療用チューブ加工工程の無人化・量産対応
②レイアウト・動線の改善、製品運搬を省力化し労働生産性40%向上</t>
  </si>
  <si>
    <t>①工法改善及び新規設備を開発し、2工程を1工程に集約</t>
  </si>
  <si>
    <t>①工法改善及び新規設備を開発し、2工程を1工程に集約
②無人化により労働生産性の倍増を見込む</t>
  </si>
  <si>
    <t>①開発サイクルの短縮</t>
  </si>
  <si>
    <t>①開発サイクルの短縮
②開発コストの削減</t>
  </si>
  <si>
    <t>①製品開発、製造品の種々の評価試験に活用</t>
  </si>
  <si>
    <t>経済産業省「2050年カーボンニュートラルに伴うグリーン成長戦略」にも掲げられている電動車・自動運転向けブレーキ技術獲得による脱炭
素社会へ貢献及び当社創業以来、経営の根幹を支えてきた自動車産業への貢献を通じて10年後に売上を80億円へ増加させる。</t>
  </si>
  <si>
    <t>要設備投資の内容につい</t>
  </si>
  <si>
    <t>• 福知山新工場（補助対象事業）への投資を行い、自動化/省人化による効率的なモノづくりを実現し、持続的な賃上げを実現する。
• 隣接する研究開発拠点「京都福知山テクノロジーセンター」とのシナジー効果により、当社主力製品であるMFCの先端半導体向け事業の
拡大を目指す。また、既存の京都本社工場におけるMFC事業の一部を福知山新工場へ移管することにより、京都本社工場で生まれる余
力をリソースとして、第二の柱となる新事業を創出する。</t>
  </si>
  <si>
    <t>売上成長目標は、10年後の2033年までの売上高成長率</t>
  </si>
  <si>
    <t>製品 補助事業の ・補助事業の目的 技術</t>
  </si>
  <si>
    <t>製品 補助事業の ・補助事業の目的 技術
事業 背景 ・生産性向上につながる点</t>
  </si>
  <si>
    <t>・設備投資の内容
・設備投資が解決し得ること</t>
  </si>
  <si>
    <t>労働生産性 （単位：万円/人）</t>
  </si>
  <si>
    <t>労働生産性 （単位：万円/人）
従業員1人あたり給与支給総額 （単位：万円/人）
役員1人あたり給与支給総額 (単位：万円/人)
補助事業に係る従業員数 (単位：人)</t>
  </si>
  <si>
    <t>技術力と実績をもとに投資を行い、時代の変化を捉えて、新たな成長を目指す</t>
  </si>
  <si>
    <t>• 設備投資の内容
• 製造棟：広い組立ブース、環境の良い塗装ブース
ト設備を備えた製造棟を新築する。
• 設計棟：遠隔での打ち合わせがしやすく、設計者が
環境と創発的な環境の両方を備えた設計棟を新築
• 設備投資の効果
• 製造棟：組立場所の確保により製造能力を3倍に
塗装ブースの環境向上により人材確保を可能にす
備の充実により顧客ニーズにタイムリーに対応できる
• 設計棟：顧客とのリモートでの技術的打ち合わせが
なり、設計者同士がディスカッションを行いやすくなり
産性の高い設計が可能になる。</t>
  </si>
  <si>
    <t>自動車部品 部品</t>
  </si>
  <si>
    <t>自動車部品 部品
容器
柴田合成の「三峰」</t>
  </si>
  <si>
    <t>(百万円)</t>
  </si>
  <si>
    <t>(百万円)
2025/3期 2026/3期 2027/3期 合計
工場･倉庫Ⅰ期 557 267 824
倉庫Ⅱ期 373 373
生産設備一式 510 187 697
合計 557 777 560 1,894</t>
  </si>
  <si>
    <t>• 茨城県西地区の発展と地域貢献を目指し、事業拡大と地域雇用拡大を実現することで、地域社会へ長期的な価値提供を行う。
• 生産面の強化に加え、自動化と省力化を推進して人材面を強化し、余力を確保することで長期的な競争優位性を獲得する。
• 環境に配慮した塗装技術を社内に取り入れ、塗装工程を内製化することで持続可能な成長が可能な生産体制を整備する。
• 社会課題である少子高齢化による人材不足を解消する術として、産業ロボットや半導体の需要が急増している。それらの構成部品である当社製
品においても生産量増加や短納期化を求められている状況である。顧客ニーズに対応するべく新工場建設と新設備導入を立案した。</t>
  </si>
  <si>
    <t>当社の特徴</t>
  </si>
  <si>
    <t>当社の特徴
当社は住宅用換気部材の専業メーカーである。換気部材とは住宅の屋根や外壁に使用される建材であり、雨などの外からの水の浸入を防ぐとともに内部にこもった湿気を外に放出
する機能を有している。これにより、住宅の腐朽の原因となる湿気から住宅を守ることや自然な換気によりエコで快適な暮らしを実現する役割を担っている。当社は、住宅用換気部
材メーカーとして60年を迎えると共に、この20年では積極的な設備や人材への投資により、「住宅の3軒に1軒は当社製品が使われる」など、業界トップクラスの企業となっている。</t>
  </si>
  <si>
    <t>２，設備投資の内容
①加西工場を増改築、新加西工場とし各生産物流拠点を統合
②自動化製造ラインを新設し、主力製品群の生産能力を増強す
③多品種少量製造ラインを増強し、その他多品種製品群の生産
３，課題解決による労働生産性の向上
①拠点統合によるシナジー効果の発揮及びムダな時間・コストの削
②高機能換気部材を中心とした、生産規模拡大による売上の拡
③生産の自動化による省人化及び生産コストの削減
自動化製造ラインの新設</t>
  </si>
  <si>
    <t>設備機器導⼊費</t>
  </si>
  <si>
    <t>設備機器導⼊費
（卓上ボール盤、高速カッター、卓上フライス盤等）</t>
  </si>
  <si>
    <t>2025年度 2028年度</t>
  </si>
  <si>
    <t>2025年度 2028年度
項⽬
（基準年度） （基準年度＋３年後）</t>
  </si>
  <si>
    <t>当社（木造建築物の製造・建設業）は、製造工程のオートメーション化により建設業の脱炭素化・人手不
足の解消に貢献し「次の100年のスタンダード」を牽引する（2023年：8億⇒2029年：22億へ）</t>
  </si>
  <si>
    <t>長期成長ビジョン（目指す姿・ビジネスモデル）
現在の姿
• 平成26年の設立以来、宮崎県で「次の100年のスタンダード」
を目標とした建物づくりを目指す
• 木造構造物の①トラス構造の屋根、②ツーバイフォー（2×4パ
ネル）の壁や床材を製造・組立している
長期成長ビジョン
• 製造工程のオートメーション化により木造建築物の大型化と
大量生産に対応し、売上・利益の拡大
• 建築部分の製造～組立を一貫して請け負い、建設業の人
手不足解消に貢献し、他社と差別化
• 木造建築を推し進め、脱炭素を日本のスタンダードに</t>
  </si>
  <si>
    <t>・既存の工場・設備は効率性や生産性が低く、当社の今後の競争力や人材確保力の低下が懸念される
・①新工場建設、②産業用ロボットの導入により、生産性向上および量産体制の構築を図る</t>
  </si>
  <si>
    <t>自社製品の製造、自動化、</t>
  </si>
  <si>
    <t>自社製品の製造、自動化、
省エネを実現するための設備
㈱イムロ
（例）金型設備
自動化設備 他</t>
  </si>
  <si>
    <t>（取引先の課題解決に向けた取り組み）</t>
  </si>
  <si>
    <t>（取引先の課題解決に向けた取り組み）
・ 建材に係る製品をスピーディーに届けることで、建設現場の効率的な働き方をサポートする。
・ 災害等の有事の際にも、安定的な供給ができる体制を構築する。</t>
  </si>
  <si>
    <t>（SDGｓ、地域貢献への取組み）</t>
  </si>
  <si>
    <t>（SDGｓ、地域貢献への取組み）
・ 東日本エリアの生産拠点を整備することで製品の輸送距離が短縮され、物流にかかるCO2の排出量が大きく削減される。
・ 太陽光発電システムの導入により、CO2の排出量が大きく削減される。
・ 地域雇用の確保（工場で50名の新規採用を計画）、自動化設備の導入等により生産性を高め、賃上げを実現する。</t>
  </si>
  <si>
    <t>（DX化への取組み）</t>
  </si>
  <si>
    <t>・ 地域雇用の確保（工場で50名の新規採用を計画）、自動化設備の導入等により生産性を高め、賃上げを実現する。
（DX化への取組み）
・ 需要予測AIの導入、データ可視化による生産工程の高度化
・ 自動化設備の導入、Iot（生産管理システム）、AGV（無人配送車）導入による工場のスマート化</t>
  </si>
  <si>
    <t>【設備投資の内容】
&lt;建物&gt;
①新工場建設（延床面積3,562.60㎡） 8.1億円
②既存本社工場改修+倉庫建設 1.5億円
&lt;機械装置・ソフトウェア&gt;
③スポット溶接機・自動脱脂洗浄機・フライス盤・旋盤など
④生産管理システムなど 0.4億円
• 大分県大分市大字廻栖野に新工場を建設する（用地
また、既存本社工場内の塗装工場改修・板金保管倉庫
• 既存本社工場⇒電装事業部、新工場⇒装置事業部の
として機能分化し、生産ライン効率化を図る。これにより、
不足による失注・生産性低下」という当社弱みが改善され
• 各工場には、「自動脱脂洗浄機」「スポット溶接機」などの
する先端設備導入を行うことに加えて、生産管理システム</t>
  </si>
  <si>
    <t>工場間の効率的な融通を可能にする支給品払い出しシステムの構築</t>
  </si>
  <si>
    <t>• 工場間の効率的な融通を可能にする支給品払い出しシステムの構築
• 複雑なオーダーメイド設計の増加に対応するための3D CADシステムの
購入
• その他、事業に必要なシステム・機械装置関連費等</t>
  </si>
  <si>
    <t>本社工場の3.51倍の工場床面積と高さ5mの吹き抜けの新工場</t>
  </si>
  <si>
    <t>• 本社工場の3.51倍の工場床面積と高さ5mの吹き抜けの新工場
➢ 各機械を繋いだ長いラインの調整・試験もできる広大さと、全自動
化設備に対応可能な高さのある形状
• どの工場の取扱い機械を運び込んでも対応できるエアー設備の完備</t>
  </si>
  <si>
    <t>顧客の新ニーズへの対応が可能になり訴求力の向上・売上増加が可能に</t>
  </si>
  <si>
    <t>• 供給力が大幅に改善され、累積が続く受注残の売上転換・顧客の省力化需要の高まりの取り込みにより、成長の天井を突破
➢ 新設する広大な新工場と、工場間の融通を可能にするシステムとの掛け合わせにより、新工場単独以上の大幅な供給力の改善に繋がる。目先の大型案件の受注も可能になる
• 顧客の新ニーズへの対応が可能になり訴求力の向上・売上増加が可能に
➢ 包装工程が長く・大きくなるライン化調整需要・全自動化需要を受け入れる新工場と、これらの需要に対応できる技術システムの導入により、顧客への訴求力を高め、競争力を高め
て売上増加に繋げることができる
• 省力化・効率改善による労働生産性の改善・大幅な採用なしでの売上増大・経験効率の向上による技術力の育成が可能に
➢ 工場間の柔軟な融通・出荷待ちによる作業不可時間の削減等により、労務生産性が向上し、技術者のコア業務時間が増え技術力向上・新技術開発に時間を使えるようになる</t>
  </si>
  <si>
    <t>ンスでもある</t>
  </si>
  <si>
    <t>電動化シフトという業界の大変革は、グローバルの競争が非常に厳しい自動車部品業界において、当社のさらなる成長のチャ
ンスでもある</t>
  </si>
  <si>
    <t>•
100周年を迎えた当社が次の100年を考えたとき、当社の使命は地域と社会に“安心”を届けることだと改めて感じている
•
そして、当社ビジネスを支えているのは社員であり、地域・社会・社員の生活を守る為に、多くの変化を求められる次の100年への地盤
を固める長期成長ビジョンを掲げた</t>
  </si>
  <si>
    <t>長期成長ビジョン（目指す姿・ビジネスモデル）
テーマ
次の100年、社会と地域に求められる平島であり続けるために
• “安心”を届ける日本No.1の金属屋根製造販売メーカーへ成長
するための地盤固めをする期間だと捉えている
• 強みである即納体制に磨きをかけ、即納範囲を九州一円に広め
ることで「災害時に強い平島」のイメージを定着させる
• 持続可能な社会の実現に向け、環境負荷の小さい製品の開発、
高強度折板の普及により、地球にやさしい社会、災害に強
い地域をデザインする
• 環境変化に耐えうる盤石な経営基盤を確立し、積極的な賃上げ
により従業員の未来を守る</t>
  </si>
  <si>
    <t>基盤の構築に貢献する</t>
  </si>
  <si>
    <t>• 全国的に労働力不足が懸念される中、熊本においては半導体関連産業の集積により人材競争がより苛烈になる事が予見される
• オートメーション化による製造プロセスの効率化、品質管理の向上を図り、次の100年も「災害に強い平島」であり続け、地域の経済発展や持続可能な産業
基盤の構築に貢献する</t>
  </si>
  <si>
    <t>追加資料</t>
  </si>
  <si>
    <t></t>
  </si>
  <si>
    <t>




  
 
  
 </t>
  </si>
  <si>
    <t></t>
  </si>
  <si>
    <t>
 


</t>
  </si>
  <si>
    <t></t>
  </si>
  <si>
    <t>
  
 
  
 </t>
  </si>
  <si>
    <t>⾼知通運及び</t>
  </si>
  <si>
    <t>⾼知通運及び
7,922万円 10⼈ 792万円 58,778万円 69⼈ 852万円 2.5％
⾼知運輸
LIVORT ‐50万円 1⼈ ‐50万円 5,324万円 1⼈ 5,324万円 na
⼋潮商事 ‐50万円 1⼈ ‐50万円 19,188万円 1⼈ 19,188万円 na</t>
  </si>
  <si>
    <t>【設備投資の内容】
• EV・高速・大容量通信事業拡大に向けた
①受注先別専用工場の取得、既存工場の増床・工場エリ
②EV・高速・大容量通信向け製品大型化・高精度化・複
化ラインの導入
2024年度（2
項目
（基準
労働生産性（単位：万円/人） 993万
従業員1人あたり給与支給総額（単位：万円/人） 457万
役員１人あたり給与支給総額（単位：万円/人）
補助事業に係る従業員数（単位：人）</t>
  </si>
  <si>
    <t>(cid:20)(cid:17)(cid:2486)(cid:2571)(cid:2587)(cid:2486)(cid:23867)(cid:23840)(cid:23887)(cid:23899)
(cid:23832)(cid:23891)(cid:23908)(cid:23871)(cid:3130)(cid:23773)(cid:2581)(cid:3177)(cid:2677)(cid:2485)(cid:23768)(cid:2486)(cid:2571)(cid:2587)(cid:2486)(cid:23867)(cid:23840)(cid:23887)(cid:23899)
• (cid:2570)(cid:2490)(cid:23832)(cid:23891)(cid:23908)(cid:23871)(cid:23769)(cid:23709)(cid:23715)(cid:2552)(cid:2537)(cid:2557)(cid:2686)(cid:23907)(cid:2479)(cid:2513)(cid:2585)(cid:3665)(cid:2638)(cid:23907)(cid:2556)(cid:3433)(cid:2598)(cid:3141)(cid:23716)(cid:23768)(cid:2544)(cid:4407)(cid:23804)(cid:2530)(cid:23746)(cid:23760)(cid:2490)(cid:2477)(cid:23765)(cid:3710)(cid:3444)(cid:23745)(cid:23709)(cid:2620)(cid:2624)(cid:23733)(cid:23795)(cid:2769)(cid:2575)(cid:23762)(cid:23743)(cid:23798)(cid:23797)(cid:2667)(cid:2485)(cid:23762)(cid:23764)(cid:23797)(cid:23741)(cid:23762)(cid:23804)(cid:2543)(cid:2640)(cid:23745)(cid:23760)(cid:23726)(cid:23797)(cid:23710)
• (cid:2493)(cid:2559)(cid:2660)(cid:2579)(cid:2485)(cid:23768)(cid:2849)(cid:2903)(cid:2775)(cid:2546)(cid:23804)(cid:2944)(cid:2563)(cid:23762)(cid:23762)(cid:23795)(cid:23730)(cid:23709)(cid:2587)(cid:2486)(cid:2496)(cid:2521)(cid:23765)(cid:2955)(cid:3006)(cid:2618)(cid:2545)(cid:23804)(cid:2487)(cid:23726)(cid:23709)(cid:2925)(cid:2886)(cid:23768)(cid:2775)(cid:2546)(cid:23765)(cid:3135)(cid:2786)(cid:23745)(cid:23760)(cid:23726)(cid:23737)(cid:23710)
(cid:23832)(cid:23891)(cid:23908)(cid:23871)(cid:23768)(cid:2486)(cid:2571)(cid:2587)(cid:2486)(cid:23867)(cid:23840)(cid:23887)(cid:23899)(cid:1602)(cid:2543)(cid:2640)(cid:23747)(cid:3013)(cid:23907)(cid:23867)(cid:23840)(cid:23861)(cid:23841)(cid:23882)(cid:23855)(cid:23891)(cid:1603) (cid:2583)(cid:2501)(cid:2515)(cid:2559)(cid:2563)
(cid:891) (cid:2620)(cid:2624)(cid:2515)(cid:23764)(cid:2925)(cid:2886)(cid:2508)(cid:2625)(cid:23778)(cid:23768)(cid:2564)(cid:23796)(cid:2636)(cid:23785)(cid:23768)(cid:2575)(cid:2975)(cid:3130)(cid:23773)(cid:2535)(cid:2784)(cid:2577)(cid:23765)(cid:23794)(cid:23796)(cid:23709)(cid:23828)
(cid:891) (cid:2570)(cid:2490)(cid:23832)(cid:23891)(cid:23908)(cid:23871)(cid:23768)(cid:2572)(cid:2529)(cid:2489)(cid:2485)(cid:23768)(cid:23728)(cid:23755)(cid:23709)(cid:4156)(cid:2903)(cid:2489)(cid:2485)(cid:23769)(cid:2473)(cid:2478)(cid:2660)(cid:3596)(cid:2559)(cid:2518)(cid:2743)(cid:23768)(cid:2866)(cid:2903)(cid:23734)(cid:2480)(cid:2673)(cid:23762)
(cid:23845)(cid:23890)(cid:23899)(cid:2660)(cid:23769)(cid:2646)(cid:2776)(cid:23768)(cid:2500)(cid:2658)(cid:23785)(cid:23761)(cid:23724)(cid:23797)(cid:23753)(cid:23787)(cid:23709)(cid:2516)(cid:3300)(cid:2563)(cid:2525)(cid:23804)(cid:2512)(cid:2688)(cid:23762)(cid:23745)(cid:23753)(cid:3100)
(cid:23764)(cid:23757)(cid:23760)(cid:23726)(cid:23797)(cid:23710)
(cid:2591)(cid:2866)(cid:2743)(cid:23768)(cid:2611)(cid:2481)(cid:2646)(cid:2776)(cid:23734)(cid:2500)(cid:2658)(cid:23784)(cid:23798)(cid:23797)
(cid:891) (cid:3100)(cid:2591)(cid:23768)(cid:23824)(cid:23899)(cid:23840)(cid:23899)(cid:2660)(cid:2518)(cid:2743)(cid:23765)(cid:2555)(cid:23801)(cid:23797)(cid:2866)(cid:2743)(cid:23762)(cid:23745)(cid:23760)(cid:40)(cid:57)(cid:2660)(cid:23768)(cid:3596)(cid:2559)(cid:2518)(cid:2743)(cid:23732)(cid:23794)(cid:23773)(cid:3126)(cid:2493)(cid:2559)(cid:2660)(cid:3066)
(cid:891) (cid:40)(cid:57)(cid:2660)(cid:2520)(cid:2499)(cid:23769)(cid:23709)(cid:2812)(cid:2898)(cid:2703)(cid:23709)(cid:2937)(cid:2964)(cid:2703)(cid:23765)(cid:2902)(cid:2619)(cid:23734)(cid:2827)(cid:23796)(cid:23709)(cid:40)(cid:57)(cid:2546)(cid:23768)(cid:2596)(cid:2985)(cid:23709)
(cid:2518)(cid:2743)(cid:23768)(cid:2496)(cid:2521)(cid:3073)(cid:2474)(cid:23804)(cid:3029)(cid:23797)(cid:23788)(cid:23709)(cid:40)(cid:57)(cid:2660)(cid:2518)(cid:2743)(cid:23765)(cid:23758)(cid:23726)(cid:23760)(cid:23769)(cid:23709)(cid:2592)(cid:2814)(cid:23761)(cid:23769)(cid:40)(cid:57)(cid:2546)(cid:2596)(cid:2985)(cid:23768)(cid:2642)(cid:2931)(cid:23734)
(cid:4064)(cid:3530)(cid:23769)(cid:2562)(cid:3530)(cid:2533)
(cid:2900)(cid:23745)(cid:23737)(cid:23709)(cid:4156)(cid:2903)(cid:2489)(cid:2485)(cid:23768)(cid:2587)(cid:2486)(cid:23768)(cid:2500)(cid:2530)(cid:23745)(cid:23734)(cid:2562)(cid:3530)(cid:2533)(cid:23761)(cid:23724)(cid:23797)(cid:23710)
(cid:891) (cid:2620)(cid:2624)(cid:2515)(cid:23765)(cid:2584)(cid:3221)(cid:23764)(cid:2473)(cid:2478)(cid:2660)(cid:3325)(cid:2575)(cid:23734)(cid:23724)(cid:23797)(cid:2483)(cid:2509)(cid:23761)(cid:23709)(cid:40)(cid:57)(cid:2546)(cid:23768)(cid:2482)(cid:3290)(cid:23798)(cid:23765)
(cid:891) (cid:23832)(cid:23891)(cid:23908)(cid:23871)(cid:2552)(cid:2540)(cid:23768)(cid:2749)(cid:2951)(cid:2609)(cid:2481)(cid:23765)(cid:2609)(cid:23739)(cid:23709)(cid:40)(cid:57)(cid:2660)(cid:23907)(cid:3126)(cid:2493)(cid:2559)(cid:2660)(cid:3066)(cid:23778)(cid:23768)(cid:2921)(cid:2912)(cid:3073)(cid:2474)(cid:23804)(cid:3029)(cid:23796)(cid:23758)(cid:23758)(cid:23709)
(cid:23794)(cid:23796)(cid:3122)(cid:2591)(cid:2515)(cid:23765)(cid:2473)(cid:2478)(cid:2660)(cid:23768)(cid:23839)(cid:23823)(cid:23818)(cid:23734)(cid:2803)(cid:23755)(cid:23797)(cid:2797)(cid:2714)(cid:2585)(cid:23734)(cid:23724)(cid:23797)
(cid:2493)(cid:2559)(cid:2660)(cid:2835)(cid:3082)(cid:2518)(cid:2743)(cid:2489)(cid:2485)(cid:23768)(cid:3073)(cid:2474)(cid:23765)(cid:2879)(cid:2529)(cid:23747)(cid:23797)(cid:23710)
(cid:891) (cid:2620)(cid:2624)(cid:2515)(cid:23765)(cid:2500)(cid:23760)(cid:2493)(cid:2559)(cid:2660)(cid:23768)(cid:2547)(cid:2725)(cid:2702)(cid:2607)(cid:23769)(cid:23709)(cid:3093)(cid:3675)(cid:2481)(cid:23734)(cid:23796)(cid:23768)(cid:2642)(cid:3326)(cid:23762)(cid:23764)(cid:23757)
(cid:2581)(cid:3177)(cid:2677)(cid:2485)(cid:23768)(cid:2486)(cid:2571)(cid:2587)(cid:2486)(cid:23867)(cid:23840)(cid:23887)(cid:23899)(cid:1602)(cid:2543)(cid:2640)(cid:23747)(cid:3013)(cid:23907)(cid:23867)(cid:23840)(cid:23861)(cid:23841)(cid:23882)(cid:23855)(cid:23891)(cid:1603) (cid:23760)(cid:23732)(cid:23796)(cid:23709)(cid:2835)(cid:3082)(cid:2518)(cid:2743)(cid:23768)(cid:23859)(cid:23908)(cid:23842)(cid:23769)(cid:2652)(cid:2616)(cid:23747)(cid:23797)(cid:23762)(cid:2693)(cid:23730)(cid:23795)(cid:23798)(cid:23797)(cid:23710)(cid:23784)(cid:23753)(cid:23709)(cid:2493)(cid:2559)
(cid:2660)(cid:2835)(cid:3082)(cid:2518)(cid:2743)(cid:2489)(cid:2485)(cid:23768)(cid:2485)(cid:3162)(cid:23769)(cid:3073)(cid:2474)(cid:3402)(cid:2609)(cid:23765)(cid:23724)(cid:23796)(cid:23709)(cid:2534)(cid:2511)(cid:23788)(cid:2520)(cid:2499)(cid:2539)(cid:3636)
(cid:891) (cid:2581)(cid:3177)(cid:2677)(cid:2485)(cid:23769)(cid:23709)(cid:23881)(cid:23820)(cid:23857)(cid:23820)(cid:23899)(cid:23840)(cid:23883)(cid:23865)(cid:23899)(cid:23768)(cid:2504)(cid:2743)(cid:2872)(cid:23764)(cid:2866)(cid:2743)(cid:23804)(cid:2688)(cid:2937)(cid:23745)(cid:23709)(cid:2660)(cid:23768)(cid:2486)(cid:3661)(cid:2933)(cid:2546)(cid:23804)(cid:3375)(cid:23747)
(cid:23768)(cid:3167)(cid:2505)(cid:23734)(cid:2500)(cid:2658)(cid:23784)(cid:23798)(cid:23797)
(cid:23741)(cid:23762)(cid:23761)(cid:2629)(cid:2594)(cid:2797)(cid:2714)(cid:23764)(cid:2490)(cid:2477)(cid:23768)(cid:2544)(cid:2592)(cid:23765)(cid:3710)(cid:3444)(cid:23747)(cid:23797)(cid:23741)(cid:23762)(cid:23804)(cid:2543)(cid:2640)(cid:23747)(cid:23710)
(cid:891) (cid:2552)(cid:2490)(cid:23762)(cid:23745)(cid:23760)(cid:23768)(cid:2548)(cid:3034)(cid:2584)(cid:2546)(cid:23762)(cid:2503)(cid:2579)(cid:2585)(cid:2609)(cid:2481)(cid:23765)(cid:2564)(cid:23796)(cid:2636)(cid:23785)(cid:23709)(cid:2605)(cid:2879)(cid:23734)(cid:23724)(cid:23757)(cid:23753)(cid:2656)(cid:23765)(cid:23709)(cid:2769)(cid:2575)(cid:23764)(cid:2866)(cid:2743)(cid:23804)
(cid:23847)(cid:23820)(cid:23880)(cid:23890)(cid:23908)(cid:23765)(cid:2937)(cid:2964)(cid:23761)(cid:23735)(cid:23797)(cid:2540)(cid:2577)(cid:23804)(cid:2849)(cid:3363)(cid:23747)(cid:23797)(cid:23741)(cid:23762)(cid:23761)(cid:23709)(cid:2570)(cid:2490)(cid:23768)(cid:2518)(cid:2743)(cid:23804)(cid:4044)(cid:3415)(cid:23747)(cid:23797)(cid:2493)(cid:2559)(cid:2660)(cid:23804)(cid:2547)
(cid:2725)(cid:23747)(cid:23797)(cid:2830)(cid:2750)(cid:2491)(cid:23734)(cid:23709)(cid:2486)(cid:23737)(cid:2573)(cid:2552)(cid:23765)(cid:2861)(cid:23796)(cid:2594)(cid:23739)(cid:23795)(cid:23798)(cid:23797)(cid:23794)(cid:23728)(cid:23837)(cid:23877)(cid:23908)(cid:23856)(cid:23745)(cid:23709)(cid:2490)(cid:2477)(cid:23765)(cid:3710)(cid:3444)(cid:23747)(cid:23797)(cid:23710) (cid:2516)(cid:2501)(cid:2515)(cid:2559)(cid:2563)
(cid:891) (cid:3100)(cid:2591)(cid:23768)(cid:2473)(cid:2478)(cid:2660)(cid:2518)(cid:2743)(cid:23765)(cid:2616)(cid:23730)(cid:23760)(cid:2583)(cid:2476)(cid:2660)(cid:2518)(cid:2743)(cid:23768)(cid:2866)(cid:2743)(cid:23889)(cid:23820)(cid:23899)(cid:23858)(cid:23851)(cid:23871)(cid:23804)(cid:3073)(cid:2474)(cid:23745)(cid:23709)(cid:2583)(cid:2476)(cid:2660)(cid:23886)(cid:23908)
(cid:891) (cid:2581)(cid:3177)(cid:2677)(cid:2485)(cid:23769)(cid:23709)(cid:3969)(cid:2997)(cid:2601)(cid:23768)(cid:2682)(cid:3030)(cid:2809)(cid:2479)(cid:23768)(cid:23715)(cid:2581)(cid:2509)(cid:23794)(cid:23745)(cid:23716)(cid:23768)(cid:2693)(cid:23730)(cid:2509)(cid:23804)(cid:3194)(cid:2804)
(cid:23838)(cid:23908)(cid:23768)(cid:2564)(cid:23796)(cid:2658)(cid:23785)(cid:23804)(cid:3029)(cid:23797)(cid:23762)(cid:23762)(cid:23788)(cid:23765)(cid:23709)(cid:2866)(cid:2743)(cid:23877)(cid:23908)(cid:23856)(cid:23869)(cid:23825)(cid:23890)(cid:23826)(cid:23768)(cid:2647)(cid:2968)(cid:2546)(cid:23765)(cid:23794)(cid:23797)(cid:2473)(cid:2478)(cid:2660)(cid:23881)(cid:23908)(cid:23827)(cid:23908)(cid:23768)
(cid:23762)(cid:23745)(cid:23760)(cid:2501)(cid:2985)
(cid:40)(cid:57)(cid:2546)(cid:2482)(cid:3290)(cid:23798)(cid:23765)(cid:23794)(cid:23797)(cid:23839)(cid:23823)(cid:23818)(cid:3296)(cid:2549)(cid:23768)(cid:23890)(cid:23841)(cid:23831)(cid:23804)(cid:2522)(cid:3266)(cid:23747)(cid:23797)(cid:23710)
(cid:891) (cid:2563)(cid:3850)(cid:2677)(cid:3131)(cid:23768)(cid:2866)(cid:2903)(cid:23804)(cid:2569)(cid:2593)(cid:23762)(cid:23745)(cid:23709)(cid:3449)(cid:3042)(cid:23859)(cid:23908)(cid:23842)(cid:23765)(cid:2786)(cid:23730)(cid:23797)(cid:2948)(cid:23761)(cid:2493)(cid:2559)(cid:2660)
(cid:891) (cid:2866)(cid:2743)(cid:23889)(cid:23820)(cid:23899)(cid:23858)(cid:23851)(cid:23871)(cid:23804)(cid:2652)(cid:23790)(cid:23745)(cid:2594)(cid:23739)(cid:23797)(cid:23741)(cid:23762)(cid:23761)(cid:23709)(cid:2647)(cid:2968)(cid:23764)(cid:2660)(cid:2992)(cid:23765)(cid:2508)(cid:2786)(cid:23745)(cid:23709)(cid:2534)(cid:2511)(cid:23788)(cid:3449)(cid:3042)(cid:23768)(cid:23859)(cid:23908)(cid:23842)
(cid:2835)(cid:3082)(cid:2518)(cid:2743)(cid:2489)(cid:2485)(cid:23778)(cid:2489)(cid:2485)(cid:23804)(cid:2985)(cid:2539)(cid:23745)(cid:23709)(cid:2477)(cid:2490)(cid:2784)(cid:3014)(cid:23804)(cid:3073)(cid:2474)
(cid:23765)(cid:3601)(cid:3806)(cid:23765)(cid:2508)(cid:2786)(cid:23747)(cid:23797)(cid:23710)
(cid:891) (cid:3401)(cid:2485)(cid:2570)(cid:2626)(cid:23769)(cid:2505)(cid:2912)(cid:23765)(cid:2953)(cid:2935)(cid:23745)(cid:23709)(cid:2505)(cid:2912)(cid:23768)(cid:23732)(cid:3042)(cid:2968)(cid:23804)(cid:2508)(cid:2868)(cid:23762)(cid:23745)(cid:23760)(cid:23726)(cid:23753)(cid:23788)(cid:23768)
(cid:891) (cid:2592)(cid:2772)(cid:2943)(cid:2611)(cid:2811)(cid:2792)(cid:23768)(cid:2504)(cid:23726)(cid:23818)(cid:23840)(cid:23818)(cid:23907)(cid:2480)(cid:2741)(cid:2538)(cid:23768)(cid:23785)(cid:23764)(cid:23795)(cid:23748)(cid:23709)(cid:23818)(cid:23869)(cid:23890)(cid:23827)(cid:23790)(cid:2600)(cid:2538)(cid:23778)(cid:23768)(cid:2686)(cid:2485)(cid:23765)(cid:2879)(cid:2529)(cid:23745)(cid:23709)
(cid:2620)(cid:2624)(cid:23768)(cid:4073)(cid:1585)(cid:23784)(cid:23761)(cid:23870)(cid:23889)(cid:23899)(cid:23857)(cid:23804)(cid:4064)(cid:3530)(cid:23743)(cid:23749)(cid:23709)(cid:23869)(cid:23817)(cid:23899)(cid:23804)(cid:3459)(cid:2669)(cid:23745)(cid:23709)(cid:23839)(cid:23823)(cid:23818)(cid:23804)(cid:3073)(cid:2474)(cid:23743)(cid:23749)(cid:23760)(cid:23726)(cid:23737)(cid:23741)(cid:23762)(cid:23761)(cid:2493) (cid:23768)(cid:23709)(cid:2647)(cid:2743)(cid:2992)(cid:23761)(cid:2504)(cid:2743)(cid:2872)(cid:23764)(cid:2866)(cid:2743)(cid:23734)(cid:4105)(cid:1585)(cid:23765)(cid:2879)(cid:2543)(cid:23804)(cid:2768)(cid:23787)(cid:23709)(cid:2476)(cid:2516)(cid:23709)(cid:2610)(cid:2583)
(cid:2559)(cid:2660)(cid:2835)(cid:3082)(cid:2518)(cid:2743)(cid:2520)(cid:2499)(cid:23761)(cid:23768)(cid:2505)(cid:2651)(cid:23804)(cid:2504)(cid:23787)(cid:23797)(cid:23710) (cid:23778)(cid:23762)(cid:3527)(cid:3303)(cid:23804)(cid:3073)(cid:2474)
(cid:2611)(cid:2481)(cid:2587)(cid:2486)(cid:2543)(cid:3087) (cid:891) (cid:2697)(cid:2682)(cid:23761)(cid:23769)(cid:23709)(cid:2605)(cid:2879)(cid:2827)(cid:23768)(cid:2955)(cid:23785)(cid:2481)(cid:23734)(cid:23796)(cid:23765)(cid:23794)(cid:23796)(cid:3253)(cid:2571)(cid:23734)(cid:2486)(cid:2571)(cid:2546)(cid:23745)(cid:23760)(cid:23726)(cid:23797)(cid:23734)(cid:23709)
(cid:2592)(cid:2677)(cid:2499)(cid:23768)(cid:2784)(cid:3014)(cid:23761)(cid:23769)(cid:3253)(cid:2571)(cid:3234)(cid:3296)(cid:23765)(cid:23769)(cid:2834)(cid:2624)(cid:23734)(cid:23724)(cid:23797)(cid:23753)(cid:23787)(cid:23709)(cid:2677)(cid:2499)(cid:2784)(cid:3014)(cid:23804)
(cid:891) (cid:21)(cid:19)(cid:22)(cid:19)(cid:2475)(cid:2536)(cid:2611)(cid:2481)(cid:2504)(cid:2543)(cid:3087)(cid:1567)(cid:2554)(cid:24)(cid:19)(cid:19)(cid:2639)(cid:2526)
(cid:3073)(cid:2474)(cid:23747)(cid:23797)(cid:2769)(cid:2575)(cid:23734)(cid:23724)(cid:23797)
(cid:21)(cid:19)(cid:22)(cid:19)(cid:2475)(cid:2536)(cid:23784)(cid:23761)(cid:23768)(cid:2611)(cid:2481)(cid:2504)(cid:2587)(cid:2486)(cid:2792)(cid:21)(cid:27)(cid:23)(cid:1643)(cid:23709)(cid:2611)(cid:2481)(cid:2504)(cid:2652)(cid:2616)(cid:2730)(cid:22)(cid:21)(cid:19)(cid:2639)(cid:2526) (cid:1602)(cid:21)(cid:19)(cid:21)(cid:21)(cid:2475)(cid:2536)(cid:2811)(cid:1603)</t>
  </si>
  <si>
    <t>その他Box 2</t>
  </si>
  <si>
    <t>(cid:23832)(cid:23891)(cid:23908)(cid:23871)(cid:23768)(cid:2486)(cid:2571)(cid:2587)(cid:2486)(cid:23867)(cid:23840)(cid:23887)(cid:23899)(cid:1602)(cid:2543)(cid:2640)(cid:23747)(cid:3013)(cid:23907)(cid:23867)(cid:23840)(cid:23861)(cid:23841)(cid:23882)(cid:23855)(cid:23891)(cid:1603)
(cid:891) (cid:2570)(cid:2490)(cid:23832)(cid:23891)(cid:23908)(cid:23871)(cid:23768)(cid:2572)(cid:2529)(cid:2489)(cid:2485)(cid:23768)(cid:23728)(cid:23755)(cid:23709)(cid:4156)(cid:2903)(cid:2489)(cid:2485)(cid:23769)(cid:2473)(cid:2478)(cid:2660)(cid:3596)(cid:2559)(cid:2518)(cid:2743)(cid:23768)(cid:2866)(cid:2903)(cid:23734)(cid:2480)(cid:2673)(cid:23762)
(cid:23764)(cid:23757)(cid:23760)(cid:23726)(cid:23797)(cid:23710)
(cid:891) (cid:3100)(cid:2591)(cid:23768)(cid:23824)(cid:23899)(cid:23840)(cid:23899)(cid:2660)(cid:2518)(cid:2743)(cid:23765)(cid:2555)(cid:23801)(cid:23797)(cid:2866)(cid:2743)(cid:23762)(cid:23745)(cid:23760)(cid:40)(cid:57)(cid:2660)(cid:23768)(cid:3596)(cid:2559)(cid:2518)(cid:2743)(cid:23732)(cid:23794)(cid:23773)(cid:3126)(cid:2493)(cid:2559)(cid:2660)(cid:3066)
(cid:2518)(cid:2743)(cid:23768)(cid:2496)(cid:2521)(cid:3073)(cid:2474)(cid:23804)(cid:3029)(cid:23797)(cid:23788)(cid:23709)(cid:40)(cid:57)(cid:2660)(cid:2518)(cid:2743)(cid:23765)(cid:23758)(cid:23726)(cid:23760)(cid:23769)(cid:23709)(cid:2592)(cid:2814)(cid:23761)(cid:23769)(cid:40)(cid:57)(cid:2546)(cid:2596)(cid:2985)(cid:23768)(cid:2642)(cid:2931)(cid:23734)
(cid:2900)(cid:23745)(cid:23737)(cid:23709)(cid:4156)(cid:2903)(cid:2489)(cid:2485)(cid:23768)(cid:2587)(cid:2486)(cid:23768)(cid:2500)(cid:2530)(cid:23745)(cid:23734)(cid:2562)(cid:3530)(cid:2533)(cid:23761)(cid:23724)(cid:23797)(cid:23710)
(cid:891) (cid:23832)(cid:23891)(cid:23908)(cid:23871)(cid:2552)(cid:2540)(cid:23768)(cid:2749)(cid:2951)(cid:2609)(cid:2481)(cid:23765)(cid:2609)(cid:23739)(cid:23709)(cid:40)(cid:57)(cid:2660)(cid:23907)(cid:3126)(cid:2493)(cid:2559)(cid:2660)(cid:3066)(cid:23778)(cid:23768)(cid:2921)(cid:2912)(cid:3073)(cid:2474)(cid:23804)(cid:3029)(cid:23796)(cid:23758)(cid:23758)(cid:23709)
(cid:2493)(cid:2559)(cid:2660)(cid:2835)(cid:3082)(cid:2518)(cid:2743)(cid:2489)(cid:2485)(cid:23768)(cid:3073)(cid:2474)(cid:23765)(cid:2879)(cid:2529)(cid:23747)(cid:23797)(cid:23710)
(cid:2581)(cid:3177)(cid:2677)(cid:2485)(cid:23768)(cid:2486)(cid:2571)(cid:2587)(cid:2486)(cid:23867)(cid:23840)(cid:23887)(cid:23899)(cid:1602)(cid:2543)(cid:2640)(cid:23747)(cid:3013)(cid:23907)(cid:23867)(cid:23840)(cid:23861)(cid:23841)(cid:23882)(cid:23855)(cid:23891)(cid:1603)
(cid:891) (cid:2581)(cid:3177)(cid:2677)(cid:2485)(cid:23769)(cid:23709)(cid:23881)(cid:23820)(cid:23857)(cid:23820)(cid:23899)(cid:23840)(cid:23883)(cid:23865)(cid:23899)(cid:23768)(cid:2504)(cid:2743)(cid:2872)(cid:23764)(cid:2866)(cid:2743)(cid:23804)(cid:2688)(cid:2937)(cid:23745)(cid:23709)(cid:2660)(cid:23768)(cid:2486)(cid:3661)(cid:2933)(cid:2546)(cid:23804)(cid:3375)(cid:23747)
(cid:23741)(cid:23762)(cid:23761)(cid:2629)(cid:2594)(cid:2797)(cid:2714)(cid:23764)(cid:2490)(cid:2477)(cid:23768)(cid:2544)(cid:2592)(cid:23765)(cid:3710)(cid:3444)(cid:23747)(cid:23797)(cid:23741)(cid:23762)(cid:23804)(cid:2543)(cid:2640)(cid:23747)(cid:23710)
(cid:891) (cid:2552)(cid:2490)(cid:23762)(cid:23745)(cid:23760)(cid:23768)(cid:2548)(cid:3034)(cid:2584)(cid:2546)(cid:23762)(cid:2503)(cid:2579)(cid:2585)(cid:2609)(cid:2481)(cid:23765)(cid:2564)(cid:23796)(cid:2636)(cid:23785)(cid:23709)(cid:2605)(cid:2879)(cid:23734)(cid:23724)(cid:23757)(cid:23753)(cid:2656)(cid:23765)(cid:23709)(cid:2769)(cid:2575)(cid:23764)(cid:2866)(cid:2743)(cid:23804)
(cid:23847)(cid:23820)(cid:23880)(cid:23890)(cid:23908)(cid:23765)(cid:2937)(cid:2964)(cid:23761)(cid:23735)(cid:23797)(cid:2540)(cid:2577)(cid:23804)(cid:2849)(cid:3363)(cid:23747)(cid:23797)(cid:23741)(cid:23762)(cid:23761)(cid:23709)(cid:2570)(cid:2490)(cid:23768)(cid:2518)(cid:2743)(cid:23804)(cid:4044)(cid:3415)(cid:23747)(cid:23797)(cid:2493)(cid:2559)(cid:2660)(cid:23804)(cid:2547)
(cid:2725)(cid:23747)(cid:23797)(cid:2830)(cid:2750)(cid:2491)(cid:23734)(cid:23709)(cid:2486)(cid:23737)(cid:2573)(cid:2552)(cid:23765)(cid:2861)(cid:23796)(cid:2594)(cid:23739)(cid:23795)(cid:23798)(cid:23797)(cid:23794)(cid:23728)(cid:23837)(cid:23877)(cid:23908)(cid:23856)(cid:23745)(cid:23709)(cid:2490)(cid:2477)(cid:23765)(cid:3710)(cid:3444)(cid:23747)(cid:23797)(cid:23710)
(cid:891) (cid:3100)(cid:2591)(cid:23768)(cid:2473)(cid:2478)(cid:2660)(cid:2518)(cid:2743)(cid:23765)(cid:2616)(cid:23730)(cid:23760)(cid:2583)(cid:2476)(cid:2660)(cid:2518)(cid:2743)(cid:23768)(cid:2866)(cid:2743)(cid:23889)(cid:23820)(cid:23899)(cid:23858)(cid:23851)(cid:23871)(cid:23804)(cid:3073)(cid:2474)(cid:23745)(cid:23709)(cid:2583)(cid:2476)(cid:2660)(cid:23886)(cid:23908)
(cid:23838)(cid:23908)(cid:23768)(cid:2564)(cid:23796)(cid:2658)(cid:23785)(cid:23804)(cid:3029)(cid:23797)(cid:23762)(cid:23762)(cid:23788)(cid:23765)(cid:23709)(cid:2866)(cid:2743)(cid:23877)(cid:23908)(cid:23856)(cid:23869)(cid:23825)(cid:23890)(cid:23826)(cid:23768)(cid:2647)(cid:2968)(cid:2546)(cid:23765)(cid:23794)(cid:23797)(cid:2473)(cid:2478)(cid:2660)(cid:23881)(cid:23908)(cid:23827)(cid:23908)(cid:23768)
(cid:40)(cid:57)(cid:2546)(cid:2482)(cid:3290)(cid:23798)(cid:23765)(cid:23794)(cid:23797)(cid:23839)(cid:23823)(cid:23818)(cid:3296)(cid:2549)(cid:23768)(cid:23890)(cid:23841)(cid:23831)(cid:23804)(cid:2522)(cid:3266)(cid:23747)(cid:23797)(cid:23710)
(cid:891) (cid:2866)(cid:2743)(cid:23889)(cid:23820)(cid:23899)(cid:23858)(cid:23851)(cid:23871)(cid:23804)(cid:2652)(cid:23790)(cid:23745)(cid:2594)(cid:23739)(cid:23797)(cid:23741)(cid:23762)(cid:23761)(cid:23709)(cid:2647)(cid:2968)(cid:23764)(cid:2660)(cid:2992)(cid:23765)(cid:2508)(cid:2786)(cid:23745)(cid:23709)(cid:2534)(cid:2511)(cid:23788)(cid:3449)(cid:3042)(cid:23768)(cid:23859)(cid:23908)(cid:23842)
(cid:23765)(cid:3601)(cid:3806)(cid:23765)(cid:2508)(cid:2786)(cid:23747)(cid:23797)(cid:23710)
(cid:891) (cid:2592)(cid:2772)(cid:2943)(cid:2611)(cid:2811)(cid:2792)(cid:23768)(cid:2504)(cid:23726)(cid:23818)(cid:23840)(cid:23818)(cid:23907)(cid:2480)(cid:2741)(cid:2538)(cid:23768)(cid:23785)(cid:23764)(cid:23795)(cid:23748)(cid:23709)(cid:23818)(cid:23869)(cid:23890)(cid:23827)(cid:23790)(cid:2600)(cid:2538)(cid:23778)(cid:23768)(cid:2686)(cid:2485)(cid:23765)(cid:2879)(cid:2529)(cid:23745)(cid:23709)
(cid:2620)(cid:2624)(cid:23768)(cid:4073)(cid:1585)(cid:23784)(cid:23761)(cid:23870)(cid:23889)(cid:23899)(cid:23857)(cid:23804)(cid:4064)(cid:3530)(cid:23743)(cid:23749)(cid:23709)(cid:23869)(cid:23817)(cid:23899)(cid:23804)(cid:3459)(cid:2669)(cid:23745)(cid:23709)(cid:23839)(cid:23823)(cid:23818)(cid:23804)(cid:3073)(cid:2474)(cid:23743)(cid:23749)(cid:23760)(cid:23726)(cid:23737)(cid:23741)(cid:23762)(cid:23761)(cid:2493)
(cid:2559)(cid:2660)(cid:2835)(cid:3082)(cid:2518)(cid:2743)(cid:2520)(cid:2499)(cid:23761)(cid:23768)(cid:2505)(cid:2651)(cid:23804)(cid:2504)(cid:23787)(cid:23797)(cid:23710)
(cid:2611)(cid:2481)(cid:2587)(cid:2486)(cid:2543)(cid:3087)
(cid:891) (cid:21)(cid:19)(cid:22)(cid:19)(cid:2475)(cid:2536)(cid:2611)(cid:2481)(cid:2504)(cid:2543)(cid:3087)(cid:1567)(cid:2554)(cid:24)(cid:19)(cid:19)(cid:2639)(cid:2526)
(cid:21)(cid:19)(cid:22)(cid:19)(cid:2475)(cid:2536)(cid:23784)(cid:23761)(cid:23768)(cid:2611)(cid:2481)(cid:2504)(cid:2587)(cid:2486)(cid:2792)(cid:21)(cid:27)(cid:23)(cid:1643)(cid:23709)(cid:2611)(cid:2481)(cid:2504)(cid:2652)(cid:2616)(cid:2730)(cid:22)(cid:21)(cid:19)(cid:2639)(cid:2526)
(cid:1602)(cid:21)(cid:19)(cid:21)(cid:21)(cid:2475)(cid:2536)(cid:2811)(cid:1603)</t>
  </si>
  <si>
    <t>その他Box 3</t>
  </si>
  <si>
    <t>(cid:2583)(cid:2501)(cid:2515)(cid:2559)(cid:2563)
(cid:891) (cid:2620)(cid:2624)(cid:2515)(cid:23764)(cid:2925)(cid:2886)(cid:2508)(cid:2625)(cid:23778)(cid:23768)(cid:2564)(cid:23796)(cid:2636)(cid:23785)(cid:23768)(cid:2575)(cid:2975)(cid:3130)(cid:23773)(cid:2535)(cid:2784)(cid:2577)(cid:23765)(cid:23794)(cid:23796)(cid:23709)(cid:23828)
(cid:23845)(cid:23890)(cid:23899)(cid:2660)(cid:23769)(cid:2646)(cid:2776)(cid:23768)(cid:2500)(cid:2658)(cid:23785)(cid:23761)(cid:23724)(cid:23797)(cid:23753)(cid:23787)(cid:23709)(cid:2516)(cid:3300)(cid:2563)(cid:2525)(cid:23804)(cid:2512)(cid:2688)(cid:23762)(cid:23745)(cid:23753)(cid:3100)
(cid:2591)(cid:2866)(cid:2743)(cid:23768)(cid:2611)(cid:2481)(cid:2646)(cid:2776)(cid:23734)(cid:2500)(cid:2658)(cid:23784)(cid:23798)(cid:23797)
(cid:891) (cid:40)(cid:57)(cid:2660)(cid:2520)(cid:2499)(cid:23769)(cid:23709)(cid:2812)(cid:2898)(cid:2703)(cid:23709)(cid:2937)(cid:2964)(cid:2703)(cid:23765)(cid:2902)(cid:2619)(cid:23734)(cid:2827)(cid:23796)(cid:23709)(cid:40)(cid:57)(cid:2546)(cid:23768)(cid:2596)(cid:2985)(cid:23709)
(cid:4064)(cid:3530)(cid:23769)(cid:2562)(cid:3530)(cid:2533)
(cid:891) (cid:2620)(cid:2624)(cid:2515)(cid:23765)(cid:2584)(cid:3221)(cid:23764)(cid:2473)(cid:2478)(cid:2660)(cid:3325)(cid:2575)(cid:23734)(cid:23724)(cid:23797)(cid:2483)(cid:2509)(cid:23761)(cid:23709)(cid:40)(cid:57)(cid:2546)(cid:23768)(cid:2482)(cid:3290)(cid:23798)(cid:23765)
(cid:23794)(cid:23796)(cid:3122)(cid:2591)(cid:2515)(cid:23765)(cid:2473)(cid:2478)(cid:2660)(cid:23768)(cid:23839)(cid:23823)(cid:23818)(cid:23734)(cid:2803)(cid:23755)(cid:23797)(cid:2797)(cid:2714)(cid:2585)(cid:23734)(cid:23724)(cid:23797)
(cid:891) (cid:2620)(cid:2624)(cid:2515)(cid:23765)(cid:2500)(cid:23760)(cid:2493)(cid:2559)(cid:2660)(cid:23768)(cid:2547)(cid:2725)(cid:2702)(cid:2607)(cid:23769)(cid:23709)(cid:3093)(cid:3675)(cid:2481)(cid:23734)(cid:23796)(cid:23768)(cid:2642)(cid:3326)(cid:23762)(cid:23764)(cid:23757)
(cid:23760)(cid:23732)(cid:23796)(cid:23709)(cid:2835)(cid:3082)(cid:2518)(cid:2743)(cid:23768)(cid:23859)(cid:23908)(cid:23842)(cid:23769)(cid:2652)(cid:2616)(cid:23747)(cid:23797)(cid:23762)(cid:2693)(cid:23730)(cid:23795)(cid:23798)(cid:23797)(cid:23710)(cid:23784)(cid:23753)(cid:23709)(cid:2493)(cid:2559)
(cid:2660)(cid:2835)(cid:3082)(cid:2518)(cid:2743)(cid:2489)(cid:2485)(cid:23768)(cid:2485)(cid:3162)(cid:23769)(cid:3073)(cid:2474)(cid:3402)(cid:2609)(cid:23765)(cid:23724)(cid:23796)(cid:23709)(cid:2534)(cid:2511)(cid:23788)(cid:2520)(cid:2499)(cid:2539)(cid:3636)
(cid:23768)(cid:3167)(cid:2505)(cid:23734)(cid:2500)(cid:2658)(cid:23784)(cid:23798)(cid:23797)</t>
  </si>
  <si>
    <t>その他Box 4</t>
  </si>
  <si>
    <t>(cid:2581)(cid:3177)(cid:2677)(cid:2485)(cid:23768)(cid:2486)(cid:2571)(cid:2587)(cid:2486)(cid:23867)(cid:23840)(cid:23887)(cid:23899)(cid:1602)(cid:2543)(cid:2640)(cid:23747)(cid:3013)(cid:23907)(cid:23867)(cid:23840)(cid:23861)(cid:23841)(cid:23882)(cid:23855)(cid:23891)(cid:1603)
(cid:891) (cid:2581)(cid:3177)(cid:2677)(cid:2485)(cid:23769)(cid:23709)(cid:23881)(cid:23820)(cid:23857)(cid:23820)(cid:23899)(cid:23840)(cid:23883)(cid:23865)(cid:23899)(cid:23768)(cid:2504)(cid:2743)(cid:2872)(cid:23764)(cid:2866)(cid:2743)(cid:23804)(cid:2688)(cid:2937)(cid:23745)(cid:23709)(cid:2660)(cid:23768)(cid:2486)(cid:3661)(cid:2933)(cid:2546)(cid:23804)(cid:3375)(cid:23747)
(cid:23741)(cid:23762)(cid:23761)(cid:2629)(cid:2594)(cid:2797)(cid:2714)(cid:23764)(cid:2490)(cid:2477)(cid:23768)(cid:2544)(cid:2592)(cid:23765)(cid:3710)(cid:3444)(cid:23747)(cid:23797)(cid:23741)(cid:23762)(cid:23804)(cid:2543)(cid:2640)(cid:23747)(cid:23710)
(cid:891) (cid:2552)(cid:2490)(cid:23762)(cid:23745)(cid:23760)(cid:23768)(cid:2548)(cid:3034)(cid:2584)(cid:2546)(cid:23762)(cid:2503)(cid:2579)(cid:2585)(cid:2609)(cid:2481)(cid:23765)(cid:2564)(cid:23796)(cid:2636)(cid:23785)(cid:23709)(cid:2605)(cid:2879)(cid:23734)(cid:23724)(cid:23757)(cid:23753)(cid:2656)(cid:23765)(cid:23709)(cid:2769)(cid:2575)(cid:23764)(cid:2866)(cid:2743)(cid:23804)
(cid:23847)(cid:23820)(cid:23880)(cid:23890)(cid:23908)(cid:23765)(cid:2937)(cid:2964)(cid:23761)(cid:23735)(cid:23797)(cid:2540)(cid:2577)(cid:23804)(cid:2849)(cid:3363)(cid:23747)(cid:23797)(cid:23741)(cid:23762)(cid:23761)(cid:23709)(cid:2570)(cid:2490)(cid:23768)(cid:2518)(cid:2743)(cid:23804)(cid:4044)(cid:3415)(cid:23747)(cid:23797)(cid:2493)(cid:2559)(cid:2660)(cid:23804)(cid:2547)
(cid:2725)(cid:23747)(cid:23797)(cid:2830)(cid:2750)(cid:2491)(cid:23734)(cid:23709)(cid:2486)(cid:23737)(cid:2573)(cid:2552)(cid:23765)(cid:2861)(cid:23796)(cid:2594)(cid:23739)(cid:23795)(cid:23798)(cid:23797)(cid:23794)(cid:23728)(cid:23837)(cid:23877)(cid:23908)(cid:23856)(cid:23745)(cid:23709)(cid:2490)(cid:2477)(cid:23765)(cid:3710)(cid:3444)(cid:23747)(cid:23797)(cid:23710)
(cid:891) (cid:3100)(cid:2591)(cid:23768)(cid:2473)(cid:2478)(cid:2660)(cid:2518)(cid:2743)(cid:23765)(cid:2616)(cid:23730)(cid:23760)(cid:2583)(cid:2476)(cid:2660)(cid:2518)(cid:2743)(cid:23768)(cid:2866)(cid:2743)(cid:23889)(cid:23820)(cid:23899)(cid:23858)(cid:23851)(cid:23871)(cid:23804)(cid:3073)(cid:2474)(cid:23745)(cid:23709)(cid:2583)(cid:2476)(cid:2660)(cid:23886)(cid:23908)
(cid:23838)(cid:23908)(cid:23768)(cid:2564)(cid:23796)(cid:2658)(cid:23785)(cid:23804)(cid:3029)(cid:23797)(cid:23762)(cid:23762)(cid:23788)(cid:23765)(cid:23709)(cid:2866)(cid:2743)(cid:23877)(cid:23908)(cid:23856)(cid:23869)(cid:23825)(cid:23890)(cid:23826)(cid:23768)(cid:2647)(cid:2968)(cid:2546)(cid:23765)(cid:23794)(cid:23797)(cid:2473)(cid:2478)(cid:2660)(cid:23881)(cid:23908)(cid:23827)(cid:23908)(cid:23768)
(cid:40)(cid:57)(cid:2546)(cid:2482)(cid:3290)(cid:23798)(cid:23765)(cid:23794)(cid:23797)(cid:23839)(cid:23823)(cid:23818)(cid:3296)(cid:2549)(cid:23768)(cid:23890)(cid:23841)(cid:23831)(cid:23804)(cid:2522)(cid:3266)(cid:23747)(cid:23797)(cid:23710)
(cid:891) (cid:2866)(cid:2743)(cid:23889)(cid:23820)(cid:23899)(cid:23858)(cid:23851)(cid:23871)(cid:23804)(cid:2652)(cid:23790)(cid:23745)(cid:2594)(cid:23739)(cid:23797)(cid:23741)(cid:23762)(cid:23761)(cid:23709)(cid:2647)(cid:2968)(cid:23764)(cid:2660)(cid:2992)(cid:23765)(cid:2508)(cid:2786)(cid:23745)(cid:23709)(cid:2534)(cid:2511)(cid:23788)(cid:3449)(cid:3042)(cid:23768)(cid:23859)(cid:23908)(cid:23842)
(cid:23765)(cid:3601)(cid:3806)(cid:23765)(cid:2508)(cid:2786)(cid:23747)(cid:23797)(cid:23710)
(cid:891) (cid:2592)(cid:2772)(cid:2943)(cid:2611)(cid:2811)(cid:2792)(cid:23768)(cid:2504)(cid:23726)(cid:23818)(cid:23840)(cid:23818)(cid:23907)(cid:2480)(cid:2741)(cid:2538)(cid:23768)(cid:23785)(cid:23764)(cid:23795)(cid:23748)(cid:23709)(cid:23818)(cid:23869)(cid:23890)(cid:23827)(cid:23790)(cid:2600)(cid:2538)(cid:23778)(cid:23768)(cid:2686)(cid:2485)(cid:23765)(cid:2879)(cid:2529)(cid:23745)(cid:23709)
(cid:2620)(cid:2624)(cid:23768)(cid:4073)(cid:1585)(cid:23784)(cid:23761)(cid:23870)(cid:23889)(cid:23899)(cid:23857)(cid:23804)(cid:4064)(cid:3530)(cid:23743)(cid:23749)(cid:23709)(cid:23869)(cid:23817)(cid:23899)(cid:23804)(cid:3459)(cid:2669)(cid:23745)(cid:23709)(cid:23839)(cid:23823)(cid:23818)(cid:23804)(cid:3073)(cid:2474)(cid:23743)(cid:23749)(cid:23760)(cid:23726)(cid:23737)(cid:23741)(cid:23762)(cid:23761)(cid:2493)
(cid:2559)(cid:2660)(cid:2835)(cid:3082)(cid:2518)(cid:2743)(cid:2520)(cid:2499)(cid:23761)(cid:23768)(cid:2505)(cid:2651)(cid:23804)(cid:2504)(cid:23787)(cid:23797)(cid:23710)
(cid:2611)(cid:2481)(cid:2587)(cid:2486)(cid:2543)(cid:3087)
(cid:891) (cid:21)(cid:19)(cid:22)(cid:19)(cid:2475)(cid:2536)(cid:2611)(cid:2481)(cid:2504)(cid:2543)(cid:3087)(cid:1567)(cid:2554)(cid:24)(cid:19)(cid:19)(cid:2639)(cid:2526)
(cid:21)(cid:19)(cid:22)(cid:19)(cid:2475)(cid:2536)(cid:23784)(cid:23761)(cid:23768)(cid:2611)(cid:2481)(cid:2504)(cid:2587)(cid:2486)(cid:2792)(cid:21)(cid:27)(cid:23)(cid:1643)(cid:23709)(cid:2611)(cid:2481)(cid:2504)(cid:2652)(cid:2616)(cid:2730)(cid:22)(cid:21)(cid:19)(cid:2639)(cid:2526)
(cid:1602)(cid:21)(cid:19)(cid:21)(cid:21)(cid:2475)(cid:2536)(cid:2811)(cid:1603)</t>
  </si>
  <si>
    <t>その他Box 5</t>
  </si>
  <si>
    <t>(cid:2516)(cid:2501)(cid:2515)(cid:2559)(cid:2563)
(cid:891) (cid:2581)(cid:3177)(cid:2677)(cid:2485)(cid:23769)(cid:23709)(cid:3969)(cid:2997)(cid:2601)(cid:23768)(cid:2682)(cid:3030)(cid:2809)(cid:2479)(cid:23768)(cid:23715)(cid:2581)(cid:2509)(cid:23794)(cid:23745)(cid:23716)(cid:23768)(cid:2693)(cid:23730)(cid:2509)(cid:23804)(cid:3194)(cid:2804)
(cid:23762)(cid:23745)(cid:23760)(cid:2501)(cid:2985)
(cid:891) (cid:2563)(cid:3850)(cid:2677)(cid:3131)(cid:23768)(cid:2866)(cid:2903)(cid:23804)(cid:2569)(cid:2593)(cid:23762)(cid:23745)(cid:23709)(cid:3449)(cid:3042)(cid:23859)(cid:23908)(cid:23842)(cid:23765)(cid:2786)(cid:23730)(cid:23797)(cid:2948)(cid:23761)(cid:2493)(cid:2559)(cid:2660)
(cid:2835)(cid:3082)(cid:2518)(cid:2743)(cid:2489)(cid:2485)(cid:23778)(cid:2489)(cid:2485)(cid:23804)(cid:2985)(cid:2539)(cid:23745)(cid:23709)(cid:2477)(cid:2490)(cid:2784)(cid:3014)(cid:23804)(cid:3073)(cid:2474)
(cid:891) (cid:3401)(cid:2485)(cid:2570)(cid:2626)(cid:23769)(cid:2505)(cid:2912)(cid:23765)(cid:2953)(cid:2935)(cid:23745)(cid:23709)(cid:2505)(cid:2912)(cid:23768)(cid:23732)(cid:3042)(cid:2968)(cid:23804)(cid:2508)(cid:2868)(cid:23762)(cid:23745)(cid:23760)(cid:23726)(cid:23753)(cid:23788)(cid:23768)
(cid:23768)(cid:23709)(cid:2647)(cid:2743)(cid:2992)(cid:23761)(cid:2504)(cid:2743)(cid:2872)(cid:23764)(cid:2866)(cid:2743)(cid:23734)(cid:4105)(cid:1585)(cid:23765)(cid:2879)(cid:2543)(cid:23804)(cid:2768)(cid:23787)(cid:23709)(cid:2476)(cid:2516)(cid:23709)(cid:2610)(cid:2583)
(cid:23778)(cid:23762)(cid:3527)(cid:3303)(cid:23804)(cid:3073)(cid:2474)
(cid:891) (cid:2697)(cid:2682)(cid:23761)(cid:23769)(cid:23709)(cid:2605)(cid:2879)(cid:2827)(cid:23768)(cid:2955)(cid:23785)(cid:2481)(cid:23734)(cid:23796)(cid:23765)(cid:23794)(cid:23796)(cid:3253)(cid:2571)(cid:23734)(cid:2486)(cid:2571)(cid:2546)(cid:23745)(cid:23760)(cid:23726)(cid:23797)(cid:23734)(cid:23709)
(cid:2592)(cid:2677)(cid:2499)(cid:23768)(cid:2784)(cid:3014)(cid:23761)(cid:23769)(cid:3253)(cid:2571)(cid:3234)(cid:3296)(cid:23765)(cid:23769)(cid:2834)(cid:2624)(cid:23734)(cid:23724)(cid:23797)(cid:23753)(cid:23787)(cid:23709)(cid:2677)(cid:2499)(cid:2784)(cid:3014)(cid:23804)
(cid:3073)(cid:2474)(cid:23747)(cid:23797)(cid:2769)(cid:2575)(cid:23734)(cid:23724)(cid:23797)</t>
  </si>
  <si>
    <t>2(cid:17)(cid:2835)(cid:2947)(cid:2489)(cid:2485)(cid:23768)(cid:3818)(cid:2575)
(cid:3780)(cid:3037)(cid:2677)(cid:2499)(cid:2519)(cid:2589)(cid:23871)(cid:23893)(cid:23840)(cid:23823)(cid:23831)(cid:23856)(cid:23768)(cid:3818)(cid:2575)
• (cid:2478)(cid:2835)(cid:2947)(cid:2489)(cid:2485)(cid:23761)(cid:23769)(cid:2503)(cid:2579)(cid:2714)(cid:2529)(cid:23768)(cid:2609)(cid:2481)(cid:23804)(cid:2543)(cid:2515)(cid:23762)(cid:23745)(cid:23760)(cid:3969)(cid:2997)(cid:2601)(cid:3780)(cid:3037)(cid:2484)(cid:23765)(cid:2519)(cid:2677)(cid:2499)(cid:23804)(cid:2519)(cid:2589)(cid:23710)
(cid:891) (cid:2570)(cid:2490)(cid:23769)(cid:2498)(cid:2741)(cid:23818)(cid:23840)(cid:23818)(cid:23790)(cid:2480)(cid:2741)(cid:2538)(cid:23804)(cid:2480)(cid:2673)(cid:23762)(cid:23745)(cid:23760)(cid:2473)(cid:2478)(cid:2660)(cid:23768)(cid:2493)(cid:2559)(cid:2660)(cid:2835)(cid:3082)(cid:2518)(cid:2743)(cid:2866)(cid:2903)(cid:2943)(cid:2611)(cid:23768)(cid:2485)(cid:2624)(cid:23761)(cid:2483)(cid:2514)(cid:23768)(cid:23839)(cid:23823)(cid:23818)(cid:23804)(cid:2725)(cid:23745)(cid:23760)(cid:23726)(cid:23797)(cid:23710)
(cid:891) (cid:23745)(cid:23733)(cid:23745)(cid:2697)(cid:2682)(cid:23761)(cid:23769)(cid:2570)(cid:2490)(cid:2866)(cid:2743)(cid:3325)(cid:2575)(cid:23768)(cid:2652)(cid:2616)(cid:23765)(cid:2508)(cid:23745)(cid:23760)(cid:23709)(cid:2592)(cid:2487)(cid:23768)(cid:2677)(cid:2499)(cid:23761)(cid:23769)(cid:3854)(cid:3054)(cid:23734)(cid:9131)(cid:3252)(cid:23745)(cid:23760)(cid:23732)(cid:23796)(cid:23709)(cid:3253)(cid:2571)(cid:23734)(cid:2486)(cid:2571)(cid:2546)(cid:23745)(cid:23760)(cid:23726)(cid:23797)(cid:23710)
(cid:2835)(cid:2947)(cid:2489)(cid:2485)(cid:23768)
(cid:891) (cid:2592)(cid:2677)(cid:2499)(cid:23769)(cid:3073)(cid:2897)(cid:2551)(cid:23768)(cid:3362)(cid:2505)(cid:23734)(cid:2562)(cid:2828)(cid:23745)(cid:23760)(cid:23726)(cid:23797)(cid:23781)(cid:23733)(cid:23709)(cid:2677)(cid:2499)(cid:3872)(cid:23768)(cid:2652)(cid:3363)(cid:23804)(cid:2638)(cid:23767)(cid:23760)(cid:23726)(cid:23797)(cid:23753)(cid:23787)(cid:2866)(cid:2903)(cid:23889)(cid:23820)(cid:23899)(cid:23734)(cid:2568)(cid:3135)(cid:2546)(cid:23743)(cid:23798)(cid:23760)(cid:23726)(cid:23764)(cid:23726)(cid:23710)
(cid:3138)(cid:2860)(cid:23907)(cid:2543)(cid:2515)
(cid:2489)(cid:2485)(cid:2750) (cid:20) (cid:2639)(cid:2526)
17
(cid:891) (cid:23784)(cid:23753)(cid:23709)(cid:2480)(cid:2486)(cid:2571)(cid:2515)(cid:23764)(cid:2902)(cid:2619)(cid:23762)(cid:23745)(cid:23760)(cid:2677)(cid:2499)(cid:23768)(cid:2687)(cid:2485)(cid:2479)(cid:2537)(cid:23768)(cid:2728)(cid:2547)(cid:23734)(cid:3409)(cid:2900)(cid:23765)(cid:23764)(cid:23796)(cid:23758)(cid:23758)(cid:23724)(cid:23797)(cid:23710)
(cid:1602)(cid:2835)(cid:2947)(cid:2730)(cid:1603) (cid:1602)(cid:22)3(cid:2639)(cid:2526)(cid:1603)
(cid:891) (cid:2478)(cid:2671)(cid:2835)(cid:2947)(cid:2489)(cid:2485)(cid:23765)(cid:23760)(cid:2677)(cid:2499)(cid:23768)(cid:2519)(cid:2589)(cid:23765)(cid:23794)(cid:23797)(cid:2687)(cid:2485)(cid:2703)(cid:2955)(cid:23768)(cid:3073)(cid:2474)(cid:23762)(cid:23889)(cid:23820)(cid:23899)(cid:23768)(cid:2492)(cid:2550)(cid:2546)(cid:23804)(cid:2487)(cid:23726)(cid:23709)(cid:2503)(cid:2579)(cid:2714)(cid:2529)(cid:23768)(cid:2609)(cid:2481)(cid:23804)(cid:3029)(cid:23797)(cid:23710)
(cid:891) (cid:2519)(cid:2677)(cid:2499)(cid:23762)(cid:23745)(cid:23760)(cid:3969)(cid:2997)(cid:2601)(cid:3780)(cid:3037)(cid:2484)(cid:23765)(cid:23760)(cid:2995)(cid:3543)(cid:2903)(cid:2677)(cid:2499)(cid:2790)(cid:2763)(cid:23781)(cid:23733)(cid:2492)(cid:2641)(cid:3563)(cid:2703)(cid:2955)
(cid:22)(cid:19)(cid:2808)(cid:8955)(cid:23768)(cid:2790)(cid:2655)(cid:23804)(cid:2790)(cid:2589)
(cid:891) (cid:2478)(cid:2671)(cid:2618)(cid:2545)(cid:23765)(cid:3427)(cid:23726)(cid:2519)(cid:2677)(cid:2499)(cid:2551)(cid:2505)(cid:24)(cid:22)(cid:2808)(cid:8955)(cid:23804)(cid:2519)(cid:2784)(cid:23765)(cid:2564)(cid:2669)
(cid:891) (cid:2503)(cid:2579)(cid:2589)(cid:2783)(cid:23765)(cid:23758)(cid:23726)(cid:23760)(cid:23709)(cid:2478)(cid:2835)(cid:2947)(cid:2489)(cid:2485)(cid:3173)(cid:3381)(cid:2511)(cid:23768)(cid:21)(cid:19)(cid:21)(cid:26)(cid:2475)(cid:2608)(cid:3083)(cid:2519)(cid:2784)(cid:2589)(cid:2783)(cid:23804)
(cid:3238)(cid:2691)(cid:2833)(cid:2507)(cid:2642)(cid:2514)
(cid:2589)(cid:2783)(cid:2618)(cid:2545)(cid:23768)
(cid:891) (cid:2519)(cid:2677)(cid:2499)(cid:23768)(cid:3117)(cid:3563)(cid:2703)(cid:2955)(cid:23769)(cid:2592)(cid:2677)(cid:2499)(cid:23768)(cid:2554)(cid:1710)(cid:3269)(cid:23762)(cid:23764)(cid:23797)(cid:2642)(cid:2514)(cid:23761)(cid:23724)(cid:23796)(cid:23709)(cid:2503)(cid:2579)(cid:2714)(cid:2529)
(cid:2516)(cid:2701)
(cid:2481)(cid:2834)(cid:23768)(cid:2474)(cid:3021)(cid:23764)(cid:2604)(cid:23735)(cid:2481)(cid:23740)(cid:23734)(cid:2500)(cid:2658)(cid:23784)(cid:23798)(cid:23797)
(cid:891) (cid:23784)(cid:23753)(cid:23709)(cid:2677)(cid:2499)(cid:2519)(cid:2589)(cid:23765)(cid:3427)(cid:23728)(cid:2559)(cid:2829)(cid:23790)(cid:2677)(cid:2969)(cid:23768)(cid:2500)(cid:2697)(cid:23745)(cid:23765)(cid:23794)(cid:23797)(cid:23889)(cid:23820)(cid:23899)(cid:23768)(cid:2492)(cid:2550)(cid:2546)(cid:23765)
(cid:2616)(cid:23730)(cid:23709)(cid:21)(cid:19)(cid:21)(cid:26)(cid:2475)(cid:2536)(cid:2608)(cid:3083)(cid:23768)(cid:2493)(cid:2559)(cid:2546)(cid:23804)(cid:2543)(cid:2515)(cid:23762)(cid:23745)(cid:23753)(cid:2589)(cid:2783)(cid:23907)(cid:23839)(cid:23841)(cid:23854)(cid:23880)(cid:23768)(cid:2833)(cid:2507)(cid:23765)
(cid:23794)(cid:23796)(cid:2503)(cid:2579)(cid:2585)(cid:23768)(cid:2609)(cid:2481)(cid:23804)(cid:3029)(cid:23797)
(cid:21)(cid:19)(cid:21)(cid:25)(cid:2475)(cid:2536) (cid:21)(cid:19)(cid:21)(cid:28)(cid:2475)(cid:2536)
(cid:3496)(cid:2543) (cid:2782)(cid:2616)(cid:2491)
(cid:1602)(cid:2662)(cid:2758)(cid:2475)(cid:2536)(cid:1603) (cid:1602)(cid:2662)(cid:2758)(cid:2475)(cid:2536)(cid:1620)(cid:1711)(cid:2475)(cid:2511)(cid:1603)
(cid:2581)(cid:3177)(cid:2677)(cid:2485) (cid:20)(cid:15)(cid:24)(cid:26)(cid:22) (cid:20)(cid:15)(cid:26)(cid:23)(cid:27)(cid:1602)(cid:2475)(cid:2612)(cid:3217)(cid:2481)(cid:3210)(cid:2792)(cid:1620)(cid:22)(cid:17)(cid:25)(cid:1643)(cid:1603)
(cid:3020)(cid:3054)(cid:2503)(cid:2579)(cid:2585)
(cid:1602)(cid:3152)(cid:2651)(cid:1567)(cid:2576)(cid:2526)(cid:18)(cid:2479)(cid:1603)
(cid:42)(cid:43)(cid:39) (cid:22)(cid:15)(cid:21)(cid:19)(cid:19) (cid:24)(cid:15)(cid:26)(cid:28)(cid:28)(cid:1602)(cid:2475)(cid:2612)(cid:3217)(cid:2481)(cid:3210)(cid:2792)(cid:1620)(cid:21)(cid:20)(cid:17)(cid:28)(cid:1643)(cid:1603)
(cid:3100)(cid:2485)(cid:2537)(cid:20)(cid:2479)(cid:23724)(cid:23753)(cid:23796)(cid:2964)(cid:2838)(cid:2637)(cid:2964)(cid:2645)(cid:2730) (cid:2581)(cid:3177)(cid:2677)(cid:2485) (cid:24)(cid:23)(cid:20) (cid:24)(cid:28)(cid:20)(cid:1602)(cid:2475)(cid:2612)(cid:3217)(cid:2481)(cid:3210)(cid:2792)(cid:1620)(cid:22)(cid:17)(cid:19)(cid:1643)(cid:1603)
(cid:2543)(cid:3087)(cid:2965)
(cid:1602)(cid:3152)(cid:2651)(cid:1567)(cid:2576)(cid:2526)(cid:18)(cid:2479)(cid:1603) (cid:42)(cid:43)(cid:39) (cid:26)(cid:20)(cid:27) (cid:26)(cid:27)(cid:24)(cid:1602)(cid:2475)(cid:2612)(cid:3217)(cid:2481)(cid:3210)(cid:2792)(cid:1620)(cid:22)(cid:17)(cid:19)(cid:1643)(cid:1603)
(cid:2813)(cid:2537)(cid:1709)(cid:2479)(cid:23724)(cid:23753)(cid:23796)(cid:2964)(cid:2838)(cid:2637)(cid:2964)(cid:2645)(cid:2730) (cid:2581)(cid:3177)(cid:2677)(cid:2485) (cid:16) (cid:16)(cid:1602)(cid:2475)(cid:2612)(cid:3217)(cid:2481)(cid:3210)(cid:2792)(cid:1620)(cid:22)(cid:17)(cid:19)(cid:1643)(cid:1603)
(cid:1602)(cid:3152)(cid:2651)(cid:1567)(cid:2576)(cid:2526)(cid:18)(cid:2479)(cid:1603) (cid:42)(cid:43)(cid:39) (cid:16) (cid:16)(cid:1602)(cid:2475)(cid:2612)(cid:3217)(cid:2481)(cid:3210)(cid:2792)(cid:1620)(cid:22)(cid:17)(cid:19)(cid:1643)(cid:1603)
(cid:2835)(cid:2947)(cid:2489)(cid:2485)(cid:23765)(cid:2732)(cid:23797)(cid:3100)(cid:2485)(cid:2537)(cid:2607) (cid:2581)(cid:3177)(cid:2677)(cid:2485) (cid:22)(cid:20)(cid:20) (cid:24)(cid:20)(cid:28)
(cid:1602)(cid:3152)(cid:2651)(cid:1567)(cid:2479)(cid:1603) (cid:42)(cid:43)(cid:39) (cid:21)(cid:22) (cid:21)(cid:22)</t>
  </si>
  <si>
    <t>⾧期成⾧ビジョン（目指す姿・ビジネスモデル）
• 目指す姿
2012年に掲げた目標である連結売上高500億円を2028年3
月期に達成するという第五次中期経営計画を立案。
• 経営戦略
「経営資源の配分を大きく海外にシフトし、海外事業の拡大を目
指す」
・研究開発:地域の需要・ニーズに適合した新製品の開発・投入
・生産:生産拠点の再配置、海外生産の拡大
・営業:販売網の拡充・拠点の整備、国内外学術ネットワーク
の構築。
・人材:グローバル人材の育成・確保
・財務:資金需要の拡大に対応するための資金調達</t>
  </si>
  <si>
    <t>• 長期成長ビジョンで記載した連結売上高500億円の目標
製品となる化工品は、生産スペースの不足により必要な生
いる。この課題解消を目的として新工場を建設し、生産ス
力化を進め、生産能力の大幅な向上を行う。
【設備投資内容】
• 化工品の生産能力向上を目的として、新工場の建設を2
【設備投資による効果】
• 補助対象となる第1期の新工場建設においては、生産ス
（1,992㎡→3,511㎡）に拡張するとともに大型設備の
生産プロセス各所のDX化を行い、生産の効率化を進める
現状の2倍以上に向上させ、世界需要が拡大する一方で
売機会を損失していた化工品の課題を解消する。
• 課題解消により労働生産性を向上させ、拡大する世界の</t>
  </si>
  <si>
    <t>【設備投資の内容】
精密クリーンバルブ生産能力の倍増を核とした成長投資による
製品の生産能力増強計画（本社第二工場２期棟増設）
建物サイズ：６０ｍ✕27.5ｍ
１F：工作機械エリア/コンプレッサー室、２F：モーター生産/
クリーンルーム、４F：生産管理室（兼倉庫）
【設備投資による課題解決、労働生産性向上】
国産半導体製造装置メーカーの生産要求に対応。本社第二工
し、生産の自動化ラインを整備・拡充することにより、「省力化」
増による売上増」を達成し、労働生産性の向上と賃上げを実現
【実現性・投資計画の妥当性】
工場建設用地は確保済。総投資額34億円。収支計画と余剰
く、投資計画は妥当な水準。</t>
  </si>
  <si>
    <t>客先からのハイテンプレスニーズ、市場からの軽量化ニーズと、弊社のネックとなっていた工場用地取得について目
途が立った今、新工場建設を含めた工場再編を実施し、2030年売上高75億円を目指す</t>
  </si>
  <si>
    <t>事業拡大に必要な条件が揃った今、</t>
  </si>
  <si>
    <t>事業拡大に必要な条件が揃った今、
最大のチャンス到来！
新工場建設により、２つの事業を再編し、売上高75億円
（2030年度）を達成する</t>
  </si>
  <si>
    <t>新工場の建設により溶接/プレスの事業を再編し、2030年売上高目標75億円を達成する
併せて労働生産性1,229万円、従業員1人あたりの給与総支給額553万円を2028年に達成する</t>
  </si>
  <si>
    <t>成⻑をしつづける地域共⽣かつグローバルなニッチ・トップ企業を目指します。</t>
  </si>
  <si>
    <t>•
創業50年の節目を超えて、⾃動⾞、⺠⽣、その他分野のバランスの取れた事業ポートフォリオの構築を通して、 次の50年も
成⻑をしつづける地域共⽣かつグローバルなニッチ・トップ企業を目指します。</t>
  </si>
  <si>
    <t>1.長期成長ビジョン
当社の目指す姿は「食の劇場」 ・・・ “おい
(パーパス・存在意義)
2030年までの長期的な当社の成長目標を「売上高200</t>
  </si>
  <si>
    <t>長期成長ビジョン（目指す姿・ビジネスモデル）
「食の劇場と拠点改善」</t>
  </si>
  <si>
    <t>・プロダクトアウトでは事業成長はない。高付加価値を求める顧客ニーズの変化や環境への配慮・エネルギー価格
の高騰など社会課題を最高の契機と認識。揺るぎない経営理念等を通じて “長期成長ビジョン”を掲げる。</t>
  </si>
  <si>
    <t>PRESENTATION TITLE （
外発的動機・内発的動機
外発的動機（最高の契機）</t>
  </si>
  <si>
    <t>ENTATION TITLE （
機・内発的動機
（最高の契機）</t>
  </si>
  <si>
    <t>創業者や経
内発的動機（揺るぎないもの）
者の原体験
①経営理念「最大ではなく、最高を目指す」
・真の価値をモノからコトへ追求した最高の製品・
サービスを世界の顧客に提供し続けることによって、
成長し発展することを目指したい！
経営者の
動機
②2025年を見据えた中期経営計画
世界のものづくりを
YASDAの“こだわり”で革新
【2025年ビジョン】
・顧客にとって「真の価値」とは何かを常に考え、最
適なソリューションを提供したい！
・世界の顧客の成功に貢献したい！
・強い企業を目指し、新たな事業領域（NEXT領
域）にしたい！</t>
  </si>
  <si>
    <t>外発的動機（最高の契機）
顧客ニーズ
変化
①「モノをベースにしたコト」への要求
・ただ製品を売るだけでなく、どのような高付加価値
を提供し、ひいては顧客の業績に貢献し、長期的
パートナーとなるかが問われている。
社会課題
②環境への配慮（カーボンニュートラル）
・従来求められていた加工の高速化、高精度化、
自動化、省人化などに加え、省電化・省エネル
ギー化への需要が高まっている。
③エネルギー価格および部材価格の高騰
・世界的なインフレや円安によりエネルギー価格が高
騰するとともに、製品に使用する部材価格も大きく
高騰している。</t>
  </si>
  <si>
    <t>長期成長ビジョン（目指す姿・ビジネスモデル）は次頁</t>
  </si>
  <si>
    <t>・外発的動機を最高の契機とし成長・発展していくYASDAスピリッ トと共に、念願の研究棟YASDAエクセレンス
ラボ（仮称）から“最高“を世界へ提供する挑戦！を始める。</t>
  </si>
  <si>
    <t>PRESENTATION TITLE （
長期成長ビジョン（目指す姿・ビジネスモデル）
【バックキャ
成長ドライバー
YASDA
研究棟</t>
  </si>
  <si>
    <t>目指すべき姿
【バックキャスティング】
1.NEXT領域の開拓
成長ドライバー
2.最高を世界へ
YASDA
3.感性豊かな人財の育成
研究棟
外発的動機
現在 新たな価値を創造することで成長・発展していくYASDAスピリッ ト</t>
  </si>
  <si>
    <t>・NEXT領域として「既存事業」と「ソリューション製品」を強化
・独自の技術力を活かした製品を市場に供給し続けることにより、売上高の増加を目指す</t>
  </si>
  <si>
    <t>新たな事業領域（NEXT領域）の開拓</t>
  </si>
  <si>
    <t>新たな事業領域（NEXT領域）の開拓
・既存事業の製品性能を特に精度面で進化させる技術革新
・モノ（工作機械）とコトの組み合わせによるソリューション製品の開発
新規
【工作機械】 【マシニングセンタ】
事業
既存事業
ソリューション製品
精
度
NEXT
領域
産業
歯車
事業
研削盤
市場の大きさ</t>
  </si>
  <si>
    <t>【工作機械】 【マシニングセンタ】</t>
  </si>
  <si>
    <t>【工作機械】 【マシニングセンタ】
既存事業
ソリューション製品
精
度
EXT
領域
歯車
研削盤
市場の大きさ</t>
  </si>
  <si>
    <t>【マシニングセンタ】</t>
  </si>
  <si>
    <t>【マシニングセンタ】
既存事業
ン製品
精
度
市場の大きさ</t>
  </si>
  <si>
    <t>Strictly Private &amp; Confidential
2023年**月**日
2 補助事業の概要 Discussion Purpose Only / Internal Use Only
.</t>
  </si>
  <si>
    <t>設備投資の内容
PRESENTATION TITLE （
当社念願の専用研究棟「YASDAエクセレンスラボ」（仮称）の新
❙
外観イメージ
（当社資料）</t>
  </si>
  <si>
    <t>ル・売上成長目標</t>
  </si>
  <si>
    <t>機・内発的動機があ
り、事業を通じた社</t>
  </si>
  <si>
    <t>後の長期成長ビジョンは以下と認識している
を常に目指している（いわゆるCSV経営の実践）</t>
  </si>
  <si>
    <t>長期成長ビジョン（目指す姿・ビジネスモデル）
＜目指す姿＞
• 価値創造が連鎖し循環が未来へ継承される社会を実現する。
• 混合廃棄物の選別精度向上により高度なリサイクル処理を行い、
埋め立て廃棄物の大幅な削減および環境負荷を低減する。
• 新たな廃棄物固形燃料を製造・販売・浸透させることで、廃棄物
固形燃料製造のリーディングカンパニーとなる
＜ビジネスモデル＞
• 高度機械選別施設を新設し高度化された施設で安定した処理を
行うことで、混合廃棄物のリサイクル率を70%から90%以上に向
上させ、大量の廃棄物のリサイクル化を可能とする
• 大型破砕機を設置し、今まで対応できなかった形状の廃棄物を受
け入れることで処理単価を向上する
• 施設を最新化させ、作業員の労働環境を改善し3Kのイメージを
払拭することで人員確保に繋げる
＜成長戦略＞
• 設備投資によりRPF以上の性能を持つ廃棄物固形燃料製造を
開始することで、資源再生企業であることを対外的に発信。
• 上場企業であることの信頼性を背景としたうえで、投資による労働
環境の改善、賃上げにより優良人材採用強化し、人的資本経営
を進める
• DX化による組織的能力を向上</t>
  </si>
  <si>
    <t>内発的動機
• 循環経済推進への貢献
◆リサイクル率を更に高め持続可能な資源利用を促進する
• 選別、破砕作業の処理能力が限界にきている
◆混合廃棄物の選別作業が土間選別※のため、作業量が
個々の作業員のスキルによりばらつきがある
◆人による選別のため選別の精度が低い
◆破砕施設の処理能力が小さく、新規の受け入れができない
※土間選別：土間等に混合物を広げて人の手で選別する作業方法
• 労働環境の改善が必要
◆作業環境が悪く人員確保が困難な状況にある</t>
  </si>
  <si>
    <t>補助事業の背景・目的</t>
  </si>
  <si>
    <t>•
補助事業の
•
背景・目的
•
【投資概要】
合計：27億
【内容】
★新設工場
★選別ライン</t>
  </si>
  <si>
    <t>的、設備投資の内容、目標
作業を機械選別に変え、人的負荷を軽減
イクルを行うことで、環境への貢献とともに処
し、従業員の人材確保を図る
内訳：建物 10億 機械 17億（全て
（焼津市）に新工場（大型リサイクル施設
記ラインを設置して高度なリサイクルを実現</t>
  </si>
  <si>
    <t>同等のもの（日本ジェネリック製薬協会HPより）。</t>
  </si>
  <si>
    <t>*1ジェネリック医薬品とは、新薬（先発医薬品）と同じ有効成分を使っており、品質、効き目、安全性が
同等のもの（日本ジェネリック製薬協会HPより）。
*2スイッチOTC医薬品とは、医師から処方される医療用医薬品のうち、副作用が少なく安全性の高いもの
を市販薬（OTC医薬品）に転用（スイッチ）したもの（全国健康保険協会HPより）
*3「令和４年（概要）薬事工業生産動態統計調査」より。</t>
  </si>
  <si>
    <t>• 当社は、鉄筋工事・加工会社21社が共同出資して設立した鉄筋加工を受託する会社である。都心に近い埼玉県に国内最大の鉄筋加工工場を持つ。
• 「ファウンドリ」という言葉は現在では主に半導体製造を受託する企業を指すが、原義は「鋳造所」であり、特定の製品や加工に特化した製造所を意味する。
• 鉄筋工事業者の多くは自社工場を持ち、自社が使う分だけの加工をしている。しかしそれでは①スケールメリットがないし、②高度な加工・特殊な加工に対
応できない。そのため、業界21社が協力し、①規模の利益が追求できるだけの大きな工場を持ち、②高度な加工や特殊な加工に対応できる設備も導
入した会社を設立した。当社は鉄筋業界のファウンドリであり、業界をリードする立場であると自負している。今後さらに最新鋭の設備の導入やノウハウの蓄
積をして行くと同時に、自動化とIoT化による生産性向上も実現して行く。
• 当社に業界の高度な加工を委託することにより、各社は一般的な加工に集中し生産性を向上させることができる。これにより、業界全体の生産性が向上す
る。当社には高度な加工に特化した設備やノウハウが蓄積するため、事業が高付加価値化し、従業員の待遇のアップにも繋げることができる。</t>
  </si>
  <si>
    <t>化学的特性、光的特性、熱的特性があり、めっき特性について顧客を含めた技術開発が必要になる。</t>
  </si>
  <si>
    <t>（※１）機能性めっき…装飾や防錆性以外の機能を付与することができるめっきのことである。機能としては、電気的特性、機械的特性、物理的特性、
化学的特性、光的特性、熱的特性があり、めっき特性について顧客を含めた技術開発が必要になる。</t>
  </si>
  <si>
    <t>• 補助事業の目的…高機能めっきの開発及び量産ライン確立
• 補助額、設備投資内容、工夫点、労働生産性・賃上げの目標値は以下の通り</t>
  </si>
  <si>
    <t>車両構造転換に不可欠な技術開発推進と電動車向け技術獲得による脱炭素社会への貢献</t>
  </si>
  <si>
    <t>• 車両構造転換に不可欠な技術開発推進と電動車向け技術獲得による脱炭素社会への貢献
• モデル企業となるべく「2050年カーボンニュートラルに伴うグリーン成⾧戦略」実践</t>
  </si>
  <si>
    <t>保と必要設備へ大規模投資を実施</t>
  </si>
  <si>
    <t>• 本事業の目的は電動車・自動運転に必須の自動車部品製造と必要数量を供給することを目的に、九州熊本に新工場を建設し、生産スペース確
保と必要設備へ大規模投資を実施
• 付加価値向上を実現し、省力化施策推進により生産性向上、従業員1人あたり給与支給総額上昇を達成する。</t>
  </si>
  <si>
    <t>省スペース自動化ライン</t>
  </si>
  <si>
    <t>省スペース自動化ライン
九州新工場
自動化ラインの展開スピードUP
）
自動組付
ライン
カシメ自動化
ライン
住所:熊本県熊本市南区城南町藤山字正達885-5
面積:敷地10,962㎡ 延床5,346㎡
用途:自動車部品工場
土地:2024年4月時点 買取済
）</t>
  </si>
  <si>
    <t>2025年度 2028年度
項目
（基準年度） （基準年度＋３年後）</t>
  </si>
  <si>
    <t>生などにおいても期待されている。</t>
  </si>
  <si>
    <t>• ローカル5Gの普及は、農林水産、工場、インフラ、モビリティ、防災・減災、医療、観光など多岐に渡っての利用に加え、Society5.0の実現、地方創
生などにおいても期待されている。
• 当社は、⾧年培ってきた無線通信と半導体技術の融合により、ローカル5G普及において課題とされる「基地局と通信端末の低価格化」「通信品質の
安定化」を実現した、超低遅延半導体チップを用いた小型基地局と通信端末の量産化及び市場投入を目指している。
• 将来的に様々な利活用場面における労働生産性の向上、人手不足等の社会課題解決に貢献できる企業へと成⾧する。</t>
  </si>
  <si>
    <t>• ローカル5Gの普及において期待される低価格かつ通信品質の安定化を実現し、労働生産性及び従業員1人あたり給与支給総額目標を実現
する。また、ローカル5Gの普及を後押しすることで、自社のみならず様々な利活用シーンでの生産性向上や課題解決に貢献する。</t>
  </si>
  <si>
    <t>補足説明</t>
  </si>
  <si>
    <t>補足説明
• 量産設計:量産化に向けた基本的な仕様や回路構成の設計を行
う。
• IP開発:再利用可能な特定の機能や構成要素を持つコア部分の
開発を行う。
• FE設計:設計プロセスの初期段階で行われる活動を指し、設計の
概念化から論理設計、検証までの一連のステップを含む。
• BE開発:FE設計で設計された論理回路を物理的なレイアウトに変
換し、製造プロセスで製造可能な形にする。。
• フルマスク製造:半導体デバイスの製造
• モジュール開発:上記半導体を流通可能な製品（量産製品）と
なるように開発する
• 検証:フルマスクやモジュールの検証を行う。</t>
  </si>
  <si>
    <t>2
41
13</t>
  </si>
  <si>
    <t>設備投資の内容
半導体分野の需要拡
概要 ⼯場新設に伴い、③の
ウを活用し、高い労働生
当社主要顧客である
鈴⾝事業所
①新工場の建設 鈴⾝事業所の近隣で
（千葉県船橋市）
を予定。
北九州工場 上記と同様の目的で、
（福岡県京都郡） 体制を強化する。建設
②既存工場での ⾏⽥事業所、鈴⾝事
概要
先端設備の導入 受注キャパシティの増</t>
  </si>
  <si>
    <t>各種充填機、パウチ充填後ライン、ニーダー、その他生産</t>
  </si>
  <si>
    <t>各種充填機、パウチ充填後ライン、ニーダー、その他生産
に必要不可欠な機械装置等</t>
  </si>
  <si>
    <t>•
設備投資の内容︓⼯場建屋、製造設備の導⼊
•
設備投資が課題を解決し得ること
①省⼒化に資する⼯場建屋及び省⼒化能⼒の⾼い新型の製造設
ることで、⼈⼿不⾜への対応、賃上げへの対応を図り、労働⽣産性
②四国⼯場から⻄⽇本エリアへの直接輸送が可能となり、輸送効率
③四国⼯場を設置することで、⻄⽇本エリアの営業⼒が強化されると
梁の受注も可能となり、付加価値を向上できる。
•
労働生産性向上につながる点
①⻄⽇本エリアの営業⼒強化、供給できる橋梁製品
の拡⼤等により売上⾼が増加。また、輸送効率化
等によりコストが削減され、付加価値が向上する。
②省⼒化に配慮した⼯場、省⼒化能⼒の⾼い設備
の導⼊により最小限の⼈員で⼯場を稼働できる。
このため、労働⽣産性が向上する。</t>
  </si>
  <si>
    <t>グローバル市場向けの大規模な生産要求に対応できる</t>
  </si>
  <si>
    <t>グローバル市場向けの大規模な生産要求に対応できる
工場の建設と鍛造生産ラインなど各種生産設備の導入。</t>
  </si>
  <si>
    <t>生産数量の増加(既存比約200％)</t>
  </si>
  <si>
    <t>・生産数量の増加(既存比約200％)
・高重量プレス機導入による大型製品への対応。
・最先端設備＋独自のライン構築技術による生産自動化</t>
  </si>
  <si>
    <t>最先端設備の導入で1ライン当たりの生産速度を高め、</t>
  </si>
  <si>
    <t>・最先端設備の導入で1ライン当たりの生産速度を高め、
さらにライン数を増加させ生産数量を従来比2倍以上に。
・従来は人手が必要であったボトルネック工程を自動化、
自動搬送や最先端設備導入により生産性向上を図る
・製造環境も整え、女性などの製造進出を促進させる。
・次世代車両など高難度製造へも着手できる体制により、
付加価値額ＵＰによる利益率の改善も図る。</t>
  </si>
  <si>
    <t>の内発的動機及び外発
）
を追求し、環境と地
題に挑戦する
負荷低減を通じて、地域社</t>
  </si>
  <si>
    <t>び外発的動機を踏まえた、当社の持続的な成⾧への思い</t>
  </si>
  <si>
    <t>外発的動機
【社会課題からの動機】
環境保全に対する世界的な取り組み強化において、国内においても各種法令整
備や民間企業の取り組みが促進されている。プラスチック廃棄物の削減とリサイクル
の促進を通じて、循環型社会の構築が推進されている。
【法令に関する動機】
「プラスチックリサイクル推進宣言(2018年)」
「環境推進基本計画(2018年)」
「プラスチック資源循環推進法(2020年)」
「プラスチック製品の分別収集・再利用に関する指針(2020年)」
【技術革新と新たな顧客ニーズ】
廃プラスチックの新たな活用方法として注目されている、「フラフ燃料」の生産技術
の進歩により、新たな顧客ニーズが生まれている。
当社が顧客として想定している国内セメント産業においては、セメント生産の際に
窯で燃焼させる石炭や天然ガスの代替燃料として廃プラスチックの「フラフ燃料」によ
るサーマルリサイクルニーズが高まっている。</t>
  </si>
  <si>
    <t>内発的動機
【社会的責任】
当社はグループ指針である「地域社会の発展と環境づくりに貢献する企業グループ
を目指す。」を軸に、環境負荷低減を下支えする企業グループとして20年以上事業
を営んでいる。
昨今加速する環境保全への取り組みにさらなる貢献をすべく、本補助事業にて環
境負荷低減の施策を促進し、当社の社会的責任を果たす。
【事業性の認識】
「フラフ燃料」の生産については、国内で対応できる事業者が少なく、市場ニーズと
供給体制のギャップから事業性が高いと見込んでいる。また当社の既存技術や経営
リソースを活かすことで、十分に事業化が見込める分野であると見込んでいる。</t>
  </si>
  <si>
    <t>長期成長ビジョン（目指す姿・ビジネスモデル）*¹
〈目指す姿〉
• 半導体原材料市場において、他社が真似できない特徴
を持つオンリーワンの製品を供給し、それぞれの市場でシェ
アナンバーワンを目指す
• 既存顧客を大切にしながら長期取引の顧客を増やし、
自社が先行して顧客ニーズの変化に対応した製品開発
を行い、顧客の変化を実現する
〈ビジネスモデル〉
• 世界大手の半導体企業等、700社以上の既存取引先
に対し、それぞれの細かなニーズに応じたオーダーメイドの
製品を提供
• 市場シェアの過半を占める製品やトップシェアの製品を複
数ラインナップし、プライスリーダーとして利益率の高い価
格設定で販売</t>
  </si>
  <si>
    <t>*1 長期成長ビジョンに係る補足情報（当社の基本方針・これまでの取組）は26頁に掲載</t>
  </si>
  <si>
    <t>各事業に横串を差し、事業シナジーの最大化とM&amp;A加速による</t>
  </si>
  <si>
    <t>各事業に横串を差し、事業シナジーの最大化とM&amp;A加速による
事業成長を図るためにホールディングス化を検討中</t>
  </si>
  <si>
    <t>滋賀湖南新工場 イメージ図</t>
  </si>
  <si>
    <t>新たに試作開発棟を新設する。現在の開発</t>
  </si>
  <si>
    <t>新たに試作開発棟を新設する。現在の開発
棟は2棟あるが、今後の開発スピード向上に
向けてもう1棟新設する。さらに、開発品を
保管する倉庫は老朽化＋容量満杯のため、
新たに保管
倉庫を新設し、開発プロセスを円滑にする</t>
  </si>
  <si>
    <t>経済産業省 経済産業省 観光庁 観光庁</t>
  </si>
  <si>
    <t>経済産業省、観光庁、兵庫県等の各種制度や基準に沿った運営を実施しており、「地域貢献」、「顧客への満⾜度および安全・安⼼の提供」、「働き
やすい職場環境づくり」等に⽇々取り組んでおります。⼤半の認証制度につき、制度発⾜初年度に認証および登録を実施しております。
経済産業省 経済産業省 観光庁 観光庁
地域未来牽引企業 パートナーシップ構築宣⾔登録企業 ⾼付加価値経営旅館 ⼼のバリアフリー認定施設
淡路島内のサプライチェーンの
構築において
中⼼的な役割を担っている
株式会社ホテルニューアワジ 株式会社ホテルニューアワジ
初年度となる2018年に、 高旅第KKT00107号 観参第359号
宿泊業では全国13企業の１社
株式会社あわじ浜離宮 株式会社あわじ浜離宮
として、全国に先駆けて選定された 高旅第KKT00039A号 観産第214号
兵庫県 兵庫県 ⽇本健康会議 兵庫県
ひょうご産業SDGs認定企業 ひょうごユニバーサルなお宿 健康経営優良法⼈ ひょうご⼥性活躍推進企業
宣⾔・登録企業 中⼩企業法⼈部⾨ （ミモザ企業）
兵庫県初のゴールドステージ企業
として認証された</t>
  </si>
  <si>
    <t>淡路島観光協会と連携し、『本物体験コンテンツ』の共同開発に主体的に取り組んでいる。</t>
  </si>
  <si>
    <t>「淡路島総合観光戦略2023〜2027」（兵庫県淡路県⺠局、洲本市、南あわじ市、淡路市、淡路島観光協会）が掲げる
国⽣みの島ならびに美⾷地質学に基づいて繁栄してきた『⽇本三⼤・御⾷国（みけつくに）』を⽀えている島内農漁業者および
淡路島観光協会と連携し、『本物体験コンテンツ』の共同開発に主体的に取り組んでいる。
主な取組
観光庁の 空⾶ぶクルマ
2025年「AWAJI島博」
⾼単価商品造成事業 淡路島フライト検討会
2025年「⼤阪・関⻄万博」の開催に向けて 今年度の観光庁「特別な体験の提供等によ 海外のスーパーラグジュアリー層に向けた付
兵庫県が推進しているSDGs体験プログラム るインバウンド消費の拡⼤・質向上推進事 加価値の⾼い交通⼿段として、次世代モビリ
につき、淡路島ならではの農漁業者や伝統 業」に当社として採択。左記にて共同開発し ティ「空⾶ぶクルマ」を活⽤し、京都市・⼤阪
産業、淡路島観光協会と連携し『本物体験 ている事業者に加え、付加価値の⾼い新た 市とをダイレクトに結ぶた新規周遊ルートを開
コンテンツ』を60個造成の上、販売を⾏って な⾷の⽣産者とも連携の上、地域の⾷⽂化 発。当社ヘリポートを活⽤した実証実験を本
おり、島内事業者の所得向上に寄与してい に対し知的好奇⼼の⾼い海外のニューラグ 年６⽉より開始した。京都市・⼤阪市等の
る。 ジュアリー層向けに、⽣産現場での本物体 オーバーツーリズムの課題解消にも寄与する
験と温泉宿を掛け合わせた⾼単価(従来単 ビジネスモデルとしている。
価の３倍以上）のパッケージツアー商品の 【検討会メンバー】経済産業省、兵庫県、淡
造成、販売に取り組んでいる。 路県⺠局、洲本市、南あわじ市、淡路市、
ホテルニューアワジグループ、パソナグループ、
丸紅株式会社ほか
両社（幹事および共同申請企業）の代表者が、⼀般社団法⼈ 淡路島観光協会⻑ならびに本協会南あわじ地区会⻑をそれぞれ務めており、島内全
域にまたがる当プロジェクトの推進役を担う宿泊施設として、⾏政機関や地域からの⾼い期待や後押しも受け、地産地消、⾷⽂化コンテンツの
⾼付加価値化、訪⽇外国⼈旅⾏者の誘客を官⺠連携として推進している。</t>
  </si>
  <si>
    <t>スペイン・バスク地⽅にある美⾷の街「サンセバスチャン」をモデルとし、</t>
  </si>
  <si>
    <t>スペイン・バスク地⽅にある美⾷の街「サンセバスチャン」をモデルとし、
淡路島を『世界⼀の美⾷の島』にすることを⽬指すプロジェクトに主体的に取り組んでいる。
主な取組
世界⼀の⾷の島を先導する
御⾷国ブランドの⾷⽂化
スペイン・サンセバスチャン視察
「⾷の街区」検討委員会
⾷糧⾃給率110％を誇る淡路島は、⽇本 2019・2023・2024年に渡り、スペインのサ 2024年より、南あわじ市の守本市⻑を座⻑
最古の書物古事記・⽇本書紀に描かれてい ンセバスチャンに訪問し、MIMOクッキングクラ とした検討会議を実施している。
るとおり『国⽣みの島』として、現在の⽇本列 ス、市場、バル街区、観光協会、飲⾷組合 【検討会メンバー】南あわじ市、淡路県⺠局、
島の始まりと伝承されている。また、温暖な気 ほかを継続して、視察交流を実施している。 南あわじ市商⼯会、淡路島観光協会、福
候、肥沃な⼟壌や⽇本⼀速い潮流が育む 良漁業協同組合、株式会社うずのくに南あ
⾷産品は 、昔から朝廷や天皇家に納める わじ、兵庫県飲⾷業⽣活衛⽣同業組合、
『⽇本三⼤・御⾷国』として栄えてきた歴史を 兵庫県⽴⼤学 等
誇る。
淡路島⽟ねぎ、淡路⽜、淡路島えびす鯛、
⻩⾦ハモ、⾚ウニ、淡路島なるとオレンジ、
3年とらふぐ、淡路島サクラマスをはじめとした
御⾷国ブランドの⾷材を有している。
共同申請企業の代表者は、⼀般社団法⼈ 淡路島観光協会⻑の南あわじ地区会⻑であり、
当プロジェクトの推進役を担う宿泊施設として、⾏政機関や地域からの⾼い期待や後押しも受け、地産地消、
⾷⽂化コンテンツの⾼付加価値化、訪⽇外国⼈旅⾏者の誘客に向けた取り組みを官⺠連携として推進している。</t>
  </si>
  <si>
    <t>投資No 設備投資の内容</t>
  </si>
  <si>
    <t>項目 2027年5月期（基準年度）</t>
  </si>
  <si>
    <t>冷蔵倉庫拡張</t>
  </si>
  <si>
    <t>冷蔵倉庫拡張
キャパシティ不足解消目的
冷蔵倉庫拡張・新設（外部倉庫を利用可能性が減少）</t>
  </si>
  <si>
    <t>長期成長ビジョン(目指す姿・ビジネスモデル)
• VISION2029(売上24.7億、営利6.3億、従業員数127名)
• 佐賀県の個性的で高品質な食材を用い、高付加価値の観光特産品
（※）開発を地元関係者と推進、誘客力向上（地産来消）を図る。
• 独自価値創出型の既存施設（国内富裕層が満足する個性的なリ
ゾート旅館）に加え、成長市場（インバウンド富裕層）向け高付加
価値型リゾート旅館への成長投資により、佐賀県の魅力を最大限に
伸ばす高収益型リゾート旅館群（ゼブラ企業）を創出する。
• 上記より、観光特産品（地産来消）×リゾート旅館のビジネスモデ
ルを構築し、国内外からのゲストの満足度向上を図る。
• また地場企業としての地域の「観光DX」を推進する担い手となり、人手
不足社会の中で省力化・上質なおもてなしの進化に取組む。
※観光特産品：地域で消費されている特色のある観光資源を用い（地産地消）
た特産品を地域外で販売（地産外消）し知名度UP・ファン化を行い、地元に訪
れて貰う（地産来消）ことで、地域活性化を図る特産品（日本観光士会）</t>
  </si>
  <si>
    <t>模の拡大を行うには現場のスタッフ育成に加え、経営人材の育成も必須。
社の長期ビジョン「旅のチカラで世界を変える」。観光特産品×リゾート旅館という
の魅力を掛け合わせた新しいビジネスモデルを実現し、長期ビジョンを達成する。</t>
  </si>
  <si>
    <t>特産品×リゾート旅館という
し、長期ビジョンを達成する。
体験を提供する『リゾート旅
DX化による省力化・上質な
ンド需要を取り込みながら、</t>
  </si>
  <si>
    <t>その他Box 7</t>
  </si>
  <si>
    <t>現在、佐賀県を代表する温泉地に2つの旅館を運営。1991年の創業以来、大切な人に喜んで頂けるような安らぎの時間と歓声の上がる驚きの体験を提供する『リゾート旅
館』として23期連続黒字経営を達成。日本の旅館には海外の宿泊施設にはない独特の文化・魅力があり、国内外から多くの方が来館。今後は、DX化による省力化・上質な
おもてなしのさらなる進化、地元観光業者と協力した地元特産品の地産来消（世界に佐賀の魅力を発信）の推進により、成長分野のインバウンド需要を取り込みながら、
全国のリゾート旅館のモデルとなる高収益モデルを構築。日本を代表するリゾート旅館グループへの成長を目指す。</t>
  </si>
  <si>
    <t>• 設備投資の内容（詳細はP12に記載）
埼玉県内の既存の物流倉庫3拠点を1拠点に集約し、地上4階
当物流倉庫は、既存の物流倉庫にて人で管理・運営していた倉
、自動搬送装置等を導入し、商品の入庫から出庫まで最大限
また、地上4階建てとすることで保管スペースの拡大も図るもので
• 設備投資による効果(詳細はP13に記載)
①倉庫業務の自動化による、省人化及び出荷短縮による生産
②省人化により人材の付加価値業務(ピッキング等)への転用
より当社の製品の付加価値が向上(建設現場の利便性向上に
③人材の転用のみならず、ピッキングやシェア拡大のための営業人
④上記により、当社グループの収益性、労働生産性が向上し、</t>
  </si>
  <si>
    <t>⾧期成⾧ビジョン（目指す姿・ビジネスモデル）
ステークホルダーの「笑顔」のために、常に環境の変化に対応しながら、食を通じて
「未来をつくる会社」を目指します
■国内の深掘りと新領域への挑戦
• ウェルネスフードに向けた健康食品商材の拡大（微生物培養事業、ステビアヘ
ルス、乳酸菌商材、納豆菌商材、ジンジャーエキス商材）
• プラントベースフードに向けて品質向上商材の拡大（プラントdeリッチシリーズ）
• カーボンニュートラルへの事業参画とサーキュラーフードへの活用（藻類産業
（MATSURIプロジェクト）への参画と藻残渣の食品への活用）
• インバウンド需要に向けた外食及びコンビニ向け調味料、デザートソース、微粉砕
品、色素の拡販
■海外輸出向け商材の拡大
• 即席めんへの調味料、米飯用製剤、冷凍スイーツへのデザーソースの販売
• 国内外食チェーンの海外出店時の調味料販売
■粉末事業への注力
• 新規設備と自社独自技術を掛け合わせた高付加価値商材の開発・販売
• 海外への輸送や⾧期・常温保存に適した粉末商材の拡大
• 高価な設備の更新を止める企業の商材の取り込み</t>
  </si>
  <si>
    <t>⾧期成⾧ビジョン実現のための課題
省力化
市場のニーズにマッチした 海外および国内の
人手不足の解消 製造キャパの拡張
新製品開発 市場開拓
賃上げ原資の確保
上記課題解決により、高付加価値企業への転換を図りたい</t>
  </si>
  <si>
    <t>（A）事業に要する経費 （B）補助対象経費</t>
  </si>
  <si>
    <t>（A）事業に要する経費 （B）補助対象経費
単位:千円 （C）補助金交付申請額
（税抜き） （税抜き）</t>
  </si>
  <si>
    <t>当社の概要
当社は、創業120年となる微粉砕・分散機（以下、『ビーズミル』という）を主力とした混合・
「ビーズ」を用い、その衝突や摩擦の力によって、粒子を細かくする機械であり、電池や電子部
トルという世界最小の微粒子製造能力を有しており、ナノレベルの高性能ビーズミル分野では</t>
  </si>
  <si>
    <t>当社の概要
当社は、創業120年となる微粉砕・分散機（以下、『ビーズミル』という）を主力とした混合・混錬・攪拌等の産業用粉体処理機械のメーカーである。ビーズミルとは、セラミックス等の
「ビーズ」を用い、その衝突や摩擦の力によって、粒子を細かくする機械であり、電池や電子部品、化粧品等の材料の開発や製造に用いられている。当社製品は10万分の1ミリメー
トルという世界最小の微粒子製造能力を有しており、ナノレベルの高性能ビーズミル分野では、国内トップ（世界第6位）のシェアである。</t>
  </si>
  <si>
    <t>設備投資の内容
① 本社遊休地に、実機テスト及び受託加工をメインで行う「微粒子工
② 微粒子工場は、従来スペースの2倍を確保すると共に、防爆構造、
ルームを設置し、電池・電子部品材料等の実機テスト・受託加工
③ 最新の高性能ビーズミルや測定器等の微粒子加工設備を導入す
等を設置し、加工運転の自動化・24時間化を図る。
課題解決による労働生産性の向上
① 実機テスト・受託加工の対応件数増及び高付加価値化を実現す
省力化及び加工コストの削減
② 実機テスト・受託加工の対応強化による、国内外への高性能ビー
③ 微粒子加工設備を活用した新素材における開発加速・商業化（
2026年度
項目 （基準年度）
補助事業全体 千葉 大阪</t>
  </si>
  <si>
    <t>【設備投資の内容】（具体的な『課題』『設備投
経費区分
建物費
③
機械装置費 ②ソリッドストッカー
⑤サーボドライブベンダー</t>
  </si>
  <si>
    <t>①粉体塗装ライン</t>
  </si>
  <si>
    <t>新工場 イメージパース</t>
  </si>
  <si>
    <t>新工場 イメージパース
最新鋭マシニングセンタ(生産効率・付加価値向上）
*2025年導入予定(本補助金対象外)</t>
  </si>
  <si>
    <t>はじめに</t>
  </si>
  <si>
    <t>はじめに
1. TCPグループはこれまで、雑貨を中心にアジアを主要市場として海外からの輸入および国内外での発注により商品を販売する
ビジネスモデルを展開してきました。近年でも40％以上の商品が海外輸入によるものです。
2. 特にアジアで製造される当社の主力商品であるコンテンツ雑貨においては、知的財産（IP）の保護を軽んじる傾向が見られ
る製造・販売体制が問題となっています。また、製造リードタイムの長さや検品の不十分さも当社の課題であると分析していま
す。当社は、自社工場での国内製造を進める一方で、アジア製造に伴う問題点（海賊版や模倣品の出現、納期の遅れ、
不良品の混入など）を鑑み、国内製造の強化が国内の企業にとって求められる方向性であると予測し、このたび新たな国内
製造強化のビジョンを策定しました。
3. 経営者の視点から見た場合、海外製造はコストパフォーマンスの面ではメリットがありますが、模倣品や海賊版が市場に出回
るリスクがあり、IPやコンテンツの管理意識が低いのが現状です。一方で、日本国内での製造に移行することにより、品質向上、
短納期対応、小ロット多品種の提供が可能になります。これらを踏まえ、当社はサプライチェーンを国内に回帰させ、IPコンテン
ツビジネスを自国での生産体制に組み込むことによる成長が見込めると判断し、本申請を行います。日本発のコンテンツは、国
内でのコンテンツ管理に基づき生産され、消費者から愛されることが望ましいです。国内で評価されたキャラクターが、企画は国
内で行われるものの、製造・生産がIP意識が低く品質維持が困難な海外企業によって行われることがブランド価値の低下に
繋がっていると当社は考えます。</t>
  </si>
  <si>
    <t>安定して品質の高い製造を継続できる企業としての地位を確立することを目標とする。</t>
  </si>
  <si>
    <t>• アニメ・IPコンテンツは使い捨てではなく、愛好者にとっては唯一無二の価値を持つ。その価値を安定して提供することが社長の強い動機である。
• 現在、アニメ・IPコンテンツは短命な消費サイクルで扱われがちだが、より長期間にわたり価値を享受できるよう変革を目指す。
• 安定して品質の高い製造を継続できる企業としての地位を確立することを目標とする。</t>
  </si>
  <si>
    <t>主な設備投資の内容</t>
  </si>
  <si>
    <t>補助事業全体での投資の概要・狙い</t>
  </si>
  <si>
    <t>2025年度
項目
（基準年度）</t>
  </si>
  <si>
    <t>技術開発の重要性</t>
  </si>
  <si>
    <t>技術開発の重要性
• 当社は技術力を軸にニッチャーとして業界内でポジションを確立してきた
• 著しく変化の速い半導体業界で「技術力」を軸に世界で戦うために、
研究開発に注力し技術力を更に高めたい
半導体の国産化への思い
• かつて我が国は「技術立国ニッポン」として半導体業界でも世界を牽引
した。半導体の国内回帰や、先端半導体の国産化機運の高まりを契
機に、半導体分野における日本のプレゼンスを高めたい
事業機会を逃さない投資の必要性
• 当社の高い技術力を評価し「ジェイ・イー・ティの装置を使いたい」と要
望してくださる顧客に応えられる組織体制・生産体制を整えたい</t>
  </si>
  <si>
    <t>各種カスタマイズへ対応できよう研究開発に注力</t>
  </si>
  <si>
    <t>• 各種カスタマイズへ対応できよう研究開発に注力
• 枚葉式の高温高粘度処理技術の開発
• 硫酸を使用しない洗浄装置の開発</t>
  </si>
  <si>
    <t>世界的・長期的な半導体需要の強さ</t>
  </si>
  <si>
    <t>世界的・長期的な半導体需要の強さ
• AI、5G、IoTの進化は今後20年間は続くと予想されており、エレクトロ
ニクスの心臓部である半導体需要は今後も世界的に拡大する見通し
半導体性能向上に伴う製造装置の技術的高度化要請
• 半導体性能の向上（微細化・集積化）がますます進み、製造装置
の高度化要請が予想される
国家安全保障政策による急速な国内回帰
• 地政学的リスク回避やパンデミック想定から国内回帰の動きと、国策で
国内メーカーの積極選定の動きが強まっている</t>
  </si>
  <si>
    <t>売上拡大に伴い生産能力の増強を図る</t>
  </si>
  <si>
    <t>• 売上拡大に伴い生産能力の増強を図る
(現在の1.5倍を想定)
• 自動化工程を増やし、労働生産性向上を実現</t>
  </si>
  <si>
    <t>主要市場(韓国・台湾・中国)は取引関係を維持</t>
  </si>
  <si>
    <t>• 主要市場(韓国・台湾・中国)は取引関係を維持
• 2024年以降、日本市場・米国市場へ進出し、
取引拡大・増収増益を目指す</t>
  </si>
  <si>
    <t>岡山県浅口郡里庄町新庄金山6078
 設備投資の内容
• 本社工場の新築
※ 面積拡張により作業スペースが1.6倍に拡大
※ 部品の自動倉庫を導入し、省人化・効率化を図る
※ 研究開発室の酸給排管を拡張し3台同時に実験
※ 現本社工場は倉庫として活用し、外部倉庫を集約
• その他、製造に必要な設備一式を導入
(例：工作機械、純水設備、荷受・荷出設備 等)
項目 2
労働生産性 （単位：万円/人）
従業員1人あたり給与支給総額 （単位：万円/人）</t>
  </si>
  <si>
    <t>会社全体の賃上げ目標</t>
  </si>
  <si>
    <t>会社全体の賃上げ目標
以下のとおり賃上げを実現する
期間 賃上げ率
直近事業年度～基準年度 CAGR：2.5%
基準年度～事業化報告3年目 CAGR：5.0%</t>
  </si>
  <si>
    <t>当社は、鉄骨工事を中心に外装や基礎といった建築工事や土木工事、橋梁工事を手掛ける創業90年を超える専門工事業である。国立競技場や東京国際空港といったランド
マークから、北陸新幹線などのインフラ整備、商業施設、学校、病院、工場などの幅広いジャンルの建設に関わると共に、本社がある長野県等の地域に密着した工事から、全国でも
有数の規模のビッグプロジェクトまで年間1,500件の工事に携わっている。特に鉄骨工事においては、鉄骨の設計、製作、施工まで一貫して対応できる点、継続した研究開発による
高い技術力を保有している点が強み。全国2,140社のうちわずか18社(0.8%)のSグレード認定ファブリケーターとして、受注シェアは国内トップクラスである。</t>
  </si>
  <si>
    <t>生産規模拡大 省力化への対応</t>
  </si>
  <si>
    <t>生産規模拡大 省力化への対応
大型化への対応</t>
  </si>
  <si>
    <t>設備投資の内容
① 生産規模拡大への対応として、日滝原工場を拡張すると共に同工
産設備及びクレーン等の大型マテハン設備を増強する。
② 大型化への対応として、回転機や一次加工機といった大型生産設
レーンなどの重量級搬送設備を導入する。
③ 省力化への対応として、溶接ロボットや組立治具、電動台車等の作
自動化設備も導入する。
課題解決による労働生産性の向上
① 生産規模拡大による短納期対応力強化、鉄骨工事受注件数の
② ビルドボックス柱等の鉄骨製品の大型化対応による高付加価値化
③ 労働集約的な工程における自動化・省力化による労働生産性向
2028年
項目
（基準年</t>
  </si>
  <si>
    <t>期成 ビジョン（ 目指す姿・ビジネスモデル）</t>
  </si>
  <si>
    <t>期成 ビジョン（ 目指す姿・ビジネスモデル）
長 長
■目指す姿（ To Be )
食を通じて、「人・動物・地球環境」に対して責任を果たし続ける
・持続的成 の実現
長
・新規雇用と持続的賃金アップにより地域経済に貢献
・原材料の安定的仕入による地元の農業・漁業者の収益に寄与
・関連する事業者（ サプライチェーン） 全ての収益向上への貢献
・未利用資源の活用による環境保全や食料不足への対応
・製造プロセスにおける環境負担軽減による環境保全に貢献
■ビジネスモデル( To Do )
1 .ニーズ・メガトレンドに合致した製品の開発 ⇒ 売上・利益アップ
①ペット事業の拡大
②高品質と健康志向の強化
2 .未利用資源の有効活用 ⇒ コスト削減、環境保全、経済波及
3 .ヒトとモノに対する有効な投資 ⇒ 成 の好循環を創出
長
収益の従業員への大幅な還元
①有効な設備投資と製造プロセスの改善
②賃金アップと情報共有化
③収益の従業員への大幅な還元と追加投資
会社全体の売上成 目標（ 2 0 3 4 年）
長
• 売上高成 率1 5 0 ％
長
• 売上高増加額1 4 5 億円
会社全体の賃上げ目標
• 1 .3 7 % （ 直近事業年度～基準年度）
• 3 .7 1% （ 基準年度～事業化報告3 年目）</t>
  </si>
  <si>
    <t>会社全体の売上成 目標（ 2 0 3 4 年）</t>
  </si>
  <si>
    <t>会社全体の売上成 目標（ 2 0 3 4 年）
長
• 売上高成 率1 5 0 ％
長
• 売上高増加額1 4 5 億円
会社全体の賃上げ目標
• 1 .3 7 % （ 直近事業年度～基準年度）
• 3 .7 1% （ 基準年度～事業化報告3 年目）</t>
  </si>
  <si>
    <t>【設備投資の内容】
設備投資の内容</t>
  </si>
  <si>
    <t>【設備投資の内容】 単
設備投資の内容 建物費</t>
  </si>
  <si>
    <t>会社全体の売上成長目標（2023～2030年度）
売上高成長率：233％
売上高増加額：＋123億円
会社全体の賃上げ目標（2023～2030年度）
2.82%
（直近事業年度～基準年度）
5.92%※従業員数の増加要因除き:9.66％
（基準年度～事業化報告3年目）
⇒従業員 6.00％、役員6.00％</t>
  </si>
  <si>
    <t>高齢者施設向け冷凍弁当開発力・製造の強化</t>
  </si>
  <si>
    <t>高齢者施設向け冷凍弁当開発力・製造の強化
医療・福祉の給食会社としての生い立ちを持ち、給食現場運営のノウハウを
以って、使い勝手の良い製品企画ができる強みを磨く。及び既存工場運営
で培った開発力・製造力を最大限生かし、変動する市場の要求にタイムリー
に応える体制を強化する。</t>
  </si>
  <si>
    <t>売上成長目標（～2030年度）
219億円
増加額：123億円
94億円
24/6 工場建設の3年後</t>
  </si>
  <si>
    <t>原料仕入から商品配送まで独自内製分野の強化</t>
  </si>
  <si>
    <t>原料仕入から商品配送まで独自内製分野の強化
現在実施している主要原料の海外と直接貿易仕入、製造した商品の仕分
けと関東・関西地区までの幹線便配送等の自社内製分野において、今後
更なる物量の増加に伴い、質・コスト・スピード共に優位性を磨く。</t>
  </si>
  <si>
    <t>従業員への還元</t>
  </si>
  <si>
    <t>従業員への還元
自社の成長で得た利益は、積極的に従業員に還元する。賃上げだけでなく
従業員(の両親)向け福祉施設の整備計画を進める事により、従業員の収
入増加に加えて支出抑制の支援体制を企業として構築する。</t>
  </si>
  <si>
    <t>ン 内発的動機・外発的動機
に10年以上前から宣伝されてきた2025年問
が高齢者」となった時代に必要とされる食事</t>
  </si>
  <si>
    <t>機・外発的動機
上前から宣伝されてきた2025年問
となった時代に必要とされる食事</t>
  </si>
  <si>
    <t>外発的動機
 人件費高騰、人手不足による医療・福祉給食運営費の負担増
• 医療・福祉の厨房現場における調理員の人件費負担が年々
増加している。100床未満の病院では給食提供コストが公定
価格を上回っており赤字運営の病院が多数発生している。
• 既存の自前調理や委託会社による給食運営によりコストを抑え
た、安全な給食提供の仕組みの必要性が顕在化している。
 病院・施設厨房現場の人手不足
• 一日三食365日現場の医療・福祉の厨房では人手不足が深
刻化し、給食の質の向上以前に明日の給食の提供に不安を抱
いている現場が多い。厨房の省人化、無人化の仕組みの構築
が急がれる。
 高齢化の進行に伴い、高齢者施設のみならず、在宅高齢者への
食の安定供給の必要性拡大
• 現在、在宅高齢者向けの弁当配食企業も店舗運営の人材難
に直面しており、業績が頭打ち気味の傾向である。ネット通販を
始めとした、運送企業の配送機能を活用した冷凍弁当の供給
の市場が拡大する傾向が顕在化している。
 病院向けの給食は治療食対応が複雑で院外からの提供は困難
• 医療施設に向けて、日々変動する入院患者に応じた治療食中
心の給食を外部から共有する事は困難であり、委託金額が高
騰した現在でもなお、給食会社への委託率が高い。自前調理
が無理な場合、委託会社への給食委託以外に選択肢がない。</t>
  </si>
  <si>
    <t>内発的動機
 冷凍弁当ビジネスの黄金期に向けて体制を備える
• 現在の当社の主力商品であるパック商品は、ユーザーは調理不要
で、加熱後お皿に盛りつけて提供する。高齢者施設厨房では、盛
付の人員確保まで困難になる傾向があり、徐々に容器に盛りつけ
られた冷凍弁当の需要の高まりを感じている。
• 当社は現在1日15万食の製造実績と、ミキサー食、ムース食等
様々な形態の食事に対応できる技術を有しているが、現状の工場
では冷凍弁当製造力は限定的である。今後の冷凍弁当の需要
の高まりに備えて開発力と製造能力を強化したい。
 新事業軸の創設と幅広い消費者への商品提供
• 現在、当社工場製造部門では高齢者福祉施設向けの事業が主
軸となっているが、新たな事業軸の創設を計画している。
今後病院向け市場（推測：約7500億円/約1,500,000床/
年）に向けて療養食冷凍弁当販売にチャレンジしたい。
• 日々変動する入院患者に応じた治療食を外部から供給する事は
困難で同業者も手をこまねいている分野ではあるが、既に当社は
複数の大型急性期病院に冷凍弁当（常食、嚥下対応食）を
提供している実績を有している。
• 今後、新工場において治療食冷凍弁当の開発に着手し、各病院
で多額のコスト（人件費、光熱費）を支出している病院内調理
業務の代替能力を有して病院経営の効率化に貢献していく。</t>
  </si>
  <si>
    <t>設備投資の内容
■新倉庫【 KAWAJUN今市テクニカル Seven 】の建設
栃木県日光市に延床約23,000㎡の鉄骨造平屋倉庫を新設し
置で入出荷を円滑化。地域企業への発注を積極的に行い、雇用
■物流自動化機器の導入
GTPロボット、AGV、ラックフォーク、自動仕分などを導入し、歩行
処理能力は約2.3倍向上し、補充・搬送工数を50％以上削減
■ソフトウェアと外部専門家の活用
自動化機器と仕入情報、販売情報を連携させた統合ダッシュボー
グレーター、物流コンサルタントなど専門家が導入から継続改善ま
自動化による省力化指数 0.87（87％削減）</t>
  </si>
  <si>
    <t>・たまごの付加価値を高め、安心かつ安全なたまごを安定的に供給し続ける
・検査や包装工程の自動化や包装工場を集約することで輸送効率を高める
・ゆで卵や温泉卵、液卵などの加工品を新規に開発して、国内外の販売量を増やす</t>
  </si>
  <si>
    <t>・需要＜供給・海外市場拡大・他社からの卵受入拡大により数量増が確実である。重点拠点の生産性を大幅に向上させる必要がある
・重点拠点への検査、洗浄・選別・包装工程への最新設備導入と建物改装による動線改善・能力向上➨生産性向上・生産能力向上の実現</t>
  </si>
  <si>
    <t>補助事業の背景・目的
補助事業の • 不登校生徒や外国人生徒が増加し、多様な生徒に対応
背景・目的 る。これらの生徒を受け入れ、個別の教育を行い、グローバ
不登校生徒・外国人生徒のコミュニケーション障害、言語の
応を可能とする、メタバース、AIを活用したリアル×バーチャル
プラットフォームを構築する。
・6階建て校舎建設費:25億円（8.33億円）</t>
  </si>
  <si>
    <t>【設備投資の内容】
① 1350tクローラクレーン 2,768百万円
② 200tクローラクレーン 490百万円
③ バックホー（ラバンテ） 642百万円
④ 2000ｔプレスシャー 360百万円
⑤ ナゲット 60百万円
【生産性向上につながる点】
現状、ガス溶接やバックホーにより運搬可能な小ブロックに
再資源化していた。設備導入により、大ブロックの状態でプ
入出来るようになり、人工作業の工程が縮小する
本事業では1,350tクローラクレーンを中心として省力化設</t>
  </si>
  <si>
    <t>＜既存解体方法との違い＞</t>
  </si>
  <si>
    <t>＜既存解体方法との違い＞

既存のプラント解体（現状）
煙突/高構築物の上部に人が直接あがり、人力で斫り作業を行い解体していく為、人工作業に
よる工数負荷が高いことや、安全性の確保が難しい

新規のプラント解体（補助事業後）
ワイヤーソーで大ブロックに切断したものを大型クローラクレーンを使用して吊り降ろした後に、地上
にて重機解体を行う為、人工作業の工数削減と安全性の確保が図られる。また、220ｍまでの
高所対応が可能となる
＜新規解体方法の優位性＞

安全性の向上
煙突/高構築物の解体は、大型クローラクレーンにより、ブロックの大型化が実現することから、コン
クリート等の落下物のリスクが大幅に減少し、安全性が確保される。今後は機械作業による安全
性と環境保護に配慮した業者が受注する方向にある

作業効率性の改善
煙突/高構造物(50ｍ以上)は既存の方法であれば人工作業が多く掛かっていた。ブロックの大
きさを3倍程度のサイズにしても対応が可能となり、人工作業を約50％に削減出来る</t>
  </si>
  <si>
    <t>基準年度:2028年8月期（2027年度） 最終年度:2031年度8月期（2030年度）</t>
  </si>
  <si>
    <t>基準年度:2028年8月期（2027年度） 最終年度:2031年度8月期（2030年度）
幹事企業 コンソーシアム参加者 幹事企業 コンソーシアム参加者
（㈱タカラ倉庫運輸サービス） （㈱タカラグループ） （㈱タカラ倉庫運輸サービス） （㈱タカラグループ）</t>
  </si>
  <si>
    <t>長期成長ビジョン（目指す姿・ビジネスモデル）
【目指す姿（5～10年後における企業像）】
当社は、持続可能な社会に貢献するマテリアル開発型企業を目指
す。バイオマス原料への切替や製品リサイクル提案、油剤の高性能化
を通じて、顧客のカーボンニュートラル実現に貢献し、「高機能×環境
配慮」分野で中核的役割を担う。
【目指すビジネスモデル】
多様な試作・用途開発の実績をもとに、製造業の現場ニーズに応
じた機能材料を柔軟に提案。100％受注生産体制のもと、小ロット
試作から量産まで柔軟に対応し、再生油や環境配慮素材の開発を
強化。加工油事業を中心に、提案型・高付加価値モデルへの転換
を図り、多品種少量でも収益性を確保する。これにより得た利益を原
資に積極的な賃上げを行い、継続的な組織力の強化を図る。
【社会に提供する価値】
機能性と環境性を備えた材料により、顧客製品の性能向上や脱
炭素対応を支援する。製品仕様や工程への適合性を踏まえた提案
を通じて、製造現場に寄り添うソリューションパートナーとなる。バイオマ
ス原料への切替、リサイクル提案、高性能油剤による省エネ支援を通
じ、顧客のカーボンニュートラル実現に貢献する。</t>
  </si>
  <si>
    <t>を背景に、自社の進むべき方向を中長期的に明確化する必要性
じ、長期ビジョンの策定に至った。</t>
  </si>
  <si>
    <t>写真等</t>
  </si>
  <si>
    <t>写真等
【建物】1.9倍に拡張 【1階】ゆとりある作業空間 【2階】広い作業スペース 【1階】柔軟な生産レイアウト</t>
  </si>
  <si>
    <t>現在の工場生産キャパシティでは顧客からの増産依頼に対して、全ての対応が困難</t>
  </si>
  <si>
    <t> 現在の工場生産キャパシティでは顧客からの増産依頼に対して、全ての対応が困難
 補助事業での生産商品は顧客からの引き合いが強く、販売網確保も実現でき、事業規模拡大(＝賃上げ実施)に繋がる</t>
  </si>
  <si>
    <t>【設備投資の内容】 A：建物費18億円、B:機械装置費10
A：本社工場を増設工事を施し、そこにAGV,AGF,立体自動
B：高付加価値製品の生産性向上・自動化比率向上を目指
C：基幹システムの抜本改革。上記A・Bの設備投資と連携す
【課題解決手段・労働生産性向上策】
• 非防爆型工場の新設による作業効率向上及び労働環境改
• 環境配慮型工場とすることでの省エネ・脱炭素化とTier1か
• スパウトインサータ、スタンド製袋機の導入によるスパウト付包
スタンドパック製造による高付加価値化（右写真：主要設
• 工程間の段取工程における手作業の自動化・省力化
• 熟練技術者のノウハウのデジタル化・機械化による品質安定</t>
  </si>
  <si>
    <t>る。売上成長目標は、5年後の2030年までの売上高</t>
  </si>
  <si>
    <t>会社全体の売上成長目標（2030年度）
• 売上高成長率75％
• 売上高増加額37.5億円
会社全体の賃上げ目標
• 3.65%（直近事業年度～基準年度）
• 6.2%（基準年度～事業化報告3年目）</t>
  </si>
  <si>
    <t>13.8</t>
  </si>
  <si>
    <t>13.8
12.9
11.8
9.2
8.2 8.5 8.6 8.6 8.7
7.8
22/5期 23/5期 24/5期 25/5期 26/5期 27/5期 28/5期 29/5期 30/5期 31/5期</t>
  </si>
  <si>
    <t>・ 生産が追い付かないニッチトップ商品の生産能力を高める
・ 国内シェア拡大・ブランド周知・海外拡販の本格化により売上高成長率+155％、売上高増加額200億円を目指す
・ 増加した利益を従業員へ還元することにより、8%の賃上げ目標を定める</t>
  </si>
  <si>
    <t>・既存の本社工場がフル生産である現状を鑑み、本社内に新工場を新設する
・新工場を活用し、プリンの国内供給能力向上と海外輸出冷凍製品の製造を実現する
・最新の製造設備を導入して、自動化・省力化による生産性向上及び賃上げの両方を実現する</t>
  </si>
  <si>
    <t>＜新工場概要＞栄屋乳業 新工場</t>
  </si>
  <si>
    <t>＜新工場概要＞栄屋乳業 新工場
住所：愛知県岡崎市東牧内町字甲田45
敷地面積：1500㎡ 施工床面積：1780㎡
建築面積：890㎡
■本社工場内に新設し、既存のインフラを活用した効率的な製
造体制を構築
■原料受入から製造、冷凍保管、出荷まで一貫した生産・物
流体制を確立</t>
  </si>
  <si>
    <t>長期成長ビジョン（目指す姿・ビジネスモデル）
【中長期目標】
社会インフラ支える技術と品質
省エネ・脱炭素化社会でのニーズの高まりを受け、
金属-セラミックス基板全体において世界ナンバーワンを目指す
【2030年のありたい姿】
顧客が満足する差別化技術・商品を提案し、顧客密着型で低
炭素化社会の実現する製品をつくり、社会に貢献し、事業を伸
長させていく。
【社会価値の提供】
技術革新を通じ、様々なステークホルダーへの価値提供を行うこ
とで、下記を実現する。
①当社の成長と社会の成長が同期する＝サステビリティ経営の
実現
②当社の成長が日本国のパワーデバイス分野の強化へ貢献</t>
  </si>
  <si>
    <t>たことで、従業員が一丸となって目標に取組む姿があった。今回、
長期成長ビジョンを掲げることで、さらに従業員がモチベーションを
高めながら、活き活きと前向きに仕事に取組む体制を構築したい。</t>
  </si>
  <si>
    <t>企業理念 ：従業員の物心両面の幸福を追求し、より美
長期成長ビジョン：健康食品・医療食品への継続投資と、医薬
長期成長ビジョン（目指す姿・ビジネスモデル）</t>
  </si>
  <si>
    <t>長期成長ビジョン（目指す姿・ビジネスモデル）
【ファイングループ パーパス】
全世界の人々のすこやかなくらしのお手伝いを
「グローバル」×「お客様に近い存在」を両立。
美しくいきいきとした生活を1日でも長く、あなたの健康対策をサポートします。
“いつまでも自分らしく”に寄り添った製品・サービスをお届けします。
【企業理念】
従業員の物心両面の幸福を追求し、より美しく、より健康な社会を実現する。
私たちは医食同源を理念とし、製品の安全性を第一に、新製品の開発と技術の向
上に日々努力し、皆様の健康に奉仕するとともに、従業員の幸せと、社会に貢献で
きる企業であることを目指します。
【長期成長ビジョン達成に向けた今後の取組】
■健康食品・医療食品の製造販売事業の拡大
• 健康食品事業に継続的な投資を行い、製造能力強化、生産性向上を図る。
• 健康食品・医療食品の国内売上を伸ばしていく。
• 健康食品・医療食品の海外展開を強化する。
• 健康食品・医療食品の国内EC事業、越境EC事業を拡大する。
■医薬品製造・販売事業の拡大
• 医薬品製造の大型新工場を建設する。
• 自社OTC医薬品の国内売上を伸ばしていく。
• 自社OTC医薬品の海外展開の開始・拡大を図る。
• 新工場では、他社OTC医薬品の製造受託事業も拡大する。
• 医療用医薬品(ジェネリック医薬品)の受託製造事業への参入に向けた準備をする。
会社全体の売上目標(直近期～2031/3期*） ㈱ファイン オール薬品工業㈱
売上高成長率 +273％ +678％
売上高増加額 +127億円 +44億円
会社全体の賃上げ目標 ㈱ファイン(単) オール薬品工業㈱
会社全体の賃上げ率(直近期～基準年) +2.49%/年 +3.56%/年
会社全体の賃上げ率(基準年～事業化3年目) +5.70%/年 +5.73%/年
＊オール薬品工業㈱は2031/2期</t>
  </si>
  <si>
    <t>【設備投資の内容】
• ミネラルウォーター製造工場の建物工事
• ミネラルウォーターの製造設備
（ペットボトル自体の製造から水のろ過・充填の自動化装置による一貫生
【本設備投資での課題解決】
①製造計画や生産管理はプラント管理の経験や水質管理ノウハウを豊富
グループ会社（都市クリエイト等）の社員を転属させて管理、従業員へＯ
にて教育を実施し、当社内で生産ノウハウを蓄積する。
②ミネラルウォーターの製造、販売を連携する事業者である三友機器、
岩崎氏から技術指導を受けて品質の高い製造体制と販売体制を構築す
③競走馬の育成環境の向上という課題解決のために、競走馬の育成に関
向上と新たな設備投資を行う。競走馬の育成に関わる人の士気向上と環
い・良質の馬の生産・育成が可能となる。
④ミネラルウォーターの製造販売を通じて当社の事業と競馬の感動を広く世
伝える。大山ヒルズの育成馬のパッケージを商品化したミネラルウォーター
「うらら(PBブランド名)」の販売とマーケティングを行う。従業員の士気向上</t>
  </si>
  <si>
    <t>新工場に導入する主な設備</t>
  </si>
  <si>
    <t>新工場に導入する主な設備
千切りキャベツの
自動脱水装置 自動計量装置
2人体制→完全無人化 2人体制→完全無人化
原料受入 原料下処理 スライス 洗浄・脱水 計量 包装
ラベルチェック
箱詰 出荷
・検品
ラベルチェックの自動化
梱包・積荷
1人体制→完全無人化
180ｐ/分処理に
6人体制→1人体制</t>
  </si>
  <si>
    <t>工場新設後における生産体制の３つの特徴</t>
  </si>
  <si>
    <t>工場新設後における生産体制の３つの特徴
①生産能力増強 ②労働生産性UP ③給与アップ・雇用創出効果
新設後 新設後
新設後
労働生産性 1,864百万円
従来の
生産体制の
従前の 現状
生産数
労働生産性 1,085百万円
生産量MAX 生産量MAX
4,114千円 7,582千円 337人 500人
40万パック/日 60万パック/日
2024年と2030年との比較 2024年と2030年との比較
2024年と2030年との比較
省力化投資で労働生産性アップ 人員 163名増
工場新設により生産キャパ1.5倍
労働生産性 3,469千円増 給与支給総額 779百万円増</t>
  </si>
  <si>
    <t>
設備投資の内容
•
新工場の建設、その他製造に必要な設備一式
※ WAXモデル成型、WAXモデル組立、鋳型製作の工
の最適化を図る
※ WAX自動供給装置を導入し、ろうの充填を自動化
※ 自動倉庫を導入し、WAXモデル組立に使用する資
運搬等の自動化・効率化を図る
※ 造形自動ロボットを導入し、鋳型製作の7割を自動
※ 上記より、生産能力の拡大（約2倍）を実現する
※ 温度・湿度管理装置を導入し、鋳型品質の向上と
型製作に取り組む
項目 2</t>
  </si>
  <si>
    <t>1.長期成長ビジョン
・目指す姿は食のイノベーション、つまり携わる人の成長とウェ
社は2030年度に売上高成長率273％、売上高増加額</t>
  </si>
  <si>
    <t>・目指す姿は食のイノベーション、つまり携わる人の成長とウェルネスな人生を創造すること。その取組みを通じて当
社は2030年度に売上高成長率273％、売上高増加額＋79億円を目指す</t>
  </si>
  <si>
    <t>長期成長ビジョン（目指す姿・ビジネスモデル）
【目指す姿・ビジネスモデル】八天堂の食のイノベーション
・徹底した付加価値の追求により八天堂【らしい】新たな食文化を提供し、
その営みを通して携わる人の成長とウェルネスな人生を創造する
【ビジョン（指針）】
スイーツパン（冷やして食べるクリームパン）の確立
外
・「従来にない」商品カテゴリー又は食感などを作りだし、
発
「スイーツ」という領域で、世界に需要がある
的
・スイーツパン市場は100億はくだらない 動
・単なる現状業務の「省力化投資」ではなく、今後の時代、世界の需要に 機
マッチした新ビジネス（市場）のための「攻めの投資」と強く打ち出したい
商工農福連携、ノウフクＪＡＳの充実・強化
・2024年広島県が中心となって農家の人手不足や食品ロスを農福連携で
解決することを目指し、農福コンソーシアムひろしまを設立。当社グループは
中核事業である商品開発、販売事業を担っており、多様な人材の雇用を
創出することにより、積極的に地域社会の健全な発展に寄与していく
基準年度 基準年度＋3年
2030年度
2027年度
125億円
直近決算 66億円
内
2023年
46億円 売上高年平均成長率23.53％（23-30年度） 発
的</t>
  </si>
  <si>
    <t>社会課題</t>
  </si>
  <si>
    <t>社会課題
サステナブル（社会・環境に配慮した取り組み）
・人口が減少する一方で大量の食品が廃棄されており、これが環境負荷や資
源の無駄遣いにつながっている。食品製造業は、製造プロセスでのロスを最小
限に抑えるための製造と販売消費がデジタル技術で繋がった新たな業務形態
が求められている
・食品製造業は労働集約型産業。健康経営に取組み、労働環境の改善を
推進するとともに、業務効率化の取組により賃上げを実現する
顧客ニーズ
多様な食文化への対応
・健康志向の高まりとして全粒粉やグルテンフリー、低糖質、低カロリーのパンの
需要が増加している
・利便性の追求として忙しいライフスタイルに合わせて、手軽に食べられるパンや、
持ち運びしやすい個包装のパン、冷凍パンや長期保存が可能なパンも需要が
高まっている。また地元産の原材料を使用したパンも支持されている</t>
  </si>
  <si>
    <t>の原体験</t>
  </si>
  <si>
    <t>の原体験
食は生きる元気の源
・1933年、世界的な大恐慌の影響を受けて暮らしが苦しくなっていくなか、創
業者の「甘くておいしい和菓子で、人々を元気づけたい」という想いが現在も
受け継がれている。現在でも食の安心安全は重要な社会イシューであり、
人々のライフにおいて空腹感を満たす以上の幸福感と喜びがある
経営者の動機
事業の目的は社会貢献
・経営が困窮していたとき、事業の縮小を図ったが、障がい者向け“パン教室”は続
けた。障がい者の方々の表情から逆に元気をもらい、困難を乗り越えることがで
きた。そこから「商工農福連携」（次頁）の取組みにつながった。売上を伸ばすだ
けが目的ではなく、どう社会に還元するかである</t>
  </si>
  <si>
    <t>・現工場（みはら臨空工場）のある八天堂ビレッジの敷地内に全て自動化・省力化が図られる新工場を建設
・くりーむパンの生産能力を飛躍的に向上させるとともに全国のパン・菓子製造業からOEMを請け負う</t>
  </si>
  <si>
    <t> 設備投資の内容
新工場建設 15.0億円
製造に必要な設備一式 09.9億円
 設備投資が課題を解決し得ること
・現工場では終日工場を3交代制で稼働させても、最大7
か生産できなかったが、新工場では全て自動化・省力化
15万個/日の追加生産が可能となる
・現工場は手間暇かけた付加価値のある商品を製造して
・また現在は賞味期限が3日程度であるがチルドを扱うこと
延びたり、遠方への運搬も可能になる
・新工場ではFSSC22000（食品安全システム認証）の</t>
  </si>
  <si>
    <t>• 設備投資の内容
押出成形機 1台新設、真空圧空成形機（PET) ４台
熱板圧空成形機（OPS) ３台移設、付帯機器 1式
梱包・封函装置 １式、段ボール積込装置 １式
破砕機 4台新設・6台移設、基幹業務・生産管理シス
• 設備投資が課題を解決し得ること
素材成形から最終製品まで一貫生産体制を確立し、物
合理化する。
PETシートを購入せずリサイクル材を使用し内製でPET
生産段階で発生した端材を再処理し、再び原料として再
徹底した省人化・自動化を指向し、人手不足の深刻化
徹底した省エネルギー設備・システムにより、CO2の排出
新工場の生産最適レイアウトにより、構内物流の効率
人と環境に優しいモノづくりに取組み、地域社会に貢献す</t>
  </si>
  <si>
    <t>【設備投資の内容】
• 26/4より中学校給食の一括納入方式が採用され、小学
（300校）にも導入が予定されている横浜市においてデ
トシステム（DAS）、立体自動倉庫を備えた省力化・省
流センターを開設する。大阪本社においても自動倉庫を追
なる効率化を推進する。
【労働生産性の向上】
• 当社は大阪本社で2009年にDASを、2021年に立体自
入し、これまで人が作業していた、商品のピッキングの効率
受けの効率化・自動化を図り、省力化・省人化に成功し
• 大阪本社で蓄積したこの省力化・省人化についてのノウハ
横浜市周辺においても同様の省力化・省人化された物流
設し、労働生産性の向上を図る。
【更なる成長の実現】</t>
  </si>
  <si>
    <t>1.長期成長ビジョン
• 目指す姿は「便利で安心・安全なヒューマングレードを超えるプレ
一員であるペットの健康と飼い主の幸せに寄与する」こと。その取</t>
  </si>
  <si>
    <t>一員であるペットの健康と飼い主の幸せに寄与する」こと。その取
体の売上高成長目標は301％、増加額は43億円、賃上げ目
成長ビジョン（目指す姿・ビジネスモデル）</t>
  </si>
  <si>
    <t>長期成長ビジョン（目指す姿・ビジネスモデル）
【目指す姿・ビジネスモデル】
• 便利で安心・安全なヒューマングレードを超えるプレミアム品質のペッ
トフードを提供することで、大切な家族の一員であるペットの健康と
飼い主の幸せに寄与する。
【長期成長ビジョン】
日本の伝統的な食文化を世界に発信！
• ペットの食文化に無添加という価値を定着させ、ペットの健康寿命を延ばす
ことで、人間とペットがより長く、安心して暮らせる社会の実現に貢献する。
• プレミアムな健康志向型フードに“だし”を取り入れ、より嗜好性の高いフー
ド作りを展開し、国内を足掛かりに、アジア・欧米を中心に海外市場に向け
て、日本の伝統的な食文化を活かしたペットフードを提供する。
ペットに合わせてカスタマイズのできるプレミアムペットフードの製造
• 現在は外部委託により製造を行っているが、今後さらなる品質・柔軟性を
追求していくには限界がある。
• 自社工場を保有することで、外注では実現できなかったペットの種類・年齢・
サイズ・嗜好、さらには輸出先の規制・嗜好に応じた個別設計が可能となる。
• また、ドライ・冷凍・ウェットの製造設備により、嗜好性と栄養保持の両立が
できる。将来的にはペット１頭１頭の健康状態に合わせたオーダーメイドの
フードの提供を予定している。</t>
  </si>
  <si>
    <t>コンソーシアム全体の売上成長目標
（2023～2030年度）
• 売上高成長率 301％ コンソーシアム形式各社の合計数値
• 売上高増加額 43億円
コンソーシアム全体の賃上げ目標
• 1.17%（直近事業年度～基準年度）
• 5.65%（基準年度～事業化報告3年目）
⇒内訳：従業員 6.44％、役員6.00％</t>
  </si>
  <si>
    <t>【企業理念】</t>
  </si>
  <si>
    <t>【企業理念】
お客様に愛されるホテルを創る
お客様への感謝の気持ち×おもてなしの心</t>
  </si>
  <si>
    <t>ホテル事業 売上80％</t>
  </si>
  <si>
    <t>ホテル事業 売上80％
十勝帯広エリア 3施設 札幌エリア 2施設
① 十勝イン:帯広駅近くで繁華街近くにある昭和54年からある老舗ホテル
十勝帯広 ② 十勝ガーデンズホテル:帯広駅の目の前と好立地。最も客室数稼働率が高いホテル
③ レイク・イン:キャンプ場、天然温泉を併設した隠れ家的リゾートホテル
④ GARDENS CABIN:札幌の繁華街にあるキャビン型の簡易宿所形態の施設
札幌
⑤ GARDENS STAY:ビジネス、観光、コンサートなどのイベントに便利なサウナ施設付きホテル</t>
  </si>
  <si>
    <t>十勝帯広エリアとしての課題</t>
  </si>
  <si>
    <t>■十勝帯広エリアとしての課題
外国人観光客が道央圏に集中しており、取込が必要
※外国人観光客：16.3万人（2019）⇒14.5万人（2024）
※北海道経済部より</t>
  </si>
  <si>
    <t>北海道内において、インバウンド需要は拡大傾向</t>
  </si>
  <si>
    <t>■北海道内において、インバウンド需要は拡大傾向
北海道内における外国人観光客はコロナ前を超え
※外国人観光客数：3188万人（2019）⇒3678万人（2024）
※北海道運輸局より</t>
  </si>
  <si>
    <t>十勝インバウンド誘客推進協議会が発足</t>
  </si>
  <si>
    <t>■十勝インバウンド誘客推進協議会が発足
2024年より発足し、十勝エリアにおけるインバウンド需要獲得に向けて、
地域企業と自治体と連携して誘客施策を積極的に実施予定</t>
  </si>
  <si>
    <t>とかち帯広空港の国際線直行便就航</t>
  </si>
  <si>
    <t>■とかち帯広空港の国際線直行便就航
韓国の清州の直行便が初めて就航
外国人観光客の増加が見込める</t>
  </si>
  <si>
    <t>チェックインの自動化</t>
  </si>
  <si>
    <t>■チェックインの自動化
負担の大きいチェックイン、チェックアウト時の顧客対応の自動化することで
大幅な70％以上生産性向上が見込める
（８ｈ×4名+４ｈ×2名）⇒（８ｈ×1名+４ｈ×1名）</t>
  </si>
  <si>
    <t>人材不足への対策</t>
  </si>
  <si>
    <t>■人材不足への対策
宿泊業界全体として、人材不足となっている。
人材不足解消のために、デジタル化を活用した業務負担軽減が課題。</t>
  </si>
  <si>
    <t>北海道内における経済都市</t>
  </si>
  <si>
    <t>■北海道内における経済都市
北海道の耕地面積22％を占めるなど第一次産業が盛んである。また食
品製造業も多く十勝ブランドの商品展開をしている大手企業も多い。ま
た農業用機器や産業用機械などの製造業も盛んな経済都市である。</t>
  </si>
  <si>
    <t>豊富な観光資源</t>
  </si>
  <si>
    <t>■豊富な観光資源
世界唯一のばんえい競馬、十勝牧場や三国峠など自然景観
六花亭や花畑牧場等の名産品が多くあり、空港、鉄道、高速道路もあり
アクセスが良く、観光しやすいエリアである。</t>
  </si>
  <si>
    <t>目指す姿</t>
  </si>
  <si>
    <t>■目指す姿
十勝帯広エリアにおける観光拠点となる宿泊施設へ
地域企業と協力を行い、観光資源の更なる活性化への貢献
帯広市におけるシンボルとなる宿泊施設へ</t>
  </si>
  <si>
    <t>必要な対策や課題</t>
  </si>
  <si>
    <t>■必要な対策や課題
全国チェーンホテルとの差別化
宿泊施設の高付加価値化、デジタル化による生産性向上
地域企業とのさらなる連携とプロモーションの強化</t>
  </si>
  <si>
    <t>【藤丸百貨店】</t>
  </si>
  <si>
    <t>【藤丸百貨店】
地元資本の百貨店が2023年に122年の歴史に幕を閉じ、
中心地の交流人口が減少。
現在、人流増加に向けた
再開発が予定されており、
2030年を目途に
リニューアルオープン予定。</t>
  </si>
  <si>
    <t>【社会医療法人 博愛会 所有地】</t>
  </si>
  <si>
    <t>【社会医療法人 博愛会 所有地】
北洋銀行帯広支店跡地1,500㎡（現在更地）
市内中心地活性化を目的として博愛会と連携し、博愛会
所有地に日帰り入浴可能な展望露天を完備した宿泊施
設を当社が建設。
博愛会は、医療機関や、
飲食店などが入る複合施設を
建設する。(博愛会の事業は
本補助事業対象外で実施)
【完成イメージ】
広場を大きく作る
ことで、人々が集
いやすい環境を
提供する。</t>
  </si>
  <si>
    <t>【当社所有地】</t>
  </si>
  <si>
    <t>【当社所有地】
大型テナントビル跡地 1,000㎡（現在更地）
市内中心地活性化に向け、老朽化が進んでい
たテナントビルを2024年に取得し、2025年3月
に解体工事が完了。
当社が立体駐車場を建設し、宿泊利用者の利
用並びに近隣施設利用時の駐車場として提供
する。
将来的には、藤丸
利用者への駐車場
サービスの提携も行
う予定。</t>
  </si>
  <si>
    <t>の東西に飲食</t>
  </si>
  <si>
    <t>の東西に飲食
帯広駅</t>
  </si>
  <si>
    <t>帯広駅から藤丸百貨店までを中心に繁華街として栄え、その東西に飲食</t>
  </si>
  <si>
    <t>帯広駅から藤丸百貨店までを中心に繁華街として栄え、その東西に飲食
店が多く立ちならんでいる。
当社のホテル建設予定地は繫華街の中心に位置する。社会医療法人博
愛会と連携して繁華街の活性化のためにも、人流が活発化するような施
設の建設を考えた。当社が宿泊施設として市外からの人流増加を見込み、
博愛会が医療施設を中心とした複合施設にすることで、市内の人流増加
を見込み、相乗効果で市内中心地の人流増加により、繁華街の活性化
を考えている。</t>
  </si>
  <si>
    <t>【ホテル周辺の豊富な飲食店などの観光施設】</t>
  </si>
  <si>
    <t>【ホテル周辺の豊富な飲食店などの観光施設】
• 六花亭 帯広本店
• カレーショップインデアンまちなか店
• 北の屋台
その他多数の飲食店あり、宿泊時の経済効果が見込める</t>
  </si>
  <si>
    <t>⚫ 製造設備：9.9億円
◼ 設備投資の内容
冷凍おせち・冷凍スイーツ、冷凍弁当の生産体制の強化
⚫
- 現在引き合いが来ている国内外の需要へ対応可能
◼ その他に、見込める効果
作業の自動化による労働者への負担軽減、生産性の向上
⚫
- 現状より生産量は5倍に対し、人員増加は約2倍での
収益性の向上
⚫
- 工場の通年稼働、大量生産が可能になり、労働生産
が見込まれる
202
項目
（基
労働生産性
（単位：万円/人）
従業員1人あたり給与支給総額
（単位：万円/人）</t>
  </si>
  <si>
    <t>長期成長ビジョン（目指す姿・ビジネスモデル）
• 白馬で培った長期滞在型コンドミニアムの運営ノウハウを活かし、
長野県全域への展開を進め、大規模な投資を加速する。
• 特に松本市エリアは松本城や上高地、塩尻市エリアは奈良井宿と
いったインバウンド向けの魅力的な観光資源が豊富で、高い成長
ポテンシャルを有している。
• 長期滞在型コンドミニアムは、既存の短期滞在型宿泊施設とは
ターゲットが異なるため競合せず、むしろ相乗効果によって観光客
の滞在期間を延ばし、観光消費額の増加や地域のポテンシャル向
上に寄与していきたい。
• インバウンド観光市場が急速に拡大する中、受け入れ体制の整備
は重要な課題となっている。このような背景を踏まえ、2029年度ま
でに長期滞在型の高級コンドミニアムを長野県内に新たに5棟建
設する計画を進める。</t>
  </si>
  <si>
    <t>それぞれの得意領域に合った投資を行い、</t>
  </si>
  <si>
    <t>それぞれの得意領域に合った投資を行い、
高付加価値な長期滞在型コンドミニアムのモデルを構築</t>
  </si>
  <si>
    <t>さくら不動産㈱</t>
  </si>
  <si>
    <t>さくら不動産㈱
コンソーシアムにおける役割
• 不動産会社として、不動産開発、プロパティマネジメント、
地域や行政との連携などの役割を担う
コンソーシアムにより、
補助事業のみな
特徴
• 白馬エリアを中心に長年の不動産取引実績や地域のネッ
トワークを有している
• 宅地建物取引士や税理士資格保有者など資格者が多
数在籍しており、不動産取引や開発について専門性の高
い少数精鋭の組織
課題
• 補助事業を契機にコンドミニアムの横展開を図っていく中で、
滞在施設の特にサービス部門に関わる部分は任せていく必
要がある。
• 高付加価値な滞在施設を目指しており、高いサービス品
質などが求められるため単純な外部委託が困難。</t>
  </si>
  <si>
    <t>The Hakuaba Company㈱</t>
  </si>
  <si>
    <t>The Hakuaba Company㈱
コンソーシアムにおける役割
• 滞在施設の運営、接客サービス人材の採用と育成、運営
に関わるDX化などの役割を担う
域に特化することで、
ンの実現にも寄与
特徴
• 「暮らすように泊まる」ことをコンセプトにしたリゾートコンドミニ
アムや貸別荘などの運営実績がある。
• ゲストサービスに精通したメンバーが中心となっており、サービ
ス人材の採用と育成を行っていく体制が整っている。
• DXや新たなサービス企画などソフト面に強みがある。
課題
• 自社のみで不動産開発から運営まで担うことは難しい。
• サービス人材の採用と育成、DXやサービス企画などに特化
して対応していくことで高付加価値化を実現させていくことが
課題。</t>
  </si>
  <si>
    <t>コンソーシアムにより、双方の得意な領域に特化することで、
補助事業のみならず、長期ビジョンの実現にも寄与</t>
  </si>
  <si>
    <t>2028/8期</t>
  </si>
  <si>
    <t>2028/8期
項目
（基準年度）</t>
  </si>
  <si>
    <t>施設・棟・人員が細かく分かれており、作業効率が悪く、情報の分断も</t>
  </si>
  <si>
    <t>• 施設・棟・人員が細かく分かれており、作業効率が悪く、情報の分断も
生じてしまっている。
• 顧客情報の共有も不十分で事業部間のシナジーが発生していない。</t>
  </si>
  <si>
    <t>1棟ワンフロアに製造機能が集約し、効率化。</t>
  </si>
  <si>
    <t>• 1棟ワンフロアに製造機能が集約し、効率化。
• 本社敷地内1か所に倉庫を集約し、荷受け等、物流業務を効率化。
• 事務所スペース含めた各部の人員が1棟に集約し、部門協同や情報伝達が活発化。
顧客情報の共有等、事業部間のシナジー発揮が可能となる。</t>
  </si>
  <si>
    <t>外部倉庫依存による保管・物流コストの削減、品質劣化、廃棄ロスの抑制、</t>
  </si>
  <si>
    <t>外部倉庫依存による保管・物流コストの削減、品質劣化、廃棄ロスの抑制、
供給力不足の解消が可能。地域農家の収益安定化に貢献し、持続可能な
供給体制を確立出来る。</t>
  </si>
  <si>
    <t>冷凍能力が約1.5倍化し、供給力増強、商品ロスの削減、受注機会の損失防</t>
  </si>
  <si>
    <t>冷凍能力が約1.5倍化し、供給力増強、商品ロスの削減、受注機会の損失防
止が可能。</t>
  </si>
  <si>
    <t>加熱工程の自動化・均一化により、品質安定化、生産量増加、作業時間削</t>
  </si>
  <si>
    <t>加熱工程の自動化・均一化により、品質安定化、生産量増加、作業時間削
減。</t>
  </si>
  <si>
    <t>自動化により、人手削減、歩留まり改善、原料ロス削減により、利益率向上。</t>
  </si>
  <si>
    <t>【新馬鈴薯倉庫の概要】</t>
  </si>
  <si>
    <t>【新馬鈴薯倉庫の概要】
延床面積：6,002㎡
保管数量：7,020t
部屋数：8部屋
【搭載機能】
• アスパレーションシステム（風乾により、品質向上、廃棄ロス抑制）
• エチレンガスシステム（萌芽を抑制、長期貯蔵が可能）
• 24時間自動温湿度制御、遠隔監視、遠隔操作
• 高換気仕様による省エネ性能</t>
  </si>
  <si>
    <t>本補助事業では、調達物流の効率化と多様な出荷形態に対応する新倉庫3棟を建設する。</t>
  </si>
  <si>
    <t>• 本補助事業では、調達物流の効率化と多様な出荷形態に対応する新倉庫3棟を建設する。
• D棟はトヨタ向けの調達物流に特化した中継拠点として、E・F棟は多荷主対応の営業倉庫として活用する。
• それぞれに情報処理・保管・仕分・出荷の機能を備え、運用にはトヨタ独自開発システムを導入して作業進捗を可視化する。
共通のシステム運用により作業手順を統一し、多能工化を進めることで人材配置の柔軟性が向上する。
• 既存拠点に隣接して整備することで、乗務員の待機時間や車両回送の無駄を削減し運行効率が向上する。これにより省人
化と生産性向上を同時に実現し、持続的な賃上げと調達物流改革の実行基盤を確立する。</t>
  </si>
  <si>
    <t>包丁を使わない食肉カット専用の1.5次加工工場の建設</t>
  </si>
  <si>
    <t>ウォーターカッターマシン、スパイラル凍結機、フルスケール</t>
  </si>
  <si>
    <t>ウォーターカッターマシン、スパイラル凍結機、フルスケール
計量器、テンパリングミンチ機、トンネルフリーザー、製簡機、
その他生産に必要な機械装置</t>
  </si>
  <si>
    <t>• 【設備投資の内容】
岡山県倉敷市に既存主力工場の泉北工場のほぼ3倍の
（47,872.01㎡）の工場用地を取得済みである。この
の新倉敷駅、山陽自動車道のインターチェンジに近いこと
ハーバーアイランド内の水島港を活用し海外からの原材料
である等、交通・物流アクセスに優れている。ここに新工場
ともに、既存工場では導入していない新しい連続生産方式
• 【労働生産性の向上】
新工場稼働により、成長のボトルネックになっていた生産キ
問題を解決するとともに、既存工場では導入していなかっ
能な連続生産方式も導入し、労働生産を向上させる。
• 【BCP対策】
当社の既存工場はいずれも関西圏にあり、東南海地震な
クが想定されるため、活断層の少ない岡山県に新工場を</t>
  </si>
  <si>
    <t>2030年度
（基準年度＋３年後）</t>
  </si>
  <si>
    <t>企業紹介</t>
  </si>
  <si>
    <t>企業紹介・会社紹介</t>
  </si>
  <si>
    <t>0.企業紹介
当社は「陸・海・空」の幅広い分野に製品を提供する鍛造
高い技術力と自社一貫生産により高品質を実現しており、
近江鍛工とは
◼ 滋賀県に本社工場を置く、鉄鋼及び非鉄金属を用いた鍛造業のリーディ
◼ 自動車・新幹線・建設機械・石油掘削・船舶・航空機などの分野が顧客
◼ 2017年に「地域未来牽引企業」に認定、21年に「令和3年度ふるさと</t>
  </si>
  <si>
    <t>0.企業紹介
当社は製造設備の内製化により、日本で初めてローリング
以降も60年近くにわたり大規模投資を繰り返し、時流に即
近江鍛工の沿革
リングミルを内製し</t>
  </si>
  <si>
    <t>0.企業紹介
ローリング鍛造とは回転するロールを用いて加熱した金属材
する加工方法。本補助事業では鍛造加工後の機械加工
現時点で十分な生産キャパシティがある工程
切断 加熱・鍛造</t>
  </si>
  <si>
    <t>役割・労働生産性向上の内容</t>
  </si>
  <si>
    <t>導入・事業化までの課題とその解決策</t>
  </si>
  <si>
    <t>1.長期成長ビジョン
ハクログループの目指す姿：強みである特殊鋼多種豊富な
ハクログループのシナジーを発揮し、多様なニーズに、いっそう</t>
  </si>
  <si>
    <t>長期成長ビジョン（目指す姿・ビジネスモデル）
「IRON（鉄鋼）SOLUTION 」
• 安全・快適な社会を支え、産業界に欠かせない鉄鋼を供給する企業と
して、ハクログループは「新たなる信頼への挑戦」をテーマに掲げています。
• 多様なお客様のご要望に対して、「ハクログループ3社のシナジーを発揮し、
より付加価値の高いサービスを提供する」、それを可能にするのがハクロの
「IRON鉄鋼 SOLUTION X」です。
• ビジネスに進化をもたらし、ものづくりを深化させ、お客様とより強固な
信頼関係を構築していきたいと考えています。
• グローバル化が加速する中、私たちは世界のお客様に選ばれるグループ
企業でなければならないと考えています。
• ハクログループの強みである対応のきめ細やかさや迅速な供給体制を維
持しながら、国際競争力を高めるべく、さらなる努力を続けます。
そして、メイドインジャパンの最高品質で、信頼性の高い製品を供給し、
安心できる社会と豊かな未来の創造に貢献すべく、研鑽を重ねてまいり
ます。</t>
  </si>
  <si>
    <t>白鷺特殊鋼㈱兵庫の売上成長目標（～2030年）
• 売上高成長率192％
• 売上高増加額70億円
白鷺特殊鋼㈱兵庫の1人あたり年平均賃上げ目標
• 5.76%（直近事業年度～基準年度 年平均）
• 6.7%（基準年度～事業化報告3年目 年平均）</t>
  </si>
  <si>
    <t>ハクロスチール㈱の売上成長目標（～2030年）
• 売上高成長率166％
• 売上高増加額10.3億円
ハクロスチール㈱の1人あたり年平均賃上げ目標
• 4.5%（直近事業年度～基準年度 年平均）
• 6.7%（基準年度～事業化報告3年目 年平均）</t>
  </si>
  <si>
    <t>2社合計の1人あたり年平均賃上げ目標</t>
  </si>
  <si>
    <t>2社合計の1人あたり年平均賃上げ目標
• 5.1%（直近事業年度～基準年度 年平均）
• 6.7%（基準年度～事業化報告3年目 年平均）</t>
  </si>
  <si>
    <t>180.0 165</t>
  </si>
  <si>
    <t>180.0 165
154
160.0
137
140.0
118.6
111.4
120.0
100.0
80.0
60.0
40.0
20.0
0.0
20年7月期 21年7月期 22年7月期 23年7月期 24年7月期</t>
  </si>
  <si>
    <t>KOSEI GYXUS</t>
  </si>
  <si>
    <t>KOSEI GYXUS
単位:百万円 GYXUS 光州産業 グラデュオ 沖潮開発 合計
GYXUS 関東</t>
  </si>
  <si>
    <t>会社全体の賃上げ目標
期間 巴工業 巴マシナリー
直近事業年度～基準年度 CAGR2.9% CAGR2.9%
基準年度～事業化報告3年目 CAGR5.0% CAGR5.0%</t>
  </si>
  <si>
    <t>当社及び共同申請者の概要</t>
  </si>
  <si>
    <t>当社及び共同申請者の概要
当社は、遠心分離機を中心とした機械の製造販売事業と化学品の卸売事業を展開している。遠心分離機とは、回転による遠心力を利用して、液体や固体の混合物を効率的に
分離する装置であり、化学工業、食品、医薬品、水処理など幅広い用途で使用されている。当社は大型遠心分離機メーカーとして70年を超える老舗であり、国内トップシェア、世
界シェアでも５位以内に入る。また、共同申請者の巴マシナリー（当社の100%子会社）は遠心分離機におけるスクリュウコンベアなどの主要部品製造を担う中核企業である。</t>
  </si>
  <si>
    <t>新工場建設(完成イメージ)</t>
  </si>
  <si>
    <t>新工場建設(完成イメージ)
レーザー金属積層造型機 実機テスト等の
等の自動化設備導入 高度化・対応強化</t>
  </si>
  <si>
    <t>設備投資の内容
① 神奈川県綾瀬市に、新たな主力工場を新設し、複数拠点を統合
② 新工場では、生産スペース拡大と共に、最先端のレーザー金属積層
など、生産能力拡大及び生産の自動化・24時間化を図る。
③ 新工場には防爆構造の新実機テスト棟を併設し、実機テスト対応
課題解決による労働生産性の向上
① 生産・物流機能の一体化により、リードタイム短縮とコスト最適化を
② 海外市場向けを中心とした大型機の生産能力の大幅な拡充による
③ 自動化・省力化による労働生産性の向上と、収益性の高い製品群
2027年10月期（基準年度）
巴工業
項目
補助事業
神奈川 東京 大阪 福岡 宮城 北海道
全体
労働生産性
1,260 - - - - - -
（単位：万円/人）</t>
  </si>
  <si>
    <t>※1 巴マシナリーは神奈川県にのみ拠点を有している。</t>
  </si>
  <si>
    <t>※1 巴マシナリーは神奈川県にのみ拠点を有している。
※2 巴マシナリーの役員（1名）は、巴工業の従業員であり巴工業から給与を支給している。そのため、本計画では巴工業側の給与支給額及び従業員数に含めて算出している。</t>
  </si>
  <si>
    <t>長期成長ビジョン（目指す姿・ビジネスモデル）

ビジョン：
 伝統と革新で新たな菓子文化を創造し、世界に感動を
届ける

ビジネスモデル
 国内における知名度・老舗のブランドを活かした新製品の開発
により、主に外国人を対象とした販売を強化。国内外において
以下の施策にてビジネスを展開する
-
【国内】設備投資等による生産性の向上により、既存製品
の利益率を改善。得られた資源を外国人向け新製品の企
画開発や販売チャネルの拡大に充て、外国人への販売を
強化することで、国内での販売額を増加する
-
【海外】大手小売店が有する海外店舗への販売を初期的
な足がかりとし、海外市場でのマーケティングを強化。海外で
の現地販売増を図るとともに、得られた顧客ニーズを開発
部門にフィードバックし、越境ECや国内販売とのシナジー
も見込む</t>
  </si>
  <si>
    <t>し、長期ビジョンの実現を目指す
が大きい点や、古くからの増築による
などの課題が生じている 事業費 63億円
数の削減を通して生産性の向上を （補助額） （18億円）
現のための体制を実現するもの
完成イメージ
削減が可能に
の削減や</t>
  </si>
  <si>
    <t>
設備投資の内容
 工場の建て替えと新設備の導入

設備投資による効果
【省力化・生産効率向上】
 動線の改善によって、一人あたりの担当可能範囲が拡大し、工
 一部工程を自動化することで、工数削減が可能に
 新設備の導入によって、一部商品の焼き方を変更することで、
抜きズレの防止が可能となり、食品ロスを削減できる
 2シフト制の導入が可能となり、増産に向けた製造キャパシティ
【新製品開発に向けた体制の構築】
 上記の省力化・生産効率の上昇によって、職人が新商品開発
 これにより、製造・開発・営業部門が一体となり、
消費者ニーズと製造プロセスの両面を見据えた開発が可能とな
【雇用の促進と労働環境の改善】
 従業員の給与を上げ、2シフト制にすることで、さらなる雇用を
 老朽化した既存工場に比べて、従業員の安全性や労働環境</t>
  </si>
  <si>
    <t>0.会社概要
当社は、埼玉県内に３工場を有し、食品等のパッケージ加
製袋の専門会社として、国内最大級のシェアを有し、ISO9</t>
  </si>
  <si>
    <t>＜会社概要＞ ＜
会社名 株式会社トッカコーポレーション 西
製
代表者 代表取締役 髙田 豊
三
製
住所 埼玉県草加市稲荷一丁目5番28号
設立 1995年2月20日
ト
工
① 各種ラミネートフィルム製袋加工
三
② グラビア印刷
製
③ カクジッパー
取扱
：日本国特許第2844442号取得</t>
  </si>
  <si>
    <t>0.会社概要
当社は製袋事業を主力として、グラビア印刷や充填包装事
受注が大半。近年は製袋を内製している印刷会社が外注
＜包装事業のサプライチェーンと当社の役割＞
フィルム製造から充填包装を経て消費者に届く過程で、当社はグ
サプライチェーンの中で、グラビア印刷、ラミネート加工、製袋をまと
して対応している。近年では外注に切り替える動きがあり当社に
包装事</t>
  </si>
  <si>
    <t>5人チームのスキル分布</t>
  </si>
  <si>
    <t>5人チームのスキル分布
〜中堅社員を１としたときのメンバーの生産性〜
1.25 新人、2年生の生産性を
3年生レベルまで高める
1
0.75
0.5
0.25
0
新人 2年生 3年生 中堅 リーダー
現在 補助事業実施から3年後</t>
  </si>
  <si>
    <t>◼ ビジョン
75年超の実績で磨いた業界トップクラスの免制震技術を核に、分析・提案
→設計・解析→製造・施工→点検・メンテまでワンストップで担う。単品デバ
イス供給にとどまらず、顧客の耐震課題を丸ごと解決するフルスタックのトータ
ルソリューション事業へ転換する
◼ 変革内容
１．製造拠点の新設による製造プロセス変革と建築支承市場参入
生産能力２倍となる新設拠点建築、塗装自動化設備や塗装ロボットを
導入。併せて、在庫、入出庫管理をタグでデジタル管理。検査も遠隔臨場
に対応。生産・在庫管理・検査体制、ロボットや自動化により、工場全体の
製造プロセスを変革
２．AI画像認識システム開発による点検自動化
開発したAIにより、橋梁状況を写真画像で損傷度合いを評価する。単な
る静的写真からではなく、複数枚の画像から動きを捉え、詳細診断を実施
する、業界初の革新的な画像認識システムである
点検自動化により、膨大な点検量をこなすことができ、その後のメンテ受注
の獲得や当社製品の提案数増加により売上寄与。その他将来的には、AI
システムの供与サービスを提供
３．上記により免制震デバイスのトータルソリューション事業へ
当社主力で成長する補修領域において、川上である「点検」を膨大に対
応する事により、川下のソリューションの提案・提供が可能となる。また、生産
能力として、工期を踏まえたキャパや、工場の非効率化が当社の弱みとなっ
ているため、新設による製造プロセスの変革により、生産能力を２倍・リード
タイム1.4倍へ
売上成長目標(2030年度全社（基準年比）)</t>
  </si>
  <si>
    <t>売上成長目標(2030年度全社（基準年比）)
• 売上高成長率173％(cagr20%)
• 売上高増加額95億円
会社全体の賃上げ目標
• 0.69%（直近事業年度～基準年度）
•
5.5%（基準年度～事業化報告3年目）</t>
  </si>
  <si>
    <t>当社の社会的インパクト</t>
  </si>
  <si>
    <t>当社の社会的インパクト
- 1年間に創業する15万社のうち、サイト開設する法人数7.5万社。その35％以上にあたる2.毎年7万社以上が当社サービスを新たに選択
- 現在、会社サイトやメールアドレス運用を中心に日本の「町のクラウド」として、22万社以上の中小企業のデジタル化を支えている
- 情報人材に制約のある中小企業のIT・デジタル・AI活用を「初心者でも使える」から「本格的な活用」まで、切れ目なくサポートする
- 当社が、生成AI・デジタル化を支援するクラウドインフラ・クラウドサービスを整備・提供することは、中小のデジタル・AI活用による競争力と生き残りに直結
- 個人を含む利用数は約50万件、250万サイト以上を運用。競合より数倍高い客単価にも拘らず国内シェアは28.2％で国内1位。シェアは年々拡大傾向にある
- 当社インフラ上で運用されるドメイン数は約100万件であり、国内1位・世界27位の位置にある
- 海外クラウド事業者への依存を減らすことは、サービスの安定供給、きめ細かいサービスとともに経済安全保障にも貢献する国産クラウドの使命
当社の技術的強み
- 機器調達、インフラ設計・構築・運用、アプリケーション開発、一気通貫で可能な自社開発・運用能力
- 20年以上、250万サイト以上を大きな障害・インシデントを起こすことなく運用してきた自社データセンターと、独自開発の運用管理ツール群
社会的意義
- 中小企業のIT・デジタル・AI活用促進による生産性向上と賃金上昇への貢献
- 地方創生：地域の中小企業のデジタル化（生き残り策＋成長の“飛び道具”）を支える「町のクラウド」としての役割
- 経済安全保障：国産クラウド基盤の確立による海外依存度の低減
- デジタル人材育成：日本のIT・デジタル・AIリテラシー向上のための学習・開発環境の提供
- 特に生成AIはインターネット革命に匹敵すると考えられ、中小企業におけるAI活用は、日本社会・経済にとって不可欠かつ急務</t>
  </si>
  <si>
    <t>▼外部調査・統計データ</t>
  </si>
  <si>
    <t>▼外部調査・統計データ
- 国内Webサイトの4分の1がエックスサーバーを利用、W3Techs調査で国内トップシェア率28.2％を獲得 https://w3techs.com/technologies/segmentation/sl-jp-/web_hosting
- 国内法人数は、総務省統計局の実施した調査(令和3年6月1日実施、令和5年6月27日公表)によると「207万社」であり、近年は横ばい傾向
- 新設法人数は、帝国データバンクの実施した調査(2023年調査、2024年5月28日公表)によると「約15万社」であり、2010年代後半から増加傾向（平均すると14万件程度）
- 小規模法人(20名以下)のサイト開設率は、中小企業庁の調査（2013年版白書）によると「約46％」であり、中規模・大手企業と大きな乖離あり
※小規模企業が全体の85％であり、全法人のうち50％程度のHP開設率だと考えられる
※総務省の調査(令和5年通信利用動向調査報告書(希望編))によるとHP開設率は93％(100名以上の法人が対象)
- bgp.toolsによる公開情報、Japan Network Rankings/Global Network RankingsのHost Rankより、当社は国内1位、世界27位</t>
  </si>
  <si>
    <t>千代田空調機器 株式会社</t>
  </si>
  <si>
    <t>千代田空調機器 株式会社
1939年4月創業
【本社】
りんくう
（本社登記：大阪府堺市中区東山461番地）
【事業内容】
空調・冷凍機の機能部品の設計・製造・販売
【製品】
独自の接合・封止技術を活用
3つの製品：圧力容器・配管アッセンブリ・バルブ
【製造拠点】
国内 …りんくう工場、堺工場、愛東工場（滋賀県）
海外 …大連、蘇州、アユタヤ</t>
  </si>
  <si>
    <t>【当社製品紹介】</t>
  </si>
  <si>
    <t>【当社製品紹介】
配管加工品 バルブ 圧力容器
接合・封止技術を
活用して一体製品へ
冷媒配管ASSY</t>
  </si>
  <si>
    <t>震災対策等に対するBCP対策</t>
  </si>
  <si>
    <t>・ 設備投資の内容
高崎工業団地内に土地を確保し、自動倉庫機能と保税
凍倉庫を建設します。
・冷凍食品業界及び食品物流業界が直面する省エネや
改善した職場環境の構築が課題です。これを今回の投資
の強みである冷凍食品業界での先導性と専門性を保有
活用により、補助事業を実行し、上記課題を解決します</t>
  </si>
  <si>
    <t>客先からの強い需要及び伸張する市場に対応するために、分散する拠点を１か所へ集約し設備増強を行う</t>
  </si>
  <si>
    <t>「生産性・生産能力向上」「安全性向上」させ、労働環境改善および継続的な賃金向上を達成する</t>
  </si>
  <si>
    <t>• 設備投資の内容
弊社含むグループ拠点として、津山市草加部工業団地
内に新拠点を取得し、点在している弊社事業所を集約
、同時に新たな事業展開を視野に設備投資を実施する。
工場集約に伴い、既存顧客からの増産要請、新規取込
みに対するライン増強と省力化に資する投資を実施する。
※新拠点取得費および改修費は本補助金対象外
内容 詳細/投資効果
板金・機械加工・溶接・精密検査・自動
設備導入
→安全性向上、省力化、加工能力向上
生産管理システム、サイバーセキュリティ対</t>
  </si>
  <si>
    <t>2028年度
項目
（基準年度）</t>
  </si>
  <si>
    <t>①SMTマウンターライン導入:1.8億円</t>
  </si>
  <si>
    <t>①SMTマウンターライン導入:1.8億円
 プリント基板の製造ライン（3ライン）を導入</t>
  </si>
  <si>
    <t>②屋内無人搬送車導入:0.4億円</t>
  </si>
  <si>
    <t>②屋内無人搬送車導入:0.4億円
 小型で300kgの荷物を運ぶ事のできる屋内無人搬送車（AMR）を導入し、2,500km分の搬送を自動化可能
 従来のAMRより狭い通路(80cm程度)を走行出来るため、製造工程の中まで部品を届ける事が可能
 松阪工場での導入実績が国土交通省の「物流・配送会社のための物流DX導入事例集」にてモデル事例として紹介</t>
  </si>
  <si>
    <t>③搬送物自動積替システム導入:0.2億円</t>
  </si>
  <si>
    <t>③搬送物自動積替システム導入:0.2億円
 AMRで搬送された部品や完成品を協働ロボットを使用して、自動積み下ろしを行う
 積み下ろしの為に人が移動する際に要した時間や自動搬送車の到着待ち時間等の時間を削減</t>
  </si>
  <si>
    <t>④X線検査装置（CT付）導入:0.2億円</t>
  </si>
  <si>
    <t>④X線検査装置（CT付）導入:0.2億円
 CT機能を搭載したX線検査装置を導入し、これまで確認出来なかった部品の検査を行うことで、高品質な生産を確保</t>
  </si>
  <si>
    <t>⑤生産管理システム（TPiCS）導入:0.1億円</t>
  </si>
  <si>
    <t>⑤生産管理システム（TPiCS）導入:0.1億円
 製造工程の平準化、部材所要量の確認を自動化し、生産効率を改善</t>
  </si>
  <si>
    <t>⑥AIによる判定装置導入:0.2億円</t>
  </si>
  <si>
    <t>⑥AIによる判定装置導入:0.2億円
 9名程度確保して実施していた製品の良否判定をAI技術を活用した判定装置を導入することで検査時間を短縮予定
 虚報率90%→15%まで削減可能</t>
  </si>
  <si>
    <t>幹事企業 参加企業</t>
  </si>
  <si>
    <t>幹事企業 参加企業
企画・製造・品質管理 保管 コンソーシアム</t>
  </si>
  <si>
    <t>新工場イメージ</t>
  </si>
  <si>
    <t>新工場イメージ
~つながる生産ライン、着脱レスの実現~
製
組立 塗装 板金
品
部品
組立 塗装 板金
電着 検査
部品 塗装
ピッキング
仕上
粉体
溶接
サブ 塗装①
組⽴
ロボット
粉体 溶接
塗装②
組⽴
ライン
仮組
溶剤
塗装
サブ組</t>
  </si>
  <si>
    <t>再編計画</t>
  </si>
  <si>
    <t>■再編計画
• 【補助事業】建設機械部品製造事業(溶接、塗装、組⽴工程)を本社工場に集約
• 第1工場は受託塗装事業専用工場とする
• 第3工場に部品販売事業に関する業務(輸出入、梱包)を集約する</t>
  </si>
  <si>
    <t>工場分散による問題点</t>
  </si>
  <si>
    <t>■工場分散による問題点
• 工場間物流によるロス発生(着脱回数増加、横持ち物流)
• フォークリフトによる工場間の運搬が中心であり、従業員の安全面でもリスクが⾼い
• 工場の搬入・搬出口を開放しておく必要があるため、空調機器が機能しづらい
• 仕掛品を屋外保管せざるを得ない状況が発生しており、現体制で品質を⾼めながら生産キャパシティを拡⼤することは困難</t>
  </si>
  <si>
    <t>＜特徴＞</t>
  </si>
  <si>
    <t>＜特徴＞
・機械化（生産・運搬・洗浄） ・無人運転（検査・包装工程）
・DX化（積極的なデジタル技術の導入）
① 生産設備の新規導入による生産能力の増強に加え、既存棟でボトル
ネックになっている倉庫能力を本設備投資で補填することにより、西本郷
工場全体の生産効率を最大限に活用することを目的とする。
② 設備の特徴として、製剤工程における『自動洗浄設備』、包装工程に
おける『自動供給設備』、『自動搬送設備』、入出庫管理における
『パレットチェンジャー』の導入を行い、徹底した効率化・省人化を目指す。</t>
  </si>
  <si>
    <t>2027年度 2030年度</t>
  </si>
  <si>
    <t>2027年度 2030年度
項⽬
（基準年度） （基準年度＋３年後）</t>
  </si>
  <si>
    <t>賃上げや新規雇用の促進による地域社会への貢献</t>
  </si>
  <si>
    <t>高付加価値事業を次代の柱へ成長させることによるビジネスモデル変革</t>
  </si>
  <si>
    <t>省力化技術を導入した生産体制推進の必要性</t>
  </si>
  <si>
    <t>＜選別における労働生産性向上のイメージ＞</t>
  </si>
  <si>
    <t>＜選別における労働生産性向上のイメージ＞
手作業による選別
光学選別（赤外線センサー）
（手選別）</t>
  </si>
  <si>
    <t>的・内発的動機を踏まえ、自動車業界の電動化に対
23億円もの大型設備投資を通じて、BEV向け部
築する。
高品質且つ安大型プレス等による新たな一体成型
し、電動車部品の製造コストの削減や衝突安全性能
も貢献していく。
、衝突安全性や部品の軽量化が特に求められている。
ホットスタンプ技術や製品開発力を活かして、BEV向
進していく。
供給体制の構築を通じて、自動車部品サプライヤー
すともに、持続的な成長を実現していく。
て、地元である群馬県を中心に地域経済の活性化や
図っていく。</t>
  </si>
  <si>
    <t>内発的動機
① 企業価値の最大化・持続的な成長
持続的な成長や企業価値を高めるためには、成長が見込まれる分
野へ参入していく必要がある
→成長が見込まれるBEV向けの取組みを強化していく必要性
② BEV専用ラインの構築
ガソリン車とBEVでは、安全性能や堅牢性等の製品に求められる
要素が異なり、既存ラインでは対応できない
→BEV専用工場及び生産ラインを構築する必要性
③ 次世代を担う人材の採用・育成
当社強みである最先端技術開発、要素技術開発から量産化の体
制を維持・発展するためには、優秀な人材の採用・育成が必要で
ある
→次世代を担う人材の採用・育成、雇用の維持の必要性</t>
  </si>
  <si>
    <t>長期成長ビジョン（目指す姿・ビジネスモデル）
• 当社は、右に示すような外発的及び内発的動機から、長期成長ビ
ジョンとして、構造物の解体、建築工事、産業廃棄物収集運搬の
諸活動よる3R（リデュース・リサイクル・リユース）の徹底といった従
来の取組に加え、再生砂の生産を通じて持続可能な開発目標
（SDGs）の達成に貢献することを掲げています。
• また、ゼロエミッションへの挑戦として、あらゆる廃棄物を原材料として
有効活用し、ゴミを根本から無くす活動を私たちは関西最大級の
新型リサイクルプラントをもって挑戦し続けています。再生砂の原料
が豊富に入手できることを強みとし、この取組を加速します。
• 再生した砂はセメント原料として社会のインフラ整備に貢献し、他の
再生した廃棄物は製紙原料、火力発電用燃料などとなり常に皆
様の周りをめぐると共に、土壌汚染の防止にも一躍を担います。
• さらに、上記ビジョン達成のために、イノベーションの創出も実現して
いくことも長期ビジョンの一つとして掲げています。環境負荷軽減に
対して新しいアイデアが出てきたときには、すぐにその試作や実験に
取り掛かるような組織風土を実現していきます。</t>
  </si>
  <si>
    <t>外発的動機
• 近年、産油国や途上国でのインフラ新設、日本でもインフラの保守
や再開発があり、世界的なコンクリート需要が高まっています。
• 細かい砂漠の砂はコンクリートに適さず、海水を含む海砂は塩抜き
の工程が複雑なため、川砂がコンクリートに適しています。
• 一方、川床低下を招く川砂の採取は、日本では規制されています。
• コンクリート需要の高まりで各国が砂の輸入を求めて世界的な争奪
戦に発展し、深刻な「砂不足」が社会問題になっています。
• こうした事情と循環型社会の実現に向けた取組推進の観点から、
建設現場の廃材から生成する再生砂が注目されています。
• 上のような社会情勢や顧客のニーズから、左の長期成長ビジョンを
作成するにいたりました。</t>
  </si>
  <si>
    <t>及び内発的動機から、長期成長ビ
築工事、産業廃棄物収集運搬の
クル・リユース）の徹底といった従
を通じて持続可能な開発目標
を掲げています。
て、あらゆる廃棄物を原材料として
す活動を私たちは関西最大級の
戦し続けています。再生砂の原料
し、この取組を加速します。
社会のインフラ整備に貢献し、他の
力発電用燃料などとなり常に皆
染の防止にも一躍を担います。
、イノベーションの創出も実現して</t>
  </si>
  <si>
    <t>目されています。
左の長期成長ビジョンを</t>
  </si>
  <si>
    <t>内発的動機
• 私は、地球環境の保全と持続可能な社会の発展のために、責任あ
る事業活動を展開していきたいと考え、当社を設立しました。
• 上の外発的動機も併せて、産業廃棄物処理業は、近年ますます
その重要性を増していると私は考えています。
• そこで弊社では循環型社会に対応すべく、産業廃棄物中間処理
からリサイクル商品の販売まで一貫した３Ｒ活動を推進しています。
• ところが現状の設備では再生砂の洗浄工程の処理能力が足りず、
本来再生砂として販売、循環すべき資源の一部を高い費用を支
払って最終処分場へ送らざるを得ず、収益を圧迫するという重大な
問題が発生しており、左の長期ビジョンを作成するにいたりました。</t>
  </si>
  <si>
    <t>事業活動を展開していきたいと考え、当社を設立しました。
上の外発的動機も併せて、産業廃棄物処理業は、近年ますます
の重要性を増していると私は考えています。
こで弊社では循環型社会に対応すべく、産業廃棄物中間処理
らリサイクル商品の販売まで一貫した３Ｒ活動を推進しています。
ころが現状の設備では再生砂の洗浄工程の処理能力が足りず、
本来再生砂として販売、循環すべき資源の一部を高い費用を支
払って最終処分場へ送らざるを得ず、収益を圧迫するという重大な</t>
  </si>
  <si>
    <t>らざるを得ず、収益を圧迫するという重大な
左の長期ビジョンを作成するにいたりました。</t>
  </si>
  <si>
    <t>本補助事業</t>
  </si>
  <si>
    <t>本補助事業
①新工場建設 ②従来の生産方法を抜本的に⾒直す
生産能⼒の拡大・労働生産性の向上により、持続的な賃上げを実現
サプライチェーン全体での付加価値向上に取り組む</t>
  </si>
  <si>
    <t>・ハーバースタジオ43(本社・工場):兵庫県西宮市久保町5-16 ・横浜リバーサイドスタジオ(工場):横浜市港北区北新横浜2-1-1
・銀座オフィス(事務所):東京都中央区銀座2-8-20 ・シュゼット・インターナショナル:111 Somerset Road, #03-09, Singapore</t>
  </si>
  <si>
    <t>主要顧客の発注増と新規商談の進展により供給力強化が急務である。現行倉庫は能力</t>
  </si>
  <si>
    <t>主要顧客の発注増と新規商談の進展により供給力強化が急務である。現行倉庫は能力
不⾜でコストも増大している。物流効率化と専門人材による提案力・組織力向上を一体で
推進し、補助事業では、その中核となる新倉庫を建設する。</t>
  </si>
  <si>
    <t>• 直販施設(CosmoSpark(KOUBAIBU)) を通じた地域と世界の
食産業との架け橋の構築を行います。</t>
  </si>
  <si>
    <t>私たちは、「宇宙と自然の恵み・力・循環」を活かし、世界の食</t>
  </si>
  <si>
    <t>私たちは、「宇宙と自然の恵み・力・循環」を活かし、世界の食
の未来になくてはならない存在になるべく、これらの技術と理念
を実現していきます。</t>
  </si>
  <si>
    <t>取引先ニーズに応え得る増産体制の整備</t>
  </si>
  <si>
    <t>取引先ニーズに応え得る増産体制の整備
Vision
１ • 主要取引先の大手お菓子メーカーを中心とした受注で手一杯と
なっており、増産体制の整備が喫緊の課題
• 取引先のニーズに応え得る万全な生産体制を整えるとともに、
新規取引先の開拓を強化し、更なる成長を目指す</t>
  </si>
  <si>
    <t>絶え間ない商品開発力の追求</t>
  </si>
  <si>
    <t>絶え間ない商品開発力の追求
Vision
• 主要取引先との食品パッケージの共同開発の経験から、薄さや
2
耐久性に対する技術・ノウハウを保有
• 更なる環境負荷低減に向け、薄さの追求とリサイクル可能なモ
ノマテリアル軟包材の研究開発を進め、市場競争力を高める</t>
  </si>
  <si>
    <t>地域雇用のモデル企業としての進化</t>
  </si>
  <si>
    <t>地域雇用のモデル企業としての進化
Vision
• 当社の従業員は全て正社員での雇用
3
• 最新鋭の設備導入により省人化・省力化を進め、休日の増加や
労働時間の短縮と従業員の賃上げ実施を計画
• 今後も「職場環境の魅力化」につなげ、「従業員が誇りをもって
働ける職場」を作っていく</t>
  </si>
  <si>
    <t>・ 大手依存から脱却すべく、成長市場への販売強化および海外展開を推進し、独自の価値創造を目指す。
・ 価格ではなく品質・対応力で選ばれるポジションを確立し、安定的な収益構造を構築する。
・ 現場・営業・経営の連携を強化し、環境変化に適応しながら持続的な成長を実現する。</t>
  </si>
  <si>
    <t>・溶断機・切断機の要となるノズル火口の生産拡大へ対応。工程集約技術を活用し、クリーンで効率的な溶断
機・切断機部品の生産設備への大規模な投資を行う。</t>
  </si>
  <si>
    <t>土気新工場 機械設備 ノズル・火口拡大</t>
  </si>
  <si>
    <t>長期成長ビジョン（目指す姿・ビジネスモデル）
当社は、地域農業と連携した高効率・高品質な製造体制の構築
を通じて、健康志向や簡便志向など多様化する消費者ニーズに応え
る商品を安定的に供給してきた。
今後は、ICTや自動化の導入、地域資源の活用、独自技術による
高付加価値化をさらに推進し、持続可能なビジネスモデルのもと、業
界のロールモデルとなることを目指す。
【重点方針】
• 非加熱カップ詰め漬物のパイオニアとして、全国へ高品質商品を安
定供給
• ICT・自動化導入による省人化・多品種少量生産の体制を確立
• 地域農業と連携した原料調達力と、地域資源活用による独自商
品開発力
• ISO22000取得・独自技術による高付加価値商品の差別化
• 農業の担い手育成・フードロス削減等、社会課題の解決と事業収
益性の両立</t>
  </si>
  <si>
    <t>共生」を両立できる経営の可能
なぐ長期ビジョンとして描いている。</t>
  </si>
  <si>
    <t>2,953,970千円
■設備投資の内容
本事業では、既存工場の老朽化や非効率な生産体制を抜本的
えた新工場を建設し、生産能力の大幅な向上と工程全体の最適
荷の各工程における自動化を徹底し、省人化と高効率化を同時に
ど少量多品種への柔軟な対応が可能な設備構成とすることで、短
応える体制を確立する。これにより、限られた人員でも生産量・納品
産性と安定供給体制の一層の強化が期待できる。さらに、契約農
生産キャパシティを確保し、持続的成長の基盤を構築する。
項目 基
労働生産性
（単位：千円/人）
従業員1人あたり給与支給総額
（単位：千円/人）</t>
  </si>
  <si>
    <t>外発的動機 （詳細はスライド8参照）
○成長のために捉えていく事業機会
• 食品加工業者である当社・地域菓子製造業者にとっての経済産業
省「グリーン成長戦略」、農林水産省「みどりの食料システム戦
略」でのサプライチェーン各段階での食品産業支援の充実化。
• 国内市場での多品種小ロット化進行での問題解決に繋がる農林水
産物・食品の輸出額拡大、2024年、過去最高1兆5,073億円記録等、
日本製食品への高い信頼性を背景とした世界的需要の高まり。
• 成長に不可欠となる人材確保における年収の壁段階的撤廃気運の
高まりでの働きたい女性増加を受けた当社の拠点でる池田町にお
ける雇用促進活動の活発化。
○成長のために回避していく脅威
• 当社の収益性・生産性低下の要因となる国内人口減少での国内菓
子市場縮小、一般消費者のトレンド、製品ライフサイクル短縮化。
• 地方菓子製造業者での製品ライフサイクル短縮化への対応のため
の設備投資負担拡大、後継者不足による事業縮小、撤退の加速化。
内発的動機 （詳細はスライド10参照）</t>
  </si>
  <si>
    <t>【設備投資の内容】 ①ムダ排除・管理能力強化のための5工場を集
②国内外流通網拡大と収益性・生産性向上の
20
項目
（基
労働生産性
6,02
（単位：円/人）
従業員1人あたり給与支給総額
3,74
（単位：円/人）
役員１人あたり給与支給総額
（単位：円/人）
補助事業に係る従業員数
（単位：人）</t>
  </si>
  <si>
    <t>◼ 設備投資の内容
工場建設費 41億円：長野県駒ヶ根市に工場を建設
機械設備費 23億円：大型の化粧品バルク釜、原料投入機械
◼ 期待効果
生産量増加
⚫
- 大型の化粧品バルク釜を設置し、 新たに約27,000L分
にする
労働生産性の向上
⚫
- 原料投入機械、自動倉庫、自動搬送ロボットの導入に
数から1/3に削減可能
⇒ 将来の労働人口の減少対策として省力化を実現。
労働負荷軽減により、快適な作業環境を構築することで
海外市場への販売強化
⚫
- R&amp;D施設を設置し、アジア市場にむけた製品の処方開</t>
  </si>
  <si>
    <t>人材不足とサプライチェーンのレジリエンス 社会課題</t>
  </si>
  <si>
    <t>人材不足とサプライチェーンのレジリエンス 社会課題
・業界横断的な人材不足の加速による、省人化・省力化
ニーズが高まりや、取引先の製品の多岐化に伴うサプライ
チェーンの複雑化から、作業工程を減らすため、超精密かつ
高精度な部品製造が求められている
技術革新スピードへの対応
顧客ニーズ
・当社の主要取引先の属する半導体業界では、ドッグイヤー
の技術革新が加速し、製品ニーズも多岐化・高精度化して
おり、従来以上にスピーディで高い品質の製品需要が高まっ
ている</t>
  </si>
  <si>
    <t>経営者の</t>
  </si>
  <si>
    <t>経営者の
時代のニーズが当社の転機
原体験と動機
・1977年に個人創業し、金属部品製造を行うなかで、
大きな転機となったのは、高度経済成長期の家電の普及
・当時、どのメーカーも引く手あまたで、高額でも売れる状況
下、「家庭用ビデオデッキ」製造装置の部品を高品質でどこ
よりも安く提供したことで、取引先から高い信頼を獲得
・以降、様々な分野・時代で求められる製品を製造すること
で成長してきた経験を基に、顧客が求めるものを高品質で
提供し続けることに存在意義を感じており、今後も唯一無
二を歩み続け、顧客・地域とともに発展していきたい</t>
  </si>
  <si>
    <t>管理人材、経営管理人材の確保での強固な経営体制の整備。
【設備投資の内容】
①医療用皮膚炎向け軟膏・クリーム製造専用大型工場の取得
 盤石な「封じ込め性能」を有する最新クリーンルームの整備・工場内
②医療用皮膚炎向け軟膏・クリーム製造ラインの追加設置
 主力重要受注先2社からの増産要請と高付加価値製品製造能力強化、
20
項目
（基
労働生産性
5,24
（単位：円/人）
従業員1人あたり給与支給総額
3,99
（単位：円/人）
役員１人あたり給与支給総額
（単位：円/人）
補助事業に係る従業員数
（単位：人）</t>
  </si>
  <si>
    <t>当社売上増加目標 直近期 計画3年目 増減額 伸率</t>
  </si>
  <si>
    <t>当社売上増加目標 直近期 計画3年目 増減額 伸率
単位：億円 2025/2期 2031/2期 CAGR</t>
  </si>
  <si>
    <t>客室棟(木造１~２階建、48～196㎡) 47棟 22億円、フロントラウンジ棟</t>
  </si>
  <si>
    <t>客室棟(木造１~２階建、48～196㎡) 47棟 22億円、フロントラウンジ棟
（木造２階建（一部RC造）約1,200㎡)１棟 11億円</t>
  </si>
  <si>
    <t>電気、ガス、給排水、建付家具、照明、空調、調理台、昇降機、ポンプ、キュー</t>
  </si>
  <si>
    <t>電気、ガス、給排水、建付家具、照明、空調、調理台、昇降機、ポンプ、キュー
ビクル、防犯・入退室管理装置、ネット回線設備等の建物付属設備</t>
  </si>
  <si>
    <t>項目（単位：千円,人） 2028/2期 2031/2期</t>
  </si>
  <si>
    <t>項目（単位：千円,人） 2028/2期 2031/2期
基準年度 報告3年目</t>
  </si>
  <si>
    <t>労働生産性 11,947 22,602 23.7%</t>
  </si>
  <si>
    <t>労働生産性 11,947 22,602 23.7%
従業員1人あたり給与支給総額 5,067 6,223 7.1%
役員１人あたり給与支給総額 - - 51.1%
補助事業に係る従業員数(※） 27 57 28.2%</t>
  </si>
  <si>
    <t>(cid:18118)(cid:3067)(cid:7447)(cid:9006)(cid:5845)(cid:18119)
1) (cid:7052)(cid:7055)(cid:18238)(cid:18297)(cid:18314)(cid:18277)(cid:18174)(cid:3067)(cid:7447)(cid:9006)(cid:5845)(cid:18175) (cid:18116)(cid:18170)(cid:18132)(cid:18194)(cid:18174)(cid:18210)(cid:18164)(cid:18143)(cid:18203)(cid:18117) :
(cid:18313) (cid:18281)(cid:18260)(cid:18297)(cid:7447)(cid:9210)(cid:18171)(cid:18104)(cid:6786)(cid:18151)(cid:18132)(cid:18273)(cid:18246)(cid:18267)(cid:18247)(cid:18288)(cid:18261)(cid:18297)(cid:18210)(cid:3696)(cid:18203)(cid:18105)(cid:18436)(cid:18457)(cid:18281)(cid:18260)(cid:18297)(cid:2902)(cid:13597)(cid:2905)(cid:5816)(cid:18437)
(cid:18313) (cid:4000)(cid:2982)(cid:7447)(cid:18174)(cid:6210)(cid:3724)(cid:18139)(cid:18201)(cid:12836)(cid:2902)(cid:18146)(cid:8929)7.5(cid:18434)(cid:18210)(cid:5127)(cid:8999)(cid:18105)(cid:5777)(cid:7447)(cid:4136)(cid:18174)(cid:18230)(cid:18305)(cid:18240)(cid:18314)(cid:18246)(cid:18287)(cid:18305)(cid:18262)(cid:18210)(cid:4005)(cid:2902)(cid:18149)(cid:18155)(cid:18203)(cid:18105)
2) (cid:4485)(cid:6793)(cid:18184)(cid:18174)(cid:5262)(cid:14052)/(cid:6353)(cid:4785)(cid:18454)
(cid:18313)(cid:18281)(cid:18260)(cid:18297)(cid:2902)(cid:13597)(cid:2905)(cid:5816)(cid:18174)(cid:13344)(cid:4256)(cid:18210)(cid:18273)(cid:18246)(cid:18267)(cid:18247)(cid:18288)(cid:18261)(cid:18297)(cid:3820)(cid:18151)(cid:18166)(cid:18104)(cid:4485)(cid:6793)(cid:5262)(cid:14052)(cid:18153)(cid:18203)(cid:18105)
(cid:17147) (cid:4485)(cid:3478)(cid:18174)(cid:14240)(cid:9181)(cid:3201)(cid:13325)(cid:18313)(cid:10514)(cid:8173)(cid:8049)(cid:5878)(cid:3820)(cid:18171)(cid:12809)(cid:8873)(cid:18151)(cid:18166)(cid:18104)(cid:18114)(cid:4485)(cid:6793)(cid:3696)(cid:9173)(cid:18115)(cid:18174)(cid:6353)(cid:4785)(cid:18210)(cid:18194)(cid:18159)(cid:18201)(cid:18153)(cid:18105)
(cid:18118)(cid:9918)(cid:18159)(cid:18161)(cid:18104)(cid:7052)(cid:7055)(cid:18238)(cid:18297)(cid:18314)(cid:18277)(cid:18174)(cid:5705)(cid:18191)(cid:18119)
1) (cid:5107)(cid:5123)(cid:18151)(cid:18159)(cid:3952)(cid:9480)(cid:4598)(cid:9497)(cid:18454)
(cid:7052)(cid:7055)(cid:18238)(cid:18297)(cid:18314)(cid:18277)(cid:18175)(cid:18104)(cid:18114)(cid:12295)(cid:11499)(cid:18115)(cid:18114)(cid:18281)(cid:18260)(cid:18297)(cid:18115)(cid:18114)(cid:14676)(cid:13108)(cid:4633)(cid:10514)(cid:4256)(cid:18115)(cid:18170)(cid:18169)(cid:18174)(cid:4776)(cid:12421)(cid:9431)(cid:18170)(cid:2982)(cid:7447)(cid:5262)(cid:14052)(cid:18171)(cid:18200)(cid:18203)(cid:5107)(cid:5123)(cid:18151)(cid:18159)
(cid:3952)(cid:9480)(cid:18140)(cid:18130)(cid:18203)(cid:18105)
2) (cid:4485)(cid:4582)(cid:10514)(cid:8173)(cid:18184)(cid:18174)(cid:12809)(cid:8873)(cid:18454)
(cid:18313) (cid:10828)(cid:14655)(cid:9524)(cid:18104)(cid:5304)(cid:5283)(cid:9524)(cid:18167)(cid:18175)(cid:18238)(cid:18297)(cid:18314)(cid:18277)(cid:3506)(cid:3119)(cid:18167)(cid:8999)(cid:4478)1,500(cid:3015)(cid:18210)(cid:12920)(cid:18136)(cid:18203)(cid:14240)(cid:9181)(cid:5127)(cid:10684)(cid:18210)(cid:18194)(cid:18164)(cid:18105)
(cid:18313) 2024(cid:5562)(cid:18451)(cid:7030)(cid:14807)(cid:5358)(cid:5495)(cid:18171)100(cid:3432)(cid:3527)(cid:18210)(cid:6302)(cid:18152)(cid:12295)(cid:11499)(cid:5476)(cid:4633)(cid:18210)(cid:6786)(cid:12479)(cid:18105)350(cid:4001)(cid:18174)(cid:6786)(cid:12388)(cid:14240)(cid:9181)(cid:18210)(cid:5127)(cid:8999)(cid:18105)
(cid:18313) (cid:5207)(cid:7094)(cid:18104)(cid:14807)(cid:5358)(cid:5495)(cid:18171)(cid:6786)(cid:18151)(cid:18132)(cid:18281)(cid:18260)(cid:18297)/(cid:18301)(cid:18226)(cid:18264)(cid:18296)(cid:18314)/(cid:4785)(cid:4538)(cid:18224)(cid:18228)(cid:18262)(cid:18298)(cid:18257)(cid:18262)/(cid:4785)(cid:4538)(cid:14676)(cid:13108)(cid:4633)(cid:10172)(cid:18107)
(cid:18174)(cid:14052)(cid:7447)(cid:18210)(cid:2979)(cid:5123)(cid:18105)(cid:4485)(cid:4582)(cid:10514)(cid:8173)(cid:8049)(cid:5878)(cid:3820)(cid:18174)(cid:18159)(cid:18193)(cid:18171)(cid:18104)(cid:7014)(cid:18170)(cid:18203)(cid:12809)(cid:8873)(cid:18210)(cid:9504)(cid:6374)(cid:18153)(cid:18105)
3) (cid:18281)(cid:18260)(cid:18297)(cid:13344)(cid:4256)/(cid:10514)(cid:4256)(cid:18454)
(cid:18313) (cid:7102)(cid:3007)(cid:18104)(cid:10828)(cid:14655)(cid:18104)(cid:3007)(cid:13460)(cid:18171)(cid:12451)5(cid:18164)(cid:18174)(cid:18281)(cid:18260)(cid:18297)(cid:18210)(cid:3222)(cid:7031)(cid:18105)(cid:4444)(cid:3526)(cid:2893)(cid:11233)(cid:5128)(cid:18139)(cid:18201)(cid:18226)(cid:18305)(cid:18270)(cid:18228)(cid:18305)(cid:18263)(cid:18190)(cid:18167)(cid:5532)(cid:5576)
(cid:18132)(cid:14515)(cid:5128)(cid:18171)(cid:5200)(cid:5826)(cid:18153)(cid:18203)(cid:13344)(cid:4256)(cid:18168)(cid:10514)(cid:4256)(cid:18174)(cid:18268)(cid:18228)(cid:18269)(cid:18228)(cid:18210)(cid:18194)(cid:18164)(cid:18105)
((cid:6820)(cid:5073)(cid:18281)(cid:18260)(cid:18297)(cid:18175)(cid:3506)(cid:18166)80(cid:18522)90(cid:18434)(cid:18174)(cid:5561)(cid:4498)(cid:9996)(cid:3390)(cid:8929)(cid:18210)(cid:18187)(cid:18147)(cid:18203))</t>
  </si>
  <si>
    <t>(cid:18118)(cid:4773)(cid:9422)(cid:9431)(cid:3767)(cid:7605)(cid:18119)
(cid:18436)(cid:18445)(cid:18437)(cid:18277)(cid:18295)(cid:18226)(cid:18279)(cid:18314)(cid:18262)(cid:18170)(cid:10037)(cid:14059)(cid:18210)(cid:5106)(cid:18202)(cid:18170)(cid:18140)(cid:18201)(cid:9397)(cid:18151)(cid:18168)(cid:5107)(cid:18201)(cid:18142)(cid:18210)(cid:4000)(cid:6892)(cid:18171)(cid:3119)(cid:14722)(cid:18167)(cid:18141)(cid:18203)(cid:18281)(cid:18260)(cid:18297)(cid:18140)
(cid:7891)(cid:18193)(cid:18201)(cid:18204)(cid:18166)(cid:18132)(cid:18203)(cid:18105)(cid:18436)(cid:18295)(cid:18238)(cid:18246)(cid:18291)(cid:18224)(cid:18296)(cid:18314)(cid:18139)(cid:18201)(cid:18296)(cid:18295)(cid:18237)(cid:18250)(cid:18314)(cid:18245)(cid:18293)(cid:18305)(cid:18184)(cid:18437)
(cid:18436)(cid:18446)(cid:18437)(cid:18277)(cid:18295)(cid:18226)(cid:18279)(cid:18314)(cid:18262)(cid:18277)(cid:18314)(cid:18297)/(cid:18243)(cid:18228)(cid:18264)/(cid:5310)(cid:9497)(cid:8078)/(cid:14306)(cid:4787)(cid:14524)(cid:4037)/(cid:7880)(cid:14524)(cid:4037)/(cid:3526)(cid:14524)(cid:4037)(cid:18210)(cid:2893)(cid:18164)(cid:18174)
(cid:13450)(cid:5255)(cid:18171)(cid:3355)(cid:18136)(cid:18159)(cid:18281)(cid:18260)(cid:18297)(cid:18140)(cid:18170)(cid:18132)(cid:18105)(cid:18436)(cid:5808)(cid:13087)(cid:18174)(cid:18296)(cid:18275)(cid:18298)(cid:18257)(cid:18245)(cid:18291)(cid:18105)(cid:18116)(cid:6746)(cid:18132)(cid:18117)(cid:18174)(cid:3119)(cid:14722)(cid:18437)
(cid:18436)(cid:18447)(cid:18437)(cid:2902)(cid:13597)(cid:18174)(cid:7363)(cid:18168)(cid:2905)(cid:5816)(cid:7909)(cid:18171)(cid:4438)(cid:18190)(cid:18204)(cid:18104)(cid:7260)(cid:18196)(cid:11656)(cid:18170)(cid:18169)(cid:18174)(cid:4420)(cid:5080)(cid:6305)(cid:18107)(cid:18174)(cid:11180)(cid:8603)(cid:18174)(cid:14524)(cid:6930)(cid:18210)
(cid:8246)(cid:4250)(cid:18167)(cid:18141)(cid:18203)(cid:18105)(cid:18190)(cid:18159)(cid:18104)(cid:7102)(cid:3007)(cid:18247)(cid:18233)(cid:18226)(cid:18258)(cid:18296)(cid:18314)(cid:18194)(cid:2893)(cid:7043)(cid:18105)(cid:18436)(cid:7102)(cid:3007)(cid:18295)(cid:18305)(cid:18263)(cid:18284)(cid:18314)(cid:18237)(cid:18210)(cid:10037)(cid:2928)(cid:6739)(cid:7756)(cid:18437)
(cid:18436)(cid:18448)(cid:18437)(cid:3002)(cid:13307)(cid:18174)(cid:3644)(cid:3197)(cid:5878)(cid:18105)
(cid:18313)(cid:10037)(cid:8199)(cid:18139)(cid:18201)(cid:18174)(cid:18224)(cid:18237)(cid:18249)(cid:18247)(cid:18436)(cid:10842)(cid:9187)(cid:18104)(cid:6210)(cid:9187)(cid:18139)(cid:18201)(cid:10457)(cid:18448)0(cid:3624)(cid:18437)
(cid:18313)(cid:4444)(cid:3526)(cid:12411)(cid:3484)(cid:4485)(cid:18184)(cid:18174)(cid:9955)(cid:3767)
(cid:18313)MICE(cid:3085)(cid:4633)(cid:18184)(cid:18174)(cid:18224)(cid:18237)(cid:18249)(cid:18247)</t>
  </si>
  <si>
    <t>(cid:18118)(cid:3526)(cid:9422)(cid:9431)(cid:3767)(cid:7605)(cid:18119)
(cid:18436)(cid:18445)(cid:18437)(cid:6786)(cid:18151)(cid:18132)(cid:2982)(cid:7447)(cid:18184)(cid:18174)(cid:6382)(cid:6227)
(cid:3026)(cid:18190)(cid:18167)(cid:18171)(cid:18170)(cid:18132)(cid:18138)(cid:5128)(cid:7517)(cid:18171)(cid:4240)(cid:18176)(cid:18204)(cid:18203)(cid:4175)(cid:2893)(cid:8595)(cid:2983)(cid:18174)(cid:18281)(cid:18260)(cid:18297)(cid:18210)(cid:3696)(cid:18202)(cid:18159)(cid:18132)(cid:18105)
(cid:18436)(cid:18446)(cid:18437)(cid:18114)(cid:4485)(cid:6793)(cid:3696)(cid:9173)(cid:18174)(cid:6038)(cid:5823)(cid:18454) (cid:7055)(cid:9835)(cid:18210)(cid:14807)(cid:5358)(cid:5495)(cid:18171)(cid:9955)(cid:13119)(cid:18115)
(cid:18313)(cid:7052)(cid:7055)(cid:18238)(cid:18297)(cid:18314)(cid:18277)(cid:18174)(cid:10514)(cid:4256)(cid:4598)(cid:9497)(cid:18175)(cid:14807)(cid:5358)(cid:5495)(cid:18105)(cid:18436)(cid:18281)(cid:18260)(cid:18297)(cid:18104)(cid:12295)(cid:11499)(cid:5476)(cid:4633)(cid:18104)(cid:14676)(cid:13108)(cid:4633)(cid:3034)(cid:18437)
(cid:18313)2027(cid:5562)(cid:7054)(cid:18190)(cid:18167)(cid:18171)(cid:7052)(cid:7055)(cid:12295)(cid:11499)(cid:18175)(cid:7055)(cid:9835)(cid:18210)(cid:7102)(cid:3007)(cid:18139)(cid:18201)(cid:14807)(cid:5358)(cid:5495)(cid:18184)(cid:9955)(cid:13119)(cid:18151)(cid:18166)(cid:18104)(cid:10514)(cid:4256)(cid:18174)(cid:18247)(cid:18274)(cid:18314)(cid:18263)
(cid:18224)(cid:18257)(cid:18277)(cid:18210)(cid:4439)(cid:18203)(cid:18160)(cid:18145)(cid:18167)(cid:18170)(cid:18143)(cid:18104)(cid:4485)(cid:4582)(cid:10514)(cid:8173)(cid:18174)(cid:8049)(cid:5878)(cid:3820)(cid:18171)(cid:5156)(cid:2906)(cid:18151)(cid:18159)(cid:18132)(cid:18105)
(cid:18436)(cid:18447)(cid:18437)(cid:6795)(cid:12479)(cid:18174)(cid:5107)(cid:3506)(cid:5705)(cid:3820)(cid:18174)(cid:18159)(cid:18193)(cid:18171)
(cid:18313)(cid:8999)(cid:12188)(cid:18281)(cid:18260)(cid:18297)(cid:18175)(cid:5651)(cid:10255)(cid:5771)50(cid:5562)(cid:18140)(cid:10514)(cid:13347)(cid:18105)(cid:10895)(cid:14280)(cid:12487)(cid:6783)(cid:12586)(cid:7197)(cid:18174)(cid:10518)(cid:7133)(cid:18210)(cid:3959)(cid:18145)(cid:18166)(cid:12430)(cid:3119)(cid:18210)(cid:7924)(cid:5123)(cid:18105)
(cid:18313)(cid:12430)(cid:3119)(cid:5771)(cid:18174)(cid:4469)(cid:4485)(cid:3644)(cid:9181)(cid:18210)(cid:7400)(cid:12454)(cid:18151)(cid:18159)(cid:10518)(cid:7133)(cid:18104)(cid:4469)(cid:4485)(cid:18210)(cid:6244)(cid:7031)(cid:18153)(cid:18203)(cid:3644)(cid:8556)(cid:18210)(cid:9173)(cid:18139)(cid:18155)(cid:18176)(cid:10610)(cid:6302)(cid:12840)(cid:14496)
(cid:18194)(cid:6298)(cid:18136)(cid:18201)(cid:18204)(cid:18203)(cid:18159)(cid:18193)(cid:18104)(cid:18281)(cid:18260)(cid:18297)(cid:18174)(cid:6786)(cid:10255)(cid:18210)(cid:7924)(cid:6783)(cid:18105)</t>
  </si>
  <si>
    <t>(cid:4750)(cid:2902)(cid:6210)(cid:14039)(cid:9504)(cid:7558)(cid:18436)(cid:2085)2030(cid:5562)(cid:5592)(cid:18456)2031(cid:5562)4(cid:7030)(cid:7047)(cid:18458)(cid:18437)
• (cid:5562)(cid:5561)(cid:4498)(cid:6210)(cid:14039)(cid:8929)(cid:18436)(cid:5200)(cid:4598)(cid:8253)(cid:5562)(cid:5592)(cid:18437)(cid:18454)+1(cid:18451)(cid:18442)(cid:18450)(cid:18452)(cid:18434)/(cid:5562)
• (cid:4689)(cid:3725)(cid:14496)(cid:18436)(cid:5200)(cid:4598)(cid:8253)(cid:5562)(cid:5592)(cid:18437) (cid:18454)+1(cid:18445)(cid:18442)(cid:18447)(cid:18451)(cid:3432)(cid:3527)(cid:18456)+163(cid:18434)(cid:18458)
(cid:12836)(cid:2902)(cid:18146)(cid:9504)(cid:7558)(cid:18436)(cid:2085)2030(cid:5562)(cid:5592)(cid:18456)2031(cid:5562)4(cid:7030)(cid:7047)(cid:18458)(cid:18437)
• (cid:5562)(cid:5561)(cid:4498)(cid:5777)(cid:7447)(cid:4136)(cid:9504)(cid:7558)(cid:12836)(cid:2902)(cid:18146)(cid:8929) (cid:18454)+(cid:18451)(cid:18442)(cid:18449)(cid:18434)/(cid:5562)</t>
  </si>
  <si>
    <t>外発的動機
・女性の就労支援政策を背景に長時間保育や認定こども園の数が
増加
・高齢者の長期療養に対応する回復期・慢性期病床が増加
・高齢化を背景に高齢者介護施設の増加
・少子高齢化を背景に施設内での給食提供の労働力が不足してい
る
→地域の食のインフラを支える当社の役割が重要となる</t>
  </si>
  <si>
    <t>内発的動機
• メーカーは配送を外注していることも多く、2024年問題により入庫
スピードが遅くなっている。発注翌日には入庫していたが、現状では
翌々日となっているため卸先要望に応えるためには在庫を豊富に
抱える必要がある。
• 手作業依存の物流体制により作業効率が悪い。高い場所への積
上げ・下げ作業が発生し、また入庫・保管・出庫においてヒューマン
エラーが発生している。
• 先進的なデジタル化が遅れており戦略的な在庫管理ができておら
ず倉庫容量も限界を迎えている（在庫回転率の著しい増加）
• 倉庫内作業が従業員の負担となっている
（冷凍庫（‐25℃）、常温倉庫（夏は40℃以上）での作業負
担）
• 原状では加速的な成長が見込めず賃上げが横ばいとなる可能性
がある
• 岐阜市と「柳津市・ものづくり産業等集積地」立地協定締結</t>
  </si>
  <si>
    <t>外発的動機の詳細
・小学校・中学校・従来の幼稚園などは将来的に減少するが
女性就労の増加により保育園・認定こども園は増加
・回復期・慢性期病院及び高齢者介護施設の増加
→ヘルスケア・介護食品の台頭
・少子高齢化により労働力が不足し、卸先の調理の省力化が
今後、ますます必要になる</t>
  </si>
  <si>
    <t>内発的動機の詳細
■在庫回転率の増加 ・手作業依存
当社の在庫回転率は従来高値であるが2022年～2024年にかけて 高所作業などもあり高い場所への
56.7回から62.4回と著しく増加しており欠品リスクが発生している。 保管などが困難
現倉庫の容量が限界となっており、建設当初は在庫型物流センター 力仕事でもあるため、高齢者・
であったが現状では通過型物流センターに近く欠品リスクが生じており、 女性・障碍者などを配置するのは
アレルギー対応食、ソフト食などの今後増大する製品のラインナップ 困難。
を増やすことができず安定供給の強化が必要。
・ヒューマンエラーの発生
先端的なデジタル化が遅れているため在庫管理等においてヒュー
マンエラーが発生し、検品作業が長時間化している。
従来、受注・発注・即納品の体制をとってきたが、戦略的な在
庫管理を実現できていないため商品の過不足が起き始めている。
当社戦略を遂行する上での高精度・多品種少量物流の実現
が困難。</t>
  </si>
  <si>
    <t>【設備投資の内容】
◼ 最新設備（ロボット・AI）の導入（7.87億円）
古川工業工場（船岡工場）で加工・塗装に関する自動化設備
⚫
◼ 古川工業工場（船岡工場）の増築（10億円）
古川工業工場（船岡工場）を増築し、生産能力を2倍以上に引
⚫
【設備投資による効果】
◼ 売上高・利益の増加
新規顧客の開拓・既存顧客からの引合を漏らすことなく対応可能に
⚫
とで売上高・利益が増加
◼ 生産効率・生産キャパシティの向上
最新設備導入による効率化、工場増築による生産キャパシティ拡
⚫
全社の生産能力を現在の2倍以上に引き上げ
◼ 品質の安定化・対応可能工程の拡大
ロボットを活用し属人的な特殊技能を承継することで作業の平準化
⚫</t>
  </si>
  <si>
    <t>【設備投資の内容】
◼ 作業負担軽減・効率化に向けた設備・治具の導入（0.13億
これまで対応に手間がかかっていた業務の効率化のために、溶接用
⚫
仕上げ用の治具を導入
前述の自動化設備導入とは異なり、「作業そのものの効率化」に重
⚫
置いた投資
【設備投資による効果】
◼ 売上高・利益の増加
前頁の通り、古川電気工業の売上高増加に伴い、製造受託を請
⚫
ている当社の売上高・利益が増加
◼ 生産効率・生産キャパシティの向上
これまで全て人の手で実施していた溶接、仕上げの工程に設備・治
⚫
導入することで生産効率を向上
併せて、人的リソースの置き換えが可能になることから生産キャパシ
⚫</t>
  </si>
  <si>
    <t>②採用力強化、働きやすい職場環境整備</t>
  </si>
  <si>
    <t>②採用力強化、働きやすい職場環境整備
スマート工場を求職者に積極的にアピールすることで、地元からの採用力を強
化します。自動クレーン等で安全で働きやすい職場環境を構築します。
③組織の再構築
スマート工場による省力化と工場集約による勤務地の統一で、余剰人員の
柔軟な活躍が可能になります。リスキリングにより、生産管理や品質管理、営
業力のさらなる強化を行います。
④新商品・新分野展開
新しい設備で、長尺のビルドH鋼を高効率かつ安全に生産できるようになりま
す。また、再生エネルギー関連の製罐の大型案件の受注も可能になります。</t>
  </si>
  <si>
    <t>その他Box 6</t>
  </si>
  <si>
    <t>スマート工場化の実現のために、先行投資として3工場と2倉庫を集約する新工場を建設中です。（補助対象外）
本事業では最新の加工設備や各種自動化の設備を導入予定です。自動クレーン、自動搬送台車、自動ピッキング、無人搬送フォークリフト、自動収納
ラック等の設備を連動して稼働させることで、入荷から加工・出荷までの主要工程を自動化し、スマート工場を完成させる画期的な試みです。</t>
  </si>
  <si>
    <t>既存工場の供給力不足により、 既存工場は建屋が狭く、 焼き菓子は製造委託に依存</t>
  </si>
  <si>
    <t>既存工場の供給力不足により、 既存工場は建屋が狭く、 焼き菓子は製造委託に依存
売上増に転換できず成長が鈍化 生産設備が旧式で労働集約型 既存工場は、拡張が困難
★生産能力倍増 ★顧客接点強化
供給能力拡大により 労働生産性の大幅向上による 焼き菓子の内製化による
販売機会ロスを回避 コスト競争力あるモノづくり 付加価値の取り込み</t>
  </si>
  <si>
    <t>生産拠点の刷新 ＝ セントラルキッチンから『セントラル工場』への進化 新工場の概要</t>
  </si>
  <si>
    <t>生産拠点の刷新 ＝ セントラルキッチンから『セントラル工場』への進化 新工場の概要
生産能力拡大・生産性向上 工場用地購入済：
一人当たり生産性
①手作業の徹底した削減 パティシェ作業とスタッフ作業を分離
大阪市鶴見区焼野3丁目202番1 204番
自動化設備による省力化推進 240%向上
１階：新店舗、出荷エリア
②製造装置の大型・高速化、ライン化による大胆な生産性向上 ・生産能力：3倍
２階：焼き菓子製造
・製造人員：25％増
付加価値の向上 ３階：焼き菓子製造、冷凍庫
（現状60名→75名）
①新クーリング方式(瞬間冷凍) フルーツの鮮度保持向上 ４階：ケーキ製造、冷凍冷蔵庫
１階：アンテナショップ併設
②当社初の新焼き菓子開発 ２色フィナンシェ製造プロセス ５階：工場管理・商談エリア</t>
  </si>
  <si>
    <t>生産拠点の刷新 ＝ セントラルキッチンから『セントラル工場』への進化</t>
  </si>
  <si>
    <t>生産能力拡大・生産性向上</t>
  </si>
  <si>
    <t>生産能力拡大・生産性向上
①手作業の徹底した削減 パティシェ作業とスタッフ作業を分離
自動化設備による省力化推進
②製造装置の大型・高速化、ライン化による大胆な生産性向上</t>
  </si>
  <si>
    <t>付加価値の向上</t>
  </si>
  <si>
    <t>付加価値の向上
①新クーリング方式(瞬間冷凍) フルーツの鮮度保持向上
②当社初の新焼き菓子開発 ２色フィナンシェ製造プロセス</t>
  </si>
  <si>
    <t>【BIM再編について】BIMはその名が示すとおり、主に建築業界で使われているモデリングソフト群の総称ですが、その中身は3Dモデリングデータ
に合わせて情報を管理するものです。当社は更地に工場を建設するという段階は終わり、今後既存の設備・建物をいかに効率よく改善していくかと
いう段階に来ています。それを踏まえてのBIM再編であり、今回の物流BIM再編はその皮切りです。今後は在庫管理や、保全などの定常管理業
務への活用、設備改築や新生産ラインの創造など、今後様々なプロジェクトの中心に置くのがBIM再編計画です。</t>
  </si>
  <si>
    <t>屋内ﾄﾗｯｸﾔｰﾄﾞ 立体自動倉庫 物流ｺﾝﾄﾛｰﾙﾀﾜｰ</t>
  </si>
  <si>
    <t>
設備投資の内容
 工場の新設及び既存工場の改装・最新機械設備の導入

設備投資による課題の解消について
【省力化・生産効率向上】

手作業で行っていた工程を最新機械の導入により自動化。現
る工程についても、工程の短縮と作業従事者の削減が可能と
【売上・利益の増加】

工場の新設や機械設備導入による生産効率向上により、生産
最大4.5万食→12万食超まで増加。弁当も1日2種類以上

上記の労働生産性向上の他、利益率の高い学校・学童向け
とで全体の利益率も向上
【人材の確保】

自動化や動線最適化により作業員の負荷も軽減。工場環境</t>
  </si>
  <si>
    <t>奇跡の物質から一転、静かなる時限爆弾へ</t>
  </si>
  <si>
    <t>奇跡の物質から一転、静かなる時限爆弾へ
2006年に全面禁止されるまで建築材料に広く使われていた
アスベストは繊維状の天然鉱物。製造コストが安く、 耐火・防火・吸音
など様々な目的で使い勝手が良く、奇跡の物質と称され建築材料に⾧
年使用されてきた。しかし、アスベスト繊維を⾧年吸い込み続けると、中
皮腫や肺がんの要因となる事が分かり、近年世界中で規制が強化され
ている。2018年には、１年あたりの中皮腫による死亡者数は1500人
を超え、解体やリフォーム時に飛散するアスベストについて社会問題と
なっている。
2022年の大規模な法規制強化
アスベスト健康被害の増大に伴い、2022年に大気汚染防止法等が
大幅改正された。いままでの大型の商業施設や工業用施設に加え、
・80㎡以上の解体工事
・100万円以上の改修工事
等を行う場合には、事前にアスベストが含まれているか調査し報告及び
対策をすることが義務つけられた。これには木造・戸建住宅を含めるため、
その対象となる建物は法改正を機に従来の280万棟から、3300万棟
に拡大された。
アスベストの調査・分析事業の市場拡大
法改正以降、解体・リフォームに伴うアスベスト事前調査が年間60万件
が報告されている。1件あたりの分析数は1.7検体（アルフレッド調べ）
であり、市場規模は約100万検体/年と予測されている。
アスベスト調査は現地にて含有可能性建材を目視にて確認し、分析会
社が顕微鏡等を用いてアスベストの有無を分析する。当社はこの分析受
託事業を実施するため2021年に創業した。</t>
  </si>
  <si>
    <t>当社の生産の80％を担う浜松第1第2工場は、東京/大阪圏の</t>
  </si>
  <si>
    <t>当社の生産の80％を担う浜松第1第2工場は、東京/大阪圏の
検体を受け入れている。2028年にはキャパシティを超えることから、
新工場設立を計画している。
当社の要件を満たす土地の購入目途がたったため、
以下の順序で工場再編し、日本最大のアスベスト分析工場
を設立する
1. 新工場の設立 2027年9月
2. 浜松第1工場の分析ライン移設 2027年10月
3. 浜松第2工場の分析ライン移設 2027年11月
4. 日本最大新工場での量産開始 2027 年12月</t>
  </si>
  <si>
    <t>項目 基準年度</t>
  </si>
  <si>
    <t>「エネルギー」の次へ、「運ぶ」の先へ、環境の未来へ、</t>
  </si>
  <si>
    <t>「エネルギー」の次へ、「運ぶ」の先へ、環境の未来へ、
先んじて挑み、社会を支えるエネルギーであり続ける</t>
  </si>
  <si>
    <t>ケミカルグループの中心となり、グループ収益の両輪となっ</t>
  </si>
  <si>
    <t>ケミカルグループの中心となり、グループ収益の両輪となっ
ているケミカル物流のワンストップサービスが実現している</t>
  </si>
  <si>
    <t>【ワンストップ物流の更なる実践】</t>
  </si>
  <si>
    <t>【ワンストップ物流の更なる実践】
• 当社が強みをもつタンカー/ローリー輸送だけでなく、ドライコンテナや
ISOタンクなど様々な荷姿でのワンストップ物流を実現
【グループシナジーの最大限の発揮】
• 関東エリアだけでなく中部エリアでもグループシナジーを発揮すること
で事業の拡大を図る
【サービスの高付加価値化】
• 多品種・小ロットの貨物への対応や出庫前スペック検査業務など
危険物倉庫事業の高付加価値化を実現
• 物流管理業務の受託も行うことで更なる高付加価値化を目指す
2024年度 2027年度 2030年度
※2023年度とは
2024年6月期決算 (直近年度) (基準年度) (最終年度)
売上高 75億円 91億円 152億円
付加価値額 9.4億円 12.5億円 30.2億円</t>
  </si>
  <si>
    <t>2024年度 2027年度 2030年度</t>
  </si>
  <si>
    <t>状態である。
■設備投資の内容
• 新たな土地を活用してさらに工場拡張し、新古河工場を
• 生産能力を向上させるため、食肉の各加工工程間の移動
を自動化仕様にする。（国内では初の試み）
• 自動化の実現により、業界の課題である労働人口の減少
※投資内容の詳細は
項目 基
労働生産性
（単位：千円/人）
従業員1人あたり給与支給総額
（単位：千円/人）
役員１人あたり給与支給総額</t>
  </si>
  <si>
    <t>設備投資内容（建物）
◆新古河工場
・概要：取引先からの加工量の増加要請に応えるために生産力強化が必要のため、新工場を建設する
・効果：本建物による生産ライン構築により、 IQF製造ラインにおける年間製造数200％増加が見込まれる</t>
  </si>
  <si>
    <t>設備投資内容（設備）
◆高周波解凍装置 ◆小袋軽量包装ライン
◆ローラー搬送コンベア
冷凍された食材を 効 食材を正確に計量し、
各工程間の移動において自動化を
率的かつ均一に解凍 小袋を効率的に包装
実現し、省力化が可能となる
▲ローラー搬送コンベア イメージ
◆製品急速凍結ライン ◆その他
◆食肉用コンベア
食材の品質を保ち、 短 デュアルX線検査装置、
各工程間の移動において自動化を
時間で急速に凍結 金属検出器等、各設備
実現し、省力化が可能となる
▲食肉用コンベア イメージ</t>
  </si>
  <si>
    <t>〈現状〉 1日の稼働時間：8:30～22:00</t>
  </si>
  <si>
    <t>〈現状〉 1日の稼働時間：8:30～22:00
営業日数：255日 年間出荷量：3,000t</t>
  </si>
  <si>
    <t>〈補助事業後〉 1日の稼働時間：5:00～24:00</t>
  </si>
  <si>
    <t>〈補助事業後〉 1日の稼働時間：5:00～24:00
営業日数：255日 年間出荷量： ６,000 t</t>
  </si>
  <si>
    <t>• 設備投資の内容：5温度帯対応倉庫となる第4センター
• 第4センターの導入により、超低温(-50℃)、冷凍（-25
められる全ての温度帯に対応した保管・配送が可能となる
• また、上記設備の温度管理に対応するシステム導入およ
を導入することにより、新たな物流需要を取り込んで、新規
り労働生産性を向上させる。
倉庫建物（イメージ） 冷凍冷蔵設</t>
  </si>
  <si>
    <t>差別化の取組・詳細</t>
  </si>
  <si>
    <t>■差別化の取組・詳細
※本補助事業で導入する、国内でも非常に希少性が高い「超低温・冷凍・冷蔵・定温・常温」の5温度帯に対応した倉庫は、、
今後の事業展開において非常に大きな差別化の要素になると考えている。
＜差別化のポイント＞
1.各温度帯（特に超低温：-50℃以下など）を安定して維持するには、高度な冷却設備と断熱構造が必要。
・技術的・設備的なハードルが高い
・温度帯ごとに異なる管理システムが必要。
→当社には、これまで取り組んできた医薬品関連製品や温度管理が重要な食品配送で培ってきたノウハウや実績があり、
これらの技術的・設備的なハードルにも十分対応できる。
2. 対応できる商品が多岐にわたる
・食品（冷凍・冷蔵・常温）、医薬品関連（定温・冷蔵）、水産物（超低温）など、多様な業種のニーズに対応可能。
・そのため、一つの倉庫で多業種の荷主を受け入れられるという点で、競争優位性がある。
3. 国内でも導入事例は限られている。
※5温度帯すべてに対応している倉庫を保有ている企業は以下のように非常に限られており、いずれも多温度帯対応の先進企業
として注目されている。
企業名 特徴 備考
＜5温度帯倉庫保有企業＞
ニチレイロジグループ 国内最大手の冷蔵倉庫業者。IoTを活用した温度管理に強み。 設備能力157万トン、シェア8.4%
横浜冷凍（ヨコレイ） 水産物流に強く、冷凍・冷蔵に特化。 設備能力98万トン
C&amp;Fロジホールディングス 急成長中。冷凍・冷蔵・定温に対応。 成長率33.1%（2022-23年）
センコー×ランテック 常温＋低温のハイブリッド物流を展開。 グループ連携で三温度帯対応
キユーソー流通システム 食品物流に強く、定温・冷蔵・冷凍に対応。 医薬品にも対応可能な体制あり
4. 法規制や品質管理の厳格化
食品衛生法やGDP（医薬品の適正流通基準）などにより、温度管理の厳格化が進むことで今後、5温度帯対応倉庫は
さらにその価値が高まると見ている。</t>
  </si>
  <si>
    <t>■差別化の取組・詳細
※本補助事業で導入する「超低温・冷凍・冷蔵・定温・常温」の5温度帯に対応した倉庫について
＜温度帯対応の希少性と差別化要素＞
要素 内容
超低温（-50℃以下）まで対応する倉庫は非常に少なく、
希少性
和歌山県内で同設備を保有する物流事業者は現状存在しない。
・全温度帯を1施設で完結でき、効率的な運用が可能。温度帯ごとのゾーニングと動線設計
差別化
・多業種対応（食品・医薬品関連製品・化学品等）
ポイント
・様々な温度帯の商品を一括で手配可能（通常は顧客が保管・出荷等を個々に手配する必要があり手間）
導入障壁 初期投資が非常に高額（冷却設備、断熱構造、電力設備）→参入が難しい
＜今後の市場動向とチャンス＞
■大手企業ニーズ：大手企業の生鮮品の冷凍保管基準を満たすには、超低温保管が必要で、需要拡大は確実。
■食品ロス削減・品質保持ニーズ：温暖化の影響を受けて今後、常温下でも温度管理が必要になることで、定温帯～冷蔵帯配
送の大きな需要増加を見込み、先んじて各温度帯対応の設備を整備、その需要を取り込む。
温度帯 保存温度 希少性・差別化要因 対象食品/商品
超低温帯 -50℃以下 和歌山県内で初 特殊な冷凍食品、試料、医薬品関連、マグロ等の水産物など
冷凍帯 -25℃以下 冷凍食品、アイスクリームなど
全温度帯を1施設で
完結。効率的運用可能
冷蔵帯 0℃～10℃ 乳製品、肉類、野菜など
定温帯 15℃～20℃ 県内では当社のみ導入 医薬品関連、および米・小麦・チョコレート・パンなど食品関連
常温帯 常温管理 缶詰、乾物、瓶詰食品など
当社は、本補助事業による5温度帯対応倉庫の導入により、これらのビジネスチャンスを確実に捉え事業の成長を加速する。</t>
  </si>
  <si>
    <t>超低温（-50℃以下）まで対応する倉庫は非常に少なく、</t>
  </si>
  <si>
    <t>超低温（-50℃以下）まで対応する倉庫は非常に少なく、
和歌山県内で同設備を保有する物流事業者は現状存在しない。</t>
  </si>
  <si>
    <t>全温度帯を1施設で完結でき、効率的な運用が可能。温度帯ごとのゾーニングと動線設計</t>
  </si>
  <si>
    <t>・全温度帯を1施設で完結でき、効率的な運用が可能。温度帯ごとのゾーニングと動線設計
・多業種対応（食品・医薬品関連製品・化学品等）
・様々な温度帯の商品を一括で手配可能（通常は顧客が保管・出荷等を個々に手配する必要があり手間）</t>
  </si>
  <si>
    <t>当社の方針</t>
  </si>
  <si>
    <t>当社の方針
当社はこれまで住宅建材事業で、技術を蓄積しお客様の要望に適した製品を供給しつづけてきました。今回の大規模投資により全社的な生産体制の再構築を実施し、これま
でのお客様により多くの製品を供給できるようにするとともに、新たに「働く環境」分野への進出により、今後の日本社会の課題解決にも貢献します。</t>
  </si>
  <si>
    <t>④ 西日本に加工拠点が集中しており、東日本のシェア拡大において不利な状
【設備投資の内容】
① 栃木県鹿沼市に新工場建設。マシニングセンタやCNC旋盤等を導入し、
② 本社工場他に建材等部品加工設備を導入。生産能力の拡大を図る。
③ 長期的には鹿沼新工場にも既存の住宅建材の生産ラインも設けることを想
【設備投資による効果】
① アシストスーツおよび機械設備については専用ライン化により、生産能力が
庫の保有により製品の安定供給が可能となることで、今後より多くの受注
外作していた部品の内作も可能となり、納期とコストダウンが見込める。
② 本社工場の製造ラインに余裕がでることで、住宅建材事業についても生産
た営業活動が可能となる。海外輸出用の機構製品の製造にも余力が発生
③ 外注加工の削減により、コスト競争力も向上
④ 鹿沼工場を東日本の拠点とすることで、東日本のシェア拡大に向けた事業
⑤ 東西複数の製造拠点を設けることで災害等に対するレジリエンスも強化す
項目 基
労働生産性
（単位：千円/人）</t>
  </si>
  <si>
    <t>《設備投資の内容》
① 焼却・中和施設建設工事（延床面積2,234.88㎡） 7
② 廃棄物焼却設備 7
③ 廃液処理除外設備 1
④ 有機汚泥処理設備 0
⑤ 発光分光分析装置 0
• 大分県大分市豊海に保有する遊休地（総敷地面積7,060
大規模の焼却・中和処理施設を建設する。
• 工業団地内の最奥に位置しており、周辺環境への影響が少な
設として最適な立地。センサー・IoT・ロボットなど先端デジタル
た設備導入により、大分市内唯一の焼却施設を有するグルー
レス大分の2倍以上の処理能力を見込む。
• 県外へ流出していた医療系廃棄物・化学工業系廃棄物の処
とで、県内排出事業者の処理コスト低減を図るとともに、資源
形成に貢献する。
• 省力化設備導入による廃棄物処理業の3K（きつい・汚い・</t>
  </si>
  <si>
    <t>◎廃棄物焼却設備イメージ</t>
  </si>
  <si>
    <t>◎中和処理設備イメージ（一部）</t>
  </si>
  <si>
    <t>• その他（インフラ関連・予備費）:１５億円
■設備投資の内容
• ペットボトル型（センターキャップ）の紙容器を使用した飲
体制を構築
• アルミレスでレンジアップが図られ、固形物の充填も可能と
■その他、見込める効果等
• 作業自動化による労働者の負担軽減と生産性の向上
• 収益性の向上
項目 基
労働生産性
（単位:千円/人）
従業員1人あたり給与支給総額
（単位:千円/人）
役員１人あたり給与支給総額</t>
  </si>
  <si>
    <t>長期成長ビジョン（目指す姿・ビジネスモデル）
これまでの高級輸入車ディーラー事業で培った実績と信頼を基盤に、
富裕層向けのトータルサービス企業へと事業領域を拡大する。高級
輸入車販売事業を軸に、顧客のライフスタイル全般を豊かにする多様
なサービスを提供し、企業としての持続的な成長と社会への貢献を目
指す。
具体的には、以下の事業を統合的に展開する。
1.高級輸入車事業のさらなる成長
高品質な車両とサービスを提供し、業界内での確固たる地位を維
持する。
2.教育事業への参入
富裕層のニーズが高いインターナショナルスクールの経営を開始し、
次世代を担うグローバルリーダーの育成に貢献する。
3.富裕層の生活の質を高めるための多彩なサービスを提供
顧客の期待を上回る体験を創出するため、衣・食・住・遊すべての
面で高品質かつ個別最適なサービス提供を行い、唯一無二のライ
フスタイル価値を提供。</t>
  </si>
  <si>
    <t>社は長期成長ビジョンに掲げる「富裕層向けトータルサービ
国際バカロレア:IB)に準拠し、英国トップクラスの評価を
ルを開校する。
25年9月開校予定の小学校については校舎を確保済み
貫した教育機会の提供には、中学校・高等学校の教育
投資により解決しうる課題】
業の本格展開 本補助事業により中学校・高等学校の
一貫した国際バカロレア（IB）準拠の教育を提供できる
となる。また、寄宿舎の建設によって、全国の生徒を受け
につながるため、本事業は安定した学校経営を実現に不
産性向上への貢献 教育事業は自動車販売業に比べ
べた付加価値が高い。学校運営には、教員や事務職員
事業は地域に質の高い新たな雇用を生み出す。これによ</t>
  </si>
  <si>
    <t>生産性大幅向上</t>
  </si>
  <si>
    <t>生産性大幅向上
1時間当たり生産量 1日当たり稼働時間
現状 660個 8時間
+127% 2倍
導入後 1500個 16時間
コスト競争力向上</t>
  </si>
  <si>
    <t>生産性の大幅な向上</t>
  </si>
  <si>
    <t>高付加価値製品への対応幅向上</t>
  </si>
  <si>
    <t>1.5GPa級の超ハイテン材対応力強化</t>
  </si>
  <si>
    <t>1.5GPa級の超ハイテン材対応力強化
熱間成形 冷間成形
現状 ホットスタンプ
継続 導入
新トランスファプレス
ホットスタンプ
導入後
新ブランキングプレス
高強度・軽量化対応幅の強化</t>
  </si>
  <si>
    <t>会社全体の賃上げ目標
• 1.09%（直近事業年度～基準年度）
• 7.77%（基準年度～事業化報告3年目）</t>
  </si>
  <si>
    <t>外発的動機
• 高齢化に伴う整形外科インプラントの需要の高まり
• 2045年までは、日本国内の65歳以上人口は断続的に増加
• 「健康寿命の延伸」が国家課題であり、運動機能の改善・再建がはか
られる人工関節、骨接合材料、脊椎固定具への需要は今後も高まる
• 日本に限らずアジア諸国においても高齢化は進行していく
• 輸入販売品の価格高騰
• 円安や人件費、輸送費の上昇などの影響で輸入販売される整形外
科インプラントは価格が高騰している
• 外資企業の撤退傾向
• 脊椎を中心に、外資系企業が中国や欧米などの、より大きなマーケット
に注力するため撤退する方向にあり、それを埋めることが急務である
• 製品の高機能化及び、生産性を向上を実現するための各種技術の進展
• ３Ｄプリンタ技術の進展などにより、生体に適合しかつ複雑な金属造
形が可能となり、さらに少量多品種製品の自動化が可能となった。
• 自動制御ロボット技術の進展により、省力化設備導入が容易になった</t>
  </si>
  <si>
    <t>内発的動機
• 日本の医療機器産業を発展させたい
• 創業時において国内では人工関節に係る医療機器メーカーは極めて
少なく、ほとんど外国製品に頼るしかなかった。（現在も日本シェア1位
から4位までが外資系、市場シェアトップ10社中7社）国内の経済安
全保障のためにも、祖業であるプロペラの設計・鋳造・加工技術を基に
した整形外科インプラントを通じて社会に貢献したい
• 地域における成長と分配の好循環を生み出したい
• 付加価値の増大により、利益創出と賃上げを継続的に行っていくととも
に、継続的に雇用を創出し、地元企業・大学との連携を深めて地域
活性化に貢献したい</t>
  </si>
  <si>
    <t>外発的動機
伴い整形外科インプラントの需
りを見せる一方、外資系の撤退
増産ニーズがある
向上するための各種要素技術
ある</t>
  </si>
  <si>
    <t>ある
内発的動機
事業費 9,8 百万円
04
度推定生産個数は2018年度 （補助額） （2,68 百万円）
0
6倍となり製造キャパシティーの
えている。
イテム数増加に伴い物流倉庫
迎えている
に伴い、社員数も増加し、研
製造・管理・物流の各機能集
連携迅速化が必要になっている
備に掛かる投資：81.2億円（税抜き）
するため、新工場を建設する。
参照）</t>
  </si>
  <si>
    <t>2025年度推定生産個数は2018年度 （</t>
  </si>
  <si>
    <t>• 2025年度推定生産個数は2018年度 （
比で約3.6倍となり製造キャパシティーの
限界を迎えている。
• 取り扱いアイテム数増加に伴い物流倉庫
も限界を迎えている
• 実績拡大に伴い、社員数も増加し、研
究・開発・製造・管理・物流の各機能集
約による連携迅速化が必要になっている</t>
  </si>
  <si>
    <t>多品種少量品が可能 カスタム製品可能 骨梁構造再現可能</t>
  </si>
  <si>
    <t>自動旋盤</t>
  </si>
  <si>
    <t>自動旋盤
脊椎用インプラントの
自動生産</t>
  </si>
  <si>
    <t>企業理念 中⾧期ビジョン
化学に立脚し、新たな価値を創造、提案する。 × 新たな技術開発と市場創造に絶え間なく挑戦し、快適な社会の実現
企業経営を通じて、地域に貢献し、環境共生型社会形成に寄与する。 に貢献する。一人一人の成⾧と企業の成⾧が一体になることで、喜び
を実現できるフクビグループを目指す。</t>
  </si>
  <si>
    <t>⾧期成⾧ビジョン（目指す姿・ビジネスモデル）
新たな住まい オフィス＆ファクトリー
・高性能建築物/新築 ・非住宅建築物
・リフォーム/リノベーション （オフィス,工場,文教施設）
成⾧牽引分野
当社が持つフェノール樹脂成型技術で、社会課題の解決に貢献で
きる領域にこそ成⾧の機会があると考えている。特に、フクビ化学グ
ループが成⾧けん引分野と定めた「新たな住まい」「オフィス＆ファクト
リー」分野において、カーボンニュートラル実現をうけて、省エネ性能
向上が求められる高性能建材のニーズが伸びており、当社は、この
需要に応えるための技術・製品を提供していく</t>
  </si>
  <si>
    <t>• 設備投資の内容
1. 計画場所：岩手県花巻市山の神地区 花南産業団
2. 敷地面積：32,371㎡（9,809坪）
3. 建築面積：7,945.12㎡（2,403.40坪）
4. 容積対象床面積：15,260.84㎡（4,616.41坪）
5. 温度帯別面積：冷蔵約2,000坪、冷凍約1,500坪
6. 階層・高さ：地上2階、基準階高さ8ｍ
7. 駐車台数：バース接車17台、トラック66台、乗用車1
• 設備投資の効果
1. 基準階高さ8ｍ、容積対象床面積4,616坪により、現
ンター合計面積の2倍以上の取扱量を実現できる。
2. 取扱量増加により積載率が大幅に改善することで増車
より抑えた上で一台当たり売上高の引き上げ（＝付加
生産性の向上）を行うことが可能となる。</t>
  </si>
  <si>
    <t>機、内発的動機
る
、
、感染試験、
て動物販
ている。
要が拡⼤し</t>
  </si>
  <si>
    <t>■外発的動機
【社会課題からの動機】（マクロ視点）
コロナ渦のワクチン開発において、各研究機関から試験依頼を多数受け、当社事業は社
会資本としての役割を担うと再認識した。当社の企業理念に沿って、有事への対応が可
能な体制を整える必要性があると考えた。
【技術トレンドからの動機】（技術⾰新視点）
現在の医薬品では治療困難な疾患に対し、「遺伝⼦治療の研究」が世界的に活発化
しており、国内の⾮臨床試験においても年率10.3%の成⻑で市場規模も1兆円に迫って
いる。よって当社も最新設備と⼗分な受託キャパシティを準備する必要に迫られている。
【顧客ニーズからの動機】（ミクロ視点）
医薬品の研究開発費に関して、武⽥薬品は2019年4,263億円から2023年7,299
億円へ増加し、⼩野薬品は2017年575億円から2023年度に1,122億円へ増加する
など、開発が近年拡⼤傾向にある中、当社への委託数も年々増加しているが、当社設備
のキャパシティの課題により現在６か⽉〜１２か⽉待っていただいている状態となっている。</t>
  </si>
  <si>
    <t>■内発的動機
【社会的責任】
当社は、企業理念である「新薬開発のサポートを通じて、⼈類・社会の発展に貢献する」
を軸に、継続的な設備投資と⼈材教育によって、社会課題の解決に資する体制を整えて
おく使命があると考えている。
本補助事業で新たな体制が整えば、ひっ迫している国内試験市場のニーズを補完すると
同時に、新規採⽤と教育で医薬品研究における未来を創ることに貢献出来ると考えている。
【事業性の認識】
当社事業セグメントの中でも、「⾮臨床試験」を受託する受託試験の事業分野は、動物
⽣体を扱うことと、細菌やウイルスを扱う事業のため、参⼊障壁が極めて⾼く、また利益率も
⾼い。さらに上述の通り市場拡⼤も⾒込めるため、当該事業の拡⼤は当社経営基盤の強
化に直結するものであると認識している。
しかしながら現状では、施設規模の課題によって年間の試験数が限られているため、⼤規
模な投資によって試験数キャパシティを拡⼤する必要性に迫られている。
よって当該分野への⼤規模投資は、投資回収の可能性が極めて⾼く、⼗分に事業性が
⾒込める分野であると考えている。</t>
  </si>
  <si>
    <t>成長（副次効果）
⽣体販売
（動物の販売）
※受託試験事業を
下⽀え</t>
  </si>
  <si>
    <t>機、内発的動機
べき姿 当
■受託試
⾮臨床
（感染
（⾮感
■⽣体販
当社飼
■業務委
他社施</t>
  </si>
  <si>
    <t>当社事業 あるべき姿</t>
  </si>
  <si>
    <t>当社事業 あるべき姿
（本事業での投資）
・ 飼育施設増強
成長（副次効果）
により、動物飼育可能数が拡
⽣体販売
⼤するため、事業規模拡⼤
（動物の販売）
機器販売
※受託試験事業を
（飼育機器販売）
下⽀え
⾃社で新たな設
備を導⼊しモデル
あるべき姿
ケースとなることで、
顧客への訴求⼒強
化が可能となり、飼 成長
育機器販売の販
売拡⼤が⾒込める
受託試験
（⾮臨床試験受託）
（基軸事業）
（本事業での投資）
・ 試験施設増強
・ ⾼度検査機導⼊
により、顧客ニーズに応えることで
規模拡⼤と付加価値増⼤
最新設備の感染実験施設
の運⽤実績によって、施設管
業務委託
理業務の熟練度が上昇し、
（施設管理業）
より⾼度な施設管理業務の
受託拡⼤が⾒込める。</t>
  </si>
  <si>
    <t>遺伝⼦治療を軸とする各種疾患薬の開発、mRNAワクチン、再⽣医療など、世界的な医薬</t>
  </si>
  <si>
    <t>遺伝⼦治療を軸とする各種疾患薬の開発、mRNAワクチン、再⽣医療など、世界的な医薬
業界の技術イノベーションによって期待される新薬開発トレンドにおいて、国営研究機関も含めた
⽇本国内事業者の研究ニーズ（試験需要・動物需要）が⾼まっている。
当社は本補助事業を通じて、中⻑期トレンドの需要に応え、⾃社の成⻑のみならず、当社企
業理念の達成、社会貢献を⽬指す。</t>
  </si>
  <si>
    <t>＜設備投資の概要＞</t>
  </si>
  <si>
    <t>＜設備投資の概要＞
鹿島工場において既存の焼却灰電気溶融炉(1号〜4号)に加え、新たに「第5号電気溶
融炉(EM5)」および「前処理プラント」を建設し処理能力拡充と運転の最適化を図る。
＜第5号電気溶融炉(EM5)の内容＞
電気溶融炉付帯設備の改良により資源化効率向上を図ると共に、既存炉との連携に
よる統合運転体制を構築し、年間処理能力を約3.2万トン増強する。あわせてDX技
EM4外観 ： 炉体
術を活用し省人化と操業安定性を高めることで、将来的なスマートファクトリー化
の基盤を整える。 炉蓋部
＜前処理プラントの内容＞
乾燥・選別・磁選などの工程を通じて原料灰の性状を安定化させ、処理効率と装置
寿命を向上させる。また、既存設備の改良・改善により重金属や異物除去効率を向
上させ、焼却灰処理歩留と収益性の改善を図る。
＜2030年目標に向けた本事業の戦略的位置づけと賃上げ効果＞
本取組は、焼却灰資源化事業において2030年までに7基体制・年間処理能力22万ト
ンの実現を目指す中長期計画の第一フェーズを担うものであり、2030年に売上高
1,100億円以上、経常利益130億円以上という全社目標の達成に向けた成長エンジン
として重要な役割を果たす。また経常利益の着実な積み上げにより、2027年比で
「+6.5％」の水準を見込む従業員賃金の持続的な引き上げにもつなげていく。</t>
  </si>
  <si>
    <t>大型フィルターの増産に目的とした新工場</t>
  </si>
  <si>
    <t>第一フェーズ 第二フェーズ</t>
  </si>
  <si>
    <t>第一フェーズ 第二フェーズ
新工場建設予定 新工場建設予定
※2027年度操業開始 ※2028年度着工予定
6,000㎡の敷地に生産拠点を段階的に再構築</t>
  </si>
  <si>
    <t>1.長期成長ビジョン
旧百貨店跡を商業＋松本初の外資系カジュアルホテルへ：地域経済と観光産業の成長を支えるホ
テルとなり、松本駅前の商業・経済の再活性化を担うランドマークとなる
長期成長ビジョン（目指す姿・ビジネスモデル）
【外資系ホテル誘致による地域貢献】
松本市中心部は大型商業施設（イトーヨーカドー、松本パルコ、井上百貨店）
の相次ぐ閉館により、賑わいを失いつつあり、地域経済における再生が急務と
なっている。また、都市部との賃金格差を背景に若年層の域外流出が進行して
おり、地域で働き、暮らし、誇りを持てる新たな雇用環境の創出が課題となっ
ている。こうした社会背景を踏まえ、当社は松本駅前の象徴的物件である旧井
上百貨店跡地において、外資系ホテルブランド「Marriott（Moxy）」を中核と
した新たな複合施設を開発・運営する。これは、単なる宿泊機能の提供にとど
まらず、以下のような社会的価値の創出を目的としている。
●●松松本本市市のの国国際際的的認認知知度度向向上上、、持持続続的的ななイインンババウウンンドド観観光光のの基基盤盤形形成成</t>
  </si>
  <si>
    <t>●●若年層を中心とした雇用創出と地元定着を促す良質な職場環境の提供 観光ビジョン（令和6年3月版）」においてインバウンドの受け入
●飲食・小売・観光体験との融合による「回遊型観光・滞在価値の向上」 れ促進をキーワードの１つに掲げており、訪日外国人の年間宿泊
●地元企業・事業者との連携を通じた地域経済への持続的波及効果 者数においても増加の目標値を設定している
長期成長ビジョンとして中小企業庁に対して当社が掲げた100億宣言に記載の
とおり、2035年に全社売上100億円（年平均成長率19.66％）を目標としてい
る。今後の売上増加のメインドライバーとなるのはホテル事業（本事業）でこ
れを皮切りにホテル棟数を増やすことで売上拡大を図る。既存事業においても
ホテル事業とのシナジーを期待するとともに、それぞれ事業拡大を目指す。
【自社ビル「コングロエム」との連動】
駅側真向いコングロエムに入る商業テナント及びホテルエムとの融和を目指
し、ホテル1Fのエキゾチックで斬新なデザインのオープンバーを有効活用し、
観光客に加えて地域住民にとっても気軽に集い、交流できる新しいコミュニテ
ィ空間の創出を目指す。また、当該物件B1にテナントの誘致を行い、当該物
件周辺エリアへの回遊性向上を図り、一帯での経済発展を促す。</t>
  </si>
  <si>
    <t>②コングロエム （外観）</t>
  </si>
  <si>
    <t>②コングロエム （外観）
①当該物件
松本駅
② ①
②コングロエム
【テナント誘致による収益期待について】
本プロジェクトは当該物件における地下1階のテナント誘致による売上期待があるが、本事業の申請時点においては、複数候補と交渉中で具体的なテナント誘致が
定まっていない。補助事業として本物件のオーナー工事は計画。ただし、当社の商業スペースリニューアルも本プロジェクトの重要案件であるため、本資料におい
ても補足的に説明を入れている。地下1階のテナント賃料で概ね年間2,500万円の売上増（賃料の性質上、ほぼ100%利益）を見込んでいる。</t>
  </si>
  <si>
    <t>2.補助事業の概要</t>
  </si>
  <si>
    <t>2.補助事業の概要
米系最大手ホテルチェーン マリオットが展開するホテルブランド「Moxy」を自社で運営し、松本
とその周辺地域の観光産業を牽引する施設へとリニューアルする
松本市内において駅前及びロードサイドの大型商業施設が相次いで閉店となる中、井上百貨店
も同様に閉店となった。長年松本市民に愛されたデパートとして地域のランドマークとなって
補助事業の 事業費 2,310 百万円
いた跡地に松本市の活性化に向けてマリオットブランド「Moxy」を誘致し、外資系ホテルを自
背景・目的 （補助額） （ 563 百万円）
社で運営。観光需要の下支えとなるだけではなく当該物件に隣接する弊社保有の商業ビル「コ
ングロエム」と一体となって地域に根付いたコミュニティーを形成していく。
当該物件の建物および土地の取得
■
建物を旧百貨店売場からホテルへと用途変更を行い、内装工事を経て客室250室の
■
ホテルへとコンバージョンする
築年数に伴う既存設備の劣化が進んでおり、電気設備・空調設備の入替を行う
■
ホテル客室備品：マリオットブランドに即した客室内設備の取り付け
■
レレスストトラランン・・厨厨房房・・フフロロンントト・・フフィィッットトネネススジジムム等等、、客客室室以以外外のの各各種種設設備備のの導導入入
■■</t>
  </si>
  <si>
    <t>設備投資の</t>
  </si>
  <si>
    <t>■■ レレスストトラランン・・厨厨房房・・フフロロンントト・・フフィィッットトネネススジジムム等等、、客客室室以以外外のの各各種種設設備備のの導導入入
設備投資の
■
ホテルシステム（PMS・カードキーシステムの導入・マリオット独自のシステム
等 の導入）
内容
清掃ロボットやスタッフ間コミュニケーション、スタッフ育成、人手不足解消や
■
生産性向上につながるシステムの導入
ホテル開業に伴う各種設備・備品類の購入
■
マリオットとのフランチャイズ契約締結や開業のための費用
■
⇒本設備投資により、周辺観光産業を牽引する施設へとリニューアル。自社の事業全
体や本事業に携わるスタッフの生産性向上にも寄与する事業となる。
項目 基準年度 事業化報告3年目
労働生産性 17,774
12,537
（単位：千円/人） （年平均上昇率＋12.3％）
目標値 従業員1人あたり給与支給総額 4,914
4,000
（単位：千円/人） （年平均上昇率＋7.1％）
役員１人あたり給与支給総額 7,187
6,000
（単位：千円/人） （年平均上昇率＋6.2％）
補助事業に係る従業員数
20 46
（単位：人）</t>
  </si>
  <si>
    <t>2.補助事業の概要 【参考資料②】Moxy（モクシー）についての補足</t>
  </si>
  <si>
    <t>2.補助事業の概要 【参考資料②】Moxy（モクシー）についての補足
【参考資料②】当該物件に誘致するマリオットブランド「Moxy（モクシー）」について補足
● Moxyとは
今回誘致予定の”Moxy”はMarriott Group内において“Distinctive”、”Upper Midscale” と位置付けられており、”大胆で刺激的” “独自性” “遊び心溢れる”“ミド
ルラグジュアリー” といったテーマ性が設けられている。高級路線のイメージが強いマリオットブランドの中では比較的節約志向のトラベラー向けブテ
ィックホテルというコンセプトのもと、スタイリッシュなデザインとリーズナブルな価格、本格的なサービスを組み合わせた革新的なブランドして注
目を集めている。現在Moxyは京都に１店舗、大阪２店舗、東京に１店舗の4店舗を日本国内に展開。松本で国内5店舗目となる。初の地方進出としての
希少性も高い。
（本事業が成就すればマリオットブランドとしても松本市初の出店となる）
施設はカジュアルチックな内装ながらもデザイン性があり、若者やファミリー層まで幅広くカバーができる。インバウンド顧客が施設内設備として重
要視する傾向にあるフィットネスジムも松本市内で唯一完備し、外国人宿泊客の需要も取り込むことのできる施設である。また、特徴的なのがバーと
フロントを一体化することにより、ウェルカムドリンクを飲みながらチェックインをする外資系ならではのユニークなサービス。トラディショナルな
厳格な佇まいではないため、バーだけの利用ではなく、ランチや喫茶店、会議や待ち合わせなど様々な用途での利用が検討される。宿泊者だけはなく</t>
  </si>
  <si>
    <t>Moxyとは</t>
  </si>
  <si>
    <t>● Moxyとは
今回誘致予定の”Moxy”はMarriott Group内において“Distinctive”、”Upper Midscale” と位置付けられており、”大胆で刺激的” “独自性” “遊び心溢れる”“ミド
ルラグジュアリー” といったテーマ性が設けられている。高級路線のイメージが強いマリオットブランドの中では比較的節約志向のトラベラー向けブテ
ィックホテルというコンセプトのもと、スタイリッシュなデザインとリーズナブルな価格、本格的なサービスを組み合わせた革新的なブランドして注
目を集めている。現在Moxyは京都に１店舗、大阪２店舗、東京に１店舗の4店舗を日本国内に展開。松本で国内5店舗目となる。初の地方進出としての
希少性も高い。
（本事業が成就すればマリオットブランドとしても松本市初の出店となる）
施設はカジュアルチックな内装ながらもデザイン性があり、若者やファミリー層まで幅広くカバーができる。インバウンド顧客が施設内設備として重
要視する傾向にあるフィットネスジムも松本市内で唯一完備し、外国人宿泊客の需要も取り込むことのできる施設である。また、特徴的なのがバーと
フロントを一体化することにより、ウェルカムドリンクを飲みながらチェックインをする外資系ならではのユニークなサービス。トラディショナルな
厳格な佇まいではないため、バーだけの利用ではなく、ランチや喫茶店、会議や待ち合わせなど様々な用途での利用が検討される。宿泊者だけはなく
市市民民にに対対ししててもも集集客客効効果果もも期期待待ががででききるる。。</t>
  </si>
  <si>
    <t>市市民民にに対対ししててもも集集客客効効果果もも期期待待ががででききるる。。</t>
  </si>
  <si>
    <t>市市民民にに対対ししててもも集集客客効効果果もも期期待待ががででききるる。。
● Marriott Bonvoyとは
Marriott Internationalが運営するMarriott会員制プログラム。全世界に2億2800万人、日本国内では430万人の会員数を誇る。宿泊数に応じて会員ステー
ジが付与され、各種無料サービスを受けることが出来る。Bonvoy会員は旅先のマリオット系列ホテルの有無を重視する傾向もあり、これまで未開拓の
マーケットからの集客を見込むことが出来る。Marriott Group自社予約サイトでは、会員価格で宿泊予約が可能。
▲マリオットブランド内における
「Moxy」のブランドポジション
▲ 客室一例（Moxy大阪新梅田）
▲Moxy大阪新梅田の外観</t>
  </si>
  <si>
    <t>市市民民にに対対ししててもも集集客客効効果果もも期期待待ががででききるる。。
● Marriott Bonvoyとは
Marriott Internationalが運営するMarriott会員制プログラム。全世界に2億2800万人、日本国内では430万人の会員数を誇る。宿泊数に応じて会員ステー
ジが付与され、各種無料サービスを受けることが出来る。Bonvoy会員は旅先のマリオット系列ホテルの有無を重視する傾向もあり、これまで未開拓の
マーケットからの集客を見込むことが出来る。Marriott Group自社予約サイトでは、会員価格で宿泊予約が可能。</t>
  </si>
  <si>
    <t>写真等
工場完成イメージ図</t>
  </si>
  <si>
    <t>項目 基準年度 事業化報告3年目</t>
  </si>
  <si>
    <t>人口減少（広島県は4年連続人口流出ワースト） 社会課題</t>
  </si>
  <si>
    <t>人口減少（広島県は4年連続人口流出ワースト） 社会課題
・広島県は日本全体と同様に少子高齢化の影響を受けている
なか、2024年度の転出超過は約１万人
特に大学進学、新卒就職、40代までのUIターンで大きな転出
の波（広島県社会減少要因調査分析）があり、将来の住宅
着工件数に影響がある
顧客ニーズ
顧客ニーズの多様化、市場競争に負ける
・お客様はライフスタイルや好みに合わせて、間取りやデザイン、エ
コ住宅（省エネ性能や断熱性能）を自由に選ばれる
・顧客ニーズを汲み取りサービスを提供し、当社が選ばれる差別
化戦略が重要となる</t>
  </si>
  <si>
    <t>経営者の動機</t>
  </si>
  <si>
    <t>経営者の動機
当社事業で地域の社会課題を解決したい！
・現状の当社の主力事業は、注文住宅、リフォーム、エクステリア
（建物の外部空間や外観）等の住宅建設であるが、まだまだ
事業領域を拡大できるポテンシャルはあると確信している
・当社が住宅建設以外の事業領域に進出することで、お客様の
ニーズを捉えた広島でのライフスタイルを提案し、広島に住みたい
人を増やしたい
・また、競合他社との差別化を図り、収益源を多様化することで、
雇用拡大や賃上げにより従業員に利益を還元したい
・さらに、団塊ジュニア世代の都市移住等による住宅承継問題
や、人口減少に伴う空き家対策など、社会課題の解決に資す
る事業を展開したい</t>
  </si>
  <si>
    <t>その他の記載 - Box別</t>
  </si>
  <si>
    <t>長期成長ビジョン・外発的動機・内発的動機以外のBox。当社概要、上段要旨、売上成長目標、補助事業関連Boxなどを1Box1行で保持します。</t>
  </si>
  <si>
    <t>ページ原文 - 887ページ</t>
  </si>
  <si>
    <t>追加ページ・企業紹介・共同申請の構成を含む全ページ原文。ページ種別はPDF記載見出しから判定しています。</t>
  </si>
  <si>
    <t>ページ原文</t>
  </si>
  <si>
    <t>1.長期成長ビジョン 株式会社岩崎電機製作所
当社（半導体製造装置向け部品製造業）は、半導体製造装置を販売するエンドユーザーからの強い要請
に基づき、6年度後に現在の1.55倍の売上高を達成（2023年度:168億円⇒2029年度:260億円）
長期成長ビジョン（目指す姿・ビジネスモデル） 外発的動機
（社会課題・顧客ﾆｰｽﾞの変化等のﾒｶﾞﾄﾚﾝﾄﾞ）
• 半導体は、５G・ビッグデータ・AI・IoT・自動運転・ロボティクス・ス
現在の姿
マートシティ・DX等のデジタル社会を支える重要基盤であり、安全
• 昭和49年の設立以来、兵庫県丹波篠山市で精密電子機
保障にも直結する死活的に重要な戦略技術
器等製造（①精密電子機器事業(整合器製造)、
②ハーネス事業、③制御盤事業を行う
• 高精度な半導体には微細化、高密度化等が求められ、これらを達
成することにより情報の伝送・処理速度を向上しつつ、エネルギー効
率も改善されると期待されている
• 日本政府も、半導体関連産業を重要産業として位置付けている
⇒積極的な投資により、国内半導体製造関連事業者も
更なる競争力強化が求められる
内発的動機
（経営者の原体験や動機等）
• 半導体製造装置向け部品の製造事業は、1988年に事業開始、
売上高は中核事業になった2013年度17億円、2017年度66億
長期成長ビジョン
円、2023年度105億円へと飛躍的に拡大している
• 生産能力拡大のための大規模投資を通じ、半導体製造装
置の市場成長に貢献
• 当社は国内最大最先端半導体製造装置メーカーに向け、最先端
• 当社エンドユーザーの、半導体製造装置世界シェア拡大に 半導体プロセスのエッチング工程に求められる高周波電源装置
寄与
（整合器）を製造、/ この工程において、100％当社製の整合
器が搭載されている
売上成長目標
⇒当社のエンドユーザーが掲げる半導体製造装置の生産
• 2029年度までの会社全体の売上高成長率：55％
目標を達成するためには、当社自身の生産能力拡大が
• 2029年度までの会社全体の売上高増加額：92億円
必要不可欠
審査基準 ☑メガトレンドを踏まえ、5～10年後の社会に価値提供する自社のありたい姿（長期成長ビジョン）が具現化されている
との整合性 ☑その中において、高い売上高成長率及び売上高増加額が示されている</t>
  </si>
  <si>
    <t>.補助事業の概要 株式会社岩崎電機製作所
2
・現有の工場・設備類では顧客からの増産依頼に対応しきれない
・①新工場建築、②製造/検査ラインの導入、③システム導入により、顧客要望に応えられる体制を構築
補助事業の エンドユーザーから頂戴した増産計画に基づき、既存の工場では生産対応しきれないため、 事業費 24億円
背景・目的 新工場建築による製造面積増加、設備・システム導入を通じて増産体制を構築する （補助額） （7.6億円）
取組 内容説明 / 課題解決・労働生産性向上 投資額
・複数に分かれている製造拠点（賃貸）を統合し、自社新工場を建設
⇒拠点統合により事務管理・倉庫管理等のコスト＋賃借料削減、効率性向上
①新工場建築 20.44億円
⇒倉庫/ 製造 / 検査と各工程毎に工場が分かれていたものを1か所に集約するこ
とで、運搬時間・費用・リスクを軽減
・製造ライン…現状8ライン＋新規4ライン＝計12ライン
②製造/検査
設備投資の ・検査ライン…現状10ライン＋新規6ライン＝計16ライン 3.69億円
ラインの導入
内容 ⇒製造ライン数が現状の約1.5倍に拡充
・倉庫管理システムの導入により、2事業部に分かれていたシステムを統一化 購買力
向上
・トルクシステム トルク回転自動検知により年間5,040時間工数削減見込み＝約3
③システム導入 0.15億円
名分
・自動検査システムの導入により、年間27,540時間工数削減見込み＝約14名分
⇒自動で検査項目の一部を行うことにより他の仕掛品の作業を行うことが可能
2026年度 2029年度
項目
（基準年度） （基準年度＋３年後）
労働生産性 1,168万円/人
862万円/人
（単位：万円/人） （年平均上昇率＋10.67％）
従業員1人あたり給与支給総額 509万円/人
目標値 439万円/人
（単位：万円/人） （年平均上昇率＋5％）
役員１人あたり給与支給総額 ー
ー
（単位：万円/人） （年平均上昇率＋5％）
補助事業に係る従業員数
270人 290人
（単位：人）</t>
  </si>
  <si>
    <t>株式会社プレジィール
1.長期成長ビジョン
売上高800億円、デパ地下、空港・駅ナカNo.1達成のため、成長市場への積極投資や事業運営の
省力化・合理化を推進し、コストや顧客ニーズなどの外部環境変化を克服する。
長期成長ビジョン（目指す姿・ビジネスモデル） 外発的動機
ミッション（当社が果たすべき使命）
社会課題
「世界中に心あたたまる時間を創り出す」 • 少子高齢化に伴う労働人口減少、人件費高騰
• インフレ加速に伴う仕入・販売価格の上昇
ビジョン（当社が中長期的にあるべき姿）
• トラックドライバー時間外労働の上限規制適用に伴う物流コスト上
「世界No.1の菓子を中心とした食品製造小売企業」の実現
昇
• 2029年度 売上高800億円
⇒ コスト・価格の面で従来のビジネスモデルが成り立たなくなった
• デパ地下、空港・駅ナカNo.1達成
顧客ニーズの変化
バリュー（当社の行動指針）
• ポストコロナでのギフト需要・インバウンド需要の回復・拡大
１.「顧客の創造」 ２.「顧客第一主義」 ３.「全員経営」
• 品質・デザイン性に優れた日本製菓子の海外需要増加
４.「イノベーション」 ５.「自主独立の経営」
⇒ 環境変化に伴う新たな成長ドライバの獲得が期待される
内発的動機
• 売上高目標達成、領域No.1ポジション獲得のため、成長市場へ
• 当社ビジョンと最大生産能力のギャップの解消
積極的な投資を行い、事業規模を拡大する。
⇒ 当社が所有する 2工場の最大生産能力は約 370億円であり、
•
売機上械成設長備目・シ標ステム投資により省力化・合理化を推進し、労働生産
世界No.1の菓子提供を目指す当社の足かせとなっている。
性を向上する。
2023年9月期 2029年9月期 増加額 成長率
• 労働集約型経営から知識集約型経営への変革
223億円 800億円 577億円 258.7％ ⇒ 属人化の解消や合理化の推進により労働生産性の向上が必
要
当社の概要
当社は製粉業を祖業とする1907年創業（1986年設立）の菓子製造小売事業者である。東京都千代田区に本社、愛知県海部郡、三重県
桑名市に生産拠点を有し、百貨店や、空港・駅ナカを中心に40以上の店舗を展開する。圧倒的な商品力、製販一貫の事業実施体制を背
景に直近3期は年率20％前後の売上成長を遂げる一方、生産規模や事業効率の面で課題があり、更なる成長へ向けて一歩踏み込んだ
取り組みが必要である。</t>
  </si>
  <si>
    <t>株式会社プレジィール
2.補助事業の概要
補助事業実施により労働生産性を年平均14.9％向上し、地域別最低賃金の上昇率を上回る年平均3.0％の
賃上げ目標を確実に達成する。
補助事業の ［背景・目的］コスト増加に伴うビジネスモデルの再構築、成長市場の取り込みを目的とした実施体 事業費 80億円
背景・目的 制の整備 （補助額） （25億円）
［課題］生産規模拡大と経営効率の向上
経費項目 名称 効果 労働生産性
下記の機械設備、システム導入による
建物費 桑名工場増築 スペース拡充による生産規模拡大
労働生産性向上
成形機
焼成・成形・包装の品質向上
オーブン・焼成機 自動化・省力化に伴う
機械装置費 時間短縮
設備投資の 包装機・箱詰め 労働生産性向上
コスト削減
内容 その他
情報一元管理
ERP
部門間連携強化
業務工数削減、生産・販売フロー見直しに
ソフトウェア費 資材所要量、在庫管理適正化
MES よる労働生産性向上
トレーサビリティ構築
POS トレーサビリティ構築
2026年度 2029年度
項目
（基準年度） （基準年度＋３年後）
労働生産性
1,236 1,870( 年平均上昇率＋14.8％)
（単位：万円/人）
目標値 従業員1人あたり給与支給総額
336 369 (年平均上昇率＋3.0％)
（単位：万円/人）
役員１人あたり給与支給総額
- - (年平均上昇率＋11.1％)
（単位：万円/人）
補助事業に係る従業員数
840 1,132
（単位：人）
まとめ
投資内容は、桑名工場の増築、各種機械設備・システムの導入である。生産面では工場増築と設備導入により生産ラインを従来の5本か
ら11本に増やすとともに、ERP、MES導入により生産プロセスの最適化・効率化に取り組み、最大生産能力を200億円から450億円に拡
大する。販売面では、2029年9月期に160店舗を目指しており、ERP、POS導入により管理業務の効率化と顧客情報収集によるマーケ
ティング強化に取り組む。</t>
  </si>
  <si>
    <t>マリンフード株式会社
1.長期成長ビジョン
国内代替食品業界ブランドトップの地位を盤石なものとし、海外進出への足掛かりとする。チーズ代替品「スティリーノ」の省力化増
産拠点を滋賀県長浜市に配置。利益向上、継続的賃上げで長浜市及び日本の経済発展にも寄与しアジア圏にも進出する。
外発的動機
長期成長ビジョン（目指す姿・ビジネスモデル）
• コロナ禍、ウクライナ・イスラエル情勢、グローバルインフレにおいて 「健康
2038年の弊社売上目標1,000億円、経常利益目標160億円、純利 性」 「持続可能性」「経済性」が重視されるようになっている。
益目標100億円を達成すべく、長浜工場に大規模投資を行い、省 • 植物性代替食品(プラントベースフード)の台頭
人化機械設備を導入し、40,000ｔ/年のチーズ及びチーズ代替品の • 輸入・国産チーズがダブル値上げ(2024.03月各メディア紹介)
生産を可能にしたい。さらに、日本のみならずアジアへも代替市場 • チーズ消費量増加(特に台湾、香港、中国本土、タイやインドネシアなどの東
南アジア圏)
を開拓し持続可能な食文化を提供したい。
生産を内製化し安定した価格で収益を上げるビジネスモデルとして
内発的動機
代替チーズ市場規模拡大に貢献する。弊社独自のチーズ代替品ブ
スティリーノの原木は本社豊中工場（5,400t/年）及び長浜工場（1,900t/年）で生
ランド「スティリーノ」（商標第5130289号）、チーズに含まれる乳脂
産している。最終製品への仕上げ工程は長浜工場及び泉大津工場で行ってい
肪を植物油脂に置き換えたチーズ代替素材。「コレステロール98％
るが長浜工場にて一貫生産をする事によって、飛躍的に品質の向上を図る。
オフ実現」「脂肪分カット」「冷めてもやわらかい食感」など独自の付 何よりも一定した温度管理の下で最終商品まで生産できる事は品質向上に大
加価値がある。輸入に頼り高騰するチーズ市場において、原材料 きく寄与する。そして運送費の大幅な削減を達成し、収益の抜本的な改善を図
を仕入れ製造を内製化しているスティリーノは為替相場や有事に左 りたい。
右されにくく安定供給ができ持続的に成長性が見込まれる。 現在、製造が需要に追い付かない程、受注が逼迫しているため、長浜工場で
さらに、動物性原料一切不使用の「ヴィーガン」シリーズも開発。ア は24時間稼働を実施し対応しているが、十分な供給力を備えた新工場を建設
する必要がある。抜本的な課題は冷却設備の不足。さらに現行の平面冷蔵庫
レルギー28品目不使用で、健康志向の高まる市場の規模拡大に
では人力での積み替えの為、不均一な冷却となる場合があり歩留を悪化させ
寄与する。これらプラントベースフードは温室効果ガス削減や森林
ている。さらに原料計量を人力に頼っており、人手も時間も要している事から
破壊の低減など、持続可能な開発目標(SDGｓ)に貢献する食材で
ヒューマンエラーの可能性も排除できない。
ある。代替チーズ国内シェア80％の弊社が伸張する需要に応える
また、労働負荷を解消し働きやすい環境を整え昨今の人材不足確保に繋げた
べく大型投資による省力・省人化で増産増益を叶え、更なる開発・
い。さらに、自動化機械設備を導入する事によって省人化を図り増産・増益を
製造販売・雇用創出・賃上げにつなげ国内の経済発展へ寄与する。
実現し地域経済の発展にも寄与することで従業員の賃上げが実現可能となる。
今後はチーズ消費量が急増しているアジア圏、さらに北米への販
路拡大も目指す。
売上成長目標
• 2038年までの会社全体の売上高成長率276％
• 2038年までの会社全体の売上高増加額638億円
※弊社2023年事業発展計画書P８より</t>
  </si>
  <si>
    <t>マリンフード株式会社
2.補助事業の概要
長浜工場空地に第２プラントを増築し、スティリーノラインを集約し受注増加に応える一貫生産を行う。第１プラントにはベビーチーズラインを集約する。ライン増設、
自動倉庫（スティリーノ冷却システム）、自動計量器を導入し省力・省人化で労働生産性向上による増収増益を目指し賃上げを実現し長浜市の経済発展に
寄与する。マリンフードの基幹工場として長期成長ビジョンに掲げる国内代替食品業界トップブランドの地位を盤石なものとし、海外進出への足掛かりとする。
補助事業の • 原料チーズの高騰により自社存続をかけて開発、商品化した植物油脂使用の代替チーズ「スティリーノ」。健康志向
事業費 46億円
背景・目的 の高まり、持続可能な発展(サスティナビリティ)、食物アレルギーにも対応しリーディングカンパニーを目指す。拡大す
る市場に求められる供給が出来ておらず、追随する新規参入に先んじて専用工場を新設し省力化・効率化による （補助額） （14億円）
事業拡大を目指す。
• 建物費（滋賀県長浜市の工場脇スペースに増設）
• 機械装置(自動倉庫（スティリーノ冷却システム）、自動計量器、ライン増設)
設備投資の
ライン増設
内容
自動倉庫
（スティリーノ冷却システム）
• 次ページ以降に詳細を記載致します。
2026年度 2029年度
項目
（基準年度） （基準年度＋３年後）
労働生産性 1,973万円/人
1,776万円/人
（単位︓万円/人） （年平均上昇率＋9.1％）
従業員1人あたり給与支給総額 507万円/人
450万円/人
（単位︓万円/人） （年平均上昇率＋4.06％）
役員１人あたり給与支給総額 3,453万円/人
3,069万円/人
（単位︓万円/人） （年平均上昇率＋4.0％）
補助事業に係る従業員数
225人 298人
（単位︓人）</t>
  </si>
  <si>
    <t>株式会社正興電機製作所
1.⾧期成⾧ビジョン
当社は、「最良の製品・サービスを以て社会に貢献す」の社是のもと、情報と制御の独創技術で環境に優しく安全で快適な社会インフラ（基盤）の構築に
貢献。2021年に創立100周年を迎え、社会環境の大きな変化を新たな成⾧のチャンスと捉え、次の20年（2041年）に向け、成⾧目標・ありたい姿を描
くとともに、中期経営計画 SEIKO IC2026（2022～2026年）を策定し、事業の拡大に取り組んでいる。
⾧期成⾧ビジョン・中期経営計画について 【外発的動機】
当社を取り巻く事業環境は、社会情勢の変化やサステナブル社会の実現に向けた 〇気候変動への意識の高まりと技術進化
社会からの再生可能エネルギーの導入拡大とCO2排出量削
ニーズの高まり、デジタルトランスフォーメーション（以下:DX） 、グリーントランスフォー
減への取り組み意識の高まりによる、企業への要請。
メーション（以下:GX）をはじめとする技術革新など、大きく変化している。
再生可能エネルギーによる発電技術や蓄電技術の進展による
このような環境の変化は、これまでIT（情報技術）、OT（制御・運用技術）、
エネルギーの効率的利用や分散化など、次世代エネルギーイン
プロダクト（モノづくり）に最新のデジタル技術を融合し、電力システム・環境エネル
フラへの進化。
ギー・情報システムなど、社会インフラの構築を通じて事業活動を行っている当社が、
〇DXによるスマートインフラの進展
大きく成⾧するチャンスと捉え、⾧期成⾧ビジョンおよび中期経営計画（SEIKO
IoTやAIなどの最新技術を活用したインフラシステムのスマー
IC2026）のもと次の成⾧に向けた事業基盤の強化と新たな挑戦に取り組んでいる。
ト化が加速。自動化や省人化など生産効率の向上や、設備
の管理・運用の高度化。
〇高齢化社会や規制強化による労働力の減少
〇⾧期経営ビジョン NEXT20 （2041年に向かって）
高齢化社会による設備の維持・管理技術の減少や、労働時
・連結売上高（2023～2041年）:1,000億円 増加額 729億円（369％）
間に関する規制強化による労働力不足問題。
【内発的動機】
〇中期経営計画 SEIKO IC2026（2022～2026年）
・当社は、IT・OT・プロダクトとデジタル技術を併せ持つ数少な
・連結売上高（2023～2026年）: 400億円 増加額 129億円（148%）
い企業グループである。また、当社がこれまで展開してきた事
・単体売上高（2023～2026年）: 290億円 増加額 99億円（152%）
業は、現在、求められているサステナブル社会の実現に向け
た取り組みそのものである。
〇基本方針:企業活動・事業活動を通じた社会課題解決により、
・この事業環境の大きな変化は、当社が成⾧するチャンスであ
サステナブルな社会の実現に貢献する
り、高い成⾧目標を設定するとともに、次の成⾧に向けた
〇重点課題
事業基盤の強化、積極的な投資を加速する。
①デジタルファースト （デジタル技術を活用した社会課題解決）
・新たなチャレンジ、社員のモチベーションの向上を図るとともに、
②脱炭素社会の実現 （カーボンニュートラルへの取り組み） 職場環境の整備、働き方改革、健康経営や人財育成に
③One正興 (グループ総合力の発揮） 取り組む。併せて株主様への利益還元や社員への報酬の
充実を実現する。</t>
  </si>
  <si>
    <t>株式会社正興電機製作所
.補助事業の概要
2
当社の事業成⾧の柱である、DX・GXを加速させるとともに、オープンイノベーションを促進し、新たな事業・製品の創出による事業拡大を目的として、北九
州学術研究都市（以下:学研都市）に、最先端の製品・技術開発を行うための開発拠点を設立する。ここでは先ず、新たな蓄電システムの検証とこ
れを用いたエネルギー供給システムやロボットをはじめとするデジタル技術を活用した遠隔監視システムの開発を行う。
• DXとGXの分野では技術が目覚ましく進展しており、新製品や新ビジネスの迅速な開発が重要な課題と 事業費
なっている。そこで産学官の緊密な連携の環境として恵まれている学研都市に新たな研究開発棟を設立 （補助額）
し、オープンイノベーションを推進することでDXとGXを活用した持続可能な社会へ貢献する事業の拡大
を図る。
39億円
（12億円）
• 大容量で安全性の高いレドックスフロー電池を用いた蓄電システムの開発を行い、停電時の活用や地域へ
の供給を見据えたシステムの開発を行う。そのために遠隔地である当社古賀事業所の太陽光＋蓄電システ
補助事業の ムとの連携試験も実施する。
背景・目的 • 推進中の遠隔監視システムにAIやロボティクス技術を取り込むことで機能を発展させ、幅広いアプリケー
ションに適用できるプラットフォームの開発を行う。
• ひびきの新拠点は、太陽光発電や蓄電システムをはじめとする創エネ・蓄エネ設備や省エネ設備を採用し
た地産地消のゼロエネルギービルディング（ZEB）とする。また、ロボットやIoTを活用し、スマート化を
推進する、DX・GXのモデル事業所を目指す。
• 学研都市に存在する複数の大学や産学連携センター等との連携を深め、デジタル専門家やグローバルな人
財の発掘と優れたスキルを持つ人財の育成・確保に取り組む。
１．研究開発棟（仮称:R＆Dサイト）
鉄骨３階建て 延べ床面積2,500㎡ 就業人員 約50名
主要業務内容:産学官連携や地域企業との協業を通じて新事業開発拠点として新設する。
２．モノづくり棟（スマート工場）（仮称:Mサイト）
鉄骨２階建て（一部１階建て） 延べ床面積2,300㎡ 就業人員 約40名
設備投資の
主要業務内容:上記開発の際の試作や検証、および事業化した際のモノづくり現場とする。
内容
３．主要設備
①蓄電システム ・・・ PCS 250kW＋レドックスフロー電池 1MWh
②太陽光発電 ・・・ ひびきの新拠点:PV 280kW＋PCS 250kW、 古賀事業所: PV 400 kW＋PCS 250 kW
③設備遠隔監視、セキュリティシステム ・・・ 遠隔監視システム・巡回点検ロボットおよびそのテストフィールド
④研究開発・実証試験に関する設備 ・・・ 電力需給システム用ハードウエア</t>
  </si>
  <si>
    <t>株式会社正興電機製作所
.補助事業の概要:新拠点および主要な導入設備のイメージ
2
研究開発棟（R&amp;Dサイト）とスマート工場（Mサイト）は、自社開発の太陽光発電設備とレドックスフロー電池を用いた電力需給制御システムを活
用。また、断熱性の高い材料や高効率空調システムによるエネルギー消費の抑制を通じて、ゼロエネルギービルディング（ZEB）を目指す。さらに、自
社のスマート保安システムを導入するなど、設備管理の効率化と運用の高度化を図り、環境保全とスマート化を実現するモデル事業所を構築する。
主要な導入設備
ひびきの新拠点 〇最新のセンサ、カメラ、ロボットの活用とIoT・AI技術により、
設備管理の省力化・運用の高度化を実現
住 所 : 北九州市若松区ひびきの北２-101
（遠隔設備監視システム、ロボット巡視点システムなど）
（北九州学術研究都市内）
面 積 : 9139.15㎡
当社内 現場側
土地購入: 2023年11月 巡視点検
サーバ CTセンサ 指針センサ
北九州学術研究都市の概要
監視側
2001年4月に「アジアに開かれた学術研究都市」として、「新たな産業 PoEハブ
（16ポート） 指針（親）センサ
事務所用PC
の創出・技術の高度化」を目指して、福岡県北九州市若松区にオープ
ンした研究開発・産学連携拠点。国内で唯一、理工系の国公私立大
IPカメラ（ﾒｰﾀ読取用）
学や研究機関、先進企業が同じキャンパスに集まり、先端的な科学技 屋内
IPカメラ（外観用）
術、特に「環境技術」と「情報技術」を中心に活発な教育研究活動を
展開。
設備投資 屋外
温度（親）センサ 温度（子）センサ
のイメージ
ひびきの新拠点（研究開発棟・モノづくり棟:ZEB）
〇太陽光発電と次世代電池を利用した次世代型蓄電システムと
電力需給制御システムによるエネルギーの最適運用
【新拠点】
電力系統
レドックスフロー電池＋PV
【古賀事業所】
リチウムイオン
電池＋PV</t>
  </si>
  <si>
    <t>株式会社正興電機製作所
.補助事業の概要:ひびきの新拠点事業体制イメージ
2
ひびきの新拠点では、当社の新事業推進部門や電力、環境エネルギーおよびエレクトロニクス事業に携わる開発者と技術者を一堂に集め、全社の
技術力の統合とシナジーを生み出すための環境を整備する。また、学研都市における産学官の連携を積極的に推進し、イノベーションの創出を図
る。
ひびきの新拠点事業体制イメージ
北九州学術研究都市
産
・進出企業40社以上
・スマート保安ソリューション （技術開発拠点等）
（遠隔監視、操作支援、ロボット）
・電力需給調整技術
・エネルギー監視、制御技術
グ
・再エネ活用技術 開
学
ル
（太陽光、水力、バイオマス） 発
・水処理設備の制御、運用技術 ー
・
・北九州市立大学 環境技術研究所
など プ 連携・協業
技
の ・九州工業大学 次世代パワー
術
シ エレクトロニクス研究センター
者
ナ ・早稲田大学 情報生産システム
を
ジ
研究センター など
集 ー
約 効
官
果
・北九州産業学術推進機構
・共同研究開発センター
・技術開発交流センター
など
ONE SEIKOで研究・開発力を強化し、事業成⾧の加速を図る</t>
  </si>
  <si>
    <t>株式会社正興電機製作所
.補助事業の概要:労働生産性と賃上げ目標
2
2029年には、労働生産性（一人当たりの営業利益）は、年平均5.45％を目標に設定。従業員1人当たりの給与支給総額は年平均４.35％、
役員1人当たりの給与支給総額は年平均5.00%を目標とし、事業の成⾧で得た利益を給与に反映する。
また、当社は人的資本経営を重点課題として“人財の多様化”、“人財育成”、“健康経営”の推進に取り組み。
2026年度 2029年度
項目
（基準年度） （基準年度＋３年後）
労働生産性 1,204
1,027
(万円)/人 （年平均上昇率＋5.45％）
従業員1人あたり ※1 717
目標値 631
給与支給総額（万円/人） （年平均上昇率＋4.35％）
役員1人あたり ※2 1,870
1,616
給与支給総額（万円/人） （年平均上昇率＋5.00％）
補助事業に係る従業員数
795 810
（単位:人）
※1 従業員には嘱託社員・パート・アルバイトを含む ※2 使用人兼務役員に対する使用人給与相当額は含まず
＜参考＞ 〇当社の人的資本経営への取り組み
＜健康経営＞
＜人財の多様性の確保＞ ＜人財育成＞
・ 社員及び全ての関係者が安全に就業できる
・ 中⾧期的な企業価値の向上のため、 ・ 個々の自律性を尊重した教育体制を導入 職場環境の整備、また社員とその家族の心と
多様な人財（年齢、性別、国籍、等）を し、様々な制度を活用しながら、人財育成・ 身体の健康増進を支援する健康経営を推進
積極的に採用 能力開発等に対する積極的な取り組みを （ワークライフバランス、男性育休の推進）
実施
・ 今後の事業戦略に必要な専門知識、技 ・ 「健康経営優良法人ホワイト500」に継続認定
術、経験などを有する人財について計画的 (バランススコアカード、1on1、エルダー制度、幹 ・ 2024年「健康経営銘柄」に選定
に採用 部候補育成制度、公的資格取得推進、等) ・ 2024年5月「くるみん」認定取得予定</t>
  </si>
  <si>
    <t>冬木工業株式会社
1.⾧期成⾧ビジョン
鉄構部門を保有する地域Ｎｏ１の総合建設会社として、地域の経済、ＳＸをリードする会社となる。
外発的動機
⾧期成⾧ビジョン（目指す姿・ビジネスモデル）
• 10tまでの製造設備等Hグレード工場の限界、既存の工場では顧客
ニーズを満たすことができていない。工場の大型化、一本あたり10t超の
大型鉄骨製造案件の受注、最新設備導入は顧客からの要望でもある。
• 新工場建設し、工場の大型化、20tクレーン、ロボット等最新設
• 国の国土強靭化計画、社会インフラの老朽化と更新時期の到来、震
備の導入、DXの推進等のハード面の投資を実施し、今まで取りこ
災等災害の多発、強靭な建造物が求められている。
ぼしていた10t超鉄骨案件を獲得できるようにすること、生産性を
• 東京都再開発、大型省人化物流施設建設、EC、AI等の電算セン
向上させることを、新事業の目的とする。2029年までに実現させる。
ター設立、インバウンド増のための宿泊施設建設など、中⾧期的に大型
• 新事業が安定後は、人材ノウハウ技術をさらに充実させ、四面ボッ
で強靭な建設物・構築物市場は安定している。
クス生産設備の導入、地域の大学やベンチャー企業と連携しなが
• コロナ明けで溜まっていた大型案件建設、短期的市場は活性状態であ
ら研究所の設立、学会への発表など実施し、Sグレード認定を勝ち
る。インバウンドは継続的に増加、宿泊施設は不足している。省力化無
取る準備を完了させ、申請をする。
人化の物流倉庫、半導体製造施設、EC、ＡＩ用電算センターなどは
• 顧客からのさまざまな幅広い顧客要望に応えられる企業となり、安
すでに設備投資ラッシュである。
全安心の建設物、構築物を提供し続ける企業となる。地域建設
業界、鉄鋼業界をまとめるリーダーとなり、大型案件を一括で受注
内発的動機
できる協力体制を構築し、地域経済発展に貢献するリーダーとな
• 既存工場は老朽化し、狭く、生産効率も悪く、顧客要望に応えられなく
る。
なりつつある。女性社員が増加したものの、女性に配慮したスペース、プ
• 建築部門と鉄構部門の2つを保有する企業として、製造面技術
ライベート空間の確保が難しくなっている。
面人材面の部門間の連携を高め、さらにQCD面の相乗効果を高
• 10年勤続以上の人材は75名、人材は成⾧し経験が求められる高難
め、会社全体が成⾧する。
度で高い技術が必要な大型案件に十分に対応が可能となった。
• 生産性向上や働き方改革、女性活躍、サステナビリティ等あらゆる
• 工場の大型化、最新設備の導入、DXの推進等ハード面を整備すれば、
分野で、従来の建設業や中小企業のイメージを覆す取り組みを推
あらゆる顧客ニーズ対応が可能で、近い将来Sグレード工場認定が勝ち
進する。
取れる状況にある。
Sグレードとは鉄骨工場の認定グレード。（次スライドに説明）
売上成⾧目標
• 財務は健全、資金力に問題は無い。大きな投資に耐えられる。
• 2029年までの会社全体の売上高成⾧率136％
• 鉄構部門の強化により、建築部門が品質面、コスト面、納期面、営業
• 2029年までの会社全体の売上高増加額65億円
面で大きな相乗効果を得る。
• 創業97年、知名度、顧客評価高く、地域リーダーとして活躍する立場
になってきている。当社の成⾧と同時に会社理念である「四方よし」を大
きく実践することで、地域経済は活性化する。</t>
  </si>
  <si>
    <t>冬木工業株式会社
2.補助事業の概要
１本10t超の重量物製造、ソフトとハードを兼ね備えた最新鋭工場を建設し、難度の高い大型案件の一括受
注できる会社となり、建築部門との相乗効果を高め、地域経済を牽引する企業となる。
• 倉賀野工場が老朽化し生産性向上の足かせとなっている。物流倉庫、電算センターなど10t超
補助事業の 事業費 69億円
の鉄骨が求められる市場が大きく伸⾧している。案件取りこぼしの発生、将来Ｓグレード認定取
背景・目的 （補助額） （22億円）
得には20tクレーンが必要なこと、などが背景にある。
（設備投資の内容を記載ください。）
①新工場、事務所建設費 4,849百万円
②新工場製造機械導入費 1,750百万円
③新工場太陽光パネル/大型蓄電池設置費 268百万円
④工場の見える化システム構築費 49百万円
（設備投資が課題を解決）
7,474坪の新工場を建設、20tクレーン、ロボット等の最新設備投資で、
設備投資の
高生産性で省人化可能な、大型で高重量、高難度の案件に対応する 写真等
内容
会社となる。再生エネルギーの活用、IOTシステムを装備し工場の見える
化を実現し、低コストでリアルタイムで工場の稼働状況を管理するスマート
な工場を建設する。（労働生産性向上）
10t超の鉄骨製造が可能で、ロボット等の自動化設備の導入で、売上
増加と低コスト製造が可能となる。IOTシステムを装備した新工場では、 （イメージ画像:大型クレーン日本ホイスト
工場の見える化が実現し、正確なデジタルデータを元に改善活動が実施 社のHPより）
でき、省力化や生産効率が高まる。
2026年度 2029年度
項目
（基準年度） （基準年度＋３年後）
労働生産性 1,492
912
（単位:万円/人） （年平均上昇率＋14.5％）
目標値 従業員1人あたり給与支給総額 522.5
471
（単位:万円/人） （年平均上昇率＋3.52％）
役員１人あたり給与支給総額 －
ー
（単位:万円/人） （年平均上昇率＋3.03％）
補助事業に係る従業員数
68 80
（単位:人）</t>
  </si>
  <si>
    <t>オーケー化成株式会社
1.⾧期成⾧ビジョン
環境への配慮と、質や心の満足を重視した消費への社会的移行が進む中、対応するマスターバッチ1（以下
MB）が不足。補助事業を通して量産化を対応し、 「あなたのうれしいを色でつくる」というビジョンを実現する
⾧期成⾧ビジョン（目指す姿・ビジネスモデル） 外発的動機
② 大量消費・大量廃棄の時代から、質や心の満足を重視した消費
■目指す姿
へ移行が進んでいる
• 「あなたのうれしいを色でつくる」をビジョンに世界中の「人生」に寄
• しかし、製品の色や意匠は画一的なものが多い
り添う企業を目指す
• そのような流れの中、高付加価値MBを強みとする当社へ引合が増
加したが、生産が追いつかずお断りすることもある
■ビジネスモデル
• 自動車、ゲーム業界を中心に以下の高付加価値MBの大ロットの
① 脱炭素社会への流れの中、環境に優しい新素材を活用したプラス
引合が増加しているが、現行設備では対応出来ず、補助事業を
チックの引合が増加傾向にある
通して量産化を実現する
• しかし、環境配慮型素材に対応したMBは、当社を含め殆ど存在し
ておらず、メーカーからの引合に対して満足な回答が出来ていない
① 意匠性MB2の量産・拡販
• 顧客が持つ「色」「意匠性」「質感」「素材」のイメージに対して、
カラーアドバイザー（次頁にて説明）がメーカーのデザイナーにサ
内発的動機（経営者の動機）
ンプルを調合・提案する事業に注力
① アメリカ在籍中に独自戦略が必要と感じ、他社が安価品の大量生
• 実績が豊富で特許や多くの調合パターンを蓄積しているため、
産に注力する中、高付加価値MBの開発・販売に注力
幅広い提案が可能。その提案を求めて顧客が相談に来ることで、
マーブル材等の高意匠性商品が爆発的に売れ、日本でも急激
さらにパターンの蓄積が進むというサイクルを実現 
に要望が増えている。新興国でも今後増加が見込まれており、
量産体制を構築したい
② 環境配慮型の素材に対応したMBの開発・拡販
アメリカでは人件費が上がっても高付加価値商品が売れているた
• 他社より先行して、素材メーカーとの環境配慮型の素材に対応 
め、意匠性のポテンシャルを感じた
したMBの共同開発に着手
• 環境負荷型の素材にも意匠性を付加するニーズが高く、当社
② 新工場敷地の竹にプラスチックを練り込んだ製品を開発する中で、
のノウハウを活用する
プラスチックのリサイクル、アップサイクルの必要性があるため、当社技
売上成⾧目標
術で貢献したい
• 2030年までの会社全体の売上高成⾧率198.0％ EV化や金属の代替に伴い環境配慮のプラスチック需要が増える

• 2030年までの会社全体の売上高増加額44.7億円
ことにもポテンシャルを感じる
うち、補助事業における売上高増加額37.6億円</t>
  </si>
  <si>
    <t>オーケー化成株式会社
2.補助事業の概要
 環境配慮素材に対応したMBや、高意匠性MBの量産工場を建設する
 工場には安定生産のための自社開発した生産設備を導入し自動化比率を高める
• 高意匠MBや、GXの取り組みでバイオ原料への着色剤といった、高付加価値な着色剤への
補助事業の ニーズが高まっている 事業費 29億円
背景・目的 • しかし、当社の生産が追いつかずお断りしている状況のため、補助事業を通じて量産体制を （補助額） （9.6億円）
構築する
• 新工場建設・・・18.0億円
• 機械装置・・・10.8億円
• 土地購入費・・・0円（取得済）
• その他（ソフトウェア等）・・・27万円
• 三重県に高付加価値製品の工場を建設
設備投資の
量産化に最適な生産体制、品質評価体制を確立する
内容 •
高意匠MB量産のために独自設計した生産設備一式（押出機
•
等）と射出成型機を導入する
国内最大の生産拠点としてだけでなく、量産するための研究開発も
•
同時に行う事業推進の拠点となり複合的な役割を担う
見学ラインを設置することで顧客や周辺地域の住民を誘致する
•
自動化設備や食堂等を設置することで、現場環境を良好にする
•
2027年度 2030年度
項目
（基準年度） （基準年度＋３年後）
労働生産性 2,592
1,851
（単位:万円/人） （年平均上昇率+11.9％）
目標値 従業員1人あたり給与支給総額 551
472
（単位:万円/人） （年平均上昇率+5.3％）
役員１人あたり給与支給総額 0
0
（単位:万円/人） （年平均上昇率＋0％）
補助事業に係る従業員数
35 50
（単位:人）</t>
  </si>
  <si>
    <t>ヤマダイ株式会社
1.長期成長ビジョン
長年培ってきた独自の加工技術を用いた「高付加価値ノンフライカップ麺」で世界のカップ麺情勢を塗り替える
長期成長ビジョン（目指す姿・ビジネスモデル） 外発的動機
• ＜顧客に届く価値を最大化する＞広告宣伝費や中間経費
• 麺食文化を持ったアジア圏の経済発展、欧米を中心としたラーメン
を最小化し、商品原価率を最大限に高めた「高付加価値
人気の高まりにより、ラーメン関連市場が世界的に拡大している。
カップ麺」を提供する（国産原料・独自製法ノンフライ麺の活
• 食に対する価値観やライフスタイルの多様化により、選択肢の拡張、
用等）
環境的に配慮した取り組み等、「誰一人取り残されない社会」に適
• ＜世界の固定概念を覆す＞外食ラーメン店の品質に匹敵す 応した企業姿勢・企業価値が求められている。
る「ノンフライカップ麺」を、日本のみならず麺食文化を持つ海 • 日本各地で長年築き上げられた食文化が、ライフスタイルの変化や
外の国々に届け、世界中のカップ麺の概念を覆す。 後継者不足等により消失しつつある等地方社会の勢いが弱まって
• ＜食べたいものが食べられる世界に＞ SDGsの考えをベース いる一方、リモートワーク化・地方移住の動きが広がり、地方社会の
に、ビーガン・ハラルフレンドリー・アレルゲンフリー等に対応する 活性化が求められている。
ことで、食に制限がある人にも「美味しさ」と「手軽さ」を両立し
たカップ麺を届け、人々の食生活を豊かにする。 内発的動機
• ＜カップ麺で地方創生＞日本各地のご当地麺をカップ麺で
再現し、各エリアで築き上げられてきた食文化を、世代・地域 • ノンフライ麺技術の開発前、フライ麺を主事業としていた1990年代、
を超えて愛される食文化へと昇華する。地元食材を活用する 品質ではなく価格でしか商品価値を評価してもらえない経験をし、
だけではなく、地方行政、地元団体との協業により、カップ麺 自社の技術を確立し「美味しさ」「品質」で認められる商品をうみだ
すことで、人々の食生活を豊かにしたいという気持ちを強く抱いた。
をきっかけとした魅力発掘・観光誘客・地域活性化を施す。
• 茨城県の交通アクセスの不便な場所に本社を構えており、地域衰
売上成長目標 退・地域格差を身をもって経験していることから、地域創生に貢献し
• 2030年までの会社全体の売上高成長率42％ たいという気持ちを抱いた。
• 2030年までの会社全体の売上高増加額47億円</t>
  </si>
  <si>
    <t>ヤマダイ株式会社
.補助事業の概要
2
最新鋭の設備導入により、商品の高い付加価値を維持しながら、大幅な省人・省力化を実現することで、「労
働生産性の向上」「従業員給与支給額の向上」「新規の雇用確保」につなげる。
補助事業の 多品種生産や高付加価値材料の使用により、顧客満足度を高める一方で、多くの人手を活用するため、低生産性の問題が 事業費 3 億円
4
ある。また、特定の人しか作業できない力仕事も課題となっている。補助事業における新工場投資では、省人・省力化を目的と
背景・目的 （補助額） （1 億円）
して、最新鋭の機械・ロボットを実装する。さらに、将来の賃金指標を公開することで、新規雇用の確保につなげたい。 1
＜ノンフライカップ麺専用工場建屋＞
長年培ったノウハウを集約し、作業動線を最適化することで、少人数での効率稼働が可能となる。
＜バラ具材自動投入装置＞
従来、高付加価値材料（レトルト具材・生タイプ具材等）の投入には、多くの人手が必須であったが、機械を利用することにより、省人・省
力化が可能となる。
＜資材用自動倉庫＞
「ブランド価値向上」「海外専用商品製造」「PB・留型品製造」等の目的で多品目展開すると、原材料品目が増加するが、多種多量の在
設備投資の 庫管理であっても、自動倉庫を導入することで、省人・省力化が可能となる。
内容 ＜自動搬送装置＞
原料資材を自動搬送することで、従来台車で搬送していた人員を削減できる。
＜外装フィルム不良検査装置＞
製品を包む透明フィルムの包装状態を目視検査するための人員を、機械化により削減できる。
＜パレタイザーロボット・ストレッチフィルム包装機＞
従来、パレット物流に対応するために、パレット積替えと、製品固定用フィルムの巻付に人手が必要であったが、機械化により省人化できる。
上記投資の実現により、既存工場に比べて大幅な省人化・省力化が可能となる。
2026年度 2029年度
項目
（基準年度） （基準年度＋３年後）
（単
労
位
働
：
生
万
産
円
性
/人）
1,169
（年平均上
1,
昇
48
率
9
＋8.4％）
目標値 従業員1人あたり給与支給総額 550
482
（単位：万円/人） （年平均上昇率＋4.5％）
役員１人あたり給与支給総額 -
-
（単位：万円/人） （年平均上昇率＋4.5％）
補助事業に係る従業員数
215 225
（単位：人）</t>
  </si>
  <si>
    <t>中外医薬生産株式会社
1.長期成長ビジョン
人生１００年時代のQOL向上のため、OTC医薬品の研究開発・製造までの一貫体制の構築により、OEM事
業基盤を強化なものとする
長期成長ビジョン（目指す姿・ビジネスモデル）
外発的動機
• 当社は医薬品製造業としてOTC医薬品を通したセルフケア推進に • 少子高齢化社会による人生１００年時代の対応。社会保障費
より人生１００年時代のQOL（Quality of life）向上を図る。
の増加による財政逼迫。
またOTC医薬品の活用による早期の治療促進により、持続可能
• 様々な健康ニーズの高まり、予防医薬ニーズの高まりによるヘルスケ
な社会保障制度の構築に貢献する。
ア関連需要拡大
• 時代に合ったOTC医薬品の開発（コロナ禍での解熱鎮痛剤・眼 • ポストコロナによる社会活動の変化（対外活動の再開による医薬
精疲労薬・ストレス緩和薬、ポストコロナでの胃腸薬・総合感冒
品需要の増加）
薬・スキンケア医薬品）などを強化し、社会ニーズに合致した製品
• ドラッグストアチェーンの出店強化、M＆A等による大規模化
開発により付加価値の向上を図る。
• 医療用医薬品の供給不足（OTC医薬品による補完）
• 乳酸菌製剤の効能を活用した付加価値向上策⇒社会ニーズが • 内需型産業のため、将来的には日本国内の市場の縮小可能性
高まる安眠、ストレス緩和、スキンケア、整腸効果分野を強化する。
• 医薬品の薬機法ガイドライン（GLP、GMP、GQP）に沿った研究
から製造、品質保証までの医薬品供給の多機能一貫対応の体
制構築により、大手製薬メーカーとの営業基盤を強固なものとし、
内発的動機
付加価値の向上及び年平均５％の賃上げに繋げる。
• 製薬企業として１００年以上の歴史を有しており、社会的なヘル
• 地域未来牽引企業として、本事業により地域経済の活性化及び
スケアへの貢献を強化したい。
地域内付加価値額の向上を図る。
• 研究開発型に特化し、技術的な強みを強化。固形製剤、痔疾用
• 東海地区での医薬品製造№１企業となり、将来は海外展開とし
薬などの分野で一定の成果があるが、装置産業であることからさらな
て日本品質の医薬品の輸出・海外製造を図っていく。
る成長のために大規模投資が必要である。
売上成長目標 • DX社会においても、人間の身体的なケアは必要であり、時代に合
• 2030年に会社全体の売上高120億円、売上高成長率 わせた医薬品の開発で社会貢献を果たしたい。
170％、付加価値額52億円を達成する • 医薬品は不特定多数の方が服用するので安全性・品質の担保が
• 従業員数154名増員し335名体制へ（中堅企業へ成長） 絶対条件である。
• 新規事業（補助事業）開始以降、毎年５％以上の賃上げ • 少子化、物価高など課題のある地元経済へ貢献し、地域活性化
を実施する を図りたい。</t>
  </si>
  <si>
    <t>.補助事業の概要
2
中外医薬生産株式会社
OTC医薬品の工場建設による付加価値向上及び賃上げ取組
補助事業の • ステップとしてOTC医薬品の製造のため大型設備投資により生産効率を拡大すると共に、生 事業費 6 5 億円
背景・目的 産性中堅企業への向上の付加価値拡大を賃上げ実施に繋げる （補助額） （20億円）
＜新工場＞
土地：9,800㎡（工業地域）
• 当社みどりが丘工場の近隣地に、OTC医薬品固形製剤及び乳酸菌
製剤を中心とした新工場建設及び既存工場への設備増強で生産性
向上を図る。
建物：３階建（約8,000㎡）、鉄骨造り、高さ20m
設備投資の
（１階：物流スペース・倉庫、２階：製剤充填包装ライン・事務室、３
内容
階：製剤充填包装ライン）
設備機器：医薬品の製造機器（固形剤：打錠機、流動層造粒機、
混合機、撹拌造粒機、被膜機、錠剤検査機、充填包装機他）
＜既存工場＞
固形剤製剤製造機器（打錠機、流動層造粒機）、液剤包装機器
＜新工場完成予想図＞
⇒本投資により年間20億錠の製造販売数量を拡大する
2027年度 2030年度
項目
（基準年度） （基準年度＋3年後）
労働生産性 1,
020
877
（万円/人） （年平均上昇率＋ ％）
5.2
目標値
従業員1人あたり 61
8
526
給与支給総額（万円/人） （年平均上昇率＋5. ％）
5
役員1人あたり ―
―
給与支給総額（万円/人） （年平均上昇率＋8.4％）</t>
  </si>
  <si>
    <t>株式会社 シーエル
1.⾧期成⾧ビジョン
 2024年問題や燃料費高騰を筆頭に、運送業者と荷主はそれぞれの課題を抱えている
 弊社がその課題解決を行いながら、共に持続的な成⾧を続けていきたい
⾧期成⾧ビジョン（目指す姿・ビジネスモデル） 外発的動機
3PL事業者として物流の効率化を提供することで、荷主の物流 • 2024年問題の影響を受け、物流品質の維持や事業継続が難し
コストの削減と運送業者の待遇を改善させる い運送業者が出てくることが予想される。
→ 現場力の高い社員・パート職員により効率化の実現が可能 • 人手不足や燃料費の高騰は、荷主にとって物流コストが増加し
事業収益を圧迫する大きな要因となる。
→ 独自の物流システムにより物流コストの削減が可能
関東から九州までの「太平洋ベルト物流網」を築く 運送業者と荷主が抱えるそれぞれの課題を
→ 日本の中心地である関東圏まで物流網を築き、より多くの需要に 同時に解決したい
応える体制を整えていく
トラック保有台数を1,000台体制(現状:660台)とし、国内
全域に物流網を敷く 内発的動機
→ 将来的には、自社保有トラックを増やし、全国対応が可能な体制を整えていく • 運送業を創業し、多品種少量物流の時代には、市場の売れ方に
合わせて生産から消費に至るまでモノの流れを管理する”ロジスティ
クス”が重要になると実感。
売上成⾧目標（2023年度比） （単位:億円） • そこで、弊社は「運送業」から「物流業」への進化を目指し、創業
以来、150社以上の企業の物流コストを削減してきた。
2023 2024 2025 2026 2027 2028 2029
• これまでの実績を評価され、荷主からの需要が拡大しているため
単体 81 92 102 112 125 140 157 更なる事業規模拡大を図っていきたいと考えている。
グループ合算 149 170 181 195 217 246 268 事業規模を拡大し、より多くの需要に応えたい
• 2029年までの売上高増加額76億円（単体）
• 2029年までの売上高増加額119億円（グループ全体）</t>
  </si>
  <si>
    <t>株式会社 シーエル
2.補助事業の概要
 本センターは、当社の売上拡大のみならず、運送業者と荷主の課題を解決する設備投資となる
 売上拡大と共に従業員1人あたり給与支給総額は、年平均成⾧率5.24%を目標とした賃上げを行う
• 前述している運送業界や荷主の課題は、中⾧期的に解決をしていく必要がある。
補助事業の 事業費 21億円
• 3PL事業者として、運送業者と荷主の抱える課題を解決するために、新たな物流拠点を保有
背景・目的 （補助額） （6.3億円）
することで、課題解決にむけた当社の対応可能容量を増やしたい。
[設備投資概要]
本センター建設費
住所 :福岡県筑紫野市大字下見32:1-116他.4億円
延床坪数:2,820坪（9,320.90㎡）
開発工事費
フォークリフト購入費 : 2.3億円
物流管理システム導入費 : 0.3億円
: 0.5億円
総額
設備投資の
[投資効果] :19.5億円
内容
• 急激な業務増加による物流センター不足を解消。
• 近隣センターと連携し、共同配送を促進することで、当社が最も
得意とする多品種少量物流における競合他社との優位性を更に
発揮できる環境となる。
• 受発注から配送までを本センターで行うことで、荷主から発注先への
配送日数及び距離の削減(＝荷主の販売機会増加)が可能。
• 物流拠点の増加・分散により、国土交通省の推進するトラック待機
時間の削減を図ることができる。
項目 2026年度（基準年度） 2029年度（基準年度＋３年後）
労働生産性 261万円
216万円
（万円/人） （年平均上昇率＋6.4％）
従業員1人あたり 149万円
128万円
目標値 給与支給総額（万円/人） （年平均上昇率＋5.2％）
役員1人あたり -
-
給与支給総額（万円/人） （年平均上昇率＋5.2％）
補助事業に係る従業員数
750人 900人
（単位:人）</t>
  </si>
  <si>
    <t>1.長期成長ビジョン 株式会社ササキ
・人的資本経営、ダイバーシティ経営等を積極推進することで、今後の中小企業のモデル企業を目指す
・2030年度売上高110億円（2023年度比273％）を実現し、高生産性・ウェルビーイングを実現する
長期成長ビジョン（目指す姿・ビジネスモデル） 外発的動機
• AI、データセンター、5G等の更なる普及とデジタル化の加速
• 半導体マーケットの急激な成長予測
新たな中小企業経営像（高生産性・ウェル
ビーイング）を確立するとともに、半導体・デ • 戦争や大国の対立等地政学リスク、気候変動
目指す姿 ジタル産業戦略を担うサプライチェーンの一員 • 経営環境の不確実性の高まり
として社会的役割を果たす※1 • インフレーションと競争環境激化
• 社会・顧客からのサプライチェーン強靭化要請
• 資源不足の進展による調達競争激化
・半導体製造装置 • 更なる技術力・競争力向上による付加価値向上
顧客
・医療等産業機器 • 多様性ある労働力の確保
セグメント
・航空宇宙防衛・モビリティ • 生産性と賃金向上の加速化
• 社員のウェルビーイング向上
・万が一にもトラブルがあってはならない半導体製
提供価値
造装置の大電流ワイヤーハーネスの安定供給
商品・
・中距離高電圧の高信頼性ワイヤーハーネス
ビジネス
サービス ・工場への設置・メンテナンス 内発的動機
モデル
・サプライチェーン強靭化に寄与するため • 後世へのものづくりの継承
大規模自動倉庫により安定供給を実現 • 日本を支える産業に参画できる喜び
・特殊加工技術の社内資格合格者のみが • 地方中小企業のモデル企業になるビジョン
提供方法
製造することで安定品質・供給を継続 • 社員や関わる人を幸せにする、というトップとしてのミッション
・調達・製造・設置からアフターメンテナンスまで • 半導体・航空宇宙・モビリティ・医療等、重要社会基盤を支える顧客
ワンストップで対応
• 当社を育ててくれた山梨県韮崎市・宮城県大和町への報恩
以上が経営責任者としての内発的動機になります。
売上成長目標 日本を支える素晴らしいお客様に恵まれ、社会的にも意味と価値ある産業
• 2023年～2030年までの会社全体の売上高成長率13％ の一員である喜び、高品質な製品への誇りを忘れず経営して参ります。
• 2030年までの会社全体の売上高増加額70億円 結果としての成長や社員への還元、そして我々を育ててくれた地域への恩返
しを何としても実現する所存です。
※1：定量目標以外にも中期経営計画において、①誰もが憧れる会社をつくる、②いつも顧客に求められる存在になる、③関わるすべての人を幸せにする、という3点をビジョンとして設定</t>
  </si>
  <si>
    <t>株式会社ササキ
2.補助事業の概要
・中長期戦略として成長市場かつ当社が競争優位性を持つ半導体製造装置向けマーケットを強化
・大規模投資によって更なる参入障壁を構築するとともに、生産性を向上
補助事業の •中長期戦略として半導体製造装置向け高信頼性ワイヤーハーネスにリソースを投入する 事業費 39億円
背景・目的 •本戦略投資の結果として、安定的成長・賃上・生産性向上を実現する （補助額） （13億円）
・半導体製造装置向け高信頼性ワイヤーハーネス製造工場 ドラムローラーと
自動倉庫
┗新棟（第2棟）として鉄骨造2階建・8210.48㎡を増築 切断機
┗1F:ACワイヤーハーネス、2F:DCワイヤーハーネス
・自動倉庫と当社開発の専用システム
┗910パレット搭載の自動倉庫を予定
┗各ターミナルに使用部材を自動で搬出搬入可能
設備投資の
内容 ・独自開発ドラムローラー
┗ドラムローラー搭載(独自開発)パレットにより自動倉庫と一体化
┗1ドラム運搬5分22秒削減→平均35ドラム/日＝187分50秒/日削減
・在庫管理Dx
┗部材発注ロスの削減、部材在庫の過在庫、部材欠品の削減による
最適在庫と発注タイミングの明確化
┗2026年度には人による管理時間をほぼゼロにできる予定
20xx年度 20xx年度
項目
（基準年度） （基準年度＋３年後）
労働生産性 1,431
1,375
（単位：万円/人） （年平均上昇率＋1.3％）
従業員1人あたり給与支給総額 356
目標値 312
（単位：万円/人） （年平均上昇率＋4.5％）
役員１人あたり給与支給総額 -
-
（単位：万円/人） （年平均上昇率5.1％）
補助事業に係る従業員数
54 95
（単位：人）</t>
  </si>
  <si>
    <t>1 長期成長ビジョン/当社の概要 株式会社ミラプロ
.
・1984年に電子基板組立を開始、1995年に異業種である真空部品メーカーへ転身し事業を拡大してきた
・2018年から真空分野をコアとして、半導体製造装置や液晶パネル、エネルギーや先端研究に貢献している
企業名：株式会社ミラプロ 沿革
所在地：山梨県北杜市須玉町穴平1100番地 1984年~ 創業、下請け時代（基板組立を開始）
資本金：9,750万円 1995年~ 真空部品メーカーへ
会社概要
従業員：750名（23年3月） 2002年~ 海外展開、医療分野への進出
・沿革
理 念：人々の生活・文化に貢献する企業集団を目指します。 2010年~ KAGRA参画、次世代事業を展開
創業時の3つの理念 2012年 津金洋之が代表取締役に就任
奇蹟の創造 たゆまぬ努力 豊かさの追求 2018年~ 真空をコアとして更なる飛躍へ
次世代事業開発
事業 真空 ユニット 医療機器
エネルギー・その他
事業・ 真空技術を活かし
半導体やフラットパネルディスプレイの 微細製品加工技術の
事業内容・ 事業内容 科学・エネルギー分野へ貢献
製造装置の（真空）部品製造・組立・据付 自動化装置の製造
売上比率 自社ブランド設備の開発
売上比率 半導体・FPD製造装置分野：92%程度 7%程度 1%程度
振動子検査 AI搭載
溶接ベローズ等 真空チャンバーの溶接 テーピング装置 検査システム KAGRAの真空ダクト
主な製品・
微細製品
主な技術 チラーの 加工技術の
自動化装置
設計・製造
温度環境の
構築のための
カスタマイズ 最先端超高 超電導フライホイール
成型ベローズ等 真空機器 蓄電システム</t>
  </si>
  <si>
    <t>1.長期成長ビジョン/当社が目指すべき長期成長ビジョンと重点戦略 株式会社ミラプロ
・BORDERLESSとして壁をつくることなく、世界中のよいところから買い、求める顧客に製品を提供してきた
・2034年売上高1,000億円を目指し、グローバル基準で競争力を高め、最先端分野の発展に貢献する
長期成長ビジョン（目指す姿・ビジネスモデル）
〈基本方針・売上高目標〉
ニッチな高度技術で最先端分野の発展に貢献し、設立50周年を迎える2034年に売上高1,000億円を実現する
※売上予測についてはP8グラフを参照
〈重点戦略〉
• 開発・設計と製造の直接部門のヒトの割合増加 • 48時間以内に見積回答できるスピード感の強化
売上増加とともに増員が必要な間接部門の人員の割合を減らし、 半導体製造装置の分野において、当社の競合は台湾や韓国の企業である。
売上高と利益率の増加に貢献する部門の人員の割合を増やす。 データ活用により、時差がある中でも、48時間以内に見積回答することで、
現在の間接部門の人数で売上高1,000億円を実現する体制を構築 グローバルな受注の機会を確実に捉えられる体制を構築
• 前後工程（開発・設計、保守・メンテ）への本格進出 • 迅速な投資判断・意思決定を可能にするデータ活用
スマイルカーブにおいて高付加価値となる開発・設計と保守・メンテに本格進出 世界の半導体分野のトッププレイヤーの投資判断は迅速であり、
これまで「部品の製造と組立・据付」を主としてきたが、データ活用により 当該分野の事業領域を持つ企業もそれに合わせた意思決定が必要となる
製品ライフサイクルの開発・設計から保守・メンテ、そして廃棄まで対応可能 収益状況や財務データを即時活用できる体制で経営判断を加速
〈実現するための取組内容〉
データによる一元管理とデータを即時活用するために基幹システムの導入（PLM,SCM,ERPなど）を実施することで付加価値を高めていく
外発的動機 内発的動機
AIやIoT,5G通信技術の普及に伴う、高性能な半導体製造装置需要 「BORDERLESS」を掲げ事業推進・採用促進
半導体・医療など業界トップ企業の意思決定の迅速さ
「奇蹟の創造」「たゆまぬ努力」「豊かさの追求」
高齢者数の増加に伴う、医療機器類の需要
設立50周年に向けた成長「売上高1,000億円の達成」と利益率向上
エネルギー分野における発電・蓄電に関する研究開発の進展</t>
  </si>
  <si>
    <t>1.長期成長ビジョン 株式会社ミラプロ
・半導体製造装置、医療、エネルギーのすべてにおいて、成長と変化が著しいため対応力が必要
・創業時に掲げた理念とBORDERLESSの考え方で成長を実現。設立50年にむけて新たな課題と向き合う
高性能な 業界トップ企業の 高齢者の増加に伴う エネルギー分野の
半導体製造装置需要 意思決定の迅速さ 医療機器類の需要増 発電・蓄電の発展
〈具体的内容〉 〈具体的内容〉 〈具体的内容〉 〈具体的内容〉
IoTやAI,5G通信技術などの 半導体分野・医療分野など 負担が少なく効果の高い最 環境負荷の少ないエネルギー
普及に伴い、高性能な半導体 当社取引先は業界トップ企業 新の医療機器やディスポーザ の発電や蓄電の研究開発が進
外発的動機 と製造装置の需要が増加 であり、投資の意思決定が迅速 ブル医療用品の需要が増加 んでいる
の詳細
〈トレンドへの対応〉 〈トレンドへの対応〉 〈トレンドへの対応〉 〈トレンドへの対応〉
当社の真空関連技術を活か 取引先の投資判断に迅速に 技術の進歩に伴う製品ライ 当社の真空に関する知見や
し、半導体分野において、開発 追随するためデータ活用体制を フサイクルの短縮化に対応す 技術はエネルギー分野の発電・
から保守メンテまで一貫対応体 整備して経営判断・意思決定 るため製造データを一元管理 蓄電においても活躍しており、
制を確立する のスピードと確度を高める し、引き合いから製造までの 知見の効率的な提供で研究
時間を短縮化する 開発に貢献する
「奇蹟の創造」
設立50周年
「BORDERLESS」 「たゆまぬ努力」
に向けた成長
「豊かさの追求」
年齢、性別、人種、国籍など 創業時に掲げた３つの理念を 設立50年を迎える2034年
内発的動機 の壁を一切つくることなく事業を 根幹とし、市場の変化や顧客の に売上高1,000億円を社員
の詳細 推進、採用を促進し、国内外 ニーズを先取りし、社員の成長と 一丸となって目指している。
の事業所で多国籍な人材が自 技術の革新を通して、人々の生 各成長市場の拡大に追随
分の能力を発揮し活躍できる 活・文化に貢献する企業集団 するとともに、高付加価値化
環境を整えていく を目指す や省力化による利益率の向
上にも取り組んでいく</t>
  </si>
  <si>
    <t>補助事業の概要 株式会社ミラプロ
2.
・新たな基幹システムの導入により全社的な生産性向上と直接部門への配置転換による利益率向上を見込む
・データ活用が進むことでスマイルカーブの高付加価値領域に本格参入が可能となり、更なる高収益を実現可能
• 設立50周年を迎える2034年に売上高1,000億円を目指している
補助事業の 事業費 億円
• 売上高増加に伴い、間接部門の人数増加率が高まり、利益を圧迫している 13
背景・目的 （補助額） （ 億円）
• 新たな基幹システムの導入により高付加価値の開発・設計や保守・メンテに本格参入可能 4.4
次の機能をもつ新たな基幹システムを全社的に導入する。基幹システム導入にあたりサーバーなどハードウェアも導入する。
■PLM（製品ライフサイクル管理）システム
・開発・設計から保守・メンテナンス、廃棄までの製品ライフサイクルの管理システム
・データを収集する仕組みを構築し、原価や工程の標準化が可能になる
・取引先からの引き合い・企画のスピードが向上するため、
グローバルスタンダードである48時間以内の見積依頼に持続的な対応が可能になる
・データ収集が困難であった保守・メンテナンスにおける各種処置や部品交換（適量仕入）が可能になる
設備投資の
■SCM（サプライチェーン管理）システム
内容
・部品発注、調達、生産、販売の実績管理はSCMが担う
・PLMシステムと組み合わせて活用することで予実管理を行い、
標準コストや標準生産時間と照らし合わせることで継続的な改善が可能になる
■ERP（経営資源計画：労務・財務）システム
・人件費の管理や財務会計情報の管理を行う管理システム
・各種データをリアルタイムで活用できるため、迅速な経営判断が可能になる
・各種データが標準化されているため、確度の高い情報から経営判断が可能になる
2024年度 2027年度
項目
（基準年度） （基準年度＋３年後）
労働生産性 1302
（単位：万円/人） 926 （年平均上昇率＋12.0％）
目標値 従業員
（
1
単
人
位
あ
：
た
万
り給
円
与
/人
支
）
給総額 449
（年平均上
5
昇
2
率
0
＋5.0％）
役員
（
１
単
人
位
あた
：
り
万
給
円
与
/
支
人
給
）
総額 1182
（年平均上
1
昇
36
率
8
＋5.0％）
補助事業に係る従業員数
（単位：人） 773 901</t>
  </si>
  <si>
    <t>1.長期成長ビジョン マイクロカット株式会社
社会的な意義が高い半導体製造の効率化を当社独自技術のめっき加工により実現し、将来的な売上高100
億円を目指すとともに、全社的な賃上げを強化により優秀な人材の確保を行い、持続的な企業成長を果たす。
長期成長ビジョン（目指す姿・ビジネスモデル）
外発的動機
• 当社は経営方針として「世界最先端の標準化された加工技術を
確立し、お客様の発展に貢献できる製品づくりを行う」を掲げてお • 世界最先端のものづくりを国内で拡大していくためには優秀な人材
り、現在では国内外において通信および光通信用金属部品メー 獲得が必要となる。人口減少社会、特に労働力人口が今後急減
カーとして高い評価をいただいている。特に高機能光通信部品では していく中で引き続き優秀な人材を獲得するためには見合った待
世界シェアNo.1となっている。 遇を提供できる経営基盤が必要であると痛感している。
• 今後も、ものづくり集団として高付加価値商品への加工事業を通 • カーボンニュートラルや脱炭素社会の実現にむけて、電気自動車や
じて世界に通用する企業となるべくざまざまな事業に大胆な投資に 風力発電などに用いられているパワー半導体の需要が世界的に高
よって進出するとともに、当社が掲げる「大家族主義」に則り、得ら まると同時に、経済安全保障上の戦略物資である半導体を国内
れた収益を賃上げにより従業員に還元することで優秀な人材の確 で効率的に生産する体制を構築することは日本にとっても喫緊の
保を行い、企業の持続的な成長を生み出す好循環につなげたいと 課題であり、当社の技術力を活かして半導体国内生産をより効率
考えている。 化していく社会的な意義が非常に高まっている。
• しかし現状の事業はボラティリティが大きいため、安定した従業員
還元のためには経営の安定化を図る必要がある。
内発的動機
• 具体的には、製造装置の切削分野で既参入している半導体事
業への本格的な参入をシリコンウエハーへのUBM形成プロセス
• 当社社長は過去に京都本社の同業種の鹿児島工場長であったが
（めっき加工）を通じて行い、将来的にはコアな技術分野への進
同社の倒産を経験。同社から工場等の資産を買い取るとともに雇
出など、半導体製造分野のマルチプレイヤーを目指す。
用も引き継いでおり、ものづくりへの想いを継承するとともに経営者
• 労働力減少社会においても優秀な人材確保を行うため将来的に
として従業員の雇用を確保することの重大性を痛感した。この原
は平均年収1,000万円をベンチマークとしつつ、2030年までに地
体験が現在の会社経営における礎となっている。
域No.1水準の待遇を目指す。
• 創業よりニッチ産業に特化したビジネスモデルであり、得意先も特
長期売上成長目標 定の企業への依存度が高い傾向にあったため、得意先の業績に当
社の業績も左右され、事業のボラティリティが大きいという課題が
・ 2030年時点（カッコ内は対23/12期）
あり、安定した従業員還元を行えない環境。
売上101億円
うち既存事業 32億円（＋9億円/＋36％） • これまで半導体事業等、自社資源を活用した事業領域の拡大を
積極的に行っており、長期的な経営拡大、安定化を実現すること
うち補助事業 69億円（＋53億円/+349%）
によってさらなる従業員の雇用確保、収益還元の実現を経営方
針として掲げている。</t>
  </si>
  <si>
    <t>.補助事業の概要 マイクロカット株式会社
2
社会的な意義が高い半導体製造の効率化を当社独自技術のめっき加工により実現するため、品質・生産性の
高い全自動設備の開発・導入を行う。 2025年3月までに補助事業を完了する予定である。
• 創業以来培ってきた当社の技術力を活かして、国内産業として重要性の高い半導体分野の発展 1 4.9 億円
補助事業の に貢献し、半導体事業におけるマルチプレーヤーを目指す 事業費 （ 4.9 億円）
背景・目的 • また、市場成長率が高い半導体事業を拡大することで、会社経営においても安定した事業成長と （補助額） ※2025年3月までに
従業員還元の拡大を目的とする 補助事業完了
• パワー半導体製造工程のうち、12インチのウエハーに新技術によるめっき加工
するためのライン設備を導入する。ウエハーのめっき処理において、自動装置とロ
ボットの組み合わせにより工程間の受け渡しも含めたすべての工程を自動化し
た、全自動めっきラインとなる。
• パワー半導体製造工程において初となる、12インチウエハー専用の全自動めっ
きラインの量産体制の構築を目指す。開発予定のめっきライン製造量は、他社
設備投資の における現行ラインの数倍程度の生産量を計画する。
内容 • 本補助事業によって、半導体メーカーの工数削減につながり、半導体製品製
造過程における設備投資コストの効率化、半導体製品の単価抑制、生産効
率向上に貢献する。
※導入予定の自動めっき装置（上記写真は参考）。今回のめっ
【パワー半導体製造工程におけるめっき処理】 きラインの導入は、2022年度に新設した工場に設けるため、建物
への投資は不要となる。
製品 受入 プラズマ ＜新技術＞ 膜厚 完成品 完成品 めっき排水処理についても、適正な排水処理・分析検査等が自動
受入 検査 処理 めっき処理 測定 検査 出荷 化されている。(写真提供：奥野製薬工業㈱)
2025年度 2028年度
項目
（基準年度） （基準年度＋３年後）
労働生産性 1,384
867
（万円/人） （年平均上昇率＋17％）
従業員1人あたり 601
目標値 505
給与支給総額（万円/人） （年平均上昇率＋6％）
役員１人あたり給与支給総額 2,871
2,410
（単位：万円/人） （年平均上昇率＋6％）
補助事業に係る従業員数
260 314
（単位：人）</t>
  </si>
  <si>
    <t>1 .長期成長ビジョン 大峰堂薬品工業株式会社
漢方薬の需要が高まる中、「OEM事業の国内シェア7割」というKGIを達成することより、より多くの
方々に創業123年の歴史の中で蓄積してきた技術をお届けし、日本を元気にしたいと考えています。
長期成長ビジョン（目指す姿・ビジネスモデル） 外発的動機
• 漢方薬市場の伸長
漢方薬製造（OEM）において
医薬品全体の市場規模は過去10年間で17.1％伸長しているが、
国内シェア７割の「健康創造総合企業」へ その中でも漢方薬の市場規模は27.0％の高い伸長率となってお
り、医薬品市場全体から見ても、今後の需要および規模拡大の余地
• 生産能力の拡大
が大きい（出典：厚生労働省薬事工業生産動態統計）。
現段階で漢方薬製造のOEMにおいて国内トップシェア（現状3
• 物価・原材料費の高騰
割）を占める当社が、更なる生産能力の拡大により、少しでも安価
2024年現在、日本の消費者物価指数は2020年に比べて、
に消費者へ漢方薬を提供する体制を強化することで、誰もが健康
6.9％の増加を記録している（出典：総務省統計局）。また、漢方薬
な生活を送ることのできる社会の実現に貢献したい。
の原料である生薬の大半は海外からの輸入に依存しており、昨今
• 購買チャネルの拡大
の円安等の影響で、仕入価格の上昇が続いている。製造コストの上
漢方薬は薬品としてだけでなく、より一般消費者の生活に溶け込
昇は最終的な販売価格の転嫁を招き、同時に当社の利益率悪化に
む余地があると考えている。食品や美容品など、漢方薬の良さが
も繋がる。
活きる業界に裾野を広げることで、消費者の潜在的ニーズに働き
かけ、漢方薬をもっと身近なものとして認知してもらいたい。最終
的には漢方薬を通してお客様の健康を総合的にサポートする「健
内発的動機
康創造総合企業」を目指す。
• 誰もが皆、夢を実現できる世の中にしたい
代表の辻は誰もが皆、自分自身の描いた夢を実現できる社会で
売上成長目標
ありたいと考えており、夢実現のためには自身の健康維持が不可
• 2035年までに全体の売上高 200億円（KGI） 欠であると考えている。親子間における子の健康管理が親の責務
• 2030年までに全体の売上高増加額 70億円（KPI） であるならば、当社の役割はその健康維持に向けた商品を世の中
※成長率 90％ へ広く提供する事が社会的使命と捉えており、全社一丸となって漢
• 2030年までに医療用漢方薬の売上高増加額 15億円 方薬を通じた社会貢献をしていきたい。
※成長率 37％ • 漢方薬の素晴らしさをもっと広めたい
昨今、生活習慣病やストレスに起因する現代病が増加している。
• 2030年までに一般用漢方薬の売上高増加額 50億円
漢方薬は病気への対処だけでなく、根本的な体質改善にも適して
※成長率 155％
おり、現代人を救う有効な手段であると確信している。</t>
  </si>
  <si>
    <t>.補助事業の概要 大峰堂薬品工業株式会社
２
今後も事業を拡大していくためには、単に人員や生産設備を増やすことだけはリスクが伴うため、
最新技術を取り入れたスマートファクトリーの建設を計画しています。
• 当社は現在、市場全体の成長を上回るペースで事業を拡大している。当社は漢方薬のユーザ
ビリティにおいて業界内でトップレベルの技術力があるが、現在の生産能力では受注量が限界
補助事業の 事業費 113 億円
に差し迫っている。
背景・目的 （補助額）
• 原材料費の高騰や昨今の人手不足に際し、今後継続的に事業を拡大するためには省力化投資
（36 億円）
による労働生産性の高い生産体制の構築が必要不可欠と考え、今回の投資に踏み切った。
【概要】
原材料費高騰の影響を受けても、最終的な販売価格に転嫁しなくて済むように効率的
な生産体制の構築のための新工場を新設する。
【労働生産性向上ポイント】
1. 各工場の役割分担の明確化
現在、当社が保有する3つの工場では、工場ごとの役割が複雑化している。各工場間
の生産状況によっては中間製品が次の工程に移れず、滞留するという現象が日常茶
飯事である。新工場の新設を機に、「大量生産の製品は第一・第二・新幸場」、「少量生
設備投資の 産の製品は本社工場」という役割に分担することで、各工場の生産力最大化が可能
内容 になる。
2. 夜間運転・連続生産
一部工程は自動化できる最新設備を導入し、ほとんど無人での運用が可能になり、
生産量拡大につながる。また、生産設備のスケールアップ及び台数の増加によって、
各設備ごとに製造する製品を振り分け、原料の切り替えに伴う洗浄・検査コストを軽
減できる。
3. ソフトウェアと連携した最先端の生産設備
SCADA（データ集積）システムと最先端の生産設備をつなぎ合わせることで（IoT
化）各生産ラインを一括管理ができ、効率的な運用が可能になる。また、生産データを
蓄積することにより、原料の最適な調合の発見や品質管理の厳格化が可能になる。
2027年度 2030年度
項目
（基準年度） （基準年度＋３年後）
労働生産性 1,334
1,210
（単位：万円/人） （年平均上昇率＋3.3％）
目標値 従業員1人あたり給与支給総額 588
519
（単位：万円/人） （年平均上昇率＋4.21％）
役員１人あたり給与支給総額 -
-
（単位：万円/人） （年平均上昇率＋4.00％）
補助事業に係る従業員数
280 308
（単位：人）</t>
  </si>
  <si>
    <t>株式会社菰下鎔断
1.⾧期成⾧ビジョン
「四方良し」の経営理念のもと、厚板2次・3次加工品への対応力を強化し、次世代エネルギー分野での技術発
展に貢献し、2028年度までに80億円以上の取引規模(売上高)の増加を見込む。
【経営理念】
近江商人の「三方良し」の精神に、モノづくりの会社として「作り手良し」を加えた「四方良し」を経営理念と定義し、「作り手」＝「生産部門」が「売り
手・買い手・世間良し」を意識したモノづくりに徹し、「お客様に喜ばれるモノづくりを通して、自らの品質や技量の向上に喜びを感じることができる企業」を
目指している。
⾧期成⾧ビジョン（目指す姿・ビジネスモデル） 外発的動機
• 顧客の環境変化や、次世代エネルギーの実現に向けた対応製品
• ニーズのある次世代エネルギー分野での技術貢献を行うことでカー
開発を率先して推進していかなければ、顧客及び日本の技術発展
ボンニュートラル社会の実現に貢献する。
に貢献できない。
• 洋上風力に関し、「洋上風力産業ビジョン」（2020年、官民協議
１．社内一貫加工ノウハウを活かし、これまで行っていない精密鎔断
会）において、政府として2030年10GW、2040年30～45GW
後の2次・3次加工品（厚板の製缶等）の提案型営業を強化し、
の案件形成、2040年までに国内調達比率60％の目標が設定さ
また当社の得意とする少量多品種の案件への対応力を高め取引の
れており、関連企業からの厚板2次・3次加工品のニーズや引き合
獲得力向上を図る。
いが増えている。
２．顧客からの要望に、生産性向上につながる高い品質で応え、新
たな雇用の促進、従業員の技術向上に結びつくチャレンジングな事業
を展開する。
内発的動機
• ニーズのあるところで、付加価値の高いハイクォリティー製品の製造を
３．給与・待遇はもちろん、地域や社会に貢献することによる「達成
拡大し、事業の拡大、技術の向上や蓄積につなげていきたい。
感・成⾧感」により、従業員が充実した人生を過ごせる環境を作る。
• 経営理念から、製品だけでなくプロセスも革新し、顧客に喜ばれるモ
ノづくりにチャレンジし、従業員の更なる「達成感・成⾧感」につなげ
売上成⾧目標（対最新決算期）
ていける事業の必要性を強く感じている。
• 2028年3月度までに会社全体の売上高成⾧率66％
• 日本における自動精密鎔断業のパイオニアとして、常に一歩先を見
（CAGR13.6％）
る研究と技術開発で、わが国を代表する大手企業をはじめとした基
• 2028年3月度までに会社全体の売上高増加額約82億円
幹産業の発展に貢献してきた。
• 2028年3月度までに会社全体の売上高205億</t>
  </si>
  <si>
    <t>株式会社菰下鎔断
2.補助事業の概要
既存事業の高い鎔断技術と最先端の設備の導入で、厚板２次・３次加工の新規領域の事業を展開し、日本
の次世代エネルギー分野の技術革新を担う。
• 既存事業で培った精密鎔断の技術や品質向上のノウハウを活かし、新たに洋上風力発電や水素関連
億円
補助事業の 施設の部品の加工といった大型の厚板の２次・３次加工品を製造する新規領域の事業を展開。 事業費 16
背景・目的 • 厚板の製缶は現有設備では行えないため、最先端の設備であるDAVI社製ベンディングロールを中心と （補助額） （5. 1 億円）
した設備投資を行い、品質や生産性向上を通して事業の拡大を目指す。
生産性、納期、技術（品質）の向上を図り、ボトルネック解消のための積極的な投資
VR・AR溶接技能訓練システム
ホイスト式天井クレーン１台設置 （補助事業外で導入）
ちきり工場
費用:約1.0億円
既存部分 新設部分
２次・３次加工工程
増設
費用:約6.2億円 ベンディングロール
２台導入
溶接装置
設備投資の
4台導入
内容
本社工場
精密鎔断工程
パレットチェンジャー 費用:約2.0億円
８段ストッカー、 NCガス切断機
レーザー切断機２台 ２台導入 費用:約6.8億円 ターニングロール
3台導入
導入
風力用で最も実績がある、DIVI製設備を
（補助事業外で導入） 費用:約0.6億円 導入。板厚130mmの高速製缶加工が 費用:約0.6億円
工程の自動化、夜間の稼働を可能にすることで生産性が向上 可能となり、品質と生産性が向上する。 大型製品の効率的な溶接が可能
2025年3月度 2028年3月度
項目
（基準年度） （基準年度＋３年後）
労働生産性 1,962万円
1,427万円
（単位:万円/人） （年平均上昇率＋11.2％）
目標値
従業員1人あたり給与支給総額
537万円
659万円
（単位:万円/人） （年平均上昇率＋7.0％）
役員１人あたり給与支給総額 －
－
（単位:万円/人） （年平均上昇率＋4.6％）
補助事業に係る従業員数
201人 225人
（単位:人）
※ 前述のように全社と補助事業は一体であり、目標値も一体として算出している。</t>
  </si>
  <si>
    <t>1.長期成長ビジョン 株式会社向山工場
手作業からロボット等による自動生産へ。
ある程度規格化された鉄筋ユニット製品の普及を図り、鉄筋の工業製品化をリードする。
• 鉄筋工事は、いまだに手作業による組み立て作業が中心である。そのため、品質に課題があるだけでなく、現場労働力の不足に直面している。
• 現場労働力の不足が建設・土木工事全体のボトルネックとなっており、原材料費の高騰とあいまって、建設費高騰と工期長期化を引き起こしている。
• 解決には、鉄筋組立を工場内でロボット等を使って行い、完成した鉄筋ユニットを現場で据え付ける『工場自動組み立てユニット工法』が有効であるが、普
トップシェア棒鋼メーカーの当社が工
及していない。普及しないのは、規格化されていないため、自動化が難しいのが要因である。そこで、
場を新設して鉄筋加工業に進出し、その影響力によって規格化とユニット化を推進する。
鉄筋の工業製品化を実現する。
長期成長ビジョン（目指す姿・ビジネスモデル）
外発的動機
『鉄筋の工業製品化をリードする』 • 建設現場の人手不足。
建設技能労働者の高齢化と減少により、鉄筋組立現場は慢性的な人
• 鉄筋工事は、いまだに手作業による組立が中心。
手不足である。これが、建設・土木工事全体のボトルネックとなっている。
そのため、品質に課題がある上、建設現場の人手不足に直面。
原材料費の高騰も重なり、建設費が高騰し、必要な工事も滞っている。
• 鉄筋組立の自動化が進展しないのは、規格化されていないため。
• 鉄筋加工会社の権限拡大。
全く規格化されたいないものを自動化するのは困難なためである。
既存事業（棒鋼メーカー）の直接の顧客はゼネコンだが、鉄筋を支給さ
• 棒鋼トップメーカーの当社がリードして規格化する。
れて加工している鉄筋加工会社が棒鋼メーカーを選択する権限を持つよう
鉄筋工事・加工会社の規模は棒鋼メーカーより１桁小さく、規格
になっている。鉄筋加工会社は後継者問題と設備投資難により再編・大
化をリードできない。そこで、当社がリードして規格化を推進する。
型化の流れにある。当社親派の会社は小規模が多く、再編されるケースが
• 高付加価値鉄筋加工センター（新工場）を立ち上げる。
増えている。それは当社売上の減少を意味するため、放置できない。
上記実現のため、当社として初めて、鉄筋加工事業に進出する。
• 資源価格に左右されない事業が欲しい。
一般的な鉄筋加工工場は「切る」または「曲げる」の単能機を使っ
既存事業は鉄スクラップ価格の影響を強く受ける。安定した事業が欲しい。
て加工するのに対し、新工場では自動化を推進し、生産性を上げ
る。さらに、ロボットによる溶接・組み立て設備も導入する。
内発的動機
• 製品を絞り、一歩一歩規格化を進める。
場所打ち杭用鉄筋籠のユニット製品（開発終盤）からスタートし、 • 鉄筋加工技術の自社開発と蓄積。
徐々に製品を増やしていく。 当社は、棒鋼メーカーでトップシェアである。それは、当社が鉄筋の加工方
• ゼネコン・設計事務所と連携して進める。 法を含めた技術開発を行い、提供してきたからである（P18左下）。
既存事業のコネクションを活かし、ゼネコン・設計事務所と連携する。 • 最初の規格化ユニット製品が開発終盤である。
当社は場所打ち杭用鉄筋籠のユニット製品の開発を進めており、開発終
売上成長目標
盤である。この製品化に関し、当社は現在鉄筋加工設備を持たないため、
• 2030年3月までの会社全体の売上高成長率48％ 外部の協力会社に任せるしかない。今、鉄筋加工設備を自社に導入す
• 2030年3月までの会社全体の売上高増加額146億円 れば、自社で製造でき、大きな利益を生む。千載一遇のチャンス。</t>
  </si>
  <si>
    <t>.補助事業の概要 株式会社向山工場
2
鉄筋の工業製品化をリードするため、棒鋼メーカーである当社が、
高付加価値鉄筋加工センターを新設する。電炉製鉄業から鉄筋加工業に垂直展開する。
一般的な鉄筋加工工場にあるのは「切断機」と「曲げ機」の２種類である。自動機が普及しているものの「数本の鉄筋をセットした長さに切る」「セットした角度に
曲げる」程度の自動機能であり、機械への鉄筋のセットと搬出や、機械への情報入力は作業員が行っている（鉄筋は数本で30kgなどの重さになり、重労働）。
作業員は、絵符（鉄筋１品の加工形状を記した図）を元に加工を行うが、その絵符は、ゼネコンから入手した図面を元にベテランが時間をかけて作成している。
さらに、複数ある加工をどの機械でどの順番に行うかを手作業で決めている。そのため、例えば同じ材料を使う加工の間に別の材料を使う加工を行うなどしており、
材料交換や機械セットの時間を無駄に発生させている。空いている機械と忙しい機械ができてしまっている。
新工場では、これら全てにメスを入れる。切断機と曲げ機を接続した自動ラインやロボット等を導入する。絵符の作成や作業の振り分けなどをシステム化する。
さらに、一般的な機械では加工できない『高強度鉄筋』や『PC対応レベルの高精度加工』にも対応する。新設工場なので、全ての機械は最新鋭の新品である。
太陽光発電設備で、工場電力の大半を賄う（一般的な鉄筋加工工場では製造原価の数％が電気代）。
これらにより、他社ではできない加工（高強度鉄筋、PC、ユニット）ができるだけでなく、労働生産性の抜本的な向上が図られた最新鋭の工場となる。
補助事業の • 鉄筋の工業製品化をリードする。そのために、新設する工場には最新鋭の設備と、独自仕様 事業費 4 億円
0
背景・目的 の生産管理システムを導入し、高い品質と高い生産性を両立する。 （補助額） （1 億円）
3
• 高付加価値鉄筋加工センター（工場）を新設する。
埼玉県羽生市に土地取得済。
• 工場建屋の新築（1階床面積：140m×39ｍ＝5,460㎡）
設備投資の • 鉄筋加工機械の新規導入
内容 切断機7台、曲げ機16台、高強度鉄筋フープ自動生産ライン（切断、
磨き、曲げ、溶接）、ロボット自動溶接機、エムケーパイリング機、など
• 太陽光発電設備（2200KWh/日 自家使用）
• 特別仕様の生産管理システム(P16)
2026年度 2029年度
項目
（基準年度） （基準年度＋３年後）
労働生産性 4,618
3,859
（単位：万円/人） （年平均上昇率＋6.2％）
目標値 従業員1人あたり給与支給総額 741
640
（単位：万円/人） （年平均上昇率＋5.0％）
役員１人あたり給与支給総額 －
－
（単位：万円/人） （年平均上昇率＋5.0％）
補助事業に係る従業員数
169 206
（単位：人）</t>
  </si>
  <si>
    <t>株式会社八芳園
1.長期成長ビジョン
当社がこれまで主力としてきたブライダル会場（バンケット会場）を活用したバンケットビジネスにおいて、3つの
バージョンアップを行い、付加価値の高いビジネスモデルを構築するとともに、世界の成長を日本に取り込みます。
長期成長ビジョン（目指す姿・ビジネスモデル） 外発的動機
①婚姻数の減少と結婚式の多様化
■目指す姿
婚姻数は今後5年間で9.6％減少すると予測されている
世界の成長を日本に取り込む
画一的な式典が減少し、オリジナリティの高い演出のニーズが増加
■ビジョン ②MICE市場の拡大
バンケットビジネスのバージョンアップによって、 MICE市場は今後5年間で25%超の成長が予測されている
加えて、日本政府観光局等による積極的なMICE誘致が進んでいる
ブライダルの八芳園から国際親善の八芳園へ
③
バンケットビジネスの つのバージョンアップ ブライダル市場の縮小への対応を迫られている中、
MICE市場が有望と想定される
① ブライダルのみならず、多用途活用できるバンケットへ
② 土日集中からの脱却。平日も稼働するバンケットへ
内発的動機
③ 労働集約型からの脱却。バンケットビジネスのDX ①持続的な成長と一段高い収益性の確保
婚礼市場が縮小する中、MICE市場を取り込むことで一段高い成長の
■ビジネスモデル・主要施策 実現が期待できる。
① 国内外のMICE*の招致 売上単価UP
2018年にシンガポールで数多くの日本文化のイベントを開催した際、
② 平日開催のMICEへの注力 売上高、労働生産性UP 多くのステークホルダーとつながり、日本文化自体の高い価値を実感。
③ 調理・配膳等の自動機械の導入 労働生産性UP
②バンケットの平日稼働率の低さ
ブライダルを主体とした現在の事業活動では、稼働が土日祝に集中して
*MICEとは、企業等の会議(Meeting)、企業等の行う報奨・研修旅行（Incentive
Travel)、国際機関・団体や学会等が行う国際会議 (Convention)、展示会・見本市、 おり、平日にバンケットが活用できていない。
イベント(Exhibition/Event)等のビジネスイベントの総称
③持続的な成長と一段高い収益性の確保
売上成長目標
当社は、かねてよりバンケットビジネスが労働集約型であることに課題を
23/9期(実績) 26/9期(基準年*） 29/9期 感じ、オペレーション分野のDXの方法を模索してきた。
全社売上高 85.7億円 114.0億円 140.0億円 ただし、自動機械・ロボット等の活用には建物の改修も伴うため、
大規模投資を伴うオペレーション変革の機会を探っていた。</t>
  </si>
  <si>
    <t>.補助事業の概要 株式会社八芳園
２
バンケットビジネスのバージョンアップのうち、①多用途活用と③DXに向けて、バンケット会場の拡張、演出・通信
機能の強化、自動化機器の導入を行い、ビジネスの高付加価値化と労働生産性向上を狙います。
補助事業の • 需要が増加している海外MICEに対応するためのバンケット会場数および大規模会場を確保 事業費 68 億円
背景・目的 • 海外MICEの獲得によりバンケット会場の平日稼働率を高める （補助額） （2 0 億円）
23/9期 29/9期（基準年度＋3年後）
現状認識 ブライダル：売上5,974百万円 組数1,494組 単価3,999千円 投資後の姿 ブライダル：売上7,500百万円 組数1,500組 単価5,000千円
MICE：売上1,872百万円 組数1,291組 単価1,450千円 MICE：売上5,500百万円 組数2,200組 単価2,500千円
バンケット会場の拡張 演出・通信機能の強化 調理・配膳の自動化
大型バンケットの増設。300㎡以上の大型バンケッ 最新の映像設備・音響設備を導入。WEBとのハイブ 自動調理機器、自動配膳機器の導入により現場
ト会場を4会場から6会場に増設し、さらに超大型 リッド開催を可能にする大型LEDパネルや通信設備 運営を効率化。併せて、ロボット活用を前提とした
会場を1つ新設する。⇒海外MICE水準へ を強化。⇒海外MICE水準へ 施設・厨房の設計を実施する。⇒現場のDX
設備投資
の内容
▶ 客数・単価の向上、組数の増加 ▶ 単価の向上 ▶ 労働生産性の向上
項目 26/9期（基準年度） 29/9期（基準年度＋3年後）
労働生産性(単位：万円/人） 999万円 1,234万円 （年平均上昇率7.3％）
目標値 従業員1人あたり給与支給総額（単位：万円/人） 429万円 504万円 （ 年平均上昇率 5. 6 ％）
役員1人あたり給与支給総額（単位：万円/人） 1,338万円 1,510万円（ 年平均上昇率 4.1％）
補助事業に係る従業員数*（単位：人） 420人 490人
*就業時間換算</t>
  </si>
  <si>
    <t>トーアス株式会社
1.長期成長ビジョン
医療用流動食と医療用ゼリー一般食品を含めたあらゆる”食の力”で、薬やサプリメントに頼らず日本人
の「不健康な期間」をなくすことを目指す。
長期成長ビジョン（目指す姿・ビジネスモデル） 外発的動機
• 当社のメイン事業の1つである医療用流動食（国内シェアNO.1）
・当社は医療用流動食の受託製造および一般食品（ドライパッ
の今後の市場増加は鈍化していきます。
ク）の受託製造が主たる事業です。医療用流動食の受託製造は
業界内で安定した地位を築き上げました（国内シェアNO.1）が、
• 長寿、高齢化社会の今後の課題はどの様に健康的な老後を過
反面今後の市場拡大は鈍化が見込まれます。
ごす（不健康な期間をなくす）かです。
・本事業は、医療用流動食と一般食品の中間に位置する、医療
用ゼリー市場に新たに参入することで、健康に向けた食の提供 • 医療用ゼリーの市場は拡大しており、医薬品メーカーはOEM先
の市場範囲を広げます。 の生産力増強を必要としています。
・超高齢化が進む現代の日本において、健康寿命と平均寿命の
差、すなわち日常生活に制限のある「不健康な期間」が約10年あ
ると言われています。
内発的動機
当社は将来的に、医療用流動食と医療用ゼリー、一般食品を含
めたあらゆる”食の力”で、薬やサプリメントに頼らず日本人の • 当社は加工食品製造業として変遷してきました。創業時ゆで小
「不健康な期間」をなくすことを目指しています。 豆製造からスタートし、ドライパック缶、ドライパックパウチと変
遷し、高い品質要求に対応することで信頼を得て、医療用流動
売上成長目標（2024年3月期との対比） 食を受託製造できるまでに成長いたしました。
・2028年3月期までの会社全体の売上高成長率 77.6％
・2028年3月期までの会社全体の売上高増加額 8,428百万円
• 健康に向けた食の提供の市場範囲を広げるべく医療用ゼリー
・2028年3月期本事業の売上高増加額 7,900百万円
市場への参入を目指し、品質、生産効率を向上させた結果、今
回の医療用ゼリーの受託に至りました。</t>
  </si>
  <si>
    <t>トーアス株式会社
.補助事業の概要
2
設備投資の概要と生産性向上ポイント
・医療用ゼリーの製造は通常、医薬品メーカーがOEMメーカーに委託しているが、医薬品メーカーの
求める品質レベルを持つ食品メーカーはほとんどおらず、昨今の需要の増加にキャパシティが追い
事業費 14億円
付いていない。このため、地域や新商品を制限して販売されている。
（補助額） （4.6億円）
補助事業の ・当社は、品質力だけでなく製造コストやキャパシティで競合に大きく差をつけている。
背景・目的 これを背景に、医薬品メーカー各社から当社への医療用ゼリー委託の要望が相次いでいた。
・現状の医療用流動食ラインでは医薬品メーカーの求める製造数量に対応できない
（キャパシティが不足する）このため、新たに医療用ゼリーラインを導入することにした。
補助事業（医療用ゼリー）の生産ラインは、既存事業の医療用流動食の生産ラインと
同一工場内に導入する。工程を工夫することで、一部工程について既存医療用流動食ラインと
共有化し省人化することができる。
①調合工程：ゼリーの中身をつくる
製造の依頼・相談
設備投資の ②充填工程：ゼリーをパウチに充填する
内容 ③殺菌工程：加熱して殺菌する
④包装工程：箱詰めする 医薬品メーカー
生産性向上ポイント・・・ボトルネックになりがちな充填工程と包装工程を工夫。
4社
他
・業界最速の充填機を採用し、充填を高速化
・最新の自動包装設備を採用し、一部工程を既存ラインと共有し包装を大幅に省人化
2024年度 2027年度
項目
（基準年度） （基準年度＋３年後）
労働生産性 1,505
541
（単位：万円/人） （年平均上昇率＋40.7％）
目標値 従業員1人あたり給与支給総額 477
400
（単位：万円/人） （年平均上昇率+6.03％）
役員1人あたり給与支給総額
0 ー
（単位：万円/人）
補助事業に係る従業員数
45 60
（単位：人）</t>
  </si>
  <si>
    <t>株式会社中西製作所
1.長期成長ビジョン
「食の安全・安心」へのこだわり、学校給食という厳しい基準の中で成長してきた自信、日本発の独自技術、
以上をもって、食品加工分野への展開と海外市場で羽ばたくための基盤づくりを行う。
長期成長ビジョン（目指す姿・ビジネスモデル） 外発的動機
【目指す姿】 • 学校給食センターは、少子化の進展により年々縮小傾向にある。
老人福祉施設数及び、セントラルキッチン化についても、近年ほぼ
• 業務用厨房機器の総合メーカーとして、食中毒や異物混入問題
頭打ちの状態。
といった「食の安全・安心」という基本的課題に真摯に向き合い、
時代に合った効率的な製品の開発・製造を推し進める。 • 労働人口減少で当社も採用に苦労している。飲食に関係する業
界は同じく採用難であり、自動化・省人化を実現する効率的な設
• 従来得意としてきた学校給食や病院給食を中心とした厨房機械
備ニーズは強い。
マーケットから、中食・惣菜製造工場といった食品加工機械マー
ケットへの市場拡大戦略を遂行し、売上と利益の拡大を目指す。 • コロナ以降、中食・惣菜市場は拡大を続けている。
• 従業員を始めとした人材も重要な経営資源と捉え、人的資本の • インバウンド、円安、物価上昇など海外市場拡大の勢いを感じる。
価値を最大化するための組織的な取り組みも拡大していく。
【ビジネスモデル】
• 当社独自技術製品のラインナップを開発し、効率的な生産を行う
内発的動機
ことで選ばれるメーカーになる。
• 我々の業界で用いられる調理技術というものは、古くは紀元前から
• 拡大中である食品加工分野への展開を進め、得意とする自動
調理五法といわれる技術が基本となっており、技術革新が起きにく
化・省人化技術を生かして売上拡大を目指す。
いと言われてきた。しかし我々は全く新しい過熱水蒸気技術を開発
• 食品加工分野で海外展開を目指し、海外向け製品の開発生産、
した。この技術を用いた調理機器と、永年培ってきた炊飯技術で海
ショールーム設置等の営業力の強化を行う。
外進出したいという気持ちが強まった。
• ５～10 年後の社会を想像して「未来の給食センター」という動画
売上成長目標
を作成した際に、そこに描いたような自動化・省人化を突き詰めた
• 2030年までに会社全体の売上高450億円を達成 社会に貢献する企業でありたいと強く意識した。
• （2024年3月期比で成長率23％） • メーカーのプライドとして他社製品を仕入れ販売するのではなく、自
• （2024年3月期比で売上高増加額84億円） 社製品の売上を増やしていきたい。</t>
  </si>
  <si>
    <t>株式会社中西製作所
.補助事業の概要
2
群馬工場、製品倉庫を増築し、人員共通化などで生産性を向上させる。
新製品開発の研究開発部門新設し商品ラインナップを拡充、ショールーム新設など新顧客開拓を強化する。
【背景】 • 奈良工場、三重物流センターの老朽化、生産性の低下 事業費 36億円
• 要求された性能に合わず受注に至らない（オーバースペック） （補助額） （ 億円）
補助事業の 5.4
• 海外顧客の製品見学の要望に応えられていない
背景・目的
【目的】 • 組立工の共通化、老朽化した機械設備を先端機械へ更新することによる生産性向上
• 海外向け、国内食品加工工場向け新製品を開発する
• 群馬工場の隣地（買収済み）に工場を増築
約9500㎡
• 新工場に炊飯ライン製造を移管。専用機械設備の購入
プレス機等の加工機6台、フォークリフト1台、クレーン2台
• 大型製品倉庫を併設し、高効率な自動倉庫を導入。
設備投資の 自動倉庫600棚 写真等
内容
• 新製品開発を目的とした研究開発室設置。検査機器等の購入
クリーンブース一式、菌検査設備一式、水素調理設備一式、
データトレース1台、テンシプレッサー1台、マルチ味度メーター1台
2025年度 2028年度
項目
（基準年度） （基準年度＋３年後）
労働生産性 2,071
875
（単位：万円/人） （年平均上昇率＋33.3％）
目標値 従業員1人あたり給与支給総額 621
536
（単位：万円/人） （年平均上昇率＋5％）
役員１人あたり給与支給総額 0
0
（単位：万円/人） (対象事業のみを管掌する役員は0人)
補助事業に係る従業員数
61 100
（単位：人）</t>
  </si>
  <si>
    <t>1.長期成長ビジョン 株式会社国際エキスプレス
当社は『21世紀デジタル時代における物流革命の先駆者へ』として、“未来経営”の更なる強化に向けて、
物流のDX化を強力に推し進める。（2024年売上高：104億円 ➤ 2030年売上高：248.6億円へ）
長期成長ビジョン（目指す姿・ビジネスモデル） 外発的動機
• 2010年から2022年の3PL事業（※）の市場規模は、越境EC
『21世紀デジタル時代における物流革命の先駆者へ』
の拡大とともに年平均成長率（CAGR）9.1％の大幅な成長を
見せている。特に昨今日本の若者の間で韓国のファッションやコスメの
①当社は、10年後に向けた長期的な成長ビジョンとして、お客様のベ
人気が急上昇しており、輸入量も大きく拡大している。
ネフィットを第一とする企業を目指し、そして何よりもお客様より信頼さ
• 日韓間の物流に精通し、韓国企業との取引が多い当社にとっては大
れる物流インフラ企業として最高のサービスを提供していくことで『21世
きなチャンスが到来していると言える。
紀デジタル時代における物流革命の先駆者』となることを目指す。
• 2024年問題の影響や人口減少の本格化と労働力不足を背景に、
「ミクロ物流コスト」の物流単価は上昇傾向にある。
➁社会に対し提供する価値として、物流インフラ企業として国内だけで
• 今後、物流のアウトソーシング化がさらに進むとみられ、需要と供給
なく世界の物流と経済活動の安定化にも積極的に貢献する。
の関係性維持のためにも受け皿となりえる3PL事業のDX化を推
進した自動倉庫事業を実現していくことが大きな成長要因となると
③グローバル化による企業環境や国際物流の変化にもスムーズかつ柔
見込まれる。
軟に対応できる“未来経営”の更なる強化に向けて、物流のDX化を
強力に推し進め、物流情報システム、インフラ革新、グローバルロジス
内発的動機
ティックスの専門人材育成を継続的に推進する。
• 人材育成後に退職する社員が多く、離職率が高い。人事採用に関
従来の3PL事業のDX化を推し進め、物流DXソリューション事 するコストや、仕分け・梱包作業に関する外注コストも増大している。
業としてパッケージ化することで、KGI達成に貢献する。 • これまで人海戦術による倉庫作業が定着していた為に、国内倉庫の
自動化が遅れている。
付加価値向上 競争力強化 顧客の利便性向上
• 人為的なミスによる配送間違いや誤出荷が発生しており、作業品質
の担保が大きな課題となっている。
EC物流 サービス提供料金 自社開発システムによる
• 3PL事業のDX化は、先進的な取組みを通じて物流業界のゲーム
ワンストップサービス の見直し WMS/API連携
チェンジャーとなりうる可能性を秘めている。ピンチはチャンスと捉え、
DX化によって効率化と柔軟性を実現し、顧客満足度を向上させるこ
売上成長目標 とで、これまでを超える大きな成長を目指す。
• 2030年までに売上高248.6億円（売上高成長率239.0％、
＜3PL事業とは＞
売上高増加額144.6億円）を目標とする（KPI）
企業の物流業務を外部業者が一括して受託・運営するアウトソーシングサービス。在庫管理、配送、
• 2034年までに会社全体の売上高300億円を達成（KGI）
通関手続きなど多岐にわたる物流プロセスを効率化し、コスト削減と業務のスピードアップを図ることが
可能となる。荷主企業はこれにより、自社のコアビジネスに集中でき、競争力を強化できる。</t>
  </si>
  <si>
    <t>.補助事業の概要 株式会社国際エキスプレス
2
自動倉庫システム・自動梱包機等の導入と新規に物流効率の高い自動倉庫の新築によって、自社の課題解決を
目指す。2030年3月期の労働生産性は＋10.5%、給与支給総額は＋6.1%を見込む。
• 倉庫の自動化の遅れによる取扱可能な物量のキャパシティ、作業スピード、作業品質の限界 事業費 億円
47
⇒マテハン機器の導入による自動倉庫化により解決を目指す （補助額） （1 億円）
6
補助事業の
背景・目的 IT×LT×IoTを駆使しソフトウェアとハードウェアを組み合わせた自動倉庫の導入により、航空輸送・海上輸送・3PL事業を
物流DXソリューション事業として一体的に運用する。本事業は、横浜倉庫、東京倉庫、博多倉庫の３拠点において業務の省力化を
図る事業である。各拠点における設備投資内容は、下記に記載のとおりである。
≪東京支店≫投資額：5.5億円 ≪横浜支店≫投資額：45.6億円 ≪博多支店≫投資額：0.7億円
【機械装置・システム導入】 【倉庫新築】 【機械装置・システム導入】
・自動倉庫システム ・物流効率の高い倉庫を実現する。 ・マテハンシステム
・クッション封筒 自動包装機 【機械装置・システム導入】
・シュリンク包装 自動包装機 ・自動倉庫システム-
・自動包装システム ・クッション封筒 自動包装機
・チラシ丁合機 ・シュリンク包装 自動包装機
設備投資の
・自動包装システム
内容
・チラシ丁合機
・袋包装 自動包装機
【導入効果】
東京支店・横浜支店における３PL業務の
作業効率は約4倍となる。
博多支店における輸入搬出業務での
作業効率は約2.5倍となる。
2027年3月期 2030年3月期
事業全体
（基準年度） （基準年度＋３年後）
労働生産性 1,547
1,155
（単位：万円/人） （年平均上昇率＋10.2％）
目標値 従業員1人あたり給与支給総額 53 634
1
（単位：万円/人） （年平均上昇率＋6.1％）
役員１人あたり給与支給総額 3,625
3,075
（単位：万円/人） （年平均上昇率＋5.6％）
補助事業に係る従業員数
227 281
（単位：人）</t>
  </si>
  <si>
    <t>.補助事業の概要 株式会社国際エキスプレス
2
導入設備については、抜本的な省力化及び労働生産性の向上が見込まれる先進性の高い自動化設備を選定している。
省力化効果
導入場所 設備名称 イメージ画像 先進的特徴
（作業効率）
・東京支店 【Nano- ・コンベヤを使用せず、着脱式ラックハンガークレーンとケース搬送AGVで荷物をス 700~800
・横浜支店 Stream】 テーションまで移載/搬送が可能 ピース/h
-自動倉庫システム ・入庫から保管、ピッキング、ピース仕分け、保管、出庫までの工程を自動化
- ・自動で高速仕分け・検品レス
・東京支店 【メルパックライン】 ・1時間あたり最大1,000個の商品を包装 1,000
・横浜支店 -クッション封筒 自 ・1商品サイズに合わせて自動で商品を梱包、送り状伝票も自動貼り付け可能 パック/ｈ
動包装機- ・操作性の高いタッチパネル搭載
・東京支店 【シュリンクパックラ ・1時間あたり最大1,200個の商品を包装 1,200パック/
・横浜支店 イン】 -シュリンク ・ピッキング済みの商品を機械にセッティングするだけで最低2名から梱包作業可能 ｈ
包装 自動包装機 ・シュリンクフイルムにより緩衝材が不要。送り状伝票も自動貼り付け可能。高さ
- 5cmの箱にも対応。
・操作性の高いタッチパネル搭載。
【GeminiS・パッ ・商品サイズを自動測定し、最適な高さのケースを自動作成必要な資材は段ボー
・東京支店 ケージングシステム】 ルシートとフィルムの2種類のみ。資材置場を大幅に集約可 1,200
・横浜支店 - 自動包装システ ・ケースに余分な空間がなくなり、輸送効率の向上に直結する ケース/h
ム - ・シュリンクフイルムにより緩衝材が不要。送り状伝票も自動貼り付け可能。
・東京支店 【選択丁合機 | ・1枚物～冊子物まで多様なチラシの丁合が可能。 180
DM230-Si】 - チ セット/m
ラシ丁合機 -</t>
  </si>
  <si>
    <t>.補助事業の概要 株式会社国際エキスプレス
2
導入設備については、抜本的な省力化及び労働生産性の向上が見込まれる先進性の高い自動化設備を選定している。
自動倉庫についても、効率のよりレイアウト設計により省力化を大幅に実現する。
省力化効果
導入場所 設備名称 イメージ画像 先進的特徴
（作業効率）
・・横博浜多支支店店 【【バidッ SクOパRッTクEラRイ】 •• 1省時ス間ペーあスたでり最も設大置15可0能0個なの最商新品型をの梱高包速ソーティングシステム 16,,500000パケーックス//hh
ン-マ】テ-ハ袋ン包シ装ステ自ム •• 衣モジ類ュやー雑ル貨のな組どみの合緩わ衝せ材でが自必由要自な在い商にレ品イのア梱ウ包ト可に対能応。
動- 包装機- •• 製6,品00投0入ケーと同ス/時ｈにのバ仕ー分コーけド能を力読でみ物取流りセ、ン自タ動ーでの送能り力状をを向貼上付。
• 操作性の高いタッチパネル搭載。
導入場所 設備名称 イメージ画像 先進的特徴 省力化効果
・横浜支店 自動倉庫新築 物流DXソリューション事業に対応した＜ワンストップ次世代倉庫＞ ・貨物の入口と出口を
横浜ゲートウェイ 別々に設置し、貨物効率
（仮称） 港湾の保税倉庫内で、保税から国内貨物の輸送までワンストップで作業が を向上
でき、顧客の利便性とコスト面で大きなアドバンテージを持っている。 ・貨物エレベーター２基と
垂直搬送機２基を設置し、
横浜港から直接倉庫に持ち込める利点だけでなく、羽田空港からも近い。
縦方向の移動もスムーズ
越境EC事業（BtoC）と3PL事業（BtoBtoC）に対応したハイブリッド
倉庫。
・横浜支店 【バックパックライ • 1時間あたり最大1500個の商品を梱包 1,500パック/h
ン】 -袋包装 自 • 衣類や雑貨などの緩衝材が必要ない商品の梱包に対応。
動包装機- • 製品投入と同時にバーコードを読み取り、自動で送り状を貼付。
• 操作性の高いタッチパネル搭載。
補助事業実施場所を含めた全国4拠点の倉庫においてマテハン機器を活用した
物流DXソリューション事業の開始することで、受注能力が大幅に向上する。</t>
  </si>
  <si>
    <t>株式会社かねふくめんたいパーク
1.長期成長ビジョン
当社は明太子業界を索引するかねふくグループの一員として、世界への明太子の安定供給を目指し、これからも
成長を続ける。そして、名実ともに世界トップの明太子製造企業になることを目指す。
長期成長ビジョン（目指す姿・ビジネスモデル） 外発的動機
➀明太バラコ製品の需要拡大
◼ 目指す姿
✓ グループ： ⚫ 10年ほど前からコンビニのおにぎり、パスタに明太子の人気が出
今後も世界トップの明太子メーカーとして明太子業界を牽引し、世 始め、粒状の明太子の価値が拡大。家庭用・量販用ともに手
⚫
界の食卓に華やかさを添える企業として発展・成長していく 軽に調味できるばらこ製品の需要が増加している
✓ 単体： 海外では棒状の明太子の皮が受け入れられない場合もあり、粒
⚫
⚫ 明太子の可能性を追求し、素材へのこだわりと明太子づくりへの情熱 状の明太バラコ製品の需要が高まっている
を食を通して、世界中にお届けしたい
現状、引き合いは増加しているが、生産能力が不足し、
⚫
従業員が家庭と仕事の両立を図り、心身ともに健康な生活を送ること
⚫ お断りしている状況
ができる会社にする
➁自然災害の増加への対応
近年、地震や豪雨などの自然災害が増加しており、安定供給の
◼ ビジネスモデル ⚫
ためのリスクヘッジが必要。（客先からの要求も発生している）
✓ 名実ともに世界トップのメーカー
現状、茨城工場のみで明太バラコ製品は製造している
棒状の明太子だけでなく、粒状の明太バラコ製品の製造に注力 ⚫
⚫
現在、明太子は海外では「スパイシーキャビア」の愛称で、海外での人
⚫
気がとても高まっている。中でも、明太バラコ製品は海外人気が非常 内発的動機
に高いため、今後は海外向けに販売量の増加に取り組み、かねふくブラ ➀社員の労働負担を軽減したい
ンドの主力商品化を目指す
明太子の製造は人手による丁寧な作業と熟練が必要であり、
⚫
✓ 持続的に事業が行える体制の構築
生産量の増加は従業員への負担が大きく、明太子の機械化へ
自然災害など予期せぬ問題が発生しても、サプライチェーンに安定した
⚫ の挑戦を続けてきたが、形のある明太子は衝撃に弱く困難
供給を実施することが可能な体制を構築する
明太バラコ製品は機械化が可能で社員の労働負担を軽減
「粒だけの明太バラコ製品」の製造量を増加し、少子高齢化により、労 ⚫
⚫
➁世界トップのメーカーとしての挑戦
働力が減少しても安定した生産ができるように省力化に取り組む
現在は世界トップのメーカーであるが、国内への販売が主流と
⚫
なっているため、中長期的には日本の食文化を世界に届け、世
売上成長目標
界の食卓に華やかさを添えたい
2028年7月度までに ※対2023年7月度比 ➂世界中の食卓に安定して製品を届けたい
グループ全体の売上高成長率：128％ 現在、海外にも店舗を所有する大手企業にも、明太バラコ製品
⚫
グループ全体の売上高増加額：+67億円
を供給中。来る労働力不足や予期せぬ自然災害などの問題が
会社全体の売上高成長率：182％
発生しても、持続的に製品を供給することが可能なサプライ
会社全体の売上高増加額：+33.4億円
チェーンの構築を目指す</t>
  </si>
  <si>
    <t>株式会社かねふくめんたいパーク
.補助事業の概要
2
明太バラコの需要への対応・将来の人手不足への対策のため、機械で製造可能な明太バラコを生産する施設
を増設する。これにより、生産性・収益力を向上し、従業員の賃上げ・持続的な雇用促進を目指す。
• 明太バラコ製品の需要が増加しているが、自社の生産設備が不足。補助事業を通じて、明太
補助事業の バラコの量産化体制を構築、既存工場のリスク分散（安定供給）も図る 事業費 1 2 億円
背景・目的 • 将来、人手不足が懸念される中、明太バラコ製造は、熟練した人手が必要な明太子製造に比 （補助額） （ 1.4 億円）
べ、機械化による省人化が可能。労働人口が減少しても持続的に事業を実施することが可能
◼ 設備投資の内容
工場建設費 9億2000万円
機械設備費 4億8000万円 合計 14.0億円
◼ 愛知県の常滑工場に明太バラコを製造する工場を増設
2,400tの生産力を有し、量産化に最適な生産体制、品質評価体制を確立
⚫
設備投資の
→現在の明太バラコの需要（引き合い）への対応可能
内容
機械化により、形のある明太子製造に比べ1/5の人員で製造可能
⚫
→将来の労働人口の減少の対策として省力化を実現。
労働負荷を低減し、快適な作業環境を構築することで定着につなげる
機械設備は保存性を高める低温殺菌装置、急速冷凍のトンネルフリーザーを
⚫
設置し、品質が高い幅広い用途の製品が可能
→顧客の幅広い要望に対応可能
2025年7月度 2028年7月度
項目
（基準年度） （基準年度＋３年後）
労働生産性 1,143
（単位：万円/人）
290
（年平均上昇率＋57.9％）
目標値 従業員1人あたり給与支給総額 272
236
（単位：万円/人） （年平均上昇率＋4.8％）
役員１人あたり給与支給総額 1,639
1,500
（単位：万円/人） （年平均上昇率＋3.0％）
補助事業に係る従業員数
63 104
（単位：人）</t>
  </si>
  <si>
    <t>信越理研株式会社
1.⾧期成⾧ビジョン
創造性の発揮、技術革新の展開、環境保全対策をもって「顧客の依頼にノーと言わない」を可能とし、グローバ
ルに社会の問題解決・持続可能性の実現に貢献し、自らも成⾧し続ける。
⾧期成⾧ビジョン（目指す姿・ビジネスモデル） 外発的動機
 脱炭素社会に向けて政府が2035年新車電動化を表明し、バッテリー、
１．独創性の発揮、技術革新の展開
インバータ等の需要拡大。また、進化する自動運転技術ではカメラモ
ジュール、センサ等の需要が拡大し、金属表面処理ニーズが高まっている。
（１）高硬度・高純度の特殊銀めっきに代表される技術力の維持、高度化
 経済産業省「半導体戦略」(概略)では、2030 年までに、省エネ 50％
（２）脱炭素を背景に電動化が進むモビリティ分野への対応 以上の次世代パワー半導体の実用化・普及拡大を進め、日本企業が世
界市場 シェア 4割（1.7 兆円）を獲得することを目指すとしている。パ
（３）成⾧分野であるパワー半導体への参入
ワー半導体にも表面処理加工を施した部品が必要であり、需要拡大が
２．環境への配慮
見込まれる。
 環境への配慮やステークホルダーとの関係など、企業に求められる非財務
（１）地域と共生する企業として排水管理の徹底継続
分野への対応が必須である。
（２）脱炭素への対応（「CO2排出原単位の削減」など）
３．サステナビリティの観点
（１）新規技術の開発、同業他社との優位性確保
内発的動機
（２）地域社会への貢献
 複雑化、高度化する顧客ニーズや、モビリティ分野の環境変化に対応す
（３）従業員のエンゲージメント向上を目指す
るための生産体制の構築が必要。
4．リスク対応  経営理念である“私たちは、全社員の知恵と工夫でお客様（顧客）に
「ありがとう」と言われる製品づくりを目指します”にある通り、常に新たな価
（１）新規技術の開発 → 新分野開拓を常に考えて行く 値提供を続けお客様に選ばれる企業でなければならないと考える。
 サステナビリティの観点は経営の根幹であり、サステナビリティやESGという
（２）シリコンサイクルのマイナス影響最小限に → 新規技術の開発
言葉が一般化する前から環境への配慮に力を入れおり、今後も当たり前
として環境への配慮を継続していかなければならない。加えて、ステークホ
売上成⾧目標
ルダーとの共存共栄、賃金アップを実現し働く従業員のエンゲージメント
• 2029年度 120億円(補助事業100億円+既存20億円) 向上も必要不可欠と考える。
• 2029年度 会社全体の売上高成⾧率245％  新規技術の開発に注力し、新分野開拓を常に考えて行く。技術力をよ
• 2029年度 会社全体の売上高増加額71億円 り高めて行くことが最大のリスク対応。特に自動車分野以外への進出は
サプライチェーン上のリスク管理の観点からも必須と考える。</t>
  </si>
  <si>
    <t>信越理研株式会社
2.補助事業の概要
事業費45億円による、金属表面処理需要拡大に伴うモビリティ分野生産体制強化及びパワー半導体向け金
めっきライン新設事業
補助事業の • 本件大規模投資により、補助事業の顧客フォーキャスト77億円(P13売上推移)実行し、付 事業費 44億円
加価値の大幅な増加を図り収益性、生産性の向上を目指します。
背景・目的 （補助額）（12億円）
• 顧客から増産要請を補助事業にて応え、技術力をもって更なる飛躍を図ります。
1.建物及びその附属設備
第3工場(鉄骨造3階建) 延床8,688㎡(2,896+2,896+2,896)
2.建物及びその附属設備
排水棟(鉄骨造平屋建) 延床660㎡ 1.2本体 2,201百万円(第3工場、排水棟)
1.2電気・機械設備 251百万円
排水棟装置 300百万円
設備投資の
内容
1.建物及びその附属設備（第３工場 西立面図） 2建物及びその附属設備（排水棟 北立面図）
建物及びその附属設備（キュービクル等） 建物及びその附属設備（空調等） 2.建物及びその附属設備 排水棟装置</t>
  </si>
  <si>
    <t>信越理研株式会社
2.補助事業の概要
事業費45億円による、金属表面処理需要拡大に伴うモビリティ分野生産体制強化及びパワー半導体向け金
めっきライン新設事業
3.機械及び装置
電気めっきライン(ラック) 1ライン(本社) 160百万円
1ライン(第3工場) 339百万円
4.機械及び装置 電気めっきライン(フープ) 3ライン 383百万円
5.機械及び装置 パワー半導体向け金めっきライン 1ライン 693百万円
４.機械及び装置 電気めっきライン(フープ)
設備投資の
内容
3.機械及び装置 電気めっきライン(ラック) 5.機械及び装置 パワー半導体向け金めっきライン</t>
  </si>
  <si>
    <t>信越理研株式会社
2.補助事業の概要
金属表面処理需要拡大に伴うモビリティ分野生産体制強化及びパワー半導体向け金めっきライン新設事業
6.太陽光発電設備 1式 36百万円
7.クリーンルーム 1式 123百万円
8.ベースプレート用アルマイト封孔処理装置 14百万円
増設不可能な既存本社工場床延4,464.65 ㎡、第二工場3,008.50
㎡であります。第3工場は1.16倍を有します。旺盛な需要に対応すること
は可能であります。労働生産性の向上につながり、年平均5.09％の賃上
げ目標の実現を可能とします。
設備投資の
内容
6.太陽光発電設備 7.クリーンルーム 8.ベースプレート用アルマイト
2026年度 2029年度
項目
（基準年度） （基準年度＋３年後）
労働生産性 1,722
873
（単位:万円/人） （年平均上昇率＋25.4％）
目標値 従業員1人あたり給与支給総額 585
504
（単位:万円/人） （年平均上昇率＋5.09％）
役員１人あたり給与支給総額 7,600
6,500
（単位:万円/人） （年平均上昇率＋5.35％）
補助事業に係る従業員数
129 145
（単位:人）</t>
  </si>
  <si>
    <t>クリエイトワン株式会社
1.長期成長ビジョン
当社は、美容業界での高利益製品であるヘアエクステに注目し、同時に多くの美容室が抱える店舗経営の課題に対処する支援サービスを提供し、
美容業界全体のイノベーション発展と成長を目指しています。その為にDX活用によるシステム開発と社屋建設を行うことで、さらなるサービス
の拡大を喚起し、美容室の離職率改善や給与水準向上など美容業界の課題を解決し、社会に感動を提供し、価値を創造し続けます。
長期成長ビジョン
外発的動機
私たちは、DX活用システムと社屋建設を契機に、組織強化を図 •国内女性人口の減少に起因する美容業界の将来像：
り、社会に感動と、価値創造を提供し続けます。そして、美容 美容業界は美容室、美容師共に増加しているものの、美容市場は
業界に、革新的なアプローチとサービス提供の変革を図り、コ 国内女性の減少にリンクする形で減少しています。
ンシューマーや美容店に喜びをお届けします。 顧客減少に対処するために、顧客獲得の新たな戦略が必要です。
•業界の将来に対する懸念と課題への挑戦： •美容師の離職率の高さ：
国内の美容業界は過当競争であり、収益性や生産性が低いとい 美容師の離職率は高く、主な理由は低い給与水準にあります。
う現状があります。しかし、当社のヘアエクステは、高い収益 高収益商品やサービスの提供により、美容師の収益性と満足度向
性と生産性を持つ製品であり、技術認定をもった美容店のみが 上が喫緊の社会課題として解決が求められています。
扱える希少性のある製品です。
•デジタルマーケティングの重要性：
このような中、当社はDXによる効率化と社屋建設による拠点
若い女性のトレンドに影響される美容業界では、デジタルマーケ
集約化を図り、要員を市場開拓に傾注し、美容室の占有率
ティングが必要不可欠です。
0.04%から大きく拡大を図り、業界発展に貢献していきます。
•リーディングカンパニーへの道： 内発的動機
当社の強みは、独自のヘアエクステ製品の販売やデジタル広告 •美容業界を席巻する高品質で高生産性製品：
など美容室支援サービスの提供にあります。
当社製品・サービスは特許と品質保証で高品質を保ち、カットな
当社の成長戦略は、高品質ヘアエクステ製品の販売に加え、美 どの施術の2 倍を越える高生産性を誇ります。有資格者向けに販
容室への経営支援サービスを提供し、美容室の収益性向上と美 売し、国内市場占有率0.04%から、本補助事業で市場拡大を目指
容師の給与水準UPの機会を作り、美容業界のイノベーション
します。
を牽引していくことを挙げています。
今後、DX活用による次世代美容プラットフォームを中核拠点 •美容業界のイノベーション促進：
となる新社屋から情報発信するなど新技術開発や循環型社会に 業界は小規模企業が多く、技術開発に限界があります。当社はこ
対応した製品リサイクルに注力し、業界や社会に対して影響力 の課題に対し、品質管理方法の研究や次世代製品の開発を産学官
を高め、リーディングカンパニーの地位を確立します。 連携でリードし、業界全体の発展に貢献していきます。
•組織力の更なる強化：
売上成長目標 当社は飛躍的な成長を遂げたため、本社機能の2拠点分散や執務
2025年から2029年9月期までの全社売上高成長率 220％ スペース不足、慢性的リモートワークが生じており、意思伝達や
2025年から2029年9月期までの全社売上高増加額 21億円 コミュケーション不足の状況となっています。</t>
  </si>
  <si>
    <t>クリエイトワン株式会社
1.長期成長ビジョン
長期成長ビジョン深掘り
1.具体的な施策：
(1)新製品開発のスケジュール：
・2024年：新しい高品質ヘアエクステ製品のリリース
・2025年：デジタルマーケティングツールの導入と運用開始
・2026年：エコフレンドリーな製品ラインの展開
(2)マーケティング戦略：
・SNSキャンペーンやインフルエンサーコラボレーションを活用したブランド認知度向上
・オンラインプラットフォームの充実と顧客体験の向上
(3)地域経済への貢献：
・地域美容室や美容師への経営支援プログラム（研修、コンサルティング）
・地域イベントやフェアの開催を通じた地域コミュニティとの連携強化
2.リスク管理計画：
(1)内部リスク対策：
・意思伝達やコミュケーション活性化のための社屋建設による本社拠点集約
・人材確保と育成プログラムの充実
・技術開発の遅れに対するバックアッププランの策定
(2)市場リスク対策：
・市場変化に柔軟に対応するための定期的な市場調査と顧客フィードバックの収集
・競争激化に対する差別化戦略として、独自技術と高品質サービスの強化
3.ステークホルダーとの協力：
(1)産学官連携：具体的な協力内容やプロジェクト、パートナー機関を詳細に記載
(2)他企業との連携：具体的な協業プロジェクトや提携先企業を明示
(3)地域経済への貢献：地域美容室や美容師への具体的な支援プログラム（研修、経営コンサルティングなど）
4.持続可能性の具現化：
(1)環境への配慮：再生可能エネルギーの利用、廃棄物削減プログラム
(2)社会的インパクトの評価方法：地域経済や美容師の職業満足度向上に関する具体的な評価指標と方法</t>
  </si>
  <si>
    <t>クリエイトワン株式会社
2.補助事業の概要
補助事業は、ヘアエクステ市場拡大のための美容室支援システム開発と、それに伴う取扱商品および要員増加による保管・作業、執務
スペース確保のための社屋建設です。なお、資金調達は(株)商工組合中央金庫殿のアレンジャーでシンジケートローン組成を進めてい
ます。本事業の労働生産性・従業員1人あたりの給与支給総額は、それぞれ年平均上昇率目標を+22%、+5.5%とします。
補助事業 • ヘアエクステ市場拡大のための美容室支援システムの開発 事業費 12億円
背景・目的 • 取扱商品および要員増に伴う保管・作業、執務スペース確保のための社屋建設 （補助額） （0.74億円）
• DX・AI活用による美容室経営支援システム開発：
（目的）
美容室経営支援システムを開発し、人からDXに美容室支援システムを
移行し、美容室営業リソースを新規美容室開発に傾注し、既美容室売
上拡大＋新規美容室開発により、市場拡大を目指します。
（開発内容）
システム開発投資額：43百万円（補助額：14百万円）
美容業界市場調査データ、取扱美容室個別データ（売上、来客、
SNS）などデータ収集・蓄積、AI等による解析するシステムを開発。
設備投資 本解析結果を活用し、財務、求人、人材育成、SNS等PR戦略など取扱
の内容 美容室経営支援、売上向上を図るシステムを開発します。
• 取扱商品および要員増加に対応した社屋建設：
（目的）
取扱商品、要員増加に伴う商品保管スペースと執務スペース増床のた
めの社屋建設を目指します。
（建設内容）
建築投資額：1,287百万円（補助額：429百万円）
建築面積 ：1,800m2
スペース確保だけでなく、快適なワークスペースを目指します。
項目 2025年度（基準年度） 2028年度（基準年度＋３年後）
労働生産性（単位：万円/人） 1,135 2,087（年平均上昇率＋23％）
目標値
従業員1人あたり給与支給総額（単位：万円/人） 558 656（年平均上昇率＋5.5％）
役員１人あたり給与支給総額（単位：万円/人） ー ー
補助事業に係る従業員数（単位：人） 38 51</t>
  </si>
  <si>
    <t>クリエイトワン株式会社
2.補助事業の概要
新社屋建設計画地：
・次世代美容プラットフォームとして情報発信の中核拠点を目指す
・若者やファミリーが集う名古屋繁華街に立地（名古屋市中区栄地区）
・全国有数の再開発エリア(10拠点近い再開発計画進行中)
設備投資
の内容
【参考】
新社屋完成予想パース
2026年2月竣工予定
現本社
100m
建設計画地</t>
  </si>
  <si>
    <t>株式会社フルヤ金属
1.長期成長ビジョン
独自技術で “デジタル社会・グリーン社会の進展” を支える
長期成長ビジョン（目指す姿・ビジネスモデル） 外発的動機
• 「デジタル社会のさらなる進展」 への貢献
• Platinum Group Metal (プラチナ系貴金属, 略称：PGM)
⇒テレワーク、生成AIの導入加速
特にイリジウム、ルテニウムの世界一のメーカーとして科学技術の
Ex.
発展に寄与し、社会の繁栄に貢献する
・有機EL用イリジウム錯体／世界シェア 100%
経済産業省認定グローバルニッチトップ(GNT)100選 ２度受賞
・ハードディスク用ルテニウムターゲット材／世界シェア 70%
HDD向け SAW, LED基板向け 有機EL向け
2014年 ルテニウムターゲット イリジウムるつぼ 2020年 イリジウム燐光材 ・酸化物単結晶製造用イリジウムルツボ／世界シェア 70％
用途：医療用PET装置向けシンチレータ結晶、
携帯電話用SAWフィルター向けLT単結晶等
・半導体製造向け温度センサー／世界シェア 40%
工業用貴金属製品の製造からリサイクルまで一貫した
“補助事業”
“資源循環ビジネスモデル” を確立
• 電子材料・半導体・化学等の様々な産業分野に高機能PGM製品 • 「グリーン社会への転換」 への貢献
を供給する “5本柱ビジネス” の更なる成長、新たな柱の創出 ⇒脱炭素社会、循環型社会へ転換加速
１．サーマル事業(温度センサー) Ex.
*5本柱
・水素製造用水電解（PEM）装置のイリジウム触媒開発
”補助事業”
２．電子産業用貴金属機材事業
内発的動機
３．先端薄膜素材（ターゲット材）事業
４．化成品事業 • 最先端技術ニーズ ”お困りごと” の解決により科学技術の発展に寄与
５．貴金属資源再生事業 • PGM（プラチナ系貴金属）のスペシャリストとして独自技術を開発:
50年超の事業活動で、希少かつ加工が極めて困難で、注目度も低かっ
• 独自技術でイノベーションを創出し、つねに次世代の産業ニーズを
たイリジウム、ルテニウムの加工技術を世界で初めて確立
捉え、グローバルな課題を解決
⇒イリジウム、ルテニウムの用途開発に大きく貢献
⇒デジタル社会の進展、グリーン社会の転換への貢献
• PGMの資源循環バリューチェーン:
“調達 ⇒ 高純度精製・加工 ⇒ 最先端分野への供給 ⇒ リサイクル”
売上成長目標
資源循環のための技術を確立
• 2030年までの会社全体の売上高成長率243％
⇒希少金属の資源安全保障に貢献
• 2030年までの会社全体の売上高増加額690億円（連結）</t>
  </si>
  <si>
    <t>株式会社フルヤ金属
.補助事業の概要
2
半導体需要に対応する新千歳工場建設の投資概要
• 生成AI等を背景に旺盛な半導体需要に対し、半導体製造の前処理工程に用いられる拡散 4 億円
補助事業の 事業費 1
炉、CVD炉の精密な温度測定に用いられる温度センサー及び石英製品の増産に伴う千歳工 （1 億円）
背景・目的 （補助額） 2
場の移転及び新工場建設を目的とする
• 建物：延床面積 725m2→約6,000m2 （現工場の約８倍）
• 附属設備：給排水設備、水素・酸素ガス配給設備、
新工場予定地
各種クリーンブース、空調
• 機械設備：石英加工設備、熱処理炉、レーザー加工機、自動洗浄機
石英加工製品
設備投資の
内容
各種熱電対製品 現 千歳工場
現工場のある千歳市内に移転
従来の約３倍の敷地面積に省エネ法を準拠し、環境にも配慮した
新工場を建設予定（土地面積：5,551m2→15,061m2）
2026年度 2029年度
項目
（基準年度） （基準年度＋３年後）
労働生産性 1,866
1,158
（単位：万円/人） （年平均上昇率＋17％）
目標値 従業員1人あたり給与支給総額 746
663
（単位：万円/人） （年平均上昇率＋4.0％）
役員１人あたり給与支給総額 -
-
（単位：万円/人） （年平均上昇率＋4.0％）
補助事業に係る従業員数
431 456
（単位：人）</t>
  </si>
  <si>
    <t>株式会社松岡
1.長期成長ビジョン
「海と未来と世界をつなぐ日本全国の食の社会インフラ」として、業界の地位向上及び持続可能な社会構築に
貢献し、設備能力で業界トップ5入りを狙う
長期成長ビジョン（目指す姿・ビジネスモデル） 外発的動機
海と未来と世界をつなぐ日本全国の食の社会インフラ • 日本の食料自給率は38％であり、国内の食の供給は輸入に頼っ
ているところが大きい
■ 大規模冷蔵倉庫を東京、大阪、名古屋、福岡を中心に主要都
• EC市場の拡大や冷凍・チルド食品需要の増加、食の安全性がよ
市に整備し、新鮮かつ安全・安心な冷蔵・冷凍食品を日本全国
り重視されるなど、消費者の物流（特にコールドチェーン）に対する
に安定供給する
ニーズは高くなってきている
■ 環境に優しい冷蔵倉庫を提供することで、業界の省エネ化をリード • 冷凍食品・輸入品の多品種小ロット化によって一つ一つの品物が
化し、持続可能な社会構築に貢献する 嵩むようになった結果、保管効率が下がっており、冷蔵倉庫不足が
業界の課題
■ より魅力のある職場を目指し、事業拡大により得られる収益は人 • 冷蔵倉庫の老朽化が進んでおり（90年代以前に建設された冷蔵
財へも分配し、福利厚生・賃金アップを積極的に実施することで、
倉庫が業界の半数を占める）、老朽化により建替え等が必要にな
業界全体の地位向上を図る
るが、投資ハードルは高く、冷蔵倉庫の供給能力に不安視
内発的動機
売上成長目標
• 「食の安心・安全を守る」が創業時からの会社信念であり、消費者
• 2029年度の売上高は、2023年度の600億円から348億
ニーズの変化に対応しつつも、安心・安全な食を日本全国に安定
円増（+58％）の948億円（売上高年平均成長率
的に供給することが会社の使命
7.9％）を目指す
• 専門性が必要とされる冷蔵倉庫の運営に実績を有し、全国主要
都市に大規模物流拠点を有していることが松岡の強みであり、この
強みを活かして事業成長を加速させる</t>
  </si>
  <si>
    <t>株式会社松岡
2.補助事業の概要
大規模冷蔵倉庫を大阪堺市に建設することで、現状の庫腹圧迫が軽減されるのみならず、マーケットシェア拡大
が見込まれ、売上・利益増により大幅な労働生産性向上が可能となる
補助事業の • 冷蔵物流増により在庫量は年々増加しており、需要に対応しきれない場合があることに課題感 事業費 131億円
背景・目的 • さらなる市場成長を見込み、設備能力拡張によりマーケットシェア拡大を狙う （補助額） （42億円）
• 大阪堺市に大規模冷蔵倉庫（冷蔵トン：53,122トン）を新規建設
し、冷蔵倉庫設備能力を15%拡張する
• 特に需要が多いエリアでの倉庫建設であり、既存倉庫の庫腹圧迫が
軽減されると共に、冷蔵倉庫分野における業界シェア拡大が可能
• 以下3点の観点から労働生産性の大幅な向上を見込む
設備投資の
 倉庫運営の効率化に徹底配慮した倉庫建設により、売上
内容
20%増に対して人員は11%の増員で足りる
 シナジー効果により食品事業でも事業拡大を見込み、2029
年度には会社全体で営業利益の倍増を見込む
 事業拡大による利益は賃上げの原始とし、拡張後は毎年現状
の2倍近くとなる賃上げ7%を実施する
2026年度 2029年度
項目
（基準年度） （基準年度＋３年後）
労働生産性 1,550万円（※）
1,304万円
（単位：万円/人） （年平均上昇率＋6.0％）
従業員1人あたり給与支給総額 587万円
479万円
（単位：万円/人） （年平均上昇率＋7.0％）
目標値 役員１人あたり給与支給総額
- -
（単位：万円/人）
補助事業に係る従業員数
505人 545人
（単位：人）
（※）派遣社員内製化による従業員数増加により、計算上の労働生産性成長率は年平均6.0%に留まるが、派遣社員を継
続利用する前提の場合、労働生産性成長率は年平均8.7％となる。</t>
  </si>
  <si>
    <t>旭陽電気株式会社
1.長期成長ビジョン
電気を繋ぐ技術とものづくりで社会の進歩を支えることを使命に、技術の発展・社会の進歩に必要不可欠な存
在となり、世界中の技術発展に貢献すると共に、地域の経済発展・社会構築にも貢献する
長期成長ビジョン（目指す姿・ビジネスモデル） 外発的動機
電気を繋ぐ技術とものづくりで、 社会の進歩を支える • 5G/6G、AI、IoTなどの技術革新によって半導体の需要拡大
• 特に今後はAI関連需要の急拡大が成長を牽引
① 電子部品の接続技術とEMSによる一貫製造を軸に世界中の技
術発展に貢献する • 2020年に50兆円だった世界の半導体市場規模は2030年には
2倍の100兆円になる見込み
半導体製造装置でデジタル技術の発展に貢献
• 世界の半導体装置市場は世界の主要半導体メーカーの巨額の
投資計画の相次ぐ稼働に伴い力強い成長が期待される
② 高い製造クオリティで技術の発展・社会の進歩になくてはならない
• 主な取引先である東京エレクトロンも市場成長に応じた増産を計
存在となる
画
日本の半導体サプライチェーン強化に貢献
③ 事業拡大によって地域雇用を継続的に創出し、地域の経済発
内発的動機
展・社会構築に貢献
• Al、lot、5Gをはじめとする最先端の技術が社会の進歩をもたらして
継続的な雇用創出・賃上げにより地域活性化
おり、製造業としてこのような社会の進歩を支える存在であることが
当社の使命
売上成長目標
• 東京エレクトロンのコアパートナーとして、半導体製造装置に係る
• 29年3月期に現状の倍以上となる売上高140億円を実現 EMS及び部品製造により日本の半導体サプライチェーンを下支え
• 売上高増加額は80億円に及び、年平均成長率18%での しており、社会的意義が高い事業を行っている
高い売上成長を目指す • 半導体市場の成長は当社の大きな事業拡大機会となっており、日
• 営業利益についても直近最高益9.4億円（22年3月期）の
本国内で継続投資を行うことで、地域社会の活性化に貢献するこ
倍以上となる約22億円を見込む
とが可能</t>
  </si>
  <si>
    <t>旭陽電気株式会社
2.補助事業の概要
半導体製造装置メーカーの近接地に新工場を建設し生産能力を倍増することで売上拡大を図ると共に、生産
管理システムや自動倉庫等の導入により労働生産性の向上も同時に目指す
• 技術革新により半導体・半導体製造装置の需要拡大が見込まれ、主要取引先である東京
補助事業の 事業費 31億円
エレクトロンでも増産が予定されているが、現状の体制ではキャパシティ不足となる
背景・目的 （補助額） （3.2億円）
• 将来的な増産に確実に対応できるための体制を整備する必要がある
宮城における新工場設立と既存工場のクリーンルーム専用工場化
【具体的な投資内容】
① 既存宮城工場の近接地に新工場を建設
② 新工場に物流を集約した上で自動倉庫化する
③ 既存宮城工場はクリーンルーム専用工場にするための改装を実施
設備投資の
内容
【補助事業により見込まれる効果】
• 生産量倍増による売上の拡大（28年度までに132％増を見込む）
テクノヒルズ工業団地内
• 生産最適化による労働生産性の向上（1人当たり生産量増） 土地面積 1311.64坪
(4328.412㎡)
• 物流集約及び自動倉庫化による効率化及びコスト削減（現状から約
5％の原価低減を見込む）
2025年度（基準年度） 2028年度（基準年度＋３年後）
項目
宮城 山梨 宮城 山梨
労働生産性 1,296万円/人
653
（単位：万円/人） （年平均上昇率＋26％）
目標値 従業員1人あたり給与支給総額 457万円/人 457万円/人
384 384
（単位：万円/人） （年平均上昇率＋6％） （年平均上昇率＋6％）
役員１人あたり給与支給総額
n/a n/a n/a n/a
（単位：万円/人）
補助事業に係る従業員数
130人 173人 160人 191人
（単位：人）</t>
  </si>
  <si>
    <t>土佐鶴酒造株式会社
1. 長期成長ビジョン
「誇れる品質の酒を造れ」を社是に、250 年間磨き続けてきた酒造技術を生かし 100 年後の未来を創る
外発的動機
長期成長ビジョン（目指す姿・ビジネスモデル）
・国際的なな人口減少、特に当社が本店を置く安田町では少
【100 年ビジョン】 子高齢化が著しく、過疎化が進んでいる。
過疎化が進む地域の中核企業として、全国的にもその豊かさが知ら ・清酒業界において消費者のニーズは、量的消費から個々に
れている自然環境を守りながら地域経済の成長に貢献する。 味わいを楽しむような質的消費へと変貌しており、地酒ブ
【10 年ビジョン】 ランドの吟醸酒（香りのある酒）が増加している。また酒
高知県東部の観光拠点となり地域を活性化させる。 類全般では低アルコール、果実様香味、爽快感がトレン
新工場に見学施設を設置し物販も行う。工場移転後跡地を安田町と ド。
協働で利活用、いわゆる酒蔵ツーリズムを構築し、高知県の観光資 ・ボトリング工場跡地利用について、安田町から以前より相
源として整備し県内外の観光客およびインバウンドの誘致につなげ 談あり、高知県にも支援を働きかけている。
る。
内発的動機
【5 年ビジョン】
・当社は創業 250 年であり、国と酒造組合中央会が主催す
・国際競争力を強化することで成長拡大を持続していく。
る全国新酒鑑評会・金賞全国最多 49 回受賞しており、四
輸出拡大が柱のひとつと考えており、独自の日本酒醸造技術を基軸
国でもトップクラスのシェアを持っている。しかし、販
に、ゆずなどの地域特産品を活用する様々な商品群を投入する。
売の主体は、長く燗酒に適した普通酒であり、吟醸造り
・消費者のニーズに対応すべく新商品 GVS の開発。販売拡大により当
の良さを販売に活かしきれていない。醸造・精米・配送
社の売上成長拡大につなげる
については自社で完結できる設備が整っているが、ボト
GVS（ゴールド・バリュー・サケ）＝全国最多金賞受賞の技術を今回
リングラインが古く、ボトリング工場だけが他の工場と
初めて低価格帯商品に投入して醸すサケ（オリジナル呼称）
1.6Km 程離れた場所にあり効率的な製造ができない。
・また輸出においても、海外では日本酒の需要は増加して
売上成長目標 いるが、それぞれの輸出国でラベル表記や容量規制、嗜
• 2029年までに会社全体の売上高成長率189％（2024年9月期 好の違いがあり、その対応には小ロットで多種類の商品
比） を効率よく製造する必要がある。
• 2029年までに会社全体の売上高増加額10億円（2024年9月 本補助金を活用させていただき、ボトリング工場を建設
期比） し、地域貢献とともに飛躍的に成長拡大したい。</t>
  </si>
  <si>
    <t>土佐鶴酒造株式会社
2.補助事業の概要
補助事業の概要：北大野・新ボトリング工場＋小ロット多品種ボトリング設備＋サーボパレタイザー等の省力化設備
目標（2029 年度）：労働生産性・年平均 24％アップ、一人あたり給与総支給額 5％ＵＰ
補助事業の
・清酒冷酒市場での大幅なシェアアップを図るため、小ロット多品種の多彩な商品 事業費 12 . 7億円
背景・目的 を、効率よく迅速に製品化できる高性能のボトリング設備を導入する。併せて衛生 （3.7億円）
（補助 額 ）
度が高くコンパクトな新工場建物を建設して異物混入リスクを限界まで排除すると
ともに、パレタイザーなどの省人化設備を有効に使って省力化を推進する。１日あ
たりの製造種類数を倍増させ、プライベートブランドや季節商品、輸出等の幅広い
ニーズにタイムロスなく応えるとともに、実績のある「特定名称酒」だけでなく
GVS（ゴールド・バリュー・サケ）「吟醸香が高く、かつ価格を普通酒なみに抑えた
冷酒」を開発して量販市場に投入し、急拡大を続けるであろう GVS 市場でのシェア
アップを図る。その後も生産性と品質の両立を損なうことなく向上させ、売上と収
益と生産性を高める。
・工場建物（北大野ボトリング工場）
・工場付帯設備（電気設備） 給排水設備工事、廃水設備工事・電気設備工事・見学スペース工事など
設備投資の
・省力化設備 ライン上製品冷却設備・高性能タックラベラー・サーボパレタイザー・自動製函機
内容
・生産設備 充填機（シリコンチューブ式）・打栓巻締機・転倒検液機・各種ラベラー
2026 年度 2029 年度
項目
（基準年度） （基準年度＋３年後）
労働生産性 1,005
516
（単位：万円/人） （年平均上昇率＋24.9％）
目標値 従業員 1 人あたり給与支給総額 385
332
（単位：万円/人） （年平均上昇率＋5.0％）
役員１人あたり給与支給総額 709
623
（単位：万円/人） （年平均上昇率＋4.4％）
補助事業に係る従業員数
71 91
（単位：人）</t>
  </si>
  <si>
    <t>岸和田製鋼株式会社
1.長期成長ビジョン
経営ビジョン『成長戦略3.0』を掲げ、3つの柱「①生産体制強化」「②需要の最大化」「③働き方改革」に取組み中。
建設業界の需要に対応する為、大規模な設備投資を実施、生産体制を強化し、泉州地区№1企業としての地位を
確立、地域の雇用も創出・促進し、地域経済の活性化に貢献する。
外発的動機
長期成長ビジョン（目指す姿・ビジネスモデル）
• 鉄鋼業は鉄鉱石等を原料とする高炉法(国内3社のみ)と鉄スクラップ
「鉄資源循環企業として社会と共生し、進化するリサイクル技術を常に取り入
を原料とする電炉法が存在し、当社は電炉法に該当する。CO2排出
れながら、環境保全・地域社会の貢献に取り組む。」
量は高炉の4分の1にあたり、脱炭素の取組みとして電炉比率が高
• 当社は鉄スクラップを主原料とし、建築・土木向けに使用される鉄鋼製品 まっていく見通し。
を生産し、地域のインフラ整備やビル等建築を支えてきた。 • 鉄鋼業界の需要先においても、各業界で2050年のカーボンニュート
• カーボンニュートラルという潮流変化を受けグリーン鋼材の活用に向けた ラル（以下CN）を目指す方向が示されている。また建設業界におい
動きが活発化しており、電炉材への期待は高まっている。
ても、CNに向けた中長期の目標が示され、ゼネコンだけではなく施
• 設備の入れ替えを実施、修繕費や作業停止時間の削減を図り、生産能力
主側においても電炉材の使用を掲げる動きがみられる。
を向上させる。
• 鉄スクラップ循環サイクルの全体最適化を目指し、株式会社竹中工
• 鉄スクラップの可能性を追求し、高品質な製品を安定して供給することで、
務店が提唱する業界の垣根を超えた「サーキュラデザインビルド」®
地域経済の活性化に貢献する。
にも参画し、取り組んでいる（注）。
売上成長目標 内発的動機
売上高 21/3期266億円→30/3期581億円 • 当社は1956年創立以来60年以上に渡り、鉄筋コンクリート用棒鋼の
出荷数量 21/3期443千㌧→30/3期596千㌧ 製造事業を核に社会のインフラ整備に貢献してきた。
• 2029年度までの売上高増加+315億円 • 2001年鋼材を高効率で再生させる電気炉「ECOARC」を世界で初め
• 2029年度までの出荷数量増加+153千㌧ て導入し、高品質で安定した製品供給を行うとともに、省電力(従来よ
り20％削減)・環境保全(エコリーフ環境ラベル認定、太陽光発電設
置)の維持にも積極的に努めている。
経営理念
• また、グループ会社である株式会社岸鋼加工で柱や梁の骨格として
1. 鉄スクラップの可能性を追求する
建築物を支える高強度の「せん断補強筋（フープ筋）」を製造する等
2. 高品質の製品を安定して供給する
付加価値の高い新事業にも取り組んでいる。
3. 安全は全ての作業に優先する
4. 全従業員で地球環境問題に取り組む
(注)参考：サーキュラデザインビルド®
• 製鋼原料加工会社、電炉鉄鋼メーカー、ゼネコン5社が連携、建築に
おいて電炉材を活用した鉄スクラップ循環サイクルの全体最適に向
け、2023年12月から始動している。</t>
  </si>
  <si>
    <t>岸和田製鋼株式会社
2.補助事業の概要
製鋼工程のｽｸﾗｯﾌﾟ溶解時間短縮による効率化と環境対応(ｶｰﾎﾞﾝ削減)を行うとともに、圧延工程の圧延機ﾛｰﾙ交
換時間の短縮及び制御装置更新による圧延工程全体の合理化と安定操業により、波及効果が大きい鉄筋棒鋼太
物を中心に増産、拡販を実現する。
1997年10月圧延工場運用開始、2001年12月エコアーク炉（新型電気炉）運用開始以後
様々な改善により生産性向上を図ってきたが設備老朽化も否めない状況にある。また、建設 45億円
補助事業の 事業費
背景・目的
業界の最終ニーズに対応する為、丸棒フルサイズ約55万㌧の生産体制強化は不可欠。 （補助額）（2.3億円）
今後、更なる生産性向上、省力化、CＮ等の課題に対して、以下の投資を行う。
⑴電気炉への高効率酸素バーナ導入（約5億円）
【内 容】電気炉炉内に一般的なバーナーに比べ「長火炎」「火炎温度の維持」が可能な高効率酸素バーナを設置する。
【優位性】炉内の溶鋼上に存在する未溶解スクラップに対し超音速で噴出される火炎でスクラップ溶解に必要なエネルギーを
直接投入し溶解時間の短縮（生産性向上）、現在使用中のカーボン削減（ＣＮ）を図る。
⑵粗列圧延機の２Hiスタンド化更新（約45億円）
【内 容】全19基ある圧延機の内、№1～7の7機（97年製）をカンチレバータイプから2Hiタイプの圧延機へ更新する。
設備投資の 【優位性】カンチレバータイプ圧延機は、一定量を圧延後ロール交換を人的に行う必要があるが、2Hiタイプではロールの孔型を
内容 短時間で機械的に移動させるのみとなり、ロール交換時間の短縮（＝生産性向上）、省力化を図る。
⑶圧延制御装置更新（約4億円）
【内 容】製品製造を行う上で各々の機器を制御する制御装置（’88～’96年製）を現行最新機種（2020年製）に更新する。
【優位性】最新の制御装置への更新により、各機器コントローラの処置速度が向上。更に高速大容量の実績データ収集・解析が
可能となり、PDCAサイクルの迅速化により生産性向上を図る。また通信機能付帯により、トラブル発生時の各種デー
タをメーカが遠隔地から確認、遠隔操作が可能となり「原因特定⇒復旧の早期化」も可能となり保守性の向上、復旧時
間短縮による生産性向上を図る。
2026年度 27/3期 2029年度 30/3期
項目
（基準年度） （基準年度＋３年後）
労働生産性 1,904万円/人 2,795万円/人
（単位：万円/人） （年平均上昇率＋13.7％）
目標値 従業員1人あたり給与支給総額 649万円/人 730万円/人
（単位：万円/人） （年平均上昇率＋4.0％）
役員１人あたり給与支給総額 - -
（単位：万円/人） （年平均上昇率＋4.0％）
補助事業に係る従業員数 225人 240人
（単位：人）</t>
  </si>
  <si>
    <t>株式会社タケエイ
1.⾧期成⾧ビジョン
申請者㈱タケエイは、東証プライム市場上場（9247）のTREホールディングス㈱の中核会社です。
当社グループは、補助事業を含む大規模投資により、脱炭素型サーキュラーエコノミーへの貢献を図ります。
⾧期成⾧ビジョン（目指す姿・ビジネスモデル） 外発的動機
• 1970年:高度成⾧に伴う大量生産、大量消費、大量廃棄の進
• 当社グループは、「地球の環境保全に貢献する。」を企業理念とし、地
展、公害深刻化に伴う『廃棄物処理法制定』
球規模での深刻な環境破壊や気候変動の影響に対して、高度循環
• 不法投棄等の社会問題化に伴う度重なる法規制強化
型社会ならびに脱炭素社会への貢献を図っています。
• 2000年:資源循環型社会推進に向けた法整備（環境六法）
• 21世紀環境の世紀となり、顧客のリサイクルニーズの高次化へ
• ⾧期的（５～10年後）に目指す姿として、これまで再資源化の難し
• 2012年:東日本大震災後、脱原発依存によるFIT制度の創設
かった廃棄物、使用済み製品等についても、技術的、採算的課題克
• 温暖化の進展による異常気象、資源枯渇等、環境問題深刻化
服に挑戦し、「静脈産業」と「動脈産業」の垣根を超えた総合環境企
• サーキュラーエコノミーを推進する廃棄物処理・再資有効利用、温
業として我が国におけるサーキュラーエコノミーのリーディング・カンパニー
暖化対策などの環境ビジネス市場の急拡大
を目指します。
• より具体的には、地域の実情に応じた新たな環境複合事業を立ち上
内発的動機
げることで、新たな雇用を生み出すと共に、近隣自治体、地元企業と
• 1967年:産業廃棄物処理専業の草分けとして個人事業を創業
も連携を図り、地域活性化にも寄与してまいります。
• 首都圏における建設廃棄物処理ニーズを捉え業容拡大
売上成⾧目標 ※2024年3月期決算比 • 1977年:創業者（藤本 武）が現㈱タケエイを法人化
• 相次ぐ規制強化に対応した中間処理施設、最終処分場を整備
• 2029年3月期までに㈱タケエイ単体の売上高成⾧率49％
• 2003～2006年:顧客ニーズに応えた廃石膏ボードや混合廃棄
• 2029年3月期までに㈱タケエイ単体の売上高増加額46億円 物の再資源化施設を首都圏に整備（設備投資の大型化）
• 2029年3月期までにTREグループ連結の売上高成⾧率29％ • 2007年:成⾧資金調達の多様化に向け東証マザーズ市場上場
• 2021年:地球環境への“想い”を共にするリバーグループと経営統
• 2029年3月期までにTREグループ連結の売上高増加額271億円
合し、TREホールディングス㈱設立（2024年、第2次中計発表）
申請会社㈱タケエイとリバー㈱（旧リバーホールディングス㈱）は、2021年10月1日に純粋共同持株会社として、
親会社TREホールディングス㈱を設立しました。(TREホールディングス㈱ 従業員数:64名(2024年度3月末現在 ))</t>
  </si>
  <si>
    <t>株式会社タケエイ
2.補助事業の概要
廃プラスチックの高度選別・再商品化施設の新設により「廃棄物を受入れて処分する産業」から
「廃棄物から資源を生み出す産業」へ転換し、サーキュラーエコノミーのリーディング・カンパニーを目指します。
補助事業の • 2022年4月1日施行の「プラスチック資源循環促進法」を背景に、当社の新規事業として 事業費 95億円
背景・目的 各市区町村で焼却処分している廃プラスチックを受入れ、高度選別・再商品化を行う （補助額） （19億円）
• 本投資は、当社の新規事業として市区町村で分別回収された廃プラス 高度選別・再商品化施設 プラント主要設備
チック（容器包装プラスチック、製品プラスチック等）を受入れ、高度選
別しこれを原料としたプラスチック製品（ミックスペレット、PSインゴット、
油化原料等）の再商品化施設を千葉県市原市に新設するもの
• プラント設備工事56億円、土木建築工事39億円の投資を計画
本プラント設備導入により、選別作業を手作業から自動化することに加え、 破袋機
バリスティックセパレータ 磁選機
事務管理のシステム化（ペーパーレス･バーコード管理等）にて、
より少ない人員投資でより多くの廃棄物を安定的かつ継続的に受入れる
設備投資の
• 一括回収ルートは、他のルートに比べて契約期間が⾧く（1年または3年）
内容
処理単価や廃棄物の集荷が安定する等のメリットがあり、廃棄物から資源
を生み出すビジネスモデルへの転換を図るうえで、本事業の取り組みは欠
光学選別機 PS溶融成形機 圧縮梱包機
かせない
• リサイクル原料は、化学・石油メーカ等の動脈産業でのグリーンケミカル
製品製造に必要不可欠である。当施設屋根上に太陽光発電設備を設置
し、発電した電力を選別・再商品化工程で使用すること等により、製造にお
いてカーボンニュートラルな施設運営を可能とし、付加価値を向上させるこ 湿式 太陽光
ペレット押出機
とで新しいサプライチェーンへの販路拡大も目論む 洗浄粉砕機 比重選別機 発電設備
2026年度 2029年度
項目
（基準年度） （基準年度＋３年後）
労働生産性 2,382
324
（単位:万円/人） （年平均上昇率＋94.5％）
目標値 従業員1人あたり給与支給総額 709
589
（単位:万円/人） （年平均上昇率＋6.37％）
役員１人あたり給与支給総額
- -
（単位:万円/人）
補助事業に係る従業員数
17 130
（単位:人）</t>
  </si>
  <si>
    <t>株式会社シロ
1.長期成長ビジョン
化粧品で培ってきたブランド力を存分に発揮し、瞬間風速的な観光客増ではなく、
定着型/循環型の地域創生モデルを完成させる。
長期成長ビジョン（目指す姿・ビジネスモデル）
外発的動機
• 北海道砂川市を、「世界中の人々が訪れるまちへ」第2章︕ • 砂川市は札幌市と旭川市のほぼ真ん中に位置しており、過去も今
• 人口1.6万人の街に、SHIROが「みんなの工場」を2023年4月に も「通過する街」と呼ばれてきた。その理由は泊まりたい宿泊施設と
開設し、年間30万人が訪れる観光資源となった。 飲食店舗が少ないからだ。今回の補助事業の対象である砂川パー
• その砂川市で「地域交流・観光・移住」のハブとなり得るホテルに再 クホテルは老朽化に伴い観光客からは敬遠されており、実態はほぼ
生し、前出の施設と合わせ観光客を「面」で受け止める。 ビジネスユースである。また北海道のホテルとしては致命的に「温浴
• 地域交流→市内唯一の宴会場の改装と価値再定義、60席程 施設」がないことが観光客の足を遠のけている。
度の大型レストラン、市内唯一の大型サウナ付き温浴施設の新規 • 日本にある多くの「サ高住」はマンションの焼き直しが多い。高齢者の
設置、生産者と消費者をつなぐ地域マルシェの展開。 中には地に足をつけてゆったりとした施設を望む可能性も高い。かつ
• 観光→客室リノベーション、温浴施設によるホテル力強化、ホテル ブランド力ある企業が行なうことで地域の垣根を越えられるのでは。
内にSHIROアウトレット店舗の実装による相互送客（みんなの工
場 ホテル）、高齢者向け賃貸施設との連携による家族集客。
• 移住→サービス付き高齢者向け住宅の新設 内発的動機
• SHIROは令和5年4月に同市内に「みんなの工場」を新設。そこで
は化粧品製造工場、化粧品販売店、カフェ、子供の遊具施設、
売上成長目標
書籍漫画展示などの総合施設であり、昨年は1年間で30万人の
• 2030年までに会社全体の売上高年平均成長率11％
SHIROファンが来場した。かつその内の25.1%は道外からの来場
（2024年と比較して）
であり、その全国からの集客力があれば今回の補助事業の成功可
• 2030年までに会社全体の売上高増加額159億円
能性は高いと考える。今はホテル機能が弱いため、砂川市へは「日
（2024年と比較して）
帰り」の観光が主体となっているが、今回の改装をきっかけに、顧客
に対して宿泊をセットにした滞在プランを提案することでSHIRO全
体のプレゼンスが上昇すると考える。</t>
  </si>
  <si>
    <t>株式会社シロ
1.長期成長ビジョン
今回のホテルリニューアル事業は、地域創生に向けた継続的な取り組みの一環であり、
決して断片的な事業ではない。
「みんなのすながわプロジェクト」
生産量拡大を目的とするSHIROの新工場の
建設をきっかけに、2021年6月発足。
“誰も排除しないまちづくり”を指針として、計16回に
も及ぶワークショップや座談会を通し、市民をはじめ
とする参加いただいた皆様の声や想いを取り入れて
反映させていった。
「砂川にホテルを」「パークホテルを再生してほしい」
などの声からホテルの存在をより意識するように。
市民とのワークショップの模様</t>
  </si>
  <si>
    <t>株式会社シロ
2.補助事業の概要
単なる老朽化の改善にとどまることなく、大規模な事業投資によりホテル機能としての付加価値を増幅させ、
結果的に「生産性の向上」「雇用の促進」「賃金増加」を実現させる。
補助事業の • 1986年に竣工したホテルであり、老朽化が著しいこと 事業費 27億円
背景・目的 • ホテルとしての再生（集客と収益）を果たす上で必要なコンテンツが足りていないこと （補助額） （7.8億円）
• 北海道のホテルにおいてはマストな温浴施設の設置。
• 老朽化した客室や共用部分の改装
• レストランと宴会場の動線見直しによる労働生産性の向上
• 収益性の大幅改善につながるホテル内ショップの設置（SHIROアウトレット）
• 新たな価値により商圏外から集客を目指すサ高住の設置（人的リソースはホテル共用）
設備投資の
内容
20名定員のサウナ完備温浴施設 採光を改善したホテルエントランス 現駐車場に設置するサ高住
2027年度 2030年度
項目
（基準年度） （基準年度＋３年後）
労働生産性 1,336
795
（単位：万円/人） （年平均上昇率＋18.9％）
従業員1人あたり給与支給総額 575
目標値 463
（単位：万円/人） （年平均上昇率＋7.5％）
役員１人あたり給与支給総額 -
-
（単位：万円/人） （年平均上昇率 - ％）
補助事業に係る従業員数
23 70
（単位：人）</t>
  </si>
  <si>
    <t>株式会社ミダック
1.長期成長ビジョン：長期的なビジョン及び売上成長目標
静岡県を中心に産業廃棄物処理事業者として「収集〜最終処分」までを自社施設により一貫処理できる体制を構築。長期成長ビジョンとして業界
をリードする総合廃棄物処理企業を目指し大胆な投資や挑戦を行います。売上高成長目標として2030年までに売上高増加額+66億円、売上高平
均成長率+10.7%を目指します。
〜ミダックグループ10年ビジョン「Challenge 80th」を掲げています〜
長期成長ビジョンについて 外発的動機
• 2032年の創業80周年に向け、「Challenge 80th」を掲げ当社は • 当社グループは、1952年の創業以来、70年以上にわたり産業廃棄物処理
「業界をリードする総合廃棄物処理企業」への進化を目指してい 事業を軸に成長を遂げて参りました。この分野は「環境保護」や「資源
有効活用」といった社会的課題を直接支える重要な業界であり、国際的
ます。このビジョンを実現するため2032年までに、当社歴史上最
なガイドラインに則り、SDGsと連携した適切な廃棄物管理の推進が求め
も大規模な投資計画を立てております。累計で200億円以上の資金
られています。 2015年の国連総会でSDGsが採択されたことを受け、多
を投資することにより、革新的な技術と施設の開発に挑戦し、業
くの大手企業が経営戦略にこれらの目標を取り入れ、持続可能なビジネ
界の先端を行く企業へと変貌を遂げることを目標にしています。
スモデルへの転換を図っています。
• まずは、弊社の主要事業の一環として、静岡県浜松市に中部地方 • 産業廃棄物処理市場は4.7兆円を超える巨大なマーケットであり、社会に
最大級の水処理施設を建設する計画です（中間処理）。この施設 とって高い価値を持つ取り組みです。当社施設は、資源の循環を支え、
には総額35億円を投じ、地域社会における廃棄物処理の先進的な 持続可能な社会の構築に不可欠な役割を果たしております。今後も大胆
な投資計画を立て事業推進して参ります。
拠点としての役割を果たすことを目指しています。
※出所：環境省「環境産業の市場規模・雇用規模等に関する報告書の公表について」
• 上記施設を建設することで、中間処理から最終処分までのプロセ
内発的動機
スを効率化し、新たなリサイクル可能資源の発見や、廃棄物処理
プロセス全体の効率化を図ります。また環境教育の場としても機 • 1952年の創業時はゴミの回収、清掃事業を主とする事業を始め、1969年
に産業廃棄物処理事業者として業態を変更し現在まで事業拡大を図って
能する多角的な施設を目指しています。
きました。現在では、静岡県を中心に廃棄物処理の①収集運搬、②中間
• 当社は、地域社会と密接に連携しながら、環境に配慮したビジネ
処理、③最終処分まで一貫処理することができる日本でも数少ない事業
スモデルの構築を進めていくことで、持続可能な社会の実現に貢
体制を築くことができました。
献していき、掲げている長期成長ビジョンの達成を目指します。
• 弊社がこれまで培ってきた強みである「優秀な人材」「技術力」「信
売長上期成成長長目ビ標ジ「ョCンhaのlle目ng標e8を0t達hの成売す上る成た長め目に標大」規模な投資を実行し、 用」を活かすことで2032年までに現在の売上高と比較して2倍以上を目指
下記売上高の目標を掲げ、事業推進を行なっていきます。 し、業界を牽引する企業へと成長します。
• また人口減少が進む中で「人手不足の課題」を解決する「生産性の高い
• 2024年と2030年の売上高の増加額は、+66億円
事業への転換」が求められています。当社は、省人化・省力化が可能と
• 2024年~2030年の売上高平均成長率は「+10.7%」
なる新施設（水処理施設）を建設し、中間処理から最終処分までのプロ
• 2030年までに営業利益率50%以上を目指します
セスを効率化することで、永続的な経営を目指します。</t>
  </si>
  <si>
    <t>株式会社ミダック
2.補助事業の概要
本事業では静岡県浜松市に省人化・省力化を実現する大型の水処理施設を建設し、水処理施設から最終処分場までの一貫した処理プロセスを確立し、
効率化を図ります。最新設備を導入することで既存施設の5倍以上の処理が可能となり、「労働生産性、従業員1人あたり給与支給総額」の具体的目
標を設定して事業を推進します。
 廃棄物処理事業の「水処理（中間処理）」および「最終処分場」の需要が高まっている一方で、既存の施設
背景 事業費 27億円
目的 では処理能力が不足しており、生産性も低いため、効率の悪さが課題となっています。
（補助額） 2.1億円
＜工場の新設計画＞
イメージ写真
 「①廃酸・廃アルカリ、②廃油、③汚泥」を主体とした廃棄物を中間処理
する水処理施設を建設し、最終処分処理まで一貫した処理プロセスを確立
＜工場の生産ライン、設備投資の内容＞
 効率的に処理できる「生産ラインを構築」「大型の最新機械設備を導入」
した、中部地方でも最大規模の産業廃棄物水処理施設を建設します。
 右記載にある「油水分離設備、フィルタープレス」等を中心に設備投資を
設備投資 行います。導入する設備は大型となり、既存水処理施設の5倍以上を処理
の内容
することが可能となります（例：廃液280㎥/1日、廃油120㎥/1日等）。
 また効率性を最大限に発揮した機械設備であるため、操作もシンプルであ
り、最小の人数で施設運営することが可能となります。
＜労働生産生向上について/2030年度目標値＞
 上記記載の通り、大型の最新設備を導入することで既存水処理施設の5倍以
上の処理を行うことができます。
 従業員1人当たりの労働生産性を18,063万円、1人あたり給与支給総額を
563万円とする計画を策定しており、実現達成に向けて事業を推進します。
項目 2027年度（基準年度） 2030年度（基準年度＋３年後）
労働生産性（万円/人） 15,377万円/人 18,036万円（年平均上昇率＋5.5％）
目標値
従業員1人あたり給与支給総額（万円/人） 491万円/人 563万円（年平均上昇率＋4.67％）
補助事業に係る従業員数（人） 33人 50人</t>
  </si>
  <si>
    <t>高末株式会社
1.⻑期成⻑ビジョン
・時代に適応した⻑期成⻑ビジョンの必要性。
・流通段階をつなぐ「⾼付加価値物流」を実現。
⻑期成⻑ビジョン（目指す姿・ビジネスモデル） 外発的動機
•
＜時代に適応した「⻑期成⻑ビジョンの３つの⽅針」＞ 日本の⼈⼝動態の変化、少⼦⾼齢化、生産年齢⼈⼝の減少によ
1. 企業の枠を超えた全体最適化による物流の⾼付加価値化 る労働⼒不⾜への対応が必要であり、かつ緊急性が⾼まっている。
•
2. 働きやすい職場環境と従業員への還元 物流センター内作業の省⼒化・⾃動化を実現するに⾜るAI・IoT・ロ
3. 地域社会への貢献による共存・共栄 ボティクス等の先進技術の進歩が顕著である。
•
競合他社の動向からデジタル化（AI・IoT・⾃動化）への積極投資
●上記⽅針に基づき、本補助事業では、流通段階をつなぐ⾼付加価値物流の実
が多く⾒受けられる中、遅れをとると業務効率や競争⼒の衰退に繋
現を図るべく、その起点となる大規模物流センターの⽴上げに積極投資する。具
体的な実現手段は以下のとおりである。 がる恐れがある。
•
出荷対応⼒の問題から在庫を分散させたくない等の多様化する顧
【①⾼付加価値物流を実現する大規模物流センターへの積極投資】
客ニーズへの対応には、従来のやり方を強化するとともに新たな取
・最新鋭マテハン(※1)を導⼊した⼤規模物流センターを愛知県北部に⽴上げ、⾼付
組・⼿法が必要であると実感している。
加価値物流への変革を推進する。技術と⼈材の融合により、効率的な物流プロセ
•
スに刷新し、⾃動化・省⼈化を図る。これにより、労働⼒不⾜の問題を解決し、物 持続可能な物流の実現を通して、社会的な課題解決ならびに地域
流プロセス全体の効率と労働生産性を向上させ、流通段階を越えて顧客をつなげる 社会へ貢献することが歴史ある当社に求められていることを認識。
ことで差別化を図り、新たな荷主獲得による規模拡⼤を目指す。
【②タカスエロット便を活用したシナジーの極大化】
・上記物流センターで扱うペット関連市場商品等をベースカーゴ(※2)に、タカスエロット 内発的動機
便（中ロット便) とのシナジーを極⼤化し、持続可能な成⻑と発展を目指す。 東海 • 労働⼒不⾜が深刻化する中、当社においても採用が困難になりつつ
エリアでは営業範囲を拡⼤し、配達機能強化による取り扱い物量を拡⼤する。関東
ある現場の状況を踏まえ、労働⼒不⾜に対する抜本的な対策の必
エリアでは⾃社配送ネットワークを強化し、迅速かつ効率的な配送を実現してサービ
要性を感じている。
ス提供できる基盤を整備する。また、関東および関⻄エリアで協⼒会社との連携を強 •
⻑年投資を⾏ってこなかった反動として、既存拠点の⽼朽化に伴う
化し、柔軟で効率的な輸送ネットワークを構築し、運営コストの最適化を目指す。
労働環境の悪化が顕在化していることを踏まえ、積極的な投資によ
【③地域社会への貢献】 る環境改善および最適再配置の必要性を感じている。
・東海エリアを中⼼に全国52拠点を持つ強みを活かし、地域社会に貢献する物流企 •
従業員から選ばれる働きやすい労働環境の整備の必要性。
業としての役割を果たす。これにより、企業の社会的責任を果たし、地域社会と共 •
既存拠点の賃貸物件では、契約上の制約から実現可能なことに限
存・共栄を図る持続可能な収益基盤の強化を目指す。
りがあるため自社所有物件による永続的な拠点づくりの重要性。
•
売上成⻑目標（基準年度︓2027年2月期比較） 顧客に⾒せられるモデルとなる物流センターづくりにより、次世代へ繋
•
2030年2月期までに会社全体の売上⾼年平均成⻑率︓13.1％ ぐ持続可能な経営基盤を構築することが経営者としての責務である
•
2030年2月期までに会社全体の売上⾼増加額︓64.8億円 との思いが強くなっている。
※1 マテハンとは、「マテリアル・ハンドリング」の略であり、物流拠点内の全商品の運搬・保管・ピッキング・仕分け等を⾏う設備や機器を指す。
※2 ベースカーゴとは特定の輸送において、その収⼊の中⼼や基礎となる貨物を指す。</t>
  </si>
  <si>
    <t>高末株式会社
2.補助事業の概要
・⼤規模物流センターを建設し、これを起点に流通段階をつなげる「⾼付加価値物流」を実現。
・当該物流センターは省⼈化・⾃動化を可能とする最新鋭マテハンを導⼊し、⼤幅な労働生産性向上を実現。
•
当社物流サービスは、多くの労働⼒に⽀えられている。特に流通業や小売業向けの物流センター運営において、競合他社と⽐較して「バラ」
ピッキングが可能な独自のシステムと運用ノウハウが特徴であり強みであるが、一方で労働⼒に依存した従来型の⼿法に成⻑の限界を感じ
補助事業の ていた。近年では、労働時間規制の強化や生産年齢⼈⼝の減少など、労働⼒の確保が困難になる傾向に強い危機感を抱いている。
•
背景・目的 このため、労働⼒に依存した従来型の⼿法を刷新すべく、愛知県北部に大規模物流センターを⽴上げ、最新鋭マテハンを導入し、自動化・
省⼈化によって作業効率を大幅に向上させることで、労働⼒に依存しない物流センターの運営を可能とする。さらに、当該物流センターを起点
に、⻑期成⻑ビジョンとして描く流通段階の枠組みを越えた複数荷主を組み合わせた⾼付加価値物流を実現する。
•
設備投資内容は、①大規模物流センターの建設と②最新鋭マテハンの導入である。 【⼤規模物流センターイメージ図】
①大規模物流センターの建設︓愛知県春日井市に建設する。春日井市は名古屋市の近郊で
あり、東名⾼速道路や中央⾃動⾞道などにアクセスしやすいため、交通の便が良く、愛知県内外
への配送が容易であり、当社東海エリア北部拠点として最適である。当該物流センターは、約
23,373㎡の土地に、延べ18,688㎡の建物を建設する計画である。十分な敷地面積と倉庫、
荷捌き場、駐⾞スペースを確保可能であり物流拠点としての機能を⼗分に果たす。
設備投資の ②最新鋭マテハンの導入︓当社の差別化要因である「バラ」ピッキングのさらなる⾼度化を実現
内容 するため、“GTP（Goods To Person）”機能を有する最新鋭マテハンを導入する。従来の
ピッキング業務では、⼈が倉庫内を移動してカートに商品を集めた後、指示に基づいて仕分け作
【最新鋭マテハン（GTP機能等）】
業を⾏っていた。しかし、当該設備を導⼊することで、商品が作業者のもとへ⾃動的に移動し、店
別やカテゴリー別等に⾃動的に仕分けられるようになる。これにより、作業者は移動せずに固定位
置で作業ができるため、労働生産性の⼤幅な向上が図られる。当該物流センターでは、複数荷
主が当該設備を共同利用するスキームを提供することで、流通段階を越えた荷主の取り込み
を実現して⾼付加価値物流を実現する。
2026年度 2029年度
項目
（基準年度） （基準年度＋３年後）
労働生産性 799
262
（万円/⼈） （年平均上昇率＋45.0％）
事業費 75億円
目標値
従業員1⼈あたり 290 （補助額） （4.4億円）
247
給与支給総額（万円/⼈） （年平均上昇率＋5.4％）
補助事業に係る従業員数 250
51
（単位︓⼈） （年平均上昇率＋69.8%）</t>
  </si>
  <si>
    <t>1.長期成長ビジョン 株式会社ユニワールド
当社は、すべてのプロフェッショナルワーカー（職人）が仕事に対する「誇り」を感じ、「リスペクト」される社会の実
現を目指し、ワーカー用品の新しい社会的価値を創造することにより売上100億円超えを目指している。
長期成長ビジョン（目指す姿・ビジネスモデル） 外発的動機
• 当社は、安全作業用品の総合メーカーとして、作業用手袋、セーフ • 当社商品のエンドユーザーは、建設・物流・製造業界など現場で働く
ティシューズ、ワークウェアなどを企画・販売。 プロフェッショナルワーカー（職人）であるが、物流業界の2024年問
題をはじめ、慢性的な人手不足が大きな課題となっている。
• 長期的なビジョンとして、すべてのプロフェッショナルワーカー（職人）
が仕事に対する「誇り」を感じ、「リスペクト」される社会の実現を掲げ • このような外部環境の中、ワーカーが身に着けるアイテムは、安価な消
ている。 耗品としての価値だけでなく、業界に対するイメージを刷新し、働く人
のモチベーションを引き出すデザイン性やブランドバリューを備えた商品
• これまで培ってきた「発想力」を武器にワーカー用品の新しい価値を
需要が増大している。
創造し、社会的なインパクトを生み出しながら企業として成長してい
くことを目指す。
売上成長目標 内発的動機
• 2029年2月期までに全社売上高107.9億円を達成 • 当社が拠点を置く和歌山県有田市は、大手エネルギー会社の事業
（2024年2月期の売上高55.9億円に対し、5年間で52億 撤退という地域課題を抱えている。地域経済牽引企業に認定されて
円の売上増） いる地元企業として地域経済を支えていくことが責務と認識している。
• 2029年2月期までに当社事業戦略の柱であるPUMA. AT • 当社は1996年に軍手の販売から始まった会社であるが、当時はプロ
WORK.で売上高51億円を達成
フェッショナルワーカーに対するいわゆる「3K（きつい・汚い・危険）」の
（2024年2月期のPUMA. AT WORK.売上高9億円に対
イメージが強く、また、ワーカーにとっても手袋等のアイテムは単なる消
し、5年間で42億円の売上増。全社売上に占める割合は
耗品として消費する傾向が強かった。
47％となる。）
• しかしながら、2013年に日本総代理として初めてPUMAセーフティ
• その他商品販売についてもPUMA. AT WORK.との営業相
シューズの取り扱いを開始して以降、ブランド力のあるアイテムを身に
乗効果により、5年間で約10億円の売上増を達成
纏うことによるワーカーのモチベーション増大効果をお客様から見聞きし、
• 国内では今後10年内での売上高150億円を目標とするとと 「現場で働く人たちが仕事へのモチベーションを高め、プライドを持つた
もに、海外進出により更なる成長力の獲得を目指す。 めの支えになりたい」という想いを強く意識するようになった。</t>
  </si>
  <si>
    <t>.補助事業の概要 株式会社ユニワールド
2
既存物流センターに隣接する土地に新たな建物を建設し、現在の2倍の保管能力を有する一大物流センターを
建設。在庫の集約化及び庫内を循環するコンベアの導入などにより、物流全体の省力化と効率化を図る。
• 当社は、PUMA. AT WORK.を柱に現在50億円台の売上高を100億円超に成長させる計画を策定しているが、既存
の物流センターは在庫・出荷能力が限界に達し、新商品発売時の出荷量に対応できず、顧客への案内送付や問い合
わせ対応に多大な事務作業が発生しており、課題となっている。
補助事業の 事業費 億円
17
• 更なる売上増に対応するためには外部物流会社に在庫保管・出荷機能を委託せざるを得ず、その場合、物流コストの
背景・目的 （補助額） （ 億円）
負担増が懸念される。 5.7
• 当社収益計画を実現可能なものにするためには、物流センターの増設を実行し、在庫の集約化と出荷効率の改善を
図っていくことが急務である。
• 既存の物流センターに隣接する自社所有地に2階建ての建物を増設、既存建物の改修も行
うことで、一体の物流センターとして現在の約2倍の保管能力を有する物流拠点となる。
【既存物流センター】
– 1階部分は箱（ケース）単位で商品を保管するケースエリア、2階部分は即時に出荷でき 延床面積：1,957坪/平屋
るように1ピース単位で商品を保管するバラエリアとする計画 保管パレット数：5,205PL
• 現在、複数の倉庫に分散して在庫されている状況であるが、本増設により在庫を一か所に集
約することで無駄な倉庫間の在庫移動をなくし物流の最適化図ることができる。
設備投資の • 省力化及び出荷効率（時間あたり出荷数）改善を目的に、庫内全体にコンベア及び自動
仕分けシステムを導入する。
内容
– 出荷指示に従って商品をピッキング後、コンベアに商品を載せると自動で運送会社別の出
荷エリアまで商品を搬送することができ、出荷効率の上昇を見込める。
– 現在はピッカーがピッキング作業のすき間に破材（使い終わった段ボール箱等）を回収し
ているため、出荷効率の悪化要因となっているが、本設備投資では破材回収用のコンベア
【増設予定地】
を新たに設置し、回収の省力化も図る。
延床面積2,018坪/2階建
• 上記建設・改修費およびコンベア導入費の他、在庫保管に必要となるラック及びフォークリフト
保管パレット数：5,550PL
購入、仕入から受注・出荷指示までを行う基幹システムに対する設備投資を予定。
2027/2月期 2030/2月期
項目
（基準年度） （基準年度＋３年後）
労働生産性 1,788万円
1,226万円
（単位：万円/人） （年平均上昇率＋13.4％）
目標値
従業員1人あたり給与支給総額
369万円
433万円
（単位：万円/人） （年平均上昇率＋5.5％）
役員１人あたり給与支給総額 1,428万円
1,259万円
（単位：万円/人） （年平均上昇率＋4.3％）
補助事業に係る従業員数
115.5人 133.4人
（単位：人）※就業時間ベース</t>
  </si>
  <si>
    <t>1.長期成長ビジョン 株式会社ただおザウルス
本事業では、脱炭素社会・循環型社会の統合的な実現に向けて、大手素材メーカーと提携し、地域を牽引す
るフロントランナーになり、持続的な賃上げを含む地域雇用と更なる事業成長を実現します。
長期成長ビジョン（目指す姿・ビジネスモデル） 外発的動機
• 目指す姿
脱炭素社会・循環型社会の統合的な実現に向けて、地域を牽引するフロ • 国内の産業廃棄物の最終処分場の残余年数は14.7年（首都圏5.2
ントランナーとなり、持続的な賃上げを含む地域雇用の拡充と更なる事業成 年）で、中間処理の選別能力を高度化し、可能な限りの再資源化が必
長を両立させます。 要となっている。
• 現状 • 脱炭素化に向けて省資源型新エネボイラー（非化石燃料）の普及によ
当社は、廃棄物の再資源化率80%と全国の平均再資源化率53%を り、フラフ・RPF燃料の需要が増加している。
大きく上回り、循環型社会の実現に寄与しているが、中間処理の選別作業
に人手がかかり、更なる労働生産性の向上には作業工程の自動化が課題と • 高付加価値のフラフ燃料、RPF、RDFを製造するためのサーマルリサイクル
なっております。 技術、光学式選別等、選別機械の技術が発展している。 ※2
また、RPF燃料※1製造設備を導入していない為、脱炭素社会の実現に寄
与する再資源化まで踏み込めていない状況にあります。
• 補助事業
補助事業では、県内最大の廃プラ混合廃棄物処理施設を防府市に新設 内発的動機
し、県内初となる光学式選別機および圧縮梱包機を導入することで大幅な
省力化を実現します。
また、素材メーカーと業務提携し、廃棄物の受入れ要請に対応し、物量を • 当社は、廃棄物の中間処理業者として、取扱廃棄物の数は県内トップク
確保することで、フラフ・RPF燃料※1を量産し、脱炭素社会に寄与する再資 ラスで、廃棄物の再資源化を得意とする。
源化を行うと共に廃棄物の再資源化率の更なる向上を実現します。 （当社の再資源化率 80％、参考：全国の平均再資源化率 53.0％）
• 再資源化ノウハウをさらに強化することで、脱炭素社会・循環型社会の統
売上成長目標
合的な実現に向けて、地域を牽引するフロントランナーになりたいと考えて
補助事業（全社）の成長目標（2023/7期-2029/7期対比） いる。
・ 売上高 2,266百万円（売上高増加額 +1,671百万円）
・ 売上高成長率 280.8％ • 労働生産性の向上を図るには、中間処理の選別作業をはじめ、作業工
程の抜本的な見直しが必要と認識している。
※1 RPF燃料、フラフ燃料：廃プラスチックを中心とした、紙くず、繊維くず、木くずを原料とする固形燃料（フラフ燃料はRPFと異なり製造時に熱を加えないため、環境負荷がより低い燃料）
※2 光学式選別等の技術発展により、従来の固形燃料に適さない埋め立て処分される廃プラ混合廃棄物も塩化ビニルや塩類を限りなく除外可能となり、従来とは異なる高付加価値のフラフ燃料、RPFの製造が可能となっている。</t>
  </si>
  <si>
    <t>.補助事業の概要
2
補助事業を通じて、長期ビジョンに掲げる脱炭素社会・循環型社会の統合的な実現に向け、地域を牽引する
フロントランナーとなり、持続的な賃上げを含む地域雇用の拡充と更なる事業成長の両立への基盤を構築します。
補助事業の 補助事業を通じて、既存事業にて持つ強みの最大化（再資源化率の更なる向上）と弱みの 事業費 1 億円
5
背景・目的 最小化（選別工程の省力化）を実現させ、更なる事業の成長を目指します。 （補助額） （4. 億円）
7
設備投資内容
• 防府市の事業用地に県内初となる最新設備を導入した、 選
別
廃プラ混合廃棄物処理場を新設し、労働生産性の向上を図る 効
率
化
生産性向上につながる点
設備投資の
内容
• 同工場は、産業廃棄物の中間処理で最も人手が必要となる、選
別、破砕・圧縮作業に県内初となる光学式選別機等の最新設備
を導入し、大幅な省力化を実現する
• また、フラフ・RPF燃料製造設備を導入することで、廃棄物を限りな
く再資源化し、付加価値額の増加を図る
2026年7月期 2029年7月期
項目
（基準年度） （基準年度＋３年後）
労働生産性 1,415
918
（単位：万円/人） （年平均上昇率＋15.5％）
目標値
従業員1人あたり給与支給総額 356
29
1
（単位：万円/人） （年平均上昇率＋7.0％）
役員１人あたり給与支給総額 3,05
2,640 8
（単位：万円/人） （年平均上昇率＋5.0％）
補助事業に係る従業員数
29 87
（単位：人）
R
PF
燃
料
製
造
※
株式会社ただおザウルス
1
※１ 出所：産廃事業で着目したのは「中間処理」 効率重視の選別機マニュアル、㈱御池鐵工所HPより</t>
  </si>
  <si>
    <t>株式会社浜屋
1.長期成長ビジョン
「まだ使えるのに、ゴミにしてしまうのはもったいない」という思いが循環経済と弊社事業を支える大切な概念であり、
事業を通じて循環経済の確立に貢献する企業として成長を目指す。
• これまで培ってきた国内外のネットワークを最大限に活かし、様々な利用シーンから発生する不要になった回収品等について、適切にリユースやリサ
イクルに結び付けていくことは、循環経済の確立において重要と考えている。
• 中堅企業として、雇用創出や社会課題解決、循環経済確立への貢献などを通じて企業価値向上を目指したい。
長期成長ビジョン（目指す姿・ビジネスモデル） 外発的動機
①取引先等からの需要の拡大
• 家庭用品から金属資源まで多種多様な品目のリユース・リサイクル
【目指す姿】
• 本業を通じて循環経済確立に貢献し、雇用創出や社会課題解 に携わってきた。業務提携や取引先からの要請等により、今後更な
る品目数や量の受入に対応していく体制を作っていくことが課題と
決に積極的に取組み、社会に求められ続ける企業として成長する。
なっている。
【企業としての在り方】
• 循環型社会の実現に向けた社会課題（廃棄物問題、国際的な ②サステナビリティなどに対する社会の意識の高まり
• 大量生産・大量消費の流れから、SDGs等の浸透が進み廃棄物
資源制約リスク、脱炭素等環境配慮要請等）解決を通して自
の削減や資源の再利用等循環経済への転換に向けた政策や取
社ならびに関わる人たちの持続的な成長を実現する。
組みが進んでいる。
• 企業成長の鍵となる人材に対し、人材育成や賃上げを実施。社
内発的動機
員一人一人が活躍できる働きがいのある事業活動を推進する。
①賃上げ（ベースアップ）の実現契機
• 浜屋のロゴ（右）は「WIN-WIN」（浜屋に関わる人、みんなに満
足を）の企業理念を象徴している。
• 利益の状況により賞与等での支払のみならず、ベースアップを中心と
売上成長目標
した賃上げを実現したいと考えている。
• 2028年度（2029/9月期）までに会社全体の年平均売上
高成長率10.8％
②リユース・リサイクル事業における可能性の追求
• 2028年度（2029/9月期）までに会社全体の売上高増加
• 他社との連携等新たなビジネスモデルの展開を進め、リユース・リサイ
額80億円
クルの可能性を拡大していきたい。またその中で、循環型社会実現
※上記は補助事業完了後3ヵ年における成長率及び額を記載。
への貢献等社会的使命を果たしたいという強い思いがある。</t>
  </si>
  <si>
    <t>株式会社浜屋
2.補助事業の概要
大型倉庫に点在する拠点とバックオフィスを集約し規模を拡大することで、首都圏での回収品受入体制を強化。
これまで以上に多品種で大容量の受入を効果的に行い、循環経済の確立に貢献する。
• 大型倉庫に拠点及びバックオフィスを集約。これにより、回収品受入→査定→仕分け→流通の流れをワンストップで行い、多品種で大量の受入
を行いながらも生産性を大きく向上させることが可能となる。また、大幅な賃上げも実現する。
• 拠点集約を行って多品種で大量の回収品を一括して処理可能な倉庫を建設する。新規雇用
補助事業の 事業費 15億円
含め人員増加するため、バックオフィス業務も集約。効率化を進めて業務量増加につなげる。
背景・目的 （補助額） （4.3億円）
• 敷地面積約3,600坪に受入及仕分け、流通のための倉庫を建設。
（鉄骨造2階建て・延床面積3,207㎡） 建物完成イメージ
• 点在する拠点をバックオフィスも含めて集約化し、まずは首都圏で多品種で大
量の受入が可能な倉庫を新設する。
• 上記により、大手企業との取引を含めた業務拡大に対応できる体制とする。
• 販売チャネルは隣接のリユースセンターを拠点に、オークションやECを活用し売
設備投資の 上拡大を見込む。
写真等
内容
 以下の流れを新拠点で効率的に実施
受入～販売の流れ
本件補助事業
回収品 査定 販売
保管
受入 仕分け （オークション・EC
等）
2025年度(2026/9月期) 2028年度(2029/9月期）
項目
（基準年度） （基準年度＋３年後）
労働生産性 965万円/人
31万円/人（※１）
（単位：万円/人） （年平均上昇率＋214.8％）
従業員1人あたり給与支給総額 739万円/人
目標値 603万円/人
（単位：万円/人） （年平均上昇率＋7.0％）
役員１人あたり給与支給総額 1,838万円/人
1,500万円/人
（単位：万円/人） （年平均上昇率＋7.0％）
補助事業に係る従業員数
87人 112人
（単位：人）
（※１）：基準年度は事業立上げ時であり、補助事業に係る社員の人件費や費用が先行して発生することから低い数値となっている。</t>
  </si>
  <si>
    <t>1.⾧期成⾧ビジョン
株式会社アロン社
株式会社アロン社 ⾧期成⾧ビジョン
⾧期成⾧ビジョン（目指す姿・ビジネスモデル） 売上成⾧目標
・2030年度までの平均売上高成⾧率10%
当社は、腐食性を持つ薬品を用いて金属加工を行う「金属エッチング
・2030年度までの売上高増加額16億円
業界」において日本屈指の技術力を有し、60年間以上 事業を展開
している。昨年も、カシオ:G-SHOCKの40周年を記念する、ただ１
本だけ生産された腕時計 「G-D001」 に当社独自の技術を用いた 外発的動機
重要部品が搭載され、世界を驚愕させる一助となった。今までも、そし • 現在、全世界的に省人化やDX化が進められ、当社の主力製品
てこれからも、技術面において他社を常に凌駕していくことで業界全体 が搭載される高精度な産業用ロボットや自動運転技術の需要が
を牽引し、社会に高い付加価値を提供し続けることを目指す。 高まっている。今後5～10年が市場の拡大期であり、この機を逃さ
ず市場での存在感を、より高めることが求められている。
当社のビジネスモデルは、「難易度の高いニッチな需要に応えること」が
肝となっている。同業他社が技術的に実現不可能な製品を通じ、顧 • 一方で、労働力人口の減少により採用難が続いており、2023年
客に存在していなかった新たな価値を提供することで、最大限の利益 から賃金引き上げを開始している。賃金引き上げの原資となる利益
を獲得し、従業員に還元する。同時に、その利益を最新設備や人材 の獲得・より少ない人員で生産可能な省人化への取り組みが中⾧
に投資し、さらに技術開発力を高める。この三方良しの好循環により、 期的に不可欠である。
業界で唯一無二の地位を築いてきた。
内発的動機
当社にしか具現化できない唯一の技術力があってこそ実現する製品が
私が当社に入社した1993年当時、当社は岩手県に生産拠点を移
多く、当社の顧客は、それにより付加価値の高い製品を世に出し、世
した直後であり、大規模な設備投資による多大な借り入れと、減価償
界と戦っている。当社を起点に、顧客が、斬新で高品質なモノづくりを
却費の発生によって債務超過であった。
行い、日本の製造業全体としての高付加価値創出を実現することで、
会社の立て直しが急務となる中、「岩手県でモノづくりを続けることの意
世界をリードする高度な技術を日本から提供することを志向している。
味」を改めて考え、人件費の安い海外との競争を強いられる量産志向
ではなく、技術面での優位性を確保し高い付加価値を提供する研究
特に、当社の主力製品が搭載される「高精度な産業用ロボット」は、
開発志向への転換を図った。以降、「最高の集団が、最高の場所で、
日本のお家芸の一つであり、少なくとも今後5～10年は大幅な需要
最高の生産性により、最高のモノづくりを行い、最高の付加価値を
増が見込まれるため、当社の技術力のさらなる向上とともに生産力を
提供する」を掲げ、オンリーワンのモノづくりにより財務を改善してきた。
強化し、事業拡大を可能にする体制を実現する。また、生産拠点の
上記の転換が実を結び、当社は業界での地位を確立するに至った。
集約と新たな設備投資を通して生産性向上・省人化を実現し、より
今後も、社員とともに成⾧を続け、高い付加価値を提供し続けていく。
利益率を高めることを目指す。</t>
  </si>
  <si>
    <t>2.補助事業の概要
株式会社アロン社
補助事業（工場の集約及び設備投資）の概要
現在、当社は、岩手県一関市内に、2か所の生産拠点を有しているが、花泉工場と一関工場の
それぞれで生産管理や薬品処理の部署を有するなど、拠点が分かれていることが、労働生産性向
上の妨げの要因になっている。また、花泉の第１工場は1985年に創業されたもので老朽化が著し
いこと、さらに、花泉工場で主に生産しているガラスベースエッチング製品の需要が、メタルエッチング
補助事業の 製品に置き換わることによる生産量の著しい減少を踏まえ、一関工場敷地内に新たなる工場を新 税抜事業費 18億円
背景・目的 設し、花泉工場の機能を集約させつつ、生産性向上のための設備投資を大規模に行うことを決 （補助額） （6.0億円）
定した。工場の新設・生産設備の刷新に加え、需要の増加が見込まれるメタルエッチング製品に対
する生産能力の拡大と技術力の向上を図り、より高付加価値の製品を提供する体制を実現する。
補助事業終了後も、既存の一関各工場への設備投資を続行し、生産性の向上を継続させ、
年平均16%の生産性向上、年平均5%の賃上げを目標とする。
現在の一関工場
現在の花泉工場
補助事業により、敷地内に
補助事業完了後、一関
新工場を建設する。
工場に機能を集約する。
主にメタルエッチング製品・
主にガラスベースエッチング
拡散接合製品を生産して
製品を生産している。
いる。
2027年度 2030年度
項目
（基準年度） （基準年度＋３年後）
労働生産性 1,531.3万円/人
981.0万円/人
（単位：万円/人） （年平均上昇率＋約16％）
目標値 従業員1人あたり給与支給総額 395.3万円/人
341.5万円/人
（単位：万円/人） （年平均上昇率＋5％）
役員１人あたり給与支給総額 －
－
（単位：万円/人） （年平均上昇率+5％）
補助事業に係る従業員数
111人 111人
（単位：人）</t>
  </si>
  <si>
    <t>小林酒造株式会社
1.長期成長ビジョン
・酒類の国内市場規模は2010年以降減少傾向にあるが、唯一、「ジャパニーズウイスキー」は国内販売、海外輸出ともに拡大している。
・当社は栃木県の企業として、地域資源を存分に活かし、高収益事業であるジャパニーズウイスキーの生産体制拡大に取組み、地域の魅力発信とともに、
世界から愛される酒造メーカーへ成長し、地域雇用の創出、賃上げ、地域内発注、地域外販売の拡大に取組み、地域経済を牽引する存在となる。
長期成長ビジョン（目指す姿・ビジネスモデル） 外発的動機
• 酒類の国内消費量は1999年のピークを境に減少傾向。
• 『ウイスキー事業への投資加速により、世界から愛される高付加
要因は人口減少、若者の酒離れ、酒文化の変化。
価値なお酒を製造する酒造メーカーになる』
• 一方、酒類の海外輸出は日本酒、ウイスキーを中心に拡大傾向。
要因はクールジャパン機構による海外PRによる和食ブームやインバ
【内容】
ウンドの増加、TPPやFTA等の締結が追い風となった。
• 当社が保有する経営資源（人材、技術力、鳳凰美田ブランド、
• 「ウイスキー」は国内販売、海外輸出ともに拡大傾向。
販売チャネル、輸出体制、地域関係者との人脈、連携体制な
• 特に、製造後3年以上樽で熟成することで商品価値が高まる「ジャ
ど）を最大限活かし、当社オリジナルのジャパニーズウイスキーの
パニーズウイスキー」は世界の5大ウィスキーとして世界からも高く評
生産体制拡大とともに、商品価値を高め、売上目標を実現する。
価されていることから、プレミアム化が進み、輸出単価も上昇。
• 本事業では栃木県栃木市に、ジャパニーズウイスキーを熟成する
• 栃木県日光市は世界遺産や多くの観光名所も多く、インバウンドが
樽の貯蔵用倉庫建設と生産設備を拡充する。
盛んな地域。近年は相次いで外資系ホテルが進出している。
• 2025年には栃木県日光市に「日光ウィスキー・スピリッツ蒸留
所（以下、日光蒸留所）」建設用地を取得し、2036年までに
日光蒸留所を完成させ、生産、貯蔵能力の拡充により、長期成 内発的動機
長ビジョンの実現を果たす。 • 当社は栃木県の企業として栃木県の自然、歴史、文化を理解し、
• 「日光蒸留所」は多くの観光客が訪れる栃木県日光市に立地す お酒を通じて地域資源の魅力発信と日々、新たな価値を創出する
ることから、観光資源としても開放する。そして、大手鉄道グルー ため、インバウンドや地域ブランド促進に関する国の補助事業にも積
プやホテル等と連携し、地道にインバウンド等へ当社ウイスキーの 極的に取組んでいる。
魅力を発信することで、グローバルニッチトップを目指す。 • 当社は日光の二社一寺との関係が深く、二社一寺（日光東照宮、
日光山輪王寺、日光二荒山神社）が所有する御神水やミズナラ
材をジャパニーズウイスキーの仕込み水や貯蔵樽に使用できるため
売上成長目標 他社にはない優位性がある。既に、日光市、大手鉄道グループ、ホ
• 2033年までの会社全体の売上高成長率＋275％ テル等との連携体制も構築できているため、当社が製造するジャパ
• 2033年までの会社全体の売上高増加額33億円 ニーズウイスキーを日光ブランドとしてインバウンド等へプロモーション、
販売できる体制・環境も十分整っている。
＜参考＞
• 当社は上記に加え、当社の着実な努力によって築き上げた鳳凰美
●売上高 2023年9月決算：12億円
田ブランド、酒造技術、流通チャネル等をジャパニーズウイスキー事
2033年9月決算：45億円
業に活かすことで大幅な売上拡大、利益率向上ができると考え、本
ビジョンを掲げるに至った。</t>
  </si>
  <si>
    <t>小林酒造株式会社
.補助事業の概要
2
・ウイスキーの生産体制拡充に向け樽の貯蔵倉庫建設と生産設備を導入。専用設備は麦芽投入後、麦芽粉砕→糖化→醗酵→蒸留まで、ﾎﾟﾝﾌﾟ、搬
送コンベアにて自動生産を実現。ウイスキーの冷却が必要な工程では予め設定した温度に自動冷却・管理できる装置や貯蔵倉庫内に温度管理セン
サーを設置することで品質管理を強化。人手不足に対応した新たな生産モデルの構築により、環境変化に強い体制を構築し、事業を実現する。
• 日本酒の国内市場は縮小傾向。成長分野（ウィスキー）への投資により事業拡大を実現する。 事業費 億円
補助事業の 12.6
• 生産、樽の貯蔵体制（ハード面）が課題。本事業により抜本的な労働生産性向上を実現する。 （補助額）（4.2億円）
背景・目的
倉庫・工場内のイメージ
１．ウイスキー貯蔵樽倉庫建設
事業費894,349,500円(税込)・補助額271,015,000円
・年間約230個の樽の貯蔵が必要となるため、専用の貯蔵倉庫を建設
・倉庫内の温度や在庫は専用システムで管理、価値を創造する。
※2年目までは製造したウイスキの半分は熟成せずニューポットで販売。よって2年目まで
は年間230個の樽の貯蔵が必要。3年目以降は全て熟成するため460個となる。
２．ウイスキー生産設備拡充
設備投資の 事業費491,650,500円(税込)・補助額148,985,000円
内容 ①原料処理設備、受入・搬送コンベア：28,600,000円(税込)
②糖化設備、排出ポンプ他：94,600,000円(税込)
③麦汁冷却熱交換、麦汁・湯タンク、ポンプ：43,615,000円(税込)
④発酵タンク、タンク外装断熱×6：46,200,000円(税込)
⑤制御盤：67,650,000円(税込)
⑥冷却設備：94,600,000万円(税込)
⑦排水処理設備37,400,000万円(税込)
⑥運搬・設置費：78,985,500円(税込)
2025年度 2028年度
項目
（基準年度） （基準年度＋３年後）
労働生産性 12,438
7,406
（単位：万円/人） （年平均上昇率＋19％）
目標値 従業員1人あたり給与支給総額
343
410
（単位：万円/人） （年平均上昇率＋6.0％）
役員１人あたり給与支給総額 1,335
1,095
（単位：万円/人） （年平均上昇率＋6.8％）
補助事業に係る従業員数
4 10
（単位：人）</t>
  </si>
  <si>
    <t>1.長期成長ビジョン 株式会社 遠藤写真工芸所
売上拡大と労働生産性向上及び雇用創出のための南草津新工場を建設する。日本の文化「アルバム(※)」を
京都から世界へ発信する。
(※)本計画書では「アルバム」には卒業アルバム、フォトアルバムとフォトブックなどを含む。
長期成長ビジョン（目指す姿・ビジネスモデル） 外発的動機
印刷業界は厳しい経営環境にあり、競争力を強化する必要性がある。
当社は、京都で創業111年の老舗アルバムメーカーである。当社のアルバムは京都の
日本においては少子化による印刷物の需要が減少している。
伝統と美を詰め込んでおり、四季折々のイベント行事、風景や文化をアルバムに収め
た美術品でもある。この日本の文化を世界にも発信することで、文化の伝承者となり、 １．アルバム事業
2031年頃全国アルバム制作では、売上高トップ企業になる。 • 既存の卒業アルバム事業は、季節による繁閑の差が大きく、現在の設備能力
では成長軌道に乗せられないため本事業を活用して海外展開を計画する。
提供する価値 ➢ アルバム世界市場は2024年～2032年CAGR 4.7%、成長市場である。
◼ 社会的視点 ➢ 日本のフォトアルバムは海外で需要が高まっている。
• 地域の雇用を創出する。地域の取引を増加させる。 ２．商業印刷事業
• 日本の文化を継承する。 • 当社のターゲットとなる業界は自動車メーカーとハウスメーカーである。両業界は
• 日本の印刷技術力・デジタル対応能力を活かした、ITPグループ海外子会社 成長市場であり、活発な販促活動を行っている。
拠点への輸出事業を増やし、国際競争力向上に貢献する。
➢ 自動車業界は2027年までのCAGRは6.39％と高い水準である。
• 印刷技術力、デジタル情報処理・媒体サービスの高度化を牽引する。 ➢ 戸建て住宅の需要が高まっており2024年～2030年までのCAGRは
• フルフィルメントサービス事業を構築して、効率的な物流・配送を実現する。 4.1％と成長しており、海外（北米）でも人気が高い。
◼ 顧客の視点
３．倉庫事業
• 海外からMade in Japan品質アルバムにおいて特別な記念を残したいという
• 大手百貨店のECサイト事業支援(フルフィルメントサービス事業)に対応。
需要が高まっている。具体的には、ヨーロッパ、アメリカ、シンガポール等の日本
• 印刷物の保管、アセンブリ、出荷作業のニーズがある。
人学校や美術学校。
• 次世代技術(AR,VR,AI等)の開発・実装、DX化の推進。
内発的動機
• 小ロット向け設備とAIを活用して、フォトアルバム等への対応を可能にする。
◼ ITPグループの製造拠点が京都府、滋賀県、大阪府に分散しており、非効率な状
◼ 従業員の視点
況にあることが問題である。
• スキルレス設備の導入で若手に活躍の場を提供する。
➢ ㈱ITPが滋賀県草津市から取得した土地(6,000坪)を活用して、
• 生産拠点の集約を実現する。また、最新設備の稼働で技術力、労働生産性
新たに南草津新工場(2,700坪)を建設する。
を上げることで時間効率を高め、従業員の賃金アップにつなげる。
➢ 分散している製造拠点を南草津に統合し、生産効率の向上を図り、従業員の
◼ 独自能力の視点
賃金アップを行う。
• DX化と、物流を含めた印刷物の全工程一貫生産を推進する。
◼ ITPグループ全体のグローバル成長ビジョンに沿った取り組みを実施する。
• DX化を担う(株)ITPの未来研究所と現場を直結し、R&amp;Dスピードを上げる。
◼ 単なるデジタルプリントではなく、AR/VR/AI技術を実装した「アルバム事業」や、
• AI活用で、目視からAI検査に変える。精度向上、コスト削減。省エネに繋がる。
「フルフィルメントサービス事業」等のDXサービスを提供する。
売上成長目標：2024年から2029年の5年間 ◼ 本事業を成功させ、グループ内の再編・統合やグループ内スタートアップ事業等を進
める。
• 2029年までに会社全体の売上高成長率53.8％CAGR
◼ 最新デジタル、スキルレス設備、省人＆省エネ化設備を導入し、新たな従業員の
• 2029年までに会社全体の売上高増加額55.3億円
雇用と従業員の高齢化にも対応したスマートファクトリー化を一気に加速させる。</t>
  </si>
  <si>
    <t>.補助事業の概要 株式会社 遠藤写真工芸所
2
南草津新工場を竣工し、ITPグループの製造拠点を集約及び最新設備を導入することで、
労働生産性の向上により、雇用の創出を実現する。
補助事業の • 日本の文化であるアルバムを京都から世界へ発信するため、物流を含めた工場を新設する。 事業費 3 8 億円
背景・目的 • 強み(ヒト、カネ、情報)を活かすため、課題である設備を更新・新規導入し、一貫生産による品質管理の （補助額） （10億円）
強化、生産性向上、輸送コスト削減、省エネで安定した製品づくり、検査装置によるロスを削減をする。
◼ 主要な設備投資内容 ◼ 工夫による生産性向上
(1)建物費 【アルバム事業】
• 建物建設予定 約5,200㎡ • 印刷・製本工程での手作業を自動化・省人化し、多能工化による生産性の
向上を実現する。
(2)機械装置費(詳細は次頁)
• 小ロットアルバム・フォトアルバムの低コスト・短期提供を実現する。
【アルバム事業】
• オンライン入稿システムとAI顔認証・モバイルアルバムシステムの組み合わせで
• 自動製本機(合紙丁合機、自動クルミ機)
品質とスピードを上げ、コストを削減する。
• 小ロット合紙丁合機
• スキルレス設備により、ベテラン以外の従業員も対応できるようにする。
• ３Dスキャナー
設備投資の • サーバー及び関連備品(海外アルバムデータの格納および受渡用) • PP(ポリプロピレン)加工専用室および設備機器を導入し、外注に依存していた
工程を内製化する。
内容 【商業印刷事業】
【商業印刷事業】
• ４色片面/２色両面兼用LED-UVオフセット印刷機
• 南草津新工場を新設し、自社内で工程が完結する。
【倉庫事業】
• 工場集約（ワンフロア）により次工程への運搬が容易になり生産性及び
• フルフィルメントサービス事業用移動ラック、業務用冷蔵庫
生産効率が向上する。
(3)ソフトウェア費 【倉庫事業】
• オンライン入稿システム • 倉庫事業を新事業に立上げる。
• AI顔認証自動補正システム・モバイルアルバムシステム • フルフィルメントサービスを開始する。
• ECサイト物流システム(ECサイト構築費) • フルフィルメントサービス事業用に移動ラックを導入し、スペースを有効活用する。
• フルフィルメントサービス事業で新たに食品の取扱いを始める。
2026年度 2029年度
項目
（基準年度） （基準年度＋３年後）
労働生産性 1,4
403 20
（単位：万円/人） （年平均上昇率＋52.2％）
従業員1人あたり給与支給総額 536
目標値 40
（単位：万円/人） 8 （年平均上昇率＋9.6％）
役員１人あたり給与支給総額 460.0
400
（単位：万円/人） （年平均上昇率＋4.8％）
補助事業に係る従業員数 152
76
（単位：人） （年平均上昇率＋26.0％）</t>
  </si>
  <si>
    <t>株式会社ヨシノ自動車
1.長期成長ビジョン
「共に走ることで、できることがきっとある」
経営理念である”共走”のもと、2024年問題における輸送能力不足の改善や地域の物流連携に寄与する
• 2024年問題と呼ばれるトラックドライバーの時間外労働規制による輸送能力の低下が日本の物流業界にとって大きな問題となっている。
• 将来的な輸送能力低下に向けた対応として弊社だけではなく、物流に関わる事業者【川上のVOLVOトラック(車輛メーカー)から販売会社及び運送会社、川
下の地元運送業者まで】が連携して課題に立ち向かう必要がある。
• 60年余りトラック販売・整備業界に携わり、確固たる信用と顧客基盤を有している弊社の役割として物流トラック稼働率向上のために整備時間短縮等の体
制整備、人員不足による整備遅れの解消、地域の物流連携を目指していきたい。
長期成長ビジョン（目指す姿・ビジネスモデル） 外発的動機
① 2024年問題への対応
• 経営理念である「共走」のもと、販売会社、運送会社、一人ひとりのドライ
2024年度には輸送能力が約14％不足し、将来的に2030年度には約
バーが信頼関係のもとに結びつき、知恵を出し合い、利益を分け合いなが
34％不足する※と推計されている。ドライバーの拘束時間を短縮するという
ら共に走っていけるあり方をみつける。
意味でも円滑な修理・整備の手続きを進められる拠点が運送業界より求め
られている。
〈上記ビジョン達成のための具体的行動〉
② 千葉県の物流問題
• 最新の省人化・省力化設備を導入することで迅速な修理・整備体制を
今後の人口減少と千葉県の地理的要因を勘案すると、房総半島への物流
確立する。→整備時間短縮により車輛の稼働率を上げることで輸送能
手段の維持確保は地域の重要な課題と言え、今回の補助事業(木更津
力向上に貢献する
市での整備拠点新設)が大きく貢献できると考えている。
• 働く人に優しい環境、事故防止につながる設備を導入し、安定的な雇用
を実現する。→安定的な人員確保及び定着を行うことで車輛故障によ
内発的動機
る輸送能力不足の解消に貢献する
• 木更津は房総半島の物流手段の維持確保に重要な立地であり、競合 ① 整備工場の拡大
が少ないブルーオーシャンのマーケットである。→配送トラックに欠かせない 本社整備工場が手狭になってきており、お客様の修理・整備の受付を
大規模整備拠点を設けることで地域物流インフラの維持に貢献する お断りせざるを得ない状況になっている。アフターサービスの観点から
新規車輛販売がこれ以上拡大出来なくなりつつある。
② 労働環境の改善
売上成長目標
採用において、求職者は労働環境を重視する傾向にある。最新設備
• 2029年度までに会社全体の売上高年平均成長率10％
を保有する木更津整備工場を新設することで新規採用の強化、採
• 2029年度までに会社全体の売上高増加額約47億円
用後の離職率の低下を図る。
出典※： 国土交通省 物流の適正化・生産性向上に向けた荷主事業者・物流事業者の取組に関するガイドライン（2023.6.2）</t>
  </si>
  <si>
    <t>株式会社ヨシノ自動車
.補助事業の概要
2
関東圏にもアクセスができ、房総半島の物流維持確保に重要な木更津市に整備工場を新設、先進的な設備を導入すること
で物流トラックの稼働率向上や人員不足による整備遅れが解消され、2024年問題における輸送能力不足の改善に寄与する
補助事業の • 先進的な設備を導入した整備工場を新設することで、アフターサービスの充実や人材確保を図る 事業費 2 億円
6
背景・目的 • アフターサービスの観点から拡大に限界があった車輌の販売台数を伸長させる。 （補助額） （7.3億円）
• 事業費21.8億円のうち、建物20億円(約2800㎡)、機械設備1.8億円(リフト等)へ投資
• 従来より手狭であった本社整備工場に追加して、木更津市に新たに整備工場を新設し2拠点にする計画
• 本社整備工場は短時間で終わる3ヶ月点検等に特化し、木更津整備工場は数日かかる修理や架装に特化
する
• 導入する設備は整備レーンにはスライドの伸縮自動化や全自動画像処理、架装レーンには自動シャーリング
マシンや自動穴あけ機を導入することで従来よりも格段に作業スピードが短縮化され生産性が向上する
工場イメージ模型
設備投資の 整備部
内容 本社整備工場 木更津整備工場
①車検
点検
②一般整備 短時間作業
修理・修繕
長時間作業
部品取り付け
③架装 板金
塗装
2026年度 2029年度
項目
（基準年度） （基準年度＋３年後）
労働生産性 3,561万円/人
1,406万円/人
（単位：万円/人） （年平均上昇率＋36.3％）
目標値 従業員1人あたり給与支給総額 560万円/人 655万円/人
（単位：万円/人） （年平均上昇率＋5.4％）
役員１人あたり給与支給総額
※補助事業を専任する執行役員の給与は従業員給与に含まれており、役員報酬としては計上されていない
（単位：万円/人）
補助事業に係る従業員数
10 65
（単位：人）</t>
  </si>
  <si>
    <t>1.⾧期成⾧ビジョン 株式会社コンメックス
当社グループの開発力を活かし、各業界の自動化ニーズを具現化することで、SIer業界のトップ企業を目指す
⾧期成⾧ビジョン（目指す姿・ビジネスモデル） 外発的動機
 目指す姿 • 日本国内の労働人口が減少する中で、企業にとっての重要な課
題は労働生産性の向上
• 各業界における自動化ニーズを具現化することで、SIer業界の
• このような状況下で、各業界において工場の自動化ニーズが高ま
トップ企業を目指す
るなか、製造業は勿論、食品、医薬品、化粧品などの三品業界か
 ビジネスモデル
らもFA化への需要が急増
• 収益の柱 • 当社は、今後もグループ全体のFA化技術を活用し、このメガトレ
①ロボットハンド、②FAシステム、③自動車部品、④画像処理 ンドを捉えていくことに注力

• 差別化ポイント • 業界の年平均成⾧率（CAGR）は以下の通り
 ロボットハンド :+11.4%
グループ一体となった開発力

 FA : +8.8%
- グループ内に製造部門を有しているため、現場のニーズを忖
 自動車ｴｱﾊﾞｯｸﾞ用部品:+12.0%
度なく開発部門に伝達することが可能。これを活かして、現
場ニーズに即したFAシステムやロボットツールを顧客に提案
内発的動機
グループ内の補完関係

• 現在、経済環境の急速な変化に伴い、顧客の要望も多様化。以
- ロボットハンド、FAシステム、画像処理の技術は相互補完性
前は、当社からの営業活動が多かったものの、現在は顧客からの問
が高く、顧客の多様なニーズに柔軟に対応が可能
い合わせや持ち込みが増加しており、顧客のFA化ニーズが顕著に
売上成⾧目標 増加
• コンメックス（2023年→2029年） • 当社グループは、前述のような新たな業界からの要望に対しても、ト
会社全体の売上高成⾧率 :＋250％
 ライ＆エラーの精神を大切にし、積極的な開発を継続。その結果、
会社全体の売上高 :＋30億円
 大手企業を凌駕する開発力を誇り、当社の製品売上の70%が
• 連結（2023年→2029年） オリジナル商品という成果を上げている
会社全体の売上高成⾧率 :＋201％
 • 今後もこのような強固な開発力を活かし、引き続き地域社会の課
会社全体の売上高 :＋84億円

題解決・発展に貢献する
（出所）Robotic Grippers Market CAGR, size, share, trends, growth, value, key players analysis | StratisticsMRC report (strategymrc.com)
ファクトリー＆産業オートメーション市場-規模、成長、分析(mordorintelligence.com)
自動車用エアバッグの市場規模とシェア分析-産業調査レポート-成長トレンド(mordorintelligence.com)</t>
  </si>
  <si>
    <t>2.補助事業の概要 株式会社コンメックス
工場の新設による生産キャパシティの増加などによる収益力の強化を通して、社会課題である人手不足の解決に貢献
 背景:ロボット市場の拡大に伴う引き合いは増加傾向にあるものの、既存工場の生産能力は上限に
補助事業の 達しており、現状では増産が困難 事業費 28億円
背景・目的  目的:本事業は、工場の新設による生産キャパシティの増加、最新設備の導入による生産効率の向 （補助額） （2.9億円）
上などによる収益力の強化を通して、社会課題である人手不足の解決に貢献を目的とするもの
 設備投資の内容 新工場イメージ図
 ロボットハンド製造工場を移転・拡大するとともに、設備導入により下記効果を企図
- 生産効率の改善:新型研磨機や焼入炉、協働ロボット、AMR、自動倉庫を導入
- 生産能力の増強:最新の工作機械を導入
 設備投資による効果
【売上の増加】
設備投資の  敷地・延床が約2倍となり、生産キャパシティの問題が解決。増加するニーズへの対応が可能となる
内容 【生産性の向上による利益の増加】
 キャパシティの増加のほか、余裕のある敷地を活かした効率的な動線の構築により、生産性を向上
 各種自動化設備の導入によって人的工数を削減
 これまで外注していた一部の表面処理工程についても、焼入炉の導入により内製化。部材の梱包や輸送に伴う労力や費用を削減
【従業員に対する賃上げや労働環境改善】
 人手不足の中、人的工数を抑えつつも増産が可能となるため、増加した利益を従業員の賃上げに充てることが可能となる
 過密で老朽化した既存工場に比べて従業員の安全性や労働環境が改善。離職率の更なる低下やウェルビーイングの向上が期待できる
コンメックス 近藤製作所
項目 2027年度（基準年度） 2030年度（3年後） 2027年度（基準年度） 2030年度（3年後）
2,814万円/人 2,356万円/人
労働生産性 1,337万円/人 1,148万円/人
(年平均＋28.1％) (年平均＋27.1％)
従業員1人あたり 642万円/人 691万円/人
555万円/人 597万円/人
目標値 給与支給総額 (年平均＋5.0％) (年平均＋5.0％)
役員1人あたり 1,653万円/人 1,336万円/人
1,428万円/人 1,154万円/人
給与支給総額 (年平均＋5.0％) (年平均＋5.0％)
補助事業に係る
72人 72人 18人 18人
従業員数</t>
  </si>
  <si>
    <t>株式会社永井運送
1.長期成長ビジョン
物流を取り巻く環境は、産業構造の多様化、情報化の高度進展、顧客ニーズの多様化など、著しく変化してい
る。環境に適合し時代の波を乗り切るためには、多様化するニーズを的確に把握し、柔軟に対応していく必要が
ある。
外発的動機
長期成長ビジョン（目指す姿・ビジネスモデル） • 物流業界の「2024年問題」
ドライバーの労働時間の制限により、人手不足や物流コストの増
【持続的成長】
加、サービス低下などが懸念されるため、労働環境や労働条件の
多様化するニーズを的確に把握し、時代の変化や高度な要求に柔
改善等に積極的に取り組む必要がある。
軟に対応できる対応力を強化する。また、機械化や自動化を推進し
• 燃料の高騰、価格競争の激化
効率化を図る。生産性の向上によって得た利益の一部は、賃金アッ
顧客のあらゆるニーズに対応し、他社と差別化された付加価値の
プとして従業員に還元する。また、利益の一部は追加投資資金として
高いサービスを提供することにより、競争力強化を図る必要がある。
活用する。労働生産性が高く、高付加価値のサービス提供により利
• 環境問題
益を獲得し、賃金アップと追加投資により、更なる生産性を上げるとい
物流業界においても、CO２の排出量削減が求められており、燃
う好循環を創出し、持続的成長を目指す。
料効率の改善や再生可能エネルギーの利用、輸送効率の向上
などに積極的に取り組む必要がある。
【地域経済の活性化】
倉庫の新設等により、地域の雇用を創出する。また、地域社会に
内発的動機
根差した中小企業に対して、ニーズに合致した質の高い物流サービス
• 弊社は、一人一人が持っている人間性や相手を思いやる利他の心
を提供し、物流業務を最適化することにより、取引先の生産性向上
を高め、「人間力」を磨き上げてお客様の物流を担う体制を整えて
や競争力強化にも貢献する。
きた。お客様の様々なご要望を形にし、「困ったときは永井運送」と
いう評価をいただけるまでに対応力を日々磨き上げてきた。
【環境問題への対応】
• 熊本県では、世界最大手の台湾の半導体企業TSMCの工場誘
環境への負荷を最小限に抑えるため、CO2排出削減や再生可能
致に伴い半導体関連企業の進出が相次いでおり、活性化の期待
エネルギーの活用に向けて取り組み、持続可能な輸送手段の採用を
が高まっている。そうした中で、半導体製品の倉庫が不足しているの
促進する。
で、取り扱って欲しいとの声をいただく機会が多くなった。半導体製
品にはクリーンルームが不可欠である。弊社は、クリーンルームを備え
た倉庫業の経験はなく、様々なリスクも考えたが、こういう時こそ対
売上成長目標
応力を発揮するチャンスだと思い新規倉庫の建設と稼働に取り組む
• 2033年度までに会社全体の売上高成長率68.5％
ことにした。
• 2033年度までに会社全体の売上高増加額25億円
• 運送業における価格面のみでの競争は、業績悪化を招きかねない
ことから、特殊な製品を扱う倉庫や高度な倉庫サービスを提供する
ことにより、顧客を獲得し、運送と一体的に請け負うことで会社全
体の業績アップを図る。</t>
  </si>
  <si>
    <t>.補助事業の概要 株式会社永井運送
2
倉庫業者は、多様化するニーズの対応と高度な専門性が求められている。補助事業では、大規模なクリーン
ルーム倉庫を新設し、熊本県で急激に高まった半導体製品の倉庫需要に応える。
熊本県では世界最大手の半導体企業TSMCの進出に伴い、半導体製造が急激に活性化してい
補助事業の るが、半導体製品の保管に不可欠である高度な空気洗浄が確保されたクリーンルーム倉庫が不 事業費
2 億円
2
背景・目的 足している。今後も高い需要が見込まれるクリーンルームを備えた倉庫を新たに立ち上げ、物流全 （補助額）
（ 億円）
2.1
般を請け負うことにより、会社全体の業績アップを図る。
【設備投資の内容】
宇城市松橋町に鉄骨造２階建の倉庫棟（延べ床面積9,781㎡）及び
事務所棟（延べ床面積943㎡）を建設。2025年９月完成、 2025年
10月稼働予定。
【設備投資の効果等】
熊本県内では、半導体関連企業の進出が相次いでおり、それに伴う倉庫
需要が急激に増えているが、クリーンルームを備えた倉庫は圧倒的に不足し
設備投資の
ている。今後も高まる需要に応えるために、クリーンルームを備えた倉庫を新
内容
写真等
設し、弊社のノウハウを活用した効率的な倉庫サービスや物流サービスを提
供する。活況を呈している半導体関連企業をターゲットとしていること、顧客
ニーズに合致していること、付加価値の高いサービスを提供すること、他社に
先駆けて取り組むことで差別化も図られること等から、弊社にとって大幅に労
働生産性向上に繋がる革新的取組みである。また、取引先のコスト削減等
にも寄与するものであり、半導体業界の活況を支える事業である。
なお、当該倉庫の他にも、２棟の倉庫を新設する計画である。
2025年度（26年３月期） 2028年度（29年３月期）
項目
（基準年度） （基準年度＋３年後）
労働生産性 987
（単位：万円/人）
625
（年平均上昇率＋16.5％）
目標値 従業員1人あたり給与支給総額
451
569
（単位：万円/人） （年平均上昇率＋8.1％）
役員１人あたり給与支給総額 1,357
1,077
（単位：万円/人） （年平均上昇率＋8.00％）
補助事業に係る従業員数
210 215
（単位：人）</t>
  </si>
  <si>
    <t>1.長期成長ビジョン まねき食品株式会社
大規模成長投資で老舗に生産性革命をもたらし、ローカル企業からグローカル企業に飛躍する
長期成長ビジョン（目指す姿・ビジネスモデル） 外発的動機
創業136年の知見と最新フードテックを武器に 日本の • エキナカ商業施設の販売商品多様化、新幹線のワゴン販売終了、鉄
伝統事業 道の高速化による車中食機会の減。駅弁事業者にとっては苦難の時代
当社が主体となって駅弁文化の成長と発展に貢献し、
の衰退 • 老舗駅弁事業者の後継者難と地方の過疎化の進行
日本の伝統を後世に継承する
少子 • 少子高齢化による人口減少で、内需縮小は不可避
高齢化 • 生産年齢人口の減少により、人材採用は中小企業の永続的な課題
✓ 幕の内駅弁のパイオニアとして、地方の駅弁事業、雇用、
女性の • 女性の社会進出により、共働き世帯の増加傾向は続き、家事の時短
生産者、地域の味、日本の伝統を守る 社会進出 ニーズが拡大
✓ 海外マーケットを切り拓き、日本の駅弁・駅ナカの価値を海 旺盛な • 2024年の訪日外国人旅行者数は過去最高を見込み、2030年
外に発信。プレミアム冷凍市場における当社独自のポジ 訪日需要 には5千万人突破と推定
ションとブランドを確立する 国際的 • 万博、IR開業等、関西で大型イベントが続き、訪日客へ日本の弁
イベント 当文化のPRチャンスが続く
✓ 関西No.1、全国No.2の駅弁事業者へと成長を遂げ、
進化する • 「冷凍食品＝美味しくない」の印象を覆す、冷凍技術の革新的進化
全社員の大幅且つ持続的な賃上げを実現。
フードテック • 冷蔵庫、冷凍庫に次ぐ第三の鮮度保持技術「ZEROCO(ゼロコ)」
社員が誇りと働きがいを感じられる成長型企業へ変容する
＊主要駅弁事業者：崎陽軒250億円、荻野屋/ひろしま駅弁60億円、淡路屋50億円 内発的動機
✓ 省力化設備への積極投資を推進し、製造現場の抜本的な • 2015年ミラノ万博において、弁当盛り付けのエキシビジョンを実施。
労働生産性改善を追求。冷凍事業比率を高めることで、 観客の熱心な眼差しに、日本食の付加価値及び「BENTO」の海外
日中の計画生産にシフトし、働きやすい勤務環境を整える 展開の可能性を再認識
成長志向 • 内需縮小が不可避な中、非日常食としての駅弁の位置付け、内需
に頼るビジネスモデルに対し、経営者としてリスクを感じざるを得ない
売上成長目標
• 業績見通しの明るい今を最大の好機と捉え、不測の経営リスクに備
内需＋外需の獲得により、 えてビジネスモデルの変革に取り組みたい
2030年8月までに売上高100億円超を達成する。 働き方 • 深夜・早朝中心の生産体制を日中生産に変更し、労働環境の抜本
改革 的改善を図りたい
（輸出額は5年で6億、10年で20億を目指す）
※直近2023年8月期の全社売上高は47億8,900万円 機会損失 • 自社の生産能力が限界に到達し、機会損失が発生
※売上高目標100億円は、社員感謝イベントにて社員に発表済み
• コロナ禍、震災、リーマンショック等、外部環境急変で苦しんだ記憶
✓ 2030年8月期までに会社全体の売上高成長率120％
苦い経験 • 日本で初めて台湾に常設駅弁店を出店するも3年弱で撤退。海
✓ 2030年8月期までに会社全体の売上高増加額60億円
外の現地人材に食材調達、調理、販売を任せる難しさを実感。</t>
  </si>
  <si>
    <t>.補助事業の概要 まねき食品株式会社
2
抜本的な生産性改善と特殊冷凍・冷却能力への大規模投資
省人化・省力化設備の導入による「生産能力の大幅増強」、特殊冷凍・冷却技術の導入による「当社最 事業費 3 3 億円
大の弱点の克服」を図り、積極的な事業拡大と受注活動に舵を切る （補助額） （ 9.3 億円）
補助事業の ⁻ 当社工場の生産能力が目の前の顕在需要に全く追いついておらず、機会損失が発生し続けている
⁻ 調理済み食品の国内市場、海外市場は堅調な成長が見込まれている。
背景・目的
⁻ 世界的には人口の大幅増加が見込まれる一方、今後30年で国内人口は3千万人減少することが見込まれ、内需縮小は避けられない
⁻ 主力商品の常温弁当には「消費期限半日」「商圏は工場から2時間圏内限定」の制約があり、周辺人口減少による将来の行き詰まりが見込まれる
⁻ 上記制約により、食材や売れ残り商品のフードロスが発生しやすい。また、工場は出荷当日の深夜～早朝稼働となり、日中勤務と比べて人材確保が難しい
生産能力増強(1.5倍)と特殊冷凍能力増強(10倍以上)、特殊冷却能力に大規模投資を行う
• 現工場は50年以上前の受注規模に合わせて設計されており、これ以上の生産性改善は難しいため、
より広く、使いやすい生産スペースを求めて新工場を建設、移転する。
• 省人・省力化を実現出来、且つ生産能力の高い食品製造設備の導入を行う。
• 現有の特殊冷凍設備は生産能力が1,000食/日と、プレミアム冷凍市場に本格進出するには圧倒
的に能力不足のため、1万食/日の冷凍弁当を生産可能な特殊冷凍設備を導入する。
設備投資の 新工場のイメージパース
• 食材や加工品の鮮度を非常に高い水準で長期間保つことが出来る特殊冷却庫を導入する。
内容
今回の大規模投資は当社の課題を解決し、事業拡大を図る大きな一歩となる
• 当社の商圏は姫路近郊から全国、海外へと拡大し、見込顧客は現在の何十倍にも増加する。この
市場に対し、当社のこれまでの成功パターンを横展開し、着実に事業拡大を図っていく。
• 省力化設備導入の効果により、平均1万食/日を生産する場合、年間6,577万円のコスト削減効果が見込
まれる。それにプラスして、受注拡大による売上高増と利益の増加も見込め、労働生産性の向上につながる。
2027年８月期 2030年８月期
項目
（基準年度） （基準年度＋３年後）
全社員を対象に
労働生産性 1,497万円/人
577万円/人 年平均上昇率
（単位：万円/人） （年平均上昇率＋37.4％）
5.1%の賃上げを
目標値 従業員1人あたり給与支給総額 388万円/人 実施
334万円/人
（単位：万円/人） （年平均上昇率＋5.1％）
役員を対象に
役員１人あたり給与支給総額 1,058万円/人
848万円/人 年平均上昇率
（単位：万円/人） （年平均上昇率＋7.65％）
7.65%の賃上げを
補助事業に係る従業員数
193人 201人 実施
（単位：人）</t>
  </si>
  <si>
    <t>総武機械株式会社
1.長期成長ビジョン
ものづくりを通して人々の生活を満たし、経済的な豊かさをもたらすことが当社の目指すビジョンである。
2050年カーボンニュートラルの実現に向けて新型のラミネーター類を開発することで世の中に貢献する。
大型化するラミネーター類を製造するための新工場を建設することで、2030年までに売上高を2.5倍以上に伸ばす。
長期成長ビジョン（目指す姿・ビジネスモデル） 外発的動機
• 2050年カーボンニュートラルの実現は、我々の子供や孫世代に豊
• 当社は印刷機、紙及びプラスチック加工機の設計・製造・販売を
かな地球環境を残すために達成しなければならない。自社の技術が
行っている。中でも、顧客の要望に応じた「特注品」の製造が得意
生かせるのであればリスクを取ってでもチャレンジしたい。
である。従来の主力顧客である食品包装材メーカーに加えて、最
• 次世代蓄電池の市場は拡大している。一時的な需要の低減はあ
近は、リチウムイオン電池や全固体電池などの次世代蓄電池の外
るものの、今後、2050年に向けてさらに拡大することが見込まれて
装材を作るための大型の貼合加工機（ラミネーター類）の受注が
いる。当社が培ってきた技術で拡大する市場の一部を獲得できるの
増えている。
であれば、当社の成長につながる。また、協力会社の収益アップにも
• 急速に拡大する次世代蓄電池向けの市場においては、技術革新
つながり、地元で働く人々に恩恵をもたらすことができる。
の速度が速いことから、周辺メーカーは、使用する機器や装置に対
• 当社が製造する装置は、次世代蓄電池市場向けだけでなく、食品
して、高い柔軟性を求める傾向がある。当社は特注品の製造ノウ
包装材市場や建材市場等でも求められるものである。
ハウがあることから、蓄電池向けの製造機についてもオーダーメイド
• このチャレンジは、従来品のブラッシュアップにつながる。
の柔軟な設計と製造が可能である。
• 顧客から外装材を作るための装置を提供してほしいと直々に頼まれ
• 次世代蓄電池は2050年カーボンニュートラル実現の鍵を握ってい
ており、顧客の課題を解決することがビジネスチャンスにつながる。
る。次世代蓄電池を製造するために不可欠な外装材を生産する
ための装置を提供することで、これからのデジタル社会、電化社会
における国民生活・経済活動の進化に寄与したい。
内発的動機
• 新工場を建設することで、新たな装置の提供を実現する。
• ものづくりを通して、人々の生活が満たされ、経済的に豊かになるこ
売上成長目標 とを日ごろから願っている。
• 2030年までに会社全体の売上高成長率157.1％（2023 • 当社が食品包装資材メーカー向けの機械を製造し始めたのは、自
年5月期21.39億円→2030年5月期55億円） 社の技術で人々の食生活を豊かにしたいと考えてのことである。
• 2030年までに会社全体の売上高増加額33.61億円（同 • 日本のものづくりの技術は高いと考えているが、中国や韓国などの競
上） 合メーカーの競争力の高さは肌で感じている。特に、次世代蓄電池
※2024年5月期の決算は確定していないため、2023年5月 市場に関しては、海外メーカーにキャッチアップされている現状を何と
期の数値を参照した。 かしたいと考えてきた。外装材を作る装置を提供することは日本の
競争力向上に寄与できるチャンスであると考えている。</t>
  </si>
  <si>
    <t>総武機械株式会社
.補助事業の概要
2
生産面の課題である、①製造する機械（装置）の大型化への対応、②内製化率の向上、③品質水準の向上という３点
を解決するために、現本社工場から2.8㎞離れた場所に新工場を建設する。新工場には、長さ60ｍの組立ラインを２本備える
ことで生産性を高める。結果、労働生産性は、2.3倍になる（補助事業における基準年度⇒基準年度＋3年後）。
• 次世代蓄電池向け外装材を作る装置が大型化しており、対応する組立工場が必要である。
補助事業の 事業費 億円
20
• 装置の部品の内製化率が低くコスト増になっており、部品製造の内製化率を高める必要がある。
背景・目的 （補助額） （ 億円）
• 次世代蓄電池向け顧客が求める品質水準が高く、それに応える必要がある。 5.7
【工場を上から見た図【】
• 現本社工場から2.82㎞の距離にある場所に、延べ床面積3,480㎡の組
立工場を新たに建設する。現本社工場と新工場は国道126号線で結ば
れており、移動時間は車で５分程度と移動が容易である（部品を積んだ
り降ろしたりする時間は含まない）。
• 新工場には、組立ラインを２本設ける。組立ライン一本の大きさは、長さ
長さ60メー
トルの組立
60ｍ、幅15ｍ、高さ11ｍ（クレーンまでの高さは8ｍ）である。
ラインを2
• 吊り上げ荷重10ｔのクレーンを各ラインに３基ずつ、計６基設置すること
本設ける
設備投資の で、製造する装置の大型化に対応すると同時に、組立のスピードアップを
図る。
内容
• 新工場に併設して、塗装場を建設する。塗装場は延床面積210㎡であ
る。組立ラインと塗装場が隣接することで、無駄な移動はなくなる。
• 現本社工場は部品の製造工場とする。部品製造の内製化を進めることで
外注費の削減を図る。製造した部品を組立ラインに運ぶ必要があるが、距
【工場を横から見た図【】
離は2.8㎞であり、現在の第二工場と比較して（本社工場と第二工場は
20㎞離れている）、運搬にかかる時間を大幅に短縮できる。
• 用地には余裕があり、将来の工場拡張の余地を残している。
2027年5月期 2030年5月期
項目
（基準年度） （基準年度＋３年後）
労働生産性
12,158千円／人
28,189千円／人
目標値 （単位：千円/人） （年平均上昇率＋32.4％）
（補助事業） 従業員1人あたり給与支給総額 6,456千円／人 7,473千円／人
（単位：千円/人） （年平均上昇率＋5.0％）
役員１人あたり給与支給総額 19,348千円／人
16,713千円／人
（単位：千円/人） （年平均上昇率＋5.0％）
補助事業に係る従業員数
28人 47人
（単位：人）</t>
  </si>
  <si>
    <t>1.長期成長ビジョン 菅野包装資材株式会社
我社は、複雑化・多様化する社会問題やお客様のニーズを成長の機会と捉え、イノベーションを契機とする将来
目指す姿を定めました。これによりステークホルダーに届ける価値を通じて持続的成長を目指していきます。
長期成長ビジョン（目指す姿・ビジネスモデル）
外発的動機
社会では環境問題や人手不足が起き、お客様には複雑化・多様化する
ニーズがあり、我社も様々な課題を抱えています。我社は、こうした不確実 • マイクロプラスチックによる海洋汚染、CO2排出による地球温暖化など環境
性を成長の機会と捉え、イノベーションを契機とする将来目指す姿を定めま に対する社会の問題意識が年々増大している
した。社会に、お客様に、そして社員に価値を届けていくことで、それぞれの • 加工性やコストでプラスチックに代わる素材はなく、その機能性から包装材と
課題解決と発展に寄与し我社も持続的成長が遂げられると考えます。 しての顧客ニーズは増している
• 機能性包装材料、環境配慮型材料へのニーズが高まっている
• 原材料価格、エネルギーコストが上昇し、収益を圧迫している
が目指す姿
• 人手不足が進む中で、設備投資により省人化・省力化を図り、多様な人
材を雇用できる職場づくりが求められている
GX Innovation 180
• 従来のグラビア印刷の概念を覆す革新的な印刷機やインキ、ロスの少ない
環境配慮と生産性向上を実現し ラミネート機、高速レーザー搭載のスリット機が登場してきた
お客様のニーズに応え
社員が生き生きと働く企業
内発的動機
社会への価値 お客様への価値 社員への価値
• 製造過程で発生するVOC※、CO2は環境負荷が大きく、脱炭素化へ世
界が向かう中で、我社も社会の一員として対策していかなければならない
環境問題への対応 環境配慮型製造 賃上げ
• グラビア印刷の現場では、従業員は重い版や製品を運び、インキにまみれ
地域雇用の増加 高い品質 職場環境改善
ながら、有機溶剤を含んだ空気の中で作業をしている
地域経済の発展 高い生産能力 多様な人材の活躍
• 高品質を求められる日本の市場ではグラビア印刷が主流で、その工程は
50年以上変わっておらず、選択肢がなかった
• 印刷工場の３Kのイメージから脱却し多様な人材が働ける職場にしたい
売上成長目標（2023年6月期 対比） • 作業の標準化・自動化により属人化を排除し、誰でもできる工程にする
168.5％ • 増加する受注量に対して生産効率が悪く、生産能力が限界にきている
2030年までの会社全体の売上高成長率
• 社員が生き生きと働ける企業、地域に認められる企業になりたい
73.2億円
2030年までの会社全体の売上高増加額
※VOCは、塗料や接着剤に含まれる塗料や接着剤のこと。光化学オキシダントやSPM、PM2.5の大気汚染物質の原因の１つ</t>
  </si>
  <si>
    <t>.補助事業の概要 菅野包装資材株式会社
2
補助事業では、加西インター産業団地に工場を新築し、EBオフセット印刷を軸にしたGXコンバーティング事業を
新設します。さらに増産要請、引き合いの多いOEM充填事業を移設・増設し生産能力を引き上げます。
GXコンバーティング事業では、脱炭素化をはじめとする環境問題への対応を背景とし、省力化や労働環境の
改善を目的として環境に配慮した印刷・ラミネート工程を構築する。OEM充填事業ではメーカーからの増産要
補助事業の 請他社からの引き合いを背景とし、製造効率の改善と生産能力の増強を目的として生産ラインを新工場に移 事業費
48億円
設しラインを増設する。設備を設置する工場は安全に対するメーカーの基準が上がっていることを受けて食品安
背景・目的 （補助額）
（16億円）
全システム（FSSC22000）認証を取得する予定である。これらの事業により得られた付加価値を基に、賃
上げを継続的に行っていく。
GXコンバーティング事業…環境負荷の大きいフィルム製造工程を環境配慮型に転換 OEM充填事業…効率化・自動化による生産性と生産能力向上
Before Before
人力作業 労働環境問題 VOC・CO2排出 火災リスク
非効率なライン 生産能力限界 人材不足
フィルム印刷におけるグラビア印刷※は高い印刷品質である一方、VOCやCO2
充填事業は検品、梱包作業は人手によるところが多くある。また既存工
の排出や火災のリスクなど環境負荷が大きく、従業員にとっても重労働でインキ
場の建物の制約からラインの配置が非効率で、生産能力にも限界がある。
汚れも常態的にあるなど労働環境に課題がある。
※グラビア印刷とは、版の凹んだ部分にインキを付着させて、印刷物に押しあてる印刷方法
新設 改善・増設
After After
省力化 クリーンな VOCフリー 安全安心
労働環境 脱炭素化
効率的なライン ラインの増設 ラインの掛持ち 自動化による省人化
EBオフセット印刷※はフィルム印刷において革新的な方式であり、高い印刷品質と生
産能力を実現しながら、VOCフリー・CO２削減など環境負荷を大幅低減できる。 既存ラインの移設により直線的なライン配置とし、作業効率の改善を図
さらに従業員の労働環境を改善することができ、塗料を扱う仕事の「危険」「きつい」 り、検品・梱包の自動化により省人化を進める。そのうえでラインを増設
「汚い」という業界の課題を改善し人材確保や退職防止に繋がる。 し生産能力を増強する。
※オフセット印刷とは、版につけたインクをローラーに転写、それをローラーに移して紙に印刷する方式 出典：イラストは自社作成</t>
  </si>
  <si>
    <t>.補助事業の概要 菅野包装資材株式会社
2
新工場建設のため加西インター産業団地に用地を取得しています。現在計画中の工場の総面積は13,288㎡。
環境配慮型をテーマにし、地域に先進的なイメージを提供できる工場の建設を検討しています。
・新工場建設
用地 ：加西インター産業団地…約18,757㎡（5,674坪）／建築面積…13,288㎡（4,026坪）【２階建】
構造 ：重量鉄骨造（予定）
用地の造成工事は今年6月に完了。今回導入する設備の配置を検討し、敷地面積や建築面積を想定。併せて設計を依頼する。
工場には後述する新型印刷・ラミネート機の導入により、従来のようなVOC対策設備や排気ダクトの設置が不要で、においやファ
ンの音もしない。加西市の玄関口にある工場として環境配慮をテーマにし、地域に先進的なイメージを提供できる外観を検討している。
工場計画概要
加西市は兵庫県の南部、播州平野の中央にあり、市の中心部を中国縦貫道路が走って 加西インター産業団地
いる。今回工場を建設する産業団地は、その加西インターチェンジ付近にあり、東西へのア
クセスが良く、物流の利便性は非常に高い。またBCPの観点から、加西市は地震等の災
害の少ない地域で、周辺に大きな河川がなく水害のリスクもないことから新工場建設を決
建設予定地
定した。
設備投資の 工場建設の目的
内容① • GX（グリーントランスフォーメーション）に対応できる製造工程の構築
• 充填事業の自動化と効率改善による生産能力増強
新工場建設 • 食品安全管理マネジメント規格FSSC22000の取得
• 将来的に太陽光発電設備を設置し自家消費することでCO2削減に繋げる
【工場の立地】
工場建設で解決する課題
GXコンバーティング事業
• 既存工場内には新たな設備を配置するスペースがないため、新工場を建設する
• インキ・接着剤等に使用する溶剤に含まれるVOC対策設備、対策費が課題である
• 印刷・ラミネート工程で排出しているCO2、VOC等のGHGを大幅に削減したい
• 印刷工場の３Kのイメージから脱却し、多様な人材が働ける職場にしたい
OEM充填事業
• 既存工場の設備配置、動線が悪く、作業効率を上げられない 【工場イメージ】
• 既存工場内に新たな設備を配置するスペースがない
• 現在は大手ペットフードメーカー製品の充填・商品化作業を請負っているが、対応しきれ
なければ海外に生産が移行するリスクがある
出典：地図はGoogleマップ加工、工場イメージは自社作成</t>
  </si>
  <si>
    <t>.補助事業の概要 菅野包装資材株式会社
2
GXコンバーティング事業の主力設備であるEBオフセット印刷機は、軟包装印刷の常識を覆す革新的な設備です。
高品質を実現しながら、「環境性能」「生産性」「コスト削減」いずれにおいても従来の方式を上回ります。
・GXコンバーティング事業
当事業の目的は、包装資材の製造工程をGXに対応した環境配慮型に転換し、高い付加価値の受注を獲得し生産能力を引き上げることにある。
導入する設備は、軟包装印刷において革新的なEBオフセット印刷機をはじめとして、いずれもこの目的に適うものである。
解決し得る課題・・・VOC、CO2排出などの環境負荷を低減でき、低エネルギー化、版や廃プラスチックの削減など省資源化を図れる。溶剤不要、
版の入れ替えもロボットで行えるなど労働環境を改善することができ、多様な人材が働ける職場になる。
労働生産性向上に繋がる点・・・最新鋭の設備により高速化・ロボットによる自動化・工程の削減など効率化を図ることで、高付加価値の案件
を受注することに繋がり、収益性を引き上げ労働生産性は向上に繋がる。
①EBオフセットC1Evolution COMEXI社（スペイン）
従来のグラビア印刷と異なり、電子線（EB）照射でインキを硬化させるため乾
燥工程が不要。版交換もロボットで完全自動化でき、作業者の負担も無く、
セットアップ時間が短縮できるため、生産性が1.5倍になる。
設備投資の
• EBインキ使用により無溶剤でVOC排出完全ゼロを実現*1
内容②
• グラビア印刷に比べてCO2排出量が約80％減*2
• 乾燥工程が不要で大幅にエネルギー削減を実現（ガス利用ゼロ）
GX
• 溶剤不要のため消防法外で作業場が労働者にとって安全で綺麗
コンバーティング
• 版はアルミ製で100％リサイクル可能で安価で資源の無駄がない
事業
• 自社製版が可能で、版の保管が不要となる
• ロボット化による版交換完全自動化で負担軽減・効率性向上
• 印刷速度がグラビア印刷機より最大約1.2倍高速(300m/min）
*EBオフセット印刷用水なしインキを使用した軟包装資材の環境性能
*1 VOC使用量比較 *2 CO2排出量比較
タブレットにより遠隔で機械操作が可能 グラビア印刷のような版の保管は不要
版交換はロボットが自動で行う 版はアルミでロールに巻き付けて印刷
出典：岩崎電気株式会社 テクニカルレポート
出典：特長・・・代理店カタログ、写真・・・Comexi社ホームページ
SDGｓ達成に貢献できる電子線(EB)印刷より</t>
  </si>
  <si>
    <t>.補助事業の概要 菅野包装資材株式会社
2
フィルムを貼り合わせるノンソルベントラミネート機は、無溶剤で環境対応や高速化を実現した新型機です。仕上げ処
理のためのフィルムを切断するスリッター機は、高速レーザーを搭載することで高精度と高速加工を実現します。
②ノンソルベントラミネート機 岡崎機械工業㈱（予定）
ラミネートとは、フィルム、紙、アルミ箔など複数の素材を接着剤で貼り合わせる加工。単一の素
材では得られない性能を向上させるため食品向けでは不可欠となっている。様々な加工方法が
あるが、ノンソルベントラミネートは、無溶剤接着剤を粘度を下げた状態で基盤に塗り、貼り合わ
せるもので以下の特長がある。
• 無溶剤のためVOC完全ゼロで環境対応
• 乾燥工程がないため高速加工が可能（ドライラミネーターの1.2倍高速化）
• アキュームレーターを搭載でき、廃プラスチックを削減できる（巻シワロス80％減）
↑巻出装置、巻取装置と併用し、フィルムを蓄積させておく事で新旧の紙継の作業時間を稼ぐ装置
ノンソルベントラミネート機
設備投資の ③スリッター機（高速レーザー搭載） コムネット㈱（予定）
内容② スリッター機とは、シート状の包装材ロールを巻き出しながら決められた幅にカット、ハーフカットな
どの加工を行う設備。導入予定設備は高速CO２レーザー機を搭載しており、さらに幅広い加
GX 工が可能。
コンバーティング
事業 • 世界No1の精度と高速加工で生産性が大幅に200％向上する
• 高速レーザー加工をしている会社はほとんどなく差別化できる スリッター機 レーザー機
• 高速レーザーにより多様かつ複雑なノッチ加工ができる
④オフライン巻替え機 ㈱東伸 東京計器㈱製検品機搭載（予定）
品質検査のためEB印刷やノンソルベントラミネート時に発生した工程不良を巻替えながら、現
物をカメラで検査して不具合の除去を行います。
検品機
• 検査機は最新鋭で従来に比べて小さな不良を検出し、さらに8か所同時に検出が可能
• 巻替え機は最新鋭で従来機と比べ1.3倍高速化し作業者の負担軽減 オフライン巻替え機
• 業界最小のコンパクト設計で省スペースで設置が可能
• 従来機より幅広いテンション設定で薄いフィルムも巻シワロスが少ない
出典：設備の写真・・各社ホームページより</t>
  </si>
  <si>
    <t>.補助事業の概要 菅野包装資材株式会社
2
OEM充填事業は、増産対応の要請に応え、事業を横展開していくために現状の課題を解決し生産能力を増
強することを目的とします。ラインには省力化、高速化が図れる設備を配置していきます。
・OEM充填事業
選別→計量→充填→包装→梱包→パレタイズまでの一連の作業をラインを構築し自動化。現状は数社のペットフードの充填作業を請け負って
おり、増産対応の要請がある。また他社の引き合い多く、生産効率の改善とラインの増設により生産能力を増強し、事業の横展開を図る。
・解決し得る課題・・・設備動線の改善、ボトルネック工程の自動化により生産効率を大幅に引き上げられる。4基のラインを新設し生産能
力を増強することで、既存取引先の囲い込みと新規先への事業の横展開ができる。
・労働生産性向上に繋がる点・・・最新の高精度・高速設備の導入により収益性は増し、生産効率の改善からも労働生産性は向上する。
現状の問題
• 建物に合わせてラインを構築したため非効率な流れとなっている
• 増産要請に対して既存工場には空きスペースがない
• 検品作業は人の目に頼るところが大きい
・設備投資の • 包装までの工程は自動化できているが、梱包とパレタイズは人手がかかっている
充填ライン 上面
内容③ 計画
• ５ラインは既存工場から移設し、配置は直線ラインに改善、検品、梱包を自動化
• ４ラインを増設し、計９ラインを構築する
OEM • 多用途光選別機を導入し、人による検品作業の負担を軽減する
充填事業 • 梱包とパレタイズを自動化し省力化を図る
横面
導入設備（各ライン内の主要設備）
①多用途ベルト式光選別機 ㈱サタケ（予定）
現状の検品作業は、ベルトコンベア上を流れる製品を1人が付きっきりで目視にて検
品している。集中力と忍耐を要し、作業者の負担は大きく、不良品が混入するリスク
は避けられない。
今回導入を予定している光選別機は近赤外線や可視光線、X線のカメラにより製
品の中から着色物・異物などの不良品を選別し、圧縮空気で除去する装置。カメラ
の種類により成分、変色、内部不良を判定することができ、人による目視での検品よ
光選別機ベルトゥーザ・スペクトラの仕組み
りも優れている。処理能力は毎時最大５トン。
出典：㈱サタケ ホームページより</t>
  </si>
  <si>
    <t>.補助事業の概要 菅野包装資材株式会社
2
包装機は最新の高速機を導入します。梱包とパレタイズも自動化し、さらなる省人化を図ります。
以上の補助事業による労働生産性の向上と給与支給総額の上昇は間違いありません。
②計量機（組み合わせはかり） 大和製衡㈱（予定）
計量システムの革新技術により超高速・高精度の計量を実現している。操作性や
堅牢性にも優れている。10連モデルで最高75計量/分、14連モデルで最高140計
量/分の高速運転が可能。
組み合わせはかりデータウェイの作動写真
計量機
出典：大和製衡㈱ ホームページより
③縦ピロー包装機
・設備投資の 既設機では小袋充填の分包しかできないが、本設備では大袋の分包充填が可能と
内容③ なり、充填請負の幅が広がる。1分間で最大200袋を包装し、高い剛性により機械
の振動が少なく高速での包装が可能となっている。既設機では最大160回転/分だ
が、本機は最大200回転/分となり生産能力向上が図れる。
OEM
充填事業
縦ピロー包装機
④ケーサー、パレシステム 縦ピロー包装機の仕組み
出典：㈱川島製作所ホームページより
コンベアから流れてくる製品を箱詰めするにあたり、現状3名かかっている。ケーサーを
導入することで、製品をハンドリングし、指定パターン通りに段ボールに箱詰めを自動
で行うことができ、段ボールセットの1名となり省人化できる。
さらにパレシステムの導入により、箱積みまで自動化でき、さらに省人化できる。約
2kg～10kgの段ボールを3～5ケース/分(サイズによる)箱積みしており重労働であ
るが、ロボットによるパレタイズにより負担軽減及び省人化となる。
Before After
2027年6月期 2030年6月期
項目
（基準年度） （基準年度＋３年後）
169 万円/人
労働生産性 1,16 2 万円/人 4
（年平均上昇率＋13. 4％）
5 万円/人
目標値 従業員1人あたり給与支給総額 469万円/人 60
（年平均上昇率＋6.0 ％）
6
-
役員１人あたり給与支給総額 -
（年平均上昇率＋6. ％）
5
補助事業に係る従業員数 277人 305人</t>
  </si>
  <si>
    <t>川﨑工業株式会社
1.長期成長ビジョン
新しいことにチャレンジするための土壌をつくり、次世代自動車（以下：電動車 ）部品の供給能力を
（※１）
持つ企業へと変容していく。
長期成長ビジョン（目指す姿・ビジネスモデル） 外発的動機
• 自動車業界ではCASEと呼ばれる大変革期にあり、ガソリン車などの化石燃
• 至誠通天「誠を尽くせば願いは必ず天に通じる」を社是とし、新たな
料を動力源とする自動車から電動車へのシフトが急速に進んでいる。世界的
挑戦により自らを進化させて、常に社会に貢献できる企業であり続け
な自動車市場は伸びているものの環境維持の機運が高まっていることもあり、
ることが当社の使命である。これまでに築いてきた文化を大切にしつつ、 今後、化石燃料のみで動く自動車の比率は徐々に減少することが予測され
大変革期に対応するために新工法の開発や技術革新によりアルミ ている。一方、当社製品の約90%は化石燃料で動く自動車に取り付けられ
製品製造技術を常に進化させる。そして、新工場建設により顧客 る吸気用部品や排気用部品である。社会に貢献し続ける自動車部品メー
企業からの品質要求や大量生産能力を拡充しながら、柔軟かつ提 カーとして存続するには、電動車用の部品にシフトしていく必要がある。
• 当社顧客の自動車メーカーが提唱しているマルチパスウェイ（P.6参照）
案力のある企業へと成長していく。
では、地域事情に合わせて様々な電動車を供給していく方針であり、航続距
• 現在当社の強みを発揮している自動車部品関連分野で、今後の
離と燃費向上のため１gでも軽い部品が求められている。そのため鉄の1/3
著しい成長が期待されている電動車用の『３種の神器（※２）』
の比重のアルミ部品の需要は増大しており、HEV（※１）を中心に2030年
関連の部品を皮切りに、スーパーダイカスト法などの新技術を使っ までのアルミ部品の需要は伸び続けることが期待できる。自動車メーカーから
た大型部品や、シャシーなどの一体成型技術を磨くことにより、成 は電動車部品についても当社の量産能力に期待されており、要望に応え続
長し続ける。更に既存事業についても新工場で培ったノウハウを従 けるためにも変革の必要性を感じている。
来工場に展開することで効率化・省力化を推進する。
• 地域経済を牽引する企業として地域の企業との連携を深めるととも 内発的動機
に、従業員の幸福度を高めて地域の人々が働きたいと思える企業 • 当社は創業後、車載用ジャッキの製造で経営基盤を確立し、顧客である自
を目指す。 動車メーカーからの開発要望を取り入れて精密な自動車用アルミ部品の製
造事業者へと変容してきた。現在は内燃機関関連の量産部品の供給に特
売上成長目標
化しているが、社会に貢献し続けるためには、電動車用部品を始めとした新
• 2030年3月期までの会社全体の売上高成長率65.5％ たなチャレンジに取り組める環境を整える必要がある。
（直近期と比較した成長率） • 電動車への移行が進むことにより、当社従来製品が減少することは明らか
• 2030年3月期までの会社全体の売上高増加額76.8億円 であり、従業員が雇用継続に不安を感じている。将来の成長が期待できる電
動車用高付加価値部品の開発や工場の自動化に加え、特定の自動車メー
カー系列への依存体質からの脱却にもチャレンジすることで不安を解消すると
2023年8月期実績売上高117.3億円
同時に安心して働くことができる環境を整え、従業員のモチベーションと定着
2030年3月期目標売上高194.1億円
率も高め、地域社会への貢献を果たしたいと考えている。
2040年3月期目標売上高230.0億円 を達成する。
（※１）電動車 ：ハイブリッド車（HEV）、プラグインハイブリッド車（PHEV）、電気自動車（BEV）、燃料電池車（FCEV、水素電池車含む）などモーター駆動の自動車全般を指す。
（※２）3種の神器：電動車に搭載される 『モーター』、『バッテリー』、『パワーコントロールユニット（PCU）』 を指す。</t>
  </si>
  <si>
    <t>川﨑工業株式会社
.補助事業の概要
2
“地域と共に成長する新工場” アルミダイカスト新技術を活用し、
クリーンで効率的な電動車部品の生産設備への投資。
・ 電動車部品事業に特化した新工場の設置
補助事業の 事業費 5 4 億円
・ 製造環境を管理してコンタミの混入を抑制したクリーンルームの整備
背景・目的 （補助額） （16億円）
・ 部品の一体化（モジュール化）のため、従来設備と比較して大型の生産設備の導入
• 補助事業で導入する建物・設備等
建物及び建物附属設備
機械装置費
（機械装置費の内訳）350ｔダイカストマシン ４台
800ｔダイカストマシン 1台
切削ライン ４ライン
ダイカストマシン冷却設備
設備投資の
金型整備設備
内容
排水処理設備
合計5,014百万円を投資する
• 設備投資によりクリーン環境など製造環境の管理が容易になり、今後
の製造・販売を強化する計画の電動車用部品の製造拠点ができ、
従来製品と区分した対応が可能となる。管理が異なる製品を一か所に
まとめられることから労働生産性の向上につながる。 新工場イメージ
2026年度 2029年度
項目
（基準年度） （基準年度＋３年後）
労働生産性 1400
（単位：万円/人）
908
（年平均上昇率＋15.5％）
目標値 従業員1人あたり給与支給総額 535.5
（単位：万円/人）
469
（年平均上昇率＋4.5％）
役員１人あたり給与支給総額 1381.9
1210.8
（単位：万円/人） （年平均上昇率＋4.5％）
補助事業に係る従業員数（担当役員含む）
（単位：人）
102 237</t>
  </si>
  <si>
    <t>日華化学株式会社
1.長期成長ビジョン
2030年に向け、中期経営計画「INNOVATION25」を策定（2023年）公表し、推進している
「界面カガクのチカラで様々な社会課題を解決し、より豊かな暮らしや輝く未来に貢献する」
１）「気候変動問題」などの社会課題や、「より健康的な生活」や「超スマート社会の進展」などの顧客ニーズの変化に対応する
２）80年以上培った技術力とグローバルネットワークで、「環境」・「健康/衛生」・「先端材料」の分野での成長を図る
３）2030年までに、売上年平均成長率(CAGR)5%、売上高増加額200億円の高い目標を設定している
長期成長ビジョン（目指す姿・ビジネスモデル） 外発的動機
• 「気候変動問題への世界的対応」、「人はより健康により衛生的
• 2030年のありたい姿「売上高700億円／経常利益10%」
に」「サーキュラーエコノミーの台頭、超スマート社会へ進展加速」、な
• 事業セグメント別売上高構成比（2023年→2030年）
ど、人々の意識や社会課題は着実に変化が進んでいる
• 人材の流動性が全国的に高まっており、優秀な人財の獲得と育
成・定着が大きな経営課題になっている
• デジタルトランスフォーメーションの急速な進化により、最新技術の導
入や働き方改革、生産性向上が企業の持続的成長に欠かせない
ものとなっている
内発的動機
• 当社基幹事業である「化学品事業」における市場環境の激化
• 特に屋台骨である「繊維化学品」から次の柱の育成が急務
売上成長目標 • 新規事業を全社的に推し進め事業構造の大転換を図っている
• 2030年までの売上高増加額200億円（CAGR5%） • 企業価値・魅力を高め続け、人的資本の能力を最大限発揮する
• 化学品事業：450億円（＋88億円／2030年）
• 化粧品事業：250億円（＋110億円／2030年）
• 化粧品事業国内売上高比率：85%（直近実績）
パーパス・ビジョン｜会社概要｜日華化学株式会社 (nicca.co.jp)
日華グループ連結売上</t>
  </si>
  <si>
    <t>.補助事業の概要 日華化学株式会社
(cid:21)
化粧品事業の成長基盤として、時代の要請に応える「福井スマートファクトリー」を設立する
１）化粧品事業の成長に向け、新たに「生産、商品開発、営業支援」の先進拠点を設置する。
２）労働生産性の向上を図り、従業員の給与増額と、新たな雇用を確保することで、地域、日本の活性化に貢献する。
補助事業の • 事業拡大にともない、生産キャパシティーの拡大のため新たに化粧品工場を設立し、 事業費 1 億円
(cid:25)(cid:25)
背景・目的 商品開発機能強化、販売体制強化を行う。 （補助額） （50億円）
●自社ブランド製品とODM*製品の生産マザー工場とする
福井スマートファクトリー完成イメージ
・デジタル化、自動化、省人化による効率化追求により生産性向上を図る。
・24時間稼働により生産キャパシティーアップと生産性向上を図る。
・製造加工費の大幅な低減を図りコスト競争力を高める。
・太陽光発電装置設置、ヒートポンプによる未使用エネルギーの再利用等で
設備投資の カーボンニュートラルを推進する。
内容
●技術、商品開発力（毛髪科学研究所）の強化を図る。
・商品開発のための現場試作の設備機器、スペースを設置する。
●販売力強化の支援をおこなう場とする
・美容師およびODM依​ 頼先の方々への研修施設を設置する。
＊ODM：Original Design Manufacturing
・顧客、地域に開かれた商品紹介の展示ブースを設置する。 商品の企画から製造までを他社に委託する 製造方法および企業
2026年度 2029年度
項目
（基準年度） （基準年度＋３年後）
労働生産性 1,337万円
898万円
（単位：万円/人） （年平均上昇率＋14.1％）
目標値 従業員1人あたり給与支給総額 623万円
562万円
（単位：万円/人） （年平均上昇率＋3.5％）
役員１人あたり給与支給総額
― ―
（単位：万円/人）
補助事業に係る従業員数
342人 357人
（単位：人）</t>
  </si>
  <si>
    <t>新生電子株式会社
1.⾧期成⾧ビジョン
最新鋭の工場設立により会得した省人化ノウハウを既存事業に展開。
経営理念の達成に向け、さらなる社会貢献企業へと進化する。
＜補助事業＞ ビジョン 経営理念
明和工場への大規模投資
◆ ◆
協働ロボット/AGV/自動倉庫など最新鋭の設備投資 ２ 社 モ
による、省人化を追求したモデル（次世代）工場の ０ 業 ノ
実現 の づ
３
発 く
０
展 り
①
＜ 補助事業実施中（後）に実現したいこと＞
③ 年 を で
明和工場以外の国内工場4か所（宮崎県・兵庫
通 世
3
県・三重県松阪市・⾧崎県）へ省人化ノウハウを転 じ 界
③ 用する。 月 て と
⇒採用が難しくなっている地方において、生産性向上 期 従 未
による人手不足解消と各地で賃上げを行う 業 来
員 に
売
が 貢
② ② 上 幸 献
＜ 補助事業実施中に実現したいこと＞
せ す
① 関東への新工場設立に向けた試験工場的立ち位置 ３
に る
⇒明和工場のノウハウを活用して、関東に新たな工場 ０
な
を設立し、さらなる業績拡大、雇用創出を行う。
① ０ る
億 場
①
で
円
あ
①
③
の
＜ 補助事業実施中に実現したいこと＞ り
海外工場（上海・インドネシア）へ省人化ノウハウを 達 続
転用する。 成 け
⇒さらなる生産性向上と業績拡大を実現する。 る</t>
  </si>
  <si>
    <t>新生電子株式会社
1.⾧期成⾧ビジョン
本事業を起爆剤に会社の変革を行い、さらなる社会貢献企業へと進化する。
⾧期成⾧ビジョン（目指す姿・ビジネスモデル） 外発的動機
コロナ禍を経て、自動車・産業機器市場は世界的に大きな転換期
日本・世界の社会課題解決に直結する製品・部品の生産能
・世界的なEV/HVシフト
力・技術を追求し、モノづくりで世界と未来に貢献する
・CASE技術の高まり（コネクテッド/自動運転/シェアリング/電動化）
・産業機器市場が国内外ともに成⾧
ーーーーーーーーーーーーーーーーーーーーーーーーーーーーーーーーーー
・大手企業の国内生産回帰
・弊社の事業は日本の基幹産業（自動車・産業機器・医療等）を支える電 ・自動化/省人化設備の導入を支援する政府政策
子部品の製造業であり、地球温暖化、少子高齢化、医療費高騰、人手不 ・ EV/HV車の導入を支援する政府政策
足、災害時の水不足など、日本・世界の社会課題解決に直結している。 ・社会課題に対する問題意識の高まり
・環境負荷の低い製品開発需要
・EV/HV関連技術、自動化/省人化関連技術をさらに追及することで、 ・少子高齢化、人口減少によりカーナビ・デジタルカメラ向け電子部品等の主
カーボンニュートラルや企業の労働生産性向上、 省力化、人手不足・災害 要商品の出荷量減少
時の水不足の解消など、世界と未来に貢献する企業へと進化し、持続的な ・スマホ普及等による携帯電話の国内生産の減少
社会の実現に寄与する。 ・中国、台湾、韓国など海外製の安価な模倣品・類似品の台頭
・パチンコ市場の縮小
・ニーズの多様化に伴う、多品種少量生産の対応
・また、前頁の理念にある「従業員の幸せ」とは従業員の成⾧、自己実現、正
当な報酬などあらゆる側面で測られるが、まずは本事業により賃上げを行い、
内発的動機
従業員の幸せに向けた第一歩とする。
成⾧の壁にぶつかっており、存続を懸けた大きな変革が必要
・会社が積極果敢に投資を行うことで、成⾧に積極的に取り組む文化を形成 ・10年前の売上200億円をピークに、以降売上が伸び悩んでいる。
・コロナ禍から2023年3月期（前期）の業績は回復したものの、売上160
し、全従業員が常に成⾧することを望む風土を実現することが、従業員自身
億円とピーク時の8割未満。
の成⾧、自己実現ひいては全従業員の幸せに繋がると考える。
・リーマンショック～2018年頃まで会社は迷走状態に入り、業績は大きく低
迷。賞与はおろか昇給も行えず、減給措置の実行などから、会社全体の士
気が下がり、ほとんどの事業拠点が赤字化。このようなことは二度と起こさない
新生電子の成⾧目標 強い意志で経営を行っている。
・今後、海外を含めて外部環境は激変する。EV/HVの対応、先端技術、
◆2030年3月期（2029年度）
半導体、自動化/省人化などあらゆるテクノロジーが発展していく中で、こ
売上300億円
の流れに乗れなければ衰退しかないと考えている。
営業利益45億円（営業利益率15%） ・まさに企業変革の時だと強く意識しており、今を最大の好機と捉え、大胆
な投資により積極的かつ抜本的に変革を推進していきたい。</t>
  </si>
  <si>
    <t>新生電子株式会社
2.補助事業の概要
既存の明和工場への設備投資・新工場の設立を行い、売上300億円に向けた基幹工場とする。
・EV/HV関連技術、自動化/省人化関連技術の発展に伴い、当社への引合も増加しているもの
補助事業の の、設備やスペースの問題で機械損失が発生している。 事業費 23億円
背景・目的 ・本工場でEV/HV向け車載電子部品、自動化/省力化関連電子部品、水循環器等新たな （補助額） （7.6億円）
領域など今後成⾧が見込まれる製品を製造し、売上300億円にむけた足掛かりとする。
①明和工場の生産能力増強（6倍）
・当社の弱点である生産能力不足による機械損失を改善する。
・FA向け設備の組立スペースを確保し、省人化/自動化設備部品の加工～組
立まで一貫した生産体制を確立する。
②最新技術の開発・追求による生産性・付加価値の向上
・既存の工場では対応できない一貫生産（電子部品の搭載機能等）を取り
入れた最新鋭の工場とし、カーボンニュートラル、水不足解消に貢献する。
・省人化・自動化ラインを構築し、生産性・付加価値向上を図る
設備投資の
③省人化のモデル工場とし、他国内5拠点へと展開する
内容
・社内で初めて協働ロボットを15台導入。AGV（自動搬送機）、搬送コンベア、
自動倉庫システムを導入し、あらゆる工程を自動化した高生産な新工場。
・最新設備による安全で働きやすい職場の実現。
・本工場をモデルに他地域へ横展開し、他の地域での雇用創出やさらなる社会
貢献企業に成⾧する。
・労働生産性の大幅改善による賃上げ原資の確保が可能
④自家発電型太陽光発電設備を設置し、生産時のCO2排出量フリーを目指
した環境に配慮した次世代工場とする。
2026年度 2029年度
項目
（基準年度） （基準年度＋３年後）
労働生産性 1,611万円
701万円
（単位:万円/人） （年平均上昇率＋32.0％）
目標値 従業員1人あたり給与支給総額 541万円
467万円
（単位:万円/人） （年平均上昇率＋5.0％）
役員１人あたり給与支給総額 1,354万円
1,169万円
（単位:万円/人） （年平均上昇率＋5.0％）
補助事業に係る従業員数
128人 166人
（単位:人）</t>
  </si>
  <si>
    <t>新生電子株式会社
２.先進性・成⾧性／製品・生産方式等の優位性確保
既存の明和工場への設備投資・新工場の設立を行い、売上300億円に向けた基幹工場とする。
既存明和工場への投資内容 明和新工場への投資内容 投資効果・実現したいこと
＜投資内容＞ ＜投資内容＞
• 協働ロボットをはじめとした最新鋭の自
生産能力を3倍に増強 従来工場の4倍の生産能力を実現
動化・省力化設備を導入し、自社で最
• 協働ロボット5台 • 協働ロボット
大級の生産性を追求する
マテハン工程の自動化・省人化 マテハン工程の自動化・省人化
• メガトレンドが押し寄せるHV/EV自動車
• AGV • AGV
関連、産業機器関連の少量多品種生
材料運搬の自動化 材料・仕掛品・商品の移動自動化
産に対応できる圧倒的な生産能力・自
• 自動倉庫システム • 搬送コンベア
動化/省人化による短納期、コスト競
部材保管・移動、入出荷管理の自動化 搬送の自動化を行う
争力により差別化を図る。
• 自動塗布機 • 自動倉庫システム
• 顧客の最先端の要望を実現し続けてき
絶縁材の塗布を自動化する。 部材保管・移動、入出荷管理の自動化
たことで培った高い技術力を活かして、
• 自動挿入機省人化ロボット • 樹脂材料自動供給
高度な品質管理を実現する。
挿入工程の自動化 樹脂材料の自動共有による生産性向上
• 安全で働きやすい工場環境を実現し、
• 検査自動化機 • 自動はんだ付け組立ライン
女性や高齢者の雇用創出、活躍できる
検査工程の自動化を行う。 はんだ付け・部品組み立ての自動化
会社にする。
• 3D自動測定器
• 自家発電型太陽光発電設備を設置し、
測定の自動化・省人化
生産時のCO2排出量フリーを目指した
• 太陽光発電設備
環境に配慮した次世代工場とする。
自家消費型太陽光発電設備
AGV 協働ロボット 搬送コンベア 自動倉庫システム 自家消費型太陽光発電設備</t>
  </si>
  <si>
    <t>共栄フード株式会社
1.長期成長ビジョン
世界No.1パン粉企業を長期ビジョンとし、国内外のパン粉需要の増加に応える。国内シェア40%の目標達成、輸出促進のため、
生産能力増強及び生産性向上により、2029年までに売上高300.4億円（2023年比+104.7%）を目指す。
長期成長ビジョン（目指す姿・ビジネスモデル） 外発的動機
◼ パン粉需要の増加
～The PANKO Company～
目 国内
名実ともに世界No.1パン粉企業になる ⚫
指 - 国内競合他社は事業撤退や縮小が進んでおり、当社への引き合
す ◼ 世界の食卓に当社のパン粉は欠かせないものにする
いが増加
姿 ◼ 食品ロス削減へ貢献する
世界
⚫
- ユネスコで和食が無形文化財として登録され、日本生まれの食材
◼ 生産能力の強化
であるパン粉を使用した食品需要が世界で高まっている
国内外のパン粉需要の増加により、引き合いが増
⚫ - Oxford大辞典でも日本式パン粉を「PANKO」として英単語が採
加しているが、現行設備では生産能力が不足。 用されている。
工場を増設することにより、国内外の需要へ応え、 - 世界的なサスティナビリティの促進により、食品ロス削減への関心が
世界の食卓にパン粉を届ける 高まっており、再生パン粉の引き合いが増加
ビ
◼ 人手不足
ジ
◼ 収益基盤の強化 ⚫ 2030年までに生産年齢人口が約700万人減少すると予測されており、
ネ
人手不足に対応した安定生産の構築が必要である
ス ⚫ 補助事業により群馬県に新工場を建設し、最適
モ 物流体制や生産体制を構築し、収益基盤をさら 内発的動機
デ に強化し、国内シェアを40%にする ◼ 当社の存在意義：「パン粉で食卓をにぎやかにすること」
ル
日本の食文化を海外にも届け、世界中の食卓にパン粉を届けたい
⚫
◼ 海外事業の強化（輸出促進）
海外のパン粉市場はCAGR4.7%で推移。既存 経営者の思い
⚫
の引き合いだけでなく、海外への新たな販路拡大 ◼ 会社の発展と社員の成長により、会社も社員も豊かにしたい
従業員は重要なステークホルダーであり、収益向上と待遇改善の循環
を視野に積極的に営業を実施 ⚫
により、会社と社員の持続的な成長を目指したい
工場の自動化により、従業員の労働負担を軽減し、長期雇用を促し
⚫
たい
売上成長目標
◼ 食を通じて社会貢献がしたい
2029年までの長期的な目標
⚫ 「パン粉をつくることは、世界の食文化を豊かにすること」を企業理念とし
⚫
✓ 売上高：300.4億円 ており、食を通じた社会に貢献より、企業として果たすべき責任を全うし
✓ 2023年比, +104.7%, +153.7億円 たい</t>
  </si>
  <si>
    <t>.補助事業の概要 共栄フード株式会社
2
国内外のパン粉需要の増加に伴い、生産能力の増加が急務となっており、新東日本工場を建設する。
新工場は自動化により人手不足にも対応し、労働生産性向上・年平均4.8%の賃上げを実現する。
◼ 既存工場のみでは国内外の需要に生産量能力が不足するため、群馬県に新工場を建設
補助事業の ◼ 慢性的な人手不足に対応するために、生産性や業務効率の向上が急務になっており、 事業費 ◼ 9 8 億円
背景・目的 （補助額） (30億円）
製造ラインを自動化することで生産能力増強、生産性向上を行う。
◼ 建物費：53.0億円
新工場の模式図
費用内訳 ◼ 機械装置費：37.3億円
◼ 専門家経費：0.3億円
補
助 ◼ 生産量の増加により、国内外のパン粉需要の増加に対応可能
事 NE工場の生産能力：23,300t （焼成パン粉：14,300t, 再生パン粉：9,000t）
⚫
業 ◼ 製造ラインの自動化による労働生産性の向上
の 自動化に作業者の肉体的負担の低減、省人化
⚫
内 効果 ◼ 開発機能を付随し、開発～製造にかかるタイムロスを削減し、顧客ニーズへの対応を実施
容 →顧客満足度の向上
◼ 東日本の営業所拠点の集約
◼ 賃上げ：+4.8%※2026年10月期比
2026年10月期 2029年10月期
項目
（基準年度） （基準年度＋３年後）
労働生産性 1,750
679
（単位：万円/人） （年平均上昇率＋37.1％）
目標値 従業員1人あたり給与支給総額 410
356
（単位：万円/人） （年平均上昇率＋4.8％）
役員１人あたり給与支給総額
- -
（単位：万円/人）
補助事業に係る従業員数
112 270
（単位：人）</t>
  </si>
  <si>
    <t>株式会社ロッキー
1.⾧期成⾧ビジョン
セントラルキッチンを活用した効率的な生産体制でドミナント戦略を推進。最新技術を積極的に導入し、
熊本県内の消費者の満足度向上はもちろん、全てのステークホルダーに利益を還元できる企業に成⾧する。
⾧期成⾧ビジョン 外発的動機
• 幹線道路沿いには大型店舗の出店が相次ぐ一方、過疎地や競合
〈目指す姿〉
企業が撤退したエリア等、買い物の便が悪い地域があり、消費者の
• 競合他社が出店できないエリアでも果敢に出店し、県内どの地域 購買環境・購買体験の差が拡大している
でも高い顧客満足度を達成できる企業 • 生産年齢人口の減少により、従業員の採用が困難になっている
• 従業員・取引先・地域、全てのステークホルダーに利益を還元し、 • 中小企業においても企業コンプライアンスが重要視されるようになっ
社会的責任を果たす企業 ている
• 常に食品ロス削減に努め、地球環境に配慮した経営を実現でき • デジタル技術の活用有無が、労働生産性に大きな影響を及ぼすよ
る企業 うになった
• AI等の最新技術を率先して活用し、事実に基づいた科学的な • 企業の社会的責任が重要視されるようになり、単に利益を出せば
手法で業務に取り組む企業 良いという価値観は衰退している
• 災害時も食の供給拠点となり、地域貢献ができる企業 • 食の安全性に対する消費者の意識がますます高まっている
〈ビジネスモデル〉
内発的動機
• セントラルキッチンにおける生鮮食品を一括生産、デジタル技術を
• ウォルマート等米国小売業の事例分析を通じ、わが国の小売業に
活用した発注・会計、OTC医薬品や化粧品といった高粗利カテゴ
おけるオペレーションの合理化が立ち遅れていると痛感した
リ商品の販売を通じた粗利ミックスを通じ、良質な商品を低価格で
• 非合理なオペレーションによる中間コストが売価に反映され、「わが
提供する
国の消費者は損をしているのではないか」というもどかしさがある
• 少子高齢化・生産年齢人口減を背景に採用活動は年々困難に
売上成⾧目標（基準年度比） なっており、DXを通じた生産性向上が当社の成⾧・衰退を分かつ
• 2028年度年までのコンソーシアム全体の売上高年平均成⾧ キー・ファクターになると認識している
率12.4％ • 地球環境に配慮し、ステークホルダーに対しても誠実な、高い倫理
• 2028年度までのコンソーシアム全体の売上高増加額9,192 観に基づいた商売こそが生き残りの絶対条件と考えている
百万円 • 熊本地震や熊本豪雨の経験を通し、災害に強い企業である必要
性を痛感しており、レジリエンスの強化、サプライチェーン全体の強靭
化が必要と考えている</t>
  </si>
  <si>
    <t>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A • 現在限界に近づいている生鮮食品の生産キャパシティーを拡充し、新規出店を可能とする
生産キャパシティ増加 • 生産拠点が益城町と熊本市南区に分散していることで生じている運送コストを削減する
補助事業の
B • 共働き世帯の増加など、ライフスタイルの変容に応じた品揃えを実現する
事業費
29億円
惣菜の商品力強化 • 当社店舗にしかない商品を開発・販売し、競合他社との差別化を実現する （9.4億円）
背景・目的 （補助額）
※コンソーシアム全体
C • 仕入業務および受発注業務の生産性向上（省人化推進）
の投資額
データドリブン経営 • 消費期限管理の精度向上による廃棄ロス削減
の加速 • 店舗における人時生産性向上（人手不足への対応）
コンソーシアムベース
2025年度 2028年度
項目
（基準年度） （基準年度＋3年後）
労働生産性 741
431
（万円/人） （＋19.7％）
従業員1人あたり
280
給与支給総額 242
（＋5.0％）
（万円/人）
補助事業に係る 627
572
従業員数（人） （＋3.1％）
目標値
(株)ロッキー (株)アールミート (株)ザ.キッチン
2025年度 2028年度 2025年度 2028年度 2025年度 2028年度
項目
（基準年度） （基準年度＋3年後） （基準年度） （基準年度＋3年後） （基準年度） （基準年度＋3年後）
労働生産性 869 568 499
470 251 279
（万円/人） （＋22.8％） （+31.2％） （+21.4％）
各社別
従業員1人あたり
317 269 268
給与支給総額 274 232 231
（＋5.0％） （+5.0％） （+5.0％）
（万円/人）
補助事業に係る
474 508 50 60 52 67
従業員数（人）</t>
  </si>
  <si>
    <t>株式会社ロッキー
2.補助事業の概要
セントラルキッチン増設により新店舗展開を可能とするとともに、惣菜の商品力強化（スイーツ製造など）を行い
集客力を高め、最新機器導入による省人化を図り、より筋肉質な経営を目指す
補助事業の狙い
A.生産キャパシティ増加 B.惣菜の商品力強化 C.データドリブン経営の加速
市場成⾧率が高い惣菜カテゴリにおいて十 デジタル機器を活用し、物流や店舗内業
現状の店舗数で生鮮食品の生産キャパシ
背
分な工夫ができておらず、市場シェアが獲 務の効率化を進めているものの改善余地
ティは限界。新規出店が難しい状況
景
得できていない はある状況
• 上益城の農産物加工場増設による供 • カートレジ導入
対
給力向上 • 炊飯ライン・スイーツ製造設備等の導 • 生鮮品のEDI（受発注システム）導入
応
• 精肉加工ラインの増設・省力化装置の 入 • 消費期限データ付きJANコードシステム導
策
導入 入
 機会損失減少による客単価上昇
効  新規出店が可能となる  他店との差別化による客数の増加  値下げ販売の機会損失・廃棄ロス削減
果  生産性の上昇  客単価の上昇  待ち時間短縮による顧客満足度上昇
 販促機能による客単価上昇
売上UP↑ コストDOWN↓</t>
  </si>
  <si>
    <t>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現在
取組み①:上益城の加工場増設による供給力向上・生産拠点集約
熊本市南区の加工場 上益城の加工場
〈顧客ニーズ〉
近場で生活必需品を揃えたい。商圏人口が少ない過疎地や、市街地で
も採算が取れず他社スーパーが撤退したエリア等、買い物の便の改善が待
たれている。
設備投資後
〈現在の課題〉
閉鎖 増築
現在は、熊本市南区の加工場で牛肉と豚肉の加工、上益城の加工場で
鶏肉、惣菜、青果、鮮魚の加工を行っている。現在の店舗数で生産キャ
パシティが限界に近づいており、新規出店が困難である。また、熊本市南 〈効果〉
区の加工場からTCへの輸送コストが発生している。 上益城の加工場の増設
Ａ
（生鮮食品製造能力がアップ、生鮮食品加工の拠点を集約）
生
設 産 〈投資内容〉 改善点 現在 設備投資後
備 キ 上益城の工場を増設し、生産ライン増設に必要なスペースを確保する。
供給可能な店舗数 28店舗 40店舗
投 ャ 上益城に生産拠点を集約し、熊本市南区加工場は閉鎖する。また、補助
資 パ 実施期間中に3店舗を建設し、売上増を図る。 TC輸送費 3,000万円/年 0円/年
の シ
内 テ 取組み②:精肉加工ラインの増設・省力化装置の導入
容 ィ
〈効果〉
増 〈顧客ニーズ〉
加 共働き世帯の増加、単身世帯・夫婦のみ世帯の増加により、時短ニーズ これまで十分に提供できなかった加工度の高い商品を重点的に販
売することで、部門売上を増加させる。また、加工度の高い商品は高
が高まっている。自宅での調理を省ける商品の需要が高い。
付加価値で粗利率も高く、部門全体の粗利率も改善する。
〈現在の課題〉
手動式のスライサーや、手作業による加工が主となっており、作業効率が悪
い。このことが、消費者の時短ニーズに沿った、加工度の高い商品（味付 改善点 現在 設備投資後
け肉、餃子、焼肉セット等）の開発・販売にあたってボトルネックとなってい
精肉部門年間売上 98,000千円 122,500千円
る。
（1店舗あたり） 25％up
〈投資内容〉
半自動ミンチライン、高速スライサー、餃子・ハンバーグ成形機等を導入し、 精肉部門粗利率 22.9％ 26.3％
時短ニーズに対応する。</t>
  </si>
  <si>
    <t>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取組み③:炊飯ライン・スイーツ製造設備等の導入
〈顧客ニーズ〉 〈効果〉
Ｂ 前述した時短ニーズの高まりとともに、1世帯あたり人数の減少に伴いセルフ 弁当・スイーツといったセルフユース商品、寿司や土用丑の日のう
惣 ユース商品の需要が増加している。 な重等のイベント関連商品、自宅での調理が難しい揚げ物の売
菜 上増により、部門売上を増加させる。特に自社開発のスイーツは、
の 〈現在の課題〉 他社にない差別化商品として来店動機を高められる。
商
炊飯の生産キャパシティが不足しており、セルフユース商品である弁当・お
品
にぎりの供給が十分ではない。また、寿司やフライ、菓子といった自宅では
改善点 現在 設備投資後
力
調理しづらいセグメントのメニュー開発が十分ではない。
強
化 惣菜部門年間売上 50,580千円 61,000千円
〈投資内容〉
（1店舗あたり） 21％up
炊飯ラインの新設による供給力の増強、オートフライヤー、スイーツ製造設
設
備の導入により、顧客ニーズに対応する商品の開発・販売を強化する。
備
投
資
取組み④:カートレジ導入
の
内 Ｃ 〈顧客ニーズ〉 〈効果〉
容
短時間で必要な買い物を済ませたい（ショートタイムショッピング・ワンストッ レジ対応に係る人時数を削減し、販促機能を通じてカートレジ利
デ
ー プショッピング）。 用者の客単価を増加させる。
タ
ド 〈現在の課題〉 改善点 現在 設備投資後
リ 当社は日用雑貨の取り扱いも豊富でワンストップショッピングのニーズには対
ブ 応できている。一方、レジは自動釣銭機は導入しているもののピークタイム レジ対応時間 36人時/日 30人時/日※1
ン は混雑し、待ち時間が発生している。 （1店舗あたり）
経
営 客単価 ― 15％up※2
〈投資内容〉
の （カートレジ利用者）
カートレジシステムを導入し、セルフスキャンに
加
よりレジの待ち時間を短縮する。また、同シス
速
テムの販促機能（チラシ内容の表示やクーポ ※1:カートレジ利用率20％として試算した
※2:実証実験や他社の導入実績を調査し、最低限見込まれる上昇値
ン発行）を活用可能とする。</t>
  </si>
  <si>
    <t>株式会社ロッキー
2.補助事業の概要
農産物加工場の増設にともなう生鮮食品製造ラインの増強により供給力を拡充し、新規出店を可能とする。
並行して、生鮮品のEDIや消費期限データ付きJANコードシステム、カートレジを導入し、店舗業務を効率化。
取組み⑤:生鮮品のEDI（受発注システム）導入
〈効果〉
〈顧客ニーズ〉
発注に係る業務時間を短縮するとともに、欠品による売り逃しや
開店から閉店前まで、いつ来店しても欲しい商品を購入したい。
値引き販売を削減し、生鮮3部門の売上を増加させる。
〈現在の課題〉 改善点 現在 設備投資後
常温品はAIの需要予測による自動発注システムを導入しているが、生鮮
品は従業員が売れ数を見ながら手動発注している。時間がかかるうえ、発 発注業務時間 4人時/ 1人時/日
注精度が従業員のスキルに依存しており、欠品による売り逃しや期限切 （1店舗あたり） 日 発注数の確認のみ
迫による値引き販売、期限切れによる廃棄が発生している。
Ｃ ⇒営業中に需要予測を変更できないアウトパックの弱点
生鮮3部門売上 ― 8％up※
青果・精肉・鮮魚 〈内訳〉
デ 〈投資内容〉 欠品による売り逃し削減:+4％
ー 生鮮EDIシステムを導入し、AIによる需要予測機能を活用した自動発注 値引き販売の削減:+3％
設 タ 廃棄の削減:+1％
を実現する。
備 ド
⇒アウトパックの弱みを克服 ※取組み⑥の効果と併せた目標
投 リ
資 ブ
の ン
内 経 取組み⑥:消費期限データ付きJANコードシステム導入
〈効果〉
容 営 〈顧客ニーズ〉
期限チェックに係る業務時間を短縮するとともに、期限切れによる
の
鮮度の良い商品を購入したい（品質重視）/見切り品をお買い得に購
廃棄ロスを減少させ、生鮮3部門の売上を増加させる。
加
入したい（価格重視）/フードロスをなくしたい（社会的価値重視）
速
改善点 現在 設備投資後
〈現在の課題〉
期限チェックは従業員の目視で行っており、時間がかかるうえ、定刻にチェッ 期限チェック 4人時/日 1人時/日
クができていないケースや見落としがある。適切な値下げ販売の機会を逸 業務時間 値下げシール貼付のみ
することで、廃棄ロスが発生している。また、期限チェックのモレにより気づか （1店舗あたり）
ないうちに期限が切迫しており、過剰な値引き販売（定価→半額など）
生鮮3部門売上 ― 8％up※
をせざるをえないケースもある。
青果・精肉・鮮魚 〈内訳〉
欠品による売り逃し削減:+4％値
〈投資内容〉
引き販売の削減:+3％
消費期限データ付きJANコードシステムと専用の包装機を導入し、値下 廃棄の削減:+1％
げが必要な商品の在庫数・値下げ額を自動表示できるようにする。 ※取組み⑤の効果と併せた目標</t>
  </si>
  <si>
    <t>株式会社小松電業所
1.⾧期成⾧ビジョン
建機業界は年9.0％で堅調に成⾧する見込みであり、建機メーカーからは生産能力を超える引合いを多く
いただいている。本補助事業で生産能力と生産性を飛躍的に向上、賃上げにつなげビジョンを実現させる。
2029年の⾧期成⾧ビジョン 外発的動機 ※建機=建設機械
• 世界の建機業界では、CAGR約9.0％と堅調な成⾧が見込まれる一方で、
１．建機業界のメガサプライヤーとして提供価値を拡大する。
脱炭素化、自動運転化など⾧期的には脅威となる変化も想定される。また、
・工場新設により生産能力増強・品質向上を実現し、既存顧
労働力不足が課題となる中、これまで以上に生産性、収益体質強化の必要
客の増産に応えつつ新規顧客を開拓する。サプライヤーの生産
性が高まっている。
余力がない状況のため、当社の成⾧が国内グローバル建機メー
• 顧客からは安定供給と高品質が求められ、その水準は年々厳しくなっている。
カーの成⾧につながる。
また、増産要望があるが現在は生産余力がなく受けられない状態である。
・設計段階から顧客に提案することで付加価値向上を図る。
• 設備投資を行うことで、生産能力を増強しつつ生産性向上・省人化・高品質
２．新たなチャレンジをして社会に貢献する。 化を実現し、売上拡大・収益体質強化と社員へのさらなる還元を目指す。同
・自動化、省人化、DX化、環境負荷低減等、最先端技術で 業他社を分析した結果、売上拡大が収益体質強化につながる傾向にある。
工場のスマート化を推進する。
・本補助事業で建設する新小山工場については、リスクをとって 内発的動機 （代表取締役 塚林幸作）
大規模投資を行い、自動化技術、DXノウハウを投入して飛躍 &lt;顧客に対して&gt;
的に生産性を向上させ、国内中堅中小企業の「ものづくりのモ ・私が入社した2001年は建機市場が低迷から脱し始めていた時期でした。大き
デル工場」となることを目指す。 な成⾧はなかった当社に対して高成⾧を遂げた同業他社は、リスクをとってでも
顧客とその先の社会の要望に応えて信頼を得て、業績拡大に結びつけていまし
３．皆が協力し合い互いに成⾧できる職場を創る。
た。強い衝撃と危機感を抱き、その後は当社でも顧客の要望にできる限り応え続
・多様な働き方ができ全社員が互いに協力して高め合える職場
け、2006年にはコマツ様の要望に応えて栃木県小山市に工場を建設しました。
をつくる。社員一人一人が挑戦をして成⾧し、積極的な設備投
・今後も、本補助事業等により、顧客の要望に応えて困り事を解決し、社会の
資で会社も成⾧を遂げることで、業界平均を大幅に超える毎年
発展へ貢献することが企業の成⾧のためには不可欠であると強く思っています。
のベースアップ、残業時間削減と休日増加を行う。
&lt;従業員に対して&gt;
・健康企業認定を取得済であり、外部講師を活用した社員研
・私はオーナー一族の後継者として仕事をしてきましたが、オーナー家の生まれであ
修やサークル活動の充実などにも取り組んでいる。
るだけで高い地位・処遇を受けることに負い目を感じることもありました。その後、
・これらにより、物心両面でやりがいをもって働ける会社にする。
せっかくのこの立場を活かして社員の人生と社会を豊かにすることこそが私の使命で
あると考えるようになりました。社員に物心両面で幸せな生活を送ってもらうため、
2029年度の売上成⾧目標
代表取締役就任直後から社員の報酬を毎年増加させています。
• 当社単体 246億円 (2023年度比＋59％、+91億円) ・本事業は次世代の経営を担う社員の自律的な動きを中心に企画実行されてい
• グループ全体 346億円 (2023年度比＋52％、+118億円) ます。建機業界のメガサプライヤーになるビジョン実現に向けた取り組みで生産
性を向上させ、社員のよりよい生活の原資にしていきたいと強く考えています。</t>
  </si>
  <si>
    <t>株式会社小松電業所
2.補助事業の概要
自動化・省人化・DX化を進めた新工場建設により生産能力と生産性を飛躍的に向上させ、市場成⾧の一方で
サプライヤーの生産余力不足に苦慮している国内建機メーカーの増産要望に応えると共に全社で賃上げを行う。
• 建機市場は少なくとも2040年まで成⾧が続く見込みであり、主要顧客のコマツ・竹内製作所は
今後も増産計画である。当社の売上高はここ数年過去最高水準であるが、生産余力がなく顧
事業費 43億円
客の増産要望に応え事業成⾧することが難しい。業界的にもサプライヤーの生産余力がなく、
補助事業の （補助額） （14億円）
国内建機メーカーが苦慮している。また、業界的な採用難から人手不足も起き始めている。
背景・目的
• そこで、自動化・省人化・DX化・省エネ化を進めた新工場を建設して顧客の増産要望に応え、
国内のグローバル建機メーカーの成⾧に寄与する。また、工場間の案件（製造品目）割振りの
最適化などシナジー効果も生み労働生産性を飛躍的に向上させ全社で賃上げを実現させる。
塗装ライン
• 補助事業での売上高が102億円・175%増加するのに対し、17名の省人化と生産性向上によ
り従業員の増加は59%・58名に抑えられる。
• 板金・塗装・組立を一貫生産できる自動化・省人化・DX化・省エネ化を進めた新工場を建設し、
建屋（①）、塗装ライン（①～④）、自動搬送システム（⑤）で下記投資と効果を実現する。
• ①小型部品に特化した最新塗装ライン建設による18%の生産性向上:新工場は小
設備投資の 型部品に特化し塗装能力も向上させることで、生産性が大幅に向上する。
内容 • ②現品票の高耐久化・DX化による20%の生産性向上:現在は塗装ラインにおいて 自動搬送システム
現品票の貼り換え・手入力を行っているが、高耐久化・DX化によりこれらが削減される。
• ③多品種少量の建機部品では国内初の塗装自動化による2名の省人化:多品種
少量の建機部品塗装において国内で自動化している所はない。自動化に成功した当社
中国工場のノウハウを活用し、上塗り塗装をロボットにより自動化して2名省人化する。
自動塗装ロボット
• ④ハイブリッド型乾燥炉導入によるガス43%・電気10%の省エネ化
• ⑤自動搬送システムによる8名の省人化:フォークリフトから自動搬送に置換え。 ※下2つの画像はノードソン株式会社、株式会社ホリゾンのHPが出典
2026年度 2029年度
項目
（基準年度） （基準年度＋３年後）
目標値 労働生産性（万円/人） 725 1,639（年平均上昇率＋31.2％）
従業員1人あたり給与支給総額（万円/人） 495 566（年平均上昇率＋4.6％）
補助事業に係る従業員数（単位:人） 99 157
※補助事業に係る役員は0人</t>
  </si>
  <si>
    <t>アオイ電子株式会社
1.⾧期成⾧ビジョン
パワー半導体や先端半導体パッケージ（FOLP・チップレット)などの高付加価値製品への
本格的移行により2029年度までに売上高の倍増を目指す。
⾧期成⾧ビジョン（目指す姿・ビジネスモデル）
外発的動機
• 純国産OSATとして、これまで小型（軽薄短小）パッケージを中 • これまでの半導体事業の柱であった小型ﾊﾟｯｹｰｼﾞ（アナログ・電源
心とし、ハイコンポーネンツ青森（2013年完全子会社化）を合 系）には海外勢の進出も盛んであり、価格競争も熾烈を極めてい
わせ業容を拡大してきたが、海外とのコスト競争の激化により今後 る。更なる原価低減と受注増を目指すとともに、今後EV車の増加
の大きな発展性は望めないと判断している。 に伴い採用増が見込まれるﾊﾟﾜｰ半導体の組立とテスト能力の拡
大に取り組みたい。
• 今後、需要拡大が望めるﾊﾟﾜｰ系ﾊﾟｯｹｰｼﾞの生産能力を拡大し、
特に産業・車載・家電製品向けの中小容量分野への進出を目指 • また、ﾊﾟﾜｰモジュール（FOLP)の市場要請が旺盛なことから開発を
す。 加速させたい。
• 更に先端パッケージ（FOLP※）によるﾊﾟﾜｰモジュールの上市に向
けて工場の整備を進める。新工場の建設（改造含む）および製
造装置導入を進める。
内発的動機
• 併せてチップレットの2027年度上市に向けて研究開発を加速し、
• 2022年度後半からの半導体不況（産業機器、民生、通信市場
FOLPと合わせて当社グループの柱とする計画である。
向け）が⾧期化し、中国における国産化の動きも加わり、業績が
低迷した。これを契機に従来ﾊﾟｯｹｰｼﾞからの転換（高付加価値製
※プリント基板上に単体の高集積度半導体を表面実装する時に小さな占有
品へウェイトをシフトする）が必須となった。
面積で済ませられる半導体部品のパッケージの一形態（Fan-out-wefer-
Level-package）
• 更に、研究開発中のFOLPに量産化のめどが立ち、工場の新設に
売上成⾧目標 取り組む。今後は、チップレットへの展開を模索する環境が整ったと
判断している。
• 2029年度までに会社全体の売上高成⾧率102％（単体）
• 2029年度までに会社全体の売上高増加額379億円（〃）</t>
  </si>
  <si>
    <t>アオイ電子株式会社
2.補助事業の概要
パワー系／車載系半導体の量産体制確立のための設備投資を段階的にすすめ
自動化・省人化により労働生産性の向上を図るとともに創出された利益を従業員に還元する。
• 既存パッケージ(小型)に加えて、大きな成⾧が見込めるパワー半導体パッケージングの量産受注
補助事業の につなげたい。量産受注のためにはクリーンルームの新設および設備の導入が必要である。 事業費 254億円
背景・目的 • パワー半導体の性能を向上させ、エネルギーの無駄を減らし環境負荷を低減させることによりGX （補助額） （50億円）
の推進に寄与する。
（設備投資の内容）
建屋購入（シャープ三重事業所第１工場）
量産FAB立ち上げのため、以下の投資を実施
１. 建屋の購入（シャープ三重事業所第１工場）、
クリーンルームの増床および既存装置の移設
２. 生産装置の購入
３. 車載品品質保証体制の構築
設備投資の 主な投資装置
内容 （設備投資による課題解決、労働生産性の向上につながる点）
１. 現有のレガシーパッケージに新たな分野のパワー半導体製品を ダイボンダー ワイヤボンダー
取り込むことで、売上拡大を図る。
２. 車載品向けの品質保証体制を更新することにより、新たな受注
を獲得する。
３. 自動化ラインの構築により人材不足の課題を解決する。
キャノンマシナリー㈱HPより ㈱カイジョーHPより
2026年度 2029年度
項目
（基準年度） （基準年度＋３年後）
労働生産性 1,196万円
812万円
（単位:万円/人） （年平均上昇率＋14％）
目標値 従業員1人あたり給与支給総額 535万円
490万円
（単位:万円/人） （年平均上昇率＋3.0％）
役員１人あたり給与支給総額
― ―
（単位:万円/人）
補助事業に係る従業員数
732 795
（単位:人）</t>
  </si>
  <si>
    <t>株式会社ｂｕｄ梱包出荷サポート
.長期成長ビジョン
1
・地域物流の中心的存在を担うべく、先端設備等への投資を行い、市場シェア拡大を目指す
・作業工程の自動化により継続的な賃上げを可能とする事業体制を構築する
長期成長ビジョン（目指す姿・ビジネスモデル）
〈基本方針〉
• 地域物流の中心的存在を担うべく、先端設備等への積極的な投資を行い、
市場シェアの拡大を図る
• 従業員の待遇改善に向けた業務効率化を推進する
外発的動機
• 物流の効率化に貢献し、社会課題解決および地域事業者への経済的波及
効果を実現する
〈基本戦略〉 ・気候変動
・テクノロジーの破壊的変化
• シェア拡大に向け2029年10月期に出荷個数1,000万個超を目指す ・人口動態の変化
現在の倉庫はすでに満床のため新倉庫の建設を行う。さらにピッキング等の工程
・運送業界の2024年問題
自動化を実現可能な自動倉庫システムを導入することで2029年10月期に出
・EC市場の急速な成長・物価高騰
荷個数1,000万個超を目指す。これにより市場シェアを約1％まで成長させる。
• 自動化体制の構築により業務効率化を図り従業員の継続的な待遇改善を
実現
人手作業が課題となっているピッキング工程等の自動化を図ることができる自動
倉庫システムを導入する。これにより28.3％の省人化を実現し利益率を向上さ
せることで賃上げ等を積極的に実施する。 内発的動機
• サービス品質の向上による優位性の強化
工程の自動化を推進することで誤出荷を限りなくゼロに近づけ、サービス品質の強
・物流業界への貢献
化、安定化を目指す。
・作業工程にかかる課題
・社会課題への貢献従業員の待遇改善および新規雇用に
売上成長目標
よる地域貢献
■2029年10月期に出荷個数1,000万個を突破
■2029年10月期に会社全体の売上高55億円・営業利益4.3億円超
■2029年10月期売上高成長率+258.7％ （2023年度実績値と比較）
■3PL国内市場シェア約1％を獲得（2023年度は0.04％）</t>
  </si>
  <si>
    <t>株式会社ｂｕｄ梱包出荷サポート
.補助事業の概要
2
・新倉庫の建設および自動倉庫システムの導入により課題の解決を図る
・労働生産性の年率平均上昇率＋15.6％を実現する
※従業員数は就業時間換算により算出
・地域物流の中心的存在を担うべく、先端設備等への積極的な投資を行い、市場シェアの拡大を図る
補助事業の 事業費 2 億円
・従業員の待遇改善に向けた業務効率化を推進する 6
背景・目的 （補助額） （ . 億円）
・物流の効率化に貢献し、社会課題解決および地域事業者への経済的波及効果を実現する 8 0
①新倉庫の建設
・投資額：17.24億円（延べ床面積7,500㎡（2,269坪）となる予定）
・投資による課題解決：自動倉庫システム導入および出荷増に向けた倉庫能力強化
に、新倉庫の建設が不可欠。
②自動倉庫システム
・詳細および投資額：ハードウェア（枠組み部分）5.23億円、システム 2,800万円、
設備投資の
Nano Sorter 4,700万円、連携用コンベア 7,000万円
内容
・投資による課題解決：ロボット技術を用いたシャトル・リフト・ステーションにより柔軟性/
拡張性を追求した自動倉庫システム。ピッキングや入庫の自動化を実現。またコンベア
を自動倉庫システムおよび既存の自動梱包機と連携することで自動化体制を構築する。
また、Nano Sorterは倉庫の間口機能のほかピッキング時および梱包後の仕分けを自
動化。
※ハードウェアは㈱ROMS製とRENATUS ROBOTICS㈱製で検討中。どちらか一方
に絞るか、両社を組み合わせるか入念に検討を行っている状況。
2026年度 2029年度
項目
（基準年度） （基準年度＋３年後）
労働生産性 1,556万円/人
1,008万円/人
（単位：万円/人） （年平均上昇率＋15.6％）
目標値 従業員1人あたり給与支給総額 331万円/人
286万円/人
（単位：万円/人） （年平均上昇率＋5.0％）
役員１人あたり給与支給総額 ー
ー
（単位：万円/人） （年平均上昇率＋5.0％）
補助事業に係る従業員数
48人 51人
（単位：人）</t>
  </si>
  <si>
    <t>株式会社しばた工芸
1.長期成長ビジョン
サイン業界の人手不足、大廃業時代を背景に、自社の得意分野と立地の良さを生かして大きく成長を狙う。
安心・安全なサインを小ロット、短納期で提供する仕組みを構築し、顧客からも社会からも必要とされる企業になる。
長期成長ビジョン（目指す姿・ビジネスモデル）
外発的動機
「不易を知らざれば基立ち難く、流行を知らざれば風新たならず」
■ 安全性・環境に対する社会的欲求
当社は、不易流行の精神を持って「いい仕事をしよう」を旗印に、新しい技術・ 地球温暖化による想定外の激甚災害が毎年のように起きている。
伝達方法も積極的に取り入れ、先進的なものづくりに挑戦しています。 屋外に設置するサインには、より高い安全性が求められている。
また、環境負荷の少ない製造方法・資材を積極的に採用する。
大切にしている不易の価値観は「仕事に手を抜かない」ことです。今回の
事業で流行となる最新の設備、新しい技術を取入れ、「今できる最高の仕事」 ■ 人手不足・高齢化に対する改善策
をする事によってお客様・社会からいつまでも必要とされる会社になりたい 属人的になりやすいモノづくりの現場を最新設備を導入して再現性を
と願っています。 高め、情報共有を行い標準化したい。
構造的にムダ・ムラの多い業界であり、ファウンドリ事業を確立する
大廃業時代とも言われる今日、サイン業界でも後継者・人材不足・設備の
ことで他社との分業・協業を推し進め効率的な高収益体質を目指す。
高額化により、多くの貴重な技術、雇用が失われつつあります。この状況を
改善するために、自社の強みを活かして先進的な生産プロセスを導入し、商 ■ デジタルサイネージ等の新市場への挑戦
流を再構築することで、当社のみならず業界全体の成長を促進し、ひいては 現在のビジネスモデルでは高い成長が望めなくなり、当社がさらに大きく成長
社会全体にも貢献することを目指します。 するために、関連するより大きな市場に積極的にチャレンジする必要がある。
また、今回の事業を通して、溶接・精密板金・塗装といったコア技術に更
に磨きをかけて、親和性の高いデジタルサイネージ、建築装飾板金、さらに
内発的動機
は WEB 広告などの関連業界の大きな市場にもチャレンジしてまいります。
今回の売上目標７0 億はその第一歩です。 創業以来、幾度となく当社がもっと成長できる機会があった。し
かし 目先の仕事に追われ、また時に工場敷地の問題、資金の問題、
売上成長目標
人材の問題などで機会を捉えることができなかった。
2031年 2月期に、会社全体の売上高 70 億円
社会変容による不安が、サイン業界にも重く立ちこめ萎縮してい
［2029 年 2 月期に、会社全体の売上高 50 億円］ る 今だからこそ、チャンスがある。また、地の利を十分生かせる
環境にあり、長年磨いてきた技能と鍛えてきた人材がいる。まさ
補助事業完了後 5 年間で売上高増加額 45 億円、
に天地人が揃った今が、当社が飛躍できるチャンスではないかと
売上高成長率 280% 以上
捉えている</t>
  </si>
  <si>
    <t>株式会社しばた工芸
2.補助事業の概要
省力化施設を新設することで、一気通貫した生産体制を構築するとともに、加工設備の再構成を行うことで、
サインの種類に応じた専用工場化とオペレーションの省力化を図る。
大廃業時代とも言われる今日、サイン業界でも後継者・人材不足・設備の高額化により、多くの貴
重な技術、雇用が失われつつある。最新の設備を導入したサイン業界の製造工場を首都圏に作るこ
補助事業の 事業費 15億円
とで自社の大きな成長を目指し、ひいては業界の発展に貢献する。
背景・目的 （補助額）
サインに関連する各種法令適合の条件はますます厳しくなっており、資格・ノウハウ・高額な設備が必要 ( 4.8億円 )
になっている。小規模・小人数業者では到底対応できず、それらの受け皿となるサイン工場が必要である。
【設備投資内容】
• サイン製造工場の新設 ( 溶接・板金・塗装 )及び既存工場の改修工事
• 板金ブランク加工複合機 (レーザー・タレパン・V 溝加工 ) の導入
• 金属・樹脂加工設備 (ZUND、レーザー溶接、CNCベンディングマシン、シャーリング 他 )
• 資材・在庫管理システム
【労働生産性向上の内容】
• 板金ブランク加工複合機 (レーザー・タレパン・V 溝加工 ) の導入により、大幅な省力化、
設備投資の
製造スピードアップに伴う製造コスト削減と納期短縮を行う。
内容 • 資材の投入から加工・塗装・仕上げ・出荷までを直線に配置することで
製作物の移動が容易になり、スムーズな生産体制を構築する。
• 上記直線工程と並行に、各種加工機で構成する加工ブースと、塗装・乾燥ブースを併設することで、
組立効率と塗装効率を向上させ、サイン製作の回転率を向上させる。
• 大型サインのスピードアップに対応するため、既存工場を軽量サイン、表示面仕上の専用工場
および資材管理倉庫として改修し、効率化。（軽量サイン・表示面仕上は大型サインのパーツとなる） 建設予定の工場配置計画
2025年度 2028 年度
項 目
（基準年度） （基準年度+３年後）
労働生産性
1,166 2,043（年平均上昇率 +20.5%）
（単位：万円／人）
従業員 1 人当たり給与支給総額 栃木県 583 677（年平均上昇率+5.1%）
目標値
（単位：万円／人） 東京都 684 795（年平均上昇率 +5.1%）
役員 1 人当たり給与支給総額 栃木県 - - （年平均上昇率+4%）
（単位：万円／人） 東京都
補助事業に係る従業員数 栃木県 71 95
（単位：人） 東京都 5 5</t>
  </si>
  <si>
    <t>1.長期成長ビジョン 株式会社共同物流サービス
地域の活性化、及び地元経済の牽引役としての役割を果たすため、食品流通のインフラに不可欠な
冷凍倉庫とその附帯サービスを提供し、総合物流サービス企業としての機能強化を図る。
外発的動機
長期成長ビジョン（目指す姿・ビジネスモデル）
(1)現状の物流に課題を抱えている企業が多い
生産性が悪い・物流コストが上昇し続ける等の課題に対し、具体的な解決策を
持っていない会社が多い。
(1)「課題解決型物流サービス」の提供 (2)青森県の水産業漁獲高の減少
現状の「物流・情報処理に問題を抱えている会社」に対し、単なる商品保 従来型水産業の水揚げ高減少が続いている。
地元水産業、及びその関連会社の業績が悪化している。
管・配送といった個別機能の提供ではなく、物流の枠を超えた「課題解決型
(3)「捕る漁業から育てる漁業」への転換
サービスの提供」を行うことにより、地域経済の活性化を支援する企業を目
地元（青森県）の企業が、漁業先進地域である北欧の最先端養殖技術
指す。
を取り入れ、サーモンの養殖事業を強力に推進している。
(2)物流コンサルティングにより顧客の課題を解決 また、青森県も政策として、サーモンの一大産地化を目指している。
(4)冷凍食品のニーズが拡大
「物流コンサルティング」に力を入れ、さまざまな物流問題を抱える企業に
近年、中食のニーズが増加し、調理済みの惣菜・冷凍食品の需要が増加
対して的確なソリューションを提供する。
している。
(5)地域コールドチェーンの課題
(3)「高品質・高い生産性」の実績と経験を活かす。
地域の冷凍倉庫は老朽化が進み、新設する計画がない。さらに青森県には
長年培ってきた最先端コールドチェーン分野での実績と経験を生かし、地
セミ超低温倉庫（-35℃）もない。（全国の30％が築40年を超える老朽倉庫）
域経済の発展に貢献する。
(6)2024年問題の課題
青森県は都市部より遠隔にあるため、トラック輸送に課題がある。
(4)低温物流分野の物流機能強化
（ドライバーの労働時間・拘束時間の法的制限強化等）
近年需要性が高まっている低温物流分野にて物流機能を強化し、
コールドチェーンを最適化・青森県水産業の高付加価値化を支援する。 内発的動機
(1)目指す会社の姿
①地域に必要とされ、地域に貢献する会社
②社員が幸せになれる（従業員満足が高い）会社を目指す。
(2)実現させるために
売上成長目標
①一定規模以上の事業規模（物流機能・サービス）を目指す。
• 2029年度までに、会社全体の売上高 １００億円/年
②将来の投資のための適正利益を確保し続ける。
売上高成長率9.6％/年
③長期ビジョンを実現できる人材を確保する。
⇒一定水準以上の昇給の維持・労働環境の整備
2023年度売上実績 → 57.8億円/年
(3)青森県水産業の課題解決に貢献する。
（対2023年度比42億円増）
※長期ビジョンの実現と地元水産業の高付加価値化を実現するために、
セミ超低温倉庫（-35℃）を建設し、付帯サービスを提供すると共に、
「目指す会社の姿」を実現する。</t>
  </si>
  <si>
    <t>.補助事業の概要 株式会社共同物流サービス
2
青森県の水産物の付加価値を上げるため、セミ超低温倉庫（-35℃）を建設し、養殖業を含めた水産業の
課題解決を図り、水産業経済を活性化させる。
◆背景 事業費
(1)従来型水産業の水揚高（量）が減少する中、青森県の今後の方針として、養殖業を推進していく計画がある。 （補助額）
(2)一方、鮮度維持のために必要な-35℃の冷凍倉庫が青森県にはない。
34億円
(3)-35℃で保管できる冷凍倉庫の不足、またコールドチェーンの再構築を必要としている。
（11億円）
(詳細14ページ参照)
補助事業の
◆目的
背景・目的
青森県の水産業が抱える課題の解決により、水産業の経済を活性化させ、地域の企業を発展させる。
(詳細15～17ページ参照)
◆課題
建築費の高騰により、顧客が許容できる範囲の料金を実現することが困難なため、本補助金の採択がなければ本事業は成
立しない。
倉庫正面図
• 設備投資の内容 （詳細18ページ参照）
(1)設置場所 ：青森県八戸市長苗代 八戸総合卸センター内
(2)土地 ：9,379㎡（2,837坪）
(3)建物 ：セミ超低温倉庫（-35℃） ２層
(4)延床面積 ：5,014㎡（1,517坪）
(5)機械設備 ：移動式パレットラック、
在庫管理（ＷＭＳ）システム、
ハンディ・音声物流システム、
設備投資の
トラック予約受付システム 等 倉庫横面図
内容
・労働生産性向上 （詳細19～20ページ参照）
(1)作業効率が向上する機械設備・システムを導入し、生産性を向上させる。
(2)サーモン養殖業者は現在、超低温倉庫(-45℃)に保管するため、関東まで商品
をトラック輸送している。当社が新冷凍倉庫を建設することにより、長距離輸送が
減少する。また海外への輸出入は八戸港の利用が可能となる。
【効果】
構内作業時間削減目標 延べ8,000時間/年（従来比28％削減）
配送ドライバー荷待ち時間削減目標 延べ 429時間/年（従来比93％削減）</t>
  </si>
  <si>
    <t>.補助事業の概要
2
株式会社共同物流サービス
補助事業に関わる従業員、及び役員の判定が困難であることにより、補助事業の範囲を「事業者全体」として申請します。
【補助事業に関わる従業員及び役員の判定が困難である理由】
(1)従業員の部署異動が年１回、その他必要に応じて都度発生する。
(2)各部署の日々の物量・作業量の変動により、他部門より応援要員の移動を日々行っている。
(3)役員は会社全体を管理監督している。
「事業者全体」を補助事業とし、従業員数・付加価値額・労働生産性等の各数値を計算します。
2026年度 2029年度
項目
（基準年度） （基準年度＋３年後）
労働生産性 544万円/人
420万円/人
（単位：万円/人） （年平均上昇率＋9.0％）
315万円/人 360万円/人
（年平均上昇率＋4.5％）
従業員1人あたり給与支給総額
目標値
（単位：万円/人） 内訳 内訳
社員 ：276人 486万円/人 社員 ：345人 555万円/人
パート：465人 214万円/人 パート：582人 244万円/人
役員１人あたり給与支給総額 847万円/人
753万円/人
（単位：万円/人） （年平均上昇率＋4.0％）
補助事業に係る従業員数
741人 927人
（単位：人）</t>
  </si>
  <si>
    <t>三笠産業株式会社
1.⾧期成⾧ビジョン
大規模工場新設により、日本の食生活の安定維持貢献、海外含めた販売拡大、環境対応、地域雇用の拡
大を目指す
⾧期成⾧ビジョン（目指す姿・ビジネスモデル） 外発的動機
•単身世帯の増加による調味料の小容量化
次の100年 日本から世界の人々に貢献するグローバル企業へ
•人口減少による労働力人口の減少
•国内の調味料マーケットに対しては、多種多様な容器を安定的に
•ガラスびんの減少、PETボトル化
提供し、食生活を支え続ける
•国内外のSDGｓ・食品安全意識の高まり
•国内で磨いたキャップの技術を活かし、海外へも拡販する
•海外企業から大規模案件引き合い（既存工場では導入不可）
•環境対応製品を提案・供給する
•本社工場所在地域は、全国でも専業主婦率が高い
•製造工程における環境負荷低減を図る
•調味料向け以外の新規分野も参入を拡大し、社会貢献および事
業の継続安定を図る
･就労環境を改善し、地域の雇用に貢献する
内発的動機
•規模を継続拡大し、従業員の幸福を実現したい
•当社製品は世界で通用することが実証されつつある（東南アジアで
は当社製品が浸透しはじめている）
•人材確保が難しい（特に工場の交替勤務者など）
売上成⾧目標 •工場の老朽化・古さ・規模の小ささ・分散が生産・人材確保・物流
• 2029年までに会社全体の売上高成⾧率7.5％ のネックになっている
• 2029年までに会社全体の売上高増加額 •調味料向けキャップにおいて国内シェア3割程度のシェア
単体 65億円増 連結 75億円増 •日本の食品流通・各家庭での生活を支えており、社会の要請に応じ
• 2032年度 200億円企業を目指す た包材を供給し続けなければならないという使命感
2023年度 単体売上高 120億円 連結売上高 125億円
2029年度 単体売上高 185億円 連結売上高 200億円
2032年度 単体売上高 200億円 連結売上高 230億円</t>
  </si>
  <si>
    <t>三笠産業株式会社
2.補助事業の概要
大規模スマート工場の建設により、既存事業の効率化・新事業展開・海外拡販による売上高・利益の拡大を
実現し、付加価値額、労働生産性の向上と給与支給総額の向上を行う
【補助事業の背景】
工場老朽化、拡大余力不足、単純労働に頼る生産方式、人材不足、環境負荷低減に対応
補助事業の 事業費 事業費(cid:1) 122億円
【補助事業の目的】
背景・目的 （補助額）（補助額(cid:1) 34億円）
①省力化推進による既存事業の維持拡大と労働生産性向上、働きたいと思える職場環境整備
②⾧期にわたる持続的成⾧の基盤づくり、従業員業務の高付加価値化と給与支給総額向上
• 大規模工場・倉庫
→ 老朽化刷新。自然災害に強く、環境負荷低下も図る
→ 大口引き合い対応・規模拡大（現奈良3拠点合計の2倍程度受入可）
→ 日々外部輸送・保管しているものを内部保管し、輸送の無駄を排除
• 製函・梱包・構内移送・倉庫保管・出庫の自動化
→ 工場作業者のおよそ6割の時間を占める単純作業を自動化
設備投資の → 空いた時間をより付加価値の高い業務に充てる（リスキリング含む）
内容 → 既存従業員数でより多く生産し、労働生産性向上
2024年3月時点での新工場イメージ案
• 材料搬送・冷却水・エア搬送等のインフラ効率化
FSSC22000認証取得予定
→ 少人数で大規模生産に耐えうる機器構成
• 特別高圧電力と太陽光発電、ガス発電・ジェネリンク併用による省エネ・BCP対応
→ 電力供給効率の良い特別高圧電力および太陽光発電で環境負荷低減
→ ガス発電の熱を空調、冷却水に利用。停電時の最低限の発電を確保・地域貢献
• 近隣に配慮した配置構成（騒音対策、車両動線等）
2026年度 2029年度
項目
（基準年度） （基準年度＋３年後）
労働生産性 2,999
891
（単位:万円/人） （年平均上昇率＋49.9％）
目標値 従業員1人あたり給与支給総額 468
382
（単位:万円/人） （年平均上昇率＋7.0％）
役員１人あたり給与支給総額 1,650
1,450
（単位:万円/人） （年平均上昇率＋4.4％）
補助事業に係る従業員数
130 153
（単位:人）</t>
  </si>
  <si>
    <t>1.長期成長ビジョン 四国医療サービス株式会社
補助事業により、医療や福祉の現場を中心としたサービス展開における食品提供機能を更に強化し、病院・介
護施設が抱える課題解決に貢献することで、持続的な賃上げと事業成長を実現します。
長期成長ビジョン(目指す姿・ビジネスモデル) 外発的動機
【目指す姿】
• 病院・介護施設における給食業務は、人手不足により、従来の院内(施
• 当社は社是である「信義・礼節」と経営理念である「全従業員とその家
設内)調理による運営維持が困難となり、業務のアウトソーシングや、調
族の恒久的な生活の安定をはかり以って社会に貢献する」を目指す姿と
理方法簡略化(調理済製品の利用等)への動きが進んでいる。
捉えており、医療や福祉の現場を中心としたサービス展開を通じて、持続
的な賃上げと事業成長を実践し、社会から信頼される企業となります。
• 食品メーカーの工場においては、人手不足への対応策として最新の設備
や機械の導入による省力化・自動化への投資が進んでおり、労働生産性
【現状】
向上への大きな効果が得られている。
• シンセイフード事業部は病院・介護施設給食等のオペレーション効率化
に資する半調理品・完全調理品(完調品)の製造を担っています。
• 当社主力のリネン事業は、市場が成熟傾向にある一方、食品事業の市
• 当該事業は需要の拡大に合わせて増収基調で推移しているものの主力 場は拡大傾向にあり、将来性が見込める。
の松山工場は人手に依存した工程(カット、検品等)が多くあり、生産能
力が上限に迫っている状況にあります。引続き旺盛な需要に応えていくに
は最新設備導入による省力化・自動化が課題となっております。
内発的動機
【補助事業】
• 補助事業では、新工場建設により、動線の改善、食材受入・保管ス
• 当社のシンセイフード事業部は、病院や介護施設向け給食受託事業を
ペースの拡張、オーブン・真空冷却機・異物混入センサー導入による省
30年超に亘り提供しており、当該業界の顧客ニーズを踏まえた長期保管
力化、二次加熱～出荷工程の一部自動化等により、労働生産性の大
可能な冷蔵・冷凍製品を独自の技術で開発する能力を有している。
幅向上と当社ビジネスモデルの更なる強化を実現し、賃上げと事業成長
に繋げていきます。
• 当社の病院や介護施設向けの実績が評価され、病院や介護施設を納
売上成長目標 入先とする大手食品メーカーからのOEM製造需要が高まり、毎期受注量
全社の成長目標(2023/12期-2028/12期対比) が増加している。
• 売上高 15,413百万円(売上高増加額 +3,880百万円)
• 売上高成長率 133.6% • シンセイフード事業部の主力である松山工場の生産能力が上限に迫って
補助事業の成長目標(2023/12期-2028/12期対比)
おり、OEM製造等の受注増加に対応していくには人手に依存した工程か
• 売上高 7,994百万円(売上高増加額 +3,580百万円) ら脱却し、労働生産性を抜本的に改善することが必要と認識している。</t>
  </si>
  <si>
    <t>四国医療サービス株式会社
.補助事業の概要
2
本事業にて労働生産性を抜本的に改善し、病院・介護施設給食のオペレーション効率化という業界課題の解
決に食品の半調理・完全調理製品の供給を通じて貢献することで、持続的な賃上げと事業成長を実現します。
補助事業の 既存の松山工場は人手に依存した製造工程を中心に複数の課題を抱えており、市場の需要に 事業費 4 億円
5
背景・目的 応えきれていない為、省力化・自動化投資による労働生産性の改善を通じて事業成長を目指す (補助額) (13億円)
設備投資の概要
工場外観イメージ図
• 本社工場の近隣地に食品製造の新工場を建設
• 新工場建設に合わせた動線の見直しに加えて、受入・保管場所の拡充、
工場内に製造工程の省力化・自動化が可能となる最新設備の導入
設備投資の効果
• 建物
設備投資の
動線の見直しを通じた運搬・作業時間の削減やスペースの拡大による運搬
内容
機械導入にて効率化が可能となる
• 生産工程
真空冷却器等の導入による作業時間の削減、AIセンサーによる検品工程
の省力化、トンネルフリーザー導入による格納工程の自動化が可能となる
• 冷凍/冷蔵庫
保管場所の拡張によりレンタル保管料の削減や、外部の保管所への運搬作
業等の削減が可能となる
2026年度(基準年度) 2029年度(基準年度＋３年後)
項目
愛媛県 高知県 愛媛県 高知県
労働生産性 541
(単位：万円/人)
294
(年平均上昇率＋22.6％)
目標値 従業員1人あたり給与支給総額 330 305
277 256
(単位：万円/人) (年平均上昇率＋6.0％) (年平均上昇率＋6.0％)
役員１人あたり給与支給総額 2,000
1,500 0 0
(単位：万円/人) (年平均上昇率＋10.1％)
補助事業に係る従業員数
450 67 499 67
(単位：人)</t>
  </si>
  <si>
    <t>ヤマトミシン製造株式会社
1.長期成長ビジョン
「世界に冠たる製造立国日本」を支える製造会社として、「日本で雇用し、納税し、輸出して外貨を稼ぐ」という
使命を実践し、社会に貢献することを長期成長ビジョンとする。
長期成長ビジョン（目指す姿・ビジネスモデル） 外発的動機
• グローバリゼーションによる価格競争の激化、中国企業によるコピー
“Yamato Way”により、価格競争に巻き込まれない持続的成長
商品の出現、日本の部品産業の空洞化など、日本の工業用ミシン
を実現し、世界の人々により着心地の良い衣料品を提供することで、
産業は深刻な課題に直面している。
工業用ミシン製造会社としての使命を果たし、社会に貢献する。
• 工業用ミシンに求められる超精密加工技術は、日本の工業技術の
具体的には、以下の取り組みを推進する
基盤であり、この技術力を維持・発展させることは、日本国の精密
1. "Yamato Way"のコンセプトである"Made in Japan" is 加工の技術基盤を維持することにつながる。
cheaper than "Made in China“（ミシンの価格を下げられま • 日本の工業用ミシン産業が競争力を維持し、アパレル業界の発展
せんが、貴社の生産する衣料品の原価を下げる事ができます。） を支援するためには、抜本的な経営戦略の立案と実行が急務であ
に基づき、ROIに優れた差別化商品の開発とトヨタ生産方式・経 る。
営管理方式の導入を両輪として推進する。
2. 衣料品生産における品質向上、原価低減、人手不足軽減に寄
与し、世界の人々により着心地の良い衣料品を提供する。 内発的動機
3. 新工場の設立、既存工場の集約を通じてトヨタ生産方式の深 • 当社は、縫製工場のニーズに応えるべく、画期的な差別化商品を
化・極化を図ることで、生産性と付加価値を高め、メイド・イン・ 開発してきた。しかし、その結果、少量多品種生産となり、バブル崩
ジャパンの高付加価値製品を提供していく。 壊後は大量の非流動在庫を抱えることとなった。
• 顧客からの工程で使用するミシン機種の指定を頂いた強みを生かし
つつ、在庫問題を解決するため、当社はトヨタ生産方式の導入に
着手した。
• トヨタ生産方式の導入により、生産リードタイムを80日→3.5日に
短縮、工数を35％削減するなど、生産性と収益性を大幅に改善
売上成長目標
することができた。
• 2030年までの会社全体の売上高成長率56％
• 2030年までの会社全体の売上高増加額37億円 • バブル崩壊以降、輸入デフレによる物価下落もあって、定期昇給の
みの賃上げに甘んじてきたが、近年の物価上昇も鑑み、妥当な賃
上げが必要だと考えた。その為には、生産性の向上が必須であるた
め、スマート工場の建設を行ない製造の構造改革を断行することが
必要となった。</t>
  </si>
  <si>
    <t>ヤマトミシン製造株式会社
.補助事業の概要
2
国際競争力のある「メイド・イン・ジャパン製品」を生み出せる新スマート工場を建設し、ハイエンド製品を開発・生
産し、成長性を確保する。労働生産性・付加価値を高め、賃上げにより従業員の生活の質の向上を図る。
世界初・工業用ミシン/自動機の新スマート工場の稼働により以下の目的を達成する
• 改善・改革の深化による無駄の排除と生産性向上
• 多品種少量の世界初差別化商品の短納期・フレキシブルな生産
• 徹底したロボットの導入による自動化・省人化 億円
補助事業の 事業費 19
• 新規設備投資、改善・改革、統合・集約などにより省人化を図り、 （ 億円）
背景・目的 （補助額） 4
原価を低減、生産性を上げ、日本品質を作り込み、付加価値の向上を図る
• 余剰人員で、人手不足に対応し、かつ、企業の戦略立案・改善・改革に携わる頭脳部分に ※別途、土地取得費 6億円
配転・増員・強化し、さらなる成長に繋げる
• 人材育成により、仕事のやり方の転換を図り、付加価値を向上、賃上げできる強い利益体
質にする
建物・設備
• 統合スマート工場建屋の建設
• バケット自動倉庫
• 無人搬送システムの導入
• ブッシュ接着組み立てロボット（自社開発予定）の導入
設備投資の • マスキング廃止省人化装置（自社開発予定）の導入
内容
システム・ソフトウェア
• PMS（Production Monitoring System）の導入
• IT化の推進（営業DXを推進する支援システムである（YSFA: Yamato
Sales Force Automation）の拡張と工場との連結、実需連動型後補充
生産システムの効果向上）
• 3次元CADシステムと5軸工作機械を繋ぐソフトの導入
2026年度 2029年度
項目
（基準年度） （基準年度＋３年後）
労働生産性 1,918
1,295
（単位：万円/人） （年平均上昇率＋14.0％）
目標値 従業員1人あたり給与支給総額 618
503
（単位：万円/人） （年平均上昇率＋7.1％）
役員１人あたり給与支給総額 -
-
（単位：万円/人） （年平均上昇率＋4.2％）
補助事業に係る従業員数
105 112
（単位：人）</t>
  </si>
  <si>
    <t>株式会社越後屋
1.長期成長ビジョン
「丁寧な和食」を誰もが手軽にいつでもどこでも味わえるようにすること、「和食」文化を次世代に継承し、世界に
広めること。そのために、全国での店舗数拡大を目指している
長期成長ビジョン（目指す姿・ビジネスモデル）
外発的動機
「日本の食文化を取り戻し、進化させたい」 • 「和食」について、健康に良い、栄養バランスがよいというポジティブなイ
メージが浸透している一方、調理が難しい、手間がかかるという声も多
• シンプルな和食を、素材からこだわり、手をかけて繊細な味付けをほどこ
い(*1)
して提供するお店を全国各地に構え、誰もが手軽にいつでもどこでも味
• 昆布、かつお節、煮干しから出汁をとる家庭が減っている(*1)
わえるファーストフードに進化させることにより、和食文化を次世代に継
• 「和食」及び「和食文化」について教わったり、受け継ぐ経験が減ってお
承していきたい。
り、７割以上が「ない」と回答(*1)
• インバウンド需要がますます高まる中、訪日外国人に本物の和食を手
• 食用魚介類の消費量は年々減少(*3)
軽に味わえる場を提供し、ユネスコ無形文化遺産にも登録された「和
• 家で魚を調理する人が減っている(*2)
食」文化を世界に広めたい。
• 「和食」はユネスコ無形文化遺産に登録。訪日外国人が日本滞在に
• 健康に良い焼き魚中心のメニューを、長期保存可能な干物を活用し
際し期待していたことの１位（84.1%）は「日本食を食べること」であ
て提供することで、フードロス削減及び水産資源の保護にも貢献したい。
り(*4)、非常に関心が高い。また、海外における日本食レストランは
（＝SDGｓの目標12「つくる責任つかう責任」、14「海の豊かさを守
2023年で約18.7万店で、対2021年比2割増、2013年比3.4倍
ろう」）
の伸び(*6)
売上成長目標
2040年10月期までに、会社全体（FC店舗を含む）で：
内発的動機
• 売上高1,000億円、店舗数800店
• 開業当初からビジネス街を中心に店舗を出しているが、ビジネス街では、
（売上高成長率2741%、売上増加額965億円）
「安くて美味しいもの」を出すと喜ばれる。そしてリピート客が増えることで
繁盛する。そのため、コストパフォーマンスの良い美味しい食事を提供す
ることに力を注いできたが、そのなかでも、干物の定食のランチが行列の
絶えない人気だった。
• 味噌汁は出汁をとり、ご飯は厳選した米を使い、こまめに炊飯して常に
炊き立てを提供する。美味しいご飯を食べてもらうための当たり前のこと
でお客様に美味しいと驚かれ、感動してもらえた経験が原点。
他の外食チェーンの店舗数 • 「丁寧な和食」を取り戻し、手軽にいつでもどこでも味わえるようにしてお
(​2024/3月時点)
客様に喜んでいただきたい、という想いで店舗数拡大を目指している。
：大戸屋308店、吉野家1,229店</t>
  </si>
  <si>
    <t>株式会社越後屋
2.補助事業の概要
成長目標に向けて、補助事業により新規出店スピードを早めて、地域の雇用を拡大する。新規店舗ではテーブル
オーダーや自動精算機を導入して生産性向上を図ることで、持続的な賃上げを実現する
• 企業の成長目標達成に向け、新規出店のスピードを速めていき、雇用も増やしたい
補助事業の 事業費
• 出店スピードを早めるには人材確保も課題であり、少ない人員でも運営できる仕組みが必要である 25億円
背景・目的 （補助額）
• 効率的な店舗運営を実現し、持続的な賃上げを実現したい （8.4億円）
自動精算機イメージ
【設備投資の内容】
現在伸びている都心型の「しんぱち食堂」と、これまでのトライアルで道筋が見えたロードサイド型の
「和めし処」の新店舗を出店する
• 内外装工事費
• 厨房機器（独自開発の炭火焼き台含む）
• 外国語対応のテーブルオーダーシステム
• 自動精算機
設備投資の
【設備投資による課題の解決・労働生産性向上】
内容
• テーブルオーダーシステムと自動精算機により、スタッフ数を最小限にした店舗運営が可能と
なり、労働生産性が向上する
【工夫点】
• テーブルオーダーは外国語（複数言語）対応とし、増加するインバウンド需要も限られた人
員の中で対応できるようにする
• 新しいエリアに直営で出店することで、当該エリアでのブランド確立・知名度向上や、エリア特
性のデータ収集等を、スピード感をもっておこない、今後のさらなる事業拡大につなげる。
2026年10月期（基準年度） 2029年10月期（基準年度＋３年後）
項目
全体 東京 神奈川 大阪 千葉 埼玉 福岡 京都 全体 東京 神奈川 大阪 千葉 埼玉 福岡 京都
労働生産性 651 - - - - - - - 951 - - - - - - -
（単位：万円/人） （年平均上昇率＋13.5％）
従業員1人あたり給与支給総額 443 472 393 540 273 272 397 397 518 549 457 625 316 315 459 459
目標値
（単位：万円/人） （全体の年平均上昇率＋5.1％）
役員１人あたり給与支給総額 0 0 0 0 0 0 0 0 0 0 0 0 0 0 0 0
（単位：万円/人）
補助事業に係る従業員数 388 260 46 23 25 14 10 10 440 310 48 23 25 14 10 10
（単位：人）</t>
  </si>
  <si>
    <t>中央観光株式会社
1 ．長期成長ビジョン
99m■
2030年単体売上1 0 0 億へ！ 1軒の旅館事業から、今後、鐘山苑をセントラル棟とし、富士山周辺エリアにて、複数価格ラインで「高付加機
■
能に特化したコンパクト鐘山苑」を多展開。多言語の観光プラットフォーム（体験施設プラットフォーム、観光サイト、宿泊予約サイト） の展開
と併せ、「旅館」から「リゾー ト＆レジャー事業」へ変革。転出超過が続く、富士吉田市へのUターン•Iターンに寄与し地域経済再生
長期成長ビジョン（目掴す姿・ビジネスモデル）
外発的動機
■
目指すビジョン：「旅館」から「リゾー ト＆レジャー事業」へ変革。1店 ・ コロナ福はり、団体から少人数化の加速化、低単価施設の成長性鈍化
舗の旅館事業から、今後、複数価格ラインで「高付加機能に特化した が進む。また、円安や新興国の所得向 , 上によるインバウンド需要の増加し
コンパクト鐘山苑」を多展開。また、多言語の観光プラットフォーム ている事（コロナ禍の収束により国内／—― インバウンドの観光需要の復活
（当社宿泊数のうち3, 4割を外国人観光客が占める状態）し、過
（体験施設プラットフォーム、観光サイト、宿泊予約サイト）を提供す
去昂大の稼働率・単価となっている事
る。
・ 観光業セグメントは、メガトレンドとして、国内人口減少による旅行減と、
インバウンE旅行者の増加が見込まれる
■現状課題：高コスト体質と稼働率の限界
- 2030年のインバウンド旅行者政府目標値6千万人
・ 当社の大規模旅館であるホテル鐘山苑は富土吉田の宿泊数シェアの約
(CAGR13.4％と高成長）
30％を占める（年間10万人の宿泊数を獲得している） — 国内人口減少により国内宿泊者市場は低成長
• 他方、大規模旅館であり、高コス日本質であるため、高稼働率を前提と (2030年までのcagr-1.1%)
したコスト構造であり、コロナ禍などのクライシスが発生した場合のリスクが • 国内ブライダル需要の減少による、市場縮小が見込まれる事
高い
■
アプローチ： 内発的動機
・ 既存施設のリソースを活かせる富士山エリア内で、複数価格ラインで「高 ・ コロナ禍において、宿泊事 業・ブライダル・外食を運営する当社は、大打撃
付加機能に特化したコンパクト鐘山苑」を当事業で新設。中期的に多 を受けた。一方、当社施設の高単価（広く、お部屋に露天風呂がついて
いる）な部屋は、稼働減少が少なく（全体で約40％を維持）、売上を
展開。（直営・FC想定※まずは直営から）
維持する事ができた。現在でも、蕗天風呂付の高単価な部屋から埋まり、
・ 事業領域をレジャーまで拡張し、地域の文化・レジャー体験を集めたプ
高稼働が続く。お客様の予約状況・予約できないと言うお声からも成長
ラットフォームシステム、地域観光サイト、地域宿泊予約サイトを構築展
機会と捉え、宿泊施設の展開に至る
開(1 0 0社超参画し進行中）
• 鐘山苑ゲストが、外遊しない事から アンケー げ：実施。体験・アクテイビティ
・ 当補助事業では、需要の高い）＼イエンド・インバウンド向け施設から展開
などへの要望があるものの、情報不足で利用 できていない事から、情報発
• 機能を高付加機能に絞った低コストの施設、先端設備（AIやロボッ 信・宿泊からレジャー全般領域への拡張の位濫づけで、多言語の観光サ
ト）による付帯工数の削減により高収益を実現 イト・体験プラットフォームを展開
・ 地域観光の担い手として、質の高い観光客増加、単価向上、ブランド向 • 河口湖の流入数と比較調査を進めていたところ、インバウンドにおいては、
上により、当社・地域経済の発展に寄与する 川上である、現地情報メディアの情報量が重要となっていると把握。川上
から顧客獲得を狙う
売上成長目標（2023/7月期比）
• 寮の保有が雇用の安定化・質の向上につながっており、人手不足の観点
• 2030年までの会社全体の売上高成長率231%
から新たに、寮を増設（転出超過が続き人の確保が困難化のため）
• 2030年までの会社全体の売上高増加額50億円</t>
  </si>
  <si>
    <t>中央観光株式会社
2 ．補助事業の概要
99m■
・ 労働生産性は29/7月期時点で1,376万円（年平均15％増）、従業員 1人当たり給与支給総額は同年492万円（年平均5.5％増）を狙う
／
・ 固定費を抑えた高単価施設、かつ、付帯工数のDX ロボティクス化と、主体工数の人による高付加価値化による生産性向上を実現
・ 多言語観光プラットフォームにより、JII上である海外顧客へ直接誘客し、体験プラットフォーム活用により、旅行価値を高めていただ＜
補助事業の ・既存宿泊施設は高稼働率で機会損失が発生。新モデルでの新設により更なる成長が可能 事業費 26億円
背景・目的 ・長期的に国内需要減少、人手不足となるため、構造転換と生産性向上が必須 （補助額） (6.8億円）
·,_ --------------------------------------------------------· .一-------------------------------------------------------�
■ 6 棟3 部屋（計18部屋）の和モダン施設建築 (21億円）
•富土山が見え、温泉をホテル鐘山苑から運送し、設備の付加価値を高め、当
社従業員がホスピタリティ領i或こ集中する作りとし、高単価の宿泊機能に特化
・既存の強みである、社内リソースを活用し、直予約・清掃の内製化により生産
性向上を図る
■ 社内ナレッジ共有のチャットAI導入 (1千万円）
・派遣数、新規採用数も毎年多いため、情報共有や教育コストが高い。このた
め、チャットAIによる過去の膨大なナレッジをすぐに確認できるようにする事で、
情報確認時間やその回答時間を削減し、生産性を高める
設備投資の ■ 自動チェックインの導入 (1千万円）
内容 ・チェックインを機械化によりチェックインエ数削減
■ 清掃ロボットの導入 (1千万円）
•清掃を一部ロボッHヒする事で清掃工数の短縮
■ 厨房設備の導入(2千万円）
•コンベクション等の昂新厨房機器を潟入し調理工数短縮
■ 多言語観光プラットフォーム（構築済み）
・地i或D体験施設を利用できるプラットフォーム・地域観光サイト・宿泊施設予
約サイト・地元特産品を宿泊施設にお届けする越境ECなど、多言語観光プ
ラットフォームを構築
-----. --------------------------------------------------------------·--
--
2026/7月期 2029/7月期
項目
（基準年度） （基準年度十 3 年後）
労働生産性 1,376
897
（単位：万円／人） （年平均上昇率＋15.3%)
従業員1人あたり給与支給総額 486
目標値 414
（単位：万円L人） （年平均上昇率＋5.5%)
|
役員 1人あたり給与支給総額 644
546
（単位：万円／人） （年平均上昇率＋5.7%)
|
補助事業に係る従業員数
198 220 20
（単位：人）</t>
  </si>
  <si>
    <t>株式会社 スギノマシン
1.長期成長ビジョン
スギノマシンにしかできない独自の「超技術」に磨きをかけ、富山（ローカル）から世界（グローバル）に発信し、
ニッチな市場における必要不可欠な存在（リーダー）となる（＝グローカルニッチリーダー）
長期成長ビジョン（目指す姿・ビジネスモデル） 外発的動機
グローカルニッチリーダー • 日本の工作機械業界は技術と生産量で世界有数となっており、
約3割は輸出（米国や中国が主要な輸出先）
① スギノマシンにしかできない独自の「超技術」に磨きをかけ、 • 世界市場では中国が最大の生産・消費国
自ら考え、自ら造り、自ら販売・サービスすることで
• 業界的には景気変動に伴う設備投資需要変動による影響を
「お客様の要望のさらに一歩先」を実現
受けやすい構造
顧客が必要とするアウトプットを超技術により実現 • 新興国の経済成長や技術進歩（半導体・自動車等）が
市場成長を牽引し、年平均5％での市場拡大が見込まれる
② 日本の一地方（富山）で造り込み、世界で戦う。
• 近年は航空宇宙や電子機器分野への需要も高まり、
世界中のものづくりで必要不可欠な存在に
ハイエンド製品の需要が増加傾向
データドリブン経営によりビジネスモデルを強化
内発的動機
① 社会に貢献すると共に、社員の幸福と企業の永久発展を目指す
継続的な雇用創出・賃上げにより日本と地域の • 「自ら考え、自ら造り、自ら販売・サービスする」が創業からのポリシー。
経済に貢献 技術でお客様の期待に応えたいという思いが当社の原点であり、
未知の領域へチャレンジする原動力となってきた
• 創業商品からの技術連鎖により、6つの「超技術（切る、削る、
洗う、磨く、砕く、解す）」を発展させ続け、情熱と創意工夫で
「お客様の希望のさらに一歩先」を実現してきたことが最大の強み
売上成長目標
• 日本で作り世界で稼ぐビジネスを体現している
• 2029年に現状の約170％となる売上高365億円を目指す
（生産額の99％は日本、売上の約半分は海外）
（年平均成長率9%）
• 営業利益も現状の倍以上となる69億円を見込む • 世の中に必要とされるものを日本の一地方から世界へサプライする
ことで、日本経済の活性化に貢献する</t>
  </si>
  <si>
    <t>株式会社 スギノマシン
２.補助事業の概要
グループ全体でシステムの刷新と共通化を進めることで、営業情報・生産情報・在庫情報の見える化が実現し、
データドリブン経営の推進による全社的な売上増加・労働生産性向上が見込まれる
• 営業情報や顧客情報が属人化し、組織的な営業が実施できていない
補助事業の 事業費 17億円
• 生産管理システムや在庫管理システムなど、グループ全体で統一されておらず、在庫情報が
背景・目的 （補助額） （5.6億円）
海外子会社と共有されていないなど、売上の最大化やコスト最小化の障害となっている
データドリブン経営の推進による販売力強化
【具体的な投資内容】
①システム
• グループ全体で共通のシステムを導入し、国内外でデータを一元化
• 基幹システム（SAP）更新を含めた各種管理システムの一体再開発
②機械装置
設備投資の
• 自動化対応に向けた機械装置の置き換え、導入
内容
【補助事業により見込まれる効果】
• 数字に基づくデータドリブン経営の実現
• 生産管理や在庫管理の適正化による労働生産性の向上（現状から約5％の原価低減を見込む）
• データに基づくマーケティングや組織的な営業推進による売上向上（成長分野への注力と併せて全社で売上約68%増を見込む）
2026年度 2029年度
項目
（基準年度） （基準年度＋３年後）
労働生産性 1,538
1,030
（単位：万円/人） （年平均上昇率＋14.3％）
従業員1人あたり給与支給総額 727
目標値 635
（単位：万円/人） （年平均上昇率＋4.6％）
役員１人あたり給与支給総額 1,687
1,500
（単位：万円/人） （年平均上昇率＋4.0％）
補助事業に係る従業員数
1,099 1,125
（単位：人）</t>
  </si>
  <si>
    <t>1.長期成長ビジョン 株式会社ダイセイ
当社は、1960年にデパート等のビルメンテナンスを行う会社として創業。その後、衛生管理(ゴミ収集、産廃処理)、貸駐車場(コインパーキング)、物流
(配送代行・ＤＭ発送代行等)などを行って来た。最近では、「空き家管理事業」も行うなど時代と共に変化する顧客ニーズに一早く対応して来た。今後
は、環境面等の社会的ニーズと、物流面等の人手不足に対応し地域の生産性向上を下支えする総合サービス業として成長・発展する。
外発的動機
長期成長ビジョン（目指す姿・ビジネスモデル）
• 2024年問題を受け、物流コストは大幅に上がっていると同時に慢性の
現状・リスク・機会 あるべき姿 人手不足を高知県の食品加工会社は問題として抱えている。
・少子高齢化、環境 ・地域の人手不足、生 • 障害者の法定雇用率は年々アップしている。一方、障害者の雇用の定
への配慮等の時代 産性向上に応える
着率にも問題があり、低所得や過酷労働などが課題となっている。
・人手不足、企業の ・様々な外注したい困り
生産性向上ニーズ ギャップを埋める対策 ごとニーズに応える • 2015年のパリ協定では2013年比で温室効果ガス排出量を26%削
・旧式の設備・物流 ・全社的な事業推進と管理 ・循環型社会に貢献 減すると目標が掲げられている。また、国は20５0年に温室効果ガスの
拠点という課題 ・抜本的な物流拠点の整備 ・社会ニーズに対応し地 排出量を実質ゼロにするカーボンニュートラルの目標を掲げている。
・部門間の連携不足 ・設備導入、人的生産性向上 域の価値創造を図る • 高知市では一般廃棄物処理基本計画で2013年度比0.11%の削
減目標を掲げている。
＜主な地域の人手不足への貢献、循環型社会への取組＞
• 売却・賃貸用等の使用目的のない空き家は、高知県内に約５万戸。
・地域の社会的課題解決、事業者の困ったことを支援する事業を進化させる。
空き家率は12.9％で全国ワースト2位。
・革新的物流、環境衛生面の２つの新事業を創設すると共に、労働集約的
サービス業の全社的な改革で総合サービス業をめざす。
社会的課題に対応して
・高知県にある食品加工会社の人手不足を解消するため、オペレーションから
きたが、これ以上はハー
出荷までのピッキングを障害者なども雇用しながら、効率的に行う。
ド面で限界。部門間の
・高知市の一般廃棄物処理基本計画におけるゴミ減量目標の一翼を担う活
非効率も浮き彫りに
動を推進し、行政と足並みを揃え、家庭ごみのリサイクル・リユースを推進する。 なってきた。
売上成長目標 2031年30億円企業をめざす
内発的動機
• 2031年までに会社全体の売上高成長率166％
・自社の強みである、人の動員力で清掃・廃棄物事業等から、配送代行
• 2031年までに会社全体の売上高増加額12億円
など人手のかかるサービス提供分野を拡大。しかし、事業部門単位で全
2023年 2031年 増加額 成長率 社の経営資源として組織横断的に人財を活かしきれていない。
売上高 1,806,877 3,000,000 1,193,123 166.0% ・社会的ニーズに対応し、新たな価値創造に努めて来た。ごみ回収、廃棄
物回収等では、リサイクル・リユースの必要性を実感した。しかし、分別す
営業利益 89,941 346,000 256,059 384.7%
るスペースが無い、破砕・圧縮・ペレット製造などの設備も必要
給与支給総額 743,845 1,100,000 356,155 147.9%
・事業者の「困ったこと」への対応を進化し事業を拡大してきた。人手が必
減価償却費 34,351 93,500 59,149 272.2%
要な負担のかかる専門的サービスが必要と感じた。しかし、荷捌き・ピッキ
付加価値額 868,137 1,539,500 671,363 177.3%
ング・商品保管スペースが無く、作業機器整備も必要。</t>
  </si>
  <si>
    <t>補助事業の概要 株式会社ダイセイ
2.
本事業は、清掃、ゴミ回収、廃棄物処理、物流代行、空き家管理等、多角的経営を実施する当社が、本社も含めて事業全般の拠点を整備するもので
ある。出荷システムサービス、リサイクル・リユースの新事業進出の他、清掃、ゴミ回収など労働集約的な事業も含め会社全体での生産性を高める。今まで
事業部毎に活動していたものを統合し、地域事業者の人出不足にも貢献し、災害にも強く、地域を支える総合サービス業として革新的に進化させる。
お客様の困りごとに対応すべく様々な事業分野を展開してきた。現在の本社・事業所は周辺に商業施設・住宅
補助事業の 事業費 1 億円
等も広がり、ゴミ処理、廃棄物処理を行う事業としては適地では無い。また震災区域であり、自然災害時には一 2
背景・目的 （補助額） （4.0億円）
早く復興支援しなければならない事業分野である。加えて、清掃・ゴミ回収他、人手不足が深刻な事業分野が
多く、リサイクル推進等社会的使命も高い。これら課題を解決し地域社会の生産性向上、環境社会推進等を
通じ、収益拡大を図ることが本補助事業の目的である。
• 本社含めた拠点建物建設、設備導入の投資である。
• 今まで事業毎の管理から統合管理し生産性向上を図ると共に、清掃、廃
棄物回収、配送、リフォーム等、総合サービスの提供で収益向上。
• 新事業を実施する。主な具体的な内容はゴミ回収・廃棄物処理等→リサイ
クル・リユース事業、物流代行→出荷システムサービス。
設備投資の • 出荷システムは、入荷・保管後、受注分をピッキングし、送り状を印刷・貼付
し配送する。大手物流会社のＥＣフル代行システムの地域版。地元の食品
内容
製造業等は量販店等への配送ついでに納品可能。地域特化型の高付加
価値サービスで問合せが殺到しているが、一定の広さ、効率的レイアウトが必
要で拠点整備して対応する。
• 家庭ごみは廃棄にまわってきた分を最終処分場にまわしているものの中から、
リサイクル・リユースにまわすため、ストックする場所が求められる。家庭ごみの
収集は年2500件。社会的背景をもとにリサイクル・リユースを推進する。
項目
2026年７月期 2029年7月期
（基準年度） （基準年度＋３年後）
労働生産性 424万円/人
280万円/人
（単位：万円/人） （年平均上昇率＋14.8％）
従業員1人あたり給与支給総額 293万円/人
目標値 232万円/人 事務所・作業場が点在 高知市中心部の住宅地に立地
（単位：万円/人） （年平均上昇率＋8.2％）
役員１人あたり給与支給総額 1,676万円/人
1,342万円/人
（単位：万円/人） （年平均上昇率＋7.70％）
補助事業に係る従業員数
306 315
（単位：人）</t>
  </si>
  <si>
    <t>1.長期成長ビジョン ハマダコンフェクト株式会社
『おいしい栄養で、すべての人を幸せにする』という当社の志を実現するために「栄養菓子」を低価格で提供できる
省人化された高効率生産体制を実現し、2029年度を目途に売上202億円、営業利益23億円を目指す。
長期成長ビジョン（目指す姿・ビジネスモデル） 外発的動機
『おいしい栄養で、すべての人を幸せにする』という志を実現するために • 現代において人は様々なタイミングで低栄養のリスクにさらされている。
主には①高齢者の低栄養（加齢や卵胞ホルモンの低下等による
下記の4つの観点で長期成長ビジョンを描いている。
低栄養）、②若年女性の低栄養（不規則な生活や無理なダイ
1. 社会価値
エット等による低栄養）、③子どもの低栄養（経済格差等によって
• 健康寿命という社会課題や老若男女の様々な世代の栄養課題
引き起こされる低栄養）等 があり、様々な年代において栄養課
を抱える現代社会において、低価格で、様々なおいしさで、身近 *1
題を抱えるリスクがある。
なチャネルで、第一想起される栄養菓子を創出し続ける企業を目
指す。 • これらの栄養課題を当社の「おいしく安価」な「栄養菓子」を供給す
ることで解決することを目指す。
2. 経済価値
• 栄養菓子市場の新カテゴリーを提唱、認知評価され、カテゴリー
シェアNo.1を獲得できている状態を目指す。特にウエハース群は、
ダントツNo.1を目指す。
3. 顧客価値
• 世代を超えたすべての人の幸せ＝「健康」に生涯寄り添い続け、
内発的動機
健康生活の実現に欠かせない存在へ。栄養課題を持つ高齢者、
• 当社は歴史的に大手企業のOEM、PBの製造を主力としてきたこと
若年女性、子どもの低栄養を“栄養菓子”で解消し、生涯に渡っ
もあり、経験効果による工程作業の効率化が実現できており、各種
て支える“低価格+美味しい”お菓子を提供し続けていく。
商品で原材料を共有する等により範囲の経済性も活用できていた。
• 最終的には、栄養菓子カテゴリーにおける1人当り生涯シェア
• このようなコストリーダーシップ戦略の特徴を当社は有している。
（LTV）No.１を目指す。
• 当社の強みを活かすことで、現状より更に社会貢献できる会社にな
4. 従業員価値
れると考えた。
• 自分達がなりたい姿の実現に向けてみんなで変革、成長する会
社を目指し、みんなが幸福を感じられる会社（従業員幸福度ス
コア70％のポジティブ回答）を実現する。
売上成長目標
• 2029年度までの会社全体の売上高成長率35％
• 2029年度までの会社全体の売上高増加額52億円
*1：公益財団法人日本栄養士会【「保険医療ビジョン2035」に関する提案・意見】より。</t>
  </si>
  <si>
    <t>ハマダコンフェクト株式会社
.補助事業の概要
2
当社加古川工場の隣接地に新工場を建設し、高度に自動化された生産設備を導入することで、高い労働生
産性を実現し、当社のコストリーダーシップ戦略を加速する。
補助事業の • 成長著しい「栄養菓子」の市場に対して、生産能力が足りなくなってきている。また当社のコスト 事業費 1 億円
86
背景・目的 リーダーシップ戦略推進のためにも生産性の良い設備への置き換えは必須となっている。 （補助額） （ 億円）
28
【新工場】
①設備の概要 1階
• 当社加古川工場の隣接地に自動倉庫を含む新工場を建設し、生産
ラインの増強を図る。
②現在抱えている課題
• 当社の姫路工場は老朽化が進み、導入している生産ラインも人手中
心で労働生産性の低いものである。当社は徹底した自動化生産ライン
設備投資の
の導入でコストリーダーシップ戦略の実現を図っており、労働生産性の低
内容
い工場の改革が必須である。
③課題解決・労働生産性向上 2階
• 労働生産性の低い姫路工場を閉鎖し、新たに高度に自動化した生産
ラインを導入した新工場を建設することで、会社全体としての労働生産
性の向上を図る。また既に高度自動化を進めている既存加古川工場
の隣接地に建設することで、材料や倉庫設備の共用が可能となり、範
囲の経済の効果がより強く得られ、当社のコストリーダーシップ戦略を加
速できる。
2026年度 2029年度
項目
（基準年度） （基準年度＋３年後）
労働生産性 1,531万円/人
1,145万円/人
（単位：万円/人） （年平均上昇率＋10.2％）
目標値 従業員1人あたり給与支給総額 560万円/人
470万円/人
（単位：万円/人） （年平均上昇率＋6.0％）
役員１人あたり給与支給総額 -
-
（単位：万円/人） （年平均上昇率＋6.0％）
補助事業に係る従業員数
363人 370人
（単位：人）</t>
  </si>
  <si>
    <t>.補助事業の概要 ハマダコンフェクト株式会社
2
当社加古川工場の隣接地に新工場を建設し、高度に自動化された生産設備を導入することで、高い労働生
産性を実現し、当社のコストリーダーシップ戦略を加速する。
【既存栄養菓子生産ライン：2ライン、新商品栄養菓子ライン：1ライン】
①設備の概要
• 当社の主力商品であるクッキー、ウエハースの栄養菓子について、既存加古川工場と同程度の高度に自動化された生産ライン
を2ライン設置し、増え続ける需要に対応する。
• また栄養菓子市場の更なる拡大のためチョコレートを使用した新商品の生産ラインを1ライン追加する。
②現在抱えている課題
• 既存設備による主力商品の生産能力がフル生産状態に近づいてきており、増え続ける需要に対応しきれない状況になっている。
• 更なる成長のために、既存商品に加え、新たな商品の開発生産が必要である。
③課題解決・労働生産性向上
• 既存商品の生産ラインの増強により、増え続ける需要に対応可能となる。また、コストリーダーシップ戦略を採用している当社にお
設備投資の いては、導入する設備の高度自動化は必須であり、高い労働生産性が見込める。
内容 • 新商品についても高度に自動化された生産ラインを設置することで、コストリーダーシップ戦略のもとでの生産が可能であり、高い
労働生産性を見込める。
【既存OEM商品ライン：1ライン】
①設備の概要
• 当社はOEM生産を受託しており、バンダイのキャラパキ等のキャラクターチョコレートの増産対応のために、高度に自動化された生
産ラインを設置する。
②現在抱えている課題
• 既存姫路工場にてOEM商品の生産を行っているが、設備が古く人手中心の作業になってしまい労働生産性が低くなっている。
③課題解決・労働生産性向上
• OEM商品の生産を新工場で実施し、高度に自動化された生産ラインで生産することで労働生産性向上を実現する。</t>
  </si>
  <si>
    <t>.補助事業の概要 ハマダコンフェクト株式会社
2
当社加古川工場の隣接地に新工場を建設し、高度に自動化された生産設備を導入することで、高い労働生
産性を実現し、当社のコストリーダーシップ戦略を加速する。
・下記では当社の主要商品である既存栄養菓子製造ラインのイメージ写真を添付している。
【ウエハース生産ライン】
オーブン（ウエハースを焼 カッター（ウエハースを必
自動搬送設備
成） 要な大きさにカット） ロボットによる箱詰め
（製品を自動倉庫へ）
設備投資の
【クッキー生産ライン】
内容
クッキー成型 焼成後のクッキーの 自動搬送設備
ロボットによる包装
（オーブンでの焼き上げ前） 機械による整列 （製品を自動倉庫へ）</t>
  </si>
  <si>
    <t>1.長期成長ビジョン 平和食品工業株式会社
これまでの国内向け主体の商品開発に加え、海外販路拡大に向けビジネスモデルの変革を実行していく
日本発祥のレトルト食品を主軸に、世界中の豊かで健康的な食生活に貢献します
• コロナ禍で感じた社会課題やニーズの変化を踏まえて、お客様への感謝と更なる貢献・成長を続ける
• 大手企業には真似できない、バラエティ＆ニッチな商品開発で国内外での市場シェア拡大をめざす
• 計画の一歩目として2032年までに「売上高135億円（2025年比＋72億円）」を実現する
経営理念
平和食品工業㈱は、従業員一人ひとりが健康な身体と健全な生活態度を保持し、仕入先様、お得意先様、地域社会、従業員同士、その家族など、
食に関わるすべての人々に感謝の気持を持って接します。
長期成長ビジョン（目指す姿・ビジネスモデル） 外発的動機① 国内
• ライフスタイルの変化により顧客ニーズは多様化。単身世帯増・高齢化に伴
日本発祥のレトルト食品を主軸に、
い、単価の高い商品や少容量商品（バラエティ＆ニッチ）を好む傾向に。
世界中の豊かで健康的な食生活に貢献します • これまではPB商品主体であったが、現代表になってNB商品に注力し、積極
• 個性的で多様な商品を市場に投入 的に市場投入。想像を超える反響があり、自社ブランド化の糸口が見えた。
⇒極小ロットでも今後の成長の種となるようなシーズの発掘 外発的動機② 海外
⇒レシピ開発力の強化 • 海外マーケットは急速に拡大。農林水産省は食品輸出拡大に向けた戦略
• 食料品商社や食品メーカーのニーズに応える 会議を重ね、最重要課題は「海外市場で求められるスペック（量・価格・
⇒大ロット受注による安定生産の確保 品質・規格）の産品を専門的・継続的に生産・輸出し、あらゆる形で商流
• 海外向け商品の開発とビジネスモデルの確立 を開拓する体制の整備」としている。一方で、当社ではこれまで海外向け商
⇒間接輸出拡大と直接輸出の土台作り 品開発はごく一部に留まる。100億企業への成長や大規模賃上げを敢行
⇒レシピ開発力の強化 する上で、海外需要の獲得は早期に着手する必要があると痛感した。
⇒大規模賃上げの実現
内発的動機
• 2019年に長年超えることのできなかった売上50億円の壁を突破したことで、
バラエティ＆ニッチ戦略でレトルト・スープ事業の
社員一同に商品力への自信、もっとやれるという意欲が芽生えた。
国内外での市場シェア拡大をめざす
• 2021年に現代表が就任したことで、これまでの現状維持路線では業界で
の生き残りは難しく、成長路線へ舵を切ろうと決断。一方で、現状の生産
売上成長目標（2025年→2032年）
体制・設備では、100億円企業への成長は不可能。仕入して売れば売上
• 2032年までの会社全体の売上高成長率212％
は伸ばせるが、食品製造メーカーとして生産体制を整え、社員一同に芽生
• 2032年までの会社全体の売上高増加額72億円 えた商品力の自信を商品開発に活かし、責任あるモノづくりを行った上で達
成することに意味があると考えた。</t>
  </si>
  <si>
    <t>.補助事業の概要 平和食品工業株式会社
2
静岡県御殿場市にて工場を新設し、バラエティ＆ニッチなレトルト・スープ製造体制を確立
国内外需要を獲得し自社の成長と地方における持続的な賃上げを実現
• ニーズの多い極小～大ロットの生産を可能とする大規模投資を実施
• 高い労働生産性と静岡県における直近５年間の最低賃金の年平均上昇率2.8％を上回る5.5％の賃上げを実現
補助事業の 小回りが効きレシピ開発力の強みを持つ平和食品工業だからできる国内外のニーズに合った 事業費 10 億円
背景・目的 商品開発を実施し、世界中の豊かで健康的な食生活に貢献します （補助額） （1 .7 億円）
【設備投資内容】
• 建物費：静岡県御殿場市にレトルト・スープ製造工場を建設
※食品安全マネジメントシステムに関する国際規格(FSSC22000)取得予定
• 主な機械装置費：
■ニーダー（仕込釜）：大型のニーダーを導入することで、仕込効率を大幅に改善
■自動洗浄ユニット：人員効率化と洗浄作業の効率化を実現
設備投資の ■フリーザートンネル：フリーザートンネルを新設し、冷却工程の効率化を実現 ■工場完成イメージ
内容
■コンベアライン：充填～梱包まで手作業を自動化することで大幅な生産性向上を実現
【投資による期待効果】
・製造効率の改善 ・生産スピードの向上 ・安全性（品質）の向上
・製造キャパシティの拡大 ・原料保管コストの削減 ・人員効率化の実現
・海外需要の獲得 ・極小～大ロットの幅広い受注の獲得
■ニーダー（仕込釜）■フリーザートンネル
2027年度 2030年度
項目
（基準年度） （基準年度＋３年後）
労働生産性 2,699
1,892
（単位：万円/人） （年平均上昇率＋12.6％）
目標値 従業員
（
1
単
人
位
あ
：
た
万
り給
円
与
/人
支
）
給総額 483
（年平均上
5
昇
6
率
7
＋5.5％）
役員１人あたり給与支給総額 2,170
（単位：万円/人）
1,902
（年平均上昇率＋4.5％）
補助事業に係る従業員数
55 80
（単位：人）</t>
  </si>
  <si>
    <t>浦島観光ホテル株式会社
1.長期成長ビジョン
地域経済を担うフラッグシップホテルへ：高付加価値化・生産性改善を図る適切な投資によって誘客課題を解決
し、各地域の観光を代表するフラッグシップホテルとして、交流人口の拡大を通じた地域経済の活性化を実現する
長期成長ビジョン（目指す姿/ビジネスモデル） ハード面での誘客課題
外発的動機*
地域観光を代表するフラッグシップホテルとして、個
老朽施設/ 設備の更新・改修・修繕が進まないうえに、個人旅行者の増加にもかかわ
社としての成長と共に、地域全体の経済成長を牽引
らず、宴会場など団体客向けの設備が残っている。地域としても老朽施設/ 廃屋が残
する
置されているため誘客が阻害されている
内発的動機
売上成長目標
順次、老朽施設/ 設備の更新や高付加価値化を実施しているものの、個人客やイン
• 23年度→29年度迄のコンソーシアム全体の売上成長
バウンドといった新規に急速拡大する需要・ニーズの変化に追われる状況。業界全体 課
＋47％
同様、宴会場やカラオケ施設などが残置されており、ニーズに合わない設備によって従業 題
• 23年度→29年度迄の会社全体の売上高増加額 員の工数も増加 解
ハード面の投資 消
＋26.3億円
（高付加価値化・設備更新）
・変化するニーズに合わせた設備投資による価値向上
・設備の適切なメンテナンス、修繕、更新
23年度 売上 29年度 売上 成長率
ソフト面での誘客課題
外発的動機*
浦島観光ホテル 35.3億円 49.3億円 +40% 従業員の待遇が厳しいことから、人手不足が続いており、施設の稼働率引き上げを制
約している。また、経営者・従業員が高齢化（従業員の3割が60歳以上）し、運営
への支障も生じている
丸峰観光ホテル 7.6億円 14.6億円 +92% 内発的動機
従業員の賃上げや労働環境改善等は、順次実施しているものの、地方・業種による
採用難に直面している。サービスにおいて一定の質を担保するために必要に応じた稼働
みちのりホテルズ 12.7億円 18.0億円 +42% 調整も実施せざるを得ない状況。また、業界全体同様、従業員の3割弱が60歳以
課
上であり、業務効率化/ 省人化が急務。
題
コンソーシアム ソフト面の投資 解
55.6億円 82.0億円 ＋47％
全体 （CX/DX） 消
・業務の効率化、省力化による生産性の向上
・賃上げ、労働環境改善、人材開発
*出所：観光庁「アフターコロナ時代における地域活性化と観光産業に関する検討会 第１回配布資料」、日本銀行「観光産業の現状と課題」</t>
  </si>
  <si>
    <t>浦島観光ホテル株式会社
2.補助事業の概要
浦島観光ホテルの投資内容：高付加価値目的投資と労働効率向上目的投資を実施予定。
労働生産性/ 従業員1人あたり給与支給総額の年平均上昇率目標はそれぞれ+11% /+5.6%
• ４施設とも開業から30年～60年が経過。客室の意匠性・バックヤード・設備全体で老朽化
補助事業の が進行し価格競争力が低下している。一方で、立地エリアの世界遺産・熊野古道は今後も 事業費 69億円
背景・目的 インバウンドを中心に、観光マーケットの持続的な成長が見込まれており、地域のフラッグシッ （補助額） （12億円）
プホテルとして、改装による高付加価値化が急務の状況。
高付加価値化に向けた投資
洞窟をテーマにした
過去の団体旅行主流時代につくられた客室・パブリックエリアの改修 メインダイニング
個人利用を前提とした滞在コンセプトの再設定、販売単価増を見据えた内装・意匠デ
ザインの刷新による付加価値向上を行うとともに、レストランや温泉脱衣場の内装・意
“売り”である洞窟
匠の高付加価値化を実施し、住空間・衛生インフラ等の機能向上、省エネルギー化設
温泉をより高付加
備更新を図る
設備投資の 価値にする脱衣場
内容
労働時間効率化に向けた投資
手作業や非効率な業務のDX、メンテナンス工数が増えている設備の更新
 新基幹システム（PMS）及び自動チェックイン・チェックアウト機の導入、客室鍵の
カードキー化を導入し、現在同ホテル内にある３つのフロントを１つに集約し、従業
員のフロント業務を効率化し、館内案内へ人員を振るなど、労働生産性改善と
サービス向上を図る
2026年度 2029年度
項目
（基準年度） （基準年度＋３年後）
労働生産性 999万円/人
730万円/人
（単位：万円/人） （年平均上昇率＋11％）
従業員1人あたり給与支給総額 385万円/人
目標値 326万円/人
（単位：万円/人） （年平均上昇率＋5.6％）
役員１人あたり給与支給総額 1,162万円/人
1,033万円/人
（単位：万円/人） （年平均上昇率＋4％）
補助事業に係る従業員数
236人 236人
（単位：人）</t>
  </si>
  <si>
    <t>浦島観光ホテル株式会社
2.補助事業の概要
丸峰観光ホテルの投資内容：高付加価値目的投資と労働効率向上目的投資を実施予定。
労働生産性/ 従業員1人あたり給与支給総額の年平均上昇率目標はそれぞれ+13%/ +6%
• 2023年2月に民事再生申立となり、JPiXグループで2024年1月に事業を承継してから、大
規模な設備改修や顧客満足を高める高付加価値化投資等を積極的に実施しているが、前
補助事業の 事業費 5.2億円
オーナー時に資金不足から行えていなかった改修すべき箇所が多数存在
背景・目的 （補助額） （1.7億円）
• 芦ノ牧温泉地区では最大規模の客室数を誇り、会津若松地域を代表するホテルとして、更
なる高付加価値化投資を実施し、労働生産性向上を図っていくことが急務
高付加価値・高稼働に向けた投資
ペットルーム
前時代的/ 老朽化している設備・内装の改修
国内団体客向けの内装/設備を洋式化し、インバウンドや若年層、個人客の需要を
取り込むとともに、ニッチだが高単価で需要のあるペット愛好家や歴史愛好家に向けた
工事を実施し、客室高単価化・高稼働化を実現する
設備投資の
労働時間効率化に向けた投資
内容
手作業や非効率な業務のDX、メンテナンス工数が増えている設備の更新
 新基幹システムを導入し、直感的なUIで操作しやすく、予約管理担当以外も予
約データ管理・参照が可能に。客室の清掃状況の可視化も通じて、大幅な従業
員の業務効率化・マルチタスク化による労働生産性改善を図る
 高付加価値化改修に伴う、配管等のバックヤード改修によって、結果としてメンテナ
ンス工数が削減され、労働生産性が向上する 和風なしつらえの廊下 改修後イメージ
2027年度 2030年度
項目
（基準年度） （基準年度＋３年後）
労働生産性 755万円/人
526万円/人
（単位：万円/人） （年平均上昇率＋13％）
目標値 従業員1人あたり給与支給総額 407万円/人
343万円/人
（単位：万円/人） （年平均上昇率＋5.8％）
役員１人あたり給与支給総額 771万円/人
612万円/人
（単位：万円/人） （年平均上昇率＋8％）
補助事業に係る従業員数
60人 62人
（単位：人）</t>
  </si>
  <si>
    <t>浦島観光ホテル株式会社
2.補助事業の概要
みちのりホテルズの投資内容：高付加価値目的投資と労働効率向上目的投資を実施予定。
労働生産性/ 従業員1人あたり給与支給総額の年平均上昇率目標はそれぞれ+17%/ +9%
• 最後の大規模改修から約10年が経過し、老朽化に伴うメンテナンス工数の急激な増加や顧
客満足維持のためのサービス工数の増加など、設備改修による労働生産性の向上による効
補助事業の 事業費 1.7億円
果が大きい内容を実施
背景・目的 （補助額） （0.6億円）
• 盛岡・宮古地区では高い知名度を誇り、地域を代表するホテル・旅館として、更なる高付加
価値化投資を行うことで収益性・ブランド価値の向上、地域への波及効果を狙う
高付加価値・高稼働に向けた投資 露天風呂付客室
高需要かつ高単価の客室タイプを増加、立地的に必要な景観美化も予定
 現在高需要な露天風呂付客室を増加させることで、高単価化・高稼働化を図る
 浄土ヶ浜パークホテルは三陸復興国立公園内に位置するため、景観美化をすること
で周囲環境の高付加価値化を図り、地域・当ホテルへの流入顧客数増加を図る
設備投資の
労働時間効率化に向けた投資
内容
手作業や非効率な業務のDX、メンテナンス工数が増えている設備の更新
 客室にカードキーを導入し、また新基幹システムの導入によって、客室の管理業 客室カードキー
務・予約管理業務を効率化させ、労働生産性向上を図る
 清掃ロボットを導入し、清掃業務を効率化・省人化し、労働生産性向上を図る
 高付加価値化改修に伴う、配管等のバックヤード改修によって、結果としてメンテナ 清掃ロボット
ンス工数が削減され、労働生産性が向上する。
改修後イメージ
2026年度 2029年度
項目
（基準年度） （基準年度＋３年後）
労働生産性 589万円/人
373万円/人
（単位：万円/人） （年平均上昇率17％）
従業員1人あたり給与支給総額 406万円/人
目標値 316万円/人
（単位：万円/人） （年平均上昇率＋8.7％）
役員１人あたり給与支給総額 1,000万円/人
840万円/人
（単位：万円/人） （年平均上昇率＋6％）
補助事業に係る従業員数
110人 114人
（単位：人）</t>
  </si>
  <si>
    <t>株式会社旭ウエルテック
1.⾧期成⾧ビジョン
水平分業型へのメガトレンドの変化と、製造業全体の高度化及び開発速度の向上から近年顕在化する試作機の短納期製造ニーズに対
して、試作機特化型企業集団PSG(コンソーシアム)にて一括して業務を請け負うことで売上高の飛躍的向上と賃上げを実現する。
⾧期成⾧ビジョン（目指す姿・ビジネスモデル）
外発的動機
• ㈱旭ウエルテック、㈱朝日電機製作所、㈱石川プレートの3社で産業機械の試作機の • 社会課題や顧客ニーズの変化等のメガトレンドに対する認識を外発的動機として記載ください
• 企業規模に依らず製造業は人材不足であり、今後も深刻化すると予想されている。それに
製造を短納期で行う企業集団となる。この試作特化型企業集団をPSG(Prototype
対応するために、日本の企業は1社でサプライチェーンの全業務を行う「垂直統合型」から、サ
Solution Group)と名付ける。
プライチェーンにおいて複数の企業が得意分野をそれぞれ担当する「水平分業型」に変化し
• PSGに属する3社は既存事業で関連のある機械メーカーの設計部や、設計・マーケティ
ている（尚、水平分業型の代表例が日本屈指の高収益企業のキーエンスである）。
ングを主業種とするファブレス企業を中心に試作機開発の営業をそれぞれ行う。試作機
• 半導体業界の発展とDX化やIoTの発達により、この10年間で世界的に技術開発や製品
製造の案件を受けた場合、最初に案件を受けた企業を主担当企業、それ以外の2社
開発のスピードが飛躍的に加速している。その時代であるが故に、機械メーカーは如何に早く
を副担当企業として共同で試作機の製造及び図面のブラッシュアップを実施する。
「構想」を「量産化」するかというニーズが非常に大きい。また、新製品開発において、その時
• 3社はそれぞれ既存事業において金属構造部品製造(旭ウエルテック)、機械制御(朝
間的リソースの多くは設計基礎段階(構想⇒試作⇒再設計)において多大に消費されている。
日電機製作所)、機能部品製造(石川プレート)において短納期一貫生産を得意とし
ている。そのノウハウを活かして機械メーカーの構想内容に対して、試作機を通常の納
期の約3~4倍の速度で作り込み納品する。その上で、試作図面内容をより実現性の メガトレンドの変化 市場環境の変化 本事業
高いものや量産時にコストが低くなるように素材や形状のブラッシュアップを行う。
DX化やIoTの発展による 試作機製造を含む
• 量産機はコスト重視である場合が多いが、試作機に関してはコストよりもスピード感を重 工作機械・半導体製造装置 「設計基礎段階」を短
視するメーカーが多い。この特徴を活かして、比較的価格帯の高い産業機械において 等の機械開発速度の向上 納期・専門性に特化し
高付加価値の試作機を手掛けることで事業継続性を実現する。水平分業型のビジネ 垂直統合型 水平分業型 (試作期間の短縮化ニーズ) たPSGで受託する。
スモデルの拡大によりものづくり全体のスピード感が飛躍的に向上している現在社会にお
いて、試作特化型で短納期かつ広い専門分野を網羅できるPSGのニーズは高い。
• 本事業に際し、3社間で3次元CADを用いた図面データの共有化を行い、情報の流
内発的動機
動性を高める。更に、搬送、配線配置検証、ピックアップ等の低付加価値の作業を3次
• （⾧期成⾧ビジョンを掲げるに至った、経営者の原体験や動機等の内発的動機を記載ください）
元データを直接的に用いてAIやロボットにより効率化を行う。
• 本コンソーシアムを形成する3社はそれぞれ金属構造部品製造(旭ウエルテック)、機械制御
• PSG内において、繁閑に合わせて相互に職人の出向を行うシステムを構築する。これに
(朝日電機製作所)、機能部品製造(石川プレート)において短納期一貫生産を得意として
より中小企業特有の人材不足の解消と職人のリスキリング、そして労働生産性の抜本
いる。また、社歴もそれぞれ約40年以上と⾧く、既存顧客の幅も広い。
的な向上を達成する。
• 各々の企業は職人によるノウハウや技術蓄積が豊富であり、それを頼りにしたメーカーから試
• PSGが対象としている工作機械業界の先の5年間の市場成⾧率は3.1%である。また、
作機の相談を受けることが3社共にしばしばあった。その際に、メーカー設計者から「専門分野
水平分業が進む欧米では試作機製造に特化した市場が既に形成されており、市場成
で頼れるのは非常に助かるけど、1社1社相談するのが正直面倒くさくて大変だ。」という本音
⾧率11.1%と高水準で成⾧している。日本ではメガトレンドの移行途中であり、まだこ
を聞いた。調べてみると他のメーカー設計者の多くも同様の悩みを抱えていることが分かった
の市場が完全に形成される前であるため、本事業により先発優位性を確保する。
(10社中8社の機械メーカー設計士が同様の回答をした)。
• 本ビジネスモデルは中小企業の理想的な未来図であると言える。将来的にこのモデル
• 各得意分野において短納期で試作対応が出来る我々3社が手を組むことによって、それらの
内容の全体像を公開し、全国の中小企業の人材不足対策として展開し日本の中小
ニーズに対して明確に応える事ができるのではないか?というのが共通の動機である。
製造業全体の底上げを実現する。
• 試験的に3社間で連携を結び機械メーカーの試作対応を行った所、そのスピード感と対応力
売上成⾧目標 が非常に評価された。また、試作品というコストよりも短納期対応力・提案力が重視される分
• 2029年までのコンソーシアム全体の売上高成⾧率240％ 野であるが故に、各々の既存の事業の平均約1.8倍の利益率を実現したため、ビジネスとし
• 2029年までのコンソーシアム全体の売上高増加額29.9億円 てこれからの時代に合っているのではないかという見解に至った。
• 2029年までのコンソーシアム全体の付加価値額23.4億円 (2.49倍UP)</t>
  </si>
  <si>
    <t>株式会社旭ウエルテック
(cid:21).補助事業の概要
水平分業の拡大に伴い高まる試作機製造のニーズに対して、PSG内の各企業が省力化を主軸とした専用工場の整備と、
3次元CADによる情報の一貫管理を行うことで本事業を遂行し、労働生産性と給与支給総額の飛躍的向上を実現する。
現在製造業は人手不足の影響から効率的な生産が可能な水平分業化が進んでいる。その弊害として、1社あたりの対応出来る範囲(切削、組
補助事業の 立、制御、機能部品製造等)が狭くなり、工作機械メーカーは量産前の試作機製造において①部品毎の手配先が多数必要②手配先間の品 事業費
3(cid:22)億円
背景・目的 質・スケジュール等の調整が重荷になっている という事実がある。本事業により当コンソーシアムが一貫して試作機製造を手掛けることで、これらの課 （補助額） （10億円）
題を解決すると共に、日本の機械開発速度の向上を図り、日本全体の製造業の底上げを実現する。
項 投資が必要な根拠 省力化・労働生産性向上に際し特筆すべき点 試作特化型企業集団PSG
目
㈱ 試験機製造のために大型重量部品を切削する必要がある
旭 ため、大型の5面加工機が必要である。既存工場ではスペー 従来はフォークリフトや天井クレーンを用いて重量のあ ㈱旭ウエルテック 金属構造部品 担当
ウ スと床の耐荷重条件を満たしていないため導入出来ず、専用 る金属材料を人が運んでいた。これには危険性が伴 (例：機械フレーム、ブラケット)
エ
ル 工場を新設して導入を行う事が本事業実施のために必須と い、効率的にも悪いため、新工場建設の際に床面を 設備投資内容
テ なる。 材料自動搬送機AGVが使用できる仕様に作り込み 技術連携 技術連携
また、3次元CADはPSG内のデータの共有化のために必須 を行い、工場全体に材料を拠点からロボットが自動
ッ
ク であり、当社にて共有化システムを立ち上げることで他2社で 配送する流れを構築する。
も効率的な運用が出来る。 五面加工機＆CAD (2.6億円)
設備投資 ㈱ 朝 既存工場は小型制御盤を主体として製造しているため試作 配 線 線 自 端 動 子 加 の 工 圧 ロボ 着 ッ な ト ど を は 導 従 入 来 す 人 る 手 こと で で 行 5名 って 分 い の た 仕 が 事 、配 が 金属構造部品製造工場(14億円)材料自動搬送機AGV (0.5億円)
機に用いる大型制御盤及びそれらの電気系統を駆動させる
日 1台で対応出来る様になる。また、AI配置管理ソフト
の 電 だけのキャパシティを工場内配線設備が保有していない。これ は、制御盤を形成するユニット部品を既定箇所に配 3社がそれぞれ①異なる製造分野②一貫生産体制③短納期対応が得意
機 ら既存社内設備を全て大容量向けに入れ替えをすることは
置するための図面を起こすという単一的な作業を自 であることを活かし、短納期で試作機製造 及び 図面の改良提案を実施
製 非現実的であり、試作機の制御盤は組み立てと配線に多く
内容 動で行う。これらは既に当社の関係企業である別川
作 のスペースを要することも踏まえると、工場新設が費用対効果
製作所にて実証済みの設備であり、省力化効果が
所 として優れていると言える。 大きい。 ㈱朝日電機製作所 機械制御 担当 ㈱石川プレート 機能部品 担当
(例：制御盤、電動部品) (例：樹脂部品、精密シム)
㈱ 既存工場では既存の事業を行うための設備でスペースが全く 3次元CADで共有化したデータをそのまま活用し、ア
石 なく、本事業にて隣接する中古工場を取得し試験機の組み ルミ切削加工機及び樹脂切削加工機と連動させる 設備投資内容 設備投資内容
川 立てスペース及び機能部品の切削のために活用する。尚、隣 ことで、無人運転の実現を行う。これらの機械には
プ 接する中古工場は元々重切削を行っていた企業の跡地であ 元々ローダー機構が付いているため、1点物でも3次 技術連携
レ り、地盤的にも安定しており、試験機のレベル出しなどにも必 元データを連続工程で組むことで連続的に無人加工 制御盤AI配置管理&amp;CAD(0.5億円) アルミ切削加工機&amp;CAD (0.6億円)
ー 要十分な条件が揃っている。尚、隣接工場については既に水 が可能となる。試作図面改良を行う際にも加工デー
ト 面下で交渉が進んでおり、入手がほぼ確定的である。3次元 タからそのまま逆算して図面にフィードバック出来るため、
CADではそのデータをそのまま活用し、切削工程の短縮と省 人手を掛けて図面を書き直す必要が無く、本事業と 機械制御ユニット製造工場(13億円) 配線自動加工ロボット(1.5億円) 機能部品製造工場(隣接物件)(2億円) 樹脂切削加工機(0.5億円)
力化を図る。 非常に相性が良い。
項目 コンソーシアム全体 ㈱旭ウエルテック ㈱朝日電機製作所 ㈱石川プレート
2026年度 (基準年度) 2029年度 (基準年度+3年後) 2026年度 (基準年度) 2029年度 (基準年度+3年後) 2026年度 (基準年度) 2029年度 (基準年度+3年後) 2026年度 (基準年度) 2029年度 (基準年度+3年後)
1033.1万円/人 1187.6万円/人 826.7万円/人 1182.5万円/人
労働生産性
724.9万円/人 ( 年平均上昇率 ＋12.4％ ) 892.2万円/人 ( 年平均上昇率 ＋9.89％ ) 581.6万円/人 ( 年平均上昇率 ＋12.3％ ) 816.3万円/人 ( 年平均上昇率 ＋13.0％ )
（単位:万円/人）
( 期間内上昇率＋42.5％ ) ( 期間内上昇率＋33.1％ ) ( 期間内上昇率＋42.1％ ) ( 期間内上昇率＋44.9％ )
目標値 544.3万円/人 639.5万円/人 456.1万円/人 645.9万円/人
従業員1人あたり給与支給総額
428.8万円/人 ( 年平均上昇率 ＋8.26％ ) 500.0万円/人 ( 年平均上昇率 ＋8.55％ ) 371.9万円/人 ( 年平均上昇率 ＋7.04％ ) 525.5万円/人 ( 年平均上昇率 ＋7.12％ )
（単位:万円/人）
( 期間内上昇率＋26.9％ ) ( 期間内上昇率＋27.9% ) ( 期間内上昇率＋22.6％ ) ( 期間内上昇率＋22.9％ )
役員１人あたり給与支給総額 - - -
- - - - -
（単位:万円/人） (年平均上昇率 ＋6.27%) (年平均上昇率 ＋7.00%) (年平均上昇率 ＋7.03%)
補助事業に係る従業員数
118人 145人 25人 43人 70人 76人 23人 26人
（単位:人）</t>
  </si>
  <si>
    <t>信光陸運株式会社
1.⻑期成⻑ビジョン
運送業×倉庫業による総合物流企業へ進化し、魅⼒あふれる企業として次世代つなげる「100年企業」を⽬指
す。⾃社の強みである「対応⼒」を活かし、2034年5⽉期には売上⾼2.15倍/62.01億円を実現。
⻑期成⻑ビジョン（⽬指す姿・ビジネスモデル） 外発的動機
• 当社が⻑期成⻑ビジョンを掲げるに⾄った背景には、社会課題や顧
• 当社は、今後5〜10年の⻑期的な視野に⽴ち、社会に対して持
客ニーズの変化がある。近年、少⼦⾼齢化による労働⼒不⾜が深
続可能かつ⾼品質な物流サービスを提供する企業を⽬指す。トヨ
刻化しており、物流業界においても効率化と⾃動化が求められてい
タ系販売会社をはじめとする顧客のタイヤ保管業務で培った「管
る。また、消費者のライフスタイルの変化に伴い、⾷品や⽇⽤品の安
理」「⼊出庫準備」等のカンバン⽅式や⾃動化ノウハウを最⼤限に
定した供給が求められている。さらに、環境問題への意識が⾼まり、
活⽤し、効率的かつ⾼品質な物流サービスを実現する。さらに、倉
持続可能な物流サービスの提供が企業の社会的責任として重要
庫業においては季節ボラティリティの⾼い「タイヤ」や「家電」から「⾷
視されている。このようなメガトレンドに対応するため、当社は運送業
品」などの安定した商材へシフトし、安定収益を確保する。また、ア
と倉庫業のバランスを⾒直し、⾼利益体質への転換と安定収益の
サヒロジとの連携により⾃社運送ノウハウをさらに拡⼤・拡充し、配
確保を⽬指すこととなった。
送量の増加と次なる展開を⽬指す。
売上成⻑⽬標
内発的動機
• 当社は2024年5⽉期の売上⾼28.82億円を基点として、
• 当社の⻑期成⻑ビジョンを掲げるに⾄った背景には、経営者⾃⾝の
2034年5⽉期までの10年間で売上⾼を約62.01億円に到
原体験と動機がある。経営者は幼少期から家族が経営する物流
達させることを⽬標とする。これは約2.15倍の増加（増加額
会社で働く姿を⾒て育ち、物流業界の重要性と課題を⾝をもって
約33.19億円）であり、年平均成⻑率（CAGR）は約
感じてきた。また、現場での経験を通じて、効率化と⾃動化が物流
8.93%に相当する。
業界の発展に不可⽋であることを痛感し、これを実現するための強
• 新規事業として⾷品保管を開始し、既存の配送、タイヤ保管、
い意志を持つようになった。さらに、顧客からの信頼を得るためには
家電事業と組み合わせて、広域ネットワークを活⽤し新たな顧
⾼品質なサービスの提供が不可⽋であり、そのためには⾃社のノウ
客を獲得。また、アソート出荷対応やAIを活⽤した在庫管理
ハウを最⼤限に活⽤し、持続可能な成⻑を実現する必要があると
システムの導⼊により、サービスの質を向上させ、既存顧客との
考えている。このような内発的動機に基づき、当社は⻑期成⻑ビ
信頼関係を強化し、継続的な取引と追加受注を⽬指す。
ジョンを掲げ、社会に対して価値を提供する企業を⽬指している。</t>
  </si>
  <si>
    <t>信光陸運株式会社
2.補助事業の概要
自社の強みである一般物流を活かしつつ、物流業界全体の課題である2024年問題の課題による経営課題解
決を本事業である物倉庫業の展開で、さらなる成長性の高い事業運営を目指す。
補助事業の • 季節変動の大きいタイヤや家電から、ボラティリティの低い⾷品へ移行することで売上の安定化 事業費 22億円
背景・目的 を図り、倉庫に強みをもった東海地区ナンバーワンの総合物流会社を目指す。 （補助額） （7.3億円）
【件名】 一宮物流センター新築工事
【住所】 愛知県一宮市千秋町天摩字北野35番他
【敷地面積】 15,264.93㎡
【建築面積】 10,360.18㎡
【工期】 2024年11月～2025年10月
（建設工事開始：2025年2月～）
設備投資の
【その他】 地上3階建て
内容
【利便性の高さ】
〇名神高速道路；一宮ICから約5km/10分
〇名古屋高速道路；小牧北出口から約6km/15分
〇弊社本社より；約3.5km/15分
20xx年度 20xx年度
項目
（基準年度） （基準年度＋３年後）
労働生産性 1,332万円/人
897万円/人
（単位：万円/人） （年平均上昇率＋14.1％）
従業員1人あたり給与支給総額 685万円/人
目標値 530万円/人
（単位：万円/人） （年平均上昇率＋8.9％）
役員１人あたり給与支給総額 2,033万円/人
1,753万円/人
（単位：万円/人） （年平均上昇率＋5.1％）
補助事業に係る従業員数
136人 141人
（単位：人）</t>
  </si>
  <si>
    <t>株式会社 福砂屋グループ
.長期成長ビジョン
1
2024年に創業400周年を迎える長崎カステラ本家の福砂屋”ゆっくりと未来へ”
10年後の2033年期に福砂屋全社グループ連結で年商134.3億円(2022年期比+64.5%) へ
長期成長ビジョン（目指す姿・ビジネスモデル） 外発的動機
• 創業400周年を迎える”ゆっくりと未来へ”
• 世界名目GDP成長率ワースト4位の主因となる人口減少
• 手わざ 時をつなぐ 心をつなぐ カステラ技術と文化の継承
• 少子高齢化と百貨店市場の縮小、主要顧客からの需要低減
• 若年/中年層を中心とした国内顧客層及び海外顧客層を中心と
したターゲット及び市場範囲の拡大 • 材料や人材コストの高騰と競争激化から優位性の低減リスク
• ターゲットの拡大に応じた新商材へ開発投資 • 海外アジア/アフリカ人口の増加、需要の増加と多様性の要求
• 成長拡大に合わせた生産能力向上と生産効率化へ設備投資
売上成長目標
内発的動機
(グループ全社連結)2033年度 134.3億円
• 2033年期までの長期の売上高成長率+64.5％
• 2033年期までの長期の売上高増加額+52.7億円 • 変化し続ける400年間における市場へ適応の重要性の再認識
*上記2022年度比較
• 従業員への生産負荷の軽減、賃金水準向上、環境改善が必要
(東京連結) 2033年度 88.0億円
• 2033年期までの長期の売上高成長率+146.0％ • カステラ文化と技術継承をビジョンとする更なる味と品質の追求
• 2033年期までの長期の売上高増加額+52.2億
*上記2022年度比較 • 現工場の老朽化と生産ライン改良の必要性</t>
  </si>
  <si>
    <t>株式会社 福砂屋グループ
.補助事業の概要
2
福砂屋新東京工場(南町田工場)の建設及びカステラ及び新商品生産ラインへの総額50.3億円の設備投資
労働生産性1,643万円/人(年5.5%の上昇)及び従業員1人あたり給与総額564万円(年4.0%上昇)へ
• 現中目黒から新南町田へ規模拡張の上、移設及び効率化された新生産ライン開発
補助事業の • 既存取引先、国内新規取引先、海外市場への展開を踏まえた生産能力240%への拡張 事業費 5 5 億円
背景・目的 • 焼成、切断梱包工程の自動化投資を中心とした112%の生産効率向上と省力化 （補助額） （1 7 億円）
• 新商材の生産ラインの立ち上げ
• 南町田自用土地に4階建て工場を建設、建築総額34.0億円
1-3Fを生産を中心とした生産ラインエリア、4Fを福利厚生エリアとして設計
• 生産能力向上と省力化を実現するライン構築のための機械設備投資の総額14.8億円
(3F)
カステラ用量産焼成ラインを12ライン
(写真1) 現中目黒工場外観
(現工場6ラインの生産能力に対して総計240%/日定時1勤制)
設備投資の (2F)
内容 240%生産能力向上に適合したカステラ切断及び梱包の省力化新ライン
(3F/1Fと合わせて現状に対し人件費ベースで112%相当の省力化、効率化の達成)
新商材の販売に備えた生産ライン構築 投資額1.4億円
(1F)
上記の生産能力向上に適合した在庫保管及び流通配送ライン
海外市場への販売に備えた生産設備 投資額1.0億円
(写真2) 新南町田工場外観
• 生産体制を支援する新型システム構築等1.5億円
2026年度 2029年度
項目
（基準年度） （基準年度＋３年後）
労働生産性 1,643
1,400
（単位：万円/人） （年平均上昇率＋5.5％）
目標値 従業員1人あたり給与支給総額 564
501
（単位：万円/人） （年平均上昇率＋4.1％）
役員１人あたり給与支給総額 -
-
（単位：万円/人） （年平均上昇率＋5.0％）
補助事業に係る従業員数
209 222
（単位：人）</t>
  </si>
  <si>
    <t>株式会社福地建設
.長期成長ビジョン
1
まちづくりを通じて、持続可能な社会を構築し、ステークホルダーに高い付加価値を提供
自社の発展で当社グループの事業を拡大し、社会・業界・関係者の発展に貢献する
長期成長ビジョン(目指す姿・ビジネスモデル) 外発的動機
外部環境に振り回されない強い会社を作り上げる
まちづくりを通じて、社会に「幸せ」「喜び」「満足」を
• 不動産投資ブーム
• 都市部を中心とした共同住宅の高いニーズ
目先の利益に捉われず、中長期的目線で相乗効果を • 労働力確保の困難
発揮するグループ経営を目指し、まちづくりを通じて、豊 • 建築資材の高騰
• 省エネ性能の重視(環境問題への対応)
かな社会を生み出す商品を提供する
様々な課題がありつつも、業界の慣習に捉われず、常
従業員、仕入業者、物件購入者、入居者、金融機関
に革新的なビジネスモデル・商品サービスの提供を行な
をはじめ、全てのステークホルダーに当社と関係を持って
い企業成長を目指したい！
良かったと喜んで頂ける「永続する企業づくり」を行う
用地仕入から、企画、設計、製造、建築、販売、管理、 内発的動機
不動産賃貸に至る必要な行為全てをグループ一気通 「人と共に成長していこう」をモットーに
貫で行える会社となる事で、『共同住宅を建てるなら • 建築や不動産は、やりがいのある魅力的な仕事
• 自身の仕事がまちづくり、社会づくりにつながる誇り
FDSグループの福地建設』、そう思っていただける業界
• 従来の思考にとらわれず、業界を変えていきたい
地位の確立を目指す
父親と福地興産(現FDS)を創業して24年、一心不
福地建設売上成長目標 (2023年度決算実績比較) 乱にやってきたが、今があるのは周りの人の助けがあっ
2030年までに会社全体の売上高成長 636 ％ たからこそ
495 その経験から当社グループが更に成長することで、社
2030年までに会社全体の売上高増加額 億円
会・業界・関係者の発展に貢献したい！</t>
  </si>
  <si>
    <t>株式会社福地建設
.補助事業の概要
2
深刻な人材難の中で持続的成長を可能にする
共同住宅向けシステム鉄骨部材の内製化に向けた京田辺工場建設
現在、S造低層事業の建築部材は協力会社から仕入れを行っている
補助事業の 事業費 22億円
自社独自のシステム鉄骨部材を内製することで価格競争力、資材の安定供給を
背景・目的 (補助額) (7. 2 億円)
獲得し、グループの中核企業として持続的な成長を実現する
【投資内容と目的】
京都府京田辺市に13,690㎡の土地を購入、平屋建て延べ面積8,289㎡の工場
(事務所含む)を建設
建築用鉄鋼を加工しS造低層マンション向けのシステム鉄骨部材を製造
総投資額：22.0億円(工場12.3億、設備8.7億、ソフトウェア0.4億、外注0.6億)
想定必要従業員：20名程度、 生産能力：最大240棟分/年
【生産効率化ポイント】
本社からCAD/CAMデータを複合加工機に直接送ることで、自動で部材加工を行う
設備投資の
基幹システムと最新機器の連携で、あらゆる工程で生産の効率化を実現
内容
加工設備 台数 役割用途
形鋼孔あけ切断複合機 3 梁の孔あけ・切断
ファイバーレーザー加工機 1 部材・切出加工
建築部材自動溶接システム 2 柱・フレーム溶接
2026年度 2029年度
項目
(基準年度) (基準年度＋３年後)
労働生産性 2,579
1,492
(単位：万円/人) (年平均上昇率＋20.0%)
従業員1人あたり給与支給総額 723
目標値 622
(単位：万円/人) (年平均上昇率＋5. ％)
2
役員１人あたり給与支給総額 1,653
1,428
(単位：万円/人) (年平均上昇率＋5.0％)
補助事業に係る従業員数
33 59
(単位：人)</t>
  </si>
  <si>
    <t>銘建工業株式会社
1.長期成長ビジョン
「木材の新しい価値を提供する」「あるものを全て使い切る」との創業の理念のもと、脱炭素に向けた木質構造材の普及、市場創出を図り、
社会貢献に根差した成長戦略を描いている。地域に育てられながら100周年を迎えた長期的なビジネスをさらに発展させ、地元真庭市と共
に「小さくても稼げるまち」を目指すため、木材業界のリーディングカンパニーとして売上高436億円を実現して地域と木材業界を牽引する。
長期成長ビジョン（目指す姿・ビジネスモデル） 外発的動機
①非住宅など木質構造へのニーズ増加
「小さくても稼げるまち」を牽引する真庭市と木材業界のリーディングカン
住宅着工数は減少傾向が続いているが、脱炭素の機運が高まる中、中高層、大
パニーをビジョンに掲げる。新工場を成長ドライバとして全事業で環境と 規模非住宅（事務所、店舗、施設、共同住宅等）の分野での木質構造への
効率を両立。木材業界の未来、産業の革新・発展に貢献していく。 ニーズは高まっており、当社にとって大きなビジネスチャンスととらえている。
②集成材・CLTなど環境配慮型製品のニーズ増加
①木材業界のリーディングカンパニーとしての環境配慮製品の拡充・強化
集成材、CLTに対する需要拡大に対応した生産量拡大に伴う、製造、保管、運送
集成材、CLTのパイオニアであり、木材産業のリーディングカンパニーとして、環境に
等のバリューチェーンで、効率化を推進することによりコスト削減を図り、即納体制により
配慮した木造建築を住宅、非住宅の分野へ浸透させ、産業全体の振興を官民一
売上を拡大をすることができる。
体となって推進。新工場によって短尺・多品種製品の生産力増強と新規商品投入。
③官民一体の国内林業振興策の推進機運
②大規模非住宅分野での販売強化 官民一体となった国内林業振興策と軌を一にしたCLT需要創出を推進する。
木造建築における新境地を切り開き、低層、中層に加え、高層、大規模非住宅
の分野で、果敢に挑戦を続ける。
内発的動機
③効率化ノウハウを全社に浸透し、業界の革新をリード
• 当社の歴代の代表はそれぞれの時代において常に大きな環境変化にさらされてきな
集成材・CLTのトップメーカーとして、新工場を起点とした市場拡大、革新をリードし、
がらも、新規事業の展開によって経営危機を乗り越え、今日まで経営のバトンを繋い
そのノウハウを全社に浸透させ生産性を向上。RC構造に匹敵する強度、耐火性、
できた。こうした背景から、現社長の経営への強い想いは、「仕事は自分でやるもので
工期短縮、国産材の使用促進を図り、我が国の林業の振興発展に貢献する。
なくお客様にやらせて頂く」という考えである。時代に合った会社の方向感を間違えず
④バイオマス事業など、環境配慮と地域貢献の事業推進 に戦略を描いていけば、お客様に何とか仕事を続けさせて頂けるという考えのもとで、
木材加工工程で生じた木くず、端材を活用したバイオマス発電事業により、自社動 当社代表は常に10年先の業界を見越した経営を行っている。
力の確保のみならず、売電事業を拡大しエコシステムを強化。地域貢献に資する。 ①生産効率化の更なる改善
生産性効率を極限まで高めることにより、まだまだ成長と改善の余地がある。
売上成長目標 ②環境配慮型・短尺多品種製品の需要増加
最新の省力化・検品技術を活かした新工場への大規模投資を成長ドライバとし、 住宅の小型化・平屋化に伴う短尺製品の需要増加に対応した、短尺製品の効率
2029年度までに以下の成長目標を達成する。 的製造。 工程の効率化だけでなく、資源循環のエコシステムの強化も必要。
• 会社全体の売上高 436億円 ③新倉庫建設に伴う土地の遊休化
• 会社全体の売上高増加額 133億円 新倉庫による機能移転で旧倉庫スペースが遊休化、本社工場の最適化が必要。
• 会社全体の売上高成長率 44.1％ 会社全体の付加価値額 75.5億円 ④成長分野への人材再配置が困難
バイオマスやCLT事業など成長分野へ人材配置するには工場の全体最適化が必須。
当社の沿革・特徴
当社は1923年中島材木店として創業、1970年に銘建工業株式会社に社名変更、現在では売上高約300億円、従業員数355名（2023年12月期実績）、製材業か
ら出発し、集成材事業への新規進出での市場創出を図り、木くずの有効活用を図るバイオマス事業の展開、CLT事業の創出等、新たな挑戦を続けることにより社会に貢献、
木材業界のトップメーカーを担うまで成長することができた。今後も木材業界のリーディングカンパニーとして、環境配慮型製品の拡充を図り、売上高436億円を目指していく。</t>
  </si>
  <si>
    <t>銘建工業株式会社
2.補助事業の概要
住宅の小型化に対応した集成材の需要獲得のため、新・短尺多品種工場を立ち上げ。蓄積したノウハウを既存工場へ
転用し全社の生産効率の最適化を図り、木材の副産物をバイオマス事業へ転用して全事業での業績向上を図る。
補助事業の • 既存工場では生産設計に合わない短尺・多品種製品の加工により、負荷が増大。メイン工程で主要 事業費 62億円
背景・目的 製品を減産調整せざるを得ない。短尺・多品種に適した生産拠点により全社の生産最適化を図りたい。 （補助額） （20億円）
• 最新の省力化・検品機能を備えた「新・短尺多品種工場」によって生産の最適化と生産量の最大化を
実現し、顧客内シェアの拡大を通じて、需要が高まる住宅向け小型商材での売上を拡大。
• 新工場では既存小断面工場の48%の人員、20%のリフト数で運用できる高効率な運用を実現。こ
の効率的な運用ノウハウを既存工場にも反映し、全社での大幅な生産性の向上と賃上げ促進を図る。
①工場建物費25億円 ②工場内 製造ライン設備 39億円 1 新工場建屋
2 製造ライン
3 板削モルダー
設備投資の 4 仕上モルダー
5 仕上げ検品カメラ
内容
6 集塵装置
7 自動走行ラック
8 接着剤設備
9 ラベル張り機
10 作業足場
11 安全対策費
12 フォークリフト
13 電気設備
14 暖房設備
15 エアー配管
16 インクジェット
17 インサイジング
18 フィンガージョイント
項目 2026年度（基準年度） 2029年度（基準年度＋３年後）
労働生産性
1,554 1,911（年平均上昇率＋7.1％）
（単位：万円/人）
従業員1人あたり給与支給総額
目標値 558 646（年平均上昇率＋5.0％）
（単位：万円/人）
役員１人あたり給与支給総額
1,061 1,229（年平均上昇率＋5.0％）
（単位：万円/人）
補助事業に係る従業員数
379 390
（単位：人）</t>
  </si>
  <si>
    <t>株式会社大真空
１.長期成長ビジョン
独自開発のArkh.3Gを軸に、横並びのコスト競争から技術力重視の経営へ転換します。持続的な成長を実現し、
顧客との共創関係を構築することで、社会に不可欠な水晶デバイスの安定供給・環境対応を実現します。
長期成長ビジョン（目指す姿・ビジネスモデル） 外発的動機
• 水晶デバイスの高周波化という技術的ニーズの変化や市場規模の急
• 当社が担う水晶デバイスは、半導体とセットで使用される電子部品
激な拡大を好機と捉え、高周波化と生産性の向上に対し有効な
であり、社会の発展に必要不可欠なキーデバイスと位置づけられる
Arkh.3Gと呼ぶ新製品を開発した
↓
• 従来の身を削るコスト競争から脱却し、技術力により性能優位性や • 業界内では長らくイノベーションが起きず、価格競争により中国企業
のシェアが拡大する傾向が継続してきた
コスト競争力を向上させる経営に変える
↓
• 業績の向上により、研究開発投資と社員の所得向上を両立させるこ • 5GやAIの普及に伴った通信の高速化、大容量化により、水晶デバ
イスに求められる性能が高度化（高周波化）してきた。これにより
とで、人材に対する訴求力を高め、技術力と人的資本の持続的な
業界内の競争環境が大きく変化する過渡期となっている
成長を実現する
↓
• 高い技術力を背景に、顧客にとって重要な共創パートナーとなること • 今後の旺盛な需要拡大に対し、安定的な供給と環境対応の両立
が必要
で顧客が抱える潜在的なニーズをより早く発掘し、そのニーズに対する
タイムリーな製品開発を行うという循環を構築する
• 安定供給に対応するための増産と、CO2排出量の削減の環境対応
という相反する課題を、技術力で解決し企業として成長し続ける
内発的動機
売上成長目標（単体）
• 2030年3月期までに 会社全体の売上高成長率86％ • 製品や製造の差別化が進まないなかで、海外メーカーとの長年に渡
• 2030年3月期までに 会社全体の売上高増加額370億円 る価格競争が繰り広げられ、人材と財務面で疲弊してきた
売上成長目標（連結） • 特徴ある製品が生み出されないことで、顧客に対する交渉力が弱く、
• 2030年3月期までに グループ全体の売上高成長率72％
また顧客側も新しい価値を生み出すための共創を水晶デバイスメー
• 2030年3月期までに グループ全体の売上高増加額380億円
カーに求めなくなっていた
※基準年（2027年3月期）と比較して算出しています</t>
  </si>
  <si>
    <t>株式会社大真空
２.補助事業の概要
高速・大容量通信の需要増加に伴い、高性能かつ低価格な高周波製品の大量供給が必要となっています。
当社は10年をかけて開発したArkh.3Gの量産化でこの需要に応えます。
過去10年に渡り、技術的に汎用化されたボリュームゾーンの需要は中国や台湾メーカーの旺盛な
増産投資により賄われてきた。しかし、通信の高速化、大容量化に伴い、「高度な技術（高周
補助事業の 事業費 79億円
波）が求められる製品」が低価格且つ大量に供給される必要性へと社会的ニーズが変わってきた。
背景・目的 （補助額） （26億円）
このニーズを解決するべく約10年に渡り開発してきたArkh.3Gを省スペースで大規模に量産化して
いくことが、現在当社に求められる社会的な責務となっている。
【従来の工程】
◆フォトリソグラフィ関連装置
概要 ：水晶ウエハに外形形成や電極形成を行う工程
主要装置 ：露光機、エッチング装置、スパッタリング装置、レジスト塗布装置、洗浄装置等
◆Arkh.3G アセンブリ関連装置
概要 ：フォトリソグラフィにて加工した3枚の水晶ウエハを接合して、個片化する工程
【Arkh.3G工程】
主要装置 ：周波数調整装置、接合装置、ダイシング装置、気密検査装置等
設備投資の
◆Arkh.3Gを組み込んだ発振器組立関連装置
内容
概要 ：セラミックパッケージにArkh.3GとICを実装して、封止を行う工程
主要装置 ：FCB装置、搭載機、シーム機、電気的特性検査装置
ウエハ加工 個片化
【労働生産性向上のポイント】
個片化された水晶に対し電極を形成し、一つずつセラミックパッケージに搭載していく従来工法に対し、全てウエハ単位で加工してから
個片化する製品設計を水晶デバイスとしては初めて実現したことから、生産性が大きく向上した
2027年3月期 2030年3月期
項目
（基準年度） （基準年度＋３年後）
労働生産性 11,703
8,275
（単位：万円/人） （年平均上昇率＋12.2％）
従業員1人あたり給与支給総額 929
目標値 791
（単位：万円/人） （年平均上昇率＋5.5％）
役員１人あたり給与支給総額 -
-
（単位：万円/人） （年平均上昇率＋-％）
補助事業に係る従業員数
30 110
（単位：人）</t>
  </si>
  <si>
    <t>1.⾧期成⾧ビジョン
サトウ食品株式会社
「パックごはん=サトウのごはん」という圧倒的No.1ブランド確立へ
「これからも、もっとおいしく。」を⾧期ビジョンに次世代生産ラインを構築し、市場を牽引する
⾧期成⾧ビジョン（目指す姿・ビジネスモデル） 外発的動機
• 主力のパックごはん市場は2019年789億円から2023年958億円と成⾧
市場にある。
• 要因として、少子高齢化や共働き、タイムパフォーマンス重視の生活スタイル
の浸透により手軽で適量調理可能なパックごはん需要の高まりがある。
• 記録的な大雨災害や大地震への備えとして、災害時の非常食としても提供
機会が増加
• 上述のような需要増加局面にありながらも、パックごはん消費量は精米消費
量の4%(推計)に留まっている。つまり、需要のピークはまだまだ先にあるため、
将来的には倍以上へ成⾧する潜在性を有した市場である。
• 現状の供給力では拡大する市場・需要への応対が困難。
• 大規模な成⾧投資を実施し、生産能力の大幅引き上げが業界シェアトップ
堅持するには必要不可欠。地域雇用やサプライチェーンにも波及効果をもた
らす。
内発的動機
• 無菌包装米飯(パックごはん)を日本で初めて開発。以降、味わいや利便性、
非常食として高い評価を受け、コアユーザーを獲得。
• 日本古来のおいしいごはんの炊き方としてこだわりの生産方式「厚釜ガス直火
炊き製法」により、味・品質において他社と差別化。「パックごはん=サトウのご
はん」という認知を得ている。
• 10年前と比較して当社売上高・生産量は約2倍に引き上げている。
• しかし、近年は当社予想を大幅に上回る需要増大局面にあり、生産能力が
逼迫。さらなる生産量増強の必要性がある。
【社是】
• そのため、当社にとって過去最大規模となる総工費80億円の設備投資を行
われわれは 誠実と責任とを以って 日々努力を重ね い、次世代米飯生産ラインを開発。バリューチェーン強化を図り、サプライ
より品質を高めて 消費者の 信頼に応えよう チェーン全体での高い経済波及効果を実現。</t>
  </si>
  <si>
    <t>サトウ食品株式会社
2.補助事業の概要
⾧期的な需要増加と労働人口減少を見込み、大規模な自動化・省人化設備による次世代型新工場を建設。
高水準の労働生産性・給与支給額を実現し、地方都市におけるロールモデルへ飛躍を遂げる。
⾧期トレンドでパックごはん需要が増加しており、大規模増産が不可避の状況。
補助事業の 一方で、生産労働人口の減少による人手不足という課題に直面。 事業費 96億円
背景・目的 競合他社に先駆けて自動化・省力化設備導入により、競争力及び労働生産性を向上させ （補助額） （27億円）
ステークホルダー一体となった持続的な成⾧を図る。
設備投資一覧
新工場 イメージ
項目 内容(必要理由) 金額
自動化・省力化設備・自動倉庫など工場内設備
機械装置費 4,829,100千円
(生産ライン高効率化・製造コスト削減に必要)
建物主体工事・電気設備工事等
建物費 3,175,560千円
設備投資の (自動化・省力化を実現する新工場建設。事業拡大に必要)
内容 設計管理費・エンジニアリング費用
外注費 62,430千円
(効率的な製造ライン構築に必要)
合計 8,067,090千円
【課題解決】
• 従来ライン日産10万食→日産20万食 と2倍の生産が可能となる
所 在 地:新潟県北蒲原郡聖籠町東港5丁目 626 番23 ほか
• 聖籠第1工場には流通倉庫がなく、製造と物流が分離。補助事業では、自動倉庫を
敷地面積:92,583 ㎡
導入し、商品在庫の増減に柔軟に対応が可能で労働生産性が飛躍的に向上。
• 検査装置/生産監視/清掃自動化が実現し、次世代型工場として大幅な省力化
2027年度 2030年度
項目
（基準年度） （基準年度＋３年後）
労働生産性 4,247万円/人
3,059万円/人
（単位:万円/人） （年平均上昇率＋11.6％）
目標値 従業員1人あたり給与支給総額 881万円/人
740万円/人
（単位:万円/人） （年平均上昇率＋6.0％）
役員１人あたり給与支給総額 ‐ ‐
（単位:万円/人） ※補助事業に関わる役員は判定が困難なため、未設定。 ※補助事業に関わる役員は判定が困難なため、未設定。
補助事業に係る従業員数
158人 171人
（単位:人）
※ 2027年度=2027年4月期、2030年度=2030年4月期として算出</t>
  </si>
  <si>
    <t>進工業株式会社
1.長期成長ビジョン
今後も薄膜チップ抵抗器（※）を深耕し、精度や品質に対する厳しい要求が求められる車載・民生用電子機器・計測機器・
医療機器・航空・宇宙を重点分野として、日本でのプレゼンスを維持しつつ中国や東南アジアをはじめとする成長性の高い海外
市場への拡販を強化する方針
長期成長ビジョン（目指す姿・ビジネスモデル）
外発的動機
• 車載および産業機器分野では自動車のEV化加速や制御システムの搭載
増加、自動化のニーズは今後も大きく高まるとされており、よりハイパワーに
対応できる薄膜チップ抵抗器の需要が増加
• 計測機器・医療機器分野ではの高度化に伴い、微小電流や電圧を高精
度測定や低ノイズ・省電力の需要が増加。
• 民生用電子機器分野では、多機能化・内部構造のバッテリーが占める容
量の増加から、小型、薄型基板へ高密度部品実装密度や省電力の要
求が高まり、さらに小型の薄膜チップ抵抗器の需要が増加
• 宇宙Wi-Fiネットワークや次世代Wi-Fiによる高速通信網の技術革新はこ
れからも進むとみられ、高周波化に対応できる薄膜チップ抵抗器を実装し
た高周波部品の需要が高まっており、将来的な需要も見込まれる
内発的動機
• 薄膜チップ抵抗器の分野において、当社は知名度が高く、薄膜形成、回
路設計技術等のノウハウも保有している。グローバルでの顧客層を一定程
電子機器類の小型・高性能・ハイパワー化をうけ、耐環境性・長期信頼性の高い、
高精度・高品質なチップ型抵抗器のニーズは伸びており、当社はこのニーズに応える 度つかんでいる（薄膜チップ抵抗器として世界シェアトップクラス）
製品を提供していく • 車載、産業機器、計量計測機器、民生用電子機器、航空宇宙分野等
幅広い分野に対応している
売上成長目標
• 売上の拡大に対する取り組みに対し、技術開発・生産技術・省力化・IT
等の技術者が不足していると感じることがある
・2022年度～2027年度までの売上高成長率102.3％ • 自動化、省電力化技術の導入が遅れている。
• 高周波製品で必要な回路、アプリケーション情報等へのアプローチや技術
・2022年度～2027年度までの売上高成長額10,038百万円 力の不足
• 60年に亘り、抵抗器の品質向上を追い求めてきたが、急激な売上の拡大
に対し、モノ・情報含め、全体的に管理面・マネージメント力が弱いと感じる
※薄膜チップ抵抗器：半導体等に流れる電流・電圧の動作を調整する素子
（電子部品）</t>
  </si>
  <si>
    <t>進工業株式会社
.補助事業の概要
(cid:21)
ユーザーが必要とする電流・電圧を高い精度で安定的に作動させる薄膜チップ抵抗器の能力増強・性能向上・省力化投資を行
い、売上の大幅増加と労働生産性の向上を達成し、持続的かつ大幅な賃上げと付加価値の増加を図るともに、我が国のあらゆ
る産業分野の成長や地域の活性化に貢献する（当社品質×投資＝性能向上・生産性向上・賃上げ・地域貢献）
• あらゆる電気電子機器の基本部品として成長する薄膜チップ抵抗器市場や顧客の増産要求に
事業費 億円
応えるため最新設備で性能向上・能力増強・省力化投資が急務 (cid:28)(cid:23)
（補助額） （29億円）
補助事業の • 2023年度に新工場を建設し、2024年度以降設備投資を実施する
背景・目的 • 省人化投資による生産性向上と増産に伴う売り上げ増加分の賃金への分配（賃上げ）により、 2024年4月に竣工した新棟
従業員の生活の質の向上をはかる
• 2024年4月に増産用に建屋（約6千㎡）が竣工（約47億円を投資）し、スペースは確保済
当該補助事業の投資で増産等を実現させる
薄膜生成 微細フォトエッチング
設備投資内容 設備（ライン）構成 省力化（従来比）
着膜工程（新棟）ライン一式 薄膜生成設備（スパッタリング）・検査
前工程（新棟）ライン一式 微細フォト，エッチング，プラズマ反応，検査 2.5倍
前工程（既存棟）ライン一式 微細フォト，エッチング，プラズマ反応，検査
設備投資の
後工程（既存棟）ライン一式 トリミング，スクライビング，極小チップ
1.3倍 写真等
内容
高槻電器工業生産ライン一式 トリミング，スクライビング，極小チップ
マイクロレーザー 高密度パッケージ
2026年度 2029年度
項目
（基準年度） （基準年度＋３年後）
労働生産性 4,187（1.7２倍）
（単位：万円/人） 2,439 （年平均上昇率＋１９．７８％）
目標値 従業員1人あたり給与支給総額
580
（単位：万円/人） 497 （年平均上昇率＋５.３４％）
役員１人あたり給与支給総額
-
-
（単位：万円/人） （年平均上昇率＋5.00％）
補助事業に係る従業員数
213 222
（単位：人）</t>
  </si>
  <si>
    <t>株式会社光製作所
1.長期成長ビジョン
企業理念『「コト」からはじめて「幸せナンバーワン」を創る』のもと、従業員が考え協力することで自社にしかない強
みを生み出すことで、新しいことへチャレンジをし、企業・従業員・取引先・地域全体が幸せになることを目指す。
長期成長ビジョン（目指す姿・ビジネスモデル） 外発的動機
• 産業機械・建設機械産業での当社の競合としては、国内であれば
【目指す姿】
数社しかない状況であり、新規参入は業界的にほぼ無いに等しい
• 製缶プレス業から創業して以来、溶接・機械加工と一貫生産の可 業界である。周りの競合の中でも、継承問題、M&amp;Aや事業の縮小
能な会社を構築してきた。時代の流れの中、大阪から滋賀県へ拠 や撤退もあり衰退してきている。
点を移し、売上高も増やしてきた。モノづくり産業で、「コト」からはじ • 産業機械産業では、部品は中国で製造し国内で組み立てを行っ
めて「幸せナンバーワン」を創る。企業理念のもと会社成長を目指 ていたが、中国有事のリスク管理の元、国内での部品調達に移行
している。 している。
• 人が考えモノを作ることが当社の強みであり厚物溶接に関する知 • 雇用環境は大きく変わり、以前よりの残業をして収入を増やすよりも
見・技術力は高いものがある。今後は、自動化を進め、安定した 働き方改革の元、自分らしく生活することに重点が置かれている。
品質を提供することにプラス技術力を組み合わせることで当社にし • 働きがいのある企業には、優秀な人材が集まるようになっている。
かできないモノづくりを目指す。 • 産業の領域として産業車両・建設車両を中心に行ってきたが、今
後の成長性が見込まれる農業機械・林業機械を新規分野として
【ビジネスモデル】 進出することで、幅広い産業での事業構築を考えている。
• 現在は、カットされた鉄板を仕入、溶接・機械加工して製品化して
内発的動機
いる。大型の部品を組み合わせたユニット生産は取引先の基準を
クリアした品質を担保できる技術力を持っている。 • メーカ企業の増産による外作化、 BCPを考慮しての2社購買、米
中関係でのメーカ企業の生産回帰のトレンドの要因により引き合い
• 今後は、付加価値として短納期化を目指し、カット工程の内製化
が増えている。しかし、それらは引合案件規模が大きく、単なる人員
を行う。当社の強みである加工の提案力を生かして、新規事業分
増や設備増だけでは、受注にならないケースが散見してきた。メーカ
野へチャレンジをする。また、労働力不足の問題を解決するため、
元も弊社で受けきれなければ、計画を断念するとまで言われたケー
ロボット・設備機器との協働化を行い生産性の向上へ繋げる。
スもあった。
• 引合案件を受注に結びつけるには、工場の増強を計画しなければ
継続的な成長には困難であり、ロボット・設備機器との協働化によ
売上成長目標
り生産性を向上させることが、当社の最大の課題である。
• 2029年までの会社全体の売上高成長率272％
• 3年前に経験豊富な生産技術の人材を採用し、繰り返し作業の
• 2029年までの会社全体の売上高増加額26億円
撲滅への取り組みとしてのロボット化・設備化を推進し一定の成果
を得ている。事務業務もデジタル化を推進中。</t>
  </si>
  <si>
    <t>株式会社光製作所
.補助事業の概要
2
製造工程の自動化を図ると共に川上工程の内製化により、短納期化の実現と収益力のアップを目指す。
また、情報管理を一元で行うことで、管理費用を削減し労働生産性の向上を目指す。
補助事業の • 市場ニーズが手作業の高い技術力から自動化による安定品質・リードタイム短縮に変化している。 事業費 1 億円
7
背景・目的 • 生産管理から製造、納品までのDX化により収益力をアップさせ新分野へ進出を図る。 （補助額） （5. 億円）
2
【設備投資内容】
①レーザー切断機の新規導入 ②溶接ロボットの導入 現在の商流
既存事業
③自動倉庫システムの導入 ④基幹システムの導入
⑤工場の建設 機 溶 品 最
鉄 カ 納 組 販
【当社の課題】 ッ 械 接 質 終
加 加 確 製
・リードタイムの短縮 板 ト 工 工 認 品 立 品 売
・収益力向上ための付加価値アップ
材料 納品
【解決策】 工程管理
調達 管理
設備投資の ・レーザー切断機の導入により材料納品が、発注から3週間から3日へ
内容 短縮ができる。
補助事業実施後
・溶接ロボットの導入により安定した品質で、工数の短縮を図り付加価値
新工場
アップとリードタイムの短縮が可能となる。
・自動倉庫システムの導入により、製品種類が増加しても人員は現状維 機 溶 品 最
鉄 カ 械 接 質 納 組 終 販
持を行うことができ、付加価値向上につながる。 ッ
加 加 確 製
・基幹システムの導入で材料調達から工程管理、納品管理まで一括で 板 ト 自動工化 工 認 自 品 動化 立 品 売
行うことができ、付加価値向上につながる。
・上記を実行するために、新しい工場を建設して収益力の高い製品の 一元管理
製造を行い、売上・利益を増加させ企業の成長を目指す。
2026年10月期 2029年10月期
項目
（基準年度） （基準年度＋３年後）
（単
労
位
働
：
生
万
産
円
性
/人）
678
（年平均上
8
昇
5
率
2
＋7.9％）
目標値
従業員1人あたり給与支給総額
436
499
（単位：万円/人） （年平均上昇率＋4.6％）
役員１人あたり給与支給総額 -
-
（単位：万円/人） （年平均上昇率＋0％）
補助事業に係る従業員数
22 77
（単位：人）</t>
  </si>
  <si>
    <t>昭和産業株式会社
1.長期成長ビジョン
プレキャスト工法の鉄筋コンクリート部材専用の金網・鉄筋加工品を効率的に生産する体制を確立、
事業規模を大幅に拡大させ、お客様および社員の満足向上と社会問題解決に貢献する！
長期成長ビジョン（目指す姿・ビジネスモデル） 外発的動機
【5年後のビジョン】 （本補助金で実施する範囲） • 高度成長期に建設された建物の多くが建て替え時期を迎え、マン
ションをはじめとする建築需要は堅調に推移
本体会社にて、プレキャスト鉄筋コンクリート向け金網、鉄筋の効率
的生産体制を確立。当社近隣にプレキャスト床製作工場を建設予 • 少子高齢化を背景とした建設作業者不足
定の大手ゼネコン1社に対し、評定を獲得した当社製品を供給する。 • 働き方改革関連法施行による、建設作業者の労働時間の制約
（建設業の2024年問題）
また、プレキャストの柱を製作する複数のプレキャストメーカーに対して、
当社製品を拡販する。主に首都圏マンション建設需要の取り込みを • 上記を背景に、現場作業者の工数を大幅に低減できるプレキャス
ト工法を採用する建設業者が増加。大手ゼネコン1社が、当社近
図り、売上を拡大していく。
隣にて新たにプレキャスト工場建設を計画。当社にプレキャスト専
用の金網、トラス筋の供給を依頼。
【10年後のビジョン】 （将来的に実施する範囲）
建設業界におけるプレキャスト工法の普及進展に伴い、プレキャスト • プレキャスト用途以外の一般的な鉄線、鉄筋は、競合他社との差
別化を図る余地は少なく、利益率が低下傾向。
専用金網、鉄筋の生産能力をさらに拡大。上述のプレキャスト工場
を持つゼネコン以外に、プレキャスト工場を持たない大手ゼネコンにも
内発的動機
間接的に販路を拡大していく。グループ会社とコワークし、首都圏以
外の需要の取り込みを図る。 • 経営理念「お客様満足の向上」の実践：顧客にとってより高い価
値をもつ製品を製造したい！
• 経営理念「社員満足の追求」の実践：日本国内のより多くの建造
物に当社製品を採用してもらうことで、従業員に「地図に残る仕事」
売上成長目標
のやりがいと誇りを感じさせたい！
• 2030年4月期までに会社全体の売上高成長率：＋81％
• 女性活躍の機会を与えたい！
• 2030年4月期までに会社全体の売上高増加額：＋86億円
• 生まれ育った地域で生活したいと考える若者に就労機会を与えた
い！
• 生産キャパシティが逼迫、より多くの製品を届けるために要増産</t>
  </si>
  <si>
    <t>昭和産業株式会社
.補助事業の概要
2
本補助事業は当社が今後飛躍的な成長を遂げるための足掛かりとなる事業である。工場を新設するとともに、
最新鋭の設備を導入し、年平均18.6%の大幅な労働生産性向上と年5.0%の賃金アップを実現する。
• 建設業界におけるプレキャスト工法普及拡大のトレンドと、一部大手ゼネコンからの生産要請を
背景に、既存製品の増産を図るとともに、プレキャストコンクリート部材専用の溶接金網、トラ
補助事業の ス筋、フープ筋、主筋製造ラインを新増設する。そのため、茨城県内に新工場を建設し、県内 事業費 2 億円
5
背景・目的 各既存工場を含めたレイアウト変更をしつつ、新たな設備を導入する。単純なライン数増加にと （補助額） （7. 億円）
8
どまらず、効率化・省力化に資する自動化設備の導入も併せて行い、年平均18.6%の生産
性向上と年平均5.0%の大幅な賃金アップを実現する計画である。
投資項目 設置場所 投資額 概要
新工場(茨城)の建設 - 7.1億円 溶接金網製造工程の一部を本社工場から新工場に移設
新工場(茨城)、
メカニカルディスケーラー 0.5億円 材料鉄線の表面に付着する異物（スケール）を機械的に除去する
本社工場（茨城）
金網溶接ライン 本社工場(茨城) 6.8億円 金網溶接の段取時間を大幅に短縮、生産効率を向上させる
設備投資の
内容 トラス機ライン 第一工場(茨城) 3.0億円 トラス筋の生産量アップに対応
鉄筋加工ライン 川島工場(茨城) 3.2億円 切断・曲げ・磨き機のセット。フープ筋の生産量アップに対応
溶接ロボット 川島工場(茨城) 1.5億円 フープ筋の生産量アップに対応するとともに、省力化を図る
鉄筋自動曲げロボット 川島工場(茨城) 1.5億円 主筋の生産に対応
合 計 23.6億円
2026年度 2029年度
項目
（基準年度） （基準年度＋３年後）
（単
労
位
働
：
生
万
産
円
性
/人）
1,588万円/人
（年平
2
均
,6
上
4
昇
7万
率
円
＋
/
1
人
8.6％）
目標値 従業員
（
1
単
人
位
あ
：
た
万
り給
円
与
/人
支
）
給総額 408万円/人
（年平均
47
上
2
昇
万
率
円
＋
/人
5.0％）
役員１人あたり給与支給総額 （補助事業役員なし）
（補助事業役員なし）
（単位：万円/人） （年平均上昇率ー％）
補助事業に係る従業員数
99人 120人
（単位：人）</t>
  </si>
  <si>
    <t>中央紙通商株式会社
1.長期成長ビジョン
これまで培った商社としてのノウハウと、地域に求められる物流機能との融合によって課題解決力を発揮し、紙業
界の発展に貢献する企業グループを目指す。
長期成長ビジョン（目指す姿・ビジネスモデル） 外発的動機
①産業用紙市場の市場拡大
◼ グループビジョン：
✓ 新聞用紙等の情報紙市場は縮小しているが、紙器用板紙や段
紙業界の未来に貢献する、紙ソリューション企業グループ
⚫
ボール、紙おむつ等の産業用紙はEC市場の拡大等により伸長
✓ 当社は既に扱い品の軸足を産業用紙に移しており、祖業として
◼ グループのビジネスモデル：
培ったノウハウを活かせる卸商として成長していく
卸商としてのビジネスを強化発展した、以下2軸によるビジネス
⚫
【問屋・商社機能】
②中間物流に対するニーズ
- 紙をメーカーから仕入れ、用途ごとにニーズのある事業者へ
✓ 前述の業界構造により、紙の流通は非効率的(補足：P12)
必要な紙種類と分量を卸売
✓ 物流2024年問題もあり、物流面において当社を頼りたい旨の
- 市場ニーズ調査や販促提案といった商社的機能を有し、
取引先ニーズが近年非常に強い
メーカーと取引先双方に対して情報提供を行う
【物流機能】
③紙による環境への貢献
- 大規模な物流センターを保有し、製紙メーカーと消費者との
✓ プラスチックによる環境問題が世界的に問題となっており、代替
中間物流を担うほか、付随して流通加工も提供
原材料として紙が見直されている
- 地域一の在庫量と流通加工機能、DXによる効率化により
✓ 当社は卸商として生産・消費両サイドと密接な関係を有する。
納品リードタイムを短縮し、他社との差別化を実現
双方への市場動向の提供等により、業界として求められる新製
品の開発に貢献していく
中部地方の紙流通に求められる大規模卸商として、
商社機能・物流機能の両面から業界の課題を解決する
内発的動機
◼ 当社は創業80年近くを数える老舗紙問屋・商社。紙メーカーの依
売上成長目標 頼やお客様のニーズに対応して時代を生き抜いてきた
【連結】（24/3期比） ◼ 今後は紙のニーズもデジタル化の流れにより大きく変化する。しかし、
紙の文化は、人類の文字の歴史にも通じる長く深い関わりがある。
• 29/3期までの売上高増加額 ：32億円（CAGR4.7％）
DXの流れに抗うのではなく、取り込んで事業成長を果たし、紙の歴
史を繋いでいきたい
【単体】（24/3期比）
• 2030年までの売上高増加額 ：28億円（CAGR4.1％） ◼ 紙業界で生きる従業員のためにも、自社のビジネスモデルも臨機黄
変に変化させて成長していく</t>
  </si>
  <si>
    <t>.補助事業の概要 中央紙通商株式会社
2
物流センターの新設により、取扱量の増加や顧客にとっての利便性向上、生産性の改善を図る。
単なる自社用の物流センターではなく、業界全体の課題解決にも資する大規模投資。
◼ 現状の当社の物流拠点では、狭隘および立地の問題で成長分野である産業用紙・板紙の流通量増
に対応できていない。製紙メーカーや販売先が求める中継拠点としての能力も不十分であり、受注の機
補助事業の 事業費 2 億円
1
会損失が生じている。
背景・目的 （補助額） （ 億円）
◼ 本事業は、物流センターの統合・新設による取扱キャパシティの増加、生産性の向上による収益力の強 2.0
化を目的とする。
◼ 設備投資の内容
✓ 既存の2拠点を集約した、新物流センターの建設投資
◼ 設備投資による課題の解消について
【売上・利益の増加】
✓ 本事業により物流センターの在庫許容量は1.5倍、処理能力は既存比最大2倍となり、製紙メー
カーおよび取引先のニーズに応える形での拡販を実施する。
✓ 中部地方における大規模中継拠点を設けることで商圏の拡大が可能となるため、新規顧客の開
設備投資の 拓も推進。
内容 ✓ また、AIシステムの導入により生産性が改善。人手不足の中でも効率的な運営を行うことが可能
となり、売上と利益の伸長を両立する。
【省力化・生産効率向上】
✓ 倉庫管理システム、AIカメラ等の最新設備の導入により、処理量に対する人的工数削減。
✓ 在庫量と倉庫稼働の最適化システムも導入し、スペースを有効活用するとともに在庫ロスを削減。
【雇用の促進・業界への貢献】
✓ 本事業により、人的工数を抑えつつも処理能力を増強することが可能となる。これにより、従業員
の賃上げを行う。また、作業員の負荷も軽減されるので、離職率低下・雇用促進が期待される。
✓ 中部地方の中継物流拠点として、物流2024年問題の解決にも貢献。
中央紙通商㈱ 中央ペーパーロジ㈱
項目 2025年度（基準年度） 2028年度（基準年度+3年後） 2025年度（基準年度） 2028年度（基準年度+3年後）
労働生産性 1,074万円/人
(年
2
平
,5
均
92
＋
万
3
円
4.
/
2
人
％)
527万円/人
(年
1
平
,0
均
77
＋
万
2
円
6.
/
9
人
％)
目標値 従業員1人あたり 539万円/人 644万円/人 490万円/人 585万円/人
給与支給総額 (年平均＋6.1％) (年平均＋6.1％)
役員1人あたり 1,972万円/人 150万円/人
1,650万円/人 100万円/人
給与支給総額 (年平均＋6.1％) (年平均＋14.5％)
補助事業に係る
35人 36人 31人 34人
従業員数</t>
  </si>
  <si>
    <t>株式会社Ｐｌａｎ・Ｄｏ・Ｓｅｅ琉球
1.長期成長ビジョン
Plan･Do･See琉球は、産業の裾野が広く、生産波及効果や雇用誘発効果が高い観光事業を展開し、県民・観光客・観光
事業者が自然・歴史・文化を尊重し、それぞれの満足度を高め、観光産業の成長と維持を目指し、沖縄を最適に活性化する。
長期成長ビジョン（目指す姿・ビジネスモデル） 外発的動機
【観光産業の動向】
Plan･Do･See琉球は沖縄の素晴らしい文化・風土・歴史をホテルや観光 ・沖縄は歴史的にアジアの流通の中心地であり、世界中からの来琉が多く、国際色豊な
を通して、日本・世界の人々に感動の体験を提供し、沖縄のホテル・観光を 国であり、世界の客人をもてなす文化や風土がある
牽引し、沖縄の経済を盛り上げて行きます ・沖縄県は、旅行消費単価は全国１位、旅行消費額全国５位(全国平均の３倍以上)
と高い水準(2022観光庁)、述べ宿泊者数は全国４位(2023観光庁)
2023年6月に那覇市内に Southwest Grand Hotelを開業し、那覇市 ・沖縄県は観光地としてのみならず、若いカップルの間では｢リゾート婚｣の聖地としても知られ、
内には希少な45㎡以上のラグジュアリーな客室、最上階プール、４つのレス ハワイに次ぐ第２位と評され国内外の需要が高い
トランを併設したホテルを作りました。富裕層やリゾートを那覇で楽しみたい 【社会課題】
ニーズに応えています ・観光産業が活発な沖縄県でありながら、県民1人当たり所得は全国で最下位
(2020内閣府)、人手不足であり、稼いだ収益が地元に還元されない
2025年冬に那覇市の泊ふ頭で開業予定しています。沖縄在住の個人や
・当該事業は泊港にあり、慶良間諸島の玄関口となっているが、当該エリアが衰退し、
法人からコロナにより前ホテルが撤退しての復活を望む声に応えたい、慶良 慶良間諸島含む離島の持続的発展が課題なっている
間諸島の離島を含めた、沖縄を盛り上げたい、伸びしろが大きいことへを期 ・沖縄の入域観光客数が増加しているが、観光収入は伸び悩んでいる
待しています 【顧客ニーズ】
・当該事業の那覇エリアのホテルは富裕層が求める水準のホテルが少なく、幅広い観光客の
目指す姿として、 受け皿となっていない
Plan･Do･See琉球は那覇を中心に、観光やMICE需要に対応し、那覇
を始めとする沖縄県内に未だ無い役割のホテルや施設運営を行うことで、
内発的動機
「利用したいホテル」となり、また「働いてみたい施設」を目指します
長期的には、 【観光産業をけん引する使命感】
・代表者の星野尾憲司は、経営学者かつ日本初の｢観光学部｣(立教大学)設立に
離島の観光事業へ進出し、離島の持続的発展（雇用創出、経済貢献
尽力した野田一夫を父にもつPlan･Do･See創業者の野田豊加の影響を受け、
等）に貢献できるビジネスモデルを構築します
地方創生の観点から国内外の観光サービスを進めてきた
Plan･Do･See琉球はPlan･Do･Seeの一員として、世界中から観光客が
・ Plan･Do･Seeは、長く地域に愛される為地域に馴染む独自のスタイルを展開し同じ物は
集まる沖縄にて当グループが掲げるビジョンである「日本のおもてなしを世界
ありません。沖縄らしい文化・風土・歴史をホテルや観光を通して、日本・世界の人々に
中の人々へ」というミッションを具現化します
感動体験を提供する必要があると考えています
【経営者の原体験と動機】
売上成長目標 ・沖縄の観光産業は、外資系や本土の企業が進出し、このことに違和感を覚え、
【Plan･Do･See琉球】 沖縄の経済を盛り上げるため、Plan･Do･See琉球を設立した
・2029年3月期迄に、売上高成長率127％、売上高増加額29億円 ・既に事業を展開している中で、富裕層やリゾートを那覇で楽しみたいニーズ、
【 Plan･Do･See 】 当該事業が位置する泊港エリアの衰退等を懸念している
・2029年3月期迄に、売上高成長率104％、売上高増加額40億円 ・泊港は慶良間諸島の玄関口であり、離島の持続的成長にも重要な役割を担うことから、
那覇と慶良間諸島を結び、観光まちづくりを進めていきたいと考えている</t>
  </si>
  <si>
    <t>株式会社Ｐｌａｎ・Ｄｏ・Ｓｅｅ琉球
1.長期成長ビジョン
持続可能な発展を目指し、長期的には沖縄の地方・離島も含めた地方創生のモデル構築が実現できるよう
地域に根差した事業展開を行う。
2027-2030年
地方創生まで見越した長期成長ビジョン
STEP：4 飛躍
2023-2026年
展開加速・より地域に根付く創造企業へ
STEP：３ 挑戦
地方再生のモデルプランとなるまちづくりを
2022年
STEP：2 拡大 那覇市に新業態のホテルを展開
Plan・Do・See琉球設立 地域の魅力を再発見する企業に
1993年
働く環境・制度
STEP：1 出発
沖縄の観光ポテンシャルを高め ・前STEPまでのシステム改革投資の効果から
Plan・Do・See設立
持続可能な観光産業を展開 労働生産性向上による継続的な賃上げ
・沖縄本島と離島を含め、柔軟な働き方が
働く環境・制度
国内外で唯一無二の
可能な仕組み作り
・業界全体の人出不足を解消しつつ
持続可能な事業展開
現地労働者の雇用を拡大するため
働く環境・制度
DX化の積極的推進
・沖縄の価値を沖縄の人で創る為 事業展開
ビジョン・行動方針 現地労働者の積極的採用実施 ・沖縄本土でリゾートホテル開業予定
・日本のおもてなしを世界中の ・多様な働き方制度の設立 ・石垣島でリゾートホテル開業予定
事業展開
人々へ
・Southwest Grand
・徹底的な顧客目線
Hotel 開業
事業展開方針
・(仮称)泊ふ頭ホテル
沖縄にまだない事業領域を展開
事業展開方針 開業予定
事業展開方針
国内地方 宿泊
リゾート
未開発 都市に重点を ホテル 特化型 沖縄観光業の高級化リードと持続可能な観
領域 おけない ホテル 事業展開方針 光業の発展を続けるために、離島においての
国内外の 事業 沖縄県の観光方針に基づき、那覇市 観光ホテル事業整備を展開
シティ
大規模都市を 領域 ホテル 旅館 内の滞在日数増加や、観光客増加に 長期的に地方創生のビジネスモデルを
世界各地 メインに展開 未開発
伴う慶良間諸島玄関口の整備、MICE 構築していく
に重点を 領域
おけない 未開発分野を開拓することで 等ビジネスの拠点となる施設展開
Plan・Do・See全体の事業拡大に貢献</t>
  </si>
  <si>
    <t>株式会社Ｐｌａｎ・Ｄｏ・Ｓｅｅ琉球
2.補助事業の概要
既存物件の再活用により投資額を抑えながら、MICEを扱う大型ホテルを新規出店することで大量調理等による効率化、
高収益化をかなえつつ、他社が扱わないノウハウ、それを持った人材を沖縄県で育てることにより人手不足で供給不足に
なっている沖縄高級ホテルのマネジメント事業に展開していく。
• ホテル業界は専業化、効率化でコモディティ化して収益性を下げている。それが低待遇につながり人材育成を
補助事業の 阻んで、深刻な人材不足に陥っている 事業費 39億円
背景・目的 • MICEができる大型運営で効率化と人材育成を同時にできる。それによって事業の次への成長を可能にする （補助額） （4.2億円）
※MICEとは国土交通省が誘致を推進している、会議や見本市など経済波及効果の大きい集客交流が見込まれるビジネスイベントなどの総称
• 築30年以上、営業終了後3年以上経過しているホテル跡地（那覇市の泊ふ頭に
隣接する地下1階地上15階建てのビル）をリノベーション、MICEを開催できるフル
サービス型のホテルに再生する
• すでにある建築物を活かして再利用するため、相対的には昨今の高建築費において
の全体投資額は抑えられる
• リノベーションによって実績をあげてきたPlan・Do・Seeの知見を最大に活かせる
設備投資の
主なリノベーションの内容は下記の通り。個別の経費については次頁参照
内容
＊ 内装工事(建物費)：客室(218室計画)、宴会場6会場(最大1,200名収容)
レストラン(ビュッフェスタイル・１箇所)、大浴場等
＊ 労働生産性を高めるための器具及び備品の購入(機械装置費)
＊ 高付加価値、省人力化を行うためのシステム構築や設備機器投資
（ソフトウェア費）
2026年3月期 2029年3月期
2026年3月期幹事企業 2029年3月期幹事企業 2026年3月期参加企業 2029年3月期参加企業
項目 事業全体 事業全体
Plan・Do・See琉球 Plan・Do・See琉球 Plan・Do・See Plan・Do・See
（基準年度） （基準年度＋３年後）
労働生産性 1440万円 1464万円 1266万円
123万円 75万円 550万円
（単位：万円/人） 年平均 127％UP 年平均 170％UP 年平均 32％UP
従業員1人あたり
436万円 402万円 679万円
目標値 給与支給総額 352万円 335万円 500万円
年平均 7.4％UP 年平均 6.3％UP 年平均 11％ UP
（単位：万円/人）
役員１人あたり
1200万円 1200万円
給与支給総額 360万 360万円 ー ー
年平均 49%UP 年平均 49%UP
（単位：万円/人）
補助事業に係る
130名 114名 16名
従業員数 78名 70名 8名
年平均 19%UP 年平均 18%UP 年平均 26％UP
（単位：人）</t>
  </si>
  <si>
    <t>株式会社Ｐｌａｎ・Ｄｏ・Ｓｅｅ琉球
2.補助事業の概要
沖縄ホテル事業の付加価値を総合的に上げるため、延床面積約5,400坪のフルサービス型ホテルの再建を
はじめ直面している課題に対して、効果的な投資を行い経営効率を最大化する。
補助対象経費の内訳
区分 内訳 経費の概算 意図
（総額）
建物費 共通仮設工事 1.2億円 延床面積約5,400坪の旧ホテ
（36.9億円） 建築工事 17.0億円 ルを再建するため、必要なポイン
電気設備工事 5.9億円 トを絞り建築工事・設備工事を
機械設備工事 10.1億円 行うことで、「ライフスタイルホテ
設計管理費 1.5億円 ル」にリノベーションする
その他付帯工事 1.2億円
機械設置費 厨房機器 2.2億円 Plan･Do･Seeが過去30年で
（13.1億円） ホテル家具 4.5億円 培ったノウハウを基に、「効率性」
特注照明 1.5億円 「デザイン性」を兼ね備えた機器
館内装飾物 1.2億円 やアイテムを選定し、経営効率
ホテル・レストラン・宴会場備品 2.6億円 を最大化する
ホテル業務運営用システム備品 0.6億円
その他 0.5億円
ソフトウェア費 WEBサイト構築 1,904万円 効果的なPRとゲストの利便性
（2,634万円） ホテル業務運営用システム 420万円 を重視する観点でシステム構築
その他 310万円 を行う
外注費 グラフィックデザイン 1,215万円 特殊専門分野に関しては、社
（2,085万円） IT構築委託 720万円 外リソースで課題解決を行う
サウナデザイン委託 150万円
合計 50.5億円
（補助金額16.8億円）</t>
  </si>
  <si>
    <t>株式会社Ｐｌａｎ・Ｄｏ・Ｓｅｅ琉球
2.補助事業の概要
Plan・Do・See琉球には財務/人材育成の内部課題解決、加えてニーズ拡大への対応が急務。
Plan・Do・Seeとコンソーシアムを組み、泊ふ頭ホテルの開発をすることで双方の問題を解決。
Plan･Do･See琉球とPlan･Do･Seeは補助事業において両者が必要不可欠な役割を担う為、コンソーシアム形式で申請いたします
Plan・Do・See琉球 Plan・Do・See
コンソーシアムにおける役割 コンソーシアムにおける役割
沖縄のホテル運営会社として、現地の従業員雇用を行い、 Plan･Do･See琉球に足りていない部分を補完する
ホテル運営を行う 投資/ホテル開発におけるノウハウ提供/メンバー出向、等
Plan･Do･See琉球で補助事業の投資を行う
【シナジー効果】
・Plan･Do･Seeのビジョン具現を加速させる
・新しい土地での事業参考となる
コンソーシアム
課題①
により課題解決 課題①解決案
設立から間もないため以下項目の成長が課題
本事業はPlan･Do･Seeとコンソーシアムを組むことで
・財務
財務や人材育成の課題を解決
・運営ノウハウ
・Plan･Do･Seeが保証
・人材育成
・Plan･Do･See従業員の派遣/出向
課題②
泊ふ頭ホテル開発
今後さらに拡大する以下ニーズに対して
SWGHの施設のみでは受入不可能
課題②解決案
・宿泊団体予約（グループ利用）
・バンケットセースル
・MICE/宴会の受入
泊ふ頭ホテル開発に ・ホテル間での送客活動
・交通手段・アクティビティとの連携
より課題解決 （レストラン・バンケット・客室の相互相関）
・交通手段のセットプラン
課題③
その他
課題③解決案
・現地採用従業員のキャリアフロー拡大
・仕入れコストの圧縮 ・新しいポジション/役割の創出
・スケールメリット</t>
  </si>
  <si>
    <t>株式会社Ｐｌａｎ・Ｄｏ・Ｓｅｅ琉球
2.補助事業の概要
慶良間諸島への玄関口である泊ふ頭ターミナルは那覇空港の滑走路増設を機にさらに利用者の
増加が見込める。既存施設とも近距離にあり、連携した開発・運営が可能。
泊ふ頭ターミナル含む地域概要
(仮称)
泊ふ頭ホテル
■ 沖縄本島から慶良間（けらま）諸島をはじめとする離島へのフェリーや高速船の発着ターミナル
■ 那覇空港から近く国道58号線沿いに位置し、観光客に加え、離島に暮らす島民にとっても重要
SouthWest
な交通施設 GrandHotel
■ ターミナル施設の大部分を占めるホテルは2021年10月末で閉館、以降活用が無く、価値低迷
■ 花空港から車・ゆいレールの両方で短時間でアクセスでき、有名観光地も徒歩圏内で楽しむこと
ができる
■ 既存施設SouthWestGrandHotelと泊ふ頭ホテルは近距離に位置している
那覇
空港
補助事業周辺地域図
AS‐IS TO‐BE
改善が見込める点 実践する点
1. 泊ふ頭ターミナル施設全体が 1. 老朽化を改善しながら既存建物を改修する
1995年竣工のため、老朽化
2. 周辺ホテルとの差別化を図り改修する残すべき
2. 周辺は宿泊特化型ホテルはあるが 用途を保つことで既存客も親しみが持ちやすい
ホテルの多様性が少ない地域
3. 客室以外に宴会,多目的室・婚礼会場・
3. ターミナルにはビジネスマンの利用も レストラン等設け利用客層の増加
想定されるが、大規模な会議を行う
場やリモートワークできる場所がない 4. 「泊ふ頭ホテル」が営業再開することで年間約
45.3万人施設訪問者が創出され、「SWGH」
含め観光流入が期待できる
（MICE12.4万人 / レストラン 16.4万人 /
宿泊16.5万人）</t>
  </si>
  <si>
    <t>株式会社Ｐｌａｎ・Ｄｏ・Ｓｅｅ琉球
2.補助事業の概要
既存建物の資源を最大限に利用し、新たな付加価値を見出す。
1つの空間に対して、1つ以上の役割を持たせる設計をすることで、地域・社会・地球環境への貢献を行う。
建築予定エリアとその役割
泊ふ頭ホテル 泊ふ頭ホテル 泊ふ頭ホテル
バンケット レストラン 浴場
婚礼の宴会場や、企業の集会など幅広い用途 景観がよい海側に面した眺めの良いエリアに 浴場文化が少ない沖縄において、沖縄の観光
で利用が可能 レストランを設ける 文化の新たな1面を創出する
Southwest Grand
【地域への貢献】 【地域への貢献】
Hotelバンケット新設
・県内最大級のバンケットは、音響・映像演出 ・旧ホテル時代から地元ゲストに親しまれてきた
機材への設備投資をおこなうことで、利用者の 交流の場を、内装デザインは一新させ、役割
総合的なニーズを満たす としては継承する
・厨房機器を一新し、多様なスタイルでイベント （沖縄の文化「模合」に貢献）
を開催できる体制を整える ・離島と本島の往復の拠点となる当施設にて
・内装仕上げ材料には沖縄地域の伝統工芸 多様なニーズに合わせて使用できるレストラン・
品を使用予定、地域の伝統工芸継承を促す カフェとして営業する
【地球環境への貢献】 【社会への貢献】
・積極的にリサイクル材やアップサイクル材を採用 ・離島住民にとって、一番近いフルサービス 大型運営で効率化と人材育成を加速させるた
することで、地球環境に負荷のかからない ホテルとして存在し続ける めにSWGHの非効率エリアを使用してバンケット
設計・施工・運営を目指す ・高波や台風、その他自然災害等有事の際に、 運営をおこない、泊ふ頭ホテルとの相互送客を
開放できる空間として設計 実現させる</t>
  </si>
  <si>
    <t>さいほく鉄工株式会社
1.長期成長ビジョン
さいほく鉄工株式会社は、建築資材製造における技術革新と市場拡大を通じて持続可能な事業運営を実現し、
国内での競争力を強化、2023年6月期から10年間で売上高3.5倍を目指します。
長期成長ビジョン（目指す姿・ビジネスモデル） 外発的動機
• 当社の事業は鉄骨製造業界に属します。当該市場の指標となる国
• さいほく鉄工株式会社は、山形県新庄市にあり鉄骨加工・製造業を営ん
内鉄骨需要量は、2023年は前年比９・4％減の391万450ｔとな
でいます。主に民間の工場や公共施設の建築資材用鉄骨の製造加工・
るなど、大規模建築物における鉄骨需要が全体の需要量を押し下げ
販売を行っている会社です。2024年度6月期で61期を迎えました。
る要因となる一方、法規制に伴う耐震強化やコロナ禍以降の景気の
回復によって建設業界の需要は今後増加の見通しであり、また世界の
• 当社は「地域の建設産業を支える」「地域貢献」「人材の育成」を理念とし、
鉄骨需要は2030年まで年4.5％の成長を続けると予測されています。
工場・機械設備の新設を通して生産効率を向上させ、外部環境の変化
に対応し得る強固な企業体制を築きます。これにより、地域経済を活性
• 一方、業界全体では、円安やウクライナ情勢による原材料の高騰、法
化し、持続可能な事業経営を実現します。
規制の影響で人件費の上昇やコスト増加により競争が激化しています。
地域産業を支える その中で、当社は顧客の信頼に応える短納期、高品質、適正価格を
実現し、2024年度6月期の着地予想は前年度対比138％の売上
地域の建
増を達成しています。
設産業を
地域貢献 支える 人材育成
内発的動機
• 当社は今期で創業から61年を迎えます。コロナ禍の厳しい状況を乗り
持続可能 第一線で 越え、地元企業との信頼関係を基盤に、3期連続で売上および受注
な経営を実 活躍できる 数は前年を上回っています。しかし、現状の工場稼働力では対応しき
現し地域に 技術者を れないほどの注文を頂いており、顧客ニーズに応えるためには工場の拡
貢献する 育てる 張および機械設備の導入が不可欠です。
• 新工場の建設により、外注製品の内製化が可能となり、利益率と品
売上成長目標
質が向上します。また、最新設備の導入と、新しい工法の採用により、
• 2033年までに会社全体の売上高成長率 生産性が15％～20％向上し、2～4年で50％の改善を目指します。
単体350.38％/ 連結349.69％ さらに、工場新設によってレイアウトが最適化され、移動効率の向上が
• 2033年までに会社全体の売上高増加額 見込まれます。結果として手待ち時間が減少し、稼働率が上がります。
単体56.9億円/連結58.4億円 これにより、労働環境が改善され、人材育成にも寄与します。
出典:Lucintel「鉄骨加工の動向と予測」（2024年）
国土交通省「建築着工統計」（2024年）</t>
  </si>
  <si>
    <t>.補助事業の概要 さいほく鉄工株式会社
2
生産能力が上がることによる受注規模の拡大、効率化による利益率と製品品質の向上の為、新工場の建設と最新設備
導入を計画します。これにより労働生産性25.4％、従業員1人当りの給与支給額5.6％の上昇を目指します。
• 生産設備の近代化を通じて生産能力、生産効率の向上とコスト削減を実現し、新工場の性能評価
補助事業の 事業費
のグレードをMからHへ上げ、自社での受注範囲を拡大すると共に、利益率と品質向上を実現し、競 2 5 億円
背景・目的 （補助額）
争力強化を図る。併せて新たな機械・工法を導入し、コスト面とCO２排出量の削減を目指す。 （ 3.0 億円）
• 事業費 ①工場建屋：2,364百万円（税抜）
②機械設備： 122百万円（税抜） 新工場レイアウト図
概要 ①工場建屋 所在地:山形県新庄市十日町(現工場隣接地)
分譲面積： 6,562.1㎡ (土地 13,148.16㎡ )
②機械設備： アマダＨ型鋼複合加工機 1台
2階
• 事業内容
これまで外注していたＨグレードを含む製品を、工場の新設により内製化、製造能
力を高めて受注規模を拡大する。また新しい機械を導入し新たな工法（ハイスキップ
設備投資の 1階
構法・狭開先溶接法）を取り入れることで溶接量の大幅な削減が可能となり、生産
内容
効率の向上とCO2排出削減を実現する。更に、現在の従業員数41名を51名に増
員し、新規雇用を創出、併せて自社の事業の成長により地域経済への貢献を図る。
• 事業の成果
コスト面の訴求効果：新たな機械の導入と加工技術により、15～20％の効率化を
実現する。工場新設後～4年間で全体の50％の削減を目指す。
納期と出荷量の訴求効果：工場の生産能力向上により、製造できる資材の量が月
産250ｔから800ｔと3倍以上となり、結果、製造力向上と納期の大幅な短縮が可
能となる。
基準年度：2026年6月期（2025年度） 最終年度：2029年度6月期（2028年度）
項目 幹事企業 コンソーシアム参加者 幹事企業 コンソーシアム参加者
（さいほく鉄工㈱） （小松物産交易㈱） （さいほく鉄工㈱） （小松物産交易㈱）
（単 労 位 働 ： 生 万 産 円 性 /人） 2338 1974 （年平均上 3 昇 09 率 3 +9.8％） （年平均上 2 昇 47 率 5 +7.8％）
目標値
従業員・役
（
員
単位
1
：
人
万
あた
円
り
/
給
人
与
）
支給総額 従業
役
員
員
1
1
人
人
あ
あ
た
た
り
り
6
-
40 従業
役
員
員
1
1
人
人
あ
あ
た
た
り
り
2
-
47
（年
従
平
業 役
均
員 員
上
1 1 人 人
昇
あ あ
率
た た
＋
り り
5 .
7 -
3
4
％
7
） （年
従
平
業 役
均
員 員
上
1 1 人 人
昇
あ あ
率
た た
＋
り り
5.
2 -
0
8
％
6
）
補助事業に係る従業員数・役員数
従業員数 32 ・ 役員数 3 従業員数 6 ・ 役員数 1 従業員数 45 ・ 役員数 3 従業員数 6 ・ 役員数 1
（単位：人）</t>
  </si>
  <si>
    <t>株式会社XEN GROUP
1.長期成長ビジョン
特許を取得した世界初の「冷蔵」でも「冷凍」でもない「熱交換保存」で、グローバルでの”フードロス問題”から”労
働生産性”の社会課題解決を目指し、会社全体で22年度→29年度で308％の売上成長を目標とする
外発的動機
長期成長ビジョン（目指す姿・ビジネスモデル）
• 食糧危機は喫緊の課題であり、食品ロスは世界で25億トン
XEN GROUPが開発した「常識を変える食品保存技術」は、フード
（WFF2021年）、日本で523万トン(令和3年度農林水産省
ロス・エネルギーロスの削減、人手不足にも貢献し、グローバル規模
推計値）とのデータがある。今後より一層、CO２削減と同様に削
でフードサプライチェーンの多くの課題解決を行う。 また、本事業を
減が求められる
通じて、自社製品製造の労働生産性の大幅改善が可能となる自 • 国内特殊冷凍技術市場規模は、直近約3兆円※であり、今後の
動化工場を設立し、量産体制を確立、海外への販路拡大にも繋げ
成長が見込まれる。市場に流通している保存技術は真に保存する
ていく
ことはできず、食品自体の劣化を完全に止めることが出来ないだ
【提供価値】
けでなく、大量のエネルギーを使用することが課題として認識される
• 一次生産者にて発生するフードロス（廃棄ロス/品質ロス/大量 • 廃棄ロス/品質ロス/売上機会損失減/労働生産性向上のモデルを
に収穫できた際の売上や売上機会損失減）の解消
作ることにある。その為にはサプライチェーンそれぞれに対応できる機
• 食品保存にかかるエネルギー消費の大幅削減
械・システムの開発と実用化が必要
• 品質劣化・職人の有無に捉われることなく、計画生産、計画出荷 • 食料自給率の低い日本で、漁業、農業従事者が様々な理由で
が可能（労働環境の改善）
廃棄している食品を収益化すると同時に自給率の向上を図りたい
• 食品保存に使用する保存料などの化学的なものの排除により、
人々の健康寿命の向上に寄与 内発的動機
• 食材の品質、鮮度を落とさずに長期保存ができるため、有事の際 • 食品事業部発足後初の大型受注でつくり上げた豆腐成型機がお
の食料確保及び食料廃棄を削減し、食料自給率の向上に寄与 客さんの都合で納品できなくなった。「それならこれで豆腐をつくって
• 食品輸送時の品質劣化軽減、輸送コスト削減 売ろう」。2016年に豆腐製造工場を立ち上げ、一日に10万丁の
• 日本産農林水産物・食品の輸出機会を増幅させ、外貨獲得増 豆腐をつくるまでに成長したが、おからの廃棄問題に直面。当社は
SDGsの考えを経営の軸に据えていることもあり、解決策を模索した
売上成長目標 • さらに産業廃棄物で腐敗の早いおからを乾燥させる機械まで開発し
会社全体
たが、アップサイクルを提唱しても、顧客は「捨てた方が楽だ」というこ
• 2022年度→2029年度まで売上高成長率308％
とを目の当たりにして、違う角度で廃棄食材の減量化を模索。フー
• 2022年度→2029年度までの売上高増加額82億円
ドロスを大幅に削減する為には、もっと上流でフードロスの原因の
補助事業
ひとつである劣化を防ぐことが出来れば、と考え食品の品質保持
• 2022年度→2029年度まで売上高成長率3600％
技術の開発に着手した
• 2022年度→2029年度までの売上高増加額64億円
※業務用冷蔵冷凍設備市場︓Global Industry Analysts, Commercial Refrigeration Equipment</t>
  </si>
  <si>
    <t>株式会社XEN GROUP
2.補助事業の概要
WSSのターゲットをチェーン展開している飲食店とし、製品の量産化を目的とした大型自動化工場および製品普
及に必須となるLABを建設。加えて、労働条件の改善や継続的な賃上げを目的とした投資計画である
• いち早くグローバル社会の課題解決、フードサプライチェーンの課題解決を実現する為には、
自動化による装置の生産量拡大を行う工場を必要とする
補助事業の 事業費 約29億円
• 付加価値創出事業を拡大することで企業成長を加速させ、労働環境の改善、持続的な賃
背景・目的 （補助額） （約9.5億円）
上げを目指す
• 新工場建設により雇用創出、サプライチェーン拡大、地域活性化、技術普及活動が発展
• 量産体制構築の為、先進的な金属加工メーカーであるイタリアBLM社
等の人協業ロボットを導入し、自動で溶接・搬送等を行う新型自動化
工場の建設 ➡最大50台/月の製造見込み
• WSSの持つ高付加価値の体験、フードサプライチェーン全事業者が抱
える課題抽出、ソリューション提案、共同研究等を行うLAB棟の建設
➡顧客データを集積し機器の改善やコンサルティングサービスに活
設備投資の
用
内容
• 自社消費を目的にした太陽光発電ソーラーパネル・蓄電池（発電量
計750 kW）の導入。電力消費の少ない輻射熱を利用した冷房機
器の導入により、労働条件を改善 ➡工場の照明用電力等を賄う発
電量であり、全体の15％のエネルギーコストカット
• 浄化生成した水の利用による節水、雨水の潜熱エネルギーを利用した
CO₂削減を目的とした無動力雨水純水処理システムの設置
2026年度 2029年度
項目
（基準年度） （基準年度＋３年後）
労働生産性 5,456
1,407
（単位：万円/人） （年平均上昇率＋57％）
従業員1人あたり給与支給総額 482
目標値 428
（単位：万円/人） （年平均上昇率＋4％）
役員１人あたり給与支給総額 ー
ー
（単位：万円/人） （年平均上昇率＋4％）
補助事業に係る従業員数
23 32
（単位：人）</t>
  </si>
  <si>
    <t>1.長期成長ビジョン
株式会社アイ・テック
“どこにでもあるものを、未来にも”
鉄の専門商社として、どこにでもある「鉄」を、末永く、お客様のニーズに合った形でお届けします
長期成長ビジョン（目指す姿・ビジネスモデル）
外発的動機
１．加工力の強化 ・建築における鉄の需要は、バブル期は1200万トンであったが、
お客様の様々な鋼材要求に対応し、需要地域の近隣に生産拠点を 現在は400万トン弱まで縮小している。今後も需要は減少し、鉄
設け迅速に加工を行い、より早く製品を供給する。国内の鋼材需要 工所数も半減する見込みである。ことうした市場動向を反映し、
が縮小する中で、落ち込んだ需要を掘り起こす。 近年、大手商社がM＆Aにより地場の問屋を買収する動きが加
２．在庫力の強化 速しており、全国規模で小回りの利く鉄鋼専門商社が減少しつつ
当社の在庫力をさらに強化する。取扱品種の多様性を進め、様々な ある。
お客様のニーズを見極めながら、安定して鋼材を供給することで市場 ・北東北エリアでは半導体、自動車関連産業の工場進出が相次
における当社の存在感を高めていく。 いでいる。同地区の最終ユーザーは多くが鋼材等を関東方面から
３．運送力の強化 調達しており、当社に対して同エリアへの進出要請がある。
清水工場、東京工場、北陸工場、相馬DMCの4か所に岸壁拠点を また近年、インドやアジア諸国では鉄を大幅に増産している。この
持つ強みを活かし、内陸工場へつなぐ機能的な輸送網を、モーダルシ ため当社としては、今後、需要が拡大する海外に向けた事業展
フトの活用等により強化する。各エリアには運送部隊の拠点を置き、 開を検討する。
効率的で迅速な運送を実現する。
４．新規市場の開拓 内発的動機
現在の事業に加えて、新たな成長領域へ挑戦する。国内の東北、北
・2024年3月期は、建設関連を中心に内需が冷え込んだことか
海道地域、海外ではインド、インドネシアやベトナム等、産油国などを
ら鋼材価格を下げざるを得なかったが、原材料は高騰のまま推移
将来の有望市場と捉え、新規市場を開拓するため積極展開を図る。
したため利益幅は大幅縮小。これにより当社の売上高はコロナ禍
５．地域社会との連携強化
以来4期ぶりに減収予想。損益面では、値幅の縮小に加えエネ
地域社会との協力や地域貢献活動のさらなる展開、地元スポーツクラ
ルギー経費は低下せず、求人を確保するため人件費や求人広告
ブの支援、各種イベントへの協賛などを通じて、当社のブランド価値向
費を維持する必要があること等から経費率は上昇しており、同じく
上を図る。
営業減益を見込む。
・従業員の高齢化が進み、熟練技術の継承が難しくなりつつある。
売上成長目標
このため当社では、熟練工がいなくても誰もが作業できるよう、熟
• 2023年3月期～2028年３月期の5年間における
練の技術を取り込んだ無人稼働設備を導入する必要性が高まっ
会社全体の売上高成長率:32.1％
ている。
• 2023～2028年３月期の5年間における会社全体の
・人手不足が鮮明で、近年は採用のための諸経費が嵩んでいる。
売上高増加額:349億円</t>
  </si>
  <si>
    <t>.補助事業の概要 株式会社アイ・テック
2
東北ブロック第2番目の加工専門施設として北東北エリア(岩手県北上市)に新形態DMCを新設
新規機械装置及びシステム(補助対象)導入で生産性を高め、高水準な賃上げを目指す
総事業費:74億円
工場進出の要請が高い東北ブロックでは当社の生産拠点は相馬DMCのみであり、関東・北陸
補助事業の 事業費
(補助額 : 5.6億円）
方面の工場から補完対応せざるをえない。東北ブロックでは鋼材需要の拡大が見込めるため、
背景・目的 （補助額）
需要地の近隣に立地し、希望する製品を加工・即納できる生産拠点の必要性が高まっている。
名称:北上DMC 住所:岩手県北上市和賀町後藤2地割114番40ほか 後藤野工業団地内 敷地面積:92,796.59㎡
レジリエンス対応 地震、大雪を想定し工場内に避難経路を設定。帰宅困難者の発生を考慮し食糧備蓄と宿泊施設を事務所内に完備。
近々、風力発電設備と蓄電池を装備し、携帯電話の重電や停電時の非常用電源として整備する予定。
1.建物費 5,733,000千円(補助対象外) 東北ブロックで先行稼働している
・工場棟: 鉄骨造 平屋建 34,816.57㎡ 相馬DMCの無人化設備の様子
・事務所棟:鉄骨造、2階建 663.51㎡ (2024年8月竣工)
2.機械装置費 1,686,100千円(補助対象)
・H鋼自動化ライン ・コラム鋼自動切断機
設備投資の
・H鋼銅ショットブラスト ・コラム鋼開先加工機
内容 ・H鋼開先加工機 ・3次元ファイバーレーザー加工機
・H鋼ドリルバンドソー自動ライン ・ハイブリッドドライブベンダー
・ブースタコンプレッサユニット ・束ね専用切断機
・鋼材送材用バックアップローラー ・DCM用集塵機
・コンベアブラスト ・ドリル穴あけ&amp;丸鋸切断複合機
・全自動ユニットワーカー ・配管工事
・ドリルアタッチメント ・二次側配線工事
・サーバー導入 ・ネットワ－ク構築 ・・・詳細次頁参照
総事業費 7,419,100千円
2024年度 [2025年３月期] 2027年度 [2028年３月期]
項目
（基準年度） （基準年度＋３年後）
労働生産性
1,376万円/人 4,166万円/人 （年平均上昇+44.7％）
（単位：万円/人）
従業員1人あたり給与支給総額
目標値 661万円/人 832万円/人 (年平均上昇率＋8.0％）
（単位：万円/人）
役員１人あたり給与支給総額
3,407万円/人 4,292万円/人 （年平均上昇率＋8.0％）
（単位：万円/人）
補助事業に係る従業員数
2人 37人
（単位：人）</t>
  </si>
  <si>
    <t>1.長期成長ビジョン
エスティケイテクノロジー株式会社
最先端技術を追求し、パートナーと共に安心で快適な未来を創造する
• 当社の市場である「半導体」は、経済安全保障上の戦略物資として重要性を増し、社会的なニーズは高まる見通し。
• 持続的な成長を遂げるため、当社が提供する価値の「量」「質」両方の拡大と深掘りに取り組む。
長期成長ビジョン（目指す姿・ビジネスモデル） 外発的動機
• 主要取引先からの生産体制強化への協力の要望
当社の重要取引先は各社とも、当社に対して今後の増産に向けた
生産体制の強化を依頼。この依頼十分に応えるためには今以上の
量とクオリティーを提供する社内インフラが必要。
• 人材流出抑止のための分配の促進
地元である大分県の隣県・熊本県に台湾企業が進出。人材の流
出が懸念され、従業員の待遇の見直しが必要。自社の成長の持
続と、大分県内の人材の流出抑止を目的として賃上げを実施する。
• 半導体市場への期待
業界 今後、国内半導体市場の大きな成長が期待される。当社も乗り遅
トップランナー企業 れることなく、業界への貢献と持続的な成長を両立するため、大規
模投資を実行する。
業界のベストパートナーとして提供する財・サービスの
「量」と「質」を追求。
内発的動機
2029年3月期までの目標
• 業界トップカンパニーのベストパートナーとして
当社の主要取引先はいずれも業界のトップランナー。そこに名実
恥じないよう成長を持続していく必要性を感じている。
• 半導体バブルを一過性にせず、大分県経済に還流する
熊本に進出する企業を軸とした九州圏内における経済成長の
波及効果を、地元大分にも十分に還流させて、地元とともに成長・
発展を遂げていきたい。</t>
  </si>
  <si>
    <t>.補助事業の概要 エスティケイテクノロジー株式会社
2
・新工場の新設と先端設備の導入で、生産能力の底上げを実施する。
・省力化に資する設備を導入し、人材不足や好不況の変動といったリスク対策を実施する。
補助事業の • 当社の「精密加工部」における多くの取引先からの増産要請に対応するための生産設備の増強 事業費 2 1 億円
背景・目的 • 業界動向や主要取引先など外部環境に左右されやすい経営を省力化で克服する。 （補助額） （6.7億円）
• （設備投資の内容）
「生産設備の増強」
（建物）新工場の建設（2階建、延床面積6,090㎡） 15.9億円
（機械装置）板金・溶接加工用設備・システム 4.9億円
「外部環境に左右されやすい経営を省力化で克服」
ファイバーレーザー複合機、無人搬送ロボットなど省力化設備
設備4.9億円のうち4億円
設備投資の
内容
（設備投資が課題を解決し得ること、労働生産性向上につながる点）
• 現在、補助事業実施部門である精密加工部では、加工・段取り、在庫の保管などすべての工程でスペース不足となっている。会社
全体でも成長著しい事業分野であり、持続的な成長のためには同部門の生産活動スペースの拡張が不可欠となっている。
• 当社は申請時点で省力化設備の稼働領域を拡大させている途上にあるが、補助事業においても省人化領域を拡大する。
補助事業で省力化設備（上図）導入し、人の手が必要な高付加価値作業と、省力化設備による単純作業の選別を進め、
従業員の負担を減らしながら現場が生み出す付加価値を向上させていく。
• 省力化への取組により、人材不足でも現在以上の付加価値創出が可能となり、従業員の賃上げを実現する。万一、受注が落ち
込んだ場合にも、計画的休業など雇用調整の必要性が減り、従業員の賃金水準の維持、賃上げの継続が可能となる。
2025年度 2028年度
項目
（基準年度） （基準年度＋３年後）
労働生産性 1,224
887
目標値 （単位：万円/人） （年平均上昇率＋11.3％）
従業員1人あたり給与支給総額 454
394
（単位：万円/人） （年平均上昇率＋4.8％）
補助事業に係る従業員数
155 170
（単位：人）</t>
  </si>
  <si>
    <t>1.長期成長ビジョン
株式会社くまさんメディクス
半導体業界の展望とビジネスの長期成長ビジョン
外発的動機
長期成長ビジョン（目指す姿・ビジネスモデル）
• 半導体が社会生活にとって大変重要なものであるという認識がも • 世界的な半導体の需要に関して、シリコンサイクルはあるものの、長
はや一般常識としても広く浸透し、世界の国々とのパワーバランスを
期に渡り半導体製造装置の需要は高まっていく予測がなされている。
保ち、あるいは優位にしていくうえでも、日本国にとって半導体製造
半導体製造装置メーカー企業からも今後数年に渡り装置の生産
装置を世界に供給していくことは最重要な事業であり、その事業を
量を増やして欲しいという要求を受けており、弊社としてはこれに応じ
成長・発展させていくことが弊社の使命だと考える。
ていく考えである。
• ChatGPTなど生成AIを活用した技術が進歩しており、先端技術と
• テクノロジーの発展に伴い、半導体も高度・精密化が求められ、各 して世界的な注目を集めている。
種メーカー企業が日進月歩でその要求に応え続けている。弊社は
ファウンドリー企業ではあるが、それらメーカーの開発した半導体製
• 半導体市場において、半導体製造装置の技術力及びシェアで日
造装置をより多く製造し、世界中により早く供給することは、社会
本は世界に対しての優位性を持っており、この分野を伸ばしていくこ
全体を発展させるために必要不可欠なことであると考え、新規の工
とが弊社が日本のために出来ることだと考えている。
場を建設し、事業をより拡大させていく方針である。
内発的動機
売上成長目標（2030年に向けて）
直近2023年8月期の会社全体の売上高306億円 • 弊社が半導体製造装置の製造企業として創業してから既に35年
が経過しているが、ここ5年の企業としての売上高成長率は219％
増加額194億円 と著しい成長を遂げている。これは世界的な半導体の需要が高まっ
成長率64％ たことが原因ではあるが、弊社がその流れを見据えてここ5年で工場
を新規建設も含めて新たに10箇所稼働させたことが要因である。
需要を逃すことなく適切に投資してきたことが現在の成長に繋がって
いると考え、今回の新規事業に着手する。
2030年8月期会社全体の売上高目標
500億円 • お客様である半導体製造装置メーカーが、開発に力を注げるよう、
装置の安定生産（量産化）を弊社が担うことを使命と考える。</t>
  </si>
  <si>
    <t>.補助事業の概要
(cid:21)
株式会社くまさんメディクス
補助事業の目的と投資内容
半導体製造装置メーカーの製品である生成AI 向け装置は、半導体HBMを製作する過程で必
補助事業の 事業費 2 億円
要不可欠な装置で、今後の世界的需要増大に備え生産工場（クリーンルーム）と人材確保が (cid:26)
背景・目的 （補助額） （8. 億円）
急務となっていることから、適正設備を備えた工場建設が必要となる。 (cid:25)
熊本県菊池市旭志に約20,000㎡の土地を確保し、延べ床面積
12,650㎡、総2階建て工場の建築を計画。
生産エリアはクリーンルーム（クラス1,000）とし、大型コンプレッサー、チ
ラーを備えた生産人員数150名（協力企業員を含む）での生成AI向け
装置生産工場とする。
設設備備投投資資のの
写真等
内内容容
2026年8月期 2029年8月期
項目
（基準年度） （基準年度＋３年後）
労働生産性 2,255
1,616
（単位：万円/人） （年平均上昇率＋11.75％）
目標値 従業員1人あたり給与支給総額 440
357
（単位：万円/人） （年平均上昇率＋7.25％）
役員１人あたり給与支給総額 0
0
（単位：万円/人） （年平均上昇率＋0％）
補助事業に係る従業員数
30 80
（単位：人）</t>
  </si>
  <si>
    <t>1.長期成長ビジョン BBSジャパン株式会社
■自動車向けプレミアムホイール・メーカーとして、生産能力と品質を高め、グローバル化を目指す。
■Made in Toyamaの高付加価値商品を世界に届け、日本の社員に報酬を届ける。
長期成長ビジョン（目指す姿・ビジネスモデル） 外発的動機
• 自動車業界ではEV（電気自動車）化などの変化が起きているが、
• 当社は、自動車向けプレミアムホイール・メーカーとして、海外市場
当社が顧客とするレースやスポーツドライブを好む需要は不変か、む
での成長によるグローバル化を目指している。
しろ増加していると感じている。最高峰レースF1の観客動員数は過
去最高を更新し、欧米メーカーから毎年新たな最高級スポーツカー
• 鍛造製法による当社のプレミアムホイールは、高級スポーツ車愛好
が発売され、中国や韓国メーカーからもEVの高級スポーツカーが発
家や高級車メーカーから高く評価されてきた。これまでは経営リソー
売されている。こうした動きを踏まえ、レースとスポーツカーに強い当
スの制約から国内市場に注力してきたが、近年ブランド認知の高ま
社も成長余地は大きいと考えている。
りにより海外からの需要も高まってきている。大手海外競合は存在
• 加えて、EVやSUV（Sports Utility Vehicle）など車重の重い
するものの、生産能力を増強し品質と生産性を一段と高めることで、
車が増えているが、こうした車種では軽量強靭な鍛造ホイールの重
海外顧客への販売を拡大し、グローバルに成長することを目指す。
要度はさらに高まるため、成長余地があると捉えている。軽量化は
国内市場の大きな成長が望みづらいことも踏まえ、海外で持続的
燃費にも効果的なため、環境面でもプラスの効果がある。
に成長できる事業構造を作り上げる。
内発的動機
• 当社の生産は後工程の一部を除きすべてMade in Toyamaで
あり、日本発で世界に輸出するビジネスモデルである。世界中の顧 • 前職での投資業界での経験を通じ、経営が良くなれば社員が変わ
客から得た対価は、待遇向上と教育投資により社員の物心両面 り、会社が変わり、価値が大きく変わる実例を目にしてきた。当社は
の幸福を追求するとともに、雇用拡大と人材育成によって地域社 その技術力やブランド力により大きな成長ポテンシャルがあり、経営
会にも貢献しうる企業を目指す。そして、稼ぐ力の向上を通じて、 を良くすることでもっと飛躍できると感じている。
株主などステークホルダーにもリスクに見合った適切なリターンを提供 • また、世界中で中間層の消失と二極化の加速が進む中、世界の
していく。 富裕層に高付加価値商品を届け、日本の中間層に報酬を届ける
事業構造を作り上げることの意義は大きいと感じている。
売上成長目標 • 当社は10年前、前田工繊傘下で再出発以降、積極的な設備投
※基準年度比（基準年度2026/6：基準年度＋3年後2029/6) 資による能力増強を行い大きな成長を遂げてきた。今後も設備投
• 2029年6月期までの会社全体の売上高成長率：28％ 資により持続的な成長を実現していきたいと考えている。
• 2029年6月期までの会社全体の売上高増加額：40億円</t>
  </si>
  <si>
    <t>.補助事業の概要 BBSジャパン株式会社
2
■塗装設備とスピニング/熱処理設備の増強により、生産能力を1.5倍に引き上げる。
■労働生産性で年率+7.6%、従業員一人あたり給与支給総額で年率+4.8%の上昇を見込む。
補助事業の • 生産能力を増強し、品質と生産性を一段と高めることでグローバルに成長する 事業費 48億円
背景・目的 • 日本発で世界に輸出するビジネスモデルで、雇用拡大と人材育成で地域に貢献する （補助額） （16億円）
設備投資の
内容
スピニング/熱処理設備
塗装設備・仕上設備
①スピニング熱処理生産能力の向上 1.2倍
①塗装生産能力の向上 1.5倍(10万本）
②労働生産性の向上 1.2倍
②品質向上 不良率50％改善
③信頼性向上 故障強度率１％以下
③労働生産性の向上 1.5倍
④DX化推進
④省エネ対策・DX化推進
2026年度 2029年度
項目
（基準年度） （基準年度＋３年後）
労働生産性 2,004万円/人
1,610万円/人
（単位：万円/人） （年平均上昇率＋7.6％）
目標値 従業員1人あたり給与支給総額 664万円/人
577万円/人
（単位：万円/人） （年平均上昇率＋4.8％）
役員１人あたり給与支給総額 ー
ー
（単位：万円/人） （年平均上昇率＋4.0％）
補助事業に係る従業員数
376人 407人
（単位：人）</t>
  </si>
  <si>
    <t>株式会社ジェーイーエル
1.⾧期成⾧ビジョン
半導体需要の増加、高性能化が求められる中、当社の製造する半導体ウェハ搬送装置に関しても生産能力の
拡大、高機能化を進めることで顧客の生産性向上、半導体の安定供給に寄与する。
⾧期成⾧ビジョン（目指す姿・ビジネスモデル）
外発的動機
• 当社は、半導体用ウェハ搬送装置の開発/製造/販売を行っている会
• 半導体市場は急速に成⾧しており、需要量の増加とともに高性能
社である。主に、半導体製造装置メーカーに対してウェハ搬送装置を
化が求められており世界的な供給不足が起こっている。当社として
供給し、そこからエンドユーザーである半導体デバイスメーカーに納入さ
も技術力・開発力・生産能力を高めていくことで市場シェアの拡大と
れている。
収益の増加の機会が十分にあると考えている。
• 半導体は「産業のコメ」と呼ばれ、電気（ハイブリッド車含む）自動車、
家電等、幅広い分野で必要とされており、近年では需要が急激に増
• 半導体の高性能化が進むにつれて、当社の製造するウェハ搬送装
加しており世界的に供給不足が起こっている。
置も機能の向上が求められており、開発力・技術力を高めていくこと
• また、AIや機械学習、自動運転等にも半導体は必要とされており、高
が今後の成⾧のために必要となる。
性能化が進んでいる。当社の製造する半導体ウェハ搬送装置について
も低発塵や低振動、高スループット（高速化）等、機能の向上が求
められるようになってきている。
• そういった中、当社は、ウェハ搬送装置業界でのリーディングカンパニーと
内発的動機
して、業界を牽引していく会社を目指す。顧客ごとにウェハ搬送装置に
• 当社は顧客ごとにカスタマイズする受注生産を得意としているが、顧
求めるニーズは細かく異なるため、技術力・開発力の強化を行い、お客
客のきめ細かなニーズに対応することでお客様の生産性向上につな
様のニーズに応じた最適なソリューションを提供できる企業として半導体
げ、業界の発展に貢献をしていきたい。
製造の効率化・安定化に寄与することを目指す。また、増加する需要
に応えられる生産体制を整備することで、半導体の安定供給に貢献し
• 当社は創業当初は液晶用ガラス基板の搬送装置を製造していた
ていきたい。
が、お客様の要望に応え、半導体用ウェハ搬送装置の製造を開始
• 地元広島での生産拡大に重点を置き、広島発のリーディングカンパニー
した。2019年５月には佐波工場の建設を行うことで需要の増加に
として地域経済の活性化に貢献していきたい。
も対応することができ、売上・利益ともに高い成⾧率を維持すること
売上成⾧目標 が出来ている。今後もお客様の動向を見据えながら適正なリスクを
取った積極的な成⾧戦略が今後の当社の成⾧に必要であると考え
• 2030年5月期までの会社全体の売上高成⾧率毎年15％
ている。
• 2030年5月期の会社全体の売上目標231億円（直近2023
年５月期145億円）
• 創業後30年が経過したが、当社が成⾧することで地元広島の経
（補助事業となる尾道工場の2030年5月期の売り上げ目標80
済活性化に貢献していくことで、地域から愛され必要とされる会社と
億円、会社全体の売上に対する割合34%）
なりたい。</t>
  </si>
  <si>
    <t>2.補助事業の概要 株式会社ジェーイーエル
既存工場は生産能力の限界に来ており、工場を新設することで生産能力の増強と高品質な製品を生産できる
体制を整備する。人手不足の中でもデジタル技術を活用し、超効率的な生産体制を確立していく。
• 現状の工場設備では生産余力がなく、増加する需要や高機能化に応えていくためには、効率
的な生産体制で十分な生産能力と高品質な製品を生産できる新たな製造拠点が必要である。
補助事業の
• 既存工場の近隣の尾道市からの誘致を受け、広大な敷地の確保と人材確保のための支援を
背景・目的
得られる見込みがついたため、尾道市に新工場を設立することとした。
事業費 52億円
（補助額） （16億円）
【尾道工場の新設】
• 尾道市郊外の土地を利用した広さに余裕のある工場の建設。
• それぞれの作業スペースに余裕を持たせることで、部品や製品、人の移
動を余裕を持ち行うことで作業効率を上げる。
設備投資の
• 自動倉庫や３次元測定器、生産管理システムの導入によりデジタル技
内容
術を活用し、少人数でも効率的なオペレーションを構築する。人手不足
の中でも、十分な生産能力を確保し、高品質・短納期・低コストな生
産体制を確立する。
• 投資品目の明細は次スライド参照。
尾道工場外観（イメージ）
2027年５月期 2030年５月期
項目
（基準年度） （基準年度＋３年後）
労働生産性 5,595
2,909
（単位:万円/人） （年平均上昇率＋24.36％）
目標値 従業員1人あたり給与支給総額 551
500
（単位:万円/人） （年平均上昇率＋3.3％）
役員１人あたり給与支給総額
－ －
（単位:万円/人）
補助事業に係る従業員数
25 65
（単位:人）</t>
  </si>
  <si>
    <t>株式会社フジキン
1.長期成長ビジョン
極限へのChallengeと品質第一主義でお客様との信頼を獲得、業界No.1メーカーとなる。
長期成長ビジョン（目指す姿・ビジネスモデル） 外発的動機
• 半導体は急速な技術進化で、PCやスマートフォンはもとより、自動運転や次
世代高速通信、生成AI等、さまざまな分野で需要が非常に高まっている。
• 特殊バルブ機器・流体制御システムの総合メーカーとして、各産業
分野における技術開発の追及を通じ、企業価値の向上を実現し
• フジキンは、「クリーン化技術」を活かした、半導体製造設備や装置に組み込
ます。
まれる流体制御システムや機器の世界的トップメーカーであり、これら半導体
の製造を通じて未来情報化社会に貢献したい。
• 最先端の技術力と開発力と製造力。及び、確かな品質と販売
サービス体制で、持続可能な社会の発展に貢献します。 • また、カーボンニュートラル社会で重要な役割を担う水素エネルギーの分野で
も、ロケット用バルブの開発で長年にわたり蓄積してきた「超低温・超高圧」等
の技術力を生かし、水素社会のインフラ構築に貢献していきたい。
• 社会の発展に貢献すると共に
社員を大切にする会社
社員のやりがいを応援する会社
社員とその家族を幸せにする会社
内発的動機
を目指します。
• フジキンは、流体を「流す」「止める」単純な機能のバルブを生業とした会社
だったが、時代のながれとともに耐久性の向上、高速化、超低温や
超高温下での使用、小型化等々、様々なお客様のニーズにより、
その性能と信頼性を進化させてきた歴史がある。
売上成長目標
• また、従来のバルブ単体機器から流量制御機器へと進化し、更には小型集
積化ガスシステムへと飛躍的な進化を遂げてきた。
【連結】
• 2030年度にグループ全体の売上高3,000億円をめざす。
• 今日、フジキンは世界の半導体製造を支える設備装置において、
2023年度(1,701億円)⇒2030年度までの成長は1.8倍 欠かすことの出来ない重要なメーカーに進化したと自負している。
【単体】 • フジキンの事業規模は過去約30年間で売上高及び従業員数、共に
20倍の規模に拡大することができました。
• 2030年度にフジキン単体の売上高1,420億円をめざす。
「企業は人なり」という言葉があるように、社員あっての会社です。
2023年度(836億円)⇒2030年度までの成長は1.7倍
社員がやりがいを持って一丸となり、社員も会社も成長していくことを
目指しています。</t>
  </si>
  <si>
    <t>株式会社フジキン
.補助事業の概要
2
フジキンは事業ユニット「大阪工場」において、大阪地区に２工場の生産活動を統括している。
今回、３つ目の工場を新設し生産力を増強、半導体や水素など成長分野における市場シェアと利益の増大を図る。
• 世界の半導体製造装置用バルブ機器の需要は、増減サイクルを経ながらも成長が見込まれる。
補助事業の 事業費 42億円
• この需要の変動に柔軟に対応しかつ生産力を増強するため、大阪地区に新工場を建設する。
背景・目的 （補助額） （13億円）
• 新工場の増設と生産移管に伴う大阪地区既存工場での空スペースで、制御・測定機器や水素
インフラ向けバルブ等の成長製品の生産力を強化する。
【新工場建設】
5階建て延べ床面積5,564㎡
• 建屋建設（22億円） 生産能力43％増
• クリーンルーム（4億円） 生産能力76％増
• 生産設備等（16億円）マシニングセンター、NC旋盤など。
短納期対応設備の導入により、対象加工品目のリードタイムを
設備投資の
20～80％削減。段取り行程18人分を省人化。
内容
• 工場内での工程間搬送の自動化を行うことで、生産リードタイムを
20~50%削減、人による搬送を90%削減。
【倉庫集約】
• 貸倉庫含む 5ヶ所⇒1ヶ所（2400坪） 倉庫面積15.3%増
• 人員 57人⇒46人 省人化20％
2026年度 2029年度
項目
（基準年度） （基準年度＋３年後）
労働生産性
1,360万円/人
2,232万円/人
（単位：万円/人） (３年間の平均上昇率＋18.0%)
目標値 従業員1人あたり給与支給総額 639万円/人
552万円/人
（単位：万円/人） （年平均上昇率＋5.0％）
役員１人あたり給与支給総額
対象なし 対象なし
（単位：万円/人）
補助事業に係る従業員数
540名 540名
（単位：人）</t>
  </si>
  <si>
    <t>日本リファイン株式会社
1.長期成長ビジョン
当社は安心・安全、資源循環型社会の形成に貢献し、企業としてさらなる環境と経済の持続的発展を目指す。
長期成長ビジョン（目指す姿・ビジネスモデル） 外発的動機
世界市場において、車載用リチウムイオン電池の2019年は約4兆円、
当社の目指す企業像は、「地球と人々の未来を創造する考働企業」
2030年には約33兆円、2050年には約53兆円の規模に達するとみられる。
である。
昨今、リチウムイオン電池メーカーから、欧州バッテリー規則に基づき、 当社の
有機溶剤の多くが使用後に焼却処分され、CO2排出量が増えること
NMPリサイクルに伴う、カーボンフットプリントデータの報告（燃料の燃焼によ
により地球温暖化の原因となっている。
るCO２の排出量および電気の使用によるCO２の排出量）が求められるよ
当社のビジネスモデルである、精製リサイクル事業は、資源循環社会 うになった。
の形成（CO2削減）に寄与する事業であり、事業発展することを通 また、CO2排出量削減の観点から、お客様からの引き合いが2021年に比べ
じて、地球環境の保全と持続可能な社会の構築に貢献していく。 約1.5倍増加していることや、「地球温暖化対策計画」による閣議決定
今後は外発的動機を通じ、あらゆるモノづくり業界の使用済み溶剤を （R3.10.22）からも廃棄物焼却量の削減にともなう、廃溶剤のマテリアル
回収、精製、リサイクルすることで資源として完全に循環させることを目 リサイクル量の増加要請が高まっている。
（2013年度：490kt/2025年度：619kt/2030年度：716kt）
指す。
※マテリアルリサイクルとは、廃棄されたものを新しい製品の原材料として再利
また、地球環境だけでなく、内発的動機にある、ウェルビーイング経営
用する方法。
を推し進め、「働きがい」 、「安全」、「思いやり」、のある職場環境も
整備し、社員満足度の向上に努め、生産性向上を図る。
内発的動機
当社は、「人類が持続的に発展できる社会を実現するために『資源』、『環
売上成長目標 境』、『こころ』のリファインを業とし社会に貢献する」を企業理念とする。
環境保全と経済成長の両立に貢献できる企業として、更なる社会貢献が可
【グループ全社】
能であると感じている。
2023年度：209億円→2029年度： 500億円
リファイン＝精製という意味であるが、当社のビジネスモデルである、有機溶剤
• 2029年度でにグループ全体の売上高成長率239％
の精製リサイクル事業にとどまらず、精製を通じ、CO２削減によるカーボン
• 2029年度までにグループ全体の売上高増加額291億円
ニュートラル社会の実現に貢献する。
【日本リファイン（株）】
当社は、サスティナビリティの一歩先を行く、リジェネラティブ（環境と経済の持
2023年度：121億円→2029年度 189億円
続的発展）を目指している。
• 2029年度までに会社全体の売上高成長率156％ また、従業員もより身体的、精神的、社会的に『こころ』が満たされるよう、ウェ
• 2029年度までに会社全体の売上高増加額68.4億円 ルビーング経営を推し進めていきたい。
Source：経済産業省「蓄電池産業戦略」、閣議決定「地球温暖化対策計画」、当社資料</t>
  </si>
  <si>
    <t>.補助事業の概要 日本リファイン株式会社
2
本件の設備投資は単なる新設・増設ではなく、①売上拡大、コスト削減②省力化、省人化による人手不足解
消③環境負荷低減を実現し、生産性向上および持続可能な賃上げを目的とする取り組みである。
輪之内工場の生産能力および保管能力の不足に起因する、コスト増加や人手不足が喫緊の課題であり、
補助事業の それらを解決するための設備投資である。 事業費 4 0億 円
既に取引先の車載用電池メーカーより増産要請があり、これらの機会にも応えることが可能となる。
背景・目的 （補助額） （8. 6 億円）
生産能力不足のために当社千葉工場への横持運賃が発生しており、当該生産分も輪之内工場に移管す
ることで、コスト低減、工場間輸送に伴うCO2削減にも寄与する。
• 本件の設備投資では、NMP（LIB向け）にかかるオペレーション不要な全自動
の蒸留精製塔およびリサイクル原料や製品を保管するタンクを増設することで、省
力化、省人化を図る。また、蒸留精製塔におけるスチーム使用量を50％削減し、
省エネや環境負荷低減にも寄与する。その他、生産量の増加に伴う、保管能力
不足に起因する様々なコスト（外部保管費用、容器代、容器への移し替え、横
持運賃、作業時間などの労務費）を大幅に削減する。（直近3年の売上原価
率平均▲3.4％。数億円単位の削減見込み）
写真等
設備投資の
• NMP分散液（LIB向け）の新規需要に対応するために生産設備を新設する。
内容 千葉工場での生産実績を活かし、自動化機械を設置。クリーン環境が必要なた
め建物も新設する。
• 工場で従事する社員が常にコミュニケーションが取れるように工場管理棟を新設し、
業務効率化とオフラインでの部署間のコミュニケーション強化を図る。また、新たに
品質管理業務の効率を上げるクリーンルームの設置や、既に全社展開している
TPM（全員参加型の生産保全）を強化するため、他工場との交流ができる場
や会議室などを設置する。
2026年度 2029年度
項目
（基準年度） （基準年度＋３年後）
労働生産性
（単位：万円/人）
1,846 2,467(年平均上昇率＋10.19%)
目標値 従業員1人あたり給与支給総額 471 545(年平均上昇率＋5.00%)
（単位：万円/人）
役員１人あたり給与支給総額
ー ー
（単位：万円/人）
補助事業に係る従業員数
80 85
（単位：人）</t>
  </si>
  <si>
    <t>日星電気株式会社
1.⾧期成⾧ビジョン
日星電気は、1969年の会社設立以来、「顧客企業の課題解決」「先端技術のビジネス化」の実現している。
今後も、時流に合わせた挑戦を続け、自社の技術を活かせる得意分野でトップを目指していく
• 今後、市場規模拡大が見込まれる医療機器分野や、特に高機能・高品質を要求される理化学分析機器、半導体製造装置用等の分野におい
て、安定した製品品質、製品提供を実現し、トップメーカーへの参入を果たし存在感を高めてゆく
• 5年後（2029年度）には、会社全体売上530億円を目指す
⾧期成⾧ビジョン（目指す姿・ビジネスモデル） 外発的動機
• 世界のふっ素チューブ市場場規模は、2023年の約1.6億米ドルか
経営理念:Do our best. Something only we can do.
ら、2030年までに約2.4億米ドルに成⾧すると予測され、予測期
ー私たちにしかできないことに、全力を尽くすー
間2024年から2030年においてCAGR約4.4%成⾧
わたしたちは、もてる力のすべてを鍛え、磨いて、社会が求める機能を
（出典:PressWalker_QY Research株式会社調べ）
作り出し、適正な価格、優れた品質の製品として世界の市場に届け • 医療技術の発展に伴い、医療機器、分析機器もハイスペック化が
ることで社会に貢献し、企業としての永続と、社員すべての自己実現 進み、機器を構成する部品も、より高品質が求められている
を図る。 • 日本のみならず世界的にも第四次産業革命といわれるDX化が主
流であり、ロボットの高機能化・小型化が求められている
目指す姿:オンリーワンな新製品が絶えず生まれ続ける会社 • 人手不足解決のために省力化・自動化技術の開発が進み、並行
目指すビジネスモデル:当社独自のニッチ技術を活かし、既存市場・ して高精度・高品質を安定させるために装置開発が必須
成⾧市場でのオンリーワン企業を目指す
・既存市場（OA、家電、内燃機関等）は、顧客との良好な関係を 内発的動機
維持し、より貢献するために、高機能分野でオンリーワンを探求する
• 会社設立以降、顧客企業の課題解決を徹底することは、営業手
・新規市場では、市場が求める製品製造を実現する技術を先行して
法や技術提案のノウハウ蓄積に寄与しており、成⾧の原動力である
開発し、医療機器業界、モビリティ業界、半導体製造機器、FA業界
• 技術トレンドのビジネス化に積極的に取り組んでおり、先行者利益
等の今後発展が期待できる分野で足場固めをおこなう
を獲得してきたことで得意領域を広げることに成功してきた
・市場ニーズを取り込み、ビジネスを広げるため、関連する展示会に参
• 時流に乗るためには、素早い判断が必要になる。当社は、事業がう
加するとともに、顧客先でのプライベート展示会、新規市場分野の主
まくいかなくなってきた場合でも、素早く判断して撤退を決定している
要海外企業への参入(海外営業拠点の設立)を計画
• 現在まで上記の活動を継続することで、継続した事業拡大及びトッ
プメーカーとのつながり拡大につながり、当社の基本戦略として社内
売上成⾧目標
に浸透している
• 2029年度までに会社全体の売上高成⾧率116％
• 経営理念は、当社ビジネスを端的に示しており、他社との差別化要
• 2029年度までに会社全体の売上高増加額71億円
素となっている
（基準年度2026年度をベースに計算）
• BtoB事業に注力 部品に特化することで高機能製品の実現</t>
  </si>
  <si>
    <t>日星電気株式会社
2.補助事業の概要
三方原工場での事業開始に向け自動化設備の導入を行い、量産体制による生産基盤を構築する
これらにより 労働生産性（年平均）+7.3％UP 従業員給与支給（年平均）+3.51%UP を達成する
• 市場拡大に対応すべく高付加価値な商品を安定的に量産できる生産体制の
億円
補助事業の 事業費 95
構築を行う
背景・目的 （補助額） （28億円）
• 顧客ニーズに対応する新技術の開発スピードUP、品質要求に応える
No. 導入設備 内容
【医療用チューブ加工自動機 開発事例 NO.５】
①敷地面積:46,152ｍｍ2、床面積:20,400mm2(3階建て)
1 三方原工場建屋
②工場ユーティリティ使用量監視機能付
通信ケーブル⾧尺製造 ①外径自動制御機能の搭載により押出し作業の無人化
2
設備一式 ②段取替えは品目No.入力により各機器の製造条件切替え可能
通信ケーブル評価・ ①製品の形状検討や治具金型設計にて開発工数削減・効率化
3
開発設備一式 ②製品開発スピードUpを図り、生産性10%向上
医療用チューブ⾧尺 ①成形金型の内製化・製品の寸法能力の改善・ロス低減
設備投資の 4
設備一式 ②段取替えは品目No.入力により各機器の製造条件切替え可能 機械化によるチューブ加工作業の自動化
内容
医療用チューブ加工 ①医療用チューブ加工工程の無人化・量産対応
5
設備一式 ②レイアウト・動線の改善、製品運搬を省力化し労働生産性40%向上
ふっ素チューブ⾧尺製造 ①工法改善及び新規設備を開発し、2工程を1工程に集約
6
設備一式 ②無人化により労働生産性の倍増を見込む
ふっ素チューブ製品評価 ①開発サイクルの短縮
7
設備一式 ②開発コストの削減
全製品対象製品評価
8 ①製品開発、製造品の種々の評価試験に活用
設備一式
2026年度 2029年度
項目
（基準年度） （基準年度＋３年後）
労働生産性 3,221
2,604
（単位:万円/人） （年平均上昇率＋7.3％）
従業員1人あたり給与支給総額 865
目標値 780
（単位:万円/人） （年平均上昇率＋3.51％）
役員１人あたり給与支給総額 ー
ー
（単位:万円/人） （年平均上昇率＋3.50％）
補助事業に係る従業員数
238 266
（単位:人）</t>
  </si>
  <si>
    <t>株式会社クラタ
1.長期成長ビジョン
株式会社クラタ長期成長ビジョン/電動化・安全運転社会実現への貢献による事業成長
経済産業省「2050年カーボンニュートラルに伴うグリーン成長戦略」にも掲げられている電動車・自動運転向けブレーキ技術獲得による脱炭
素社会へ貢献及び当社創業以来、経営の根幹を支えてきた自動車産業への貢献を通じて10年後に売上を80億円へ増加させる。
外発的動機
長期成長ビジョン（目指す姿・ビジネスモデル） • 今後、電動車市場は大きく成長することが確実視されている。矢野経
済調査によると電動車市場は2022年～2035年で年率11.6%の
• エンジン車衰退が確実視される状況を受け、電動車・
成長が見込まれている。自動運転化に向けた動きも加速している。
自動運転車向け部品製造に経営資源を集中する。 • 電動化においては、走行時の運動エネルギーを電気エネルギーに換え
て回収し、再利用することが求められる。
• 当社の強みを活用し、電動車・自動運転向けに必要と • 完全自動運転化に向けて安全性確保が必須の課題となっている。
なる技術を備えた次世代部品の製造に挑戦することで • 電動車は、航続距離を延ばすための燃費向上が最大の課題となってい
る。
事業成長を実現する。
• 顧客から電動車・自動運転車に対応した部品製造の強い引き合いを
いただいている。
• 電動車・自動運転部品製造の設備への大規模な投資
を行い、地域の主力事業である自動車業界に貢献を
内発的動機
図るとともに、地域での雇用を創出、賃上げを行うこと
• 創業以来77 年に渡る切削への取組み・難加工の挑戦の歴史により、
で従業員への還元も積極的に行っていく。
自動車駆動系・動力系部品への揺るぎない切削技術を確立している。
主にエンジン部品に使われる軽量アルミの切削加工に注力し他に追随
を許さない品質/コストを提供しており自動車産業の根幹を支えてきたと
自負している。
• 一方で当社の主力製品であるエンジン車向けオイルポンプは大幅な
売上減退が想定される。
売上成長（2023年度47億円⇒2035年度80億円） • 当社は自動車の安全性に直結する駆動部分の精密切削加工分野
■会社全体の売上高成長率70％ ニッチトップ企業であり、技術力を高め自動車産業の電動化・自動化
■2035年までの会社全体の売上高増加額33億円 への潮流変化に対応した高品質の製品を自動車製造会社に供給す
ることは当社の使命であると考えている。</t>
  </si>
  <si>
    <t>2.補助事業の概要 株式会社クラタ
補助事業実施の背景と設備投資概要及び労働生産性・賃上げ目標値について
• 本事業の目的は電動車・自動運転に必須の回生協調ブレーキシステムの製造を行うとともに、必要数量を供給することである。
• 目的達成のために西尾市に新工場を建設し、必要設備への大規模な投資を実施する。
• 本事業で獲得する成果により、付加価値向上を実現し、省力化施策を同時に実施することで生産性向上、従業員1人あたり給与支給総額上昇を実現する。
補助事業の エンジン車は今後確実に衰退する。新工場・設備への大規模投資を行い電動車・自動運転車に必須の回生 事業費 19億円
協調ブレーキシステムの製造を実現して、顧客要求に応えていくことが補助事業の目的である。
背景・目的 （補助額） （6.4億円）
西尾の中古工場を買い取り修繕工事を行う。
回生協調ブレーキシステム部品生産の事業拡大の新拠点とする。
設備投資内容
・工場修繕：建屋/屋根/事務所
補助事業の ・工場ｲﾝﾌﾗ：配水/配管/電気/ｺﾝﾌﾟﾚｯｻｰ
設備投資 ・生産設備：ﾏｼﾆﾝｸﾞｾﾝﾀ/高圧洗浄機他
内容 ・検査設備：三次元測定機/形状測定機他 西尾新工場
・ｿﾌﾄｳｪｱ ：通信ｼｽﾃﾑ
住所：愛知県西尾市南中根町山畑68-1
・省力化設備
面積：敷地7827m3延床4918m3
：自動搬送装置/形状・外観検査装置
概要：鉄骨造スレート葺工場
/切粉・廃液処理装置
2024年3月 買取済
加工ラインの自動化構想
2026年度 2029年度
項目
（基準年度） （基準年度＋３年後）
労働生産性（万円/人） 1809.8
133.6
（年平均上昇率＋138.4％）
補助事業の 従業員1人あたり 473
420
目標値 給与支給総額（万円/人） （年平均上昇率＋4.04％）
役員１人あたり給与支給総額 ―
―
（万円/人） （年平均上昇率+３.5%）
補助事業にかかる従業員数
21 41
（単位：人）</t>
  </si>
  <si>
    <t>広陵化学工業株式会社
1.長期成長ビジョン
プラスチック製造業×医療機器・医療関連製品製造業という、中小企業では唯一無二の存在感を発揮し、医療機器産業を取り巻く
課題（国内企業の競争力低下や需給逼迫等）に対して、ものづくり中小企業として貢献していく。
その結果、売上・利益の成長目標を達成し、持続的な賃上げと雇用増加、地域企業の取引額増加・医療進出など地域貢献を実現する。
長期成長ビジョン（目指す姿・ビジネスモデル） 外発的動機
○医療機器・医療関連製品の生産受託事業 • 新たなビジネスモデルの構築が必要
カーボンニュートラル実現に向け、法規制を伴う脱プラスチックが加速し、
(目指す姿)
これまでのプラスチック加工事業は縮小を避けられない見通しである。
「ものづくり中小企業」として水平分業における、生産工程の担い手と
なり、国内製造で高品質かつ、有事の際の安定供給にも対応できる
• 物価上昇と人手不足が、持続的な賃上げの必要性を顕在化
体制で、国内医療機器産業の競争力強化に貢献する。
必要な人材を確保するためには、業界や地域の水準にとどまらない、
積極的な賃上げが必要である。
(ビジネスモデル)
生産受託している高度管理(クラス4)医療機器の製造を開始して、
• 国内医療機器産業の課題解決ニーズの増加
世界初の高付加価値の医療機器を国内・海外市場へ供給する。
新規の医療機器開発・上市のスピードUPや生産の効率化の実現に
は、開発や設計・生産を切り離した分業体制の構築が求められており、
○自社オリジナルの医療機器・医療関連製品の発売 中小製造業は生産の担い手として注目されている。
(目指す姿)
世界的に患者数が増える感染症領域で、主に感染の診断に使用
内発的動機
する医療機器と医療関連製品を製造し、国内・海外市場に供給す
る。 • 「国民の健康を他国に頼ってよいのか？」という思い
約15年前の新型インフルエンザ流行時、使用されている感染症検査
スワブの、約9割近くが海外製だと知り、「国民の健康を他国に頼ってよ
(ビジネスモデル)
いのか？」という思いから自社オリジナル医療機器の開発に着手した。
2022年に原材料を含め、全て国産で完結する医療検査用スワブを
自社開発した。現在、年間2,000万本の量産に対応できる設備の
構築を進めており、完成後は国内の検査キットメーカーへ供給する。 • 社員全員が「世の中に役立っているものをつくっている」と感じれる
働きがい・やりがいを見つけることが出来る企業を目指して
脱プラスチックの風潮によって、自分の仕事が「世の中から必要とされて
売上成長目標
いない」と感じるのではなく、健康を守るという社会貢献度の高い事業
• 直近期（2023年12月）より2030年12月までの会社全体の へ注力し、社員全員に「世の中に役立っているものをつくっている」と感
売上高成長率50％ じてほしい。
• 2030年までの会社全体の売上高増加額11.6億円 その中で、働きがい・やりがいを見つけることのできる企業を目指した。</t>
  </si>
  <si>
    <t>広陵化学工業株式会社
.補助事業の概要
2
新規の医療案件が充実しており、賃上げの基盤となる高付加価値製品の受注が増加傾向である。
一方で事業化・収益化するためには大規模な設備投資と新たな人材の採用・教育による定着が必要。補助事業では医療事業専門
の新工場を中心とした、高精度で効率の高い生産体制を構築し、収益力の向上を実現。継続的な賃上げに繋げる。
補助事業の • 目的は医療関連製品を中心とした高付加価値製品の受注・生産強化。課題は大規模な設 事業費 17億円
背景・目的 備投資と人員不足であり、本投資による生産工程の効率化により収益力を向上し、解決する （補助額） （5. 億円）
3
• 医療専門の新工場建設
• 高度管理医療機器を量産するための高精度なクリーンルームを設置する
ことにより、医療機器メーカーからの生産受託の条件に対応する
• 生産効率の高い射出成形機や、自動化や効率化に対応した二次加工
設備を導入することで、コストダウンや品質の安定化、安定供給が可能と
設備投資の なり、競合他社への競争力強化を実現する
内容
• 自動検品装置の導入により、省人化を実現し、補助事業に関わる人員
配置の最適化、人材教育時間の捻出を可能とする
2026年度 2029年度
項目
（基準年度） （基準年度＋３年後）
労働生産性 1,052
639
（単位：万円/人） （年平均上昇率＋18.1％）
目標値 従業員1人あたり給与支給総額 357
310
（単位：万円/人） （年平均上昇率＋4.8％）
役員１人あたり給与支給総額 ー
ー
（単位：万円/人） （年平均上昇率＋11.14％）
補助事業に係る従業員数
40 64
（単位：人）</t>
  </si>
  <si>
    <t>1.長期成長ビジョン
株式会社三和テスコ
一回りも二回りも会社を大きく成長させ、安定させる
長期成長ビジョン（目指す姿・ビジネスモデル） 外発的動機
• 当社売上の約7割を占める大手企業からの受注は、利益率が低い • 当社の主要事業となっている造船業界は、長い目で見れば斜陽産業である。
案件もあり、長年の課題となっている。 大手に属する造船所は撤退や分社化し、専業メーカーのみが生き残っている
現状がある。
• 今後10年の生き残り策を探った結果、下請け体質からメーカーへの
脱皮を図ることが不可欠との結論に至った。(売上比率50%以上) • 次の不況の波が来ればどうなるか分からない。造船不況はなぜか12年ピッチ
で起こるため、現在の造船向け事業が半減する可能性は十分にある。
• そのためには、まず積極的な賃上げにより優秀な人材を獲得し、製
• 衰退のトレンドでは値下げ要請が続くことは、これまでの経験で十分に分かっ
造部門のみならず、非製造部門（技術系）の人財強化を図る。
ている。現在のように造船向け事業を主力事業のままにしておくと、切り捨て
• 大手企業からの一品一葉の受注が多かったため、蓄積した技術力 ることが出来ず、不毛な状態に陥る。
は十分にあると認識。採算性の改善、技術力のＵＰ、売上ＵＰで、
• 今回の亜臨界水処理装置という新規事業は、このような不況とは全く無縁
一回りも二回りも会社を大きく成長させ、安定させたいと考えている。
で、環境問題の深刻化が懸念されている日本社会において、必要不可欠な
そして高い給与、賞与を払う会社となりたい。
設備であることを確信している。
• 将来的にはグループ企業の一員としてではなく、単独上場を目指し
たい。
内発的動機
売上成長目標
• 当社は2001年11月に経営破綻し、2003年3月に現親会社のポエック㈱
• 2028年までに会社全体の売上高成長率を年平均40％以 の資金援助を受け、子会社として再出発した。破綻中も仕事量は減らず、
上とする。 既存顧客からの受注も継続され、割と安定した経営が出来るという、不思議
• 2028年までに会社全体の売上高増加額約50億円 な体験をした。
→補助事業による寄与度
• その理由は、他社に取って代わられる事が出来ないモノを生産出来る事、製
国内10セット×＠3億円＝30億円 造技術がある事、であった。強度計算から製造認可、溶接施工法を多数取
海外 5セット×＠3億円＝15億円 得、特殊な圧力容器等を一品一葉で生産できること、である。
• 会社再生を契機に採算の合わない案件はお断りする方針に切り替え、徐々
に舶用の取引を選別してきた。
• 同時に親会社の製品（ナイアス）のＯＥＭ生産を開始、フィンランド企業と
の技術提携により熱交換器の生産を始めるなど、徐々にメーカー色を強めて
きた。</t>
  </si>
  <si>
    <t>補助事業の概要
2.
株式会社三和テスコ
ーカーへの脱皮～亜臨界水処理装置「ALIN」の生産体制確立
メ
• 当社売上の約7割を占める大手企業からの受注は、利益率も低く、長年の課題となっている。
補助事業の背 事業費 億円
18
• 下記設備投資により、これら課題を解決、下請けからメーカー体質への脱皮を図り、積極的な
景・目的 （補助額） （ 億円）
5.5
賃上げにより優秀な人材を獲得し、亜臨界水処理装置のリーディングカンパニーを目指す。
• 郷東工場（既設）を改修し、郷東工場敷地内の西側に新工場を建
設することにより、亜臨界水処理装置の生産体制を確立する。
• 2024年中に郷東工場（既設）の改修工事に着手、来年3月に完
了と同時に、新工場建設に着工、2025年8月末に竣工する計画。
• 新工場では、亜臨界水処理装置のデモ機を設置し、外部からの分析・
設備投資の
評価依頼を受けるとともに、見学者の受け入れを実施して、営業活動
内容
を加速化させる。
（別紙補足）
• 新旧工場の連携により労働生産性を向上させ、利益率向上により、人
材確保に重点、また再投資を行うという好循環を実現する。
• 事業に要する経費 2,098,800千円
補助金交付申請額 699,600千円
亜臨界水処理装置デモ機（イメージ）
2025年度 2028年度
項目
（基準年度） （基準年度＋３年後）
労働生産性 2,386.3
（単位：万円/人）
1,089
(年平均上昇率＋29.9)
目標値 従業員1人あたり給与支給総額 822.2
720
（単位：万円/人） （年平均上昇率＋4.52％）
役員１人あたり給与支給総額 -
-
（単位：万円/人）
（年平均上昇率＋3.83%）
補助事業に係る従業員数
6 53
（単位：人）</t>
  </si>
  <si>
    <t>.補助事業の概要
2
株式会社三和テスコ
（補足）その他主要設備投資の内容について
各設備は特注仕様になる可能性があるため、イメージ図としています。
ファイバーレーザー
新工場 現在の郷東工場の敷地内の西側に建設する 処理装置の筐体・各種部材等の切断に使用
切断機
開先加工機 ベンディングロール
溶接作業における鋼材の前処理 金属板材をロール曲げ加工を行うために使用
加工を行うために使用
マニピュレーター・ ターニングロール
サブマージ溶接機
大型円筒型加工物の溶接・塗装などの
処理装置筐体の溶接を行う 作業に使用する回転治具</t>
  </si>
  <si>
    <t>株式会社堀場エステック
1.長期成長ビジョン
本事業は、半導体製造プロセスで欠かすことのできないコンポーネントであるマスフローコントローラー（以下、
MFC）等を展開する当社の長期ビジョンの実現に向けた重要なマイルストンの位置付け
• 福知山新工場（補助対象事業）への投資を行い、自動化/省人化による効率的なモノづくりを実現し、持続的な賃上げを実現する。
• 隣接する研究開発拠点「京都福知山テクノロジーセンター」とのシナジー効果により、当社主力製品であるMFCの先端半導体向け事業の
拡大を目指す。また、既存の京都本社工場におけるMFC事業の一部を福知山新工場へ移管することにより、京都本社工場で生まれる余
力をリソースとして、第二の柱となる新事業を創出する。 MFCのイメージ図
長期成長ビジョン（目指す姿・ビジネスモデル） 外発的動機
• 半導体需要の高まりとポジティブな市場予測
ウーブンバリューチェーン※における技術革新をサポート
半導体市場は、生成AI等の需要増加により、 2030年までに年平
• 当社グループの最優先事項は、半導体製造プロセス、関連先端材
均成長率で約10％、市場規模は1兆ドル（150兆円程度）に達
料、そしてファシリティが互いに関係するバリューチェーンのマトリックス
する見込み。市場としては非常に魅力的である。
「ウーブンバリューチェーン」における技術革新である。
• 先端材料分野等に最先端のソリューションを提供し、半導体分野に • 新たな競合他社が台頭する可能性
おいて全方位で顧客のオペレーションをサポートする。それにより、環 各国政府は半導体業界に産業支援を実施しており、海外の競合企
境問題といった社会課題の解決に貢献する。 業が新たに台頭してくる可能性も想定される。この状況を踏まえ、当社
としても、更なる成長に向け、リスクある投資を実行する必要がある。
次世代工場において供給安定性と持続可能性の両立を実現
• 本補助対象事業は、上記の長期成長ビジョンを達成するために非 • 半導体製造における環境負荷低減への取組
常に重要なマイルストンとなる。重要物資である半導体の国内にお 半導体製造プロセスにおいては、地球温暖化係数(GWP)の高いガス
ける供給安定性を高め、先進性の高い次世代工場として機能する。 排出が課題。脱炭素社会の実現に向け、低GWP値の代替ガス開発
また既存事業とのシナジー効果も狙う。当社の製品・技術・サービス と計測技術が必要。除害化には多量の電力が必要であり、エネルギー
の優位性・魅力をより多くの顧客にアピール・提供することにより、持 効率の改善が可能となる当グループの技術を顧客は求めている。
続可能な社会の発展に貢献し、社会的責任を果たす。
内発的動機
売上成長目標
数値は2023年度比 • 安定供給体制の確立による長期的成長
• 当社グループ連結
安定供給の実現に加え、長期的成長を可能とする持続可能なものづ
o 2028年までのグループ全体の売上高成長率54.9％
くり体制の確立は社会的意義が大きい。当社の卓越した分析・計測
o 2028年までのグループ全体の売上高増加額1,595億円
技術、また補助事業で本格導入予定の自動化/省人化技術の掛け
• 当社
算により効率的な生産を実現し、一段上の成長に繋げる。
o 2028年までの会社全体の売上高成長率40.4％
• コア技術のさらなる深耕により、MFCに次ぐ第二の柱を創出
o 2028年までの会社全体の売上高増加額335億円
当社グループが所有するコア技術「ガス・流体分析」「固体・粉体分
※当社グループでは、半導体製造プロセスを横糸、その工程ごとに存在する関連材料市場を縦糸 析」「液体・バイオ分析」を深耕し、半導体の技術革新に求められる製
とし、複合化したバリューチェーン全体を織物(ウーブン)に例えて「ウーブンバリューチェーン」と表現。
品開発へ展開することで、高付加価値・高利益事業を創出する。</t>
  </si>
  <si>
    <t>.補助事業の概要 株式会社堀場エステック
2
重要物資である半導体の供給安定性を高め、次世代工場をとしてショーケース化。シナジー効果として、製品性能
の改善及び開発サイクルの加速化により短期的な成長を狙い、中長期的には新たなコア技術の創出に貢献する
• 広大な生産エリアを持ち、最新設備により自動化・効率化を促進する当社の量産技術の基幹工場を目指す。
• 京都福知山テクノロジーセンターとの連携、京都本社工場との連携により、既存事業にもインパクトのあるシナジー効果を生み出す。
補助事業の • 長期的な安定供給体制の確立 事業費 1 30 億円
背景・目的 • 先端技術とのシナジーにより、製品の性能改善および開発サイクルを加速 （補助額） （ 38 億円）
投資内容
• 延床面積2万m²を超える工場に、最新の生産設備、水素エネルギーの省エネ設備等を導入。
長期的な安定供給体制の確立
• MFC自動化生産ラインや、工程間をつなぐ搬送ロボット導入など、自動化と効率化を促進。
• 広大な生産エリアを備え、長期的な需要拡大へ柔軟に対応可能。
設備投資の ⇒国内におけるMFC生産能力を現状（京都工場＋阿蘇工場）の最大約３倍まで拡張可能。
内容 • 水素発電を用いた再生可能エネルギーシステムの導入など、工場全体での省エネをめざす。
先端技術とのシナジーにより、製品の性能改善および開発サイクルを加速
• 研究開発拠点「京都福知山テクノロジーセンター」（2025年4月に新棟竣工予定）に隣接する
利点を生かし、同拠点で推進する流量標準技術の研究開発や、産学連携の成果を早期実装
するシナジーに取り組み。既存製品の性能改善や新製品の開発サイクル加速を促進。
福知山新工場の完成イメージ図
• 京都本社工場との連携も図り、MFCに次ぐ第二の柱となる製品を早期に生み出す。
2026年度 2029年度
項目
（基準年度） （基準年度＋３年後）
（単
労
位
働
：
生
万
産
円
性
/人）
846万円
（年平均
2
上
,0
昇
6
率
5万
＋
円
34.66％）
目標値 従業員1人あたり給与支給総額 790万円
702万円
（単位：万円/人） （年平均上昇率＋4.00％）
役員１人あたり給与支給総額 -
-
（単位：万円/人） （年平均上昇率＋3.57％）
補助事業に係る従業員数
841人 902人
（単位：人）</t>
  </si>
  <si>
    <t>株式会社 メイドー
1.長期成長ビジョン
長期成長ビジョンは、業界No.1から世界一の「イノベーション・コネクティング・カンパニー」への進化。
売上成長目標は、10年後の2033年までの売上高成長率124％、売上高増加額642億円。
長期成長ビジョン（目指す姿・ビジネスモデル）
外発的動機
• ねじ製品出荷額は、2016年1兆1,005億円、2021年1兆1,502億円で
• 業界No.1から世界一の「イノベーション・コネクティング・カンパニー」 増加している。(出典：経済センサス 活動調査)
への進化。
• トヨタ自動車㈱の世界生産台数は、2021年858万台、2022年902台、
①つなぐことにイノベーションを提供していく 2023年1,003万台と増加している。 世界でトップの生産台数である。
・開発機能を強化し、鍛造製品の高精度化・高機能化・低コスト (出典：トヨタ自動車)
化により切削加工製品の代替を高める。また、EV用部品等成長
市場の製品開発を行う。 • トヨタ自動車㈱調達本部の仕入先への期待が「世界で最も良いものを、最
・製造機能を強化し、生産ラインの自動化による省力化で低コスト化 も安く、最も速く、長期安定的に」納入してほしい。
を行う。
• トヨタ自動車㈱は電気自動車(EV)販売を2026年150万台、2030年ま
②マーケット でに年350万台にする計画を掲げている。
トヨタ自動車㈱・トヨタグループ会社中心から他自動車メーカー、非
自動車の農業機械、鉄道、航空・宇宙産業に販路を拡大する。 内発的動機(経営者の思い)
・「ツナグ」を革新する。
③エリア ・会社を成長・発展させ、社員の幸福を実現するには、自ら顧客・ 市場が望む
国内中心から海外5拠点を通じて全世界の自動車・航空機・宇宙 ものを創造し提供する。
産業へ販路を拡大する。 ・未来を見ろ! 過去にこだわるな、世は常に変化する。
・挑戦せよ! 未知なる分野「EV製品」
・進化せよ! 革新的な工法、装置の自動化。
・可能性を広げよ! 海外・グルーブが連動しグループの一体化!
売上成長目標 ・「品質のメイドー」 のブランドの堅守。
• 2033年までの会社全体の売上高成長率124％ ・TQM、TPM、TPS、アメーバ経営で継続的改善。
• 2033年までの会社全体の売上高増加額642億円 ・売上最大、経費最小で利益増大。</t>
  </si>
  <si>
    <t>2.補助事業の概要 株式会社 メイドー
補助事業により、製品開発機能・製造機能の強化、環境課題の対応強化により高付加価値化、独自性の創
出により差別化を行い、グローバル市場でもトップの地位を築く。
製品 補助事業の ・補助事業の目的 技術 ・設備投資の内容
事業 背景 ・生産性向上につながる点 ・設備投資が解決し得ること
●製品開発機能の強化
冷
・冷間鍛造品の更なる高精密・低コスト化に 冷間鍛造 横型多段式鍛造開発機等導入によりニアネットシェイプを進化。
間
より切削加工製品の代替を高め売上拡大。 高精度で複雑形状が可能になり、材料・加工費を低コスト化。
鍛
・ボールねじ製品の初量産化により売上拡
造 高精度ねじ転造技術を応用したボールねじラインの設置により
自動車部品を 大 ねじ転造
製 ボールねじ製品を初量産化。
始めあらゆる機 ●製造機能の強化
品
・機械加工・検査ラインの省力化による低コ 機械加工ライン・検査ラインに自動化装置を導入し省力化により
事 械・装置などの
スト化。機械加工の高精度化による売上 機械加工 低コスト化。工場空調設備の導入によりミクロン単位の切削加工
業 部品の
拡大。 が可能。
・高精度化
冷間鍛造 ―
ボ ・高機能化・ ●製造機能の強化
ル ・低コスト化・ ・熱処理ラインの省力化による低コスト化 ねじ転造 ―
ト ・短納期化 ・表面処理の生産能力拡大により売上拡
製 大、自動化により低コスト化。 熱処理ラインに排熱利用熱処理設備・熱処理自動化装置
等高度化ニー
品 ●環境課題に対応強化 熱処理 AGV(無人搬送車)の導入によりCN化・サイクルタイム短縮・自
ズ及び環境
事 ・熱処理でのカーボンニュートラル(CN)化。 働化。
ニーズへの対応
業 ・表面処理での有害排水レス・クロムフリー
表面処理ラインに摩擦係数安定剤設備とジオメット設備の増設
化。 表面処理
により内製化、完全自動運転化。
●技術・製品開発機能の強化 ・広い部屋を研究所に改修し移転、試験研究用機器を増やし、開発効率を改
研究所
・競争力強化と生産対応力の拡大。 善。
項目 2026年度（基準年度） 2029年度（基準年度＋３年後）
労働生産性 （単位：万円/人） 698 843 （年平均上昇率＋6.5％）
事業費 58億円
目標値 従業員1人あたり給与支給総額 （単位：万円/人） 582 694 （年平均上昇率＋6.0％）
（補助額） (19億円)
役員1人あたり給与支給総額 (単位：万円/人) ー ー
補助事業に係る従業員数 (単位：人) 1,600 1,700</t>
  </si>
  <si>
    <t>1.長期成長ビジョン 鎌長製衡株式会社
脱炭素・自動化・サーキュラーエコノミーを支えるエンジニアリング・メーカーを目指す
DAC(Decarbonization,Automation,Circular economy)​プロジェクト
技術力と実績をもとに投資を行い、時代の変化を捉えて、新たな成長を目指す
長期成長ビジョン（目指す姿・ビジネスモデル） 外発的動機
当社は脱炭素、自動化、サーキュラーエコノミーへの社会の • 2050年カーボンニュートラルを目指す脱炭素社会への移行機会、特
にバイオマスやSAFなどの新エネルギー施設及びCCUS施設への投資
変化をとらえ下記分野においてニッチトップの機械及びエンジ
の増加及び電池をはじめとする高付加価値化学製品へのニーズの増
ニアリング企業を目指します
加
•新エネルギー及びCCUSプラントにおけるバルク処理装置
• 資源利用の最大化を目指すサーキュラーエコノミー社会への移行機
メーカー 会、特に廃プラスチック及び廃石膏ボードのリサイクル施設への投資の
•廃プラスチック・廃石膏ボードのリサイクルプラントメーカー 増加
•人手による選別作業やハンドリング作業を代替するAI自動 • 人口減少社会における労働者の減少における省力化ニーズの増加、
特に人手による選別作業やハンドリング作業の代替投資の増加
化機器メーカー
•高付加価値の化学製品の製造機器メーカー
内発的動機
• 当社は「安心・安全・持続可能な社会づくりに貢献する」という企業
売上成長目標 ミッションのもと、６０年以上にわたり、自動計量器及びリサイクル関
• 2030年まで会社全体の売上高成長率9％（年率） 連装置を製造してきました。
• 計量機器事業：年率3%成長 • バブル後の平成７年に倒産を経験したため、長年にわたり再生スキー
• 自動化機器・リサイクル機器事業：年率20%成長 ムに取り組み、これまで大型の投資が困難でした。
• 2030年までに会社全体の売上高増加額34億円 • 時代が当社にとってチャンスに傾く中で、施設の老朽化による生産性
の悪化や人材採用の困難さが、成長の阻害要因となっており、今回
の大型投資計画に至りました。</t>
  </si>
  <si>
    <t>2 .補助事業の概要 鎌長製衡株式会社
労働生産性を向上し、優秀な人材を採用しやすい環境を整える
補助事業の • 設備が手狭で製造の生産性が悪化し、テスト設備も不足している。塗装など職場環境が悪く人 事業費 1 億円
6
背景・目的 材の確保に問題がある。会議や遠隔での顧客打合せが行いにくく、設計の生産性が低い。 （補助額） （4.6億円）
• 設備投資の内容
• 製造棟：広い組立ブース、環境の良い塗装ブース、十分なテス
ト設備を備えた製造棟を新築する。 組立、塗装、テスト設備
を備えた最新鋭工場
• 設計棟：遠隔での打ち合わせがしやすく、設計者が集中できる
環境と創発的な環境の両方を備えた設計棟を新築する。
• 設備投資の効果
設備投資の • 製造棟：組立場所の確保により製造能力を3倍に引き上げる。
内容 塗装ブースの環境向上により人材確保を可能にする。テスト設
創発的で
備の充実により顧客ニーズにタイムリーに対応できる。
エネルギー効率の高い
• 設計棟：顧客とのリモートでの技術的打ち合わせが行いやすく 最新鋭設計用事務所
なり、設計者同士がディスカッションを行いやすくなり、集中して生
産性の高い設計が可能になる。
2026年度 2029年度
項目
（基準年度） （基準年度＋３年後）
労働生産性 1385万円
目標値 1159万円
（単位：万円/人） （年平均上昇率＋6.14％）
(補助対象事
従業員1人あたり給与支給総額 502万円
413万円
業) （単位：万円/人） （年平均上昇率＋6.72％）
役員１人あたり給与支給総額 2170万円
1874万円
（単位：万円/人） （年平均上昇率＋5％）
補助事業に係る従業員数
75人 102人
（単位：人）</t>
  </si>
  <si>
    <t>1.長期成長ビジョン オリヒロエンジニアリング株式会社
多様化する包装機械のニーズに対応し、売上高65億円、グループ全体の売上高700億円の達成する
本事業を通じて、事業拡大・企業価値の向上を図り、オリヒログループの2029年IPOを目指す
長期成長ビジョン（目指す姿・ビジネスモデル） 外発的動機
＜業界の動向＞
＜これまでの取組み＞
• オリヒログループは健康食品と包装機械の総合メーカー。当社は、 • 包装機械は、主要販売先が食品・飲料や日用品、医薬品など生
活必需品を取り扱う企業であり、これらの需要が堅調に推移してい
オリヒログループの機械事業部として、液体・粘体・固体などの食品、
ることから、包装機械の需要は拡大基調にある。また、人口増加や
日用品、医薬品などを充填包装する「包装機械」の設計・開発・
経済成長が見込まれる米国や新興国など世界的には高い需要が
製造を行っている。業務用パッケージでは、国内トップクラスの
見込まれる。
シェアを有し、世界市場においてもパイオニアメーカーである。
＜包装技術のニーズ＞
＜長期ビジョン＞
• 包装技術は、食品の保存期間の長期化、鮮度の維持、衛生管理
1. 当社ミッションである「「おいしさ・たのしさ・安全」を世界へ」の実現 の面において重要な役割を担っている。環境意識の高まりからフード
2. 包装機械の技術の高度化・生産拡大 ロス削減、食品の風味を損なわない包装、ライフスタイルの変化から
3. 国内のみならず、需要拡大が見込まれる北米、中国、東南アジ 時代の潮流にあった包装資材へのニーズが多様化。
アを中心とした海外市場への展開強化 • こうした背景を受け、国内外問わず包装資材メーカーや食品メー
4. オリヒログループの2029年のIPO実現 カーから包装機械の開発依頼や新規引き合いが増加傾向にある。
内発的動機
• 多様化する包装機械のニーズに対応するべく、更なる技術の高度
＜30年かけて培った独自技術＞
化・生産能力の拡充を図るため、本事業を通じた大規模成長投
• 無菌充填システムは、添加物不要で鮮度や素材本来の風味を保
資を実施する。
持しながら、栄養成分の劣化を防ぐ独自技術である。この技術は、
• 本事業を通じて、当社売上高65億円、グループ全体の売上高
食品の保存期間の延長により、食品廃棄処分を低減にも繋げてい
700億円の達成を目指し、事業拡大・企業価値の向上に取組
くことができ、SDGsの観点からも国内外の食品メーカー等から高評
んでいく。
価を得ている。
＜業界最前線での製品開発＞
売上成長目標
• 包装機械のパイオニアメーカーとして、常に業界の最前線での製品
（１）当社単体
開発を実現し、安定的な成長を遂げるためには、優秀なエンジニア
2029年度 売上高65億円 営業利益8.9億円
の確保と生産工場のキャパシティの拡大が必要不可欠である。
2023年度比 売上高37億増円（成長率232％）
＜継続的な企業価値の向上＞
（２）グループ全体
• 優秀なエンジニアを確保するためには、企業価値や企業ブランド力の
2030年度 売上高700億円 営業利益100億円
向上、給与等の待遇面の改善が重要。
2023年度比 売上高211億円増（成長率143％）</t>
  </si>
  <si>
    <t>.補助事業の概要 オリヒロエンジニアリング株式会社
2
包装機械の生産拡大を図り、飛躍的な成長を遂げるため、包装機械製造工場の建設及び加工設備を導入
売上拡大・省力化効果により、労働生産性年平均＋21.0％、賃上げ年平均＋4.51％を実現
• 当社が製造する充填包装機は、自動化・省人化及びSDGs、ライフスタイルの変化といった現代
のあらゆる潮流に対応可能であることから、市場が拡大している。
61億円
補助事業の • 一方、当社では生産キャパシティ不足、２拠点による非効率な生産体制等の課題を有している。 事業費
（19億円）
背景・目的 • 本事業を通じて、製造スペースを拡充するとともに、効率的な生産体制を構築すことにより、市 （補助額）
場が拡大する包装機械需要を取り込むことにより、飛躍的な成長を実現していく。
＜事業の内容＞
• 群馬県高崎市内に新たに工場を建設し、最新鋭のレーザー加工機等の加工設備を導入する。
（１）建物費
名 称：オリヒロエンジニアリング(株)本社工場（仮称）
金 額：5,082,780千円（税抜）
構 造：３階建 鉄骨造 延床面積：17,760.44㎡
（２）機械装置費 設備総額：1,060,301千円（税抜） 写真等
設備投資の
導入設備：レーザー加工機、五面加工機、マシニングセンタ、NCフライス、 ミーリング付旋盤、汎
内容 用旋盤、ベンダー、バリ取り器、集塵機、ファイバー溶接機、三次元測定器、CAD/CAM等
＜労働生産性の向上＞
• 本事業を通じて、生産キャパシティを従来の2.8倍へ拡充
• 拠点を集約し、設計～加工～組立～出荷までの一貫生産体制を構築
• モジュール生産方式による生産の効率化
• 付加価値の高い無菌包装機等の新機種の開発、量産化
これらの取組みにより、労働生産性の向上に取組んでいく。
三菱電機製 レーザー加工機 芝浦機械製 五面加工機
2025年度 2029年度
項目
（基準年度） （基準年度＋３年後）
労働生産性 1943万円
1097万円
（単位：万円/人） （年平均上昇率＋21.0％）
目標値 従業員1人あたり給与支給総額 594万円
521万円
（単位：万円/人） （年平均上昇率＋4.51％）
役員１人あたり給与支給総額 -
-
（単位：万円/人） （年平均上昇率＋3.0％）
補助事業に係る従業員数
89人 95人
（単位：人）</t>
  </si>
  <si>
    <t>株式会社石井機械製作所
１.長期成長ビジョン
次の100年を見据えて、リチウムイオンバッテリーに着目した新事業に取り組んでいく
長期成長ビジョン（目指す姿・ビジネスモデル） 外発的動機
• EV（電気自動車）の普及に伴い、搭載される電源「リチウムイオ
• 弊社は現在、リチウムイオンバッテリーという成長分野に係る設備製
ンバッテリー（以降、「LIB」と称する。）の生産量が増えている。
作に直面しており、海外製造工場の新設を控える2025年に一時
• 中国をはじめとする世界各地でLIBの生産工場の新設が予定され
的に終息を見せるものの、中期的には取引量の増加が見込まれて
ており、製造ラインの生産計画がある。
いる。
• 計画されている工場の大型化と生産量の拡大目標に伴いLIB製
• リチウムイオンバッテリーの海外製造拠点新設され、関連する設備
造ラインも大型化が予定されている。また近年、LIB以外（航空、
の製作が活性化を迎えるまでに新たな生産体制を構築してその到
防衛関連）の大型治具等製作も増加している。
来に備える。また、航空宇宙や半導体関連設備製作など、我が
国の重要な産業に参入するためのノウハウを蓄積し、一過性に留
まらない攻めの経営により、継続した企業の成長を目指す。
内発的動機
• 大手メーカーからの受注が増加してきたことに伴い、一度に受注でき
る製造工場のキャパシティが限界に達している。製作要請はあるも
売上成長目標
のの、すべてを受け入れられていない現状があり、業績拡大を阻害
• 2025年をリスタート年度として、会社全体の売上高成長率
している。
140％
• 大規模設備の製作作業の際に、重大事故につながる可能性があ
• 2033年までに会社全体の売上高増加額３０億円
るインシデントが起こった。重大事故を防ぐためにも、施設やオペレー
＋それを上回るために重要産業分野への参入を模索
ションの改善を行いたい。
• 現在の売上構成は低いが今後の成長市場となる事業分野に積極
的に参入していきたい。</t>
  </si>
  <si>
    <t>.補助事業の概要 株式会社石井機械製作所
2
リチウムイオンバッテリーの製造を強化するために工場を新設し、生産性を向上させていくとともに、従業員の賃上
げを実施し、社会に波及効果をもたらしていく。
• 世界規模のリチウムイオンバッテリー製造の活性化に伴い、世界各国で生産施設・設備の新
設が計画されており、設備の大型化、大量発注の要請がある。弊社は製造ラインの一部設備 事業費
補助事業の 11億円
の製作を担っており、この要請に対応するため新工場を新設し製造環境の整備を図る。組み （補助
背景・目的 （3. 億円）
5
立て拠点並びに作業人員の集約化により生産性の向上、ひいては従業員の賃上げに資する 額）
資源の確保を目指す。
【設備投資内容】
• 大規模工場（建築面積：3606.3㎡）
• 天井クレーン（30ｔ:2基、15ｔ・5t:2基）
【労働生産性向上の内容】
• 広大な組立スペースを確保することにより、大型化の要請がある同種又
設備投資の は多種の設備の同時製作（最大２０基）を可能にする。
↑外観完成
内容 • 耐荷重の大きなクレーン（30t）の導入により、製作設備の大型化に
イメージ図
よる重量増に対応するとともに、生産性と安全性、荷役時の作業効率
を向上させる。また、耐荷重の小さいクレーン（15t・5t）を併設するこ
とで、用途に合わせた利用で組立時の作業効率を向上させる。 ← 天井クレーン
• 生産拠点を集約化（現在の組立・保管拠点3か所）することにより、 （イメージ）
分散していた作業人員を集約することで、生産効率のよい人員配置を
可能とし、作業請負などの外注費を削減する
2025年度 2028年度
項目
（基準年度） （基準年度 ＋ 3年後）
労働生産性 2,044
1,608
（単位：万円/人） (年平均上昇率+8.34%)
従業員1人当たり給与支給総額 523
目標値 452
（単位：万円/人） (年平均上昇率+5.00%
役員1人あたり給与支給総額 13,602
9,750
（単位：万円/人） (年平均上昇率＋11.74%)
補助事業に係る従業員数
101 116
（単位：人）</t>
  </si>
  <si>
    <t>1.長期成長ビジョン 株式会社柴田合成
容器事業を当社の中核事業に育成。「三峰」体制を確立
上記実現に向け ①SDGｓ対応 ②生産の自動化・ロボット化 ③人材投資(雇用拡大・賃上げ) を徹底する
長期成長ビジョン（目指す姿・ビジネスモデル） 外発的動機
①現在の主力事業分析その１「自動車部品」
(1)中期5か年計画（2024年4月始動）
・当社の生産する自動車内装部品は部品集約化傾向が顕著。
「容器」事業を既存の「自動車部品」「アミューズメント部品」に続く
・同業他社が多くコスト競争熾烈。
第3の中核事業として育成する。 ・今後の大きな伸長は期待できない。
柴田合成の「三峰」計画として号令中。
②現在の主力事業分析その２「アミューズメント部品」
・パチンコ・パチスロ参加人口は年々減少傾向。市場規模縮小見込。
・自動車部品業界同様コスト競争熾烈。
自動車部品 部品 ・今後の大きな伸長は期待できない。
容器
③今後の主力事業分析「容器」
・化粧品・トイレタリー容器の市場規模は拡大見込。
柴田合成の「三峰」 ・一方、競合他社（ブロー成形）は少数。
・特にSDGs対応分野のフロントランナーは存在しない。
(2)容器事業拡大に当たっての3方針
↓
①SDGｓ対応
新たな中核事業創出の必要性（容器）
｢SDGs対応材料(リサイクル・バイオマス・生分解性)」を用いた
「ボトル」に特化し徹底拡販。
内発的動機
②生産の自動化・ロボット化
①「下請け」から「製造メーカ」への脱皮を図りたい。
最新鋭の自動化・省人化ブロー成形工場を増設。
②「特定業界(製品)売上偏重」からの脱却を図りたい
③人材投資（雇用拡大・賃上げ）
(外部環境変化影響の軽減)。
プロ人材採用と持続的賃上げ（年5％以上）の実現。
③時代の要請に即した製品を供給したい。
↓
新分野(環境対応製品の開発提供)への進出欲求
売上成長目標
• 2028年度における会社全体の売上高150億円
（2023年度比増加額55億円･成長率＋57％）
売上：2023年度実績95億円⇒2028年度目標150億円 • 2028年度における容器事業の売上高50億円</t>
  </si>
  <si>
    <t>補助事業の概要 株式会社柴田合成
2.
容器事業に大規模投資 3年間の補助対象事業費18.9億円（内7.1億円を今年度投下）
最新の自動化設備等を導入し、省人化ブロー成形工場を実現
• 2021年8月、現本社工場稼働により容器事業に本格参入。
補助事業の • 5年後50億円の中核事業に育成（中期5か年計画）。 事業費 1 億円
9
背景・目的 （補助額） （5.2億円）
• 大手化粧品メーカからＳＤＧｓ対応ボトルの引き合い多数。
⇒「成長分野であり優位性確保も可能」と判断。リスクを取った大規模成長投資を実施予定。
(百万円)
2025/3期 2026/3期 2027/3期 合計
工場･倉庫Ⅰ期 557 267 824
倉庫Ⅱ期 373 373
生産設備一式 510 187 697
設備投資の
合計 557 777 560 1,894
イメージ
内容
• 2024年度：工場・倉庫Ⅰ期（計2,733㎡）建設。
• 2026年度：倉庫Ⅱ期（2,998㎡）建設。
• 生産設備に3年間で6.9億円を投資。全生産工程
（成形～印刷～検査～梱包）を省人化ラインで完結。
• 2024年度に、先ず7.1億円の投資を完了する見込。
2026年度 2029年度
項目
（基準年度） （基準年度＋３年後）
労働生産性 3,672万円
2,605万円
（単位：万円/人） （年平均上昇率＋12.1％）
目標値 従業員1人あたり給与支給総額 616万円
532万円
（単位：万円/人） （年平均上昇率＋5.0％）
役員１人あたり給与支給総額 -
-
（単位：万円/人） （年平均上昇率＋5.0％）
補助事業に係る従業員数
19人 27人
（単位：人）</t>
  </si>
  <si>
    <t>イグス株式会社
1.⾧期成⾧ビジョン
イグス株式会社は、独自のエンジニアリングプラスチック製品を日本の基幹産業のお客様に⾧期的かつ安定的に
ご提供し、2029年に売上高成⾧率81.6%(2023年度比）を目指します。
⾧期成⾧ビジョン（目指す姿・ビジネスモデル）
外発的動機
イグス株式会社は、”Tech Up, Cost Down”(技術を上げてコストを
下げる）という全グループ共通の目標を達成するため、独自のエンジニア • コロナ禍において工作機械メーカや自動車メーカなど多くの製造業のお
リングプラスチック製品を日本の基幹産業である工作機械メーカ、半導体 客様が部品不足で製造をストップせざるを得ない事態が頻発し、部品の
製造装置メーカ、自動車関連メーカなどのお客様に⾧期的かつ安定的に 安定的な供給はイグスにとっても取り組むべき大きな課題となった。特に、
ご提供し、日本のお客様のグローバルな事業発展を下支えしていく。 生成AI,電気自動車の普及などにより今後半導体製造装置向けの部
品の需要が伸びることが予想され、日本の基幹産業に安定的に製品を
その目標達成のため、以下の事を実行していく。
供給できる体制作りが急務である。
• 継続的に、既存顧客へのクロスセリング活動、新規ビジネス、新規顧 • 円安によりドイツからの調達コストが大幅に上昇するとともに、材料コスト、
客開拓などの様々な営業マーケティング活動により売り上げを飛躍 輸送コストが高止まっており、全社一丸となって労働生産性を上げコスト
的に増加させていく。 競争力を上げることが必要である。
• インフレにより物価が上昇し、従業員の生活への影響が懸念される。
• 新工場を建設し、自動化機器、省力化機器の導入、生産ラインの
見直し、新たな倉庫システムの導入、生産現場のIT化などにより労
働生産性を継続的に向上させていくとともに、継続的な設備投資を
内発的動機
機動的に行い、将来の売上の増加に対応できる生産体制を構築す
る。
• 現在、生産拠点、倉庫が栃木県内の4か所に点在しており、オペレー
• ⾧期にわたって高い賃上げを定着させ、職場環境を改善することによ
ションが複雑で非効率になってる。また、現在の工場は、場所が狭く効率
り、社員がモチベーションを高く保ち、誇りをもって働ける会社とする。
的な生産ラインを組めず、自動化設備や省力化設備を導入するスペー
• 外注加工業者、部品メーカなど地域の事業者との協業を加速し、イ スにも大きな制約がある。今後日本の工作機械メーカや半導体製造装
グスの発展により地域の取引業者も一緒に発展できるようにする。 置メーカの需要拡大に対応できるようにするために、生産体制の改革と
拡充が必要である。
売上成⾧目標 • 従業員は、狭いスペースでの業務、休憩を余儀なくされており、モチベー
• 2029年までの会社全体の売上高成⾧率81.6％ (2023年度売上 ションの低下につながる懸念がある。
比） • 従業員のモチベーションを向上させるために賃上げが必要であるが、その
• 2029年までの会社全体の売上高増加額47.3億円 （2023年度 ためには労働生産性の向上が必要である。
売上比）</t>
  </si>
  <si>
    <t>イグス株式会社
2.補助事業の概要
新工場を建設し、現在の4拠点を1拠点に集約することにより物流効率を向上させます。また、自動化、省力化
機器を導入するとともに新しい倉庫システムを構築し、労働生産性を向上させます。
生産拠点、倉庫が栃木県内の4か所に点在しており、オペレーションが複雑で非効率になっている。また、
スペースが狭く効率的な生産ラインを組めず、自動化設備を置くスペースにも大きな制約がある。今後売り上げ
補助事業の 事業費 34億円
を拡大していくためには、売り上げ増に耐えうる新工場の建設、生産体制の改革、労働生産性向上 が急務で
背景・目的 （補助額） （8.9億円）
ある。
• 十分なスペースが確保できる新工場の建屋を建設し、組み立てラインを効率性を
• • 十分なスペースが確保できる新工場の建屋を建設し、組み立て
考えて見直し、省力化機器、自動化機器を導入するとともに生産現場のIT化を
推進し、労働生産性を向上させる。（建屋の床面積は7500平方メートルから
10000平方メートルを想定している）。
• また、建屋内に新しい倉庫システムを構築し（現在は4段のラックで通常のフォー
ク リフトを使っているが、6段のラックでラックフォークを想定）、より多くの種類の
製品 や新規事業の製品を在庫化し即納体制を整え、売上を増加させる。
• 具体的な設備・システム
設備投資の
• 新工場建屋
内容
• 高収納効率パレットラックとラックフォーク
• 大型レディチェーンドラム巻き取り作業電動化機器
• ケーブル端末加工機
• ケーブル測⾧機
• ケーブル巻取り作業自動化機器
• 重量物移載、搬送省力化機器
• 全自動封函機
• 出荷指示書IT化用クラウドシステムと文書管理との連携
2026年度 2029年度
項目
（基準年度） （基準年度＋３年後）
労働生産性 4,070.1
2,917.9
（単位:万円/人） （年平均上昇率＋11.7％）
目標値 従業員1人あたり給与支給総額 562.2
485.7
（単位:万円/人） （年平均上昇率＋5.0％）
役員１人あたり給与支給総額 -
-
（単位:万円/人） （年平均上昇率 - ％）
補助事業に係る従業員数
61 71
（単位:人）</t>
  </si>
  <si>
    <t>1.長期成長ビジョン 株式会社廣澤精機製作所
地域社会への長期的な価値提供を目指し、需要が急増する産業ロボット・半導体製造装置・アミューズメント機
器向け当社製品の生産量増加を図る。2030年までの急成長に向け、持続可能な生産体制構築を実施する。
• 茨城県西地区の発展と地域貢献を目指し、事業拡大と地域雇用拡大を実現することで、地域社会へ長期的な価値提供を行う。
• 生産面の強化に加え、自動化と省力化を推進して人材面を強化し、余力を確保することで長期的な競争優位性を獲得する。
• 環境に配慮した塗装技術を社内に取り入れ、塗装工程を内製化することで持続可能な成長が可能な生産体制を整備する。
• 社会課題である少子高齢化による人材不足を解消する術として、産業ロボットや半導体の需要が急増している。それらの構成部品である当社製
品においても生産量増加や短納期化を求められている状況である。顧客ニーズに対応するべく新工場建設と新設備導入を立案した。
長期成長ビジョン（目指す姿・ビジネスモデル） 外発的動機
• 少子高齢化による慢性的な人材不足の影響により、産業ロボット
• 地域社会への長期的な価値提供⇒事業拡大により地域雇用拡
や半導体の需要が急増。また、社会・生活の変化によるアミューズメ
大を実現する。新工場建設によりザ・ヒロサワ・シティの拡充を図り、
ント機器の需要も急増している。それらの構成部品を製造する当社
地域との相互共存・協力体制を保持しながら社会・暮らし・人々
に対する生産量増加・短納期化のニーズも急増している。新工場
のために新たな可能性と発展を提供する。
建設と自動化設備への戦略的投資により機会損失を防ぐ。
• 長期的な競争優位性の獲得⇒新工場には最新鋭の自動化設
• 当社においても深刻化する人手不足の解消と生産量増加を両立
備・省力化設備を積極的に導入する。単純作業や負荷の高い作
させることが事業拡大への急務である。
業をロボット等を駆使して自動化することで、従業員の余力を確保
• 社会的に環境配慮の機運が高まる中、長距離輸送を要する非効
する。確保した余力を、若手人材の育成や技術承継、生産体制
率な製品移動が必要な塗装工程の早期改善が必要不可欠。
の改善等の長期的競争力を維持するための活動に割り振ることで
長期的な競争優位性を獲得する。
• 持続可能な成長⇒環境に配慮した粉体塗装技術を新たに社内 内発的動機
に取り入れ、これまで外部委託で対応していた塗装工程を内製化
• 当社の地域貢献の象徴であるザ・ヒロサワ・シティの更なる拡充によ
する。月6,500㎞以上に達していた製品移動を不要とすることで、
り、社会・暮らし・人々のために新たな可能性と発展を地域に提供
二酸化炭素排出量も大幅に削減し、地球温暖化対策に貢献。
したいという代表取締役社長の強い想いから、本事業計画を立案。
• 社会課題・顧客ニーズ対応⇒需要が急増する産業ロボットや半 新工場建設による事業拡大を実現し、地域雇用拡大を推進する
導体製造装置向け当社製品の生産量増加・短納期化を実現す
ことがその第一歩目である。
ることで、社会課題の解決と顧客ニーズ対応に寄与する。
• 長期的な競争優位性を獲得するため、若手人材の育成や技術承
継、生産体制の改善等の作業にリソースを割く必要がある。
売上成長目標
• 2030年までの会社全体の売上高成長率12％
• 2030年までの会社全体の売上高増加額34.6億円</t>
  </si>
  <si>
    <t>.補助事業の概要 株式会社廣澤精機製作所
2
本補助事業では、産業ロボット・半導体製造装置・アミューズメント機器向けの当社製品の生産量増加を目指
し、新築する工場内に金属プレス板金・曲げ・溶接・塗装・組み立ての一貫生産ラインを構築する。
• 近年、産業ロボット・半導体製造装置向け当社製品の需要増加が著しく、主力製品であるア
ミューズメント筐体の需要も堅調に推移していることから、新工場の立ち上げによる生産量増加
補助事業の は必須であり、急務であると位置付けてきた。 事業費 7 1 億円
背景・目的 • 業界全体の人手不足への対応として、人的負担を最小限にとどめた上で効率を最大化できる （補助額） （24億円）
生産体制への刷新が不可欠であるため、自動化・省力化を推進する。
• 外部委託していた塗装工程を内製化することで長距離輸送を不要とする新体制を構築する。
• 金属プレス板金加工工程
⇒材料のピッキング作業を完全自動化する自動倉庫付きパンチレーザ複合加工
機をはじめ、三次元レーザ加工機や超大型プレス機を導入。
• 曲げ加工工程
⇒ロボットによる自動加工が可能なサーボドライブベンダーをはじめ、各種ベンダーを
複数台導入。
設備投資の
• 溶接工程
内容
⇒ロボットによる自動溶接が可能なファイバーレーザー溶接機をはじめ、各種溶接
機を複数台導入。
• 塗装工程
⇒粉体塗装ブース一式を導入。ロボットによる自動塗装も可能。
• 工場全体 自動倉庫のイメージ
⇒自律型搬送ロボットを導入し、工程間の製品移動を自動化する。
2027年6月期 2030年6月期
項目
（基準年度） （基準年度＋３年後）
補助事業の 労働生産性 2,172
1,868
目標値 （万円/人） （年平均上昇率＋5.2％）
従業員1人あたり 51
5
455
給与支給総額（万円/人） （年平均上昇率＋4.2％）</t>
  </si>
  <si>
    <t>大日工業株式会社
1.長期成長ビジョン
最高品質・人財育成・地域貢献を目指す経営理念の実践をもとに、モノづくりに邁進。
生産体制を強化し、環境にも社員にも優しい会社として、新工場にて更なる飛躍を目指す。
長期成長ビジョン（目指す姿・ビジネスモデル） 外発的動機
• 世界的なエアコン需要の高まり
業務用空調機の基板実装事業を拡大し、環境にも従業員にも
①世界的な気候変動による温暖化により、かつてはエアコンが必要でな
優しい経営を目指す かった地域でもエアコンなしでは過ごしにくくなっている。
②地球温暖化を見据えて代替冷媒の開発が進んでおり、環境負荷を低
• モノづくりを通じて地域・社会に貢献する
減することが可能なエアコンへの切り替えが急務である。
静岡市が開発を進める地域に、新工場を建設し会社全体の生産
③COP28で、日本は冷房機器による温室効果ガスの排出削減に取り組
体制を強化する。モノづくりとしての倫理を全うし得た利益から、従
む誓約に賛同。エネルギー効率の良い製品導入を、各国政府が後押しし
業員への還元と納税を行うことで、国や地域への発展普及に貢献 ていくと考えられる。
する。その為、変化する市場の求めに即応できる体制を構築する。 • 静岡市は国より第1回脱炭素先行地域として選定される
令和2年12月 静岡市は2050年温室効果ガス排出実質ゼロを宣言。
• “品質重視”の経営姿勢 令和4年6月 国より静岡市は全国26地域とともに第一回脱炭素先行
世界中で、環境に優しい冷媒を使用したエアコン導入の動きが加 地域に認定を受けた。
速し、需要が伸長。当社では、主要事業である業務用エアコン基 • 静岡市が力を入れている「まちづくり事業」
高速道路インター至近の清水区庵原地区の開発・整備が進んでいる。
板の実装において、『品質で業界一』を目標に掲げ『より良いモノづ
くりに日々邁進する』という理念を持つ。
内発的動機
• 人材投資と公平な評価によるモチベーションの維持・向上 • 現在の本社工場は津波浸水地域に入っており、南海トラフ地震が発生し
良き社会、良き製品を作るのはすべて人であるという考えをもとに、 た場合、津波と液状化現象により操業不可となる。現在当社は、主要取
専門知識や倫理教育を行い、人材育成投資を継続する。 引先のエアコン生産量のうち、約7割の基板実装を担っている。その為、
また、透明性と公平性を重視し、賃金の向上に努めることで、従 当社の基板実装業の生産が止まることで、主要取引先の業務用エアコン
業員のモチベーションと会社に対する信頼を保つ。それにより、生産 製造ラインの操業も停止させてしまうという、大きなリスクを抱えている。
性向上という形で会社に還元される好循環のサイクルを確立する。 • 既存の2工場は、スペース的に生産拡大の余地が無く、かつそれぞれの工
場において、前工程・後工程のいずれかしか行うことができない。工場が分
売上成長目標 かれているが故、輸送の手間や情報共有管理のリアルタイム性など課題
• 2023年9月期～2028年9月期までに が多い。
会社全体の売上高成長率：27.7％ • 自社で構築した生産システムは人手を要する旧来型であるため、システム
の大幅改編を行う必要がある。
• 2023年9月期～2028年9月期までに
会社全体の売上高増加額：10億円</t>
  </si>
  <si>
    <t>大日工業株式会社
.補助事業の概要
2
ＢＣＰ対策も踏まえた新工場建設による既存2工場の合併、生産ライン増設、
生産性の高い設備導入により、生産量増加と省力化を図る。
現在の本社工場は津波浸水地域に入っており、南海トラフ地震が発生した場合、津波と液状化現象により操業不可となる。また、当社の
補助事業の
主要事業であるエアコン基板実装は、需要が高まっているが、既存の2工場は、スペース的に生産拡大の余地が無く、輸送の手間や情報
背景・目的
共有管理のリアルタイム性など課題が多い。そのため、発注はあるものの、全てを受注することが不可能であり、謝絶・失注する状況にある。
• 本事業では、以上の課題を解決すべく、新工場を建設
【新工場】 静岡県静岡市清水区原（庵原地区）
し、既存の2工場の基板実装事業を1ヶ所にまとめ、
建築設備費・開発申請料等：16億3900万円
6→9ラインへ増強し、生産拡大を図る。
敷地面積：9141.22㎡
（補助事業＝新工場建設時には1ライン増設。
工場建物：本社・工場A棟 鉄骨造2階建 4793.81㎡
事業完了後、2027年以降に2ライン増設予定。）
工場B・倉庫棟 鉄骨造平屋建 293.90㎡
また、横持が不要となる為、人工・時間・コストの削減が
設備投資の 駐輪場 アルミ造平屋建 34.42㎡
可能となり、情報共有管理も容易になる。
内容 【導入設備】 2ライン増設：2億4960万円
・マウンター（作業場2）2台 ・AOI （作業場1）1台 ＜既存の2工場の延面積＞
課題解決
・リフロー （作業場2）1台 ・フラクサー（作業場1）1台 本社・辻1661.25㎡＋興津744.29㎡＝2405.54㎡
・AOI （作業場2）1台 ・はんだ槽 （作業場1）1台 ＜新工場の延面積＞5087.71㎡
・AGV（AMR）（資材）2台 ・差しコンベア（作業場1）1台
• 新工場への基板事業集約により空いたスペースにて、別
【本事業対象外】 土地購入・造成・登記等：8億2097万円
事業を行うことで、第2・第3の柱として事業拡大し、主
要事業に一極集中している現状を打破する。
補助事業 18億円
事業費 • 環境面においても、新工場はZEB実現を目指した設計
（補助額 億円）
5.9
（補助額） となっており、省エネ構造や太陽光発電を導入する。
項目 2025年9月期（基準年度） 2028年9月期（基準年度＋３年後）
労働生産性（万円/人） 632.3万円／人
400.1万円／人
（年平均上昇率＋16.48％）
従業員1人あたり 346.4万円／人
目標値 256.2万円／人
給与支給総額（万円/人） （年平均上昇率＋10.58％）
役員員1人あたり 785.2万円／人
623.3万円／人
給与支給総額（万円/人） （年平均上昇率＋8.00％）
補助事業に係る従業員数（単位：人） 76人 83人</t>
  </si>
  <si>
    <t>テラル株式会社
1.長期成長ビジョン
企業理念 「水と空気で未来をつくる」 のもと、TERAL VISION 2030 「安心を届けたい」 を掲げ、安心安全
快適な水と空気を行き届く世界の実現により、連結売上高1,000億円、連結経常利益率10％を目指す。
長期成長ビジョン（目指す姿・ビジネスモデル） 外発的動機 ※2030年代のメガトレンドからの未来
• 当社およびテラルグループは、10年を一仕事に2030年に目指し到 • 「世界視点」の水資源の不安定化、SXによる企業と社会・人の同期化
達する姿として、「絶えず」生産性を向上し、水と空気の制御技術 • 脱炭素化・エネルギー自立化に向けたビジネスモデル構築の必須化
を極め、脱炭素社会へ貢献する企業と定めている。 • 生産年齢人口の急減、労働力不足、スキルの合致した専門人材不足
• 気候変動・環境問題および労働生産性損失・低下・働き方改革
• 2030年に目指し到達する社会への提供価値として、「水と空気を • 国内GDP減少・市場シェア獲得難化、新興国とのグローバル競争激化
作る企業」として、「誰⼀⼈取り残さず安心安全快適な水と空気を • BEYOND5G、AI、ロボット等のテクノロジー技術進展の加速
行き届く社会（世界）の実現」と定めている。 • 成長投資およびGX投資等の成長市場創出・推進政策・規制の充実
• ビジョンを確度高く達成するため、3年を⼀計画として次の主要6施 持続可能な経営＝自己変革による成長とし、「未来志向による長期ビジョ
策等を講じ、自己変革から成長性を高める長期投資を行う。国内 ン」によりコア事業を通し、メガトレンドの技術・仕組み・政策の活用で解決を
外の市場シェアアップ進出と研究開発をビジネスモデルとする。 図る多様なソリューションを持つ専門集団となるため、成長市場の創出に取り
組み「地域企業として⼀層の規模拡大を図る」必要性を認め作成に至った。
内発的動機 ※経営者の原体験等
• 水と空気を操る企業として創業100年の経過(次の100年を意識)
• 「次のテラル」へプロジェクト「次の〇〇へ」（弊社の責務と社員の思い）
• 地域企業の重要性の高まり(飛躍的な成長は地域経済発展と相関)
• 100年の沿革から長期成長の基盤強化(企業価値向上の継続)
創業100年の2018年 「次のテラルへ」 をコピーに社員一人一人がお客様
や社会へ果たす役割を命題に 「次の〇〇を作る」を考えた。そこには「チャ
売上成長目標 ンス」「ファン」「未来」「技術者」「喜び」「世代との懸け橋」「クウォリティ」「技
• 2030年までに会社全体の売上高成長率・単体179％ 術者」「100年」「テラルならできる」など意見があふれ出た、経営者として
• 2030年までに会社全体の売上高成長率・連結224％ 純粋に嬉しさを感じ、同時に社会課題と顧客ニーズの解決を次のテラルで実
• 2030年までに会社全体の売上高増加額・単体261億円 現する強い決意、さらなる飛躍的成長による地域におけるグループ売上
• 2030年までに会社全体の売上高増加額・連結553億円 1,000億企業となり、次の100年に向かう責務と感じ、その思いで高位の
目標 TERAL VISION 2030の作成に至った。</t>
  </si>
  <si>
    <t>テラル株式会社
.補助事業の概要
2
6箇所から集約する自動倉庫兼工場を新設し、大型製品組立・研究開発部門を併設、最先端の自動化技術と統合
基幹システム導入で省力化をし、競合優位となるカスタマイズ提案力と研究開発力の強化を発揮し事業拡張を図る。
• 背景 : 市場の伸びと反する人手不足と必要となる競争力の獲得には最先端の自動化技術を業界においても
当社経営資源と生むシナジーを勘案し、省力化による生産能力を向上させることが重要になっている。
補助事業の • 目的 : 別々の6つの倉庫(賃借)を最先端の自動倉庫兼工場に統合し、大型製品組立・研究開発部門の 事業費 27億円
背景・目的 併設で競争優位性を確保し、労働生産性と業務効率を向上させ、賃上げ再投資体質への変容を図る。 （補助額） （ 億円）
8.6
• 課題 : 現在の断片化した倉庫インフラ、一部のDX活用の在庫管理では顧客特化型の製販連携の機会損
失が生じ、大型製品の輸送コスト増加と市場の需要への対応における強みの発揮に機敏性の低下がある。
■設備投資内容 : 名称 本社第二工場・自動倉庫
• 建設予定地／福山北産業団地(二区画3.2ha) ※市分譲審査会を経て契約最大区画
• 本社新工場・自動倉庫(3階建)／自動化・省力化・大型製品組立工場・研究開発部門
• 無人搬送フォークリフト(AGF)、無人搬送ロボット(AGV)／製品自動搬送、製品入出庫
• 垂直搬送装置、荷揃えライン、パレット等一式／荷揃え入出庫
• 統合基幹業務システム(ERP)／在庫・全社リソースの一元管理
■解決策 : 自動倉庫システムなど高度な自動化を組み込み課題に対処し、省力化とスルー
設備投資の プットの向上、ERPシステムとの統合により調達から流通のプロセスが合理化でき、リードタイ
内容 ム短縮、全体的な生産性向上とコスト削減、製造後に倉庫に輸送していた大型の組立ス
ペースでそのカスタマイズが容易となり、当社の市場での顧客提供価値を際立たせる。
■イノベーションと研究開発 : 旧サポイン事業から自己資金で実用化を進めるアルミニウムビ
レット加熱装置プロジェクトなど既存研究を基盤とした部門を併設し、継続的改善を行い産
業市場における新領域へ高付加価値商品を投入し、主力事業も含め新技術を開発する。
■再投資の強化 : 設備投資(第二期工場・GX)・無形固定資産投資(特許等)・研究開発
投資(主力・新領域)・能力開発投資(ゼネラリスト・スペシャリスト)へ投資還元をするための ※写真／福山北産業団地 ※イメージ図／自動倉庫
事業であり、単なる自動化設備の投資でなく当社の行動変容を果たす取組と位置付ける。 兼工場1階・自動化・無人搬送ロボット等
項目 2026年度（基準年度） 2029年度（基準年度＋３年後）
労働生産性 935万円
759万円
（単位：万円/⼈） （年平均上昇率＋7.19％）
従業員1⼈あたり給与支給総額 610万円
550万円
目標値 （単位：万円/⼈） （年平均上昇率＋3.51％）
役員１⼈あたり給与支給総額 －－万円
－－万円
（単位：万円/⼈） （年平均上昇率－％）
補助事業に係る従業員数
1,030人 1,160人
（単位：⼈）</t>
  </si>
  <si>
    <t>株式会社ハウゼコ
1.長期成長ビジョン
住宅の断熱義務化や大手ハウスメーカー等の積極的な海外展開を機会と捉え、研究開発・調達・生産・
販売体制を強化。国内での業界No.1の地位を盤石にすると共にグローバル展開に向けた取組を実施する。
長期成長ビジョン（目指す姿・ビジネスモデル） 外発的動機
住宅業界のメガトレンド
最先端の屋根換気・壁通気の自然換気テクノロジーで住宅の長寿命化を実現する
①2050年カーボンニュートラル実現に向けた住宅の省エネ化・長寿命化
②国内新設住宅着工戸数の減少と大手ハウスメーカーや総合住設建材メーカーを
①住宅用換気部材業界シェアNo1＆リーディングカンパニー
中心としたグローバル展開の加速や住宅の高付加価値化
・調達や生産、物流コストの上昇の中でも、高い収益力を実現
・産学官連携による研究開発を加速し、住宅業界での高いプレゼンス実現 成長機会
・2025年の省エネ基準適合義務化、2030年の省エネ基準の引き上げ
②国内開発・国内製造の高機能換気部材で住宅の省エネ化を促進 ・豪雨等の自然災害の頻発・激甚化による安全・安心な住まいへのニーズ
・開発、生産体制を強化し、拡大する省エネ住宅需要に対応 ・グローバル展開する大手建材メーカーからのOEM引合と安定供給のニーズ
・原材料からの国内サプライチェーン強化により、供給責任を果たす ・大手ハウスメーカーの北米進出と北米住宅市場における日本製建材への注目
⇒当社の製造する高機能換気部材についての国内外からの注目が高まっている
③国内住宅用換気部材メーカーとしては初の海外市場への進出
・住宅大手動向との連動やカナダとの共同研究による、高品質・高機能かつ リスク・脅威
多品種少量生産（6,800アイテム）を武器にした海外市場へのアプローチ ・人口減少による住宅需要の減少及び働き手の不足
・ダイバーシティ・インクルージョンによるグローバルでも通用する人材の育成 ・物流費、資材・エネルギー価格のさらなる高騰
・感染症やウクライナ情勢など地政学リスクによるサプライチェーンの混乱
内発的動機
「高度な自然換気テクノロジー」×
①国や大学等との専門的な研究を通じて増してきた換気部材の重要性
「グローバルに通用する組織体制」を通じて
・国交省国土技術政策総合研究所、建築学会、近畿大学、ブリティッシュコロンビア
カーボンニュートラル及びSDGsへの貢献
等と住宅の換気と耐久性についての研究を長年行ってきた。その中で、高気密性の
省エネ住宅や激甚化する豪雨災害の中で、自然換気のテクノロジーの重要性と
売上成長目標
グローバルなニーズの高さに気づいた。（特に海外では換気部材等の品種が少なく
2029年1月期までに以下の成長を目指す カナダでは100アイテム程度しかない。一方で、当社は6,800アイテムの商品数。）
会社全体売上高 ：66億円
売上高増加額 ：20億円 ②性別・国籍・働く場所が多様な当社の組織風土
売上高成長率 ：43% ・当社では、女性の現場リーダーや外国人管理職、全国でのリモートワーク等、性別・
付加価値額 :7.6億円(76%増) 国籍・場所を問わない、個を尊重した組織風土を培ってきた。当社の今後の持続的
な成長のためには、国内にとらわれずグローバルに目を向ける必要があると感じた。
当社の特徴
当社は住宅用換気部材の専業メーカーである。換気部材とは住宅の屋根や外壁に使用される建材であり、雨などの外からの水の浸入を防ぐとともに内部にこもった湿気を外に放出
する機能を有している。これにより、住宅の腐朽の原因となる湿気から住宅を守ることや自然な換気によりエコで快適な暮らしを実現する役割を担っている。当社は、住宅用換気部
材メーカーとして60年を迎えると共に、この20年では積極的な設備や人材への投資により、「住宅の3軒に1軒は当社製品が使われる」など、業界トップクラスの企業となっている。</t>
  </si>
  <si>
    <t>.補助事業の概要 株式会社ハウゼコ
2
当社は売上増加に伴い設備や拠点を拡大してきた。今後さらに一段の成長を目指すために、生産物流拠点の
統合、生産規模拡大及び生産の自動化・省力化への投資を行い、労働生産性を向上させる。
補助事業の 今後の成長拡大に向けては現在の非効率な生産物流体制がボトルネックとなっている。生産物 事業費 19億円
背景・目的 流体制の合理化・強化により、高機能換気部材を中心に拡大する需要を取り込む。 （補助額） （6. 億円）
1
１，課題
①売上高成長の持続のためには、生産規模を拡大する必要がある。
②拠点間のモノの移動が発生し非効率な生産物流体制となっている。
③需要が拡大している高機能換気部材を中心に生産効率が低い。
⇒生産物流体制面の改善・強化により売上・利益の拡大を図る。
２，設備投資の内容
①加西工場を増改築、新加西工場とし各生産物流拠点を統合する。
②自動化製造ラインを新設し、主力製品群の生産能力を増強する。
③多品種少量製造ラインを増強し、その他多品種製品群の生産数UPを図る。
設備投資の
内容
３，課題解決による労働生産性の向上
①拠点統合によるシナジー効果の発揮及びムダな時間・コストの削減
②高機能換気部材を中心とした、生産規模拡大による売上の拡大 新加西工場完成イメージ
③生産の自動化による省人化及び生産コストの削減
自動化製造ラインの新設 多品種少量製造ラインの増強
2026年1月期 2029年1月期
項目
（基準年度） （基準年度＋３年後）
労働生産性 800万円/人
500万円/人
（単位：万円/人） （年平均上昇率＋17.0％）
目標値 従業員 （ 1 単 人 位 あ ： た 万 り給 円 与 /人 支 ） 給総額 362万円/人 （年平均 40 上 2 昇 万 率 円 ＋ /人 3.2％）
役員１人あたり給与支給総額 ―
―
（単位：万円/人） （年平均上昇率＋3.2％）
補助事業に係る従業員数
197人 217人
（単位：人）</t>
  </si>
  <si>
    <t>株式会社インターオフィス
1.⻑期成⻑ビジョン
労働⼒不⾜を背景とした労働環境の改善、⽣産性の向上が重要になっている。空間のデザインと外国製家具
の販売を通じて「豊かな時間」を国内に広く提供していくことが当社の目指す姿である。
⻑期成⻑ビジョン（目指す姿・ビジネスモデル） 外発的動機
• 【労働人口の減少と働き方改革】
外国製家具の販売を核とした事業展開
•
日本国内では少⼦⾼齢化が加速しており、コロナ禍脱却も相まって労働⼒不⾜が社
当社は外国製家具の輸入販売事業者である。特にオフィス
会問題となっている。有効求人倍率が⾼⽌まりし、今後もその傾向は変わらないもの
家具に強く、家具の販売のみならず、空間デザイン設計まで手
と考えられる。その流れを受けて国を挙げて働き方改革に取り組まれており、雇⽤する
掛けている。また、オフィスを中⼼に家具サブスク事業を⾏って
側の企業としても「労働環境の改善」による選ばれる企業になること、「働きやすい空
いる。今後も外国製家具の販売を核に事業展開を⾏っていく。
• 間」創出により⽣産性向上を図ることが、重要なテーマとなっている。従業員は多くの
空間デザイン・家具販売を通じた豊かな時間の提供
時間をオフィスで過ごすため、 従来型の「働くためだけのオフィス」ではなく、ストレスのな
労働人口減少による働き方の改革が必要となる中、「労働環
い「快適な⽣活の延⻑線上のオフィス」が求められように変わってきており、時代に合わ
境の改善」、「働きやすい空間」作りが重要となっている。空間
せてオフィス空間を再構築する動きが⾼まっている。当社への空間デザインの依頼数
をデザインし、それに合うデザイン性のある家具を広く販売・普
増や、当社取り扱い家具への⾼いニーズに接している。
及させていくことを通じて、オフィス・⾃宅での「豊かな時間を提
【資源不⾜とサステナビリティ】
供していくこと」が、当社の目指す姿である。
•
• 世界的な資源不⾜に直⾯する中、日本では海外に遅れながらも、リユース業界の市
外国製家具の国内製造と国内流通環境の構築
場規模が10年でおよそ2倍の2.9兆円になるなど、新品偏重から中古への価値を⾒
輸入のみならず、商品の一部製造まで手掛け、豊富なバリュ
出し、サステナブルを価値観レベルで意識する価値観変容がおこりつつある。海外では
エーションを短納期で提供することを実現する。国内メーカーと
中古やアンティーク家具など年代が古い家具が新品以上に評価されているが、日本で
同等の流通環境を構築し、国内に広く、デザイン性の⾼い外
もその流れが強まっており、当社の取り扱っている⾼級家具のニーズが⾼まっており、特
国製家具を普及させていく。外国製家具取り扱いシェア圧倒
にサブスクでも中古品の取り扱いが増加している。
的No.1を目指す。
• そのようなトレンド変化を受け、⻑期成⻑ビジョンを掲げるに⾄った。
オフィス家具サブスクの国内普及と中古家具の価値向上
国内で市場が醸成されつつある家具のサブスク形態の取り扱
内発的動機
いを増やしていく。外国製家具は⾼級品であり、サブスクでの •
英国の建築学校出身で一級建築士の当社代表は、様々な建物やプロダクトデザイ
ニーズが⾼い。新品のみならず、中古家具をリノベーションして
ンの設計に携わってきた。海外の建築事務所で勤務してきた経験の中で、海外のオ
付加価値を⾼めた商品として提供していきたい。
フィスを多く目にしてきたが、空間デザインを考えて設計された海外のオフィスと、コスト・
売上成⻑目標 機能性に重きを置いた日本のオフィスの在り方が全く異なり、オフィス空間の違いから
働き方、社内コミュニケーション、労働⽣産性と様々なところに影響が出ていることを目
・2032年8⽉期までに会社全体の売上⾼成⻑率（直近決
の当たりにしてきた。この実体験から、オフィス空間デザインと、デザイン性の⾼いオフィス
算比）161.5%
家具を組み合わせることで、豊かな時間の価値を提供していきたい、と考えるように
・2032年8⽉期までに会社全体の売上⾼増加額（直近決
なった。
算比）49.3億円</t>
  </si>
  <si>
    <t>株式会社インターオフィス
2.補助事業の概要
加⼯・物流センターの建設により、仕上げ加⼯を内製化し、⼤幅な納期短縮と製品バリュエーションを増加。
中古品のリノベーション加⼯を実現。在庫数量増⼤と、配送・在庫保管の効率化も実現する。
【補助事業の背景】製品の調達リードタイムが⻑期化し、また、働き方改革やポストコロナを機にオフィ 事業費 15億円
スのレイアウト⾒直しが増加し顧客ニーズが多様化している。在庫を⼗分に保管できる物流センターを （補助額） （4.3億円）
保有していない他、顧客ニーズに沿った製品提供の為の家具組⽴機能を有していないため、受注がで
補助事業の
きず機会損失が発生している。
背景・目的 建設図面・パース図
【補助事業の目的】本事業では、加⼯と物流の機能を有する物流センターを建設し、増加する多様
なニーズに対応すべく、常に顧客に最適な製品を提供できる体制を構築することで、売上及び利益の
増加を図り、従業員へ賃上げで還元していくことが目的である。
■⼤規模な加工・物流センターの建設
•
加⼯・物流センターの建設で、従来、完成品を外国から仕⼊れていた製品の組⽴や布張りなどの仕
上げ加工を自社で内製化する。それにより、⼤幅な納期短縮とカラー等の製品バリュエーションの充
実、半製品仕⼊れによる利益率向上を図る。また、サブスクで戻ってきた中古品をメンテナンスのみ
ならず商品の組み合わせ等による付加価値向上を図るリノベーション加工を実現し、中古品の価
値向上と利益率向上を図る。また、⼤規模な物流センターであり、在庫保管可能量も増⼤し、主
要在庫を1か所に集約することで、配送・在庫保管の効率化も同時に実現する。
•
設備投資の 1階・2階はコントラクトとリテール向けの在庫を保管し、2階のアッセンブリースペースには家具の組
内容 ⽴・リノベーション加⼯に必要な設備を導⼊する。3階には事務室を設け在庫・仕⼊れ・出荷状況を
⼀元管理する。4階はサブスク用の商品を保管するスペースとする。
導⼊設備（⼀部）
※詳細導⼊設備、課題・課題の解決方法は補⾜資料に記載
費用区分 投資内容 概算費用
建物費 五霞 加⼯・物流センター建設費 15.5億円
機械装置費 設備機器導⼊費 0.5億円
（卓上ボール盤、高速カッター、卓上フライス盤等）
項目 2025年度（基準年度） 2028年度（基準年度＋３年後）
労働生産性（単位︓万円/人） 1,037 1,474（年平均上昇率＋12.4％）
目標値 従業員1人あたり給与支給総額（単位︓万円/人） 621 742（年平均上昇率＋6.1％）
役員１人あたり給与支給総額（単位︓万円/人） 1,375 1,525（年平均上昇率＋3.5％）
補助事業に係る従業員数（単位︓人） 169 198</t>
  </si>
  <si>
    <t>1.⻑期成⻑ビジョン
千代田鋼鉄工業株式会社
都内唯⼀の電炉で新たに、⾼品質な・太い棒鋼の製造に取り組む。
DX推進・製造⼯程の⾼度化に投資を続けて成⻑し、資源循環型社会の⼀員として貢献する。
外発的動機 内発的動機
• 都心再開発案件の大型化、高度化に伴い、当社が現状、十分 • 競争力の向上、都心需要でのシェア拡大のため、抜本的な生
対応できていない鋼種・サイズの棒鋼（鉄筋）ニーズが拡大し 産工程の高度化を遂行している。仕入れ（車両管理、計量、検
ている。 収）や電炉（溶解～出鋼）については生産性向上の目処が
• 棒鋼メーカーを含む製鋼業は再編が進んでいる。直ちに市 立っている。
場の需給が影響を受ける可能性は低いが、長期的には、幅広 • これまで「細物」の製造に特化していたが、供給能力向上に
い製品ラインアップや、より高度な製造設備を持つメーカー 伴い、より太い棒鋼の製造を検討している。サイズの太い鉄
に需要がシフトする可能性がある。 筋に対応した圧延設備の導入が必要になる。
• 他業界に増して、製鋼業界の人材不足は深刻である。会社と • ベース鋼種のサイズを太くしても付加価値が高まりにくいた
して成長を目指す背景には、賃上げはもちろん、厳しい労務 め、より強度の高い鋼種（SD490）の製造・増産に取り組む。
環境を前提としない、高度なものづくりへの転換を迫られて このためには、より高度な精錬工程を導入する必要がある。
いるという危機意識がある。
長期成長ビジョン（目指す姿・ビジネスモデル）
• 10年後、東京は高度に発展しつつ、環境負荷の少ない、持続的な都市インフラの更新を実現している。
• 当社は、寿命を迎えた建築物から鉄スクラップを回収し、これを元に新たな棒鋼（より強度の高い鉄筋）を
製造するという、資源循環型社会「鉄の地産地消」を実現・推進している。
• 建築物及びそこで用いられる棒鋼が高度化するのに合わせて、当社が製造・供給する棒鋼の鋼種・サイズも
高度化している。ユーザー様からは、当社の製品や製造工程を高く評価されている。
売上成長目標
• 2024年～2029年の5年間における、会社全体の売上高成長率 16.6％
• 20２４年～2029年の5年間における、会社全体の売上高増加額 5,749百万円</t>
  </si>
  <si>
    <t>2.補助事業の概要
千代田鋼鉄工業株式会社
先進的な精錬〜圧延⼯程を導⼊して、都内唯⼀の電炉を⾼度化する
旺盛な都⼼再開発需要への対応と、設備・⼈員の⽣産性向上を実現する
• 都心・近郊の高度な棒鋼需要に応えるために、製品ラインアップを増やし、事業拡大・
補助事業の 生産性向上と、持続的な賃上げを図る。 事業費 43億円
背景・⽬的 • 工場拡張と拠点新設を行う。 具体的には、二次精錬設備の新設、圧延設備の新設・改 （補助額） （6.5億円）
造、設備及び増産した製品を置く建屋・倉庫の新設を行う。
導入設備のイメージ
設備の名称 補助対象 目的
①二次精錬設備用建屋 ◯ 二次精錬及び鋳造設備を
対象 設置する
②二次精錬設備（LF：取鍋精 ✕ 二次精錬～鋳造工程を効
錬炉、連続鋳造設備を含む） 率化する
対象外
③太物圧延用設備（改造費及 ◯ 太物（D19～）の製造のた
び設置工事費） 対象 め、圧延能力を向上する
設備投資の
④積込・保管用建屋（工場 ✕ 増産する製品の出荷準備
内容
内） 及び保管
対象外
⑤積込・保管用建屋内鉄筋 ◯ 出荷する製品を保管する
ラック工事 対象 治具
⑥保管用建屋（八潮市） ◯ 増産する製品を保管する
対象 （中古倉庫を新規取得）
⑦保管用建屋内スライドアー ◯ 増産する製品を保管する
ムラック（八潮市） 対象 治具
2025年度 2028年度
項⽬
（基準年度） （基準年度＋３年後）
労働⽣産性 3,095
2,661
（単位︓万円/⼈） (年平均上昇率＋5.2％)
⽬標値 従業員1⼈あたり給与⽀給総額 667
592
（単位︓万円/⼈） （年平均上昇率＋4％）
役員１⼈あたり給与⽀給総額 -
-
（単位︓万円/⼈） （年平均上昇率＋2.6％）
補助事業に係る従業員数
155 155
（単位︓⼈）</t>
  </si>
  <si>
    <t>株式会社 ビッグハウス
1.長期成長ビジョン
当社（木造建築物の製造・建設業）は、製造工程のオートメーション化により建設業の脱炭素化・人手不
足の解消に貢献し「次の100年のスタンダード」を牽引する（2023年：8億⇒2029年：22億へ）
長期成長ビジョン（目指す姿・ビジネスモデル） 外発的動機（社会課題・顧客ﾆｰｽﾞの変化等のﾒｶﾞﾄﾚﾝﾄﾞ）
• 2025年には、建設業の労働人口が約90万人不足すると予想
現在の姿
• 平成26年の設立以来、宮崎県で「次の100年のスタンダード」 され、生産効率の向上は喫緊の課題である
• 2050年のカーボンニュートラルを目指す日本において、木造木
を目標とした建物づくりを目指す
• 木造構造物の①トラス構造の屋根、②ツーバイフォー（2×4パ 質化された建築物は、都市部における「第2の森林」として炭素の
ネル）の壁や床材を製造・組立している 貯蔵庫となることが期待される
⇒日本の建設業において脱炭素への本格的な取り組みと
人手不足を解消する生産効率の向上は
建設業界関連企業としての生き残る術である
内発的動機（経営者の原体験や動機等）
長期成長ビジョン
• 木造大型建造物の需要増加に対し、製造環境が不十分であり、
• 製造工程のオートメーション化により木造建築物の大型化と
1棟あたりトラス元請で200百万円、トラス材工フレミング工事で
大量生産に対応し、売上・利益の拡大
50百万円規模の機会損失となっている
• 建築部分の製造～組立を一貫して請け負い、建設業の人
• 手作業かつ属人化された製造工程によりコストが大きくかかり、従
手不足解消に貢献し、他社と差別化
業員の給与に反映できていない
• 木造建築を推し進め、脱炭素を日本のスタンダードに
⇒製造工程のオートメーション化により生産量の増加と生
売上成長目標 産コストの削減により大幅な収益UPが必要
• 2029年までの会社全体の売上高成長率161％
• 2029年までの会社全体の売上高増加額14億円
審査基準 ☑メガトレンドを踏まえ、5～10年後の社会に価値提供する自社のありたい姿（長期成長ビジョン）が具現化されている
との整合性 ☑その中において、高い売上高成長率及び売上高増加額が示されている</t>
  </si>
  <si>
    <t>株式会社 ビッグハウス
2.補助事業の概要
・既存の工場・設備は効率性や生産性が低く、当社の今後の競争力や人材確保力の低下が懸念される
・①新工場建設、②産業用ロボットの導入により、生産性向上および量産体制の構築を図る
背景 当社は木造建築の部品製造から取付まで一気通貫で対応できる技術やノウハウを有するが、人手に依存した製造方
法により生産効率が低く、利益を圧迫している状態である
目的 製造工程の自動化により市場の需要に対応できる量産体制の構築および生産効率向上により収益改善を図る
補助事業の
現在抱えている課題
背景・目的 A：作業スペースや仕掛品の保管場所を確保し、効率性・生産性の工場
事業費 12億円
B：産業用ロボット導入により人手不足を解消し、量産体制を構築
（補助額） （3.8億円）
C：手作業や、生産性改善の余地が大きい工程を自動化し、生産コストを削減
D：3Kのイメージが積用労働環境を改善し、人材採用を強化
取組 実施場所 取組内容 投資額
三股新工場 造成工事
A 三股工場 三股新工場 新工場新築工事 3.7億円
三股新工場 新事務所新築工事
設備投資の B ツーバイ・フォー壁・合板組立システム導入 2億円
内容 C カット機自動投入システム導入 1.2億円
D トラス組立システム導入 2.2億円
三股工場
E 床・金具組立システム導入 1億円
F 木材 そり量検査システム導入 0.4億円
G 搬送機械導入 1億円
2026年度 2029年度
項目
（基準年度） （基準年度＋３年後）
労働生産性 1,176
785
（単位：万円/人） （年平均上昇率＋14.4％）
従業員1人あたり給与支給総額 500
目標値 385
（単位：万円/人） （年平均上昇率＋9.07％）
役員１人あたり給与支給総額 -
-
（単位：万円/人） （年平均上昇率＋6.58％）
補助事業に係る従業員数
41 54
（単位：人）</t>
  </si>
  <si>
    <t>株式会社山田ドビー
1.長期成長ビジョン
■グリーン成長分野の主要部品専用プレス機と生産技術を提供し、脱炭素社会実現に
貢献し続けている会社
長期成長ビジョン（目指す姿・ビジネスモデル） 外発的動機
• 本格的な脱・低炭素化の流れ（政府のグリーン成長戦略）
①グリーン成長14分野において、高い生産性が求められる • 自動車部品の工法転換（プレス→ギガキャスト等）による
主要小型部品の製造に特化したプレス機の開発 プレス部品の減少
• 内燃製自動車のEV・FCV化によるプレス部品需要の高まり
②プレス機のみならず、提携・協業している、プレス加工、 • 国内販売の減少、海外販売・引合いの大幅増（環境分野）
材料、金型、周辺機器メーカーと協同して、生産技術も含め • プレス機のみならず生産ライン構築支援ニーズの高まり
て販売する。（地域貢献） • アサイ産業（石川県企業）買収直後の被災による建屋修繕
必要性の発生
③上記でグリーン成長分野製品の大幅なコストダウンと生産
性の向上を実現する事で、政府が掲げるグリーン成長戦略を
促進し、当社と協同事業者が共に成長するビジネスモデルを
構築する。（我が国経済発展への貢献）
内発的動機
④ビジョンを実現する為に必要な、優秀人材を確保し当社に
①小型高速精密プレス機製造の世界トップ技術を保有
留めるべく、「一宮で一番高い給与を出せる会社」を維持し、
②高度なプレス加工技術保有企業との提携
技術者にとって魅力的な難易度の高い案件を受注し続ける企
③高度な金型技術保有企業との提携
業を目指す
④金属材料メーカーとの提携
⑤品質改善・生産性を向上させる周辺機器メーカーとの提携
⑥近年業績好調により大規模投資が可能
売上成長目標
⑦上記①②③④⑤の活用で難易度の高い生産ライン構築
• 2029年までの会社全体の売上高成長率82.3％
可能
• 2029年までの会社全体の売上高増加額77.9億円
⑧アサイ産業買収による大型プレス機製造のノウハウと
工場取得</t>
  </si>
  <si>
    <t>株式会社山田ドビー
2.補助事業の概要
■市場の最大1/3価格の燃料電池用セパレータ専用プレス機の生産体制を構築する
補助事業の
燃料電池用セパレータは、加工精度の課題をクリアする為、現在非常に高額且つ大型 事業費 59億円
プレス機2台での生産が必要で、燃料電池の価格を押し上げ、普及の妨げとなってい （補助額） （18億円）
背景・目的
る。本事業で大幅な価格の低減、小型化した燃料電池用セパレータ専用プレス機を製
品化し、燃料電池の生産コストを大幅に低減・生産性の向上を実現する事で、脱炭素
社会の実現に貢献する。
設備投資の
内容
燃料電池用セパレータ専用
プレス機の試作機
2026年度 2029年度
項目
（基準年度） （基準年度＋３年後）
労働生産性 58,032千円
17,623千円
（単位:千円/人） （年平均上昇率＋49％）
目標値 従業員1人あたり給与支給総額 9,883千円
8,300千円
（単位:千円/人） （年平均上昇率＋5.95％）
役員１人あたり給与支給総額 -
-
（単位:千円/人） （年平均上昇率＋3.70％）
補助事業に係る従業員数
12名 30名
（単位:人）</t>
  </si>
  <si>
    <t>1.⾧期成⾧ビジョン 丸井産業株式会社
・ 建設資材の総合メーカー兼商社として、取引先の要望に応えた商品開発や技術的サポート、スピード感の
ある「提案営業」を軸に製品づくりから販売・施工まで、全国の取引先（建設現場）のサポートを実践する
⾧期成⾧ビジョン（目指す姿・ビジネスモデル）
外発的動機
建設現場の工期遅延の解消 社会課題（SDGs）の解決に向けた取組
・ 生産拠点を東西に持つことにより、リードタイムの短縮を行い、建設 ・ 労働人口の減少による省力化商品の需要の高まり
現場の合理化をサポートする
・ 2024年問題をふまえて効率的な輸送の実現
自社製品の開発強化
快適な職場環境と賃上げの実現
・ 建設現場に寄り添った新商品開発を行うとともに、最新鋭の設備を
・ 週休二日制の導入、冷暖房完備の施設整備
導入することで生産コストを下げ、競争力を強化する
・ 生産性の向上による継続的な賃上げの実現
生産の効率化と持続的な賃上げの実現
・ 自動化ラインの設備により生産性を向上させ、人手不足の解消と、
社員の手で生み出された利益を社員に還元する
内発的動機
売上成⾧目標
取引先の満足度と新商品開発
• 2030年度までに売上高1,000億円を達成させる
1,200 ・ 「いいものを作って世の中の役に立ちたい」という創業者
1,032
965 の理念に基づいた新たな商品開発により、取引先の
1,000 902
843
788 満足度を向上させる
800 688 736
643 ・ 既存工場のキャパオーバーの解消
599
600
知識・経験などスキルの向上
4000
2022年2023年2024年2025年2026年2027年2028年2029年2030年</t>
  </si>
  <si>
    <t>2.補助事業の概要 丸井産業株式会社
・ 東日本エリアの新工場建設により、社会課題である建設現場と物流面における効率的な働き方の実現
およびサポートが可能となるだけでなく、SDGｓ、地域貢献及びDXの推進に向けた貢献も可能となる
• 建設現場の遅延解消を実現するため、東日本の生産拠点を整備して物流のリードタイムの短縮 事業費 102億円
補助事業の を実現する（2024年問題を踏まえ、建設現場は効率的な働き方が求められている）。
（補助額） （30億円）
背景・目的 • 自動化ラインの設備により生産性を向上させ、人手不足の解消と、効率化によって得られた
利益を持続的に社員に還元する。 （※:支払済など対象外費用:2.8億円を含む）
• 茨城の物流倉庫の隣地に、自社製品の製造工場を建設する 当社の東日本物流センター（2022年）
内容 対象事業者 事業費
新工場の建設 丸井産業㈱ 90.2億円
自社製品の製造、自動化、
省エネを実現するための設備
㈱イムロ 22.7億円
（例）金型設備
自動化設備 他
【新工場建設により期待される効果】
設備投資の
（取引先の課題解決に向けた取り組み）
内容
・ 建材に係る製品をスピーディーに届けることで、建設現場の効率的な働き方をサポートする。
・ 災害等の有事の際にも、安定的な供給ができる体制を構築する。
（SDGｓ、地域貢献への取組み）
・ 東日本エリアの生産拠点を整備することで製品の輸送距離が短縮され、物流にかかるCO2の排出量が大きく削減される。
・ 太陽光発電システムの導入により、CO2の排出量が大きく削減される。
・ 地域雇用の確保（工場で50名の新規採用を計画）、自動化設備の導入等により生産性を高め、賃上げを実現する。
（DX化への取組み）
・ 需要予測AIの導入、データ可視化による生産工程の高度化
・ 自動化設備の導入、Iot（生産管理システム）、AGV（無人配送車）導入による工場のスマート化</t>
  </si>
  <si>
    <t>2.補助事業の概要 丸井産業株式会社
西日本 の工場から全国の拠点へ配送 → 東日本の拠点は茨城工場から配送する体制に
（広島・島根）
工場 人員
本社工場 44名
本社工場、広島工場、六日市工場で
広島工場 36名 生産している製品を茨城工場でも製造
合計:107人
設備投資 西 六日市工場（島根） 27名
日
実施後の
本 関西工場 12名
物流
佐賀工場 6名
沖縄工場 7名
生産性の向上
茨城工場 23名→73名（予定）
東
日 札幌工場 2名 次ページ
本
八王子工場 4名
2025年度（2026年5月期） 2028年度（2029年5月期）
項目
（基準年度） （基準年度＋３年後）
労働生産性 7,359
6,214
（単位:千円/人） (年平均上昇率+5.79％)
目標値
従業員1人あたり給与支給総額 6,614
5,677
（丸井産業） （単位:千円/人）
(年平均上昇率+5.23％)
自動化設備の
役員１人あたり給与支給総額 -
-
（単位:千円/人） (年平均上昇率+5.00％) 導入により効率
補助事業に係る従業員数
1,685 1,985 性は高まるものの、
（単位:人）
次の成⾧を見据
2025年度（2026年5月期） 2028年度（2029年5月期）
項目 え、従業員の
（基準年度） （基準年度＋３年後）
雇用拡大にウエイ
労働生産性 898
3,262
（単位:千円/人） （年平均上昇率-34.94%） トをおいて展開
目標値 従業員1人あたり給与支給総額 5,251
4,496
（イムロ） （単位:千円/人） （年平均上昇率+5.31%）
役員１人あたり給与支給総額 -
-
（単位:千円/人）
（年平均上昇率+5.00%）
補助事業に係る従業員数
139 182
（単位:人）</t>
  </si>
  <si>
    <t>1.長期成長ビジョン 山本ビニター株式会社
誘電加熱市場は小さく、既存市場は成熟化している。反面、カーボンニュートラルの進展に伴い、省エネ技術とし
て誘電加熱の優位性が注目されている。リーディングカンパニーとして新しい分野に挑戦することで、誘電加熱装
置の市場拡大を図る。
長期成長ビジョン（目指す姿・ビジネスモデル） 外発的動機
• カーボンニュートラル・省エネの進展により、化石燃料から電化への
誘電加熱装置のリーディングカンパニーとして、誘電加熱市場の
要請が高い
拡大・製品の浸透化を図る。
• 既存分野（木材・樹脂・食品）の市場成熟
• 少子高齢化による労働力不足
中期目標：2034年に売上高100億円
• 産業の空洞化と国内製造業の衰退
長期目標：2054年に100年企業
＜目標達成の戦略＞
１．誘電加熱の新規市場を開拓し、新製品を投入する
２．自動化・省エネ化を武器に製品を既存市場に浸透させる
３．海外展開を強化し、海外市場を取り込む
４．それらを受け入れる生産力を増強する
内発的動機
• 工場の老朽化、生産面積が手狭により、製造能力の限界に達して
＜達成手段＞
いる
• 工場の全面的なリニューアル
• 「加熱の困り事」に対して、誘電加熱の技術を活かすことで、ソリュー
• R＆Dセンターの新設
ションを提供できる
売上成長目標
• 2030年までに会社全体の売上高成長率160％
• 2030年までに会社全体の売上高増加額25億円</t>
  </si>
  <si>
    <t>.補助事業の概要
2 山本ビニター株式会社
2030年に100億円企業の達成を目指し、「工場の全面リニューアル」と「R＆Dセンターの新設」を実施。
これらにより、既存市場では「浸透化戦略」を深化させ、また新市場開拓では「誘電加熱によるソリューションモデ
ル」を深化させることで、生産力1.4倍、売上高1.6倍を目指す。
補助事業の 工場リニューアルによる生産力の向上とR&amp;Dセンター新設による技術開発力の強化により、 事業費 2 億円
6
背景・目的 誘電加熱市場の拡大・製品の浸透を図る （補助額） （ 億円）
8.2
＜工場全面リニューアル：生産力の向上＞
１．組立スペース拡大
→新工場の建設
２．リードタイム短縮
→工程管理の強化、図面管理ソフトの導入、専門家による設計強化支援
３．作業効率向上
設備投資の
→AGV自走部品搬送システム導入、三次元測定機導入
内容
＜R＆Dセンター新設：技術開発力の強化＞
１．既存市場の浸透化
→電波環境への対応（電波暗室の設置）、HPによる多言語での情報発信
２．新規市場の開拓
→テストラボの拡充、電磁界シミュレーションシステムの強化、測定器・検査機器の拡充、HPによる技術情報の発信
2027年度 2030年度
項目
（基準年度） （基準年度＋３年後）
労働生産性 2,028万円／人
1,701万円／人
（単位：万円/人） （年平均上昇率＋6.0％）
目標値 従業員1人あたり給与支給総額 807万円／人
728万円／人
（単位：万円/人） （年平均上昇率＋3.5％）
役員１人あたり給与支給総額 －
－
（単位：万円/人） （年平均上昇率＋4.0％）
補助事業に係る従業員数
96人 110人
（単位：人）</t>
  </si>
  <si>
    <t>株式会社アイスコ
1.長期成長ビジョン
当社はアイスクリーム・冷凍食品の卸売業及び食品スーパーマーケットの運営を行っています。2021年から10年
先の目標「ICECO VISION 2030」を定め、徹底的な合理化と効率化の推進を掲げ取り組んでおります。
長期成長ビジョン（目指す姿・ビジネスモデル） 外発的動機
◼ 外部の機会
• 「ICECO VISION 2030」
・コロナ以降で高まった即食・簡便・時短ニーズによる家庭用冷凍食品
拡大が見込まれるフローズン市場において差別化戦略を武器に
の急伸
リーディングカンパニーを目指す。
・冷凍食品の生産量増加に伴う低温物流市場の拡大傾向
• 5つの成長戦略
・国を挙げた物流DXの推進
①サービス品質の向上
◼ 外部の脅威
・フルメンテナンスサービスを磨き上げ、お客様にとっての揺るぎない存在へ
・低温物流事業における競合の増加
・商品品質・接客サービスを磨き上げ、お客様満足度No.1を目指す
・原油やエネルギー価格の高騰による費用負担の増加
②新規事業の創出
・2024年問題に伴う物流の停滞と人件費上昇
・収益力の高い新規事業の創出
・グローバル事業展開の検討 ・労働力人口の減少
③自立型人財の育成
・自ら考え行動し、結果を出せる社員の育成
・人を育てることが出来る社員の育成
④DXの推進
・デジタル技術や戦略に十分な知見を持つ人財の確保 内発的動機
・デジタル技術を活用し、新たな価値を創出
• 「I care everybody company-あらゆる人々に慈しみの心を
⑤SDGsの取組
もって接する企業でありたい-」当社の由来となっているこの言葉は、
・太陽光パネルの活用により、冷凍庫の電気の一部を太陽光発電で賄う
私たちが出来るだけたくさんの人に幸せになってもらいたいという強い
・環境配慮型トラックの導入を検討
願いを込めている。また、当社は「情熱・挑戦」「努力・決意」「感
売上成長目標 謝・謙虚」の3つを行動指針に掲げ、お客様に感動と満足を感じて
いただける、そして社員一人ひとりが活き活きとやりがいをもって仕事
• 2030年3月期までの会社全体のKGI
ができる環境づくりを目指している。
会社全体の売上高1,000億円
会社全体の営業利益25億円 • 当社は創業70年を迎えて今後さらに100年150年と存続させるこ
とを目指しており、持続可能な企業づくりを目指して日々成長を続
売上高成長率122％、増加額551億円（直近期末比）
けることを目標にしている。</t>
  </si>
  <si>
    <t>.補助事業の概要 株式会社アイスコ
2
ケース単位で管理できる自動倉庫を備えた物流倉庫を新たに建設する事で、従来作業員が行っていた仕分け、
ピッキング作業を自動化し労働生産性を大幅に改善、売上増加への対応や更なる配送効率の向上を実現する。
補助事業の • 冷凍食品市場の拡大に伴う北関東エリアの取引拡大に対応できる体制を構築。 事業費 35億円
背景・目的 • 立体自動倉庫によって仕分け・ピッキングを自動化し、人手不足に対応。 （補助額） （11億円）
• 投資の概要
新たに埼玉県に冷凍物流倉庫を建設する。新倉庫にはケース単位で
保管できる自動倉庫を活用した物流システムを導入することで、労働生
産性を飛躍的に改善する。
• 課題の解決
完成イメージ（外観） ピッキングイメージ
ケース自動倉庫による仕分け、ピッキングの自動化：
従来人の手で行っていた仕分け、ピッキング作業をケース単位で格納でき
設備投資の
る自動倉庫を導入することで自動化し、労働生産性と就業環境の改善を
内容
図る。
倉庫の集約化による物流効率の改善：
本事業で新たに大型の倉庫を建設するのにともない、周辺倉庫の統廃合
を行う。
本事業で建設した倉庫を基幹倉庫として、既存倉庫や他社物流倉庫を
サテライト倉庫として使用可能な体制を構築し、商圏拡大の低コスト化を
実現する。
完成イメージ（3Dモデル）
2027年3月期 2030年3月期
項目
（基準年度） （基準年度＋３年後）
労働生産性 823
654
（単位：万円/人） （年平均上昇率＋7.93％）
目標値 従業員1人あたり給与支給総額 503
446
（単位：万円/人） （年平均上昇率＋4.07％）
役員１人あたり給与支給総額 -
-
（単位：万円/人） （年平均上昇率＋0％）
補助事業に係る従業員数
158 188
（単位：人）</t>
  </si>
  <si>
    <t>ポーライト株式会社
1.⻑期成⻑ビジョン
ポーライトは、「誠意と技術の⼒で世界を幸せにする」をスローガンに、従業員とその家族の幸せの追求、および製
品開発と製品提供により、世界の人々の幸せを追求する。
⻑期成⻑ビジョン（目指す姿・ビジネスモデル） 外発的動機
•
• デジタル化・自動化の進展（通信機器・情報家電の増加）
誠意と技術の⼒で世界を幸せにする。
•
• 人口動態の変化（労働人口の減少）
デジタル技術・自動化を駆使した、誰でも安全安心なものづくりで、
•
地政学的変化（サプライチェーン上の貿易リスク拡⼤）
快適な職場環境と生産性向上を実現する。
•
• 気候変動
粉末冶⾦業界発展のため、新市場を開拓する。
•
• ダイバーシティの進展
当社が優位性のある含油軸受事業では、ミニチュアボールベアリン
•
電動自動⾞の普及（⼩型モーターの需要拡⼤）
グ市場への参入を進める。
•
• 粉末冶⾦業界の縮⼩（新規市場への参入の必要性）
CO2排出量の削減に寄与する製品を開発する。
•
• 資源の枯渇
多様なニーズに対応した製品を展開する。
•
グローバル経営と人材活用を進める。
•
サプライチェーンの強靭化への対応、特に原材料の内製化を進める。
内発的動機
•
創業者が作った社訓「我が社は誠意と技術をもって本分とする よっ
売上成⻑目標 て全員その自尊心を有することを誇りとすべし」を全社員が共有。
• •
28年までの会社全体の売上⾼成⻑率66％（22年⽐） 全世界の消費電⼒の半分がモーターの電⼒と⾔われる中、当社の
•
28年までの会社全体の売上⾼増加額82億円（22年⽐） 主⼒製品である軸受の性能が消費電⼒に影響する。
•
発明家であった創業者から受け継いだ精神で、⻑期的視野に⽴ち
チャレンジングな製品開発を進める。
•
経営⽅針にある「お客様に使い勝⼿の良い会社となり、喜びと安心
を提供する」を実践し、多様なニーズに対応していく。
•
人材採用が困難になっており、外部からの採用は年々コストアップと
なっている。</t>
  </si>
  <si>
    <t>ポーライト株式会社
2.補助事業の概要
・含油軸受事業の主原料である銅コーティング粉の内製化により、海外メーカー依存のリスク低減と安定供給が可能となる。
・⾃動化設備導⼊による⽣産能⼒拡⼤と⽣産効率の向上により、⾼い収益性を実現し、社員に利益の還元を⾏う。
当社の含油軸受は技術⼒が⾼く、低騒⾳、低振動、⻑寿命に定評がある。しかし、主原料の銅
補助事業の コーティング粉は海外調達に依存し、また⽣産設備⽼朽化が⽣産キャパと収益性の⾜かせとなって 事業費 31億円
背景・目的 いる。本補助事業により銅コーティング粉の内製化および設備⾃動化を⾏い、競争⼒を強化し、 （補助額） （8.2億円）
⾼い収益性を確保することで、社員に対して継続的な賃上げを達成する。
①設備投資:銅コーティング粉工場の新設
課題の解決︓
Cu
内製化により海外メーカ依存から脱却し、安定供給と⾼品質粉末の製造。
原料の内製化により、為替変動に左右されない原料コストの達成。
コーティング粉末の製造技術を蓄積することによって新規材料の開発に繋げる。 Fe
事業継続(BCP)対策と供給量と成⻑性確保。
設備投資の
②設備投資:軸受製造工程の⾃動化・効率化実現 銅コーティング粉
内容
課題の解決︓ イメージ図
ロボット・AGV導⼊による⼯程間単純作業の効率化及び夜間⾃動⽣産、安定的な品質向上。
ロボットによる職人的作業の⾃動化と継承問題解決。
AI判断⽣産管理導⼊による⽣産スケジュール⾼効率最適化。
MES（製造実⾏システム）による異常監視性向上、稼働率向上達成。
以上により、⽣産能⼒は5千万個/月から8千万個/月へ拡⼤し、⽣産リードタイム12日から6日へ効率化を実現。
2025年度 2028年度
項目
（基準年度） （基準年度＋３年後）
労働生産性 1,414万円/人
1,001万円/人
（単位︓万円/人） （年平均上昇率＋12.3％）
従業員1人あたり給与支給総額 684万円
目標値 610万円/人
（単位︓万円/人） （年平均上昇率＋3.9％）
役員１人あたり給与支給総額 0
0
（単位︓万円/人） （年平均上昇率＋0％）
補助事業に係る従業員数
183人 186人
（単位︓人）</t>
  </si>
  <si>
    <t>SINGS株式会社
1.長期成長ビジョン
SINGS株式会社は、総合寝具メーカーとして持続可能な成長を目指します。寝具を通して睡眠の質の向上
及び社会貢献を果たすため、10年後までに売上高2.5倍を目指します。
長期成長ビジョン（目指す姿・ビジネスモデル） 外発的動機
• 当社事業が属する国内マットレス市場の規模は2023年で4,714
• SINGS株式会社は岡山県倉敷市に立地し、マットレス・布団等
百万米ドルであり、住宅の欧米化、高齢化、良質な睡眠を求める
の製造・販売を行う総合寝具メーカーとして創立72年を迎えます。
消費者の嗜好の変化などにより、１人当たり消費額の上昇を受け、
緩やかに市場規模が拡大しています。
• 当社の理念は、寝具を通して「一人でも多くの方の睡眠の質を
特に当社の主力商品である低反発マットレス市場は急成長を遂げ
高め、社会貢献を行う」ことであり、市場ニーズに応えた革新的
ています。
製品の開発や、協業による新しい価値創造と地域への波及を
通じて市場シェアの拡大を目指します。
• 近年、睡眠の質への関心の高まりや、環境保護意識の向上などに
よって、寝具市場には新たなニーズが生まれています。
当社はこれらの社会課題に対応した製品開発を進め、社会の
睡眠の
期待に応えることを目指しています。
質の向上
市場シェア拡大
社会貢献 内発的動機
• 当社は1953年に麦わら帽子等を販売する商店として創立、縫い
寝具のトータルプロデュース ぐるみ生産、発泡ウレタン生産、寝具生産と少しづつ形を変え
ながらも、顧客ニーズに応え、また従業員や地域へ貢献するような
革新的製品の 協業を通じた 事業を行ってきました。
開発 地域への波及
• 3代目社長石井将基は、お客様の生活の質の向上に深い関心を
持って来ました。これまでの理念を引き継ぎつつも、業界に新風を
売上成長目標 吹き込み布団に対する固定観念を覆す “第４次寝具革命”と
• 2034年までに会社全体の売上高成長率248％ 銘打ち、洗えるウレタンマットレス「アラエルーノ」を発売するなど、
• 2034年までに会社全体の売上高増加額49億円 お客様の声に応え、新たな価値を提供しています。一人でも多くの
（2024年1月期売上高：33億円） 方の睡眠の質を高められるよう、市場シェアを伸ばし、より多く・
より良い製品を提供していくことを願っています。</t>
  </si>
  <si>
    <t>.補助事業の概要 SINGS株式会社
2
ウレタンマットレス材料の内製化及び工程の自動化・効率化のため、新工場の建設及び機械設備の導入を実施します。
コスト面、納期面の訴求力を向上させ労働生産性33.3％、従業員1人あたり給与支給額5.9％の上昇を目指します。
補助事業の • 工場の新設及び設備導入により、これまで外部から仕入れていたウレタンマットレス材料の内製 事業費 億円
31
背景・目的 化及び工程の自動化・効率化を実施する。コスト面、納期面の訴求力向上を図る。 （補助額） （ 億円）
9.6
• 事業費 ①工場建屋：2,182百万円（税抜）
建設予定地
②機械設備：(輸入) 409百万円（2,638千米ドル,1ドル155円想定）
(国内) 400百万円（税込）
概要 ①工場建屋 所在地：岡山県倉敷市 玉島ハーバーアイランド
分譲面積：43,303㎡
②機械設備：ウレタン発泡機１台、ウレタン冷却用ラック一式
ウレタンカッター5台、コンベア・リフト類一式、60tタンク2基
コンベア・圧縮梱包機ライン一式、ウレタン加工設備一式
• 事業内容
これまで外部から仕入れていたウレタンマットレス材料（ウレタンフォーム）を内製化する。
設備投資の
内製化したウレタンフォームは従前より大型化するため、カット工程にかかる時間が飛躍
内容
的に短縮し、カット成型時の歩留まり向上に繋がる。併せて、工程間のコンベアやリフト
等による自動化や、これまで工場間を移動して行っていた作業を同一建屋内で行うこと
による効率化により、最大5人の活人化が見込まれる。 完成予想図
• 事業の成果
コスト面の訴求力向上
・ウレタンフォームの内製化により材料費年33％減（2024年1月期試算）
・ウレタンフォームの大型化による歩留向上、端材廃棄量44%減(23/1-12試算）
納期面の訴求力向上
・ウレタンフォームカット工程での飛躍的な生産力向上及び、マテリアルハンドリングの
効率化による労働生産性向上により、短納期での納品が可能となる。
2026年度 2029年度
項目
（基準年度） （基準年度＋３年後）
労働生産性 1,297
547
（単位：万円/人） （年平均上昇率＋33.3％）
目標値 従業員1人あたり給与支給総額 254
214
（単位：万円/人） （年平均上昇率＋5.9％）
役員１人あたり給与支給総額 1,616
1,361
（単位：万円/人） （年平均上昇率＋5.9％）
補助事業に係る従業員数
115 175
（単位：人）</t>
  </si>
  <si>
    <t>株式会社AKシステム
1.長期成長ビジョン
 持続的な経営体制の確立・地域への雇用創出・所得増進を目的として長期成長ビジョンを策定
 制御盤・自動化装置の製造業務を通じて九州シリコンアイランドの復活に貢献し、地域を代表するグローカルカンパニーへ成長する
長期成長ビジョン 外発的動機
• 経済産業省が策定した「半導体・デジタル産業戦略」において、九
【目指す姿】
州は“産業用先端半導体の世界的な生産拠点“として位置付けら
『培われた技術力により社会の課題解決企業へと変革し九州
れ、社会的に半導体関連産業への希求が高まっている。
シリコンアイランドの復活を担うグローカルカンパニーとなる』
⇒TSMCを中心とする「新生シリコンアイランド九州」の実現。
• 電装事業/装置事業という社内の主力2事業ともに取引先からの
売上成長目標
大規模増産及び製造領域拡大の要請あり。
売上高成長率
現在 目指す姿
182.6％ • 物価高の影響が長期化する中、成長と分配の好循環を実現し、
2023年3月期実績 2029年3月期計画
従業員の所得増加に向けた大幅賃上げによる国内の経済活性化
21.9億円 売上高増加額 40.0億円
18.1億円 への貢献。
内発的動機
• 当社は第5回「100年企業顕彰」で最優秀の経済産業大臣賞
(地域共栄部門)を受賞した「古手川産業グループ」の構成企業。
• グループ内における高成長事業分野を当社が担っており、次の100
年に向けた持続的な成長を目的とした大規模投資への取組み。
＊世界的に需要が増加している半導体関連分野の増強。
⇒グローバル分野への成長投資。
• 「新生シリコンアイランド九州」の実現に向け、熊本(TSMCが進出)
のみならず、地元「大分」から貢献したい。
⇒地域への波及効果、ローカル視点
• 地域への雇用創出・所得増進のため、労働分配率80％を維持
してきた実績あり。持続的な雇用創出・賃上げによる従業員エン
ゲージメント向上の為には、更なる成長が不可欠。</t>
  </si>
  <si>
    <t>株式会社AKシステム
2.補助事業の概要
 補助事業により、新工場建設及び既存本社工場の改修を行い生産能力の大幅向上を図る
 地域への雇用創出(継続的な賃上げ)・付加価値額大幅増加を両立させ労働生産性上昇を目指す
補助事業の • 取引先からの増産要請に対応可能な生産体制を確立することに加えて新事業へ挑戦する。 事業費 11億円
背景・目的 • 外部環境変化による経営への影響を僅少化し、強靭な経営体制を構築する。 （補助額） （3.5億円）
【設備投資の内容】 ◎既存本社工場 導入設備(一部)
&lt;建物&gt; 大分県由布市庄内町
自動脱脂洗浄機
①新工場建設（延床面積3,562.60㎡） 8.1億円
②既存本社工場改修+倉庫建設 1.5億円
&lt;機械装置・ソフトウェア&gt;
③スポット溶接機・自動脱脂洗浄機・フライス盤・旋盤など 2.8億円
④生産管理システムなど 0.4億円
• 大分県大分市大字廻栖野に新工場を建設する（用地取得済）。 スポット溶接機
設備投資の
本社機能移転
また、既存本社工場内の塗装工場改修・板金保管倉庫を新設する。
内容
• 既存本社工場⇒電装事業部、新工場⇒装置事業部の各専門工場
◎新工場(イメージ図)
として機能分化し、生産ライン効率化を図る。これにより、「工場・設備
大分県大分市大字廻栖野
不足による失注・生産性低下」という当社弱みが改善される。
• 各工場には、「自動脱脂洗浄機」「スポット溶接機」などの省力化に資
生産管理システム
する先端設備導入を行うことに加えて、生産管理システムを新たに導
入することで、生産効率の向上を図る。
• 大規模工場の新設であり、地域への雇用創出・付加価値額の大幅増
加を両立させ、労働生産性年平均上昇率+8.9％を目指す。
2025年度 2028年度
項目
（基準年度） （基準年度＋３年後）
労働生産性 817
632
（単位︓万円/人） （年平均上昇率＋8.9％）
目標値 従業員1人あたり給与支給総額 470
418
（単位︓万円/人） （年平均上昇率＋4.0％）
役員１人あたり給与支給総額 ー
ー
（単位︓万円/人） （年平均上昇率＋4.0％）
補助事業に係る従業員数
110 125
（単位︓人）</t>
  </si>
  <si>
    <t>1.長期成長ビジョン 大森機械工業株式会社
日本における成長と技術開発を基軸に、世界の衛生観念・生活水準の向上による包装需要の拡大を取り込み、
グローバル連結売上1,000億円の包装機械メーカー「OMORI」として、包装で国際社会に貢献していく
外発的動機
長期成長ビジョン（目指す姿・ビジネスモデル） ◼ 潜在的市場
• 日本市場は中期的には人口減少による機械化ニーズがあるが、長期的には成長が頭打ち
「OMORI」の包装技術で、世界の社会課題の解決に
• 今後、衛生観念・生活水準が向上する国では市場が大幅に拡大（中国 5.2%/インド 4.5%）
貢献しながら、連結売上1,000億円のグローバル企業へ成長
◼ 顧客ニーズ
• 日本の人口減少を考慮し、日本での生産・日本からの輸出に頼るのでは • 顧客メーカーの将来的な人員不足を見据えた包装工程の省人化需要の高まり（オーダーメ
イド需要）
なく、日本で培った技術を用いて海外で製造・販売を行い、包装技術によ
る社会課題解決を通じて世界に価値提供をしていく • 品質の要求水準の向上による顧客の環境と同環境（各工程を繋いでライン化）での機械の
調整需要の高まり
• 世界の包装機械市場の成長を取り込んでグローバル企業として成長する
• 食品ロス削減に向けた消費期限の長期化等、包装に係る新技術開発需要の高まり
中期目標 • 自動倉庫の普及に伴い、自動倉庫からの搬入～搬出までを含む包装工程の全自動化需要
の高まり
日本を世界の「OMORI」の技術開発拠点・マザー工場化
• 社会課題が先行する日本に遅れて、同様のニーズがより大きな海外市場で発生する
• 社会の成熟に伴う課題が先行していく日本で、多くの顧客課題に応えな
◼ 競合他社
がら経験・ノウハウを蓄積し、世界に展開していくための技術力を高める
• 包装の各工程ごとの競合は存在するが、全工程をオーダーメイド対応できる競合の不在
本補助事業
人口減少する日本の新たな機械化ニーズに応えつつ、
• 日本で多くの顧客ニーズに応えながら技術力を高めるには、事業規模を拡 先行する日本市場で開発した技術を海外でローカライズしていく勝ち筋
大することが重要。その一方、人口減少を踏まえ、効率化を図りながら生産
性向上と人手不足の解消を狙う取り組みが必須
内発的動機
• 本補助事業では、新工場の設立と、既存工場との供給余力の融通を可 ◼ 世界のデファクトスタンダード
能にする投資との掛け合わせにより、新工場単独以上の大幅な供給力の • 魚肉ソーセージのアルミクリップやトレーラッパーは開発後数十年以上経っても世界のデファク
改善に繋がる。この効率化により、当社の労働生産性の向上が見込まれ、 トスタンダード
持続的な賃上げが可能となる ◼ 中国での実績
• 当社の仕入れ先は地場企業の割合が大きく、当社の成長は取引先の成 • 約30年前に起きた中国でのインスタントラーメンブームに日本製の機械輸出で対応したが円
長でもあり果たすべき責任は大きい。本事業により当社は一段上の成長を 高により採算がとれず、インスタントラーメンの包装機械メーカーを現地に設立。中国の経済
果たし、結果として賃上げを含めた地域波及効果を見込む 成長に伴い、中国市場の7～8割のシェアまで成長
◼ インドでの評価
2023年5月期 2029年5月期 2034年5月期 2048年5月期
（直近年度） （5年後） （10年後） （24年後） • 中国の次の市場として、インドでは最大の潜在的競合をM&amp;Aして現地進出。既存の現地
ブランドより高品質・高価格な大森ブランドの機械が高評価
連結 394億円 620億円 750億円 1,000億円
単体 222億円 352億円 386億円 500億円 「OMORI」の技術は世界に通じるという強い確信</t>
  </si>
  <si>
    <t>.補助事業の概要 大森機械工業株式会社
(cid:21)
顧客ニーズの遷移と当社の強みは一致。さらなる受注拡大が見込まれる。その受注を売上に効率的に繋げる
ためには新工場への投資が必要であり、当該工場において長期ビジョン達成のための布石を打つ
• 受注は大きく伸びているが、供給力不足により売上高に転換できず成長が頭打ちになっている。 また、継続的に大型案件の
補助事業 引き合いもあるが、このままでは供給力不足により受注すらできないリスクがある
事業費 億円
(cid:22)(cid:25)
の背景・ • 今後の人口減少・採用難のリスクも考慮し、補助投資による効率化で労働生産性を向上させた上で、顧客の省力化需要、 （補助額） （1 億円）
(cid:20)
目的
顧客と同環境（ライン化）での調整需要、新技術需要、全自動化需要を取り込める供給力増強を行い、人数の大幅な増
加を伴わずに売上を拡大し、海外で戦える技術力を高めていく
大森ホールディングスの投資（35.0億円） 大森機械工業の投資（約6.5億円）
補助事業に必要な新工場の建屋建設 補助事業に必要なシステム・機械装置の購入
• 本社工場の3.51倍の工場床面積と高さ5mの吹き抜けの新工場 • 工場間の効率的な融通を可能にする支給品払い出しシステムの構築
現長岡工場
➢ 各機械を繋いだ長いラインの調整・試験もできる広大さと、全自動 • 複雑なオーダーメイド設計の増加に対応するための3D CADシステムの
化設備に対応可能な高さのある形状
購入
3D CAD
• どの工場の取扱い機械を運び込んでも対応できるエアー設備の完備 • その他、事業に必要なシステム・機械装置関連費等
設備投資
の内容
• 供給力が大幅に改善され、累積が続く受注残の売上転換・顧客の省力化需要の高まりの取り込みにより、成長の天井を突破
➢ 新設する広大な新工場と、工場間の融通を可能にするシステムとの掛け合わせにより、新工場単独以上の大幅な供給力の改善に繋がる。目先の大型案件の受注も可能になる
• 顧客の新ニーズへの対応が可能になり訴求力の向上・売上増加が可能に
➢ 包装工程が長く・大きくなるライン化調整需要・全自動化需要を受け入れる新工場と、これらの需要に対応できる技術システムの導入により、顧客への訴求力を高め、競争力を高め
て売上増加に繋げることができる
• 省力化・効率改善による労働生産性の改善・大幅な採用なしでの売上増大・経験効率の向上による技術力の育成が可能に
➢ 工場間の柔軟な融通・出荷待ちによる作業不可時間の削減等により、労務生産性が向上し、技術者のコア業務時間が増え技術力向上・新技術開発に時間を使えるようになる
大森機械工業株式会社（申請者） 株式会社大森ホールディングス（共同申請者）
項目 2026年5月期（基準年度） 2029年5月期（基準年度＋３年後） 2026年5月期（基準年度） 2029年5月期（基準年度＋３年後）
1,398万円/人 40,319万円/人
労働生産性 1,184万円/人 15,270万円/人
（年平均上昇率＋5.70％） （年平均上昇率＋38.22％）
目標値 従業員1人あたり 811万円/人
721万円/人 0万円/人 0万円/人
（補助事業） 給与支給総額 （年平均上昇率＋4.0％）
役員１人あたり - -
- -
給与支給総額 （年平均上昇率＋4.0％） （年平均上昇率＋4.0％）
補助事業に係る
685人 730人 0人 0人
従業員数</t>
  </si>
  <si>
    <t>1.長期成長ビジョン 株式会社松尾製作所
カーボンニュートラル（CN）化に向けて、自動車産業の世界的な電動化シフトが進む中、顧客からのより高付
加価値で、世界的なコスト競争力のある電動車部品への要求に応え続けることで持続的な成長を目指す
長期成長ビジョン（目指す姿・ビジネスモデル） 外発的動機
• 電動化（特にBEV化）に伴う部品点数減少により、自動車部品
世界でのCN化の流れの中、我が国の基幹産業である自動車産業の
業界の競争激化への対応
一翼を担うものづくり企業として、以下を目指していく
• 部品のスーパーASSY化、モジュール化対応など、複雑化する電動
• グローバルな競争力のある電動車部品の提供を通じて、電動車の
車部品の高品質低コスト生産のために求められる高い技術レベル
普及拡大による環境負荷低減、顧客の業績拡大、地域や我が
への対応
国の経済発展に寄与
• 労働人口減少、採用難の環境に対応するための省人化のさらなる
• 新工法や自動化技術開発に積極的に挑戦し、技術力を継続的
向上が事業維持に不可欠
に高めていくことと今度人材の採用強化、人材育成を進めることで、
• 海外（特に中国）の低コスト部品に負けないコスト競争力の確保、
時代が求める省CO2でさらなる高付加価値製品の生産にシフトし
さらなる高付加価値部品対応による差別化推進が必要
ていく
• 上記とともに、継続的な設備投資、改善活動による生産性向上、
事業全体での収益性、体質改善により余力を創出し、賃上げや 内発的動機
働きやすい職場づくりにより、より従業員に愛される会社を目指す • 創業以来、経営理念を基として、働く人に対する人間愛と地域の
方々との協調、そして常に新製品・新技術のイノべーションへ積極
的に取り組み、お客様に満足いただける製品、技術を提供してきた。
売上成長目標
CN化の中、自動車の電動化シフトという業界の大変革期において
【連結（本社、海外）】 も、この理念に基づき、お客様の求める電動車部品を提供すること
• ’30年までの会社全体の売上高年平均成長率：8.5% で、さらなる魅力ある企業を目指していきたい
• ’30年までの会社全体の売上高増加額：370億円 • 自動車部品業界は世界的に競争が厳しい業界であり、特に汎用
【単独】 技術製品は過当競争による収益性の低下が著しく、より技術難易
• ’30年までの松尾本社の売上高年平均成長率：6.3% 度が高い高付加価値製品へ挑戦し続けなければ勝ち残れない
• ’30年までの松尾本社の売上高増加額：188億円 • 高度人材採用が極めて難しい中、上記取り組みを通じて、当社の
企業価値、魅力向上することで人材採用増につなげていきたい
電動化シフトという業界の大変革は、グローバルの競争が非常に厳しい自動車部品業界において、当社のさらなる成長のチャ
ンスでもある</t>
  </si>
  <si>
    <t>株式会社松尾製作所
2.補助事業の概要
顧客から引き合いがある次世代電動車部品量産に不可欠な高度な生産技術に基づく自動化工程を確立する
ことで、CN化の流れの中、世界中で需要が拡大する電動車部品の需要を獲得することで更なる成長を目指す
• 世界的な電動車シフトが進む中、顧客の電動車部品の需要が急拡大している。汎用技術部品がグローバ
ルな競争により収益性が悪化している一方、大電力に対応し、複雑な工程が要求される次世代電動車
補助事業の 事業費 109億円
部品は付加価値も高く、その需要獲得は当社の更なる成長に不可欠である。そこで、大電力対応に必要
背景・目的 （補助額） （35億円）
な生産技術の開発やAI技術の導入、ロボット等も活用した複雑な組付け工程の自動化対応への投資を
行い、生産性が高い新たな生産工程を確立することで受注を獲得し、新分野での売上拡大を実現する
• 新規電動車部品59品番のそれぞれの効率的な量産に必要となる専用工程
への設備投資を行う。品番ごとに工程は多少異なるが、基本的にプレス、射
出成形、接合（溶接、接着等）、組付け、検査設備を導入、組み合わせて、
同一タクトで稼働する専用ラインを構築する
• 各工程の中で最も生産性に影響を与えるのは、SUPPER SUB ASSY品とし
て、様々な加工部品を組み付ける組付け工程である。従来のSUB ASSY品
設備投資の と比較しても、2倍以上のパーツ、加工品、約3倍のステップ数が必要となる複
内容 雑な工程である。そこで、ロボット技術も活用した専用設計の自動機、AI技
術による自動検査工程も組み込むことで、複雑な組付け工程の自動化、全
行程のトレサビの確保を実現する
• 大電力化対応に必要な厚板銅板加工の高品質化のため、新たなレーザー溶
接工程や熱処理工程への投資と生産技術の確立、さらにネックとなる工程の
図 専用設計する組付自動機の1例
冗長化や高速化も行い、当社既存最新工程と比較しても10%以上の生産
（59品番それぞれに専用ラインを設置）
性向上を実現する
2026年度 2029年度
項目
（基準年度） （基準年度＋３年後）
労働生産性 793
657
（単位：万円/人） （年平均上昇率＋6.5％）
従業員1人あたり給与支給総額 563
目標値 515
（単位：万円/人） （年平均上昇率＋3.0％）
役員１人あたり給与支給総額 -
-
（単位：万円/人） （年平均上昇率＋3.0％）
補助事業に係る従業員数
1390 1401
（単位：人）</t>
  </si>
  <si>
    <t>株式会社 西部技研
1.長期成長ビジョン
パーパス「環境に優しい空気のソリューションを届ける。」の実現を通し、あらたな価値を提供することで、企業
価値と社会価値の両立を図る
長期成長ビジョン（目指す姿・ビジネスモデル） 外発的動機
2050年までに脱炭素社会の実現をめざすことが世界共通の目標
当社はグループ理念として、「環境に優しい空気のソリューションを
となっている。こういったトレンドの一つの流れとして、EVシフトを主流と
届ける。」をパーパスとし、また「クライメイト・ニュートラルな未来実
するバッテリーの生産拡大や自動運転やAIを支える半導体の増産に
現のため、空気処理技術のイノベーション・リーダーであり続ける。」
おいて、当社のデシカント除湿機やVOC濃縮装置は品質維持や歩
を2030年までに達成すべきビジョンに掲げ、世界各国で社会課
留まり向上の観点から、不可欠なものとなっている。
題の解決の一助となり得る空気処理に関わる製品、サービス、シ
今後の成長産業の発展に寄与する空気処理技術を提供する事
ステムを提供している。
で、脱炭素社会実現のメガトレンドに向けて貢献していきたい。
当社グループは、顧客の抱える環境に関する課題、ひいては地
球環境全体の課題を解決する一助となるソリューションをあらゆる
レイヤーで提供していく一方で、自社製品やサービスの継続的な
改良や改善を行うと共に、環境保全に貢献する新製品の開発を
内発的動機
通して、クライメイト・ニュートラルの実現に寄与することを目指す。
当社は大学発ベンチャーの魁として、創業者の隈利實が大学勤務の
傍ら、その研究を活かして実際に世に役立つ製品を開発し、社会に貢
売上成長目標（2023年実績対比）
献したいと考え起業した。1973年の石油ショックをきっかけに、これから
• 2030年までの全体の売上高成長率 の時代には省エネルギー、環境保全のための製品が必要であると考え、
（連結）9.7% （単体）8.0%
現在の当社の製品群を開発した。よって社会貢献を意識したモノづくり
は当社の原点であり、DNAである。今後も当社を持続的に成長させる
• 2030年までの全体の連結売上高増加額 ことで社会の問題解決に寄与したいと考えている。
（連結）263億円 （単体）99億円</t>
  </si>
  <si>
    <t>株式会社 西部技研
2.補助事業の概要
拡大する需要に応じるために、デシカント除湿機のコア部品であるローターの生産能力を拡大させるとともに、
安定的かつ効率的な生産体制を構築し、年間5%以上の生産性の向上を図る
補助事業の 国際的なバッテリー、半導体市場の拡大に伴い、除湿分野機械の需要が伸びている。 事業費 34億円
背景・目的 その中でコア製品である除湿ロータの生産キャパ向上が必要とされている。 （補助額） （10億円）
（設備内容）
設備機器概要 金額（百万円） 備考
・コア部品であるローター生産工程における設備一式（左記）
工場建屋一式 1,619
（課題解決）
成形工程設備一式 134 P14 ①
・既存の生産設備は、独自の知見により社内にて製作してきたため、
巻付工程設備一式 71 P14 ② 自動化の遅れ、属人化を伴うという課題を抱えていた。今回の投
資によりその解消を図る
化学処理システム設備一式 918 P14 ④
設備投資の
内容 加工機設備一式 236 P14 ⑤,⑦ （生産性向上）
・製造DXを実現し、生産設備の合理化を図り、作業員の省人・
端面処理関連改造移設 5 P14 ⑧
省力化を実現
作業環境設備一式 388 P14 ⑨
（生産工程及び設備）
IOT関連 80 P14
・ローター生産工程イメージ P13記載
合計 3,451 ・主要生産設備イメージ P14記載
・工場建屋図面 P15記載
2026年度 2029年度
項目
（基準年度） （基準年度＋３年後）
労働生産性 1,587
1,340
（単位：万円/人） （年平均上昇率＋5.81％）
目標値 従業員1人あたり給与支給総額 763
650
（単位：万円/人） （年平均上昇率＋5.51％）
役員１人あたり給与支給総額 －
－
（単位：万円/人） （年平均上昇率＋5.00％）
補助事業に係る従業員数
254 276
（単位：人）</t>
  </si>
  <si>
    <t>株式会社 西部技研
2.補助事業の概要
【ローター生産工程イメージ】（積層工程・設備は開発中のため記載なし）</t>
  </si>
  <si>
    <t>株式会社 西部技研
2.補助事業の概要
【主要生産設備イメージ】 （積層工程・設備は開発中のため記載なし）</t>
  </si>
  <si>
    <t>株式会社 西部技研
2.補助事業の概要
【工場建屋図面】</t>
  </si>
  <si>
    <t>1.長期成長ビジョン
株式会社平島
次の100年、社会と地域に求められる平島であり続けるために
•
100周年を迎えた当社が次の100年を考えたとき、当社の使命は地域と社会に“安心”を届けることだと改めて感じている
•
そして、当社ビジネスを支えているのは社員であり、地域・社会・社員の生活を守る為に、多くの変化を求められる次の100年への地盤
を固める長期成長ビジョンを掲げた
長期成長ビジョン（目指す姿・ビジネスモデル） 外発的動機
テーマ •
自然災害への対策強化が進む中、軽く、耐震性に優れる金属
次の100年、社会と地域に求められる平島であり続けるために 屋根の需要が高まる
• “安心”を届ける日本No.1の金属屋根製造販売メーカーへ成長 • 環境意識の高まりから環境負荷の少ない屋根や、屋根材の再利
するための地盤固めをする期間だと捉えている 用、軽量化による炭素使用量の低減等が求められている
• 強みである即納体制に磨きをかけ、即納範囲を九州一円に広め • 熊本県においては台湾半導体大手TSMCの進出に伴い、関連産
ることで「災害時に強い平島」のイメージを定着させる 業の工場建設ニーズが高まる一方、従業員の確保が難しくな
• 持続可能な社会の実現に向け、環境負荷の小さい製品の開発、 ることが見込まれる
高強度折板の普及により、地球にやさしい社会、災害に強 • アフターコロナの新生活様式では居心地のいい居住環境ニーズが高
い地域をデザインする まり、機能性の高い屋根・壁への需要が高まっている
• 環境変化に耐えうる盤石な経営基盤を確立し、積極的な賃上げ
により従業員の未来を守る 内発的動機
• 2016年の熊本地震、2020年の豪雨災害時にはいち早く住民に
売上成長目標 安心を届けられるよう迅速な復旧支援を全社団結して行い、多
• 2030年までの会社全体の売上高成長率139％ くの感謝の言葉を頂いた
• 2030年までの会社全体の売上高増加額45億円 • 2023年創業100周年を迎えるにあたり、当社の原点、強み、課
2030年売上高目標（売上比率） 題を従業員一人ひとりと共有、中長期計画を策定した
製品製造・販売事業 109.0億円 （＋49.3％） • 佐賀工場、福岡工場の開設に伴い、歴代最高の売上を計上、九
施工・研究開発事業 8.1億円 （＋6.1％） 州内における当社即納の底堅い需要を確認した
原料製造・販売事業 23.0億円 （＋46.6％）
• 社長交代を機に、AIを活用した製造・管理体制の抜本的改革に
取り組む</t>
  </si>
  <si>
    <t>.補助事業の概要 株式会社平島
2
オートメーション化・動線改善による労働生産性の抜本的な改善と持続的な賃上げの
実現
• 全国的に労働力不足が懸念される中、熊本においては半導体関連産業の集積により人材競争がより苛烈になる事が予見される
• オートメーション化による製造プロセスの効率化、品質管理の向上を図り、次の100年も「災害に強い平島」であり続け、地域の経済発展や持続可能な産業
基盤の構築に貢献する
• 次の100年も地域の安心を守り続ける平島であり続けるために、製造指示等を効率化したオートメー
補助事業の 事業費 億円
ション工場を新設（一部増設）し、抜本的な労働生産性の改善と野心的な賃上げ目標を達成する 43
背景・目的 （補助額） （13億円）
• 人材不足が叫ばれる中、半導体関連産業の集積による工場建設需要に応える製造能力を確保する
御船工場新設・福岡工場増設
事業費 4,465百万円（補助対象経費 3,616百万円）
• 九州における即納体制の強化・環境負荷軽減屋根の普及を行う拠点を
新設。半導体関連産業の熊本進出に伴う工場建設需要に対応する
• 福岡工場の増設により動線が大幅改善し、生産性が大きく向上する
研究所の新設
事業費 121百万円（補助対象経費 92百万円）
設備投資の
• 持続可能な社会の実現に向け、鐵の新たな可能性を探る研究所を開設し、
内容 商品開発力の強化を図る
• 「災害に強い」「環境に優しい」イメージを定着させる
システムの構築
事業費 144百万円（補助対象経費 131百万円）
• 工場のオートメーション化、稼働状況の見える化を図るために業界の先
行事例となる工場システムを構築する
• 手入力だった、製造命令が読み取りだけになる事で、入力時間の削減と
入力ミスによるロスをなくすほか、属人化された配送ノウハウを標準化する
2027年度 2030年度
項目
（基準年度） （基準年度＋３年後）
労働生産性 1,855万円/人
1,291万円/人
（単位：万円/人） （年平均上昇率＋12.8％）
目標値 従業員1人あたり給与支給総額 470万円
411万円/人
（単位：万円/人） （年平均上昇率＋4.6％）
役員１人あたり給与支給総額
－ －
（単位：万円/人）
補助事業に係る従業員数
60人 73人
（単位：人）</t>
  </si>
  <si>
    <t>マルコーフーズ株式会社
1.⾧期成⾧ビジョン
弊社は、冷凍とろろを主とした冷凍・冷蔵加工品の製造販売を行っており、総合的な観点からスケールメリットを
生かしたサービスを提供している。2030年までに100億円企業になることを目標に、新たな歩みを進めていく。
⾧期成⾧ビジョン（目指す姿・ビジネスモデル） 外発的動機
• 簡便で栄養価の高い食品への需要の高まり
• 食品業界におけるリーディングカンパニーを目指す
とろろは低カロリーで栄養バランスが良く、手軽に摂取できる。
製造工程を一から見直し、低コストでスピーディに食品をお届けできるよう、 そのため、納豆のように「とろろ」を食卓の定番として扱いやすい
商品を開発し、根付かせていく。
新たな一貫体制を構築する。グループブランド「MARUKO FOODS」として、
• 介護食の需要
新しい価値を提案していく。
国内外において高齢化社会への健康食材の需要の高まりが
ある。国内の介護食ニーズに応えながら、海外でも新たな切り
• 食文化の創出 口でバイヤーに提案していく。
• 国産原料の更なる有効活用
伝統的な食材である山芋を新たな形で提供し、食文化の発展に貢献する。
国内市場においていまだ輸入品に依存している市場がある。
山芋を朝食の一部として定着させ、新たな食習慣を生み出すことで、食文化
この市場に対して国産原料の競争力を高める。
を豊かにする。また、山芋の食文化を「和食」として海外に広める。
• 提携先の海外展開
現状９ヵ国の輸出実績があるため販路は確保している。
• 健康志向の需要に応え、国内外の販路拡大 この販路を活用し、輸出実績の拡大を図る。
健康意識の高まりに応え、山芋をはじめとする栄養豊富な食材を活用した
内発的動機
製品を提供する。さらに、介護食の需要に応えるため、国内販売に留まらず、
• 販売会社であった㈱ヤマトフーズとの合併
新たな切り口で海外バイヤーに提案し、国内外の販路拡大を目指す。
スケールメリットを生かした製造から販売までのワンストップサー
ビスの提供ができるようになった。
• 高品質で安全な製品づくり
売上成⾧目標(2023年10月比)
国産原料にこだわり、独自の品質保持技術を持っている。
• 2030年までの会社全体の売上高成⾧率43％
• 2030年までの会社全体の売上高増加額30億円 • 日本全国の生産者との信頼関係
種芋販売を通じて農業と深く関わり、山芋の生産者との信
頼関係を築いてきた。</t>
  </si>
  <si>
    <t>マルコーフーズ株式会社
2.補助事業の概要
弊社が事業拡大・売上拡大を目指すにあたり、既存事業の約半分を新工場に移管し、全社をあげて、生産性の向
上が必要不可欠である。新工場の機械装置化による製造ラインの効率化や品質管理の確保が最重要課題である。
弊社は冷凍とろろなどを手がける食品製造販売業である。現状弊社商品に対してのニーズが拡大し
ているが、本社工場の生産能力に限界があった。そのため、新工場立地を検討していたところ、山芋の
生産量のトップクラス（全国シェア32.6％）を誇る青森県が同県六戸町への企業誘致をしており、
補助事業の
県及び六戸町と基本協定を結ぶこととなった。同町の金矢工業団地に青森工場を新設し、2026年
背景・目的
4月に操業を開始する。現在の本社工場の生産能力の約50%を青森工場へ移管予定である。
事業費
41億円
・新工場:県内名産の山芋を中心に加工した冷凍とろろで、年間2500トンの製造を目指す。
（補助額）
（13億円）
・本社工場:小ロット生産にも対応できる汎用性の高い工場化を目指す。
【建物】
施工場所:青森県上北郡六戸町金矢1 丁目（⑤－ 1）
用途地域:工業地域 建物用途:工場（食品加工）
施設要求:ISO22000 耐震等級:B
システム建築工法:構造部材の規格化、現場施工の簡素化により、部
材コストの削減、施工期間を短縮が可能
設備投資の
内容 【設備（生産ライン）】※詳細は次頁以降を参照
省力化・省人化:既存作業の生産能力向上を実現する。
作業延べ時間 357時間→87時間（約76％削減）
作業人数 34人→16人（約53%削減）
品質向上:作業者の最適な動線計画や介入工程の削減により、製品
品質の安定と汚染リスクを排除する。
2026年度 2029年度
項目
（基準年度） （基準年度＋３年後）
労働生産性 618.6
425.5
（単位:万円/人） （年平均上昇率＋13.29％）
目標値 従業員1人あたり給与支給総額 409.3
343.3
（単位:万円/人） （年平均上昇率＋6.04％）
役員１人あたり給与支給総額 -
-
（単位:万円/人） （年平均上昇率 -％）
補助事業に係る従業員数
197 189
（単位:人）</t>
  </si>
  <si>
    <t>株式会社 コーヨークリエイト

 


 








  
 
  
 </t>
  </si>
  <si>
    <t>株式会社 コーヨークリエイト
2.補助事業の概要
関東地区で特に需要が高まっているK型フレームの増産体制を整えるために、基盤である岬工場の生産体制を
拡充する。溶接と塗装の工程を新工場 ・ 既 存 工場で分割し作業環境を改善する。
年
当社K型フレームは現在大阪府泉南郡の岬工場、及び2 0 2 1 1
竣
月に 工した千葉工場で生産し、施工 ・ 設置を行ってきた。
千葉工場稼働により、当社のK型フレームの優位性が関東地域におい
補助事業の ても浸透し始め、需要が高まっている。このニーズに応えるために土地 ・ 人 事業費 15億円
背景・目的 （補助額） (4.8億円）
員の確保見込みのある岬工場敷地内に、新工場を設立し、生産工程を
自動化する体制を整える。現在手作業で行っている工程を自動化するこ
とで省力化 ・ 省人化を達成し、労働生産性を向上させる。
·-----------------------------------------------------------------------------------------------------------------------------------------------------------
•建設費：［（仮称）（樹コ ーヨ ークリエイト岬工場増築プロジェクト］
現・岬工 （溶接・塗装）の敷地内に新工場（溶接工場）を建設
場
現工場は塗装工場として設備増強して使用する。
建設地大阪府泉南郡岬町多奈川谷川3351-140
設備投資の
敷地面積33707.41m
内容
•機械費：［K型フレーム自動溶接システム2機］
自動溶接ロボット
［単柱自動溶接システム3機］ （ Panasonic製）
___________________ l否荘ク＿レニ辺＿1__ 0_基 ］ ―――-------------------------------------------------------------------------------------------------------
2025年度 2028年度
項目
（基準年度） （基準年度＋3年後）
労働生産性 10,537
5,326
（単位：万円／人） （年平均上昇率＋25.5%)
目標値
従業員1人あたり給与支給総額 653
597
（単位：万円／人） ゜ (年平均上昇率＋3.0%)
役員1人あたり給与支給総額
0
（単位：万円／人）</t>
  </si>
  <si>
    <t>高知通運株式会社
1.長期成長ビジョン
「高知県の未来を担う”土佐の物流王へ“」を掲げ、2035年までにグループの中核事業である運送事業の
売上高100億円を目指すとともに、高知県の物流の課題解決に取り組んでいる
長期成長ビジョン（目指す姿・ビジネスモデル） 外発的動機
• 高知県の物流の未来を担う、“土佐の物流王”へ
• 運送ニーズが高まる中、ドライバー不足から2030年時点では県内
・県内トップクラスの物流企業としてのポジション堅持
で約42%の荷物が運べなくなる(※)という予測がある
・モーダルシフトを推進し、効率的で安心安全、持続可能な物流
モデルを構築 • 運輸部門における地球温暖化対策計画として、2030年までに
・「モノを運ぶ社会インフラ」として、高知県の産業振興に貢献する CO2を35%削減することが求められている（2013年比）
・物流DXを推進し、高知県内における取り残されない物流体制 • 運輸業における、高知県特有の3課題が存在
の構築を目指す ① 営業倉庫数が他県に比較して著しく少ない
② モーダルシフトの遅れにより、地球温暖化対策が進んでいない
【グループ内での運送事業の位置づけ】 ③ 県内の多くの倉庫・物流施設がハザードエリアに立地
運送事業は当グループ全体売上の4割以上を占める、主要事
（※）出典：野村総研『トラックドライバー不足時代における輸配送のあり方』
業である。他事業とのシナジー効果を図りながら、運送事業を拡
大していくことがグループ全体の成長にとって不可欠である。
内発的動機
• 当社グループは明治31年に創業し、124年に渡る運輸業の歴史
売上成長目標 を持つ、高知県内唯一の物流総合企業である。創業者の野村茂
久馬は、明治から昭和の時代にかけて「土佐の交通王」として名を
・2030年までに会社全体の売上高成長率21%
馳せた
・2030年までに会社全体の売上高増加額31億円
• 県内200社以上の有力企業との取引がある。特に高知JAの農産
・2035年までに運送事業の売上高：100億円 品は大部分を当社が輸送しているなど、生産者と全国の消費者を
本補助事業と同様の倉庫を数年後に1施設設置し、上記 つなぐ架け橋として、県内の輸送の中心的役割を担っている
目標達成を目指す • 上記の背景から、当社グループは「モノを運ぶ社会インフラ」企業とし
て、安定かつ高品質な物流サービスの提供によって高知県の産業
振興に貢献する責務があると考えている</t>
  </si>
  <si>
    <t>高知通運株式会社
2.補助事業の概要
当社グループの成⻑領域である運送事業への投資強化の施策、および⾼知県の物流の3つの課題の解決策として、
ハザードエリア外に⽴地・共同配送可能・モーダルシフト促進設備を有した複合物流施設を建設・運⽤する
• 当社グループは⻑く⾼知県内の物流を担ってきた、「モノを運ぶ社会インフラ」企業である。
⻑期成⻑ビジョンとして「⾼知県の未来を担う”⼟佐の物流王へ“」を掲げ、2035年までに運送事業の売上⾼100億円を
⽬指すとともに、⾼知県の物流の3つの課題解決に取り組んでいる
• ⾼知県の物流は、2030年には42％の荷物が運べなくなると予測される中、多くの倉庫が ハザードエリア内に⽴地しており、
補助事業の • かつ、共同配送、モーダルシフト等の物流の効率化が進んでいない状況にある
背景・⽬的 • ⾼知県の課題解決に資することを評価され、⾼知県・⾼知市から当該⼟地を分譲予定（確認書⼊⼿済）
• ⾼知県のハザードエリア外に、共同配送可能、モーダルシフト促進設備を有した複合物流施設を建設・運⽤することを計画
• 当社グループの成⻑領域である運送事業への投資を強化。新たに倉庫業との⼀体的な運営とDX化を図ることで
収益性を⾼め、持続的な成⻑・賃上げにつなげる
事業費
36億円
倉庫A︓県内企業向けの複合物流施設（モーダルシフト促進設備（※）の設置含む）
（補助額）
（11億円）
倉庫B︓県内スーパー向け共同配送センター
※事業費は税込かつ、⼟地取得費⽤を含む
• ハザードエリア外に⽴地、災害時に⽀援物資集約物流施設としても活⽤可
設備投資の • モーダルシフト促進設備を設置し、鉄道・船舶輸送を促進
内容 • DX化を推進するため、運送関連システム・倉庫管理システムを導⼊
(※)モーダルシフト促進設備
①オフレールステーション
➁内航船トレーラー及び輸出⼊コンテナシャーシ置場</t>
  </si>
  <si>
    <t>高知通運株式会社
2.補助事業の概要
補助事業の⽬標値として、従業員1⼈あたり給与⽀払総額の年平均上昇率は、すべての事業単位で+5.5％以
上、全体で+3.4％を計画している
■コンソーシアムにおける補助事業全体での労働⽣産性・従業員1⼈あたりの給与⽀払総額
2025年度 2028年度
項⽬
（基準年度） （基準年度＋３年後）
労働⽣産性 1,173
692
（単位︓万円/⼈） （年平均上昇率＋21.6％）
従業員1⼈あたり給与⽀給総額 425
384
（単位︓万円/⼈） （年平均上昇率＋3.4％）
役員１⼈あたり給与⽀給総額 0
0
（単位︓万円/⼈） （年平均上昇率＋0％）
補助事業に係る従業員数
12 71
（単位︓⼈）
■コンソーシアムの各補助事業単位での従業員1⼈あたり給与⽀払総額（万円/⼈）
2025年度（基準年度） 2028年度（3年後）
補助事業⼈材 補助事業⼈材 1⼈あたり給与
会社
年平均上昇率
常時使⽤する従業 常時使⽤する 常時使⽤する従業 常時使⽤する
1⼈あたり給与 1⼈あたり給与
員への報酬総額 従業員数 員への報酬総額 従業員数
⾼知通運 1,049万円 3⼈ 350万円 25,966万円 62⼈ 419万円 6.2%
⽬標値 ⾼知運輸 2,897万円 7⼈ 414万円 3,402万円 7⼈ 486万円 5.5％
LIVORT 330万円 1⼈ 330万円 387万円 1⼈ 387万円 5.5%
⼋潮商事 330万円 1⼈ 330万円 387万円 1⼈ 387万円 5.5%
全社ベース 4,605万円 12⼈ 384万円 30,143万円 71⼈ 425万円 3.4％
■コンソーシアムの各補助事業単位での労働⽣産性
2025年度（基準年度） 2028年度（3年後）
補助事業⼈材 補助事業⼈材
労働⽣産性
年平均上昇率
常時使⽤する 労働⽣産性 常時使⽤する 労働⽣産性
付加価値 付加価値
従業員数 （万円/⼈） 従業員数 （万円/⼈）
⾼知通運及び
7,922万円 10⼈ 792万円 58,778万円 69⼈ 852万円 2.5％
⾼知運輸
LIVORT ‐50万円 1⼈ ‐50万円 5,324万円 1⼈ 5,324万円 na
⼋潮商事 ‐50万円 1⼈ ‐50万円 19,188万円 1⼈ 19,188万円 na
全社ベース 7,822万円 12⼈ 692万円 83,290万円 71⼈ 1,173万円 21.6％
（注）LIVORT及び⼋潮商事では基準年度は補助事業準備のための管理⼈⼈材新規採⽤によるコスト先⾏
（注）⾼知通運は⾼知運輸からの出向者を含めた事業運営であるため⼀体として分析</t>
  </si>
  <si>
    <t>三晶エムイーシー株式会社
1.長期成長ビジョン
地の利の不利を「技術」でカバーすることで、日本海側からの先端EV・自動運転向け製品の安
定・継続的供給による富山県での安定成長を実現する。
○国内自動車メーカー、Tier1メーカー開発部門との連携促進によるEV化の重要要素の一つであるコネクタ高度化へ貢献する。
○EV等、最先端自動車向け製品の安定供給のための生産設備・人材を整備していき、富山県内における雇用創出・付加価値創出額拡大
に貢献しながら、年商20,000百万円超企業に向けた当社自身の安定成長に繋げる。
長期成長ビジョン（目指す姿・ビジネスモデル） 外発的動機
（詳細はスライド8参照）
○成長のために捉えていく事業機会
• EV向け最先端・高難度コネクタ・精密部品に係る要素技術開発を一体
化した製品製造での競合他社との差別化要因の構築。 • 自動運転等高速・大容量通信におけるセンサー高度化
→最先端分野・成長分野における基盤技術の高度化を推し進めていく • 高速・大容量通信における低抵抗化・ノイズ最小化の
ための新技術開発ニーズの拡大。
ことで優位性の強化に繋げていく。
• 技術的優位性である自動化技術を活用した徹底した自動化による低コ • EV・PHEV・HEVなど次世代自動車における部品共通化
による1パーツ当たりサイズの大型化。
スト化と最先端・高難度コネクタ・精密部品といった製品上の強みを
○成長のために回避していく脅威
活かした地の利が不利である日本海側からの安定供給の実現。
→基盤技術の更なる高度化によるコスト競争力を強化し、地の利の不 • 2024年問題による輸送コストの増加・拡大、使用原材
料高、エネルギー使用料高騰による製造経費の急激な
利を克服する。
高騰。
• 企画・開発人材など内部育成促進による人手不足といった外部環境に
依存しない組織力の強化。 • 日本全国、富山県内での人口減少、就労者人口の大幅
な減少予測。
→富山県内で予想される今後の人手不足といった脅威を大規模成長投
資と人材育成にて回避し、安定成長を目指す。
内発的動機
（詳細はスライド10参照）
○強みの更なる強化による成長に繋がる受注の獲得
売上成長目標
• EV分野・自動運転等高速・大容量通信分野での製品製
【2028年11月期（基準年度2025年11月期＋3年度）における売上目標】
造実績における同分野向け製品製造ノウハウの保有に
会社全体での売上目標14,762,844,105円（基準年より26.7％UP）
よる国内自動車メーカーTier1ハーネスメーカーであ
→「EV等次世代自動車市場」への選択と集中を図る補助事業を牽
るS社からのコネクタ開発、Y社からのEV用高圧ジャン
引役とした当社全体での売上増加
クションボックス製造受注の獲得。
【当社全体目標達成のための今回の補助事業売上・利益目標】
○成長に向けて解決する弱みの顕在化
補助事業での売上目標3,867,530,338円（基準年より281.7％UP）
• 製品上・技術上の優位性を発揮の障害としての人手不
→大規模成長投資の実施による生産能力拡大、製品1単位製造に必
足による人材の確保難、富山県といった立地による受
要となる生産コスト低減化でのEV分野セグメントを強化
注先までの製品輸送コストの高止まり。</t>
  </si>
  <si>
    <t>三晶エムイーシー株式会社
2.補助事業の概要
EV向け製品製造に係るインサート・アウトサート技術高度化による先端分野へのシフトに向けた
大規模成長投資の実行
• EV・高速・大容量通信事業受注・収益拡大に向けた工場・オリジナル全自動生産ラインの整備、これによるインサート・
補助事業の アウトサート技術の高度化
概要 • 自動化と作業員教育推進による製品1単位当たり生産コスト低減化、1日当たり製造能力強化、作業員多能工化等能力向上
による給与支給総額拡大・賃金ベースアップの実現
• 市場拡大が期待できるEV・高速・大容量通信事業、自動機設計・製造事業での受注量拡 事業費 33億円
大・高収益化が当社全体での経営課題
補助事業の （補助額） （11億円）
• 富山県内における人手不足、立地上の弱みが輸送コスト増加要因となる中での自動化分野
背景・目的
でのノウハウ蓄積による製品1単位製造に必要となるトータルコスト低減化によるEV・高
速・大容量通信事業の当社主力事業化に取り組む
【課題解決手段・労働生産性向上策】 本事業にて自社開発し導入する自動機の
• 工場エリア拡大による作業効率の向上、受注先別専用工場化での情報管理の盤石化 一例
• 低抵抗化・ノイズ最小化のための組付精度向上に向けた組付・検査ライン開発
• EV用高圧ジャンクションボックスの大型化に対応した成形金型開発・成形条件開
発・周辺自動化機器開発
設備投資の • 人手不足・人材不足に対応した強固な継続性を高めた継続・計画的人材育成の実行
内容
【設備投資の内容】
• EV・高速・大容量通信事業拡大に向けた
①受注先別専用工場の取得、既存工場の増床・工場エリア拡大
②EV・高速・大容量通信向け製品大型化・高精度化・複雑化に対応した専用自動
化ラインの導入
2024年度（2025年11月期） 2027年度（2028年11月期）
項目
（基準年度） （基準年度＋３年後）
労働生産性（単位：万円/人） 993万円/人 1,275万円/人（年平均上昇率＋8.7％）
目標値 従業員1人あたり給与支給総額（単位：万円/人） 457万円/人 508万円/人（年平均上昇率＋3.6％）
役員１人あたり給与支給総額（単位：万円/人） - -
補助事業に係る従業員数（単位：人） 32 110</t>
  </si>
  <si>
    <t>(cid:20)(cid:17)(cid:2486)(cid:2571)(cid:2587)(cid:2486)(cid:23867)(cid:23840)(cid:23887)(cid:23899) 三恵工業株式会社
(cid:23832)(cid:23891)(cid:23908)(cid:23871)(cid:3130)(cid:23773)(cid:2581)(cid:3177)(cid:2677)(cid:2485)(cid:23768)(cid:2486)(cid:2571)(cid:2587)(cid:2486)(cid:23867)(cid:23840)(cid:23887)(cid:23899)
• (cid:2570)(cid:2490)(cid:23832)(cid:23891)(cid:23908)(cid:23871)(cid:23769)(cid:23709)(cid:23715)(cid:2552)(cid:2537)(cid:2557)(cid:2686)(cid:23907)(cid:2479)(cid:2513)(cid:2585)(cid:3665)(cid:2638)(cid:23907)(cid:2556)(cid:3433)(cid:2598)(cid:3141)(cid:23716)(cid:23768)(cid:2544)(cid:4407)(cid:23804)(cid:2530)(cid:23746)(cid:23760)(cid:2490)(cid:2477)(cid:23765)(cid:3710)(cid:3444)(cid:23745)(cid:23709)(cid:2620)(cid:2624)(cid:23733)(cid:23795)(cid:2769)(cid:2575)(cid:23762)(cid:23743)(cid:23798)(cid:23797)(cid:2667)(cid:2485)(cid:23762)(cid:23764)(cid:23797)(cid:23741)(cid:23762)(cid:23804)(cid:2543)(cid:2640)(cid:23745)(cid:23760)(cid:23726)(cid:23797)(cid:23710)
• (cid:2493)(cid:2559)(cid:2660)(cid:2579)(cid:2485)(cid:23768)(cid:2849)(cid:2903)(cid:2775)(cid:2546)(cid:23804)(cid:2944)(cid:2563)(cid:23762)(cid:23762)(cid:23795)(cid:23730)(cid:23709)(cid:2587)(cid:2486)(cid:2496)(cid:2521)(cid:23765)(cid:2955)(cid:3006)(cid:2618)(cid:2545)(cid:23804)(cid:2487)(cid:23726)(cid:23709)(cid:2925)(cid:2886)(cid:23768)(cid:2775)(cid:2546)(cid:23765)(cid:3135)(cid:2786)(cid:23745)(cid:23760)(cid:23726)(cid:23737)(cid:23710)
(cid:23832)(cid:23891)(cid:23908)(cid:23871)(cid:23768)(cid:2486)(cid:2571)(cid:2587)(cid:2486)(cid:23867)(cid:23840)(cid:23887)(cid:23899)(cid:1602)(cid:2543)(cid:2640)(cid:23747)(cid:3013)(cid:23907)(cid:23867)(cid:23840)(cid:23861)(cid:23841)(cid:23882)(cid:23855)(cid:23891)(cid:1603) (cid:2583)(cid:2501)(cid:2515)(cid:2559)(cid:2563)
(cid:891) (cid:2570)(cid:2490)(cid:23832)(cid:23891)(cid:23908)(cid:23871)(cid:23768)(cid:2572)(cid:2529)(cid:2489)(cid:2485)(cid:23768)(cid:23728)(cid:23755)(cid:23709)(cid:4156)(cid:2903)(cid:2489)(cid:2485)(cid:23769)(cid:2473)(cid:2478)(cid:2660)(cid:3596)(cid:2559)(cid:2518)(cid:2743)(cid:23768)(cid:2866)(cid:2903)(cid:23734)(cid:2480)(cid:2673)(cid:23762) (cid:891) (cid:2620)(cid:2624)(cid:2515)(cid:23764)(cid:2925)(cid:2886)(cid:2508)(cid:2625)(cid:23778)(cid:23768)(cid:2564)(cid:23796)(cid:2636)(cid:23785)(cid:23768)(cid:2575)(cid:2975)(cid:3130)(cid:23773)(cid:2535)(cid:2784)(cid:2577)(cid:23765)(cid:23794)(cid:23796)(cid:23709)(cid:23828)
(cid:23764)(cid:23757)(cid:23760)(cid:23726)(cid:23797)(cid:23710) (cid:23845)(cid:23890)(cid:23899)(cid:2660)(cid:23769)(cid:2646)(cid:2776)(cid:23768)(cid:2500)(cid:2658)(cid:23785)(cid:23761)(cid:23724)(cid:23797)(cid:23753)(cid:23787)(cid:23709)(cid:2516)(cid:3300)(cid:2563)(cid:2525)(cid:23804)(cid:2512)(cid:2688)(cid:23762)(cid:23745)(cid:23753)(cid:3100)
(cid:2591)(cid:2866)(cid:2743)(cid:23768)(cid:2611)(cid:2481)(cid:2646)(cid:2776)(cid:23734)(cid:2500)(cid:2658)(cid:23784)(cid:23798)(cid:23797)
(cid:891) (cid:3100)(cid:2591)(cid:23768)(cid:23824)(cid:23899)(cid:23840)(cid:23899)(cid:2660)(cid:2518)(cid:2743)(cid:23765)(cid:2555)(cid:23801)(cid:23797)(cid:2866)(cid:2743)(cid:23762)(cid:23745)(cid:23760)(cid:40)(cid:57)(cid:2660)(cid:23768)(cid:3596)(cid:2559)(cid:2518)(cid:2743)(cid:23732)(cid:23794)(cid:23773)(cid:3126)(cid:2493)(cid:2559)(cid:2660)(cid:3066)
(cid:2518)(cid:2743)(cid:23768)(cid:2496)(cid:2521)(cid:3073)(cid:2474)(cid:23804)(cid:3029)(cid:23797)(cid:23788)(cid:23709)(cid:40)(cid:57)(cid:2660)(cid:2518)(cid:2743)(cid:23765)(cid:23758)(cid:23726)(cid:23760)(cid:23769)(cid:23709)(cid:2592)(cid:2814)(cid:23761)(cid:23769)(cid:40)(cid:57)(cid:2546)(cid:2596)(cid:2985)(cid:23768)(cid:2642)(cid:2931)(cid:23734) (cid:891) (cid:40)(cid:57)(cid:2660)(cid:2520)(cid:2499)(cid:23769)(cid:23709)(cid:2812)(cid:2898)(cid:2703)(cid:23709)(cid:2937)(cid:2964)(cid:2703)(cid:23765)(cid:2902)(cid:2619)(cid:23734)(cid:2827)(cid:23796)(cid:23709)(cid:40)(cid:57)(cid:2546)(cid:23768)(cid:2596)(cid:2985)(cid:23709)
(cid:2900)(cid:23745)(cid:23737)(cid:23709)(cid:4156)(cid:2903)(cid:2489)(cid:2485)(cid:23768)(cid:2587)(cid:2486)(cid:23768)(cid:2500)(cid:2530)(cid:23745)(cid:23734)(cid:2562)(cid:3530)(cid:2533)(cid:23761)(cid:23724)(cid:23797)(cid:23710) (cid:4064)(cid:3530)(cid:23769)(cid:2562)(cid:3530)(cid:2533)
(cid:891) (cid:23832)(cid:23891)(cid:23908)(cid:23871)(cid:2552)(cid:2540)(cid:23768)(cid:2749)(cid:2951)(cid:2609)(cid:2481)(cid:23765)(cid:2609)(cid:23739)(cid:23709)(cid:40)(cid:57)(cid:2660)(cid:23907)(cid:3126)(cid:2493)(cid:2559)(cid:2660)(cid:3066)(cid:23778)(cid:23768)(cid:2921)(cid:2912)(cid:3073)(cid:2474)(cid:23804)(cid:3029)(cid:23796)(cid:23758)(cid:23758)(cid:23709) (cid:891) (cid:2620)(cid:2624)(cid:2515)(cid:23765)(cid:2584)(cid:3221)(cid:23764)(cid:2473)(cid:2478)(cid:2660)(cid:3325)(cid:2575)(cid:23734)(cid:23724)(cid:23797)(cid:2483)(cid:2509)(cid:23761)(cid:23709)(cid:40)(cid:57)(cid:2546)(cid:23768)(cid:2482)(cid:3290)(cid:23798)(cid:23765)
(cid:23794)(cid:23796)(cid:3122)(cid:2591)(cid:2515)(cid:23765)(cid:2473)(cid:2478)(cid:2660)(cid:23768)(cid:23839)(cid:23823)(cid:23818)(cid:23734)(cid:2803)(cid:23755)(cid:23797)(cid:2797)(cid:2714)(cid:2585)(cid:23734)(cid:23724)(cid:23797)
(cid:2493)(cid:2559)(cid:2660)(cid:2835)(cid:3082)(cid:2518)(cid:2743)(cid:2489)(cid:2485)(cid:23768)(cid:3073)(cid:2474)(cid:23765)(cid:2879)(cid:2529)(cid:23747)(cid:23797)(cid:23710)
(cid:891) (cid:2620)(cid:2624)(cid:2515)(cid:23765)(cid:2500)(cid:23760)(cid:2493)(cid:2559)(cid:2660)(cid:23768)(cid:2547)(cid:2725)(cid:2702)(cid:2607)(cid:23769)(cid:23709)(cid:3093)(cid:3675)(cid:2481)(cid:23734)(cid:23796)(cid:23768)(cid:2642)(cid:3326)(cid:23762)(cid:23764)(cid:23757)
(cid:2581)(cid:3177)(cid:2677)(cid:2485)(cid:23768)(cid:2486)(cid:2571)(cid:2587)(cid:2486)(cid:23867)(cid:23840)(cid:23887)(cid:23899)(cid:1602)(cid:2543)(cid:2640)(cid:23747)(cid:3013)(cid:23907)(cid:23867)(cid:23840)(cid:23861)(cid:23841)(cid:23882)(cid:23855)(cid:23891)(cid:1603) (cid:23760)(cid:23732)(cid:23796)(cid:23709)(cid:2835)(cid:3082)(cid:2518)(cid:2743)(cid:23768)(cid:23859)(cid:23908)(cid:23842)(cid:23769)(cid:2652)(cid:2616)(cid:23747)(cid:23797)(cid:23762)(cid:2693)(cid:23730)(cid:23795)(cid:23798)(cid:23797)(cid:23710)(cid:23784)(cid:23753)(cid:23709)(cid:2493)(cid:2559)
(cid:2660)(cid:2835)(cid:3082)(cid:2518)(cid:2743)(cid:2489)(cid:2485)(cid:23768)(cid:2485)(cid:3162)(cid:23769)(cid:3073)(cid:2474)(cid:3402)(cid:2609)(cid:23765)(cid:23724)(cid:23796)(cid:23709)(cid:2534)(cid:2511)(cid:23788)(cid:2520)(cid:2499)(cid:2539)(cid:3636)
(cid:891) (cid:2581)(cid:3177)(cid:2677)(cid:2485)(cid:23769)(cid:23709)(cid:23881)(cid:23820)(cid:23857)(cid:23820)(cid:23899)(cid:23840)(cid:23883)(cid:23865)(cid:23899)(cid:23768)(cid:2504)(cid:2743)(cid:2872)(cid:23764)(cid:2866)(cid:2743)(cid:23804)(cid:2688)(cid:2937)(cid:23745)(cid:23709)(cid:2660)(cid:23768)(cid:2486)(cid:3661)(cid:2933)(cid:2546)(cid:23804)(cid:3375)(cid:23747)
(cid:23768)(cid:3167)(cid:2505)(cid:23734)(cid:2500)(cid:2658)(cid:23784)(cid:23798)(cid:23797)
(cid:23741)(cid:23762)(cid:23761)(cid:2629)(cid:2594)(cid:2797)(cid:2714)(cid:23764)(cid:2490)(cid:2477)(cid:23768)(cid:2544)(cid:2592)(cid:23765)(cid:3710)(cid:3444)(cid:23747)(cid:23797)(cid:23741)(cid:23762)(cid:23804)(cid:2543)(cid:2640)(cid:23747)(cid:23710)
(cid:891) (cid:2552)(cid:2490)(cid:23762)(cid:23745)(cid:23760)(cid:23768)(cid:2548)(cid:3034)(cid:2584)(cid:2546)(cid:23762)(cid:2503)(cid:2579)(cid:2585)(cid:2609)(cid:2481)(cid:23765)(cid:2564)(cid:23796)(cid:2636)(cid:23785)(cid:23709)(cid:2605)(cid:2879)(cid:23734)(cid:23724)(cid:23757)(cid:23753)(cid:2656)(cid:23765)(cid:23709)(cid:2769)(cid:2575)(cid:23764)(cid:2866)(cid:2743)(cid:23804)
(cid:23847)(cid:23820)(cid:23880)(cid:23890)(cid:23908)(cid:23765)(cid:2937)(cid:2964)(cid:23761)(cid:23735)(cid:23797)(cid:2540)(cid:2577)(cid:23804)(cid:2849)(cid:3363)(cid:23747)(cid:23797)(cid:23741)(cid:23762)(cid:23761)(cid:23709)(cid:2570)(cid:2490)(cid:23768)(cid:2518)(cid:2743)(cid:23804)(cid:4044)(cid:3415)(cid:23747)(cid:23797)(cid:2493)(cid:2559)(cid:2660)(cid:23804)(cid:2547)
(cid:2725)(cid:23747)(cid:23797)(cid:2830)(cid:2750)(cid:2491)(cid:23734)(cid:23709)(cid:2486)(cid:23737)(cid:2573)(cid:2552)(cid:23765)(cid:2861)(cid:23796)(cid:2594)(cid:23739)(cid:23795)(cid:23798)(cid:23797)(cid:23794)(cid:23728)(cid:23837)(cid:23877)(cid:23908)(cid:23856)(cid:23745)(cid:23709)(cid:2490)(cid:2477)(cid:23765)(cid:3710)(cid:3444)(cid:23747)(cid:23797)(cid:23710) (cid:2516)(cid:2501)(cid:2515)(cid:2559)(cid:2563)
(cid:891) (cid:3100)(cid:2591)(cid:23768)(cid:2473)(cid:2478)(cid:2660)(cid:2518)(cid:2743)(cid:23765)(cid:2616)(cid:23730)(cid:23760)(cid:2583)(cid:2476)(cid:2660)(cid:2518)(cid:2743)(cid:23768)(cid:2866)(cid:2743)(cid:23889)(cid:23820)(cid:23899)(cid:23858)(cid:23851)(cid:23871)(cid:23804)(cid:3073)(cid:2474)(cid:23745)(cid:23709)(cid:2583)(cid:2476)(cid:2660)(cid:23886)(cid:23908)
(cid:891) (cid:2581)(cid:3177)(cid:2677)(cid:2485)(cid:23769)(cid:23709)(cid:3969)(cid:2997)(cid:2601)(cid:23768)(cid:2682)(cid:3030)(cid:2809)(cid:2479)(cid:23768)(cid:23715)(cid:2581)(cid:2509)(cid:23794)(cid:23745)(cid:23716)(cid:23768)(cid:2693)(cid:23730)(cid:2509)(cid:23804)(cid:3194)(cid:2804)
(cid:23838)(cid:23908)(cid:23768)(cid:2564)(cid:23796)(cid:2658)(cid:23785)(cid:23804)(cid:3029)(cid:23797)(cid:23762)(cid:23762)(cid:23788)(cid:23765)(cid:23709)(cid:2866)(cid:2743)(cid:23877)(cid:23908)(cid:23856)(cid:23869)(cid:23825)(cid:23890)(cid:23826)(cid:23768)(cid:2647)(cid:2968)(cid:2546)(cid:23765)(cid:23794)(cid:23797)(cid:2473)(cid:2478)(cid:2660)(cid:23881)(cid:23908)(cid:23827)(cid:23908)(cid:23768)
(cid:23762)(cid:23745)(cid:23760)(cid:2501)(cid:2985)
(cid:40)(cid:57)(cid:2546)(cid:2482)(cid:3290)(cid:23798)(cid:23765)(cid:23794)(cid:23797)(cid:23839)(cid:23823)(cid:23818)(cid:3296)(cid:2549)(cid:23768)(cid:23890)(cid:23841)(cid:23831)(cid:23804)(cid:2522)(cid:3266)(cid:23747)(cid:23797)(cid:23710)
(cid:891) (cid:2563)(cid:3850)(cid:2677)(cid:3131)(cid:23768)(cid:2866)(cid:2903)(cid:23804)(cid:2569)(cid:2593)(cid:23762)(cid:23745)(cid:23709)(cid:3449)(cid:3042)(cid:23859)(cid:23908)(cid:23842)(cid:23765)(cid:2786)(cid:23730)(cid:23797)(cid:2948)(cid:23761)(cid:2493)(cid:2559)(cid:2660)
(cid:891) (cid:2866)(cid:2743)(cid:23889)(cid:23820)(cid:23899)(cid:23858)(cid:23851)(cid:23871)(cid:23804)(cid:2652)(cid:23790)(cid:23745)(cid:2594)(cid:23739)(cid:23797)(cid:23741)(cid:23762)(cid:23761)(cid:23709)(cid:2647)(cid:2968)(cid:23764)(cid:2660)(cid:2992)(cid:23765)(cid:2508)(cid:2786)(cid:23745)(cid:23709)(cid:2534)(cid:2511)(cid:23788)(cid:3449)(cid:3042)(cid:23768)(cid:23859)(cid:23908)(cid:23842)
(cid:2835)(cid:3082)(cid:2518)(cid:2743)(cid:2489)(cid:2485)(cid:23778)(cid:2489)(cid:2485)(cid:23804)(cid:2985)(cid:2539)(cid:23745)(cid:23709)(cid:2477)(cid:2490)(cid:2784)(cid:3014)(cid:23804)(cid:3073)(cid:2474)
(cid:23765)(cid:3601)(cid:3806)(cid:23765)(cid:2508)(cid:2786)(cid:23747)(cid:23797)(cid:23710)
(cid:891) (cid:2592)(cid:2772)(cid:2943)(cid:2611)(cid:2811)(cid:2792)(cid:23768)(cid:2504)(cid:23726)(cid:23818)(cid:23840)(cid:23818)(cid:23907)(cid:2480)(cid:2741)(cid:2538)(cid:23768)(cid:23785)(cid:23764)(cid:23795)(cid:23748)(cid:23709)(cid:23818)(cid:23869)(cid:23890)(cid:23827)(cid:23790)(cid:2600)(cid:2538)(cid:23778)(cid:23768)(cid:2686)(cid:2485)(cid:23765)(cid:2879)(cid:2529)(cid:23745)(cid:23709) (cid:891) (cid:3401)(cid:2485)(cid:2570)(cid:2626)(cid:23769)(cid:2505)(cid:2912)(cid:23765)(cid:2953)(cid:2935)(cid:23745)(cid:23709)(cid:2505)(cid:2912)(cid:23768)(cid:23732)(cid:3042)(cid:2968)(cid:23804)(cid:2508)(cid:2868)(cid:23762)(cid:23745)(cid:23760)(cid:23726)(cid:23753)(cid:23788)(cid:23768)
(cid:2620)(cid:2624)(cid:23768)(cid:4073)(cid:1585)(cid:23784)(cid:23761)(cid:23870)(cid:23889)(cid:23899)(cid:23857)(cid:23804)(cid:4064)(cid:3530)(cid:23743)(cid:23749)(cid:23709)(cid:23869)(cid:23817)(cid:23899)(cid:23804)(cid:3459)(cid:2669)(cid:23745)(cid:23709)(cid:23839)(cid:23823)(cid:23818)(cid:23804)(cid:3073)(cid:2474)(cid:23743)(cid:23749)(cid:23760)(cid:23726)(cid:23737)(cid:23741)(cid:23762)(cid:23761)(cid:2493) (cid:23768)(cid:23709)(cid:2647)(cid:2743)(cid:2992)(cid:23761)(cid:2504)(cid:2743)(cid:2872)(cid:23764)(cid:2866)(cid:2743)(cid:23734)(cid:4105)(cid:1585)(cid:23765)(cid:2879)(cid:2543)(cid:23804)(cid:2768)(cid:23787)(cid:23709)(cid:2476)(cid:2516)(cid:23709)(cid:2610)(cid:2583)
(cid:2559)(cid:2660)(cid:2835)(cid:3082)(cid:2518)(cid:2743)(cid:2520)(cid:2499)(cid:23761)(cid:23768)(cid:2505)(cid:2651)(cid:23804)(cid:2504)(cid:23787)(cid:23797)(cid:23710) (cid:23778)(cid:23762)(cid:3527)(cid:3303)(cid:23804)(cid:3073)(cid:2474)
(cid:2611)(cid:2481)(cid:2587)(cid:2486)(cid:2543)(cid:3087) (cid:891) (cid:2697)(cid:2682)(cid:23761)(cid:23769)(cid:23709)(cid:2605)(cid:2879)(cid:2827)(cid:23768)(cid:2955)(cid:23785)(cid:2481)(cid:23734)(cid:23796)(cid:23765)(cid:23794)(cid:23796)(cid:3253)(cid:2571)(cid:23734)(cid:2486)(cid:2571)(cid:2546)(cid:23745)(cid:23760)(cid:23726)(cid:23797)(cid:23734)(cid:23709)
(cid:2592)(cid:2677)(cid:2499)(cid:23768)(cid:2784)(cid:3014)(cid:23761)(cid:23769)(cid:3253)(cid:2571)(cid:3234)(cid:3296)(cid:23765)(cid:23769)(cid:2834)(cid:2624)(cid:23734)(cid:23724)(cid:23797)(cid:23753)(cid:23787)(cid:23709)(cid:2677)(cid:2499)(cid:2784)(cid:3014)(cid:23804)
(cid:891) (cid:21)(cid:19)(cid:22)(cid:19)(cid:2475)(cid:2536)(cid:2611)(cid:2481)(cid:2504)(cid:2543)(cid:3087)(cid:1567)(cid:2554)(cid:24)(cid:19)(cid:19)(cid:2639)(cid:2526)
(cid:3073)(cid:2474)(cid:23747)(cid:23797)(cid:2769)(cid:2575)(cid:23734)(cid:23724)(cid:23797)
(cid:21)(cid:19)(cid:22)(cid:19)(cid:2475)(cid:2536)(cid:23784)(cid:23761)(cid:23768)(cid:2611)(cid:2481)(cid:2504)(cid:2587)(cid:2486)(cid:2792)(cid:21)(cid:27)(cid:23)(cid:1643)(cid:23709)(cid:2611)(cid:2481)(cid:2504)(cid:2652)(cid:2616)(cid:2730)(cid:22)(cid:21)(cid:19)(cid:2639)(cid:2526)(cid:1602)(cid:21)(cid:19)(cid:21)(cid:21)(cid:2475)(cid:2536)(cid:2811)(cid:1603)</t>
  </si>
  <si>
    <t>2(cid:17)(cid:2835)(cid:2947)(cid:2489)(cid:2485)(cid:23768)(cid:3818)(cid:2575) 三恵工業株式会社
(cid:3780)(cid:3037)(cid:2677)(cid:2499)(cid:2519)(cid:2589)(cid:23871)(cid:23893)(cid:23840)(cid:23823)(cid:23831)(cid:23856)(cid:23768)(cid:3818)(cid:2575)
• (cid:2478)(cid:2835)(cid:2947)(cid:2489)(cid:2485)(cid:23761)(cid:23769)(cid:2503)(cid:2579)(cid:2714)(cid:2529)(cid:23768)(cid:2609)(cid:2481)(cid:23804)(cid:2543)(cid:2515)(cid:23762)(cid:23745)(cid:23760)(cid:3969)(cid:2997)(cid:2601)(cid:3780)(cid:3037)(cid:2484)(cid:23765)(cid:2519)(cid:2677)(cid:2499)(cid:23804)(cid:2519)(cid:2589)(cid:23710)
(cid:891) (cid:2570)(cid:2490)(cid:23769)(cid:2498)(cid:2741)(cid:23818)(cid:23840)(cid:23818)(cid:23790)(cid:2480)(cid:2741)(cid:2538)(cid:23804)(cid:2480)(cid:2673)(cid:23762)(cid:23745)(cid:23760)(cid:2473)(cid:2478)(cid:2660)(cid:23768)(cid:2493)(cid:2559)(cid:2660)(cid:2835)(cid:3082)(cid:2518)(cid:2743)(cid:2866)(cid:2903)(cid:2943)(cid:2611)(cid:23768)(cid:2485)(cid:2624)(cid:23761)(cid:2483)(cid:2514)(cid:23768)(cid:23839)(cid:23823)(cid:23818)(cid:23804)(cid:2725)(cid:23745)(cid:23760)(cid:23726)(cid:23797)(cid:23710)
(cid:891) (cid:23745)(cid:23733)(cid:23745)(cid:2697)(cid:2682)(cid:23761)(cid:23769)(cid:2570)(cid:2490)(cid:2866)(cid:2743)(cid:3325)(cid:2575)(cid:23768)(cid:2652)(cid:2616)(cid:23765)(cid:2508)(cid:23745)(cid:23760)(cid:23709)(cid:2592)(cid:2487)(cid:23768)(cid:2677)(cid:2499)(cid:23761)(cid:23769)(cid:3854)(cid:3054)(cid:23734)(cid:9131)(cid:3252)(cid:23745)(cid:23760)(cid:23732)(cid:23796)(cid:23709)(cid:3253)(cid:2571)(cid:23734)(cid:2486)(cid:2571)(cid:2546)(cid:23745)(cid:23760)(cid:23726)(cid:23797)(cid:23710)
(cid:2835)(cid:2947)(cid:2489)(cid:2485)(cid:23768)
(cid:891) (cid:2592)(cid:2677)(cid:2499)(cid:23769)(cid:3073)(cid:2897)(cid:2551)(cid:23768)(cid:3362)(cid:2505)(cid:23734)(cid:2562)(cid:2828)(cid:23745)(cid:23760)(cid:23726)(cid:23797)(cid:23781)(cid:23733)(cid:23709)(cid:2677)(cid:2499)(cid:3872)(cid:23768)(cid:2652)(cid:3363)(cid:23804)(cid:2638)(cid:23767)(cid:23760)(cid:23726)(cid:23797)(cid:23753)(cid:23787)(cid:2866)(cid:2903)(cid:23889)(cid:23820)(cid:23899)(cid:23734)(cid:2568)(cid:3135)(cid:2546)(cid:23743)(cid:23798)(cid:23760)(cid:23726)(cid:23764)(cid:23726)(cid:23710)
(cid:3138)(cid:2860)(cid:23907)(cid:2543)(cid:2515)
(cid:2489)(cid:2485)(cid:2750) (cid:20)17(cid:2639)(cid:2526)
(cid:891) (cid:23784)(cid:23753)(cid:23709)(cid:2480)(cid:2486)(cid:2571)(cid:2515)(cid:23764)(cid:2902)(cid:2619)(cid:23762)(cid:23745)(cid:23760)(cid:2677)(cid:2499)(cid:23768)(cid:2687)(cid:2485)(cid:2479)(cid:2537)(cid:23768)(cid:2728)(cid:2547)(cid:23734)(cid:3409)(cid:2900)(cid:23765)(cid:23764)(cid:23796)(cid:23758)(cid:23758)(cid:23724)(cid:23797)(cid:23710)
(cid:1602)(cid:2835)(cid:2947)(cid:2730)(cid:1603) (cid:1602)(cid:22)3(cid:2639)(cid:2526)(cid:1603)
(cid:891) (cid:2478)(cid:2671)(cid:2835)(cid:2947)(cid:2489)(cid:2485)(cid:23765)(cid:23760)(cid:2677)(cid:2499)(cid:23768)(cid:2519)(cid:2589)(cid:23765)(cid:23794)(cid:23797)(cid:2687)(cid:2485)(cid:2703)(cid:2955)(cid:23768)(cid:3073)(cid:2474)(cid:23762)(cid:23889)(cid:23820)(cid:23899)(cid:23768)(cid:2492)(cid:2550)(cid:2546)(cid:23804)(cid:2487)(cid:23726)(cid:23709)(cid:2503)(cid:2579)(cid:2714)(cid:2529)(cid:23768)(cid:2609)(cid:2481)(cid:23804)(cid:3029)(cid:23797)(cid:23710)
(cid:891) (cid:2519)(cid:2677)(cid:2499)(cid:23762)(cid:23745)(cid:23760)(cid:3969)(cid:2997)(cid:2601)(cid:3780)(cid:3037)(cid:2484)(cid:23765)(cid:23760)(cid:2995)(cid:3543)(cid:2903)(cid:2677)(cid:2499)(cid:2790)(cid:2763)(cid:23781)(cid:23733)(cid:2492)(cid:2641)(cid:3563)(cid:2703)(cid:2955)
(cid:22)(cid:19)(cid:2808)(cid:8955)(cid:23768)(cid:2790)(cid:2655)(cid:23804)(cid:2790)(cid:2589)
(cid:891) (cid:2478)(cid:2671)(cid:2618)(cid:2545)(cid:23765)(cid:3427)(cid:23726)(cid:2519)(cid:2677)(cid:2499)(cid:2551)(cid:2505)(cid:24)(cid:22)(cid:2808)(cid:8955)(cid:23804)(cid:2519)(cid:2784)(cid:23765)(cid:2564)(cid:2669)
(cid:891) (cid:2503)(cid:2579)(cid:2589)(cid:2783)(cid:23765)(cid:23758)(cid:23726)(cid:23760)(cid:23709)(cid:2478)(cid:2835)(cid:2947)(cid:2489)(cid:2485)(cid:3173)(cid:3381)(cid:2511)(cid:23768)(cid:21)(cid:19)(cid:21)(cid:26)(cid:2475)(cid:2608)(cid:3083)(cid:2519)(cid:2784)(cid:2589)(cid:2783)(cid:23804)
(cid:3238)(cid:2691)(cid:2833)(cid:2507)(cid:2642)(cid:2514)
(cid:2589)(cid:2783)(cid:2618)(cid:2545)(cid:23768)
(cid:891) (cid:2519)(cid:2677)(cid:2499)(cid:23768)(cid:3117)(cid:3563)(cid:2703)(cid:2955)(cid:23769)(cid:2592)(cid:2677)(cid:2499)(cid:23768)(cid:2554)(cid:1710)(cid:3269)(cid:23762)(cid:23764)(cid:23797)(cid:2642)(cid:2514)(cid:23761)(cid:23724)(cid:23796)(cid:23709)(cid:2503)(cid:2579)(cid:2714)(cid:2529)
(cid:2516)(cid:2701)
(cid:2481)(cid:2834)(cid:23768)(cid:2474)(cid:3021)(cid:23764)(cid:2604)(cid:23735)(cid:2481)(cid:23740)(cid:23734)(cid:2500)(cid:2658)(cid:23784)(cid:23798)(cid:23797)
(cid:891) (cid:23784)(cid:23753)(cid:23709)(cid:2677)(cid:2499)(cid:2519)(cid:2589)(cid:23765)(cid:3427)(cid:23728)(cid:2559)(cid:2829)(cid:23790)(cid:2677)(cid:2969)(cid:23768)(cid:2500)(cid:2697)(cid:23745)(cid:23765)(cid:23794)(cid:23797)(cid:23889)(cid:23820)(cid:23899)(cid:23768)(cid:2492)(cid:2550)(cid:2546)(cid:23765)
(cid:2616)(cid:23730)(cid:23709)(cid:21)(cid:19)(cid:21)(cid:26)(cid:2475)(cid:2536)(cid:2608)(cid:3083)(cid:23768)(cid:2493)(cid:2559)(cid:2546)(cid:23804)(cid:2543)(cid:2515)(cid:23762)(cid:23745)(cid:23753)(cid:2589)(cid:2783)(cid:23907)(cid:23839)(cid:23841)(cid:23854)(cid:23880)(cid:23768)(cid:2833)(cid:2507)(cid:23765)
(cid:23794)(cid:23796)(cid:2503)(cid:2579)(cid:2585)(cid:23768)(cid:2609)(cid:2481)(cid:23804)(cid:3029)(cid:23797)
(cid:21)(cid:19)(cid:21)(cid:25)(cid:2475)(cid:2536) (cid:21)(cid:19)(cid:21)(cid:28)(cid:2475)(cid:2536)
(cid:3496)(cid:2543) (cid:2782)(cid:2616)(cid:2491)
(cid:1602)(cid:2662)(cid:2758)(cid:2475)(cid:2536)(cid:1603) (cid:1602)(cid:2662)(cid:2758)(cid:2475)(cid:2536)(cid:1620)(cid:1711)(cid:2475)(cid:2511)(cid:1603)
(cid:3020)(cid:3054)(cid:2503)(cid:2579)(cid:2585) (cid:2581)(cid:3177)(cid:2677)(cid:2485) (cid:20)(cid:15)(cid:24)(cid:26)(cid:22) (cid:20)(cid:15)(cid:26)(cid:23)(cid:27)(cid:1602)(cid:2475)(cid:2612)(cid:3217)(cid:2481)(cid:3210)(cid:2792)(cid:1620)(cid:22)(cid:17)(cid:25)(cid:1643)(cid:1603)
(cid:1602)(cid:3152)(cid:2651)(cid:1567)(cid:2576)(cid:2526)(cid:18)(cid:2479)(cid:1603) (cid:42)(cid:43)(cid:39) (cid:22)(cid:15)(cid:21)(cid:19)(cid:19) (cid:24)(cid:15)(cid:26)(cid:28)(cid:28)(cid:1602)(cid:2475)(cid:2612)(cid:3217)(cid:2481)(cid:3210)(cid:2792)(cid:1620)(cid:21)(cid:20)(cid:17)(cid:28)(cid:1643)(cid:1603)
(cid:3100)(cid:2485)(cid:2537)(cid:20)(cid:2479)(cid:23724)(cid:23753)(cid:23796)(cid:2964)(cid:2838)(cid:2637)(cid:2964)(cid:2645)(cid:2730) (cid:2581)(cid:3177)(cid:2677)(cid:2485) (cid:24)(cid:23)(cid:20) (cid:24)(cid:28)(cid:20)(cid:1602)(cid:2475)(cid:2612)(cid:3217)(cid:2481)(cid:3210)(cid:2792)(cid:1620)(cid:22)(cid:17)(cid:19)(cid:1643)(cid:1603)
(cid:2543)(cid:3087)(cid:2965)
(cid:1602)(cid:3152)(cid:2651)(cid:1567)(cid:2576)(cid:2526)(cid:18)(cid:2479)(cid:1603) (cid:42)(cid:43)(cid:39) (cid:26)(cid:20)(cid:27) (cid:26)(cid:27)(cid:24)(cid:1602)(cid:2475)(cid:2612)(cid:3217)(cid:2481)(cid:3210)(cid:2792)(cid:1620)(cid:22)(cid:17)(cid:19)(cid:1643)(cid:1603)
(cid:2813)(cid:2537)(cid:1709)(cid:2479)(cid:23724)(cid:23753)(cid:23796)(cid:2964)(cid:2838)(cid:2637)(cid:2964)(cid:2645)(cid:2730) (cid:2581)(cid:3177)(cid:2677)(cid:2485) (cid:16) (cid:16)(cid:1602)(cid:2475)(cid:2612)(cid:3217)(cid:2481)(cid:3210)(cid:2792)(cid:1620)(cid:22)(cid:17)(cid:19)(cid:1643)(cid:1603)
(cid:1602)(cid:3152)(cid:2651)(cid:1567)(cid:2576)(cid:2526)(cid:18)(cid:2479)(cid:1603) (cid:42)(cid:43)(cid:39) (cid:16) (cid:16)(cid:1602)(cid:2475)(cid:2612)(cid:3217)(cid:2481)(cid:3210)(cid:2792)(cid:1620)(cid:22)(cid:17)(cid:19)(cid:1643)(cid:1603)
(cid:2835)(cid:2947)(cid:2489)(cid:2485)(cid:23765)(cid:2732)(cid:23797)(cid:3100)(cid:2485)(cid:2537)(cid:2607) (cid:2581)(cid:3177)(cid:2677)(cid:2485) (cid:22)(cid:20)(cid:20) (cid:24)(cid:20)(cid:28)
(cid:1602)(cid:3152)(cid:2651)(cid:1567)(cid:2479)(cid:1603) (cid:42)(cid:43)(cid:39) (cid:21)(cid:22) (cid:21)(cid:22)</t>
  </si>
  <si>
    <t>サーパス工業株式会社
1.⾧期成⾧ビジョン
国内外のお客様、パートナー企業様、従業員と協働して半導体産業の成⾧に貢献。
日本国内と海外ビジネス（外貨獲得）によって得られた収益を、日本国内の企業や従業員に還元し、
日本全体及び地域経済の活性化に貢献します。
⾧期成⾧ビジョン（目指す姿・ビジネスモデル） 外発的動機
• コロナ禍を契機とした在宅勤務やSNSを中心とした新しい社会の始まりに
• 当社は創業から42年間、流体機器のブランドメーカーとして開発・
より、世界的な半導体不足となっています。同時に、半導体の安定調達
製造・販売を自社にて行い、垂直統合型企業を目指してきました。
を各国が模索し、半導体需要は爆発的に伸びています。このような背景
そして今まで培ってきた流体機器の専門知識・経験を活用し、10年
から、半導体業界全体が2033年には、2023年比2倍の成⾧を見込ま
後には、半導体業界向けの売上を現在の2倍まで成⾧させ、新規
れており、当社も2倍の生産キャパの確保が必要となっております。
事業の再生医療業界向けの売上比率を、現在の約5％から約
• 益々高度化する半導体業界の技術の進化により、お客様と共創しながら
20％まで高めていきます。具体的な計画として、5年後には全社売
研究開発を行える環境・体制造りが必要となっています。
上135%up、社員数300名(新規雇用100名)、10年後には全
• 日本の出生率は低下しており、1974年生まれは210万人、2023年生
社売上200%up 社員数400名(新規雇用200名)を目指します。
まれは76万人と約1/3となっています。現状と同じ生産性では、将来の経
• 多くの製造業者が本社と生産拠点を分離、分散しているなか、
済規模も1/3になることが予想され、生産性向上が急務となっています。
我々が目指すのは、本社施設、研究施設、生産施設が三位一体
• 世界的に環境規制が強化されており、日本でも2050年までにカーボン
となって運営される組織です。そして埼玉県北部の鴻巣という地方
ニュートラルの実現が政府より提言されています。国と地方の協働・共創が
都市に、一枚岩の組織力と最新鋭のDX化された生産工程（自動
進んでおり、企業としても一翼を担うことが期待されています。
倉庫＋自動搬送機＋生産システムの連携）が構築された新拠点
で、生産性を、5年後には5％up、10年後には15％upを目指して
いきます。 内発的動機
• IT化やデジタル化によって、本社や生産拠点の場所は、問われない
• 私の地元 鴻巣は、ベッドタウンの側面が強く、昼間の労働人口を増やすこ
新しい世の中となりました。その現代だからこそ実現できる新たなビジ
とが課題となっております。私は、埼玉版スーパー・シティプロジェクト構想に
ネスモデルを、地方都市 鴻巣市から世界に向けて発信していきたい
賛同しており、企業として魅力的な職場の提供、災害対策、地域経済の
と考えています。そして、成⾧で得られた収益を地域社会と社員に
活性化を行い、地域貢献をしたいと考えています。そして、昨今の世界的
還元できる100年企業を目指していきます。
な半導体業界の急激な成⾧を鑑みて、この機会に地元 鴻巣に大規模
な投資をし、新規雇用を創出することで、地域貢献ができると考えました。
売上成⾧目標
• 当社の海外販売比率は、約20年前は0%でしたが、現在では約30%に
• 2030年までの全社売上高成⾧率165％
成⾧しました。“ものづくり”で世界に挑戦することで、社員のモチベーション
• 2030年までの全社従業員規模成⾧率150％
が上がり、地域経済が活性化されることの大切さを学んできました。これか
• 2033年までの会社全体の売上高成⾧率200％
らも、埼玉県北部の地方都市から世界とツナガル製品創りで、誇りのもて
• 2033年までの会社全体の従業員規模200％
る(魅力ある)職場づくりを目指していきたいと考えています。</t>
  </si>
  <si>
    <t>サーパス工業株式会社
2.補助事業の概要
多くの製造業が本社・生産拠点を分散する中、本社機能・開発機能・生産機能が三位一体となり、
埼玉県北部の地方都市 鴻巣市から、世界に発信する新しいビジネスモデルを提案。
すべてを『ツナグ』シンボルとしての最新鋭の新拠点を建設。新たな一体感を生む『PJ ブルーム』をスタート。
補助事業の • 事業拠点を一カ所に集めた最新鋭の新拠点で、生産性向上及び生産キャパの拡大を実現します。 事業費 200億円
背景・目的 • 地方企業の新たな姿となるシンボリックな新拠点と働きやすい魅力ある職場創りで、人財獲得を進めます。 （補助額） （50億円）
• 全社横ぐしの『PJ ブルーム』を通して、新拠点を創造し、チームワークを再構築していきます。
今回の投資は、単純な移転集約ではなく、全ての要素を『ツナグ』PJブルームとなっており、当社を新しいステージに成⾧させる特異点となります。
【未来・世界とツナガル】
●自動倉庫、自動搬送機を導入し、生産システムと連携し、省人化された近未来的な工場で、生産性向上を目指します。
●新拠点は、世界的半導体業界の成⾧に対応するため、フェーズ１として2倍の生産キャパを確保し、新規雇用200人を予定。その後
市場の動向に応じて、フェーズ2及び3を行い、5倍の生産キャパ、新規雇用500人を収納できる新拠点となっています。
●世界各国で登録された特許約550件に及ぶ技術力で、製品を世界に向けて販売し、世界中のお客様をおもてなしする新拠点とします。
【自然・次世代とツナガル】
新社屋:2026年10月 竣工予定
●太陽光発電設備、CASBEE/ZEBの取得、更には
環境性能評価指標ZEFへの取り組みを予定しており、 フェーズ1 フェーズ３
設備投資の 環境にやさしい企業活動を目指すと同時に、環境性能
内容 を併せ持つ製品開発を行い、子供達(次世代)に
持続可能な環境を残していきます。
【人がツナガル】
●本社機能、開発機能、生産機能を統合し、Sampo
オフィスが構成される拠点で、Soiebaの何気ない
発想から、付加価値の高い新製品を開発します。
●WELL認証、CASBEE ウェルネスオフィスの取得を予定しており、
働きやすい職場を創り、継続的に人財採用が行っていける魅力ある職場を目指します。
【地元・地域とツナガル】
●花のまち鴻巣にふさわしい、花と緑に囲まれた魅力あるサーパスフィールドを創造します。
項目 2027年度（基準年度） 2030年度（基準年度＋３年後）
労働生産性 4,336
3,795
（単位:万円/人） （年平均上昇率＋4.5％）
目標値 従業員1人あたり給与支給総額 481 528
（単位:万円/人） （年平均上昇率＋3.1％）
役員１人あたり給与支給総額 ー
ー
（単位:万円/人） （年平均上昇率＋3.1％）
補助事業に係る従業員数
184 232
（単位:人）</t>
  </si>
  <si>
    <t>1.長期成長ビジョン 株式会社オティックスホールディングス
• 長期成長ビジョンを策定し、電動化メガトレンドに対応する計画を策定。将来の自動車サプライチェーンの変革に対応
• 2038年に売上の半分が電動車部品となり、「電動車部品含むモビリティ関連部品メーカー」へ転換
• 将来にわたって顧客ニーズに応え、日本の自動車産業を支える、選ばれる部品メーカーになる
長期成長ビジョン VISION120
（2038年に向けた長期ビジョン）
外発的動機
メガトレンドへの対応
◆EV・電動車シフトに対応し、エンジン部品メーカーから「電動車部品含むモビリ • 地球温暖化および異常気象による各国CO2排出規制の強化
ティ関連部品メーカー」への変革を、スピード感をもって行う。 • 自動車業界の100年に1度と言われる大変革期、次世代自動車
（BEV・FCEV）の拡大
◆持続的な成長のため、取引先の要求を先回りして提案、実現し
• トヨタ自動車による2030年電気自動車生産台数目標350万台
選ばれ続ける対等なパートナー※になる。（※イコールパートナー）
の発表
目指す姿 • システム提案のできるメガサプライヤーへの仕事の集約による、サプラ
イチェーンの変革
顧客価値を追究するイコールパートナーへの成長
• 少子高齢化による生産年齢人口の減少
イコールパートナーになるために
①EV含む電動車技術の研究開発
電動車向け技術・工法を新たに研究開発し、完成車メーカーに独自技術を
提案可能とする。（電動化製品開発の新組織を設立）
②マーケティング・製品開発・営業の強化 内発的動機
完成車メーカーの電動車開発ニーズを先回りしてサポートするため、
その把握とそれに応じた製品開発、受注活動を強化する。 • トヨタ自動車エンジン開発激減によるオティックス内エンジン試作製
品売上高及び部品開発案件の激減
売上成長目標※ ※グループ会社全体
• 中国政府によるEV優遇政策によるオティックス中国の売上高の減
• 電動車部品売上高 少
82億円（24年1月期）→181億円（30年1月期） （2.2倍） • 採用難、とりわけ三河地区（西尾市、碧南市、安城市、豊田
(電動車部品の売上高比率 12％→24%） 市）における高校卒業者の採用難による製造の人材不足
• 2038年の電動車部品売上高600億円(7.3倍）を目指す。
➡将来にわたって、自動車産業を支える役目を果たせるか、危機感大
➡エンジン部品メーカーから「電動車部品含むモビリティ関連部品メーカー」に変
革。完成車メーカーから選ばれ続ける、イコールパートナーになる。
➡将来にわたって、日本の自動車産業を支え続ける部品メーカーになる。</t>
  </si>
  <si>
    <t>.補助事業の概要 株式会社オティックスホールディングス
2
• 西浅井第２工場（電動車部品工場）を建設し、受注した電動車部品の円滑な量産立上げを行う
• 人手不足に対応した省力化・自動化・デジタル化技術を活用したスマート工場を建設
• 本工場をモデル工場にし、省力化・自動化をグループの他工場に展開予定
【背景】主製品のエンジン部品が衰退。2038年には売上が50%程度に減少すると予測
補助事業の 事業費 166億円
【目的】電動化部品の開発・生産能力を高め、電動車部品メーカーに転換する
背景・目的 （補助額） （50億円）
【課題】EV独自技術、マーケティング、製品開発を高度化し、選ばれる電動車サプライヤーになる
①工場新設：西浅井第２工場※
※第１工場は自己資金で完成
• 設計、電気・水道・ガス・通信工事
• 通信、工場内搬送機・車両、クレーン・コンプレッサーなど生産必要装置
• セキュリティ、物流、食堂スペース、廃液処理機能
（工場機能として、通信機能、保安・厚生施設、食堂、物流ヤードなどが必要）
②生産ライン ・設備※
• ダイカストライン（鋳造マシン、型、炉など）
• 加工ライン（各種工作機械、治具、検査機、搬送機など）
新設する電動車向けスマート工場（西浅井第２工場）
設備投資の
③開発研究用設備（試作部品製造設備、試験機など）
内容
＜課題と解決策＞
• 生産量の急拡大や、労働者不足に対応し、自動化し、省力化する。女性や高齢者
でも働きやすいよう、重量物搬送は自動化する。
＜労働生産性向上＞
• 工場内の作業者動線や工程を最適化し、最新設備を活用し、効率的なラインにする。
ダイカストラインの大型設備（鋳造マシン、溶解炉）
• ロボットと自動工作機械を連携活用し、省力化する。
• ロボット、自動搬送機などを活用し重量物の機械へのセットや移動を自動化する。
項目 2027年1月期（基準年度） 2030年1月期（基準年度＋３年後）
労働生産性（万円/人） 4,600/ 1,491 5,993（年平均上昇率＋9.2％）/ 2,148（年平均上昇率＋12.9％）
目標値
従業員1人あたり給与支給総額（万円/人） 735/ 623 824（年平均上昇率＋3.85％）/ 684（年平均上昇率＋3.18％）
役員１人あたり給与支給総額（万円/人） - -（年平均上昇率＋3.00％）/ -（年平均上昇率＋3.00％）
補助事業に係る従業員数（人） 17/ 216 17（年平均上昇率＋0.0％）/ 206（年平均上昇率-1.6％）
左側：オティックスホールディングス、右側：オティックス西尾（いずれも補助事業に係る値）</t>
  </si>
  <si>
    <t>株式会社松風
1.⾧期成⾧ビジョン
さらに多くの国、多くの人々に松風の製品を供給することで、世界の歯科医療に一層の貢献を果たし、
2028年3月期には中期経営計画の目標である連結売上高500億円を達成する。
⾧期成⾧ビジョン（目指す姿・ビジネスモデル） 外発的動機
• 国内の歯科市場は、総人口の減少やう蝕（むし歯）治療の減少
• 目指す姿
もあり、大きな成⾧は望みにくい。
2012年に掲げた目標である連結売上高500億円を2028年3
• 世界には国内の約20倍という広大な市場規模が存在し、新興国
月期に達成するという第五次中期経営計画を立案。
をはじめとする各地域の経済成⾧や生活水準の向上を考えると、
• 経営戦略
今後、海外における歯科医療の需要は飛躍的に拡大することが見
「経営資源の配分を大きく海外にシフトし、海外事業の拡大を目
込まれる。
指す」
• 歯周病などの歯科疾患が全身の健康にも影響を及ぼすことや、歯
・研究開発:地域の需要・ニーズに適合した新製品の開発・投入
の審美意識の向上から、歯科医療に対する需要は今後も大きくな
・生産:生産拠点の再配置、海外生産の拡大
る。
・営業:販売網の拡充・拠点の整備、国内外学術ネットワーク
の構築。
・人材:グローバル人材の育成・確保
内発的動機
・財務:資金需要の拡大に対応するための資金調達
• 「創造的な企業活動を通じて世界の歯科医療に貢献する」という
経営理念のもと、過去100年にわたり世界の歯科医療に貢献して
売上成⾧目標（2023年3月期対比）
きた。次の100年も人々の健康と笑顔を支えていくことが松風の社
単体:
会的使命である。
• 2028年3月期に売上高成⾧率 50％
• 売上高が貢献度のバロメーターと捉えているが、現状、世界のトップ
• 2028年3月期に売上高増加額 97億円
10企業に対して売上高は小さいため、世界の歯科医療への貢献
連結:
度は不十分である。世界の歯科医療への貢献度を高めるため、世
• 2028年3月期に売上高成⾧率 58％
界への製品の供給量を増やし、売上高を拡大しなければならない。
• 2028年3月期に売上高増加額 185億円</t>
  </si>
  <si>
    <t>2.補助事業の概要 株式会社松風
成長の足かせとなっている生産能力不足を解消することで、「売上と利益の成長」、「労働生産性向上」、「継続
的な賃上げと更なる設備投資」の好循環を生む。
• 長期成長ビジョンで記載した連結売上高500億円の目標を掲げる中で、売上拡大の基幹
補助事業の 製品となる化工品は、生産スペースの不足により必要な生産能力確保が困難な状況となって 事業費 22億円
背景・目的 いる。この課題解消を目的として新工場を建設し、生産スペースを拡張するとともに生産の省 （補助額） （6.6億円）
力化を進め、生産能力の大幅な向上を行う。
【設備投資内容】
• 化工品の生産能力向上を目的として、新工場の建設を2期に分けて行う。
（完成イメージ図）
【設備投資による効果】
• 補助対象となる第1期の新工場建設においては、生産スペースを現状の1.8倍
（1,992㎡→3,511㎡）に拡張するとともに大型設備の導入、生産の自動化、
生産プロセス各所のDX化を行い、生産の効率化を進める。これにより生産能力を
現状の2倍以上に向上させ、世界需要が拡大する一方で生産能力不足により販
設備投資の
売機会を損失していた化工品の課題を解消する。
内容
• 課題解消により労働生産性を向上させ、拡大する世界の需要に応えられる体制を
構築することで得られた売上と利益の成長を賃上げとして従業員に還元する。
• 第2期の新工場建設（補助対象外）では生産能力を現状の3倍以上に向上させ、
世界市場でのシェア拡大に繋げる。これにより更なる労働生産性の向上が見込め、
長期的な賃上げと新たな設備投資が可能となる。
• 日本市場のみならず世界市場により多くの製品を送り出すことで、世界の歯科医療
へ一層の貢献を果たすことができる。
2025年度 2028年度
項目
（基準年度） （基準年度＋３年後）
労働生産性 2,587
1,745
（単位：万円/人） （年平均上昇率＋14.1％）
従業員1人あたり給与支給総額 531
目標値 486
（単位：万円/人） （年平均上昇率＋3.0％）
役員１人あたり給与支給総額 -
-
（単位：万円/人） （年平均上昇率＋3.0％）
補助事業に係る従業員数
164 178
（単位：人）</t>
  </si>
  <si>
    <t>1.長期成長ビジョン
株式会社アルプスツール
ALPSTOOL VISION 2030
省力化・高度化が求められる工作機械業界の革新
長期成長ビジョン（目指す姿・ビジネスモデル） 外発的動機
• 国内製造業における構造的な人手不足
• 「ものづくり」の基幹技術であるツーリング※を製造する「ツーリング事
• 国（経済産業省）の省力化推進
業」と棒材供給装置を製造する「バーフィーダー事業」を通じて国
• 顧客ニーズの多様化による「ものづくり」の多品種少量生産化
内および欧米諸国や新興国を含むグローバルな顧客の「ものづく
• ものづくりの高品質化による工作機械の進化
り」技術の省力化・高度化に貢献することで持続的な成長を図る。
• 脱炭素に向けた生産性向上
• ロボット等を活用した生産工程の自動化
① 「ツーリング事業」では製造業が抱える工作機械の省力化・高度
• 物価高騰、原油高高騰に対応するための利益率向上
化の課題を解決する高品質なアダプタ・固定工具・回転工具と
いったツーリングの供給で世界ナンバーワンの圧倒的な高品質を
目指し、特に 業界スタンダードを実現するための自社製品・オー
プン規格化製品（補助事業）の浸透を目指す
② 「バーフィーダー事業」では自動化による省力化を更に推進、国内
内発的動機
外の地域特性に合わせた製品開発と現地法人メーカー・商社と
• 当社は工業用ヤスリの製造販売を通じて創業し、その後、ヤスリ試
の緊密な連携によるフォロー体制充実で付加価値を向上させ、
験機の開発を契機として、現在も続くツーリング・バーフィーダー製品
全体の売上増加率に合わせた売上拡大を目指す
の開発により、お客様の課題を解決してきたため、時代や顧客ニー
売上成長目標 ズの変化に合わせた製品の供給を通じてお客様に貢献することが、
• 2030年までに 当社の持続的な成長に繋がると確信している。
会社全体の売上高130億円 • 工作機械の製造技術を有しているものの、あえてツーリング事業に
会社全体の売上高年成長率7.7％(2024年12月期対比) 徹することで、国内の幅広い工作機械メーカーと良好な関係を構築
補助事業の売上高30億円 できる独自のポジションを確立したが、今後は海外向けにもジャパン
補助事業の売上高年成長率55.5％(2024年12月期対比) ブランドとしての浸透を図り、国内製造業を活性化したい。
※ツーリングとは工作機械と切削工具をつなぐ機械工具(ツール)で、加工精度の良し悪しを左右する非常に重要な役割を担う。
そのためツーリングの性能が工作機械の「段取り性」「加工品質」に直結している。</t>
  </si>
  <si>
    <t>2 .補助事業の概要 株式会社アルプスツール
人手不足を解消する持続的な賃上げの原資確保に向けて、新たに自社製品等ツーリング高度化製品の生産
に必要な工場・設備投資により、労働生産性を向上し、目標となる給与支給総額の増加率を達成する
補助事業の • ツーリング自社製品・オープン規格化製品の製造技術確立（ツーリング高度化） 事業費 2 億円
1
背景・目的 • ツーリング増産体制の構築 （補助額） （6.6億円）
• 【建物費】 新工場 「南条工場 (仮称)」 を建築 新工場イメージ
• 【機械装置費】 ツーリング高度化のために必要な以下設備を導入
設備投資の
内容
製造対象イメージ
＜工夫点＞見える化・創エネを実現するツーリング専用のスマートファクトリーとする。
2026年度 2029年度
項目
（基準年度） （基準年度＋３年後）
労働生産性 2,606
1,130
（単位：万円/人） （年平均上昇率＋32.1％）
目標値 従業員1人あたり給与支給総額 529
477
（単位：万円/人） （年平均上昇率＋3.5％）
役員１人あたり給与支給総額 ー
ー
（単位：万円/人） （年平均上昇率＋3.5％）
補助事業に係る従業員数
16 38
（単位：人）</t>
  </si>
  <si>
    <t>アドバンス電気工業株式会社
1.長期成長ビジョン
IoT・AI・5Gなどデジタル社会への移行、透析患者の増加等の医療問題を背景に、精密クリーンバルブ業界
での世界トップシェアを堅持し、 「春日井から世界の半導体製造・医療現場を支える」
長期成長ビジョン（目指す姿・ビジネスモデル） 外発的動機
IoT・AI・5G・ビッグデータ活用など、世界中でデジタル社
「春日井から世界の半導体製造・医療現場を支える」をビ
会への移行が進むというメガトレンドの中にあり、中長期的
ジョンに、国産の半導体製造装置関連産業のサプライ
な半導体需要は産業用途・医療・自動車向けなど成長が
チェーン構築を担う1社として半導体製造装置メーカーへ、
見込まれる（SEMIによれば、半導体市場は、2023年か
また医療機器（透析装置）メーカーに向けて高性能な
ら2030年までの年平均成長率は約10％）。
精密クリーンバルブの安定的な供給体制を構築、世界
また、直接的な顧客である半導体製造装置メーカーから
トップシェアを堅持する。
の増産要求があることなどが外発的動機である。
財務的な安定性・健全性を確保しつつ、適切な投資計画
を実行し、生産能力を拡大する。
内発的動機
愛知県春日井市をメイン拠点として、 「春日井から世界の
売上成長目標 半導体製造・医療現場を支える」をビジョンに掲げ、事業を
拡大してきた。
・ 2032年までに会社全体の売上高成長率130％ これからも地元に長く愛される企業として、春日井市にて安
定的かつ強固な生産能力を構築し、生産性向上・賃上げ
等により社員のQOL向上を実現したいことが内発的動機
である。</t>
  </si>
  <si>
    <t>アドバンス電気工業株式会社
2.補助事業の概要
世界的な半導体需要急増を背景に、半導体製造装置メーカーの増産計画に対応するため、モーター生産能力
倍増を核とした成長投資による「精密クリーンバルブ製品の生産能力増強計画（本社第二工場２期棟増設）」
世界的な半導体需要急増を背景に国産半導体製造装置メーカーから生産要求が拡大中。
補助事業の 事業費 32億円
需要に対するため生産能力を倍増させ、自動化ラインの導入により労働生産性・賃上げを
背景・目的 （補助額） （8.9億円）
実現する。
【設備投資の内容】
精密クリーンバルブ生産能力の倍増を核とした成長投資による精密クリーンバルブ
製品の生産能力増強計画（本社第二工場２期棟増設）
建物サイズ：６０ｍ✕27.5ｍ
１F：工作機械エリア/コンプレッサー室、２F：モーター生産/部品倉庫、３F：
クリーンルーム、４F：生産管理室（兼倉庫）
設備投資の
【設備投資による課題解決、労働生産性向上】 写真等
内容
国産半導体製造装置メーカーの生産要求に対応。本社第二工場２期棟を新設
し、生産の自動化ラインを整備・拡充することにより、「省力化」と「生産能力の倍
増による売上増」を達成し、労働生産性の向上と賃上げを実現する。
【実現性・投資計画の妥当性】
工場建設用地は確保済。総投資額34億円。収支計画と余剰資金から負担少な
く、投資計画は妥当な水準。
2025年度 2028年度
項目
（基準年度） （基準年度＋３年後）
労働生産性 3,469.6
2,917.9
（単位：万円/人） （年平均上昇率5.9％）
目標値
従業員1人あたり給与支給総額 700.3
613.7
（単位：万円/人） （年平均上昇率4.5％）
補助事業に係る従業員数
285 325
（単位：人）</t>
  </si>
  <si>
    <t>株式会社ミマキエンジニアリング
1.⾧期成⾧ビジョン
弊社は、経営ビジョンの「市場に常に『新しさと違い』を提供」、「小回りの利いた」、「開発型企業」であり続け、
「Mimaki V10」の達成・実現を通じて、社会課題解決につながる価値ある製品を開発・提供し成⾧を目指します。
⾧期成⾧ビジョン（目指す姿・ビジネスモデル） 外発的動機
• SDGS社会の進展
＜経営ビジョン＞
地球環境への配慮・・・産業用印刷物については、まだまだアナログ
• 独自技術を保有し、自社ブランド製品を世界に供給する「開発型企
印刷が主流。特にTA市場におけるアナログ印刷は大量生産・大量
業」を目指します。
廃棄と環境負荷が大きい。
• 顧客に満足いただける製品を素早く提供する小回りの利いた会社を
目指します。
• コロナによる行動の変革
• 市場に常に「新しさと違い」を提供するイノベーターを目指します。
TA市場（カスタマー）は店頭販売からEコマースにシフトし、生産
者の需要が高速機から高付加価値機にシフト。
＜ありたい姿＞
社会課題の解決につながる価値ある製品を開発・提供
＜ありたい姿に向けた取組＞
 中⾧期成⾧戦略「Mimaki V10」の達成・実現
内発的動機
高い収益を継続的に生み出すとともに、財務基盤を強化して持続可能な
成⾧に向けた強靭な企業基盤の構築を進め、新製品・新技術の開発に • 新技術の開発・新市場の創造
弊社は、ペンプロッターの後発メーカーとして事業をスタート。後発メー
経営資源を投入していきます。
カーが故、業績を拡大することができなかった。そこで、ペンを刃物に持ち
• デジタルオンデマンドプリントの推進により環境負荷の軽減（節水・低廃
替え、世界初のカッティングプロッタを開発。その後も、弊社独自で開発
棄・短納期・省スペース）を図ることで、社会課題の解決に向け取り組
を重ね、世界初・業界初となる商品を市場に供給。開発型企業として
みます。
自社ブランドを世界に供給していく。
• 研究開発体制の強化コロナ禍を経て顕在化した市場ニーズや顧客志
向の変化を見据え、製品開発でInnovationを起こし、新規市場の開 • 弊社のあゆみはイノベーションの歴史
デジタルオンデマンドのマーケットリーダーとして、顧客ニーズにあった製品
拓に取組み、市場環境や顧客ニーズの急激な変化を見据えた事業を
を市場に供給することで新たな市場と顧客を創出し業績を拡大し、イノ
展開します。
ベーターとしての企業集団を確立してきた。
売上成⾧目標（2028年度） • 資源循環型の経営・技術
• 会社全体の売上高増加額 連結508億円・単体372億円 新たな価値を生み出し革新的なアイデアや方法を取り入れて、より持
• 会社全体の売上高成⾧率 連結172％・単体172% 続可能な未来を創りだすことを目指し全社をあげ取り組んでいく。</t>
  </si>
  <si>
    <t>.補助事業の概要 株式会社ミマキエンジニアリング
2
市場ニーズによる新製品の大型化、新製品開発サイクルの短期化、素早い市場ニーズへの対応などから、近年新製
品開発機種の大型化が進み、試作機・試験機の設置スペースに常に悩まされ、本事業はその解消を目的としている。
• 売上増加による社内組立生産スペースの増大と、大型新製品の市場ニーズの高まりによる
大型新製品開発の増加による製品開発スペース不足が常態化。 1 億円
補助事業の 事業費 6
• 製品開発スペース不足により開発期間が長期化、本補助事業により研究開発部門の労働 （4.2億円）
背景・目的 （補助額）
生産性向上、製品開発期間短縮による新製品を成長市場に投入することにより製品競争
力向上が図れ、事業成長を通じて付加価値向上を目指していく。
＜補助事業における設備投資内容＞
• 加沢工場 F棟建築（2階建 延べ床面積 4,000㎡）
工場レイアウト素案の通り詳細レイアウト案は決定していないが、工場真中に通路
を配置し、両側に新機種の試作機・各種性能試験用の試験機設置を行う計画
• 試作・試験用の評価分析装置：乾燥用減圧乾燥機、レーザー顕微鏡、他開
発関連機器
設備投資の
＜労働生産性向上に向けた取組＞
内容
• 試作機・試験機の設置スペース不足の解消：市場ニーズ対応による、新機種
の大型化、素早いニーズ対応、開発期間の短縮化が求められている。スペース
が不足することで試作機・試験機設置のスペース空き待ちが発生し、開発効率
低下し開発期間が長期化する。本補助事業でこれを解消し、製品開発期間
短縮により新製品開発を促進させ、労働生産性を目指す
• 効率の良い分析の実現：最新の実験・評価・分析装置を導入することにより、
効率よく分析が可能となるため、開発期間の短縮化が実現できる
2025年度 2028年度
項目
（基準年度） （基準年度＋３年後）
（単
労
位
働
：
生
万
産
円
性
/人）
1,308万円/人
（年平
1
均
,4
上
23
昇
万
率
円
＋
/人
2.9％）
目標値 従業員1人あたり給与支給総額 669.3万円/人 731.5万円/人
（単位：万円/人） （年平均上昇率＋3.01％）
役員１人あたり給与支給総額 ー
ー
（単位：万円/人） （年平均上昇率＋5.00％）
補助事業に係る従業員数
978人 1,129人
（単位：人）</t>
  </si>
  <si>
    <t>NAX JAPAN株式会社
1.長期成長ビジョン
不透明性、不確実性が増す環境に於いて、各従業員が国際物流を通じ成長し、市場の
課題を読み取り、高度な課題へ向けて果敢に挑戦し、国際貿易の円滑な発展に寄与する。
また、従業員の教育、経験を通じてキャリア形成を明確にし成長意欲を高める。
長期成長ビジョン（目指す姿・ビジネスモデル） 外発的動機
• 海外における日本食品の需要の高まりは一時のトレンドの枠を
食品に特化した国際フォワダーとしての強みを活かす
越え、今や世界各国に日本の食文化を必要とする一定の層が
• 食品に特化した国際フォワダーならではの海外の農水産物事業者とのナマの現場情報
定着したと言えます。このことにより国内においては「日本食品の
からビジネスチャンスを提案
輸出」を取り巻く業界全体が一大産業を担うまでに成長している。
• 今年は、どこの国で、どの品目が、どの時期に不足する
• 日本政府が掲げる「農林水産物の輸出額を2030年までに5兆
＝＞その品目を、どのような規格、この価格帯で輸出すればヒットできる
円」の目標は弊社の取組みに非常に大きな追い風となっているこ
• 国際物流のプロとして、現地の、市場価格動向から逆算して、どのレベルの価格帯＋輸
とは間違いない。業務の効率化と品質の向上により、その一端を
送費で輸出すれば市場にヒットできるかを輸送モードを含めて具体的に提案
担い成長してまいりたいと考えます。
• 有機JAS認証を弊社成田市場倉庫で取得、生産者への輸出規格のコンサルにも対応。
• 国際商流機能と国際物流機能のワンストップサービスを開始、金融機関との協業に
より、輸出債権は円貨現金に転換することで、代金回収も国内取引同様に対応。輸
出に不慣れな農水生産者でも追加投資なしで輸出を開始できるプラットホームとして
提供（貿易未経験者へ海外販売のコンシェルジェ的な役割を果たす）
（挑戦への決意）
内発的動機
企業理念（「常に変化に対応する」、「覚悟を持って挑戦する」「品格を持って行動する」）
• 弊社は長年にわたり生鮮貨物の輸出入に携わり、お客様と共に
に基づいて、国内・国外の農水畜産物生産者・事業者と共に成長すべく、上記の具体的な
成長してまいりました。2012年頃より築地市場からの輸出貨物
実現に取り組む
の取扱量が増えはじめ、平和島センター、成田新市場と施設の
拡大と共にAEOやCEIV FRESH等の認証も取得し、サービスと
売上成長目標 品質の向上に努めた結果、着実に売上を伸ばすことができました。
• とくに2017年、平和島センターの設立にあたり農林水産省の補
• 2030年までの会社全体の売上高成長率200％
助事業としての認可を受けることができ、設立の翌年には収益事
業としての成功を収めることができました。今回は更なる顧客ニー
• 2030年までの会社全体の売上高増加額100億円
ズの増大に伴い、新規施設の拡充を検討することになった次第で
昨期2023年度売上高実績は102億円、営業利益3.5億円 す。
今年度より毎年10％の売上高増加を目標としております。</t>
  </si>
  <si>
    <t>NAX JAPAN株式会社
2.補助事業の概要
• 現状の冷凍・冷蔵倉庫が手一杯になり、海外向けの日本食品も低価格競争から脱却するためには高品質温度管理による商品差別化が求められている。
• 当社では、配送、倉庫、船舶と温度管理することにり、お客様の商品のMADE IN JAPANのブランド力を保つことで国際競争で勝ち残りに貢献する。
• セキュリティが徹底された冷凍倉庫
• 温度管理と徹底させることにより、海外での高評価の維持により高価格の安定化
• 倉庫前倉庫（ラベル貼り作業用冷凍倉庫）＝＞輸出コンテナバンニング倉庫という二重体制の排除により、時間短縮、トラック代の削減、保管期間の短縮による鮮度維持
＜補助事業の背景：輸出専用冷蔵冷凍倉庫の現状と課題＞ 事業費 14億円
• 一件の輸出に対して各種商品毎に多数のトラックで搬入される＝＞作業効率化阻害要因
（補助額） （4.7億円）
• 輸出検疫場所が所在する24時間、365日対応可能な施設の充実は必須
＜補助事業の目的＞
• 冷凍倉庫につきまとう人員確保の課題を、最新設備による省力化によって解消させる
• 現状の冷凍・冷蔵倉庫が手一杯になり、海外向けの日本食品も低価格競争から、
補助事業の 脱却するためには高品質温度管理による商品差別化が求められている。当社では、
配送、倉庫、船舶と温度管理することによより、お客様の商品の高品質のMADE IN
背景・目的
JAPANのブランド力を保つことで国際競争で勝負が出来る。
• セキュリティが徹底された冷凍倉庫
• 温度管理と徹底させることにより、海外での高評価の維持により高価格の安定化
• ラベル張り倉庫、輸出通関用倉庫に分けている倉庫前倉庫の排除により、時間短縮、
トラック代の削減、保管期間の短縮による鮮度維持を実現する。
• 輸出専用冷蔵冷凍倉庫の拡充・拠点化により時間短縮、コスト削減を可能とし、
安心安全な食品を品質うを保ったまま国外の消費者へ届ける。
• 冷凍・冷蔵庫造作工事 1,600,000,000円
写真等
• 移動ラック設置 100,000,000円
• WMS・受発注管理システム等の開発と導入 300,000,000円
設備投資の
• 商社機能受発注システムとのCSV連携 100,000,000円
内容
補助事業を行わない場合は、業務が増えた分に人材を投入しなければならず、7年で
売り上げを2倍にする場合、現在の倉庫、Operationの人数を比例して増やす必要あり。
2026年度 2029年度
項目
（基準年度） （基準年度＋３年後）
労働生産性 11,690
10,001
（単位：万円/人） （年平均上昇率＋5.3％）
目標値
従業員1人あたり給与支給総額 7,980
6,892
（単位：万円/人） （年平均上昇率＋5.01％）
役員１人あたり給与支給総額 -
-
（単位：万円/人） （年平均上昇率＋5.00％）
補助事業に係る従業員数
209 227
（単位：人）</t>
  </si>
  <si>
    <t>1.長期成長ビジョン
株式会社MARUWA
MARUWAの「強み」を活かした製品を未来に渡って世の中に送り続け、サステナビリティな社会実現に貢献していく。
長期成長ビジョン（目指す姿・ビジネスモデル） 外発的動機
• 100年に一度の変革期（脱炭素社会に向けた時代の変化）
MARUWAはサステナビリティ（持続性）を経営重要要素としている。
が到来。
手掛ける製品は利用されることにより脱炭素社会実現に寄与する製
• 脱炭素社会の実現、社会課題解決に寄与する分野
品が多く、事業成長・拡大を通じて持続性のある脱炭素社会の
（半導体、AI、EV等）の成長性と社会需要が高まっている。
実現、社会課題解決に貢献をしていく。
• 先端技術の進歩により競合他社との生存競争の激化、他社
差別化ができていない企業の淘汰が進んでいる。
従業員が安全で心身ともに健康で働ける環境整備に取り組み、
• 新型コロナウィルス、ウクライナ情勢、自然災害などの様々な
従業員の能力を最大まで発揮してもらえる生き生きとした職場環境
社会持続性を脅かす出来事が発生している。
をつくっていく。
当社は素材において長年蓄積されたノウハウを有する素材の
MARUWAであり、最先端の加工技術においても素材特性を
熟知している。そのような素材、加工技術を更に進化させていき
最先端のセラミック素材関係を将来にわたって提供しつづけるメーカー
を目指す。 内発的動機
• 社会は100年に一度の変革期であり、要求されるのはより高度な
最先端技術製品となってきている。当社は独自の素材技術、加工
売上成長目標
技術を有しており、継続的に最先端製品に対し応えていく力を有す。
• 当社はセラミック基板の業界トップメーカーとして独自の最先端技術
• 短期的には（2024年から2025年まで）会社全体の
を活かし脱炭素社会の実現に貢献することが会社に課せられた
売上高700億円を目標とする。
使命である。
• 中期的には（2026年から数年間で）会社全体の
• 当社の事業を支えているのは従業員であり、従業員の健康と
売上高1,000億円を目標とする。
安全が第一優先事項である。モチベーションを高く持って働ける
※上記売上高の計画に基づいた生産設備投資を行う。
職場環境を整理することで事業推進力が高まると考えている。</t>
  </si>
  <si>
    <t>.補助事業の概要
2 株式会社MARUWA
補助事業：半導体関連事業 新工場建設及び先端設備導入
【福島県：半導体製造装置向け石英製品 岐阜県：半導体製造装置向けSiC製品】
【半導体関連事業成長投資】
背景：半導体産業の成長性、市場拡大を見込み半導体関連事業への投資を決定
補助事業の 事業費
半導体製造装置向け石英製品とSiC製品を製造する福島県・岐阜県の工場を増強 1 27 億円
背景・目的 （補助額）
目的：半導体産業の成長・市場拡大に伴う需要増加に応えるため、生産体制を強化する （35億円）
課題：独自加工技術を用いた差別化製品を生産するための先端設備導入と人材の確保
県 投資内容 金額 補助額（①×1/3)
福島県
建物 3,000 百万円 三春工場6号棟 イメージ図
三春新工場６号棟
設備 806 百万円
建物 600 百万円
福
三春新工場７号棟
島 設備 384 百万円
県
設備投資の 建物 400 百万円
三春既存工場
内容 設備 786 百万円 3,516 百万円
いわき既存工場 設備 1,922 百万円
建物 673 百万円
岐
土岐新工場S２
阜 設備 1,728 百万円
県
土岐既存工場 建物 250 百万円
合計① 10,549 百万円
2026年度 2029年度
項目
（基準年度） （基準年度＋３年後）
労働生産性 5,649
4,373
（単位：万円/人） （年平均上昇率＋8.91％）
目標値 従業員1人あたり給与支給総額 734
655
（単位：万円/人） （年平均上昇率＋3.87％）
役員１人あたり給与支給総額
－ －
（単位：万円/人）
補助事業に係る従業員数
228 291
（単位：人）</t>
  </si>
  <si>
    <t>1.長期成長ビジョン 協和工業株式会社
客先からのハイテンプレスニーズ、市場からの軽量化ニーズと、弊社のネックとなっていた工場用地取得について目
途が立った今、新工場建設を含めた工場再編を実施し、2030年売上高75億円を目指す
長期成長ビジョン（目指す姿・ビジネスモデル） 外発的動機
中長期戦略：Win for 2030 • プレス事業において、シートメーカーの再編、工場再編が加速する
中、500t~800tクラスのプレス機を保有する弊社へ、具体的な大
2030年にプレス業界で勝ち残るために、プレス事業と溶接事業を
型製品移管のオファーを受けている
基軸に事業の再編を実施し、更なる売上拡大/収益増を目指す
①溶接事業・・・新工場建設により、本社工場溶接ラインを全面 • 自動車の軽量化ニーズの加速と、弊社超ハイテン技術が相まって、
ハイテン材のプレス製品引き合いが高い状況が続いている
移管する
※22年度新規受注の80%がハイテン材製品
溶接ラインを最新設備へ更新し、生産性向上
による売上拡大を目指す
②プレス事業・・・溶接ライン移管により本社工場の空いたスペース
へ800tプレス機を導入する 内発的動機
また、生産性向上を実現させる建屋の改造工事 • 20年以上前より、研究開発を重ねてきた超ハイテン加工技術につ
や、自動搬送設備などの導入を行う いて、客先からの高い評価を得ている
客先からの大型案件の受注、新規顧客開拓 • 金型設計⇒金型製作⇒量産プレスの一貫生産体制による金型
などにより、ハイテン製品の売上拡大を目指す 設計技術が近年大幅に向上、生産性向上にも寄与し事業拡大
が可能となった
売上成長目標 • 売上拡大には現在の工場では、60億円が限界だったが、工場用
地の取得が可能な候補地が現れた
• 2030年までの会社全体の売上高成長率：6％
• 2030年までの会社全体の売上高増加額：25億円
• 2030年までの会社全体の売上高：75億円
事業拡大に必要な条件が揃った今、
最大のチャンス到来！
新工場建設により、２つの事業を再編し、売上高75億円
（2030年度）を達成する</t>
  </si>
  <si>
    <t>2 .補助事業の概要 協和工業株式会社
新工場の建設により溶接/プレスの事業を再編し、2030年売上高目標75億円を達成する
併せて労働生産性1,229万円、従業員1人あたりの給与総支給額553万円を2028年に達成する
補助事業の • 現工場が手瀬間となり売上高60億円が限界となっている 事業費 22億円
背景・目的 新工場の建設により溶接/プレスの事業を再編し、2030年の売上高目標75億円を達成する （補助額） （7. 億円）
3
①新工場建設 ①新工場図面 ②溶接機
⇒新工場建設により、本社工場の溶接/カシメラインを全面移転する
本社工場でも2つのエリアに分かれていた溶接ラインを新工場で集約
することにより、物流ロスが改善され生産性向上に寄与する
②溶接設備の更新/新ライン導入
⇒新規受注により、現状よりラインを増設する必要があり、新ラインの導
入と現状ラインの更新を併せて行う
設備投資の 最新設備導入により、製品品質の向上、生産性向上が見込まれる
③プレス機 ④自動搬送設備
内容 ③800トンプレス機の導入
⇒溶接ライン移管による空きスペースに大型プレス機を導入する
本設備の導入により、プレス事業として、売上65億円前後の生産が
可能となり、顧客大型移管対応には欠かせない重要設備となる
④生産性向上を目指した工場改造工事及び設備導入
⇒建屋の改造工事を実施し、コイル材料の自動搬送設備を導入する
その他、生産性向上に寄与する設備を積極導入する
2025年度 2028年度
項目
（基準年度） （基準年度＋３年後）
労働生産性 1229.5
921.2
（単位：万円/人） （年平均上昇率＋10％）
目標値 従業員1人あたり給与支給総額 552.7
477.4
（単位：万円/人） （年平均上昇率＋5％）
役員１人あたり給与支給総額
－ （年平均上昇率＋4％）
（単位：万円/人）
補助事業に係る従業員数
123 130
（単位：人）</t>
  </si>
  <si>
    <t>1.長期成長ビジョン
株式会社北四国グラビア印刷
持続可能な成長のための地域経済活性化プロジェクト
地域コミュニティとのパートナーシップを通じた５〜10年の成長ビジョン
外発的動機
長期成長ビジョン（目指す姿・ビジネスモデル）
• 地方全体が、人手不足に陥り経済の衰退や事業継続の困難さに直面して
• グラビア業界での環境活動を牽引する当社が、業界
いる。そして顧客からの受注増加に対応しきれておらず、効率的な生産設備
の進歩発展に貢献し、地域経済の活性化と持続可
やキャパシティの拡大が急務である。生産能力の向上を図り、顧客ニーズに
能な発展を目指す。
迅速かつ効果的に対応するためには、先端技術の導入や生産プロセスの改
• 私たちの使命は社会に対して価値を提供し、持続可能
善が不可欠なため、これにより企業の競争力を強化し、持続的な成長を実
な成長を実現することである。そのためにはグラビア業界
現する。地域経済の活性化と共に、社会の変化や顧客ニーズの多様化に適
だけではなく、社会全体が人や環境に配慮した経済活
応するため、技術革新を積極的に推進していく必要性を強く感じている。
動を行えるよう牽引していく必要がある。当社は５年後、
それらに配慮した地域経済の発展と地域コミュニティの
繁栄に貢献する存在となることを目指す。
内発的動機
• 最新の技術導入による労働生産性の向上や省力化を
通じて、技術集約型の産業への転換を実現、これにより、 • 昨今の少子化や地方経済の衰退のあおりを受けて、当社も子育て世代の
地域の産業構造が高度化し、新たな高付加価値産業 支援と地方の活性化を目指し、安全で働きやすい環境を整備する必要があ
が育成される。 ると感じている。それが整うことで、地域の労働力の確保や定着が図られ、地
• 新工場の稼働によって地元に雇用機会を提供し、地域 域経済の持続的な発展に寄与すると考えている。これらは地域社会の課題
経済の活力を回復させ、共同プロジェクトを推進するな 解決と将来への投資につながる重要な取り組みであり、子育て世代の支援
ど地域コミュニティとのパートナーシップをさらに強化し、地 を通じて、地方の魅力向上と人材の定着を促し、持続可能な地域社会の
域全体の成長と発展に貢献することを目指す。これによ 構築に貢献していかなければいけない必要性を感じている。
り、地方経済の衰退を防止し、地域社会に新たな活力 • 現状は夜勤有り。これを新工場稼働によって日勤だけにして、社員が安全に、
と希望をもたらすことを目標とする。 安心して働くことのできる環境にしたい。
• もにす認定企業として、障害者雇用を今後も推進したい。
• 「グリーンプリンティング普及大賞」を2021年から2023年と連続受賞した当
売上成長目標
社は、グラビア業界での環境活動を牽引する存在となっており、益々の発展
• 2029年までの会社全体の売上高成長率51.1％
と牽引を担う存在であるべきと自負している。そしてそれらの技術、知識を用
• 2029年までの会社全体の売上高増加額23.8億円
いて啓蒙活動を行い地域経済や地域社会全体の発展に寄与できると考え
た。</t>
  </si>
  <si>
    <t>2 .補助事業の概要 株式会社北四国グラビア印刷
生産効率向上と完全日勤制への移行による作業者負荷軽減、環境配慮型工場実現、顧客ニーズへの迅速な対応、事業
規模拡大のために、先進技術を活用した自動化を推進、効率的な製造・物流プロセスを確立し、競争力強化と持続的成長
を促す。
「フードサプライチェーンの一端を担い今までの印刷工場のイメージから脱却した、人手不足に対応
した省力化等による労働生産性の抜本的な向上により労働集約型から技術集約型への移行を
補助事業の 事業費 2 億円
図ることと事業規模の拡大を両立させた持続的発展を目的とする工場を実現。女性や高齢者を 9
背景・目的 （補助額） （8.7億円）
含めて全社員が安全で働きやすい環境を提供するための自動化を目的とした先進設備・技術や
施策を導入する。
（建物費）新工場建設
（機械装置費）スリット機 、自動梱包機、自動倉庫、梱包ライン、ロボット
アーム、現工場改修工事、NSラミネート機、自動調液装置、システム
（導入効果）
設備投資の
新設備導入により作業工程の一部が自動化され、労働生産性の85％上
内容
昇を見込む。
スリット工程の最大加工速度(現状250m/分→導入後450m/分) それ
によって他工程に人員を配置することが可能となり、生産作業効率が上昇、
2029年には営業利益率12.5%を実現する見込みである。
新工場建設図面
2026年度 2029年度
項目
（基準年度） （基準年度＋３年後）
労働生産性 1,451
764
（単位：万円/人） （年平均上昇率23.8％）
目標値 従業員1人あたり給与支給総額 590
510
（単位：万円/人） （年平均上昇率4.99％）
役員１人あたり給与支給総額 -
-
（単位：万円/人） （年平均上昇率＋5.00％）
補助事業に係る従業員数
137 144
（単位：人）</t>
  </si>
  <si>
    <t>ヤマセ電気株式会社
1.⻑期成⻑ビジョン
ヤマセグループの⼀貫した製造⼒と実績をテコに、ヤマセ電気は、電化・電動化に対応した⾞載部品のTier1企業
からの製造受託を拡大しつつ、新規加⼯技術の提案を通じて⾃動⾞、⺠⽣分野などでの事業拡大を目指します。
•
創業50年の節目を超えて、⾃動⾞、⺠⽣、その他分野のバランスの取れた事業ポートフォリオの構築を通して、 次の50年も
成⻑をしつづける地域共⽣かつグローバルなニッチ・トップ企業を目指します。
⻑期成⻑ビジョン（目指す姿・ビジネスモデル） 外発的動機
•
• ヤマセグループの⽴地する宮城県北部は、近年⾃動⾞産業の集積
ヤマセグループは、樹脂成形を中⼼とした加⼯技術と、電⼦回路
が進んできており、今後、台湾のPSMCなども⽴地するなど地方経
の高密度実装を得意とする製造業です。将来的には、ヤマセ電気
済を牽引していく地域として、物流環境も改善してきており他地域と
の中核技術である、特許技術レザリッジと⾦属加⼯・樹脂成形技
の取引についてもやりやすい環境となってきています。
術を活用した「プラスチック製高放熱筐体」というガワと、ヤマセエレ
•
そのような中、ヤマセ電気でも、⾃動⾞部品のTie1企業との直接
クトロニクスの主⼒事業である「高密度実装回路基板」というゾウモ
取引を開始し、2019年には大崎市松⼭に松⼭⼯場を建設・竣
ツをユニット化（サブアセンブリ）して提供していことを柱に、製造受
⼯しましたが、5年が経ち、⾃動⾞部品の仕事が増えてきた中、さら
託（OEM）事業から、より高付加価値を得られる提案型製品受
なる⽣産設備増強をお客さまから求められています。
託（ODM）事業へ転換し、今後の成⻑の柱とする方針です。
•
その第⼀歩となるのが、今回、新⼯場で製造する、電気⾃動⾞向
けのコンプレッサ部品となります。この製品は、すでに2028年度製
造開始分まで確定しています。今後、規模としては毎年倍々で増
内発的動機
加する計画となっており、お客さまから早期の⼯場建設が求められ
•
ヤマセグループには、大崎耕⼟といわれる川に挟まれた地形に⽴地
ている状況にあり、
• している⼯場が複数あり、また、⼯場建屋の経年化も進んでおり、
今年の4月に⼯場用地として78,000m2の敷地を宮城県大崎
災害に対するレジリンスや断熱・省エネ性の観点で、移転・⽴替が
市三本⽊に取得しました。
課題となっている。既存の⼯場敷地には拡大余地がなく、成⻑の⾜
枷になっている。
•
売上成⻑目標︓ 2028年売上 約380億円 そこで、水害リスクが低く、高速道路アクセスも良好な、大崎市三本
•
2028年までのグループ全体の売上高成⻑率35％ ⽊に大型の⼯場用地を確保しました。
•
2028年までのグループ全体の売上高増加額98億円</t>
  </si>
  <si>
    <t>ヤマセ電気株式会社
2.補助事業の概要
新規に大崎市三本木に取得した約78,000m の敷地のうち、補助事業では、第一期7,000m の造成エリア
2 2
に事務所・第一工場棟の建物および機械設備を導入。製造開始2025年10月を目標。機械設備は漸次増強。
•
電気⾃動⾞向けのコンプレッサ部品の受注拡大に対応するため、新工場を建設する。
•
課題は、資材費・工事費の抑制と、工事期間の短縮。
補助事業の 事業費 29億円
•
開発期間を短縮するため第一期は敷地面積を7,000m2に抑え、建築ではシステム建築の
背景・目的 （補助額）
（7.2億円）
導入で短工期化をはかる、機械設備は中古品の導入も視野に操業開始の早期化を図る。
•
工場建屋
建坪約2,500m2、延床面積約5,000m2
•
建物付帯のBCP設備
V2Xシステム（蓄電池含む）など
•
建物付帯の再エネ・省エネ設備
太陽光発電、LED照明、⾼効率空調機など
設備投資の
•
インサート成形事業の生産設備の導入
内容
製造ラインの⾃動化
•
⾦型事業の生産設備の導入
⾦型部門の集約化
•
DX導入
生産管理システム、⾃動搬送機など
2025年度 2028年度
項目
（基準年度） （基準年度＋３年後）
成形︓ 858 成形︓991（年平均4.9%up）
労働生産性
⾦型︓1379 ⾦型︓1851（年平均10.3%up）
（単位︓万円/人）
（全体︓ 993） （全体︓1131 4.4％up）
成形︓407 成形︓465（年平均4.5％up)
目標値 従業員1人あたり給与支給総額
⾦型︓478 ⾦型︓546（年平均4.5％up)
（単位︓万円/人）
（全体︓426） （全体︓478 3.9%up）
役員１人あたり給与支給総額
0 0 (年平均 0%up)
（単位︓万円/人）
補助事業に係る従業員数
57 153
（単位︓人）</t>
  </si>
  <si>
    <t>1.長期成長ビジョン 株式会社大昌鉄工所
・セパレーターフィルム等の抽出乾燥機・製造装置では一定のシェアを有するが、海外企業の台頭が脅威となっている
・「幅広」設備の生産体制を構築し、グローバル市場を席巻することで、市場の発展に寄与する
長期成長ビジョン（目指す姿・ビジネスモデル）
〈基本方針〉
• セパレーターフィルム製造装置等、特殊装置のリーディングカンパニーとして、取引先ニーズを
満たす高品質な製品を提供し、グローバル市場に貢献する 外発的動機
• 環境配慮による高効率・低コスト・省エネな
〈重点戦略〉 ど顧客ニーズの変化
• 「幅広」セパレーターフィルム抽出乾燥機・製造装置に対応 • 技術革新による製品開発サイクルの向上 8/20
現在は4.0m幅が最大に対し、7.0m幅に対応できる「幅広」設備を開発。これにより取引 • グローバル市場に対応したマーケティング
先における生産性向上およびコスト削減・省エネ化を実現することで、市場への貢献を果たす • 経済状況の変動に対応する体制構築 りこのままの内容
• 競争力強化により海外企業対策・シェア拡大
で公表されても
常熟市巨興機械有限公司（中国）をはじめとした海外企業が幅広設備の開発に着手し
ている。顧客を奪われないよう新製品を導入することで競争力を強化し、シェア拡大を目指す OK
• 環境問題の改善に寄与する企業活動
いた。
世界各国で脱炭素が謳われる中、当社製品により製造されるリチウ ムイオン電池等を通じ
て環境問題改善に寄与する。同時に、取引先での製品製造において生産性向上することで、 内発的動機
CO2削減に貢献する
• 社会の変化・ニーズに対応する製品の提供
• 新たな教育制度による社員の成長
• 取引先ニーズに対応するための成長投資
2023年より新たな経営理念を元に。「Mission, Vision, Value」に基づく5年後、10年 • 海外競合に後れを取らないための成長投資
後を未来予想図や未来年表に描き、会社の根底にある想いをビジュアル化、部門目標→個
人目標を明確にし、スキルマップを用いて明確な成長を目指す
売上成長目標
• ■2029年7月期までの会社全体の売上高成長率32.8％（基準年度比）
■2029年7月までに営業利益3,740.9百万円</t>
  </si>
  <si>
    <t>.補助事業の概要
2
株式会社大昌鉄工所
補助事業内容と投資内容
補助事業の 取引先ニーズに応える「幅広」設備の生産体制を構築し、リーディングカンパニーとして 事業費 23億円
背景・目的 グローバル市場の発展に寄与する （補助額） （7.5億円）
現状の ①取引先ニーズに応える「幅広」設備を生産するスペースがない
課題点 ②既存製品のシート幅「4.7m」に対し、「幅広」設備の部品は「7.0m」となり、対応できる設備がない
工場(「幅広」対応の第15工場) 天井クレーン（15基） ﾏｼﾆﾝｸﾞｾﾝﾀ(門型・横型) ロール研削盤
投資内容
工場内を5カ所に分け、それぞれの部 搬入・搬出用「橋形」1基 「幅広」設備のサイズおよび加工精度 フィルム等の設備で最も重要な部品が
設備投資 品製造に適したレイアウトで構成。延 それぞれに適した部材昇降用に を実現できる。特にステンレス品の長 「ロール」。協力企業にて研磨及びメッ
による 床面積5293㎡となる 10t×2基,4.8t×4基, 時間加工のため、熱変位を想定した キ加工を依頼していたが、サイズを理由
2.8t×8基を導入 高度な技術が求められる に研磨が困難と相談あり。導入設備に
解決方法
より、協力会社の研磨工程を内製する
（メッキは引き続き依頼）
2025年度 2028年度
項目
（基準年度） （基準年度＋３年後）
労働生産性 3,382.2万円/人
2,272.9万円/人
（単位：万円/人） （年平均上昇率＋14.2％）
目標値 従業員1人あたり給与支給総額 606.0万円/人
526.5万円/人
（単位：万円/人） （年平均上昇率＋4.8％）
役員１人あたり給与支給総額 -
-
（単位：万円/人） （年平均上昇率＋4.8％）
補助事業に係る従業員数
144 153
（単位：人）</t>
  </si>
  <si>
    <t>1.長期成長ビジョン 株式会社ユニシス
医療現場への、医療資材の供給を途絶えさせない安定供給体制の維持と進化こそが我々の使命です。
長期成長ビジョン 外発的動機
• 新型コロナウイルス後に米中間のデカップリングが顕著である。
• 麻酔針を中心とした医療用特殊針の専業メーカーから、使い捨て
• 医療機器の製造は、その多くを中国工場に依存していたことによる
医療機器の開発から設計・薬事・生産までを一貫して供給が可
供給不安が起きたことで、世界的に中国依存へのヘッジが重要課
能なBtoB（OEM/ODM供給）メーカーへと発展させる。
題になっている。
• 長年にわたり、主なマーケットを海外市場と定めており、今後も継
• ロシアによるウクライナ侵攻をはじめとする世界各地の紛争により、医
続して成長の著しい海外企業（欧米を中心とした西側体制諸国
療機器の国産化とその強化は日本国の課題となっている。
を念頭に）の発掘と更なる連携強化を図り、常に信頼される品質
• 売上は新型コロナウイルスの感染拡大の収束による需要の反動と
の医療機器を世界へ届ける。
為替の円安が相まって業績を伸ばす勢いにあり、特に米国の顧客
• 日本製であることに拘り、日本国内での生産を継続するために、大
からの増産要望は非常に旺盛である。
規模な自然災害や外的な環境変化によるそれら阻害要因が発
生しても、事業を継続し続けるための生産拠点の分散と、その実
現を確かなこととするためのIoTを駆使した生産性の更なる向上と
内発的動機
デジタル情報の活用を進める。
• 医療機器メーカーは保守的傾向が強く、かつ薬事規制による制約
があるため専業で小規模のままに消滅・吸収されていく事例が多い。
売上成長目標
• 海外市場で戦い発展していくためには、自らの強みを堅持・強化し
• 2029年7月期までの会社全体の つつ、市場が求める生産能力の確保と、ゆるぎのない品質に裏打ち
売上高平均成長率15.5％/年 された製品であることの安定供給の維持が肝要である。
• 新型コロナウイルスのパンデミックは、医療現場が求める医療資材の
• 2029年7月期での会社全体の 供給を途絶えさせたこと、また日本国内での生産能力自体に余力
売上高増加額37億円 が乏しいという現実を、医療機器業界が抱える大きな課題として突
きつけた。</t>
  </si>
  <si>
    <t>.補助事業の概要
2
株式会社ユニシス
大型の自動組立装置を配備したクリーンルームを擁する新工場を建設することで、
労働生産性を高め、その効果を従業員の賃上げに反映します。
• 事業継続計画（サプライチェーンの分散化・複線化・強靭化と国内生産）と災害リスクの評価観点から福岡県糸島市に工
場用地を新たに取得し、既存工場への新規導入が困難な大型自動組立装置の設置を可能とする規模のクリーンルームを有
する工場を新たに建設します。
• 現在最も人手に頼っている製品組立工程（セル生産方式）を抜本的に見直し、組立工程を自動化した装置を新規に導入
することで、生産効率を上げ、労働生産性の向上につなげます。
• 最終製品化に至るまでの一貫生産（研削～検査～組立～包装～滅菌）を可能とする、高い付加価値を生み出す大規模
な設備投資です。
設備投資の
事業費
内容
（補助額）
億円
16
億円）
5.1
新工場イメージ画 参考：自動組立装置
2026年7月期 2029年7月期
項目
（基準年度） （基準年度＋３年後）
（単
労
位
働
：
生
万
産
円
性
/人）
620万円
（年平均
7
上
8
昇
8万
率
円
＋8.8％）
目標値 従業員
（
1
単
人
位
あ
：
た
万
り給
円
与
/人
支
）
給総額 402万円
（年平均上
48
昇
9
率
万
＋
円
6.72％）
役員１人あたり給与支給総額 ―
―
（単位：万円/人） （年平均上昇率＋3.0％）
補助事業に係る従業員数
210人 285人
（単位：人）</t>
  </si>
  <si>
    <t>株式会社伝食
1.長期成長ビジョン
当社の目指す姿は「食の劇場」 ・・・ “おいしい蟹・海産物を、日本中の食卓へ“
(パーパス・存在意義)
2030年までの長期的な当社の成長目標を「売上高200億円」と定めています（2023年中期計画策定）
長期成長ビジョン（目指す姿・ビジネスモデル）
「食の劇場と拠点改善」
外発的動機
• 当社が所在する福井県敦賀市が面する日本海は、最高品質の蟹や新鮮な生鮮魚介
類が豊富にとれる漁場であり、世界的な「魚食」ブームという追い風が吹いている。
• 「物流の2024年問題への対応」と「生産流通拠点の抜本的な機能強化」が求めら
れており、緊急の対応が必要な状態である。
売上成長目標（2023.9月期決算を基準として）
• 「北陸新幹線の敦賀駅延伸」により、首都圏や沿線地域からの観光客やインバウン
• 2030年までの会社全体の売上高成長率 67.5％ ド(訪日外国人旅行者)が急増している。
• 2030年までの会社全体の売上高増加額 80.6億円
内発的動機
・売上高 200 億円
• 令和4年8月、敦賀市第二産業団地Ｂ区画に竣工した「伝食ロジスティクス(水産加
・売上総利益 74 億円
工場・物流倉庫・通販事務所)」が手狭となり、物流機能および生産流通機能の効率
・営業利益 11.2億円
が低下してきている。
・経常利益 11 億円
• 令和6年2月、将来の敷地拡大への対応として同じく敦賀市第二産業団地Ｃ区画を
・売上総利益率 37.0 ％
取得した(産業用地土地約5,600坪)。</t>
  </si>
  <si>
    <t>株式会社伝食
.補助事業の概要
2
生産流通拠点設備「建屋」を新設して、生産物流機能の効率化と生産能力を拡大するのが主な目的。
設備投資として、新たな「水産加工場」を増設、自動省力化設備の導入、スマートファクトリーの可視化（複合施設）を新設し
て、労働生産性を年平均上昇率21.3%に伸ばす。
補助事業の • 生産流通拠点設備「建屋」拡大新設による、生産物流機能の抜本的な効率化 事業費 億円
40
背景・目的 （物流倉庫拡充による物流効率化と生産能力の拡大） （補助額） （ 億円）
11.8
• 複合施設の併設により地域誘客との融合、O2Oマーケティングによるネットとリアルの相互
シナジー
産業団地の新区画に「水産加工場」の増設
拠点設備(建屋)新設により、生産物流効率が現在の1.25倍に上がる。
物流のスマートファクトリー化
自動省力化設備の導入により、労働者の負担軽減、出荷効率も5倍になる。
設備投資の
内容
スマートファクトリーの可視化（複合施設の併設）
製造ライン工場見学等を併設。
県内外・インバウンド等の誘客により地域観光集客事業の柱を目指す。
（生産流通拠点のイメージパース/土地5600坪・建物1900坪）
2027年度 2030年度
項目
（基準年度） （基準年度＋３年後）
（単
労
位
働
：
生
万
産
円
性
/人）
652
（年平均上
1,
昇
14
率
1
21.3％）
目標値 従業員1人あたり給与支給総額 485
435
（単位：万円/人） （年平均上昇率 3.67％）
役員１人あたり給与支給総額 －
－
（単位：万円/人） （年平均上昇率3.85％）
補助事業に係る従業員数
166 181
（単位：人）</t>
  </si>
  <si>
    <t>Strictly Private &amp; Confidential
2023年**月**日
1 長期成長ビジョン 安田工業株式会社 Discussion Purpose Only / Internal Use Only
.
・プロダクトアウトでは事業成長はない。高付加価値を求める顧客ニーズの変化や環境への配慮・エネルギー価格
の高騰など社会課題を最高の契機と認識。揺るぎない経営理念等を通じて “長期成長ビジョン”を掲げる。
PRESENTATION TITLE （28pt）
外発的動機・内発的動機
創業者や経営
外発的動機（最高の契機） 内発的動機（揺るぎないもの）
顧客ニーズの 者の原体験
変化
①「モノをベースにしたコト」への要求 ①経営理念「最大ではなく、最高を目指す」
・ただ製品を売るだけでなく、どのような高付加価値 ・真の価値をモノからコトへ追求した最高の製品・
を提供し、ひいては顧客の業績に貢献し、長期的 サービスを世界の顧客に提供し続けることによって、
パートナーとなるかが問われている。 成長し発展することを目指したい！
経営者の
社会課題
動機
②環境への配慮（カーボンニュートラル） ②2025年を見据えた中期経営計画
世界のものづくりを
・従来求められていた加工の高速化、高精度化、 YASDAの“こだわり”で革新
自動化、省人化などに加え、省電化・省エネル
【2025年ビジョン】
ギー化への需要が高まっている。
・顧客にとって「真の価値」とは何かを常に考え、最
③エネルギー価格および部材価格の高騰
適なソリューションを提供したい！
・世界の顧客の成功に貢献したい！
・世界的なインフレや円安によりエネルギー価格が高
・強い企業を目指し、新たな事業領域（NEXT領
騰するとともに、製品に使用する部材価格も大きく
域）にしたい！
高騰している。
長期成長ビジョン（目指す姿・ビジネスモデル）は次頁</t>
  </si>
  <si>
    <t>Strictly Private &amp; Confidential
2023年**月**日
1 長期成長ビジョン 安田工業株式会社 Discussion Purpose Only / Internal Use Only
.
・外発的動機を最高の契機とし成長・発展していくYASDAスピリッ トと共に、念願の研究棟YASDAエクセレンス
ラボ（仮称）から“最高“を世界へ提供する挑戦！を始める。
PRESENTATION TITLE （28pt）
長期成長ビジョン（目指す姿・ビジネスモデル）
【バックキャスティング】 目指すべき姿
1.NEXT領域の開拓
成長ドライバー
2.最高を世界へ
YASDA
3.感性豊かな人財の育成
研究棟
外発的動機
現在 新たな価値を創造することで成長・発展していくYASDAスピリッ ト
NEXT領域
1 ２ 最高を世界へ ３ 感性豊かな人財の育成
（新事業領域）の開拓
・マシニングセンタのさらなる高精度化 ・YASDAスピリットをベースとした、コ ・YASDAブランドの源泉である「エン
に絶えず挑戦し、従来のものづくりプロ アコンピタンスである「設計・製造・ ジニアリングの感性」を研ぎ澄ませ、
セスを革新する。 営業・サービスのチェーン」の繋がり 独創的な製品を創造し続ける。
・「モノ（工作機械）とコトとの組み合 をより強固にすることで、世界中の ・高い専門性と倫理観を備えた人
わせ」となるソリューションや、自社の強 顧客の期待に応える高付加価値 財を継続的に育成し、社内外での
みを活かした新規事業の創出に注力 製品を、合理的に製造し市場に供 共創によりシナジーを生み出す。
する。 給する。
（当社資料）</t>
  </si>
  <si>
    <t>Strictly Private &amp; Confidential
2023年**月**日
1 長期成長ビジョン 安田工業株式会社 Discussion Purpose Only / Internal Use Only
.
・NEXT領域として「既存事業」と「ソリューション製品」を強化
・独自の技術力を活かした製品を市場に供給し続けることにより、売上高の増加を目指す
PRESENTATION TITLE （28pt）
売上成長目標(5年・10年後)
（億円）
新たな事業領域（NEXT領域）の開拓
売上高成長率（CAGR）
・既存事業の製品性能を特に精度面で進化させる技術革新 8.0％
・モノ（工作機械）とコトの組み合わせによるソリューション製品の開発
4.7％
243
193
168
新規
【工作機械】 【マシニングセンタ】 23/3 27/3 30/3
事業
既存事業 （直近決算） （基準年度）（事業報告完了年度）
ソリューション製品
精
（億円）
度
売上高増加額（億円）
NEXT
領域 ＋50
＋25
243
産業 歯車 193
事業 研削盤
市場の大きさ 168
23/3 27/3 30/3
（直近決算） （基準年度）（事業報告完了年度）</t>
  </si>
  <si>
    <t>Strictly Private &amp; Confidential
2023年**月**日
2 補助事業の概要 安田工業株式会社 Discussion Purpose Only / Internal Use Only
.
❙建築予定場所
事業費（補助額）
岡山県浅口郡里庄町大字新庄字太治郎開地5272番1ほか3筆
円（6 円）
20億 .2億
約500メートル
設備投資の内容 当社本社 研究棟（本事業）
PRESENTATION TITLE （28pt）
当社念願の専用研究棟「YASDAエクセレンスラボ」（仮称）の新設
❙外観イメージ
（当社資料）
（グーグルマップ）
❙概要
用途：研究所
規模：地上2階建 RC造一部S造
面積：2,300㎡
目標
項目 2026年度（基準年度） 2029年度（基準年度＋３年後）
労働生産性（単位：万円/人） 973 1,200（年平均上昇率＋7.22％）
従業員1人あたり給与支給総額（単位：万円/人） 560 615（年平均上昇率＋3.19％）
役員１人あたり給与支給総額（単位：万円/人） － － （年平均上昇率＋3.00％）
補助事業に係る従業員数（単位：人） 420 429
当社は物価上昇等社会情勢への対応以外に、従業員のエンゲージメント向上を目的に全役職員を対象に賃上げを行います。</t>
  </si>
  <si>
    <t>.長期成長ビジョン 千寿製薬株式会社
1
医薬品を中心とした既存事業と、ペイシェントジャーニー上を医薬品以外に進出した新規事業の組合せで、
社会に提供する価値と、会社の収益両面のターニングポイント創提を目指す
※創提（そうてい）《造語》創り出し、提案、提供すること。
外発的動機
• 先進国眼科市場の成熟、薬剤費抑制など、医薬品
市場へのマイナス要因の一方、健康志向の高まり・ニー
ズの多様化やデジタル技術の進歩をプラス要因と捉え、
ペイシェントジャーニーを考えると、下記の両面を認識し
ている。
「ヘルスケア」の中での薬（だけ）の価値が
相対的に低下する
↑↓
価値を提供するオプションが広がっている
内発的動機
• 会社の動きと関係なく、世の中も変化・進化し続けてい
る。自分たちに変化が無ければ実質的には後退であり、
世の中の変化と同じスピードでの変化でも停滞であると
考えている。
• まずは2025年度まで、（失敗を含めて）変化に挑戦
売上成長目標 することが当たり前になり、文化となれば、2030年度に
2025年度 連結売上高 500億円 向けて世の中の変化以上に変化・進化できるようにな
単体売上高 432億円相当 り、ターニングポイントを創提できると考えている
国内医療事業売上高 329億円相当</t>
  </si>
  <si>
    <t>2 .補助事業の概要 千寿製薬株式会社
現有の唐津工場に、点眼薬3,500万本/年の供給能力の生産ラインを増設する
これにより、（新薬を含む）製品の安定供給を行う
補助事業の • 現在計画している新薬の販売予想本数を考慮すると、現有の生産ラインでは供給能力が不足 事業費 10 億円
3
背景・目的 する。一方で、安定供給、売上の維持・拡大には供給能力の拡大が必須である。 （補助額） （3 億円）
2
• 現有の唐津工場（2ライン）に生産ラインを増設する（増築含む）
• 現在の唐津工場の生産能力は7,000万本/年だが、計画している新
製品を含めた需要は、2027年度時点で生産能力を上回る7,500万
本/年と想定しており、2031年度には1億本を超えると想定している。
• 増設により、3,500万本の生産能力が追加されることになり、新製品の
生産と既存製品の安定供給を同時に達成できる。
設備投資の
• 現有のうちの1ラインと同じ製品を生産できることになり、有事対応やメン
内容
テナンス等のメリットも想定される。
• 生産ラインの余裕により、さらなる新薬開発の加速も図る。
• 投資の主な内訳：
• 建物費 43.2億円
• 機械装置費 54.0億円
• ソフトウェア費 5.9億円
2026年度 2029年度
項目
（基準年度） （基準年度＋３年後）
労働生産性 682
（単位：万円/人） 538 （年平均上昇率＋8.25％）
目標値 従業員
（
1
単
人
位
あ
：
た
万
り給
円
与
/人
支
）
給総額 534
（年平均上昇
67
率
1
＋7.89％）
役員１人あたり給与支給総額
- -
（単位：万円/人）
補助事業に係る従業員数
109 117
（単位：人）</t>
  </si>
  <si>
    <t>1.長期成長ビジョン
環境のミカタ株式会社
長期成長ビジョン
将来のありたい姿・ビジネスモデル・売上成長目標
• 前ページの設備面の課題を含めて、下記の外発的動機・内発的動機があり、弊社の今後の長期成長ビジョンは以下と認識している
• 弊社の目指す姿は、社名や企業理念に基づくものであり、事業を通じた社会課題の解決を常に目指している（いわゆるCSV経営の実践）
長期成長ビジョン（目指す姿・ビジネスモデル）
＜目指す姿＞
外発的動機
• 価値創造が連鎖し循環が未来へ継承される社会を実現する。
• 混合廃棄物の選別精度向上により高度なリサイクル処理を行い、 • 廃棄物・資源リサイクル事業に対する社会的要請事項
埋め立て廃棄物の大幅な削減および環境負荷を低減する。 ◆環境保護と持続可能性
• 新たな廃棄物固形燃料を製造・販売・浸透させることで、廃棄物 環境への負荷を減らし持続可能な資源利用の促進
固形燃料製造のリーディングカンパニーとなる ◆地域社会への貢献
雇用の創出や地域社会の活性化
＜ビジネスモデル＞
◆労働条件や健康リスクへの対応
• 高度機械選別施設を新設し高度化された施設で安定した処理を 粉塵や廃棄物に含まれる有害物質への対応
行うことで、混合廃棄物のリサイクル率を70%から90%以上に向
• 廃棄物固形燃料への注目
上させ、大量の廃棄物のリサイクル化を可能とする
• 大型破砕機を設置し、今まで対応できなかった形状の廃棄物を受
け入れることで処理単価を向上する
内発的動機
• 施設を最新化させ、作業員の労働環境を改善し3Kのイメージを
払拭することで人員確保に繋げる • 循環経済推進への貢献
◆リサイクル率を更に高め持続可能な資源利用を促進する
＜成長戦略＞
• 選別、破砕作業の処理能力が限界にきている
• 設備投資によりRPF以上の性能を持つ廃棄物固形燃料製造を
◆混合廃棄物の選別作業が土間選別※のため、作業量が
開始することで、資源再生企業であることを対外的に発信。
個々の作業員のスキルによりばらつきがある
• 上場企業であることの信頼性を背景としたうえで、投資による労働
◆人による選別のため選別の精度が低い
環境の改善、賃上げにより優良人材採用強化し、人的資本経営
◆破砕施設の処理能力が小さく、新規の受け入れができない
を進める
※土間選別：土間等に混合物を広げて人の手で選別する作業方法
• DX化による組織的能力を向上
• 労働環境の改善が必要
売上成長目標（直近決算比） ◆作業環境が悪く人員確保が困難な状況にある
• 2029年までの会社全体の売上高成長率17.6％（年平均）
• 2029年までの会社全体の売上高増加額27.5億円</t>
  </si>
  <si>
    <t>.補助事業の概要
2
環境のミカタ株式会社
補助事業について
補助事業の背景・目的、設備投資の内容、目標
• 人が中心の選別作業を機械選別に変え、人的負荷を軽減するとともに処理能力を大幅に拡大する
補助事業の 事業費 2 億円
8
• 新たなケミカルリサイクルを行うことで、環境への貢献とともに処理単価を高め収益力を向上させる
背景・目的 （補助額） （9 億円）
.0
• 作業環境を改善し、従業員の人材確保を図る
【投資概要】
合計：27億 内訳：建物 10億 機械 17億（全て税抜） 加炭材
【内容】
★新設工場
◆自社所有地（焼津市）に新工場（大型リサイクル施設）を新設
◆工場内には下記ラインを設置して高度なリサイクルを実現
★選別ライン
設備投資の ◆高度に自動化された破砕選別プラントにより、従来埋め立て処分されていた廃棄物を
内容 半分に削減
◆高度自動選別機により、有効活用可能な資源を取り出しの精度を高めたうえで
効率化し、再資源化のための原料を最大化
◆処理能力が従来対最大17倍（24時間稼働）と大幅に拡大
★資源化ライン（廃棄物固形燃料の製造）
◆再資源化原料を加工することで廃棄物固形燃料（加炭材、フォーミング抑制剤）を製造
◆従来のRPF固形燃料と比べ、使用可能な廃棄物の種類が多いため、より広範囲で受入可能
◆リサイクル率が70％から90％へと高まるため、埋立（最終処分）費用が低減
2026年度 2029年度
項目
（基準年度） （基準年度＋３年後）
労働生産性 3,567万円/人
1,935万円/人
（単位：万円/人） （年平均上昇率＋22.6％）
目標値 従業員1人あたり給与支給総額 415万円
374万円/人
（単位：万円/人） （年平均上昇率＋3.53％）
役員１人あたり給与支給総額 0
0
（単位：万円/人） （年平均上昇率＋0％）
補助事業に係る従業員数
15人 33人
（単位：人）</t>
  </si>
  <si>
    <t>1.長期成長ビジョン スーパー工業株式会社
新工場設立によって生産性を大幅に向上させ、人手不足・環境負荷低減という社会的な課題の解決に
貢献することで、当社の売上と利益の飛躍的な拡大を目指す。
長期成長ビジョン（目指す姿・ビジネスモデル）
〈基本方針〉 外発的動機
生産量拡大と製品開発サイクルの短縮化を実 ①生産年齢人口減少による人手不足
②老朽化したインフラへの
現させ、土木建設業界に加えて食品業界やイン
メンテナンス需要の急増
フラ補修など新市場向け製品を順次リリースする。
③空中・水中ドローンなど新技術の普及
社会の人手不足・環境負荷低減という課題解
④環境負荷の低減
決に貢献することで、業務用全市場でのシェア （環境にやさしい洗浄）
No.1を目指す。
〈重点戦略〉 内発的動機
①生産量の拡大 ①水を通じた社会貢献による
②試験工程の改善 自社の持続的成長
②建機以外でも業務用シェアNo.1を
③新業界への進出・新技術への対応
目指す
③地域社会への貢献
売上成長目標 2029年度
（賃上げ・新規雇用・地元企業への発注)
売上高 2022年度比 43.6％増
営業利益 2022年度比 約3倍</t>
  </si>
  <si>
    <t>.補助事業の概要 スーパー工業株式会社
2
新工場を箕面市森町に設置する。生産ライン増加や試験室増設などを行うことで生産量増加と
新製品開発サイクルの短縮化を実現させ、当社の競争優位性を更に強化。従業員と地域への還元も行ってゆく。
①既存製品、新製品の生産量拡大、目的
補助事業の 事業費 19 億円
②新製品開発に必須の試験工程の効率化
背景・目的 （補助額） （ 億円）
6.2
③就業環境の改善による人材確保
設備投資の
内容
17億33百万円
2027年度 2030年度
項目
（基準年度） （基準年度＋３年後）
労働生産性 1,712.5万円
1,177万円
（単位：万円/人） （年平均上昇率＋13.3％）
目標値 従業員1人あたり給与支給総額 715万円
618万円
（単位：万円/人） （年平均上昇率＋5.0％）
役員１人あたり給与支給総額 -
-
（単位：万円/人） （年平均上昇率＋5.0％）
補助事業に係る従業員数
117人 127人
（単位：人）</t>
  </si>
  <si>
    <t>サムテック株式会社
1.⾧期成⾧ビジョン
当社は100年に一度の変革期にある自動車産業において「走る・曲がる・止まる」の重要部品を担う部品メーカー。
挑戦的な新規事業参入、事業構造転換を通じ、中⾧期的な産業・地域発展と自社の持続的成⾧の両立を目指す。
⾧期成⾧ビジョン（目指す姿・ビジネスモデル） 外発的動機
• 当社「2035年⾧期ビジョン」（2021年10月22日作成） 【自動車トレンドの変革】
「いきいきした社員 ものづくり改革に挑み続ける グローバル企業」 • 自動車の電動化の進展
～当社は電動化影響を受けにくい足回り部品が約5割あるものの、
内燃機関関連や変速機部品は、今後、受注減少の見通し
①付加価値拡大戦略（攻め）
• 自動運転技術の実用化・普及
• 顧客との信頼構築を通じた高付加価値部品の提案・受注獲得と、
～世界レベルで自動車の安全性向上が社会課題に。
業界変化に対応する高品質・リーズナブルな量産体制の構築
• カーボンニュートラル対応
• 工程拡大による安定的供給力とコスト競争力の獲得
～生産時の鋼材・電気使用量の削減要請が強まる。
～金型生産、旋削、熱処理、設備保全等の内製化
～海外工場へのノウハウ移転を通じ、グローバルベースで競争力 【業界構造の変革】
ある供給体制を構築 • グローバルベースで自動車メーカーや同部品メーカー間での競争が激化
～中・韓企業が低価格を武器に日系メーカー取引に参入する動きもあり。
②持続的事業安定戦略（守り）
• 人口減の国内では労働力確保が困難。海外展開が成⾧には不可欠
• 業界変動に左右されにくい部品の競争力強化と投資原資の確保 • 市場低迷や後継者難から、同業社の撤退やサプライヤーの廃業も散見
～自動車電動化状況にかかわらず使用され続ける部品へのシフト
• 自動車の安全性向上、カーボンニュートラルなどの課題にも着実に
内発的動機
対応し、社会に貢献
【付加価値創出の源泉】
③人財戦略（命綱）
• 数々の当社独自の新技術が顧客の信頼を獲得、事業発展に大きく貢献
• 業界内でも社員の賃金・働きやすさ、そして働きがいを高い水準と
～世界唯一の熱間閉塞鍛造の設備・工法開発と量産体制確立など
するための人的資本投資
• 技術力を有するスタッフの存在（但し、持続性には課題）
• 高品質技術の再現性担保に向けた自動化・省人化投資の推進
【持続的成⾧への課題】
• 熟練者の技能に頼った生産体制
• 本補助事業による成⾧投資を通じ、上記3つの戦略を実現する。 ～生産効率や品質は熟練者の経験と勘に左右される面も多い。
• 必ずしも働きやすくない職場環境
売上成⾧目標（2023年11月期対比）
～歴代経営陣は、熱間鍛造ライン等のいわゆる「3K職場」の改善に腐心
• 2029年までの会社全体の売上高成⾧率32％
～全量目視での外観検査や紙ベースの管理資料など現場負担は大
• 2029年までの会社全体の売上高増加額75億円
• 人材獲得競争への危機感（但し、社内環境整備による伸びしろあり）</t>
  </si>
  <si>
    <t>サムテック株式会社
(cid:21).補助事業の概要
当社は自動車の電動化等の業界変化をチャンスと捉え、自らの強みを活かしつつ地域と自社の⾧期繁栄に繋がる
新事業に挑戦。当補助事業は主要顧客にて受注済の具体的な案件を顧客の技術支援等を得ながら取組む事業
• 中国で進展する自動車の電動化により、既存事業の一部で受注減少が顕在化しており、「電動化の
進展状況に左右されない事業構造へのシフト」が当社の中・⾧期的な経営課題となっていた。
補助事業の • 今般、主要顧客2社より上記課題解決に相応しい製品の受注要請あり。ブレーキ部品事業とハブ旋 事業費 77億円
背景・目的 削事業の2つを実施すべく、本補助事業にて新工場建設と新規製造設備を導入し、①新製品製造、 （補助額） （22億円）
②自社工程拡大による付加価値の取込みを通じて、収益力並びに労働生産性の向上を図る。
• 同時に、従業員への継続的な賃上げや、大規模投資の波及効果により地域の繁栄にも貢献していく。
羽曳野第９工場「ドリームファクトリー」新設事業～ブレーキ部品事業、ハブ旋削事業
（主な設備投資）
【建物費】 • 当社主力工場隣接の自社用地における付帯工事（土地造成） 羽曳野第９工場
• 同造成地における生産施設としての総２階建て新工場（建物） 建設予定地 第7工場
【機械装置費】 • 上記建物内に設置予定の一部自動化対応の
ブレーキ部品専用設備、ハブ旋削専用設備（機械装置）
設備投資の
（設備投資が課題を解決し得ること）
内容
• 両事業とも、中・⾧期的に安定的な受注量が見込まれる主要顧客からの受注要請
• ブレーキ部品は顧客が今後の成⾧市場として注力する製品。先行サプライヤーに選定されたチャンスを活かし、競争優位を確保
• ハブ旋削は当社初の熱処理工程を備えるライン。内製化での原価低減効果や物流・検査コストの削減等で付加価値向上を図る。
（労働生産性向上につながる点）
• 既存工場ではスペース余力がなく実現できなかった同一事業が並列する専用工場にて、生産・人員効率両面で優れる。
• 検査工程への自動化設備導入などで労働生産性が向上。増加した付加価値を原資に従業員へ賃上げを実施し、
もう一つの経営課題である「今後の人手不足への対処、働きやすい職場環境の整備」を図るもの
項目 2026年度（基準年度） 2029年度（基準年度＋３年後）
労働生産性（単位:万円/人） 722 2788 (年平均上昇率 +56.9%)
目標値
従業員1人あたり給与支給総額（単位:万円/人） 623 691 (年平均上昇率 ＋3.5%)
役員１人あたり給与支給総額（単位:万円/人） - - (年平均上昇率 ＋3.25%)
補助事業に係る従業員数（単位:人） 24 46</t>
  </si>
  <si>
    <t>1.長期成長ビジョン 寧薬化学工業株式会社
当社は、高齢化社会と医療用医薬品市場の需要拡大を背景に、一般用医薬品で培った技術力を活かし、 *1ジェネリック医
薬品を主とした医療用医薬品受託製造事業への進出及び*2スイッチOTC医薬品製造事業の拡大による成長により、2029年
度を目途に全社で40億円の売上を目指す。
長期成長ビジョン（目指す姿・ビジネスモデル） 外発的動機
当社の長期成長ビジョンは下記の4つの観点で考えている。 • 高齢化社会に伴う医薬品需要の増大、国のジェネリック医薬品推
進政策への同調、ここ数年での大手ジェネリックメーカーの不祥事に
1. 事業の拡大と成長 より医薬品の供給が不安定な状況となっている。安定した医薬品
供給の社会的要請に応えることで、企業価値向上と社会貢献を
• 高齢化社会における安定的な医薬品供給の社会的要請に応え、
両立させることを目指す。（詳細は『2.現状分析の状況：外部環
企業価値の向上による持続的会社運営を目指す。
境』参照）
2. 技術革新と社会貢献
• 富山県（全国シェア6.8% *3 ）や滋賀県（同5.6% *3 ）に比べ
• 一般医薬品製造で培った技術力を活かし、ジェネリック医薬品の受 て、奈良県は医療用医薬品メーカーが少ない現状である（同
託製造に進出する。 1.1% *3 ）。当社はジェネリック医薬品を中心とした医療用医薬品
• スイッチOTC医薬品事業を拡大し、技術革新と社会貢献を目指す。 の製造事業を展開し、奈良県の医薬品産業を他の地域に見劣り
• 高品質で安全な医薬品を供給し、国民の健康と福祉に貢献する。 しないレベルまで活性化させ、地域経済に貢献することを目指す。
3. 経営基盤の強化と事業拡大
内発的動機
• 一般用及び医療用医薬品の製造事業を組み合わせ、収益性の向
上とリスクの分散を図ることにより、経営基盤をより強固なものとし、持 • 一般用医薬品製造で培った技術力を活かし、ジェネリック医薬品を
続可能な成長を実現する。 主とする医療用医薬品受託製造事業への進出を通じて、企業の
長期的な成長と技術革新、社会への貢献を実現する。（詳細は
4. 地域社会への貢献の継続
『3.現状分析の状況：内部環境』参照）
• 奈良県の伝統的な地場産業である医薬品産業を活性化させ、地
域経済の活性化や雇用の創出、地域医療の充実に貢献する。 • 主要事業である一般用医薬品製造事業とともに、医療用医薬品
受託製造事業を成長させることで、収益性のボラティリティを低減し、
安定的な経営を実現する。
売上成長目標
• 2029年度までの会社全体の売上高成長率100％
*1ジェネリック医薬品とは、新薬（先発医薬品）と同じ有効成分を使っており、品質、効き目、安全性が
• 2029年度までの会社全体の売上高増加額20億円 同等のもの（日本ジェネリック製薬協会HPより）。
*2スイッチOTC医薬品とは、医師から処方される医療用医薬品のうち、副作用が少なく安全性の高いもの
を市販薬（OTC医薬品）に転用（スイッチ）したもの（全国健康保険協会HPより）
*3「令和４年（概要）薬事工業生産動態統計調査」より。</t>
  </si>
  <si>
    <t>.補助事業の概要 寧薬化学工業株式会社
2
医療用医薬品受託製造事業を行うための高性能製造設備の導入、当該設備を設置できる新工場の建設、既存工
場の改修を行うことで、省人化された生産体制を実現し、賃上目標値を達成するとともに、製品の安定した供給を実現
する。
補助事業の • 省人化された生産体制を実現するため、高性能製造設備の導入、当該設備設置のための新 事業費 38億円
背景・目的 工場建設、既存工場改修が必要となっている。 （補助額） （12億円）
【工場建物】
①設備の概要
• 医療用医薬品受託製造のための高性能製造設備導入のため、新工場の建
設、既存工場の改修工事を行う。
②現在抱えている課題
• 既存工場で使用している包装機械では500錠/分の処理能力を有している
が、より処理能力の高い包装機械は大型であり既存工場には収まらないため
導入が困難であり、当社の生産向上の課題となっている。
• 製品の安定供給のために原材料、製品を一定量ストックし、急な受注増加に
設備投資の 対応できる体制が必要であるが、既存工場では在庫保管のための十分なス
内容 ペース確保が困難である。
③課題解決、労働生産性向上
• 新工場の建設、既存工場の改修工事を行うことで、高性能製造設備の導
入が可能となる。これにより現行設備の12倍の処理能力を有する包装機械
（6,000錠/分）の導入が可能となり、生産性向上が実現できる。
• 生産性をより向上させるため、現在手作業で実施している錠剤の供給や各
種包装品の検査等を自動化できる工場設計とするとともに、一部設備で夜
間無人運転が可能となる設計とし、省人化を図る。
• 新工場に約500パレット分の保管スペースを確保し、必要な原材料、製品の
在庫を確保し安定供給を実現する。
2026年度 2029年度
項目
（基準年度） （基準年度＋３年後）
労働生産性 1,180万円/人
984万円/人
（単位：万円/人） （年平均上昇率＋6％）
目標値 従業員1人あたり給与支給総額 478万円/人
413万円/人
（単位：万円/人） （年平均上昇率＋5％）
役員１人あたり給与支給総額 ―
―
（単位：万円/人） （年平均上昇率＋5％）
補助事業に係る従業員数
113人 143人
（単位：人）</t>
  </si>
  <si>
    <t>1.長期成長ビジョン デーバー加工サービス株式会社
“業界21社共同出資”の鉄筋加工ファウンドリとして、業界をリードしその発展に寄与する。
鉄筋業界の発展を通じて当社も成長し、従業員の待遇もアップさせる。
• 当社は、鉄筋工事・加工会社21社が共同出資して設立した鉄筋加工を受託する会社である。都心に近い埼玉県に国内最大の鉄筋加工工場を持つ。
• 「ファウンドリ」という言葉は現在では主に半導体製造を受託する企業を指すが、原義は「鋳造所」であり、特定の製品や加工に特化した製造所を意味する。
• 鉄筋工事業者の多くは自社工場を持ち、自社が使う分だけの加工をしている。しかしそれでは①スケールメリットがないし、②高度な加工・特殊な加工に対
応できない。そのため、業界21社が協力し、①規模の利益が追求できるだけの大きな工場を持ち、②高度な加工や特殊な加工に対応できる設備も導
入した会社を設立した。当社は鉄筋業界のファウンドリであり、業界をリードする立場であると自負している。今後さらに最新鋭の設備の導入やノウハウの蓄
積をして行くと同時に、自動化とIoT化による生産性向上も実現して行く。
• 当社に業界の高度な加工を委託することにより、各社は一般的な加工に集中し生産性を向上させることができる。これにより、業界全体の生産性が向上す
る。当社には高度な加工に特化した設備やノウハウが蓄積するため、事業が高付加価値化し、従業員の待遇のアップにも繋げることができる。
長期成長ビジョン（目指す姿・ビジネスモデル） 外発的動機＝人手不足で建設現場が回らない。建設現場の
省力化工法を採用すれば解決するが、鉄筋加工業者が対応
建設現場の省力化工法に対応した最新鋭の自動化設備を
できていない。業界のため、当社が立ち上がるしかない！
優れた労働環境に導入することにより、鉄筋業界共同出資の
• 建設物価が急騰している。世界分断というメガトレンドを背景とした原材
ファウンドリ（外注製造会社）としての使命を果たす。省力化
料価格上昇が要因の一つであるが、もう一つの要因は建設技能労働者
工法の普及に貢献し、鉄筋業界全体の発展に貢献する。
の不足で、工期の長期化をも引き起こしている。必要な工事ができておら
（１）建設現場の省力化工法への対応強化 ず、建設業界全体の足も引っ張っている。解決策としては、建設現場の
省力化を実現する工法の採用が有効であるが、普及していない。
これにより、小規模鉄筋業者でも、自社でできない部分だけ
• 建設現場の省力化工法が普及しない要因の１つに、鉄筋加工業者が
を当社に外注することによって、省力化工法を含む物件に参
対応できないことがある。対応するには新たな設備投資が必要だが、それ
入できる。省力化的工法の普及に貢献する。
ができる鉄筋加工業者は少ない。
（２）最新鋭の自動化・IoT設備の導入
鉄筋加工ファウンドリの要は、工場である。他社より生産性の
内発的動機＝人手不足と工場環境整備の必要性
高い設備と優秀な作業員を備えることに、存在意義がある。
• 工場作業員の確保が難しくなっている。労働生産性を上げなければ、い
（３）労働環境の整備と高い待遇の実現（賃上げ）
ずれは売上高も下がってしまう。
優秀な作業員の確保に必要。黒字企業の義務。
• 対策の１つは、工場内自動化の推進である。これにより、経験の浅い作
業員でも作業ができるようになる効果も見込める。
売上成長目標
• もう一つの対策は、労働環境整備である。増大する需要に対応するため、
• 2030年８月期までの会社全体の売上高成長率40％超
当社の東松山工場の一部では屋根がないラインがある。猛暑や雨天時
• 2030年８月期までの会社全体の売上高増加額16億円超
の労働環境は劣悪であり、人手が集まらない一因となっている。</t>
  </si>
  <si>
    <t>.補助事業の概要 デーバー加工サービス株式会社
2
自動化機能を備えた最新設備の導入、およびIoT化により、当社の労働生産性が大幅に向上する。
（波及効果：省力化工法が普及し、建設現場の人手不足が解消され、工事が増え、当社売上も増える。）
補助事業の 建設現場の労働生産性を上げる新工法に対応した鉄筋加工が求められているが、対応できる工 事業費 2 億円
1
背景・目的 場は少ない。そこで、新工場を立ち上げ、新工法への対応と生産性向上を同時に実現する。 （補助額） （ 億円）
6.7
• 鉄筋工の不足から、建設現場の省力化工法の採用が急務である。対応には高精度が必要なため、新たな設備投資が必要と
なり、対応できる鉄筋加工業者は少ない。それが省力化工法普及の障害となっている。
• そこで、本事業では、当社の主力工場である東松山工場の隣地に第２工場を建設し、省力化工法に対応するための設備と、
工場全体としての生産能力増強のための設備導入（IoT化と自動化の推進を含む）を行う（詳細はP17、P18参照）。
• 当社は、鉄筋加工業者から鉄筋加工を請け負う鉄筋加工ファンドリーである。顧客の鉄筋加工業者は、自らは省力化工法に
対応した設備投資をすることなく、当社に外注することにより、省力化工法を利用した物件の鉄筋加工を受注できる。当社が設
備投資することにより、業界全体の省力化工法への対応率が高まる。それは、多くの建設現場の労働生産性向上に結び付く。
設備投資の 建設業界全体に大きな波及効果を及ぼす。
内容 • 鉄筋加工工場は、当社を含め、IT化が遅れ 第3ヤード
ているところがほとんどである。新工場ではIoT 第１工場
（第３工場建
化と自動化を推進するため、労働生産性が
第2工場
設計画あり）
大きく向上する。
建設予定地
• 補助事業終了後、第３ヤードに第３工場を
建設する計画があり、具体的に動いている
（自己資金）。
2026年度（2027/8期） 2029年度（2030/8期）
項目
（基準年度） （基準年度＋３年後）
労働生産性 1,194
827
（単位：万円/人） （年平均上昇率＋13.0％）
目標値 従業員1人あたり給与支給総額 501
433
（単位：万円/人） （年平均上昇率＋5.0％）
役員１人あたり給与支給総額 999
863
（単位：万円/人） （年平均上昇率＋5.0％）
補助事業に係る従業員数
195 195
（単位：人）</t>
  </si>
  <si>
    <t>1.長期成長ビジョン
サン工業株式会社
サン工業株式会社長期成長ビジョン
技術開発の深化により高機能性めっき量産と環境負荷低減の実現
• 高付加価値の追求により技術開発型めっき企業に進化を遂げる。技術難易度が高い機能性めっき（※１）の拡販と共に
経済産業省「2050年カーボンニュートラルに伴うグリーン成長戦略」にも掲げられている脱炭素・環境負荷低減に貢献する。
（※１）機能性めっき…装飾や防錆性以外の機能を付与することができるめっきのことである。機能としては、電気的特性、機械的特性、物理的特性、
化学的特性、光的特性、熱的特性があり、めっき特性について顧客を含めた技術開発が必要になる。
長期成長ビジョン（目指す姿・ビジネスモデル） 外発的動機
• 高機能性めっき工場の実現・顧客と自社のCO2排出低減 • 世界的な電動化、半導体分野の成長とニーズ拡大
• 製造工程のFA化による、さらなる生産性の向上により、人に頼らな • カーボンニュートラル実現に向けた潮流の加速
い現場の構築 • めっき専業者の減少と二極化
• 技術開発型企業として付加価値の高い機能性めっきの拡充 • 高精度なめっきニーズの増加
• 環境対応・利益率・従業員付加価値日本トップのめっき企業へ • 電気・重油などのエネルギー価格の高騰
• 3K(きつい・臭い・汚い)職場からの脱却 • ニッケル・金・銀・銅などの各種材料価格の高騰
• 成長分野である半導体製造装置・電気自動車関連部品(ヒート • 地元有効求人倍率の増加
シンク・コネクタ)への生産シフトによる生産量の拡大 • 継続的人口減少、賃金上昇圧力の増加
• 新規オリジナルめっき技術(高硬度クロムめっき・アルミ・マグネシウム • 日本製スチールシャフトの海外展開
など軽量化素材に対するめっき、耐次亜塩素酸めっき、高潤滑性
めっき処理等)製品化による他社との差別化と新規市場の開拓 内発的動機
• 工場Co2排出量の削減 • 社員の夢の実現
• 環境対応新規めっき
• 開発営業スタッフの充実
• 温暖化による
工場内労働環境の悪化
• 既存工場エリアにおける
新規設備導入スペースの不足
売上成長目標
• 技術試作依頼件数の増加
• 30年までの会社全体の売上高成長率196％ • 労働力不足
• 30年までの会社全体の売上高増加額34.4億円</t>
  </si>
  <si>
    <t>.補助事業の概要
2
サン工業株式会社
・高機能製品開発に必要な次世代めっきの研究と量産化を実施
・環境負荷低減や生産性向上を目的とした新工場及び生産ラインで新たな付加価値を提供
• 補助事業の目的…高機能めっきの開発及び量産ライン確立
• 補助額、設備投資内容、工夫点、労働生産性・賃上げの目標値は以下の通り
補助事業の • 背景：ターゲット顧客のめっき要求性能の高機能化と大規模量産化 事業費 39億円
目的：顧客要求性能に対して研究開発加速と量産化環境負荷低減・カーボンニュートラル対応
背景・目的 （補助額） （13億円）
●高機能めっきの開発促進と
●次世代めっきライン（高機能開発品の量産へ特化）
環境負荷低減や生産性向上を目的とした新工場
①産業機器継ぎ手向け自動めっき設備
・生産能力を従来工法よりも25％向上
・産業ロボットの導入で一人当たりの労働生産性を2倍に向上
・鉛を使用しない材料へのめっき工程を開発し、燃料使用量を
½に削減
設備投資の ②車載用次世代半導体デバイス向け開発試作ライン
内容 ・デバイス冷却性能向上や電気伝導性に優れた新な付加価値
を持っためっき技術の開発
③国産ゴルフシャフト向け自動めっき設備
・生産能力を従来工法よりも約20％向上
・工程の自動化で一人当たりの労働生産性を2倍に向上
ZEB対応実施…GHP・自己発電用の太陽光パネル
・六価クロムフリーめっきへの転用を可能とする
（再エネ）活用により年間152ｔ/CO2排出削減
2026年度 2030年度
項目
（基準年度） （基準年度＋4年後）
（単
労
位
働
：
生
万
産
円
性
/人）
724万円/人
（
94
+
3
6
万
.5
円
％
/人
）
目標値
従業員
（
1
単
人
位
あ
：
た
万
り給
円
与
/人
支
）
給総額
570万円
（年平均
64
上
2
昇
万
率
円
＋4％）
役員１人あたり給与支給総額 ‐
‐
（単位：万円/人） （年平均上昇率＋4％）
補助事業に係る従業員数
（単位：人） 220 270</t>
  </si>
  <si>
    <t>1.⾧期成⾧ビジョン
株式会社ヒサダ
環境変化に対応した⾧期成⾧ビジョン
• 車両構造転換に不可欠な技術開発推進と電動車向け技術獲得による脱炭素社会への貢献
• モデル企業となるべく「2050年カーボンニュートラルに伴うグリーン成⾧戦略」実践
⾧期成⾧ビジョン（目指す姿・ビジネスモデル） 外発的動機 2030年に向けた電動車の増加（万台/年）
300
• 今後、電動車市場は大きく成⾧
• 自動車業界の電動化に伴いEV自動車向け製品拡販 電動車市場は2022年～2035年で 200
• カーボンニュートラルや物流業界24年度問題に向けて 国内 年率11.6%の成⾧見込
100
グローバル体制、納入先（トヨタ自動車九州）に近い九州 • 当社製品の車体部品は
0
EVモジュールへの転換により
地区での生産体制を強化し、輸送CO2排出削減、生産効
'22'23'24'25'26'27'28'29'30
製品仕様が大きく変わる対象品となる。
率化、自動化により脱炭素社会向けた貢献
• 世界的なカーボンニュートラルへの潮流による今後の電動車市場の
成⾧、エンジン車市場衰退が確実視される状況を受け、当社の蓄
既存製品 シート事業 EV事業領域
積資産の強みを活用し、電動車向けに必要となる技術を備えた
40.00 EV関連部品の製造に挑戦していく
事業拡大領域
35.00
30.00
EV事業領域EV事業領域EV事業領域EV事業領域
内発的動機
25.00 EV事業領域 • 重要部品で培った技術蓄積を生かし、新規EV事業として電池
シート事業 シート事業 シート事業
20.00 シート事業 骨格センターモジュール構想のメイン部品のクロスフレームを製造
15.00 シート事業
• 他の製造品目は、ドア回りのパーツとシートの関連パーツであり、コア
10.00
コンピタンスとしてクルマの快適な居住性能を約束するとともに、ドア
既存製品 既存製品 既存製品 既存製品 既存製品 既存製品
5.00
の強度を高める構造材としての機能も求められている重要な自動
0.00
車部品であり、寸法や強度は高い精度を確保が必要
2023年 2024年 2025年 2026年 2027年 2028年
• 特許技術や積み上げた独自のノウハウを発展させ、世界中の自動
売上成⾧目標 車部品サプライヤーにお届けできるよう、技術力と体制を強化。
• 本事業を通じて電動車専用の設備への大規模な投資を行い、課
• 28年までの九州生産製品の売上高成⾧率260％
題解決を図るとともに、地域での雇用を創出、賃上げを行い従業
• 28年までの会社全体の売上高増加額20.2億円
員への還元も積極的に進める</t>
  </si>
  <si>
    <t>2.補助事業の概要
株式会社ヒサダ
補助事業実施の背景と設備投資概要及び労働生産性・賃上げ目標値について
• 本事業の目的は電動車・自動運転に必須の自動車部品製造と必要数量を供給することを目的に、九州熊本に新工場を建設し、生産スペース確
保と必要設備へ大規模投資を実施
• 付加価値向上を実現し、省力化施策推進により生産性向上、従業員1人あたり給与支給総額上昇を達成する。
補助事業の • 自動車業界のEV化による生産品目増加と生産数量増加に対応 事業費 19億円
背景・目的 • カーボンニュートラル・物流業界の24年度問題解決（現地生産化によるCO2排出低減） （補助額） （4.4億円）
省スペース自動化ライン
• 生産工場・建屋の増築 九州新工場
自動化ラインの展開スピードUP
電動化事業拡大の新拠点とする
（生産スペース・輸送・発送場スペース）
自動組付
• EV車用バンパー（C-BOX）ライン ライン
①切断工程 ②溶接工程
設備投資の ③熱処理工程 ④組付け工程 カシメ自動化
内容 ⑤その他工程用治工具・検具 ライン
・EV車用バッテリー格納ケースフレーム
①ロール成形②プレス工程③溶接工程 住所:熊本県熊本市南区城南町藤山字正達885-5
④その他工程に要する治工具＋検具 面積:敷地10,962㎡ 延床5,346㎡
用途:自動車部品工場
土地:2024年4月時点 買取済
・シートフレーム設備（PWRランバー）
2025年度 2028年度
項目
（基準年度） （基準年度＋３年後）
労働生産性 1,656万円
393万円/人
（万円/人） （年平均94％＋421％）
目標値
従業員1人あたり 501.2万円
448.6万円
給与支給総額（万円/人） （年平均3.77％＋117.2％）
役員1人あたり 1,404万円
1,254.2万円
給与支給総額（万円/人） （年平均3.83％＋112.8％）</t>
  </si>
  <si>
    <t>株式会社マグナ・ワイヤレス
1.⾧期成⾧ビジョン
超低遅延半導体チップを用いた小型基地局と通信端末でローカル5Gの普及を実現する。ローカル5Gの普及
により自社のみならず様々な利活用場面での労働生産性の向上、人手不足等の社会課題解決に貢献する。
• ローカル5Gの普及は、農林水産、工場、インフラ、モビリティ、防災・減災、医療、観光など多岐に渡っての利用に加え、Society5.0の実現、地方創
生などにおいても期待されている。
• 当社は、⾧年培ってきた無線通信と半導体技術の融合により、ローカル5G普及において課題とされる「基地局と通信端末の低価格化」「通信品質の
安定化」を実現した、超低遅延半導体チップを用いた小型基地局と通信端末の量産化及び市場投入を目指している。
• 将来的に様々な利活用場面における労働生産性の向上、人手不足等の社会課題解決に貢献できる企業へと成⾧する。
⾧期成⾧ビジョン（目指す姿・ビジネスモデル） 外発的動機
① ローカル5G普及による地方創生等への期待
① ⾧年培ってきた卓越した無線通信と半導体技術の融合により、
社会と産業のデジタル変革を推進し、持続可能な発展に貢献す • ローカル5Gの普及は、農林水産、工場、インフラ、モビリティ、防災・減災、
医療、観光など多岐に渡っての利用に加え、Society5.0の実現、地方創
る。
生などにおいても期待されている。
② 独自の技術を通じ、安全性と効率性を重視した次世代通信基盤
② 人手不足への対応、省人化等への需要の高まり
を創出することで、産業構造の変革をリードするビジネスモデルを
• ローカル5G向け小型基地局と通信端末の普及により、様々な場面（農林
構築する。
水産・工場・インフラ・防災・医療・観光）で人手不足等の社会課題解決
への貢献が可能となる。
• 高速・超低遅延な通信を実現する半導体チップの国内開発により、
工場の自動化、V2X通信、IoTデバイスの応用を加速させる。
• 日本製半導体の国際競争力を高め、グローバル市場での販売拡 内発的動機
大を実現する。
① 小型基地局及び通信端末商用化への思い
• エコシステム全体の持続可能な成⾧を実現させるため、国内外の
• ローカル5G向けの半導体チップを用いた小型基地局と通信端末の商用化は、
パートナーとの連携を深めて、技術革新を社会実装へと繋げる。
当社の収益基盤や企業価値向上への契機となる。
• また、国内5G事業発展の突破口と同時にグローバル市場においても競合と
売上成⾧目標
の差別化を図るものと考えている。
• 年間売上目標 104.7億円（2030年10月期）
• 2030年10月期まで本事業の基準年度（2027年10月 ② 地域社会への貢献、日本の通信技術発展への思い
期）から起算して年平均売上高成⾧率91.1％、売上高増
• ローカル5Gの普及を通じて各所での労働生産性向上、人手不足等の社会
加額約90億円 課題解決への貢献、日本の通信技術発展に貢献したいという思いのもと、事
業活動を行っている。</t>
  </si>
  <si>
    <t>2.補助事業の概要
ローカル5G普及において期待される低価格で通信品質を安定化させた小型基地局と通信端末を製造販売することで、自社の生産性向上のみ
ならず様々な利活用シーンでの生産性向上、社会課題解決に貢献する。
• ローカル5Gの普及において期待される低価格かつ通信品質の安定化を実現し、労働生産性及び従業員1人あたり給与支給総額目標を実現
する。また、ローカル5Gの普及を後押しすることで、自社のみならず様々な利活用シーンでの生産性向上や課題解決に貢献する。
補助事業の • ローカル5G市場向けの半導体チップを用いて小型基地局と通信端末を市場投入し、従来より 事業費 21億円
背景・目的 も低価格でローカル5Gの普及に貢献することで収益機会の獲得、生産性向上を図る。 （補助額） （5.9億円）
• ローカル5G市場において期待される低価格で通信品質を安定化させた小型基地局と通信端末を製造販売する。
• 開発完了予定の半導体チップを用いて、低価格で早期の小型基地局と通信端末と市場投入が可能となる。
• ローカル5G普及による様々な利活用シーンでの生産性向上や社会課題解決に貢献する。
設計・開発フェーズ
設備投資の
内容
量
産
設
計
2026年度 2029年度
項目
（基準年度） （基準年度＋３年後）
労働生産性 17,781万円/人
1,803万円/人
（単位:万円/人） （年平均上昇率＋114.4％）
目標値 従業員1人あたり給与支給総額 868万円/人
708万円/人
（単位:万円/人） （年平均上昇率＋7.0％）
役員１人あたり給与支給総額 1,709万円/人
1,395万円/人
（単位:万円/人） （年平均上昇率＋7.0％）
補助事業に係る従業員数
23人 26人
（単位:人）
IP
開
発
FE
設
計
BE
株式会社マグナ・ワイヤレス
小型基地局、通信端末の市場投入までの流れ 補足説明
検証 • 量産設計:量産化に向けた基本的な仕様や回路構成の設計を行
製造フェーズ 量産フェーズ
フェーズ う。
• IP開発:再利用可能な特定の機能や構成要素を持つコア部分の
フ モ 市 開発を行う。
ル ジ 場 • FE設計:設計プロセスの初期段階で行われる活動を指し、設計の
マ ュ 量 投
検 概念化から論理設計、検証までの一連のステップを含む。
開 ス ー 産 入
証 • BE開発:FE設計で設計された論理回路を物理的なレイアウトに変
発 ク ル 化 ・
製 開 拡 換し、製造プロセスで製造可能な形にする。。
造 発 販 • フルマスク製造:半導体デバイスの製造
• モジュール開発:上記半導体を流通可能な製品（量産製品）と
なるように開発する
補助事業範囲 • 検証:フルマスクやモジュールの検証を行う。</t>
  </si>
  <si>
    <t>1.長期成長ビジョン マルコ工業株式会社
・溶融亜鉛めっき加工では有害物質が大気へ放出されるが、国内企業は未整備の状態
・マーケットの動向や環境問題に取り組むだけでなく情報発信も行い、今後の業界の発展に寄与する
長期成長ビジョン（目指す姿・ビジネスモデル）
〈基本方針〉
めっき加工の大型化や環境配慮に対応し、地域の労働人口を創出す
るだけでなく、国内めっき加工の環境問題に対応した先進的企業とし
て自社の優位性の強化および国内めっき加工業界の活性化を図る 外発的動機
・建設現場や組立現場で効率重視シフトによる顧客ニーズ
〈重点戦略〉 の変化
• 大型サイズめっき加工に対応 ・物流倉庫等や国土強靭化による公共物等の建設市場
の拡大
現在は小～中型サイズのめっき加工のみが対応可能であり、大型サイズの
依頼は他社に流れている状態である。そのため、大型サイズにも対応するこ ・SDGsやエシカル消費等の社会環境課題に対応
とで機会ロスを防ぐ。
・海外加工企業による国内のめっき市場参入リスク
シェア拡大
•
現在の溶融亜鉛めっき市場規模に対する当社シェアは4%程度で、
これを2029年度までに市場成長も考慮した上でシェア倍増を目指す。
• 環境配慮式めっき加工の実現
国内のめっき加工企業はヨーロッパのように環境対応型加工ができていない。 内発的動機
当社が国内の環境対応式めっき加工のパイオニアとなることでSDGs等に対 ・従業員のワークライフバランスの充実と新たな人材確保に
応した製品加工を実現し、海外加工企業の参入を防ぐ。
よる地域雇用促進を実施したい
• 労働環境の改善
・小～大型サイズのめっき加工を可能とし顧客がめっき加
加工現場の一部をオートメーション化することで労働者の負担を削減する。
工各社に発注する負担を軽減したい
また、めっき加工で発生する有害物質を効率良く吸引することで 現場環
境の改善も併せて行う。 ・海外めっき加工を視察により日本の環境対応の遅れを
痛感
売上成長目標
■2029年度の会社全体の売上高２.2倍
■2029年までに営業利益200百万円
■溶融亜鉛めっき市場でのシェア8.0％</t>
  </si>
  <si>
    <t>.補助事業の概要 マルコ工業株式会社
2
・総額35.98億円の設備投資により、マーケット状況にあった環境配慮式のめっき加工の大型を可能とする
・本事業により＋238.9万円/人の労働生産性の向上を見込む
3 億円
補助事業の ■背景・目的：マーケット状況を踏まえ、環境配慮式の大型サイズのめっき加工に取り組む 事業費 7
（1 億円）
背景・目的 （補助額） 2
■課題：①環境配慮式めっき加工に未対応 ②現在の設備では大型サイズのめっき加工不可
■課題：③要望のある加工量を実現するため難しい
※設備について：ヨーロッパ製の環境対応式のオーダーメイド設備を導入のため相見積もりの取得は困難
工場(研究棟兼事務所併設型)
溶融亜鉛めっき設備一式 釜周り一式
空気ろ過装置一式 クレーン・タンク・プログラム装置等
設備投資の
内容
課題①～③に対応
課題①に対応 課題②・③に対応 課題③に対応
前処理やめっき加工工程をそれぞ 有害物質が発生した際にフード めっき加工の12mサイズの
釜を4方向から加熱し、効
れブースを作り、有害物質を外部 の吸引機が自動で反応 大型化に対応
率よくムラなく温めることが
に漏れないようにする 有害物質を完全に吸い取り、ろ プログラム装置と連動し前
可能で 加工量の向上に
大型サイズの加工や増産に対応 過装置を通じて空気を洗浄し 処理や治具設置のオート
寄与する
した工場を新設する 大気へ放出する メーションが可能となる
2026年度 2029年度
項目
（基準年度） （基準年度＋３年後）
労働生産性 1,008万円/人
767万円/人
（単位：万円/人） （年平均上昇率：9.5％）
目標値 従業員1人あたり給与支給総額 494万円/人
415万円/人
（単位：万円/人） （年平均上昇率：6％）
役員１人あたり給与支給総額 ー
ー
（単位：万円/人） （年平均上昇率：6％）
補助事業に係る従業員数
94人 104人
（単位：人）</t>
  </si>
  <si>
    <t>グローバル・テック株式会社
2
41
13</t>
  </si>
  <si>
    <t>トーカロ株式会社
1.⻑期成⻑ビジョン
「⼈と⾃然の豊かな未来に貢献する」という⻑期ビジョンを掲げ、「ESGを重視した継続的な成⻑による企業価値
の向上」をミッションとし、2030年までに売上⾼603億円（23年3月期から201億円増）の成⻑を目指す。
⻑期成⻑ビジョン（2030年の目指す姿・ビジネスモデル）
「人と自然の豊かな未来に貢献する」
売上成⻑目標 ミッション
• 「ESGを重視した継続的な成⻑による企業価値の向上」
30年3月期までに会社全体の売上⾼成⻑率6.0％
•
⾼品質・⾼付加価値商品（皮膜）を生み出し顧客に提供すること
（23年3月期を基準とした年平均成⻑率）
•
• いつまでも顧客・株主・取引先・地域の皆様から信頼されること
30年3月期までに会社全体の売上⾼増加額201億円
•
地球環境保全に資する技術に貢献すること
（23年3月期を基準とした増加額）
•
トーカロでイキイキと安全に働くことが従業員やその家族の誇りに思えること
外発的動機 内発的動機
•
2050年のカーボンニュートラル（脱炭素社会）実現に向け、以下の3点を
•
当社は、従来から「ものづくり」を重視してきており、これを基礎にして、ビジョ
当社の成⻑の鍵となるトレンドとして捉え、成⻑戦略に落とし込んでいる。
• ンに掲げているESGに関する取組みに注⼒したいと考えている。
環境問題の深刻化
•
• その上で、ものづくりに欠かせないのは、それに真摯に取り組む⼈財であり、資
ICT/デジタル化へのテクノロジーシフト
本投⼊を惜しまず、生産効率の向上や作業環境の改善、継続的な賃上げ
•
資源・⾷料不⾜・⼈⼝増加
の実施等により、従業員エンゲージメントを高めることが重要である。
•
また、現在、日本は国策として半導体産業の国内工場誘致を推進している。 •
上記の施策を通じて、従業員⼀人ひとりの成⻑を⽀援し、ひいては当社全
新設される半導体製造⼯場群が⾼い競争⼒を有し、グローバル市場でも
体の持続的な成⻑につなげていきたいという思いを込めて、上記のビジョン及
競合他社に打ち勝つことができるよう、当社は保有する表面改質加工技術
びミッションを掲げるに至った。
を通じて、その体制構築に貢献する所存である。</t>
  </si>
  <si>
    <t>トーカロ株式会社
2.補助事業の概要
今後も市場の伸びが予測される半導体・FPD分野の拡大を主眼に置き、①新⼯場の建設、②既存⼯場での
先端設備の導⼊、③先端技術開発のための研究設備の導⼊の3本⽴ての設備投資を実⾏する。
•
今後も市場の伸びが予測される半導体・FPD分野の拡大を主眼に置き、生産性向上及び受注キャパシ
ティの拡大、先端技術の蓄積を企図した投資実⾏により、市場成⻑率以上の売上⾼成⻑を実現する。
•
補助事業の また、自動化・省人化が実現可能な先端設備の導入により、⼈⼿不⾜の状況下においても、⼈員数を 事業費 112億円
背景・目的 維持しながら売上・付加価値増加の達成を目指す。 （補助額） （34億円）
•
ひいては、増加した付加価値額を原資とした持続的な賃上げや人的資本投資を実施し、従業員が個性
と能⼒を発揮してイキイキと働くことができるような環境整備に繋げる。
目標値
（万円/⼈） 27年3月期（基準年度） 30年3月期（基準年度＋３年後）
労働生産性 1,889万円 2,191万円（年平均上昇率＋5.1％）
従業員1⼈あたり給与⽀給総額 779万円 876万円（年平均上昇率＋4.0％）
役員１⼈あたり給与⽀給総額 6,244万円 7,024万円（年平均上昇率＋4.0％）
補助事業に係る従業員数 1,124⼈ 1,214人（年平均上昇率+2.6%）
設備投資の内容
半導体分野の需要拡大を受けて、既存⼯場にて新たな工場棟を新設する。
概要 ⼯場新設に伴い、③の投資によって開発した先端技術や②の投資によって蓄積された先端設備導⼊のノウハ
ウを活用し、高い労働生産性・付加価値創出を実現する。
当社主要顧客である半導体製造装置メーカーから、今後の受注増加を⾒込んでおり、現在の東京⼯場
鈴⾝事業所
①新工場の建設 鈴⾝事業所の近隣で取得した用地に新⼯場を建設し、増産体制を整えていく方針。建設費は56億円
（千葉県船橋市）
を予定。
北九州工場 上記と同様の目的で、北九州⼯場の敷地内でも現在の遊休地（駐⾞場）に新⼯場を建設し、増産
（福岡県京都郡） 体制を強化する。建設費31億円を予定。
②既存工場での ⾏⽥事業所、鈴⾝事業所、北九州⼯場、明⽯⼯場を中心に、自動化・省人化を実現する生産設備や、
概要
先端設備の導入 受注キャパシティの増加・高機能化を企図した先端設備を導入する。
当社の⾼度な技術開発⼒を⽀える「溶射技術開発研究所」において、①の半導体・FPD分野に関連する「微
③先端技術開発のため
概要 細化技術」への対応を筆頭に、新事業領域の展開に向けた先端技術開発のための研究装置、測定・評価
の研究設備の導入
設備を導⼊する。</t>
  </si>
  <si>
    <t>1.長期成長ビジョン 株式会社創味食品
先進的な食品製造工場を新設し、国内シェア拡大を図りつつ、海外市場拡大の足掛かりとし、外食向け高品
質調味料メーカーNo1を目指す。国内外の消費者向けに「食」を通じた「心豊かな生活の実現」に貢献する。
長期成長ビジョン（目指す姿・ビジネスモデル） 外発的動機：
「外的リスク回避と外的変化に対する対応力強化」
• 当社は「美味しい」を追求し続ける企業として、国内市場に加
え、海外市場とのシナジーを図りつつ、先行き不透明な食品市 • 生産拠点の一極集中状態のリスク回避（BCPの要請）
場において差別化戦略を更に進化させます。 • 首都圏の巨大な外食市場
• 人口・働き手の減少（人口の減少＝食品消費者の減少）
• 中華調味料やつゆ、パスタソースなどのラインナップ拡充による高 • 消費量・消費額の減少（ロングセラー商品の減少傾向）
付加価値商品開発を推進。人気商品「ハコネーゼ」パスタソー • ライフスタイル変化（核家族化、共働き、利便性追求）
スが累計出荷数2,600万食突破などの実績に基づき、新商品 • 商品ライフサイクル短期化（ニーズの変化が速い）
拡充と既存商品改良で、多様化する消費者ニーズへの対応を • 他業種と比べて食品製造業は生産性が低い傾向
図ります。
• 第5次中計記載の”新たなる挑戦”として関東工場を新設し、
生産能力の増加を図り、国内シェア拡大を図るとともに、海外
内発的動機：
市場拡大の足掛かりともすることで、「外食向け高品質調味料
「全天候型経営実現に向けた新市場開拓、新品種開発、
メーカーNo1」を目指します。
海外市場拡大に向けた布石」
• 当社は、社会変化への迅速な対応とともに、社会的責任を果 • 日本の食文化の素晴らしさを世界に広めたい。
たすため、ビジョン実現に向けた具体的取組みを進めてまいりま • 如何なる経済状況にも対処できるよう、常に企業の基礎体力づ
す。このビジョンの下、「安心・安全」で高品質な食品を提供し くりに励み、安全なる経営、全天候型経営に向かって努力する。
続け、国内外の消費者の皆様に「食」を通じた「心豊かな生活 • ハコネーゼシリーズの拡充が一段落した後は、レトルトカレーや雑
の実現」に貢献し、「積小為大」の精神で着実な成長を遂げて 炊等の新たな市販市場への挑戦も検討。
まいります。 • 業務用においては商品の幅を広げる為、シロップ類・フィリング類・
クリーム類・飲料等の新たな品種の開発にも全力を注ぐ。
売上成長目標
• 海外子会社による北南米市場拡大、国内工場によるインドな
• 2028年に国内外で売上高537億円を達成。
どのアジア・オセアニア・中東市場への輸出拡大、将来的には巨
• 2028年までに会社全体の売上高成長率 150％
大市場EUへの販売強化も狙う。
• 2028年までに会社全体の売上高増加額 180億円</t>
  </si>
  <si>
    <t>.補助事業の概要 株式会社創味食品
2
国内シェア拡大と海外シェア拡大の足掛かりとする関東工場を新設し、最新の食品製造設備を導入することを
もって、自動化・省力化による生産性向上及び賃上げの両方を実現する。
補助事業の • 低成長傾向の食品製造業でさらなる自動化・省力化を実現する関東工場を新設し、自動化・ 事業費 1 億円
34
背景・目的 省力化による生産性向上を高度化し、国内外のシェアを拡大するとともに、賃上げを実現する。 （補助額） （4 億円）
1
投資設備項目 投資金額(億円) 概要
工場建屋等の新設 82 物流センター含めた新工場建屋建設、排水処理施設工事
各種充填機、パウチ充填後ライン、ニーダー、その他生産
生産設備等の導入 40
に必要不可欠な機械装置等
• 高品質確保のために必要な手作業工程を除いた、工程の自動化・省
設備投資の
力化を高度化した機械設備を擁する和洋中の各種液体調味料を製
内容
造する関東工場（物流センター含む）を新設する。
• 工場の建物費、大量の水を使用するため排水処理施設の工事費、充
填機、ボイラー、コンプレッサー、冷凍機、抽出機、調合タンクなどいずれ
も生産に必要不可欠なものである。
• 今回の設備投資により、課題の一つとして人手不足で一人あたりの業
務負担が大きくなりがちな点を解消することができる。特に調合、出
荷梱包の各工程の自動化・省力化を実現する機械装置を導入する
自動充填機 パレタイズ
ことによって、労働生産性を向上させる。
イメージ イメージ
2025年度 2028年度
項目
（基準年度） （基準年度＋３年後）
労働生産性 3,797万円
2,827万円
（単位：万円/人） （年平均上昇率＋10.3％）
従業員1人あたり給与支給総額 &lt;埼玉&gt;534万円 ＜埼玉＞592万円（年平均上昇率＋3.51％）
目標値
（単位：万円/人） &lt;京都&gt;534万円 ＜京都＞592万円（年平均上昇率＋3.51％）
役員１人あたり給与支給総額 &lt;埼玉&gt;（役員なし） &lt;埼玉&gt;（役員なし）
（単位：万円/人） &lt;京都&gt;ー ＜京都＞ー（年平均上昇率＋3.35％）
補助事業に係る従業員数
200人 236人
（単位：人）</t>
  </si>
  <si>
    <t>京西テクノス株式会社
1.長期成長ビジョン
デジタルプラットフォームの構築やグローバルニーズへの対応によりトータルマルチベンダーサービスを更に進め、世界に
通用するサービス企業を目指す
（長期成長ビジョン（目指す姿・ビジネスモデル） 外発的動機
京都第2本社の設置により、自社のビジネスモデルを西日本地域において更に推進し、お客様に選ばれ、 • 日本の人口推移と日本の労働需給シミュレーションより人出不足の長期化、深刻化
結果を出すことで、持続可能な社会の実現に貢献する企業を目指す。
が想定される。そのため、西日本エリアの有能な人財の確保にも取り組む必要がある。
｟現状｠ ※出典：ﾘｸﾙｰﾄﾜｰｸｽ研究所 Works Report「未来予測2040 労働供給制約社会がやってくる」
• AI(人工知能)の発達により10~20年後には仕事に大きな変化が想定される。
➢2002年に創業し、電子計測機器や医療機器の修理、メンテナンスを中心としたサービスを業として
※出典：英オックスフォード大学准教授オズボーン「論文」「雇用の未来」
おり、2019年に大手電機メーカーより校正事業を譲受し、更に2021年には他の大手電機メー
カーより校正事業を譲受している。 2020年には売上高も100億円を突破するなど急成長しており、 • 社会的責任への対応として、サーキュラーエコノミーの必要性に対して持続可能な社
当社代表取締役社長が中小企業庁より会議への出席を求められることがあるなど、時代から受け入 会を検討する3つの視座（モノ、エネルギー、情報）に基づく対応が求められている。
れられていると自負している。 • SDGｓの目標達成に向けた取組も同様に求められている。なお、京西グループでは
➢ 経済産業省より、2017年に「地域未来牽引企業」に選定された他、2020年に「グローバルニッチ KLES事業や脱炭素への取組により対応している。
トップ企業100選」に、2006年、2020年の2回にわたって、「新連携事業」の認定を受けている。 ※KLES事業（Kyosai Life Extension Service）とは、メーカー保証が終了した電子機器の装
置延命の一環として「修理」・「予防保全」・「再設計」を行うサービス
➢毎年、半期毎に利益の40%を賞与原資として、社員に還元している。
｟ビジネスモデル｠
内発的動機
◆ トータルマルチベンダーサービス新たな取組
➢サポートセンター 【創業に至る動機】
リモート監視・操作からトラブル時の受付、テクニカルサポートまで24時間365日対応する。 • 平成10年：現事業立ち上げ前
➢ フィールドサービス 当社現代表取締役社長が電子機器製造部門を担当⇒ アジアのローコスト企業が競合、
お客様のニーズに合わせ、当社エンジニアが全国で対応する。 企業各社との厳しいコスト競争⇒ 限界（下請け企業として、将来性に疑問）
➢ リペアショップ ※コストよりスピード／技術力が要求される「サービス事業」に着眼
様々な業界で使用されている機器をメーカーを問わず修理する。
【創業と会社の方向性に影響を与えた3本の電話】
➢ 機器・パーツ管理センター
• 平成11年：サービスビジネスの事業化プロジェクトを発足
お客様要求時、フィールドエンジニア到着時、必要なパーツをタイムリーに配給。また、貸出機器の
※運命の電話 ①・・・医療機器サービス事業に参入
管理も行う。
・医療機器（脳波計、心電計）の修理依頼
◆ デジタルプラットフォーム開発・構築の推進
➢ 常時監視データからトラブル発生のアルゴリズムを解析し、故障/トラブルを予見する。 〔外資系医療機器メーカー様より〕
➢ AIを活用し、ハイスキルエンジニアによる電話（一次対応）での高解決率を実現、GPS機能を • 平成14年：京西テクノス（株）を設立 代表取締役社長就任
用いトラブル発生場所より最寄りのエンジニアを迅速にアサインする。 ※運命の電話 ②・・・脱下請け
◆ グローバルニーズへの対応(In JAPAN for Global) ・メーカーが対応しない古い航空機のコックピット内計測器修理依頼
➢ 世界中のどのような機器・装置にも対応可能な自社開発のリモート監視ツールを用いて監視・制 〔外資系計測機器メーカー様より〕
御を行う。
※運命の電話 ③・・・環境／エネルギー分野に参入（平成24年）
➢ 関西国際空港内保税区内サービスセンターにおいて国内外で使用される製品の修理・校正を行う。
・メガソーラー・風力発電機器の設置、修理、メンテナンス依頼
売上成長目標：2030年に向けて売上高5,542百万円増加、成長率38.3% 〔外資系エネルギー関連機械メーカー様より〕
単位：百万円 FY24 FY25 FY26 FY27 FY28 FY29 FY30 【現状の課題】
テクノス 15,115 15,582 16,052 16,712 17,371 18,128 18,882 • 西日本エリアのマーケットに十分な対応ができていない。
ﾃｸﾉﾄﾚﾝﾄﾞ 252 260 268 279 290 302 315
※当社が新規開拓または深耕を考えている複数の企業が、京都を拠点としている。また、 国策
Mテック 460 475 489 509 529 552 575
ﾄﾚﾝﾄﾞﾒﾃﾞｨｶﾙ 142 147 151 158 164 171 178 として成長著しい半導体分野について当社も新たに取り組んでいるが、関連する企業の拠点が
京西科技 30 37 40 42 46 46 50 西日本エリアに多く存在していることから、その拠点としての第2本社設置の意義は大きい。
合計 16,000 16,500 17,000 17,700 18,400 19,200 20,000</t>
  </si>
  <si>
    <t>.補助事業の概要 京西テクノス株式会社
2
西日本エリアの産業をターゲットとする事業活動の要となる第2本社（京都事業所）の設置
補助事業の • 現在大阪にある事業所を京都に移設し、マーケティング上、不十分となっている関西以西エリアを統 事業費 億円
25
背景・目的 括する第2本社として拡充させることにより、事業の効率化を図り生産性を向上させる。 （補助額） （ 億円）
7.9
• 京都市内に購入した土地に、延べ床面積1,220坪程度の建物を建設する。
• 当該施設を第2本社とし、西日本エリアを統括することによるマーケティング体制
の充実を図るとともにDXを活かした物流や人的活動の効率化を推進することに
より全社の労働生産性を向上させ、利益率上昇の実現を意図している。
• 当該土地建物を賃貸ではなく自社所有とする理由としては、インハウス業務の
変化に対して迅速な作業エリア対応を可能とする他、BCPの観点から業務の相
互補完態勢の構築や有事の初動対応の迅速化などがある。
• この第2本社では、電子機器サービス事業、情報システムサービス事業、校正事
設備投資の 業、サポートセンター事業の全てに対応する計画であり、今まで対応が不十分で
写真等
内容 あった京都府内に本拠を置くお客様企業に対するお取引の拡大を目指す。
• 西日本地域のお客様の利便性向上に向け、東京本社等東日本地域で現在
対応している関西エリアの業務を移管し、リードタイムの短縮と物流コストの減少
を図る他、DXの活用などによるコスト削減、生産性向上を社員の働き方改
革にも繋げていく。
• 太陽光発電や蓄電池の設置を計画しているが、これは、電力需要の一部を賄
うとともに、再生エネルギーを活用することで、当社のKLES事業（メーカーサポー
トの終了した電子計測器、産業用電子機器等の修理・延命事業）に共通す
る循環型経済の理念を具現化するものとなる。
2026年度 2029年度
項目
（基準年度） （基準年度＋３年後）
（単
労
位
働
：
生
万
産
円
性
/人）
1,912万円
（年平均
2
上
,19
昇
6
率
万
＋
円
4.7％）
目標値 従業員
（
1
単
人
位
あ
：
た
万
り給
円
与
/人
支
）
給総額 634万円
（年平均
7
上
1
昇
3万
率
円
＋4.0％）
役員１人あたり給与支給総額 ー
ー
（単位：万円/人） （年平均上昇率＋Ｘ％）
補助事業に係る従業員数
29人 87人
（単位：人）</t>
  </si>
  <si>
    <t>株式会社Pale Blue
1.長期成長ビジョン
安全性・入手性・コストの観点で圧倒的な優位性を持つ水を推進剤に用いた衛星用推進機の量産体制を確
立して、世界を代表する推進機メーカーとなり、宇宙産業のコアとなるモビリティを創成する。
長期成長ビジョン（目指す姿・ビジネスモデル） 外発的動機
令和5年6月13日に閣議決定された宇宙基本計画においても、民 • 従来の人工衛星は、政府主導で、巨額の開発費や長い開発期
間による商業宇宙活動が加速していることが述べられており、宇宙産 間が必要な重量1トン級以上の大型衛星が中心だったが、2010
業を日本における成長産業とするため、 2020年に4.0兆の市場規 年頃から、低コストかつ短期間で開発可能な小型・超小型衛星が
模を、2030年代早期に2倍の8.0兆円にするという目標が掲げられ 登場し、民間企業の宇宙産業参入が増加した。
ている。
• なかでも、多数の小型・超小型衛星を打ち上げてお互いに協調、
当社は、小型衛星用の「水」を推進剤として用いた推進機の開発・ 連携させる「衛星コンステレーション」を用いた高速通信や地球観
製造・販売を行うスタートアップであり、ミッションとして「人類の可能性 測サービスを提案する事業者が世界中で台頭してきている。
を拡げ続ける」、ビジョンとして「宇宙産業のコアとなるモビリティの創成」
• 衛星コンステレーションを実現するには軌道投入や軌道維持を行う
を掲げている。安全性・入手性・コストの観点で圧倒的な優位性を持
ための推進機が必要だが、従来の大型衛星用推進機は安全性・
つ水を推進剤に用いた衛星用推進機を社会実装することで世界を
入手性・コストの観点で小型衛星への適用に課題がある。
代表する推進機メーカーとなり、衛星コンステレーションや宇宙ゴミの低
減による持続可能な宇宙開発・利用の実現により、宇宙産業全体
の成長に貢献することを目指している。
内発的動機
すでに一部製品の宇宙空間における動作実証を達成しつつあるた
め、顧客である衛星メーカーからの推進機需要に応えられる十分な生 • 当社の創業メンバーらは、「水」推進機の研究において世界をリー
ドする東京大学の小泉研究室において、10年以上に渡って人工
産能力を獲得することで、中長期的に大きく事業を拡大させていく。
衛星用の推進機に関する基礎研究、及び実際の衛星に搭載する
推進機の開発、実運用を行ってきた。
売上成長目標 • しかし、大学では研究としての先進性が注目される一方、ユーザー
• 2029年度までの会社全体の売上高成長率195倍 が求める製品として必要な推進機システム全体の成熟度・信頼性
向上などは重視されずらい状況があり、開発者としてユーザーの期
待に応えたい、大学での基礎研究を実利用につなげたいという強い
想いを持って当社を創業し、事業を推進している。</t>
  </si>
  <si>
    <t>.補助事業の概要 株式会社Pale Blue
2
世界的な小型衛星用推進機の需要増に対応するために、茨城県つくば市に新たに生産技術開発拠点を建設
し、生産技術開発の能力の向上を図る。
世界的な小型衛星の打上げ台数が増加に伴い推進機の需要も伸びているが、当社の既存
補助事業の 事業費 1 億円
3
設備では、技術開発規模や生産能力の観点でも顧客需要に十分に応えることができないため、
背景・目的 （補助額） （3.4億円）
本事業において生産技術開発拠点の新設を行い、生産技術開発の能力の向上を図る。
水推進機の研究・開発・生産にはクリーン室が必要だが、既存の施設
では面積が狭い。製品化の目処が立った製品については、量産化を見据
えた設計・組立の簡素化、製造原価の低減、試験・検査手法の確立が
必要であり、実際の生産工程を見据えた機材を導入し、これに取り組む
ことにより工数削減等の将来的な生産効率の向上につながる。
そこでつくば生産技術開発拠点として、茨城県つくば市内に当社が保
設備投資の 有する土地 (1,911㎡) に、十分な面積のクリーン室を備えた生産技術
内容 開発のための施設の建設を行う。そして、完成した施設内に、測定装置
や試験装置等の設備を導入することで、生産技術開発の能力を向上さ
せる。また、生産や販売の効率化を図るために、プラットフォームシステムと
なるソフトウェア導入も行う。
この大規模設備投資によって、水推進機の生産技術開発工程の短縮
が見込まれ、労働生産性が向上するとともに、納期短縮、原価低減を実
つくば生産技術開発拠点の完成予想図
現できる。
2026年度 2029年度
項目
（基準年度） （基準年度＋３年後）
労働生産性 4,324
-517
（単位：万円/人） （年平均上昇額＋1,614万円）
目標値 従業員1人あたり給与支給総額 757
690
（単位：万円/人） （年平均上昇率＋3.16％）
役員１人あたり給与支給総額 -
-
（単位：万円/人） （年平均上昇率＋3.48％）
補助事業に係る従業員数
84 132
（単位：人）</t>
  </si>
  <si>
    <t>2.補助事業の概要 矢田工業株式会社
(cid:1)
四国⼯場を建設し、省⼒化能⼒の⾼い新型の製造設備⼀式を導⼊
(cid:1)
省⼒化の推進、輸送コスト削減、機会損失の解消等により、付加価値及び⽣産性向上を実現
•
補助事業の背景︓⻄⽇本エリアからの受注が増加しているが、輸送コスト負担が⼤きく、⼊札に影響を及ぼす
など機会損失が発⽣。また、海上輸送が必要な⼤型案件も受注機会を逃していた。このため、⻄⽇本エリアをカ
補助事業の バーする拠点として、四国⼯場を建設することとなった。
•
背景・目的 補助事業の目的︓四国⼯場の付加価値向上、⽣産性向上を図り、⼈⼿不⾜や賃上げに対応する。
事業費 20億円
•
現在抱えている課題感︓⼈⼿不⾜を解消する省⼒化の推進、輸送効率化、⻄⽇本エリア営業⼒強化、海
（補助額） （6.7億円）
上輸送体制の整備による付加価値および⽣産性の向上。
•
設備投資の内容︓⼯場建屋、製造設備の導⼊
⼯場建設予定地
•
設備投資が課題を解決し得ること
①省⼒化に資する⼯場建屋及び省⼒化能⼒の⾼い新型の製造設備⼀式を導⼊す
ることで、⼈⼿不⾜への対応、賃上げへの対応を図り、労働⽣産性を向上できる。
②四国⼯場から⻄⽇本エリアへの直接輸送が可能となり、輸送効率化を推進できる。
③四国⼯場を設置することで、⻄⽇本エリアの営業⼒が強化されるとともに、⼤型橋
設備投資の
梁の受注も可能となり、付加価値を向上できる。 写真等
•
内容 労働生産性向上につながる点
導⼊設備の⼀例（切断機） （溶接ロボット ツイントーチ）
①⻄⽇本エリアの営業⼒強化、供給できる橋梁製品
の拡⼤等により売上⾼が増加。また、輸送効率化
等によりコストが削減され、付加価値が向上する。
②省⼒化に配慮した⼯場、省⼒化能⼒の⾼い設備
の導⼊により最小限の⼈員で⼯場を稼働できる。
このため、労働⽣産性が向上する。
2025年度 2028年度
項目
（基準年度） （基準年度＋３年後）
労働生産性
762万円/⼈ 1,327万円/⼈（年平均上昇率＋15％）
（単位︓万円/人）
従業員1人あたり給与支給総額
目標値 618万円/⼈ 716万円/⼈（年平均上昇率＋5％）
（単位︓万円/人）
役員１人あたり給与支給総額
0万円/⼈ 0万円/⼈（年平均上昇率＋0％）
（単位︓万円/人）
補助事業に係る従業員数
126⼈ 144⼈
（単位︓人）</t>
  </si>
  <si>
    <t>1.長期成長ビジョン アサヒフォージ株式会社
・製造拠点の国内回帰や円安による輸出増といった機会を活かし、グローバル市場でのシェア拡大に挑む。
・生産の効率化と安全な製造環境を構築し労働力を確保、国内自動車産業の発展へと貢献を続ける。
外発的動機(社会課題の変化やトレンドからの影響)
長期成長ビジョン（目指す姿・ビジネスモデル）
• 円安による輸出増や製造拠点の国内回帰に伴う需要拡大
• グローバル市場でのシェア拡大へ向けた生産能力の強化 鍛造産業は、自動車業界だけでなく幅広い分野に多くの基礎部品を
後述する設備投資により、大規模な生産能力と次世代車両の製
供給する重要な役割を担う。製造拠点の国内回帰や輸出増加に合
造課題へ対応できる体制を確立。グローバル市場での持続的な成
わせた供給量の確保が最優課題となる。
長とシェア拡大を可能とする強靭な製造基盤を生み出していく。
• EVシフトや国際競争の激化に対する製造技術の確立
• 少子高齢化に伴う労働力確保と生産性向上
今後、グローバル市場での競争や技術革新が加速する中で、製品の
AIやロボットを活用したFA化により、鍛造事業の過酷な環境におい
品質向上とコストメリットを生み出すため、技術力強化が必要。
て、女性や高齢者まで快適に働ける環境を構築する。
さらに一人当たりの労働生産性を高め、筋肉質の組織体制に。
• 少子高齢化による労働力の減少
少子高齢化による労働人口の減少が進む中、生産性の向上に加え
• 地域経済の活性化と持続可能な社会へ向けた取り組み
て女性や高齢者などが安全に働ける環境を整えることで労働力を確
高効率生産や見える化、再エネ利用などの脱炭素化を進め環境負
保、長期的な雇用を生み出し地域活性化にも繋げていく。
荷の低減を図る。また、産学連携や大規模な賃上げと雇用を安定
的に創出することで、地域経済の活性化へ貢献していく。
内発的動機(ビジョンを掲げるに至った、原体験や動機)
• 国内企業の自動車産業の発展へ向けた貢献
• 国内産業を支える鍛造産業の環境改善に向けて
EVシフトなどを要因とした自動車産業の国際競争が激化する中、
代表(朝日)の入社時には、鍛造産業は当社に限らず、3K(きつい,
当社が部品開発や安定供給を持続的に行うことで、得意先である
汚い,危険)の労働環境で若手従業員はごくわずか、入社してもすぐに
日本の大手企業各社の競争力強化へ貢献し続ける。
退職する状況であった。
そんな中、国内産業の基礎である鍛造産業を維持するには、若手
が定着する職場環境を生み出す抜本的な改革が必要という危機感
2029年度へ向けた売上成長目標
から、「3C 職場」(きれい(CLEAN),快適(COMFORTABLE)・かっこい
• 全社の売上高成長率30％(2022年度比)
い(COOL))を目標に掲げ、環境改善に取り組み続けてきた。
• 全社の売上高増加額92億円の達成に向け取り組む。 本事業をきっかけに国内自動車産業の国際市場における競争力
強化に加えて、従業員へより良い作業環境を提供し、賃金の引上げ
や雇用創出に対しても永続的に取り組む強い意志がある。</t>
  </si>
  <si>
    <t>.補助事業の概要 アサヒフォージ株式会社
2
・グローバル市場への事業拡大に向け、大規模かつ独自技術を結集させた高効率化を実現した旗艦工場を建設。
・本事業により、付加価値額と労働生産性を大きく伸ばし、大規模な賃上げを持続的に行っていく。
• グローバル市場や国内回帰に伴う増産計画、次世代車両へ対する新製品開発といった事業
機会へ対し、大規模かつ効率的な生産能力の確立と、次世代車両へ向けたの高付加価値
補助事業の 事業費 億円
製造へ対応できる技術力を併せ持つ、生産拠点を新たに構築する。 168
背景・目的 （補助額） （ 億円）
• 鍛造ラインは、高重量かつ連続的な工程となるため自動化が難しい。しかし、本設備投資と、 50
長年の事業で培った独自技術を組み合わせ自動化を実現、生産性の飛躍的な向上を図る。
グローバル市場向けの大規模な生産要求に対応できる
投資内容
工場の建設と鍛造生産ラインなど各種生産設備の導入。
・生産数量の増加(既存比約200％)
本投資で解決
・高重量プレス機導入による大型製品への対応。
できる技術課題
・最先端設備＋独自のライン構築技術による生産自動化
設備投資の
内容 ・最先端設備の導入で1ライン当たりの生産速度を高め、
さらにライン数を増加させ生産数量を従来比2倍以上に。
労働生産性向上 ・従来は人手が必要であったボトルネック工程を自動化、
などへつながる 自動搬送や最先端設備導入により生産性向上を図る
工夫点 ・製造環境も整え、女性などの製造進出を促進させる。
・次世代車両など高難度製造へも着手できる体制により、
付加価値額ＵＰによる利益率の改善も図る。
2026年度(2027年5月末決算) 2029年度(2030年5月末決算)
項目
(基準年度) （基準年度＋３年後）
労働生産性 1,941万円
1,156万円
（単位：万円/人） （年平均上昇率＋18.8％）
目標値 従業員1人あたり給与支給総額 588万円
522万円
（単位：万円/人） （年平均上昇率 ＋ 4.03％）
役員１人あたり給与支給総額 ー
ー
（単位：万円/人） （年平均上昇率＋4.01％）
補助事業に係る従業員数
195 230
（単位：人）</t>
  </si>
  <si>
    <t>ウィング株式会社
1.長期成長ビジョン
職人の人口減少する施工現場において省人化が可能な建築材である2x4の普及を進め、業界トップシェアとし
て2x4コンポーネント事業の全国展開を実現することでカーボンニュートラルの達成を目指す
長期成長ビジョン（目指す姿・ビジネスモデル） 外発的動機
• ウッドショックにより木材調達が困難になり国内木材の必要性の再
• 職人の人口減少する施工現場において省人化が可能な建築材で
認識により需要の増加
ある2x4の普及を進め、業界トップシェアとして2x4コンポーネント事
• 中長期的には、木造建築がカーボンニュートラルに寄与することから、
業の全国展開を実現することで、木造建築の増加による脱炭素を
政策による国産材推進への期待
実現し、日本社会におけるカーボンニュートラルの達成を目指す
• 木造建築を担う大工人口の急激な減少と高齢化による人材不足
から、住宅建設において現場での効率化・省人化が求められている
1. 建設現場の人口減少の解決策として、現場負担の少ない省人
化・短納期化した2x4工法の普及、および住宅・非住宅における
2x4国内シェアの20%獲得
2. 脱個の技能依存、省人化を進め障害者や高齢者、女性の働き
やすい雇用におけるダイバーシティを生み出す環境の整備
内発的動機
3. 全国の各地域に拠点を建設、物流コスト削減、木材の地産地消
等の国産木材利用促進を通じて、脱炭素によるカーボンニュートラ • お客様を大切に、良い製品を提供し安心できる家作りに貢献する
ルの達成を目指す ことを企業理念とし、創業期より2x4建材の開発および活用に取り
組んでいる
• 民間事業者で初めて、農林水産省と『建築物木材利用促進協
売上成長目標
定』を締結し国産木材が、川上~川下まで安定供給される効率的
• 2030年までに会社全体の売上高 25億円増(＋15%)売 なサプライチェーン構築の取り組みを進めている
上200億円、2035年までに会社全体の売上高 53億円増
• 多様性に富んだ人材の登用を目指し、女性の活躍の場を広げるた
(+30%)売上230億円を目指す
め「育児時短勤務制度」の導入や、日本人と同じ給与体系での外
国人雇用、障障碍者学校児童の雇用、高齢者の再雇用などに取
り組んでいる</t>
  </si>
  <si>
    <t>.補助事業の概要 ウィング株式会社
2
省力化設備の導入により、外注業務の内製化を実施するとともに、熟練した職人ではなく障がい者や高齢者の
働ける環境を整備し、生産効率を高めるとともに雇用ダイバーシティを生み出す
補助事業の • 特定の個人に依存する技能依存脱却のため、外注業務の内製化及び多様な省人化設備導 事業費 2 億円
1
背景・目的 入により、生産効率の高い2x4コンポーネント工場モデルを確立する （補助額） （6.6億円）
2x4コンポーネントの加工工程において、多様な省人化設備（中央集塵機、自動カッ
トソー、設備パネルライン等）を導入した生産効率の高い工場を新設
＜目的＞
• 省人化による生産効率の高い2x4コンポーネント工場モデルの確立
• 技能依存がなく多様な人材が活躍できる工場の実現
• 業務を内製化しリードタイムを短縮することによる生産性向上
設備投資の
＜労働生産性の大幅な向上の根拠＞
内容
• 省人化設備の導入による生産性の向上、1工程における人員削減により1人当たり
生産効率は最大100%増
• 最新設備導入により、今まで職人しかできなかった業務を高齢者や障害者等の多様
な人材が行うことが可能となる。同時に、熟練した職人はより高付加価値の業務に当
たることが可能
上記を行うことで2x4コンポーネントの年間生産量を108千坪※から144千坪まで引き
上げる ※ここでの「坪」は2x4コンポーネントの生産単位として使用
項目 2027年度（基準年度） 2030年度（基準年度＋３年後）
労働生産性 24,107千円
9,853千円
（千円/人） （年平均上昇率＋34.8％）
目標値 従業員1人あたり 6,305千円
5,565千円
給与支給総額（千円/人） （千葉県5,741千円、東京都8,375千円）
（千葉県5,060千円、東京都7,381千円）
（年平均上昇率＋4.3％）
役員1人あたり —
―
給与支給総額（千円/人） （年平均上昇率＋4.3％）</t>
  </si>
  <si>
    <t>株式会社友和環境
1.⾧期成⾧ビジョン
■社会課題や顧客ニーズの変化等を踏また、⾧期的な社会への価値提供のビジョンと売上成⾧目標
■ビジョン策定に至るまでの経営者の内発的動機及び外発的動機を踏まえた、当社の持続的な成⾧への思い
⾧期成⾧ビジョン（目指す姿・ビジネスモデル） 外発的動機
【社会課題からの動機】
【当社が目指す姿】
環境保全に対する世界的な取り組み強化において、国内においても各種法令整
企業理念:仕事を通じて地域社会に貢献する 備や民間企業の取り組みが促進されている。プラスチック廃棄物の削減とリサイクル
の促進を通じて、循環型社会の構築が推進されている。
事業目標:「徹底した分別と最大限のリサイクル」を追求し、環境と地
球のために新しい技術、新しい環境問題に挑戦する 【法令に関する動機】
「プラスチックリサイクル推進宣言(2018年)」
【具体的なビジネスモデル】
「環境推進基本計画(2018年)」
（全体像） 「プラスチック資源循環推進法(2020年)」
「プラスチック製品の分別収集・再利用に関する指針(2020年)」
当社は「リサイクル」を基軸としたビジネスにより、環境負荷低減を通じて、地域社
会の発展、環境保全の両面から、持続可能な社会の形成に貢献する。
【技術革新と新たな顧客ニーズ】
（具体的なバリューチェーン） 廃プラスチックの新たな活用方法として注目されている、「フラフ燃料」の生産技術
の進歩により、新たな顧客ニーズが生まれている。
当社は中間処理事業者として様々な産業廃棄物を処理している。その中で
当社が顧客として想定している国内セメント産業においては、セメント生産の際に
も特にプラスチック再生に注力しており、当該分野にて効率的なリサイクルを目
窯で燃焼させる石炭や天然ガスの代替燃料として廃プラスチックの「フラフ燃料」によ
指す。またその過程において、生産技術の高度化により労働生産性の向上、
るサーマルリサイクルニーズが高まっている。
創出付加価値の最大化によって、社会貢献と事業成⾧を同時に達成する。
具体的には、現在地元企業から受け入れている産業廃棄物量を年間約
内発的動機
15,000トン増強する。また本補助事業で導入する設備によって中間処理技
【社会的責任】
術の高度化により、最終処分(埋立処理)を7%低減すると同時に新製品であ
当社はグループ指針である「地域社会の発展と環境づくりに貢献する企業グループ
る「フラフ燃料」の生産を実現する。
を目指す。」を軸に、環境負荷低減を下支えする企業グループとして20年以上事業
これにより、中⾧期計画成⾧ビジョンにおいて「産業廃棄物の受け入れ増強」、
を営んでいる。
「最終処分の低減」、「新燃料の生産」を実現し、地域貢献と持続可能な社
昨今加速する環境保全への取り組みにさらなる貢献をすべく、本補助事業にて環
会の実現に貢献する。
境負荷低減の施策を促進し、当社の社会的責任を果たす。
売上成⾧目標 【事業性の認識】
• 2030年までに会社全体の売上高成⾧率145％ 「フラフ燃料」の生産については、国内で対応できる事業者が少なく、市場ニーズと
供給体制のギャップから事業性が高いと見込んでいる。また当社の既存技術や経営
• 2030年までに会社全体の売上高増加額7.1億円
リソースを活かすことで、十分に事業化が見込める分野であると見込んでいる。</t>
  </si>
  <si>
    <t>株式会社友和環境
2.補助事業の概要
■補助事業の目的、補助額、設備投資内容、解決する課題、労働生産性向上への効果
■補助事業における労働生産性・賃上げの目標値
・ 当社顧客より、新燃料（フラフ燃料）の生産依頼を頂いた。しかし当社現有設備では、産廃受入量、生
産品の品質担保の両面から当該要求に対応することが出来ない。ため大規模な設備投資を行い、この課題
補助事業の 事業費 16億円
を解決する。
背景・目的 （補助額） （5.3億円）
・また同時に、最新設備導入による省力化・省人化によって、労働生産性の向上を図るとともに、人材不足の
課題解決を目指す。
【導入設備】
・ 新工場建設
・ 選別フラフ製造ライン一式
（バリソート、選別プラント、フラフ燃料製造プラント）
【課題解決の根拠】
設備投資の
・ 本設備の導入により、顧客要求のフラフ燃料を製造出来るようになる。
内容
・ 設備ラインの新設によって、月間1,300トンの廃棄物受入が可能となる
【労働生産性向上の根拠】
・高付加価値再生材の生産 （フラフ燃料製造）
・省人化による労働生産性の向上（ラインの自動化による省人化）
【フラフ製造ラインイメージ写真】
2027年度 2030年度
項目
（基準年度） （基準年度＋３年後）
労働生産性 1,765万円/人
1,133万円/人
（単位:万円/人） （年平均上昇率16.1％）
目標値 従業員1人あたり給与支給総額 623万円/人
509万円/人
（単位:万円/人） （年平均上昇率＋7.0％）
役員１人あたり給与支給総額 ー
ー
（単位:万円/人） （年平均上昇率＋5.98％）
補助事業に係る従業員数
20人 20人
（単位:人）</t>
  </si>
  <si>
    <t>1.長期成長ビジョン ナミックス株式会社
半導体原材料市場にて、市場環境から求められる製品の供給体制整備及び顧客志向での投資・カスタマイズ
を通じてオンリーワンかつナンバーワンとなる製品を供給し、持続的な成長を目指します。
長期成長ビジョン（目指す姿・ビジネスモデル）*¹ 市場環境から求められること（外発的動機）
〈目指す姿〉 • 市場の成長とニーズ変化への対応
• 半導体原材料市場において、他社が真似できない特徴 利用用途の多様化に伴い、半導体市場は年平均5%の成長が予想されて
を持つオンリーワンの製品を供給し、それぞれの市場でシェ おり、さらに製品へのニーズは常に変化する。継続的に市場の期待に応える
アナンバーワンを目指す ためには、生産能力向上や変化するニーズに対応する製品供給、安定した
生産キャパシティが求められる
• 既存顧客を大切にしながら長期取引の顧客を増やし、
自社が先行して顧客ニーズの変化に対応した製品開発 • 継続的かつ積極的な投資
を行い、顧客の変化を実現する 当社は半導体のバリューチェーンにて上流に位置し、下流（最終製品）の
急速な変化に対し一定の柔軟性を持って対応可能なため、継続的・積極
的投資を通じて長期的に収益を創出する
〈ビジネスモデル〉
• 世界大手の半導体企業等、700社以上の既存取引先 • 安定的な人財確保
に対し、それぞれの細かなニーズに応じたオーダーメイドの 社会全体で人手不足が深刻化する一方、自社の強みである各人が保有
製品を提供 するノウハウやスキル・知見の継続的な蓄積と伝承が求められる。契約社員
の正社員化を進め、安定的な生産体制を整える
• 市場シェアの過半を占める製品やトップシェアの製品を複
数ラインナップし、プライスリーダーとして利益率の高い価
格設定で販売
自社が志向していること（内発的動機）
• 顧客志向での先行投資
売上成長目標
将来的な顧客ニーズ予測・不確実性のリスクをとった先行投資を行い、顧客
• 2029年度の全社売上高755億円、営業利益163 が必要とするタイミングで供給可能となる体制を目指している
億円
• 細やかな個別ニーズへの対応
• 2024～2029年度までの売上高成長率7.2％、
長期取引の顧客を大切にし、顧客が描く夢を一緒に実現するための製品を
売上高増加額220億円
提供したいと考えている。そのために、他社が取り組まない製品製造や細や
かなカスタマイズ要望に対して積極的に対応している
*1 長期成長ビジョンに係る補足情報（当社の基本方針・これまでの取組）は26頁に掲載</t>
  </si>
  <si>
    <t>2 .補助事業の概要 ナミックス株式会社
半導体市場成長に伴う需要の高まりに対応するため、工場を新設し、生産能力の向上を目指します。売上を
拡大し、業務効率化により労働生産性を高めることで、安定的な賃上げを実現します。
補助事業の • 製品需要の高まりを背景に、安定供給を通じて「持続的な成長」を実現するため、工場の新 事業費 2 億円
29
背景・目的 設により生産能力を増強する。同時に既存工場の一部を再編し、生産の効率化を図る （補助額） （50億円）
• 設備投資内容
• 工場上屋（床面積17,690.44平米）新設と設備導入を計画（総額約250億円）
• うち、上屋の新設に対し補助金を申請
（建設費総額約200億円の内、50億円を補助金から充当）
• 補助額を上回る上屋及び設備導入投資（約50億円）は、自己資金に加え、
設備投資の 銀行借り入れ等を活用し資金を確保する計画
内容 • 設備投資による効果
• 生産能力増強により需要変動に対応した製品の安定供給を狙う（増強の規模は、最終的に現在の本社工場と同程度を
想定）
• 新鋭設備導入により生産を省力化し、1人当たりの売上高増加・労働生産性向上を見込む。増加分は賃上げ原資にも充
て、1人当たり給与支給総額の増加を図る（当該プロセスには、「契約社員の正社員化」も含む）
• 製造設備や空調設備等が最新化されることにより、消費エネルギーの低減につながり環境配慮（脱炭素化）にも寄与
2026年度 2029年度
項目
（基準年度） （基準年度＋３年後）
労働生産性* 3,275
3,192
（単位：万円/人） （年平均上昇率＋2.4％）
目標値 従業員1人あたり給与支給総額 1,017
930
（単位：万円/人） （年平均上昇率＋3.0％）
役員１人あたり給与支給総額 -
-
（単位：万円/人） （年平均上昇率＋3.0％）
補助事業に係る従業員数
801 868
（単位：人）
* 当社では、想定為替レート1ドル=100円で計画を策定
役員を除いた従業員数で計算しているため、様式2と数値が異なる</t>
  </si>
  <si>
    <t>大岡技研株式会社
1.長期成長ビジョン
カーボンニュートラル実現に向けたEVシフトで主事業の売上減少が見込まれる中、
新市場への挑戦で更なる会社成長を目指す。
長期成長ビジョン
２０年後を見据えた企業経営の実現のため、強みを伸ばし弱
みを克服していく。
外発的動機
• 売上の88.3%をガソリン車部品に依存している。2029年に
EV関連・非自動車事業において
ガソリン車減少で売上高27%減少の見込んでおり、新事業
顧客ニーズに応える技術開発と提案力で、
の拡大が急務にある。
新市場の創造と開拓
• EVは電費向上、コスト削減、NVH改善に課題が多く、今後
もユニットコンパクト化、部品点数削減、精度向上のニー
ズが高く技術の差別化による参入チャンスが高まっている。
技術で差別化 ニーズ対応
• 工作機、工具の進歩で切削加工のコスト優位が高くなり、
技術開発・集積 生産能力の増加と効率化
ニーズが高い。
売上高
・鍛造の高度開発 ・切削能力増加
向上 • 材料費、電力費、輸送費のコスト増加しており、コスト競
・切削の高度化と集積 ・新しい鍛造部品の生産
争力の強化が必要である。
生産性向上 原価低減
・トコトン「集約化」 ・3M合理化
収益性
・デジタル活用（IoT) ・インライン計測、自動
向上
搬送 内発的動機
超高効率工場 物価高騰対応
• 鉄道から自動車への事業転換に成功した経験
• 欧州自動車メーカーは保守的で新規参入が非常に難しい中、
営業活動
顧客ニーズに応える技術提案で顧客を創造した経験
・PUSH型の開発提案
• 主力事業の売上が減少していく危機感
・アフターフォロー
• 失敗を恐れず、世界ナンバーワンの技術・生産体制を目指
す企業風土
売上成長目標(2029年)
• EV関連・非自動車事業で売上80億円(成長率1,476%)
• 全社売上高 260億円（売上高成長率 18%）</t>
  </si>
  <si>
    <t>大岡技研株式会社
.補助事業の概要
2
EV関連事業での売上・利益拡大を目的にして、新工場・ラインの立ち上げとデジタル技術の導入
を行う。量産対応、技術集積、超効率化で競争力を高めて新たな事業の柱づくりを実現する。
EV関連市場での顧客ニーズへの対応、生産性向上と原価低減を実現するため新工場の建設、切削
補助事業の ライン、計測と搬送の自動化、IoTセンサの導入を行い受注対応と収益向上を実現する。生産余力 事業費 52億円
背景・目的 が生じる既存の鍛造ラインではラインの集約化と生産性向上に加えて、技術開発によって非自動 （補助額） （15億円）
車市場でも新規受注を実現する。
EV関連部品向け生産ライン 本社工場 IoTシステム 室蘭工場 IoTシステム
田籾工場（新工場）
建屋、物流倉庫、変電所、クーリングタワー、空調等、2スピンドル
CNC旋盤11台、 CNC旋盤3台、インライン計測機3台、ブローチ盤1台、鋸
切断機1台、立型マシニングセンタ1台、インライン計測機1台、自動搬
送装置1式、生産管理システム1式、IoTシステム1式、自動倉庫2式、浸
炭炉1式、洗浄機1式、焼きもどし炉1式、浸炭炉自動搬送システム1式、
自動倉庫1式、三次元測定器1台、形状測定機1台、自動外観検査装置2台、
AGF搬送機4台、浸炭測定器1式 熱間冷間鍛造、切削 熱間冷間鍛造、切削
設備投資の
内容 本社工場 篠原工場 IoTシステム 田籾工場(新工場)、物流倉庫、
生産管理システム、IoTシステム
歯車測定1式、IoTシステム1式
室蘭工場 切削加工の大量
生産、技術集積
2スピンドルCNC旋盤8台、自動搬送装置2式、インライン計測機2台 、
立型マシニングセンタ1台、IoTシステム1式、ブローチ盤2台 を図る
構想レイアウト
篠原工場
冷間鍛造・熱処理 切削
IoTシステム1式
2026年度 2029年度
項目
（基準年度） （基準年度＋３年後）
労働生産性 797.7
681.8
（単位：万円/人） （年平均上昇率＋5.37％）
従業員1人あたり給与支給総額（愛知県） 599.1
547.3
（単位：万円/人） （年平均上昇率＋3.06％）
目標値
従業員1人あたり給与支給総額（北海道） 567.5
518.6
（単位：万円/人） （年平均上昇率＋3.05％）
役員１人あたり給与支給総額 -
-
（単位：万円/人） （年平均上昇率＋3.13％）
補助事業に係る従業員数
768 796
（単位：人）</t>
  </si>
  <si>
    <t>1.長期成長ビジョン
フクシマガリレイ株式会社
ガリレイグループのありたい姿と社会への提供価値
パーパス「食といのちの未来を拓く」の実現に向け、社会課題の解決を通して、新たな社会価値を提供し続けます。</t>
  </si>
  <si>
    <t>1.長期成長ビジョン
フクシマガリレイ株式会社
経営者の外発的動機
新たな社会課題の解決と持続的な社会価値創造に対応するため、パーパスを新たに策定。
気候変動対応、フードロス低減、健康寿命、再生医療などの新たな社会課題の解決と持
続的な社会価値創造に対応するため、新たにパーパスを策定。従来の食という事業領域に
とどまらず、人のいのち(メディカル、ヘルスケア)、食材のいのち（フードロス・社会問題）、地
球のいのち(環境負荷低減)へも事業領域を拡大</t>
  </si>
  <si>
    <t>1.長期成長ビジョン
フクシマガリレイ株式会社
経営者の内発的動機
サステナビリティ経営を主軸に社会・企業価値の最大化を目指す。
企業理念をベースに、社会課題の解決と企業の成長の両方を追い求めることで、社会価値と企業価値の最大化を図ることが
重要だと認識。ありたい姿としてパーパスを定め、サステナビリティ経営を主軸に社会・企業価値の最大化を目指す。</t>
  </si>
  <si>
    <t>1.長期成長ビジョン
フクシマガリレイ株式会社
ガリレイグループの持続的な成長ビジョン
Purpose
「食といのちの未来を拓く」
・・・・・・ ありたい姿
グループ売上2,000億円
・・・・・・・・・・・・・・・・・ ターゲット
営業利益率10%以上
サステナビリティ経営を主軸に社会・企業価値の最大化 ・・・・・・・・ 戦略の方向性
社会課題解決による事業領域の拡大
シ 業 パ フ サ エ メ 自
事 ス ー ョ 冷 庫 ル ネ 事 ー リ 業 ー ビ グ ン ジ ン 事 デ ィ 事 ン 動 化 ・・・ 事業ドメイン
業 事 ニ 業
業 ケ 事 事 ザ ス カ 業 ラ
業 ア
ー 業 業 ー 事 リ ル イ
各事業に横串を差し、事業シナジーの最大化とM&amp;A加速による
事業成長を図るためにホールディングス化を検討中
・・・ 経営戦略
GALILEI Global Vison2030 GALILEI Academy
Dramatic Future 2050 Zero Call Company
アジアのコールドチェーン 人的資本への投資
持続的な社会価値創造 「直す」から「止めない」へ
発展に貢献 働きがいあふれる会社
食のインフラを川上から川下まで支えるオンリーワン企業
・・・ ケイパビリティ
企業理念「幸せ四則」
・・・ 存在意義</t>
  </si>
  <si>
    <t>.補助事業の概要
2
フクシマガリレイ株式会社
新工場稼働による事業拡大
• 冷凍冷蔵ショーケースの省エネルギー化や冷媒規制対応、また冷凍食品の需要の高まりや、
補助事業の 店舗形態の変化等への対応を受け、本事業への投資を実施し、冷凍冷蔵ショーケース事業 事業費 137 億円
背景・目的 の更なる拡大を図る （補助額） （2 8 億円）
• 東南アジア圏の拡大する食品小売店舗の新規出店への対応
滋賀湖南新工場 イメージ図
• 生産・物流リードタイムの短縮と多様な顧客ニーズに対応するため、受注
から生産計画までの一貫生産体制の構築と、24時間稼働の自動生産
装置により、従来に比べ3.2倍の生産性向上を図る生産設備とする。
• 人ありきのモノづくりから脱却し、多品種少量生産に対応した生産工程
の自動化や自動搬送機を導入することで省力省人化を図る。
設備投資の • ショーケースのマザー工場として次世代の高付加価値製品の研究開発
拠点を設置
内容
• 環境に配慮した生産時のCO2排出量フリーを目指し、建物は省エネ構
造とし、自家消費型太陽光発電設備を設置
• 最新設備の導入等、安全で働きやすい魅力ある職場環境の整備
2026年度 2029年度
項目
（基準年度） （基準年度＋３年後）
労働生産性 4,634.1万円/人
目標値 3,201.6万円/人
（万円/人） （年平均上昇率＋13.2％）
従業員1人あたり 611.6万円/人
560.0万円/人
給与支給総額（万円/人） （年平均上昇率＋2.98％）</t>
  </si>
  <si>
    <t>株式会社オーレック
1.長期成長ビジョン
・当社製造の農業用機器の普及促進により、日本及び世界の「農業」の活性化を目指していく
・工場や営業所の新設による雇用創出、継続的な賃上げ ・世の中に役立つものを誰よりも先に創る
長期成長ビジョン（目指す姿・ビジネスモデル）
〈基本方針〉
・当社製造の農業用機器の普及促進により、日本及び世界の「農業」の活性
化を目指していく。
・工場や営業所の新設による雇用創出、継続的な賃上げ ・世の中に役立つ
外発的動機
ものを誰よりも先に創る
〈重点戦略〉
・農業従事者の減少により農業用機器の需要が増加
・スマート農業化の促進
• 農業用機器の生産量の増加
営業部門が好調であり、販売数や納品依頼が増加しているものの、 ・気候変動と資源不足
生産が追い付いていない状況。早期に生産体制を見直す必要がある。
• 雇用の創出と継続的な賃上げ
福岡県に新工場を建設し、工場従業員は現地採用を計画している。
また、営業所を増加させることで、本社のある福岡以外の地域においても、雇
用の創出を実現し、地域経済への貢献を目指す。
• スマート農業化に対応した新商品開発の加速
スマート農業化に対応すべく、試作開発部門（株式会社オーレックR＆D）の
強化を図る。新商品開発の加速・製品のラインナップ増加により、農業業界の 内発的動機
活性化に貢献する。
• 商圏の拡大
・従業員のワークライフバランスの充実と地域雇用の創出を
農業が盛んな北海道・東北・関西エリアへの販売強化と物流強化し、
実現したい
品質の高い当社製品のより速い提供体制の構築、アフターサービスの
強化、全国的な普及を目指す。 ・取引先からの納品依頼に対応するために、新たな設備
投資が必要
売上成長目標 ・販売網の強化により「農業業界」の生産性向上に貢献
■2029年までの会社全体の売上高成長率50％ したい
■2029年までに会社全体の売上高増加額100億円</t>
  </si>
  <si>
    <t>株式会社オーレック
.補助事業の概要
2
・総額48.1億円の設備投資により、下記課題を解決し、当社の目的を達成する
・㈱オーレック：年平均＋12.0％、㈱オーレックホールディングス：年平均＋7.1％の労働生産性の向上を見込む
■背景・目的
補助事業の ①農業用機器の生産量拡大 54 億円
事業費
背景・目的 ②農業用機器のラインナップ増加 （16億円）
（補助額）
③販売網の強化
③営業所＆物流倉庫の新設
①工場の新設及び生産設備の導入 ②試作開発棟及び保管倉庫の新設
下記は彦根のイメージ図
設備投資の
内容 新たに生産工場を建設する。集約さ 新たに試作開発棟を新設する。現在の開発
新たに営業所＆物流倉庫を仙台（規
れていた塗装工程と組立工程を別々 棟は2棟あるが、今後の開発スピード向上に
模拡大）と彦根に建設する。販売網
の工場で対応することが出来る。また、 向けてもう1棟新設する。さらに、開発品を
に課題があった東北・関西圏への販売
前工程である部品生産工程に設備 保管する倉庫は老朽化＋容量満杯のため、
網を強化する。また、営業所では農業
投資をすることで、取引先からの要望 新たに保管
用機器の展示やイベントの開催などを
に対応する。 倉庫を新設し、開発プロセスを円滑にする
行い、地域の農家との連携を強化
2026年度 2029年度
項目
（基準年度） （基準年度＋３年後）
労働生産性 3,148（万円/人）
2,239（万円/人）
（単位：万円/人） （年平均上昇率＋12.0％）
従業員1人あたり給与支給総額 702（万円/人）
目標値 ㈱オーレック （単位：万円/人） 617（万円/人） （年平均上昇率＋5.0％）
役員１人あたり給与支給総額 ー
ー
（単位：万円/人） （年平均上昇率＋5.0％）
補助事業に係る従業員数
285人 324人
（単位：人）</t>
  </si>
  <si>
    <t>1.長期成長ビジョン アサヒセイレン中部株式会社
“技“
88年の歴史の中で培った で自動車（部品）メーカーと圧延メーカーの安定生産に貢献し、
国内産業・雇用を守ることが自社の使命であると位置づけている。
長期成長ビジョン（目指す姿・ビジネスモデル） 外発的動機
①日本国内でのアルミニウム需要の高まり
• 国内産業を支える素材メーカーとして、
自動車メーカーと圧延メーカーの （2019年：4,218千ｔ→2050年6,020千ｔ）
輸送用機械（自動車）
サプライチェーン（SC）の強靭化に貢献する 特に の伸びが著しい。
1.7
（2019年：1,700千ｔ→2050年：2,900千ｔ 約 倍）
・２０２６年までの
会社全体の売上高成長率：１８％
会社全体の売上高増加額：１５１億円 ②圧延メーカーのリサイクルアルミ利用の高まり
（展伸材における循環使用率：
①自動車メーカーとのSC強化 ５
2019年10％程度 → 2050年50% 約 倍）
自動車メーカー（及び部品メーカー）のCO２削減ニーズ
を取り込み、サプライチェーン強靭化と
省エネルギーに貢献する。
→今後ますます、自動車に使用されるアルミは
増加する見通しであり、素材メーカーとして
内発的動機
サプライチェーンの強靭化で
国内産業・雇用を守りたい
自動車業界の安定操業を支える。
8８年培ってきたリサイクル技術を生かし、
溶解効率の良い環境配慮型製品（合金小型塊）の
創業８８年、社員とその家族の幸せ・取引先との共存共栄
開発～供給を行い、CO2削減目標の達成を支援する。
を旨として続けてきた。
資源や技術の海外流出が危ぶまれる中、自分たちの存在意
②圧延メーカーとのSC強化 義として、国内で稀有なアルミニウム総合リサイクルメー
圧延メーカー各社の脱炭素ニーズを取り込み、 カーとして、産業のハブとしての役割を果たしたい。
日本国内でアルミのゼロエミッションを達成する。 国内ものづくりの持続可能性を高めることで、社員の雇用
→増加傾向にあるアルミニウムドロスを有効活用し、 維持、更に賃上げにて努力に報い、恩返しをしたい。
資源を活かしきる。</t>
  </si>
  <si>
    <t>アサヒセイレン中部株式会社
.補助事業の概要
2
自動車産業・圧延産業ののCO2削減、リサイクル率向上に寄与する製品製造、選別加工について、省人化
が可能な設備を備えた工場を発生元/使用先に近いロケーションで、安全・環境に配慮して設置する。
補助事業の • 需要が高い環境配慮型製品の供給能力を、特に需要が高い地域で増強する。 事業費 1 88 億円
背景・目的 • リサイクル需要に応じたスクラップ選別・加工及び発生ドロスの処理能力を増強する。 （補助額） （50億円）
• 溶解炉（写真・左）/保持炉/回転炉（写真・真ん中）/リジェネバーナー/灰絞り機/冷灰ｸｰﾗｰ/脱ガス装置(RDF)/鋳造用
湯道/連続鋳造機/自動タップ装置(タップｱｸﾁｭｴｰﾀｰ)/インゴット検知器/鋳造用ﾀｰﾝﾃｰﾌﾞﾙ/ｽﾀｯｷﾝｸﾞ・ロボット/5k塊自動梱包
機/分析機/旋盤/小型塊選別機/アルミ切粉乾燥/集塵機/計量器/燃料タンク(重油・LPガス・窒素・軽油)/ｴｱｰｺﾝﾌﾟﾚｯｻｰ/
変電所/アルミﾄﾞﾛｽ粉砕機/アルミドロス混錬機/ﾄﾞﾛｽ鉄選別機/酸分解分析装置/原料破砕機/磁選機/振動フルイ機/X線
選別機/ﾚｰｻﾞｰ誘起ﾌﾞﾚｰｸﾀﾞｳﾝ分光法（LIBS）（写真・右）/自動梱包機 など
設備投資の
内容
2026年度 2029年度
項目
（基準年度） （基準年度＋３年後）
労働生産性 中部:1,849 中部:2,225(年平均上昇率 6.4%)
（単位：万円/人） SAN:1,725 SAN:2,205(年平均上昇率 8.5%)
目標値 従業員1人あたり給与支給総額 中部:889 中部:981(年平均上昇率 3.33%)
（単位：万円/人） SAN:400 SAN:441(年平均上昇率 3.33%)
役員１人あたり給与支給総額 中部:384 中部:424(年平均上昇率 3.33%)
（単位：万円/人） SAN:500 SAN:552(年平均上昇率 3.33%)
補助事業に係る従業員数 中部:59 中部:78
（単位：人） SAN:17 SAN:20</t>
  </si>
  <si>
    <t>株式会社ホテルニューアワジ
1.⻑期成⻑ビジョン
「訪⽇外国⼈旅⾏者」の市場規模拡⼤を踏まえ、淡路島内初となる『世界に通⽤する都市近郊型⽇本版リゾート
ホテル』を新設することで、地域未来牽引企業として「島内観光GDP766億円」と「地域の雇⽤創出」を達成する
⻑期成⻑ビジョン（⽬指す姿・ビジネスモデル） 外発的動機
【⾯的な地域経済の活性】
【⾯的な地域経済の活性に向けて】
• 島内の観光⼊込客数は、関⻄圏からの休⽇利⽤の１泊や⽇帰り客が多くを占め
• 地域未来牽引企業として、平⽇利⽤や⻑期滞在が期待できる「訪⽇外国
ており、地域全体の観光消費額の向上が課題となっている。また、令和４年度の
⼈旅⾏者」の誘客・滞在促進を⽬的に、当グループのみならず島内全域に
兵庫県ならびに島内全域における延べ宿泊者数に対する「訪⽇外国⼈旅⾏者」の
おいても新しい取り組みとなる「訪⽇外国⼈旅⾏者」向けに特化したリゾー
占める割合は⼤阪府7.0％、京都府6.8％と⽐較し、1.0％と⼤きく低迷しており、
トホテルを新設。⾼評価により、延べ宿泊者数に占める割合を30％以上 特化した宿泊施設が必要である。
に引き上げており、⾯的な観光消費の拡⼤に貢献している。 • 政府の観光⽴国推進基本計画が掲げる「訪⽇外国⼈旅⾏者」の市場規模拡⼤
• 官⺠連携事業である『世界⼀の⾷の島』構想を牽引している。飲⾷店を含 に合わせて、島内における平⽇利⽤や２泊以上の滞在促進に取り組みたい。
めた観光施設、淡路島ならではのコト体験型コンテンツを共同開発している • 今後の関⻄圏における「訪⽇外国⼈旅⾏者数」につき、2025年「⼤阪・関⻄万
農漁業事業者、商⼯会議所や商⼯会、淡路島観光協会等と連携し、⾯ 博」の開催による350万⼈、2030年代「⼤阪IR」開業による年間600万⼈、
2030年「神⼾空港」国際化による年間190万⼈が⾒込まれており、訪⽇外国⼈
的な観光消費を拡⼤。「淡路島総合観光戦略」が掲げる島内観光
旅⾏者向け宿泊施設を新設したい。
GDP766億円以上（2019年⽐︓110%UP）を達成している。
【地域の雇⽤創出】
【地域の雇⽤創出に向けて】
• 島北部にあたる淡路市において、2020年の県外⼤⼿資本企業による⼀部の本社
• 売上⾼成⻑率や⽣産性向上率が⼤幅にUPしており、県内宿泊業におい
機能の移転に伴い、複数施設が開業されたことで地域の雇⽤創出が促進されてい
て最⾼⽔準となる年4.5％の賃⾦上昇率UPを実現。また、事業計画以
ることから、⼀体的に推進したい。
上の営業利益を創出しており、正社員のみならずパート社員においても賞
与⽀給を増額している。 内発的動機
• 当補助事業での成功を基に、「訪⽇外国⼈旅⾏者」向けホテルや既存施
【⾯的な地域経済の活性】
設の改修等への投資を持続的に実施すると共に、連携先事業者において
• 本島の基幹産業である「宿泊業」を営む後継者として、また⽣まれ育った⾝として、
も語学を活⽤できる職場を増⼤。島内の若者等へ向けて遣り甲斐のある職 島内における「宿泊業」の衰退を防⽌すべく、阪神淡路⼤震災、リーマンショック、
場を創出し⼈財育成に務めることで、島外への⼈⼝流失を抑制。また、島 新型コロナウィルス感染症拡⼤等の数々の難局を乗り越えてきた（次⾴参照）。
外からのUIJターン就・転職の促進により、洲本市と南あわじ市の2040年 国内⽇本⼈旅⾏者からご愛好いただいている少⼈数から⼤⼈数（宴会需要含
までの社会動態増減計画値である±０の達成に寄与している。 む）まで対応できるグランドホテルを継続すると共に、新規顧客層となる「訪⽇外国
⼈旅⾏者」の市場規模拡⼤を踏まえ、島内全体の推進役を継続して担いたい。
売上成⻑⽬標︓2029年までに • 「地域未来牽引企業」として、ニューラグジュアリー層が嗜好する上質な意匠を施し
た滞在型の世界に通⽤する⽇本版リゾートホテルを新設することで、誘客を促進
ホテルニューアワジ あわじ浜離宮
すると共に島内事業者と連携した⾯的な観光消費の拡⼤に寄与したい。
売上⾼ 100.7億円 25.3億円 【地域の雇⽤創出】
• 「訪⽇外国⼈旅⾏者」の島内滞在促進により、現従業員の『語学をフルに活かして
売上⾼成⻑率 148.6％UP 218.7％UP
働きたい』との要望を適えることで離職防⽌につなげたい。
売上⾼増加額 32.9億円 13.7億円 • 島内の若者等に向けて遣り甲斐のある職場を提供し、⾃治体と連携した⼈⼝流
失の抑制に寄与したい。</t>
  </si>
  <si>
    <t>株式会社ホテルニューアワジ
1.⻑期成⻑ビジョン
全国ならびに兵庫県全域に先駆けて取り組んでいる「地域経済の再⽣と活性」、「⾼付加価値化による顧客満
⾜度の向上」、「安全・安⼼の提供」、「働きやすい職場環境づくり」への各種取り組み
経済産業省、観光庁、兵庫県等の各種制度や基準に沿った運営を実施しており、「地域貢献」、「顧客への満⾜度および安全・安⼼の提供」、「働き
やすい職場環境づくり」等に⽇々取り組んでおります。⼤半の認証制度につき、制度発⾜初年度に認証および登録を実施しております。
経済産業省 経済産業省 観光庁 観光庁
地域未来牽引企業 パートナーシップ構築宣⾔登録企業 ⾼付加価値経営旅館 ⼼のバリアフリー認定施設
淡路島内のサプライチェーンの
構築において
中⼼的な役割を担っている
株式会社ホテルニューアワジ 株式会社ホテルニューアワジ
初年度となる2018年に、 高旅第KKT00107号 観参第359号
宿泊業では全国13企業の１社 株式会社あわじ浜離宮 株式会社あわじ浜離宮
として、全国に先駆けて選定された 高旅第KKT00039A号 観産第214号
兵庫県 兵庫県 ⽇本健康会議 兵庫県
ひょうご産業SDGs認定企業 ひょうごユニバーサルなお宿 健康経営優良法⼈ ひょうご⼥性活躍推進企業
宣⾔・登録企業 中⼩企業法⼈部⾨ （ミモザ企業）
兵庫県初のゴールドステージ企業
として認証された</t>
  </si>
  <si>
    <t>株式会社ホテルニューアワジ
1.⻑期成⻑ビジョン
地域未来牽引企業として取り組む⻑期成⻑ビジョンの達成に向けた官⺠連携事業 その１
地域のレジリエンスを⾼めるサプライチェーンモデル『⾷の⽣産体験コンテンツの⾼付加価値化プロジェクト』の推進
「淡路島総合観光戦略2023〜2027」（兵庫県淡路県⺠局、洲本市、南あわじ市、淡路市、淡路島観光協会）が掲げる
国⽣みの島ならびに美⾷地質学に基づいて繁栄してきた『⽇本三⼤・御⾷国（みけつくに）』を⽀えている島内農漁業者および
淡路島観光協会と連携し、『本物体験コンテンツ』の共同開発に主体的に取り組んでいる。
主な取組
観光庁の 空⾶ぶクルマ
2025年「AWAJI島博」
⾼単価商品造成事業 淡路島フライト検討会
2025年「⼤阪・関⻄万博」の開催に向けて 今年度の観光庁「特別な体験の提供等によ 海外のスーパーラグジュアリー層に向けた付
兵庫県が推進しているSDGs体験プログラム るインバウンド消費の拡⼤・質向上推進事 加価値の⾼い交通⼿段として、次世代モビリ
につき、淡路島ならではの農漁業者や伝統 業」に当社として採択。左記にて共同開発し ティ「空⾶ぶクルマ」を活⽤し、京都市・⼤阪
産業、淡路島観光協会と連携し『本物体験 ている事業者に加え、付加価値の⾼い新た 市とをダイレクトに結ぶた新規周遊ルートを開
コンテンツ』を60個造成の上、販売を⾏って な⾷の⽣産者とも連携の上、地域の⾷⽂化 発。当社ヘリポートを活⽤した実証実験を本
おり、島内事業者の所得向上に寄与してい に対し知的好奇⼼の⾼い海外のニューラグ 年６⽉より開始した。京都市・⼤阪市等の
る。 ジュアリー層向けに、⽣産現場での本物体 オーバーツーリズムの課題解消にも寄与する
験と温泉宿を掛け合わせた⾼単価(従来単 ビジネスモデルとしている。
価の３倍以上）のパッケージツアー商品の 【検討会メンバー】経済産業省、兵庫県、淡
造成、販売に取り組んでいる。 路県⺠局、洲本市、南あわじ市、淡路市、
ホテルニューアワジグループ、パソナグループ、
丸紅株式会社ほか
両社（幹事および共同申請企業）の代表者が、⼀般社団法⼈ 淡路島観光協会⻑ならびに本協会南あわじ地区会⻑をそれぞれ務めており、島内全
域にまたがる当プロジェクトの推進役を担う宿泊施設として、⾏政機関や地域からの⾼い期待や後押しも受け、地産地消、⾷⽂化コンテンツの
⾼付加価値化、訪⽇外国⼈旅⾏者の誘客を官⺠連携として推進している。</t>
  </si>
  <si>
    <t>株式会社ホテルニューアワジ
1.⻑期成⻑ビジョン
地域未来牽引企業として取り組む⻑期成⻑ビジョンの達成に向けた官⺠連携事業 その２
地域のレジリエンスを⾼めるサプライチェーンモデル『世界⼀の⾷の島プロジェクト』の推進
スペイン・バスク地⽅にある美⾷の街「サンセバスチャン」をモデルとし、
淡路島を『世界⼀の美⾷の島』にすることを⽬指すプロジェクトに主体的に取り組んでいる。
主な取組
世界⼀の⾷の島を先導する
御⾷国ブランドの⾷⽂化 スペイン・サンセバスチャン視察
「⾷の街区」検討委員会
⾷糧⾃給率110％を誇る淡路島は、⽇本 2019・2023・2024年に渡り、スペインのサ 2024年より、南あわじ市の守本市⻑を座⻑
最古の書物古事記・⽇本書紀に描かれてい ンセバスチャンに訪問し、MIMOクッキングクラ とした検討会議を実施している。
るとおり『国⽣みの島』として、現在の⽇本列 ス、市場、バル街区、観光協会、飲⾷組合 【検討会メンバー】南あわじ市、淡路県⺠局、
島の始まりと伝承されている。また、温暖な気 ほかを継続して、視察交流を実施している。 南あわじ市商⼯会、淡路島観光協会、福
候、肥沃な⼟壌や⽇本⼀速い潮流が育む 良漁業協同組合、株式会社うずのくに南あ
⾷産品は、昔から朝廷や天皇家に納める わじ、兵庫県飲⾷業⽣活衛⽣同業組合、
『⽇本三⼤・御⾷国』として栄えてきた歴史を 兵庫県⽴⼤学 等
誇る。
淡路島⽟ねぎ、淡路⽜、淡路島えびす鯛、
⻩⾦ハモ、⾚ウニ、淡路島なるとオレンジ、
3年とらふぐ、淡路島サクラマスをはじめとした
御⾷国ブランドの⾷材を有している。
共同申請企業の代表者は、⼀般社団法⼈ 淡路島観光協会⻑の南あわじ地区会⻑であり、
当プロジェクトの推進役を担う宿泊施設として、⾏政機関や地域からの⾼い期待や後押しも受け、地産地消、
⾷⽂化コンテンツの⾼付加価値化、訪⽇外国⼈旅⾏者の誘客に向けた取り組みを官⺠連携として推進している。</t>
  </si>
  <si>
    <t>株式会社ホテルニューアワジ
2.補助事業の概要
当グループ企業ならびに淡路島初となる『訪⽇外国⼈旅⾏者』に特化したリゾートホテルの開業
異なる顧客層の滞在を促進し、洲本市および南あわじ市にまたがる⾯的な観光消費拡⼤を⽬的とした共同申請
加速する少⼦⾼齢化に伴い⽇本⼈による国内観光消費額は 減少傾向にある。そのた ２社 計 82億円（26億円）
め、国が推進する「訪⽇外国⼈旅⾏者」に着⽬し、誘客促進につながる平均２泊以上
補助事業の 事業費
の『世界に通⽤する都市近郊型⽇本版リゾートホテルリゾートホテル』を新設し、官⺠ ㈱ホテルニューアワジ 41億円（13億円）
背景・⽬的 （補助額）
連携にて地域の⾯的な観光消費を拡⼤する。また、滞在者数の 最⼤化を⽬的に、異
なる顧客層に合わせて、２社による共同申請により、２市にまたがる⾯にて滞在を促進。 ㈱あわじ浜離宮 41億円（13億円）
株式会社ホテルニューアワジ（洲本市） 株式会社あわじ浜離宮（南あわじ市）
主なター 「⽇本三⼤・御⾷国」を背景にした⾷⽂化や⾷の⽣産者に対し知的好 「⽇本三⼤・御⾷国」を背景にした⾷⽂化や⾷の⽣産者に対し知的好
ゲット層 奇⼼の⾼いラグジュアリー層 奇⼼の⾼いミドルクラス層
• ２種類の露天⾵呂を備えた和の上質な意匠を施した全室100平⽶ • 夜間に街中に外出する傾向が⾼いことから、⾷べたい時にいつでも利
主な特徴 以上の広い客室、親⼦３世代が気兼ねなく過ごせる客室設計 ⽤可能にするオールディダイニングを導⼊
• ⽬の前に広がる紀淡海峡の絶景と和装による徹底したおもてなし • 島内随⼀の景勝地である慶野松原に佇むレジデンススタイル
設備投資の 省⼈化の 料飲サービスにて、部屋⾷→会⾷場の導⼊による従業員のオペレーション 料飲サービスにて、オールデイダイニングスタイルの導⼊により、従来の従
ポイント ⼯数を⼤幅に削減 業員の１／２程の⼈数で対応が可能
内容
• 世界標準となるオールインクルーシブの導⼊
• 客室インフォメーション、清算のキャッシュレス化、AIチャットボット、オーダーエントリー、セルフチェックインチェックアウト、アンケート分析、客室の遠隔操作
システム等の省⼈化につながる設備を導⼊
共通
• SDGs推進企業として、持続可能な施⼯およ び環境に配慮した資材選び、省エネ等のGSTC-I基準に沿った施設とする。このことにより、海外在
住者の76%が旅にSDGs推進の取り組みを希求していることから、ターゲット層に向けたプロモーションを展開できる
• 語学を活⽤したいスタッフに対し遣り甲斐のある職場を提供することができ、離職の抑制や島内の若者の雇⽤創出につなげることができる
売上⾼ 平均客室単価300千円× 25室×365⽇×稼働率90％＝24.6億円 平均客室単価89千円× 40室×365⽇×稼働率90％＝11.7億円
株式会社ホテルニューアワジ 株式会社あわじ浜離宮
項⽬
2026年度（基準年度） 2029年度（基準年度＋３年後） 2026年度（基準年度） 2029年度（基準年度＋３年後）
労働⽣産性 1590万円／⼈ 1043万円／⼈
1036万円／⼈ 713万円／⼈
（単位︓万円/⼈） （年平均上昇率＋15.3％） （年平均上昇率＋13.5％）
⽬標値
従業員1⼈あたり給与⽀給総額 371万円／⼈ 394万円／⼈
325万円／⼈ 345万円／⼈
（単位︓万円/⼈） （年平均上昇率＋4.5％） （年平均上昇率＋4.5％）
役員１⼈あたり給与⽀給総額 409万円／⼈ 310万円／⼈
364万円／⼈ 276万円／⼈
（単位︓万円/⼈） （年平均上昇率＋4.0％） （年平均上昇率＋4.0％）
補助事業に係る従業員数（単位︓⼈） 126⼈ 147⼈ 77⼈ 115⼈</t>
  </si>
  <si>
    <t>株式会社ホテルニューアワジ
2.補助事業の概要
「株式会社ホテルニューアワジ」（幹事企業）が新設する
「全室100平⽶以上の広い客室」、「親⼦３世代が気兼ねなく過ごせる客室」「唯⼀無⼆の紀淡海峡の眺望」
株式会社ホテルニューアワジ
⻑期滞在に適した
紀淡海峡に⾯した⽴地 インフィニティ⽔盤を施した最上階フロア 全室100平⽶以上の客室
⽴地平⾯図
紀淡海峡に昇る客室からの朝⽇の眺望 メゾネットスタイルの客室 席をゆったり配置された会⾷場
全体パース
淡路島の伝統産業である 親⼦３世代向けに
淡路⽡・⼟壁・タイルを設えた客室 リトリートできる（仕切られた）客室 上質な和の意匠空間</t>
  </si>
  <si>
    <t>株式会社ホテルニューアワジ
2.補助事業の概要
「株式会社あわじ浜離宮」（共同申請企業）
新設する平均２泊以上の滞在型オールインクルーシブリゾートホテルの平⾯図およびイメージについて
株式会社あわじ浜離宮
淡路島随⼀の景勝地「慶野松原」に佇む 平⾯図 ⽴⾯図
レジデンススタイルの外観
時間を気にせず地産地消のメニューを堪能できる 露天⾵呂付きの広い客室 開放感溢れるスパ・⼤浴場
オールディダイニングスタイルの会⾷場</t>
  </si>
  <si>
    <t>株式会社ホテルニューアワジ
2.補助事業の概要
グループ全体のアセットである「セントラルキッチン」、「キッチンアカデミー」の活⽤、
「部屋⾷→会⾷場」、「オールディダイニング」の導⼊による新たなオペレーションによる省⼈化の実現
グループ全体のアセット 両社共通
省⼈化を図るキッチンアカデミー（セントラルキッチン） 省⼈化を図るDX化システム
施設毎に、全ての調理⼯程を賄うと８⼈必要となるが、１施設あたり４⼈での対応が 予約、会計、お客様対応等の業務をDX化により省⼈化。業務は、既存施設の従業員に
可能となる。更に、⾷材の仕⼊れ、ロス削減にもつながっている。 て対応が可能となる。
【⼣朝⾷100⾷あたりの⼈数削減数】 ① セルフセルフオーダーシステム
• ⾷材仕込み業務の 削減 -2.5⼈ お客様のスマホから飲料等オーダーいただき、PMS（販売管理システム）に連動して
• ⾷材の⼀括発注による 発注管理業務と仕⼊原価を削減 -0.5⼈ おり、⼿配、起票、伝票⼊⼒を省⼈化
• 衛⽣管理に従事する業務の 削減 -0.5⼈ ② チャットポッド（AI搭載型）
• 最新厨房機器の 活⽤（スモーク、３Dフリーザ、低温調理機など） -0.5⼈ お客様への案内、説明にチャットポッドを活⽤して省⼈化
③ アンケート集計システム
また、⼊社１年⽬から ⼿書きアンケートをなくしネットアンケートを導⼊することで、⼿配、集計、分析を⾃動化
調理師として体系的に することで省⼈化
技術を習得できる ④ セルフチェックイン、チェックアウトシステム
「キッチンアカデミー」の お客様⾃⾝で⼿続いただき、PMS連動により省⼈化
導⼊により、質の向上に ⑤ 客室テレビ内デジタルインフォメーションの導⼊
つながっている。 各種インフォメーション、混雑状況確認（⼤浴場、レストラン等）
株式会社ホテルニューアワジ 株式会社あわじ浜離宮
料飲サービスにて、部屋⾷→会⾷場の導⼊により、
料飲サービスにて、従来のコース料理からブッフェおよび⾷事時間の設定無しでの提供となる
• 従来の従業員数の１／２程の⼈数で対応が可 能となる
オールディダイニングスタイルの導⼊により、10⼈でのオペレーションが可能となり、従来の
• ⾼度な接遇スキルが必要となる仲居に依存しなくなるため、⼈材確保が 容易になる
従業員数の１／２程の⼈数で対応が可 能となる
• 熱いものや冷たい料理など出来⽴ての提供が可能となる
下記業務を、同⼀スペースにて実施することで、スタッフのマルチタスク化により、４⼈での
部屋⾷︓
オペレーションを可能にする
１客室あたり、仲居0.5⼈、ランナー0.2⼈、デシャップ0.04⼈でのサービス提供となり、
• チェックイン・アウトラウンジ
新館25室では18.5⼈が必要となる
• ゲスト専⽤バーラウンジ
会場⾷︓
• ⼣⾷・朝⾷ブッフェダイニングの受付
１卓あたり、サービススタッフ0.3⼈、デシャップ0.04⼈でのサービス提供となり、新館25室の
では8.5⼈での対応が可能となる</t>
  </si>
  <si>
    <t>1.長期成長ビジョン 埼玉機器株式会社
本事業を通じて新工場を建設し将来に向けた成長発展を加速させることで、従業員が安心・安全に働ける職場
づくりとステークホルダーへの利益共有、社会貢献を実現させる
長期成長ビジョン（目指す姿・ビジネスモデル） 外発的動機
• 当社ではトラック・バスのブレーキ、ステアリング、サスペンション • トラック業界では、EV化や自動運転システムへの対応そして大手
メーカーの経営統合といった「100年に一度」といわれる業界構造
の重要保安部品や、産業機械用油圧機器、鉄道車両機
の変化が起こっている
器の分野まで積極的に市場進出を行ってきた
• また、トラックの国内販売台数は国内産業の成熟に伴い、更新需
• 建物・設備の老朽化や業界構造の変化に伴って、従業員が
要が主となっており、ASEANを中心とした海外への輸出が国内生
安心・安全に働ける職場の確保やステークホルダーが期待す
産台数の半数以上を占めている
る成長を遂げることができない状況となっている
• 業界構造の変化に伴い、競合となる一部のサプライヤーではトラック
• 新工場を建設し、本社工場の移転を行うことで、従業員が 事業からの撤退が起こっており、当社にとっては大きな事業機会と
安心・安全に働ける職場づくりと従業員を含めた全てのステー なっている
クホルダーへの利益共有を実現する
• 補助事業では、新工場の建設及び新規事業に必要となる
内発的動機
生産ラインの増設を行う
• 当社は創立以来、故西海敏夫初代会長の体験から生まれた『人
• 事業化後に製造体制の効率化を図り、生産能力のさらなる
間尊重の精神』を企業経営の基盤として、企業を形成している
増強及び利益率の改善を実現する
『人』を重視し、『従業員の幸福なくして企業の繁栄なし』とする理
念を掲げている
• 上記の理念を達成するための具体的な方策としての『従業
売上成長目標
員教育』と『やる気と高いモラールの育成』を積極的に行
• 2030年までに会社全体の売上高年平均成長率13％ うことにより、経営者と従業員の間に醸成される相互信頼
の中にこそ『信頼のおける製品が生まれる』との考えで企
• 2030年までに会社全体の売上高を162億円
業運営がなされている
• 2030年までに小型トラック等の新規ビジネス売上高29億円
• 本社工場は築60年を超えており、老朽化に伴う安全性への
懸念や生産効率の低下が生じている</t>
  </si>
  <si>
    <t>.補助事業の概要 埼玉機器株式会社
2
本事業では、さいたま市の西側に位置する富士見市に新工場を建設し、新規事業に必要となる生産ラインを導
入することで生産能力の増強及び生産効率を改善し、小型トラック市場への参入を実現する
• 当社の主要事業であるトラック事業では業界構造の変化により大手メーカーによるサプライヤー
補助事業の の見直し等が行われており、当社にとって大きな事業機会となっている 事業費 億円
91
背景・目的 （補助額） （2 億円）
• 当社では老朽化した本社工場や非効率的な生産体制ににより、従業員の安全性への懸念や 5
生産性の低下につながっている
• 本事業では、さいたま市の西側に位置する富士見市の産業団地内に本社工場を新たに建設（=GoWest）し、生産能力
の大幅な増強を行う
実現する • 生産能力の増強に伴い、現在はほとんど対応出来ていなかった小型トラックの部品製造へも積極的に参入していくことで、さら
内容 なる成長を実現させる
• 老朽化した建物・生産設備によって生じていた安全性への懸念を払拭し、従業員が安心して働く職場を整備することで、新たな
人材の採用にもつなげる
• 新工場は、現在の本社/与野工場の1.5倍以上の建物面積となっており、新たに数十台の生産設備を導入することで大幅な
設備投資の 生産能力の増強が期待できる
内容
• 工場レイアウトを最適化することで、生産効率を高め収益性の向上が見込まれる
2026年度 2029年度
項目
（基準年度） （基準年度＋３年後）
（単
労
位
働
：
生
万
産
円
性
/人）
693
（年平均上
1
昇
,1
率
85
＋19.6％）
目標値 従業員
（
1
単
人
位
あ
：
た
万
り給
円
与
/人
支
）
給総額 534
（年平均上
6
昇
1
率
9
＋5.1％）
役員
（
１
単
人
位
あた
：
り
万
給
円
与
/
支
人
給
）
総額 1,624
（年平均上
1
昇
,88
率
0
＋5.0％）
補助事業に係る従業員数
287 385
（単位：人）</t>
  </si>
  <si>
    <t>スズキハイテック株式会社
1.長期成長ビジョン
2030年5月期までに売上96億円規模まで事業成長させる。工場増設と生産設備に約33.3億円を投資し、
事業完了後３年間で「１人当たり給与支給総額の年平均上昇率目標「5％(要件3.4%)」を必ず達成させる。
長期成長ビジョン（目指す姿・ビジネスモデル） 外発的動機
(cid:127) 社会課題認識として、2050年カーボンニュートラルに伴うグリー
(cid:127) 主力事業の自動車分野における社会課題は、2050年カーボン
ン成長戦略をあらゆる産業や社会生活で描いていくことがを大切。
ニュートラルに伴うグリーン成長戦略を描いていくことである。また、
(cid:127) 成長投資を行う自動車分野の社会課題として、国内の地域におけ
自動車業界の顧客ニーズの変化は、つながる、自動運転、シェ
る国民生活移動手段の約７割が自家用車である実態を考えると、
アリングサービス、電動化である「CASE」へと大転換している。こ
移動の安全性や利便性の向上、事故の削減、移動弱者への対
のような100年に一度の大変革時代の中、成長する電動車部品
応、交通渋滞ゼロなど、自動車そのものの進化が求められる。
とパワー半導体の両方を長年量産する唯一無二のめっき老舗メー
(cid:127) そのような背景から顧客ニーズはつながる・
カーの当社に絶好のチャンスが到来した。
自動運転・シェアリングサービス・電動化で
(cid:127) 5～10年後の社会に価値提供する自社のありたい姿は具体化し
ある「CASE」へと大転換している。
ている。それは既存顧客向けの電動車向けめっき事業３本柱で
(cid:127) それを解決する優れた企画、魅力あるめっき
ある直噴インジェクター(xEV及びICE)、パワーコントロールユニット
製品を常に提供し、お客様に目を向け存在
(xEV)、電動車バッテリー(xEV)へ投資を継続して事業拡大する
力のある期待される会社を目指している。
ことである。直噴インジェクターの補助事業をやるからこそ、その成
(cid:127) それが当社のコンセプト「めっきでレボリューション」である。
果で企業価値が高まり、新しいまた次の事業である電動車バッ
テリー事業の投資と拡大ができる。更にGo‐Tech研究開発事業
の成果により新規顧客向けの新事業創出に挑む。 内発的動機
(cid:127) 本補助事業では2025年5月期から本社工場増設と生産設備に (cid:127) 既存事業の低迷により2020年5月期に売上11億円まで下落した
「33.3億円を投資」し、事業完了後の2028年5月期～2030
が、2015年5月期に５代目社長になり「受託生産中心」だったビ
年5月期において「１人当たり給与支給総額の年平均上昇率目
ジネスモデルを「開発主導型」へ転換し、補助事業対象の電動車
標「5％(要件3.4%)」を必ず達成させ、中堅企業を目指す。
部品めっき加工への開発参画と量産化により2022年5月期に
17.6億円、2023年5月期に創業以来最高額の25.8億円まで
売上成長目標
（補助事業完了の2027年5月期を基準に）
売り上げを伸長させてきた経験がある。
【補助事業】
(cid:127) その原動力は、ガソリン車から事業転換してきた成長投資する電動
(cid:127) 2030年5月期までの売上高成長率+107.9％
車部品のめっき加工である。自動車部品Tier1メーカーと7〜8年
(cid:127) 〃 売上高増加額+37.5億円
前から技術検討を始め、3年前から量産を開始し、現状は現有工
【会社全体】
場フルキャパの22時間/日の大量生産を行っている。
(cid:127) 2030年5月期までの売上高成長率+72.0％
(cid:127) 経営者が先頭に立って成長と幸せを実感できる会社を目指す。
(cid:127) 〃 売上高増加額+40.2億円</t>
  </si>
  <si>
    <t>スズキハイテック株式会社
.補助事業の概要
2
直噴インジェクターめっきラインに2025年5月期から3年間で総額33.3億円を投資し生産性を向上させ、2027年5月
期を基準に2030年5月期までの期間、補助事業１人当たり給与支給総額を年平均上昇率5%まで引き上げる。
現在の本社工場生産能力では、顧客要請の増産計画に応えられない
33億円
補助事業の 事業費
ため、新工場建設と新規設備等への成長投資により生産性を高め、省
背景・目的 （補助額） （ 億円）
8.9
力化した分を成長投資ラインへ人員配置し目標の賃上げを実行する。
直噴インジェクター めっき・検査ライン
投資No 設備投資の内容 投資金額(百万円)
1 建屋増築・改修 1,053
設備投資の
2 機械装置費 2,191
内容
ソフトウェア・
3 86
外注費他
合計 3,330
項目 2027年5月期（基準年度） 2030年5月期（基準年度+3年後）
労働生産性 1,695
925
（単位：万円/人） （年平均上昇率＋22.4％）
目標値
従業員1人あたり給与支給総額 446
385
補助事業 （単位：万円/人） （年平均上昇率＋5.0％）
役員１人あたり給与支給総額 1,205
1,041
（単位：万円/人） （年平均上昇率＋5.0％）
補助事業に係る従業員数
190 208
（単位：人）
※労働生産性＝付加価値額÷従業員数=(営業利益+給与支給総額＋減価償却費)÷従業員数</t>
  </si>
  <si>
    <t>1.長期成長ビジョン 泉南乳業株式会社
泉南乳業株式会社は、乳業メーカーとして持続可能な会社となるため、2030年度に売上高200億円、関西
№１の乳業メーカーを目指します
長期成長ビジョン（目指す姿・ビジネスモデル） 外発的動機
• 2024年問題により、2024年度には14％、2030年度には34％
創業82年の地域に根付いた乳業メーカーであり、FSSC 22000をか
の輸送力不足の可能性が指摘されており、荷待ち・荷役の削減な
なり早い時期に取得したこともり、業界内でも品質管理体制に定評 どに取り組む必要性※１
がある • 生産年齢人口は減少傾向にあり、労働力確保が難しくなるなか、
設備投資による省人化は必須 ※２
• 先進的な設備を導入することで、顧客ニーズや高い品質を維持、
• 牛乳の生産量は、2011年以降において、新型コロナウイルスによる
消費者に安心してご利用いただける商品をとどける 家庭内需要の高まりなどで増減あるものの、概ね3,000千kl超で
推移 ※3
• 学校給食無償化に伴い、牛乳パックを安定して供給できる体制
• インバウンド活況により日本の牛乳のおいしさが認知され、海外から
構築
の引き合いが増加
• 海外輸出、量販店向けPB商品や清涼飲料水のOEM受託等に
内発的動機
より、更なる成長を図る
• 持続可能な会社を目指すため、品質を高めつつ、多様な顧客ニー
ズにこたえるため、継続的に先進的な設備投資を実施する計画
売上成長目標 • 2024年度より大阪市において学校給食の無償化が本格実施され
• 2030年までに売上高成長率185％ るため（中学校における昼食持参→給食化）、生産設備を増強
• 2030年までに売上高増加額96億円 し、安定供給できる体制を構築
※ 2023年度比較（2024年3月期売上高113億円）
• 海外輸出売上が増加傾向にあり、計画を前倒しで生産設備を拡
充する必要あり
• 2024年問題対応や、生産性向上、省エネ化といった視点において
も設備導入が必要であるという認識
出典 ※1 農林水産省東海農政局経営・事業支援部 「物流2024問題に向けた対応について」
https://wwwtb.mlit.go.jp/chubu/jidosya/ouensaito/nouseikyoku.pdf
※2 関西広域連合「関西圏域の現状及び将来推計」https://www.kouiki-kansai.jp/material/files/group/3/1428479123.pdf
※3 農林水産省「最近の牛乳乳製品をめぐる情勢について」 https://www.maff.go.jp/j/chikusan/gyunyu/lin/attach/pdf/index-80.pdf</t>
  </si>
  <si>
    <t>.補助事業の概要 泉南乳業株式会社
2
生産設備の増強により、ボトルネックとなっていた生産能力を向上させ、売上成長へとつなげる。
省人化・効率化を図り、労働生産性の向上を図る。
補助事業の • 需要に対する生産能力不足、労働力確保の困難性、2024年物流問題といった課題感 事業費 12億円
背景・目的 • 最新設備による生産能力の増強により、牛乳の学校給食や輸出需要にこたえる （補助額） （ 億円）
1.3
学校給食・海外輸出用（量販用含む）牛乳等の生産設備を増強
（投資内容の目的、及び期待される投資効果）
生産能力がボトルネックとなり、現有設備では海外需要、新規取引先の増産に応えることができないが、生産設備増強によりボ
トルネックが解消される。
• 受乳タンク：
① タンクの大型化により受入在庫量が130％に増加、受入回数減少により、洗浄等に要する時間と工数を大幅削減
設備投資の ② トラック受入台数が2倍となることで待機時間が大幅に縮小
内容
• 学給・海外輸出用（量販用含む）充填機：学校向けで120～130%、海外向けで130%程度の増産能力UP
• 冷蔵倉庫拡張：外部倉庫を借りた場合、物流リードタイムが長くなる→品質にも影響
以上より、販売数量増加による売上成長が見込まれるとともに、省人化・効率化を図ることが可能となるため、労働生産性が向
上する。
2025年度 2028年度
項目
（基準年度） （基準年度＋３年後）
労働生産性 1,957
1,39
（単位：万円/人） 2 （年平均上昇率＋1 ％）
2
従業員1人あたり給与支給総額
目標値 603
（単位：万円/人） 520 （年平均上昇率＋5.0％）
役員１人あたり給与支給総額 -
-
（単位：万円/人） （年平均上昇率＋5.0％）
補助事業に係る従業員数
104 117
（単位：人）</t>
  </si>
  <si>
    <t>.補助事業の概要 泉南乳業株式会社
2
設備増強により、生産能力の引き上げ（120~130%）と、当社作業員の工数削減を両立させるとともに、タ
ンクローリーのドライバーの待機時間短縮、全国的に不足している冷蔵倉庫不足に対応
学給・海外輸出用（量
受乳タンク 冷蔵倉庫拡張
販用含む）充填機
- 50tタンク×3基 新設 - 学校給食向け：200ml用
キャパシティ不足解消目的
- タンクの大型化により受入在 - 一般流通・海外向け：1L用
冷蔵倉庫拡張・新設（外部倉庫を利用可能性が減少）
庫量130％
導
入
設
備</t>
  </si>
  <si>
    <t>.補助事業の概要 泉南乳業株式会社
2
製造工程における投資ポイントは下図のとおり。受入、充填、出荷の各ポイントの増強により、生産能力を120
～130％引き上げる計画
ポイント①
タンクの大型化により、タ
ポイント③
ンクローリーの受入台数が
1台から2台に 冷蔵倉庫増設（生産キ
（投資効果） ャパシティに影響）
• ドライバーの待機時間の （投資効果）
短縮化→2024年物 • 保管量 120％UP
流問題対応 • 庫内作業効率化（工
• 受入量UP→工数、残 数、残業時間短縮）
業時間短縮、在庫量 • 出荷作業（積込み作
増により天候による供給 業）の円滑化（工数、
リスクを軽減（供給の 残業時間短縮）
安定化）
具体的に・・・
ｰ 庫内作業の効率化…現状は
ポイント②
庫内が狭いため製品の置き換え
生産能力大幅UP
などの余分な作業が発生している
（投資効果）
- 出荷作業の円滑化…出荷ス
- 学校向けで120～
ペース確保のため出荷作業（ピッ
130%
キングや積込み）、配車（車両
- 海外向けで130%程
待機時間短縮や混雑の解消）
度の増産能力UP
問題の解消</t>
  </si>
  <si>
    <t>1.長期成長ビジョン 山城金属株式会社
EV分野に進出して、中規模企業を卒業して中堅企業(資本金１億円)を目指す。
世界の自動車のオイル芯金シュア10％→15％を目指す。
長期成長ビジョン（目指す姿・ビジネスモデル）
外発的動機
・業績目標 新型コロナウイルス感染症の影響で自動車業界は、これま
自己資本利益率 で以上地球温暖化対策への意識が世界的に高まってきてい
る。それは、国連気候変動枠組条約第3回締約国会議
(ROE)＝4.2％(現状)→10％(10年後)
(COP3)で採択された京都議定書では、気温が1～2℃上
・事業目標
昇するだけで感染症の流行リスクが高まると予測されている。
現在、主に内燃自動車分野で事業活動
そのため、化石燃料を使う内燃自動車からEV自動車の需
→EV自動車分野でも発展したい。
要増が出てきた。
世界の自動車の芯金シェア10％→15％(10年後)
・組織目標
内発的動機
資本金7千万円→1億円(10年後) 当社[山城金属㈱]は、香川県で地域牽引企業として選
中規模企業を卒業して、将来中堅企業を目指す。 定されている。
私は、松下幸之助氏の大番頭だった稲井隆義氏を同郷
売上成長目標 のよしみで敬愛している。稲井隆義氏が四国で興した旧稲
・2029年までに、会社全体の売上高成長率 井電子工業㈱は、点灯管、豆電球、導入線など管球部品
基準年度(2026年9月期)比 170％ で高いシェアを持ち、極めて独自色の強い会社だった。このよ
・2029年までに、会社全体の売上高増加額 うに、会社を成長させるためには、時流(現在：EV化)に
基準年度(2026年9月期)から＋38億円 沿って、高いシェアと独自技術を強く持つことが重要と考える。
ぜひ、「大規模投資補助金」を活用させていただき地域貢
献とともに大きく成長したい。</t>
  </si>
  <si>
    <t>.補助事業の概要 山城金属株式会社
2
補助事業の概要：満濃工場第5工場＋省力化設備＋プレス・立形マシニング
目標(2029年度)：労働生産性・年平均12％UP、給与支給総額5％UP
金型・プレス・集荷・結束・倉庫部門の工程に省力化設備、高性能設備や建屋を導入し精密
補助事業の 金属部品で培った強みの金属プレス加工技術で需要が増えてきている新規EV用オイルシール 事業費 1 5 億円
（補助額）
背景・目的 芯金部品へ本格進出する。生産工程を省力化し加工精度を高め、売上や収益と生産性を高 （5. 億円）
0
める。
・工場建物(満濃工場第5工場)
・工場付帯設備(電気設備工事等)
内訳 空調設備工事
電気設備工事他
・省力化設備
内訳 ケース立体自動倉庫
設備投資の
自動製品取り機 写真等
内容
他省力化機器
・生産設備
内訳 プレス NC2-1600(160t)
プレス NC2-2000(200t)
プレス NC2-2500(250t)
立形マシニングセンタV99L
2026年度（基 2029年度
項目
準年度） （基準年度＋３年後）
労働生産性
780
656
（万円/人） （年平均上昇率＋ ％）
5.9
目標値
従業員1人あたり 645
556
給与支給総額（万円/人） （年平均上昇率＋5.1％）
役員1人あたり 1,
1,3 804
給与支給総額（万円/人） 55 （年平均上昇率＋10.0％）
補助事業に係る従業員数
311 496
（単位：人）</t>
  </si>
  <si>
    <t>1.⻑期成⻑ビジョン 長﨑ジャッキ株式会社
真摯なモノづくり、微細なニーズのキャッチアップにより、モノづくりを通し新しい価値を創造し創業100年を⽬指す
⻑期成⻑ビジョン（⽬指す姿・ビジネスモデル） 外発的動機
• 次世代⾃動⾞(EV, PHV)の台頭による顧客ニーズの多様化
• 真摯なモノづくり、微細なニーズのキャッチアップにより、モノづくり
を通し新しい価値を創造し創業100年を⽬指す • EC市場の拡⼤によるBtoC顧客の増加による商社の製品需要増
• ⾃動⾞整備⼠の需要過多による省⼒化・補助具ニーズの増加
1. 「100年に⼀度の⼤変⾰時代」の⾃動⾞業界において、ニッチ • ラストワンマイル配送の需要による宅配業者の増加
• カーシェアリング・カーレンタル事業者の成⻑
ニーズに応え続け裾野の広いユーザー層に⽀持される強固な基
盤を築く
2. 魅⼒的な職場を⽬指し、賃⾦アップ、労働環境の整備を⾏い、
⼈材強化に努めることで⽇本のものづくりの発展に寄与する
3. ⾃動⾞整備⼠の需要過多を、ものづくりで解決し、サプライチェー
内発的動機
ン全体での更なる成⻑を⽬指す
• 顧客ニーズに柔軟に対応することで、取引先とともに成⻑してきた、
当社、取引先ともにさらに成⻑するためには、次世代⾃動⾞(EV,
売上成⻑⽬標 FCV等)の対応により更なる多品種⽣産が必要
• 2030年までに会社全体の売上⾼16.8億円(+134.1%) • 増産要求を受けているが⼯場の⽣産キャパシティオーバーのため断っ
増、売上29.2億円を⽬指す。 ている</t>
  </si>
  <si>
    <t>長﨑ジャッキ株式会社
2.補助事業の概要
工場新設により、生産キャパシティがなく増産や製品開発に対応することが困難な現状から脱却し、売上・利益
率増による大幅な労働生産性の向上を実現する
• 取引先からは増産要求がある中で現状の生産設備では対応が困難 22億円
補助事業の 事業費
• 次世代自動車の普及や、商用車の設備機械の増加により更なる生産性の強化により事業の （6.3億円）
背景・目的 （補助額）
拡大を行う
• 安城市に工場を新設にし、既存工場と連動させることで生産量198.7%を
実現する
• 建設場所は高棚福釜ICの付近であり、商品出荷の観点から物流の効率化
による、短納期への対応も可能となる
• 以下3点より大幅な労働生産性の増加を見込む
設備投資の  売り上げ104.8%像に対し、工場の従業員27.4%の増加で足りる
 生産量の増加に伴い大量発注で原材料仕入れ額を低減し、新設
内容
工場必要電力の30%を太陽光発電することで大幅な原価低減
 事業拡大による利益は賃上げの原始とし、拡張後は毎年現状の2
倍以上となる賃上げ7%を実施する
2027年度 2030年度
項目
（基準年度） （基準年度＋３年後）
労働生産性 2045
1013
（単位：万円/人） （年平均上昇率＋26.4％）
従業員1人あたり給与支給総額 531
目標値 433
（単位：万円/人） （年平均上昇率＋7.0％）
役員１人あたり給与支給総額 1706
1473
（単位：万円/人） （年平均上昇率＋5.0％）
補助事業に係る従業員数
60 75
（単位：人）</t>
  </si>
  <si>
    <t>株式会社GOTENリゾート
1.長期成長ビジョン
インバウンド需要の回復・拡大を機会と捉え、佐賀の美味しい食材を使った『観光特産品』の開発を地元関係者と推進し、佐賀のグローバルでの認知
度・誘客力向上を図る。また、DX投資で省力化・接客品質の高度化を図り、当社の強みである『歓声の上がるおもてなし体験』と観光メニューを組み
合わせた、高収益型高級リゾート旅館の成長モデルを実現し、全国のリゾート旅館のモデルとなる、佐賀県No.1のリゾート旅館グループを実現する。
長期成長ビジョン(目指す姿・ビジネスモデル) 外発的動機
＜メガトレンド＞
• VISION2029(売上24.7億、営利6.3億、従業員数127名)
・観光立国の推進。東京五輪や大阪万博開催に対応し、高級ホテル建設が増加。
• 佐賀県の個性的で高品質な食材を用い、高付加価値の観光特産品 ・富裕層において、原料や製法の丁寧さに拘る高付加価値な日本食などに人気
（※）開発を地元関係者と推進、誘客力向上（地産来消）を図る。 ・地域の社会課題解決の担い手となる企業（ゼブラ企業※）創出機運の高まり
• 独自価値創出型の既存施設（国内富裕層が満足する個性的なリ ※「新しい資本主義のグランドデザイン及び実行計画」（2023年閣議決定）では、
「地域の中小企業から、地域の社会課題解決の担い手となるゼブラ企業の創出」を提言。
ゾート旅館）に加え、成長市場（インバウンド富裕層）向け高付加
＜成長機会＞
価値型リゾート旅館への成長投資により、佐賀県の魅力を最大限に
・佐賀県観光アクションを協議する役職（観光連盟福会長、旅館組合理事）就任
伸ばす高収益型リゾート旅館群（ゼブラ企業）を創出する。
・インバウンド需要の回復と（地方への関心が高い）訪日リピート客の増加
• 上記より、観光特産品（地産来消）×リゾート旅館のビジネスモデ ・新幹線開通により、欧米からの訪日客が多い長崎からのアクセスが向上
ルを構築し、国内外からのゲストの満足度向上を図る。 ＜脅威＞
・人口減少による国内旅行需要の減少及び働き手の不足
• また地場企業としての地域の「観光DX」を推進する担い手となり、人手
・物流費、原材料・エネルギー価格のさらなる高騰
不足社会の中で省力化・上質なおもてなしの進化に取組む。
・感染症やウクライナ情勢などによる、地政学的リスクの増大による人流の混乱
※観光特産品：地域で消費されている特色のある観光資源を用い（地産地消）
た特産品を地域外で販売（地産外消）し知名度UP・ファン化を行い、地元に訪
内発的動機
れて貰う（地産来消）ことで、地域活性化を図る特産品（日本観光士会）
・国内旅行市場の成熟に伴い、客を奪い合うビジネスモデルからの脱却が必須。
売上成長目標（対2022年10月期比：事務局指示）
・今後は、インバウドの誘客力向上を、地元関係者と共同で行うことが不可欠である。
• 2029年10月期までの会社全体の売上高24.7億円 ・佐賀県観光連盟副会長、旅館組合理事に就任（観光戦略推進責任者）。
・佐賀の美味しい食材等の高付加価値化が、魅力向上・地域の稼ぐ力向上に繋がる。
• 2029年10月期までの会社全体の売上高成長率243％
・既存旅館２施設で、23期連続黒字経営の高付加価値・高収益性を実現するも、客
• 2029年10月期までの会社全体の売上高増加額17.5億円
室稼働率が90％超と高く、更なる成長（売上、宿泊客）が厳しい。
※2022年【事務局指示】売上高７.2億円、営業利益0.8億円、従業員数70人
・旅館業は装置産業のため長期投資回収が前提。コロナ危機を含む、23期連続黒字
既存２施設＋新館１施設、全３施設での実現を目指す
化達成の高収益力を背景に、新館投資による成長のタイミングと決断。
• 旅館(既存)太良嶽温泉蟹御殿（16室） 売上高 6.1億円 ・経営理念は「お客様の笑顔のために、私たちの笑顔のために」。経営理念の実践には、
• 旅館【既存】奥武雄温泉風の森（11室） 売上高 3.6億円 働く私たちの『働きがい』が重要である。（働きがい＝生きがい×やりがい）
• 旅館【新館】奥嬉野温泉無名滝（22室） 売上高 11.5億円 ・規模の拡大を行うには現場のスタッフ育成に加え、経営人材の育成も必須。
・当社の長期ビジョン「旅のチカラで世界を変える」。観光特産品×リゾート旅館という
• 観光特産品事業 売上高 3.0億円
２つの魅力を掛け合わせた新しいビジネスモデルを実現し、長期ビジョンを達成する。
現在、佐賀県を代表する温泉地に2つの旅館を運営。1991年の創業以来、大切な人に喜んで頂けるような安らぎの時間と歓声の上がる驚きの体験を提供する『リゾート旅
館』として23期連続黒字経営を達成。日本の旅館には海外の宿泊施設にはない独特の文化・魅力があり、国内外から多くの方が来館。今後は、DX化による省力化・上質な
おもてなしのさらなる進化、地元観光業者と協力した地元特産品の地産来消（世界に佐賀の魅力を発信）の推進により、成長分野のインバウンド需要を取り込みながら、
全国のリゾート旅館のモデルとなる高収益モデルを構築。日本を代表するリゾート旅館グループへの成長を目指す。</t>
  </si>
  <si>
    <t>株式会社GOTENリゾート
.補助事業の概要
2
2019年末からのコロナ禍においても右肩上がりの売上高と23期連続黒字を実現した、当社の高付加価値＆高収益型ビジネス
モデルを、今後のインバウンド需要の拡大、人口減少などのトレンドを睨みつつ、収益構造を抜本的に変える新たなビジネスモデル
【観光（地産来消）×高級リゾート旅館】へ進化。地方旅館が、今後生き残るためのロールモデルの構築を目指す。
魅力ある観光特産品や観光メニューの開発により、佐賀県の誘客力と地域の稼ぐ力を強化する。今後の
事業費
成長拡大には、宿泊キャパの拡大が必須であり、政府が目指すコロナ後の観光振興には、富裕層インバウ
補助事業の 事業費 ２ 8 億円
ンド層の取り込みが必須。インバウンド誘客では、観光特産品を越境ECを活用した積極的な海外販路拡
背景・目的 (補助額) 補助額
大に取り組む。また、今後の深刻化する人手不足に対応し、徹底的な省力化投資を実行。観光（地産来
(８ 億円)
.0
消）×リゾート旅館という新しいビジネスモデルを構築することにより、地方の旅館の収益構造を変える。
＜新館概要＞
• 嬉野温泉に、緑豊かな周辺の景観を活かし、さらに、目の前に滝がある唯一無二の22部屋の高級旅館（新館）を建設
• 全室露天風呂付き客室、富裕層インバウンドが好む伝統工芸や景観を活かした高単価リゾート旅館
＜省力化・生産性向上＞
• グループ施設(今後計画分も合わせた5施設)全体で労働生産性向上をしていくために、DX化を推進していく。
• スマホ1つで施設内の全てが完結するシステムやレベニューマネジメントの自動化、日本旅館初の客室配達ロボット、掃除ロボットなどを導入
主な • 湯量センサーや客室家電のコントロールシステム導入による人手によるオペレーションの簡略化を実現
＜低環境負荷＞
設備投資
内容 • 日本庭園の『借景』を援用し日本文化のワビサビを具現化する手
法や日本建築の省エネの知恵を応用したパッシブな館内環境制御
技術を、新館（本補助事業）設計に応用。リゾート旅館開発に
おける、低環境負荷型開発を実現
• 省エネ・脱炭素を実現する高効率ボイラーや空調、LED照明採用
• 仕入れ、在庫管理のシステム導入による廃棄ロスの削減
目の前の滝を利用した環境配慮型の小水力発電の実施
新館 無名滝（借景）
2025年度（2026年10月期） 2028年度（2029年10月期）
項目
（基準年度） （基準年度＋３年後）
労働生産性
671 万円/人
973 万円/人
（単位：万円/人） （年平均上昇率＋13.2％）
目標値 従業員1人あたり給与支給総額 373 万円/人
292 万円/人
（単位：万円/人） （年平均上昇率＋8.5％）
役員１人あたり給与支給総額
1100 万円/人
1290 万円/人
（単位：万円/人） （年平均上昇率＋5.5％）
補助事業に係る従業員数
106 人 127 人
（単位：人）</t>
  </si>
  <si>
    <t>1.長期成長ビジョン 株式会社カナイ
大規模成長投資と当社の強みを活かし中大規模木造向け接合金具事業の市場へ本格的に進出し、
「サプライチェーン全体の生産性向上」及び「継続的賃上げ」を図り、売上・成長目標を達成する。
外発的動機
長期成長ビジョン（目指す姿・ビジネスモデル）
• 人口減少や高齢化社会を背景として、新築の住宅着工件数は
当社は自動化物流倉庫への大規模投資及び木造住宅接合金具市場で
2022年度の86万戸から、2040年度は55万戸への減少が予測
培った強みを活かし、新規市場(中大規模木造建築の接合金具事業)へ
(*1)される。それに伴い、当社の主たる事業である木造住宅向けの
の本格的な参入及び既存事業(木造住宅の接合金具)のシェア拡大を行
接合金具市場についても縮小が見込まれる。
い、2029年における単体売上高400億円、2023年比売上高成長率
• 一方で、国の施策(脱炭素等)により、中大規模の木造建物を含む
33%を達成する。
国内非住宅木造市場は、2021年の5,952億円から、2025年には
また、売上高の成長のみならず、『当社及びサプライチェーン全体の生産性 7,700億円(成長率+130%)への拡大が予測(*2)されており、当
の向上』及び『継続的な賃上げによる従業員還元』を、木造建築業界全 社の強みを生かし本格的な市場参入を行う。
体の持続的な発展のための、当社の長期成長ビジョンとする。 • 2024年4月からの「時間外労働の上限規制」や労働力不足は、当
社が下請として属する木造建築業界にも大きな影響を与えている。
①サプライチェーン全体の生産性の向上
当社はサプライチェーンの一社として物流機能を強化し、当社のみなら
新市場への取り組みの過程で、大規模投資による物流機能の強化を行い、 ず建設現場や配送業者の生産性向上に貢献したいと考えている。
既存事業も含めたサプライチェーンに関わる人々(当社従業員、建設現場、
配送業者等)の生産性の向上や労働力不足の解決に貢献する。
内発的動機
②継続的な賃上げによる従業員還元
• 当社は木造住宅建築を支える下請企業として、震災の多い日本にお
新市場進出、既存事業拡大には安定した人材の確保が必要となる。その
いて『人の命を守る』を使命とし、多種多様で高品質の接合金具を供
ため、賃上げによる継続的な従業員還元(従業員１人あたりの給与支給
給してきた。そして、創業60周年の節目である2023年に、大阪万博
総額の年平均+7%増加の達成)を図ることで、人材の確保を図り事業の
の木造建造物に当社製品の供給を行い、従業員の誇りやモチベー
安定した成長を実現する。
ションへの繋がりを見て、ランドマークとなる中大規模の木造建築により
深く携わりたいと感じた。
売上成長目標(2023年比) • 一方で、当社は知名度不足から人材採用に苦心している。新市場
進出や既存事業拡大のためには人材の確保が不可欠であり、継続
• 2029年まで当社単体の売上高成長率33％
的な賃上げや福利厚生の拡充等の更なる従業員還元が必要である
• 2029年まで当社単位の売上高増加額100億円
と考えている。
単体売上高 2023年度 当社 300億円
• そのためには、今まで以上に多種多様の製品の取扱いや物流の更な
2029年度 当社 400億円
る効率化による売上、収益向上が必要であり、大規模成長投資(補
助事業である自動化倉庫の建設等)の実施が不可欠である。
*1(株)野村総合研究所 日本における「2023～2040年度の新設住宅着工戸数」の推計・予測(2023/6/22)
*2株)矢野経済研究所 2022年版 非住宅木造市場の実態と展望(2022/10/16)</t>
  </si>
  <si>
    <t>株式会社カナイ
.補助事業の概要
2
大規模成長投資として自動化物流倉庫を建設し、物流機能の強化及び付加価値向上を図ることで、既存事業
及び新市場でのシェア拡大及び継続的な賃上げを実施する。
• 木造住宅市場の着工減少が予測される中、既存市場(住宅木造向け)のシェア拡大及び新規市場(中大規
模木造向け)への進出が必須である。既存市場及び新規市場でのシェア拡大のために、物流機能の強化(出
補助事業の 荷能力向上、省人化、大量保管等)が必要となる。 事業費 億円
45
背景・目的 • 当社製品は震災時に『人の命を守る』接合金物であり、納品ミスがないように品質統制を徹底している。しかし、 （補助額） （ 億円）
6.9
取り扱い製品の増加や人材採用難を見据えて、自動化、標準化による品質統制が急務である。
• 人材獲得・定着の観点から、労働生産性の向上による従業員への継続的な賃上げを行う必要がある。
• 設備投資の内容（詳細はP12に記載） 計
埼玉県内の既存の物流倉庫3拠点を1拠点に集約し、地上4階建ての自動化物流倉庫を建設する。 画
当物流倉庫は、既存の物流倉庫にて人で管理・運営していた倉庫内の作業を、倉庫管理システム、自動ラック パ
ー
、自動搬送装置等を導入し、商品の入庫から出庫まで最大限の自動化を図る。
ス
また、地上4階建てとすることで保管スペースの拡大も図るものである。
設備投資の
内容 • 設備投資による効果(詳細はP13に記載)
①倉庫業務の自動化による、省人化及び出荷短縮による生産性の向上、業務標準化による品質統制の向上(納品ミス削減)に繋がる。
②省人化により人材の付加価値業務(ピッキング等)への転用が可能となり、 『邸別配送＋階層別』及び『工程別配送』を実現する。これに
より当社の製品の付加価値が向上(建設現場の利便性向上に寄与)し、新市場及び既存市場でのシェア拡大及び収益性アップに繋がる。
③人材の転用のみならず、ピッキングやシェア拡大のための営業人員等の新規人材も必要であり、地域の新たな雇用創出に繋げる。
④上記により、当社グループの収益性、労働生産性が向上し、継続的な賃上げによる従業員還元により安定した人材の確保が可能となる。
2026年度 2029年度
項目
（基準年度） （基準年度＋３年後）
（単
労
位
働
：
生
万
産
円
性
/人）
1,668
（年平均上
2
昇
,5
率
9
＋
2
15.8％）
目標値 従業員1人あたり給与支給総額 536
（単位：万円/人）
438
（年平均上昇率＋7.0％）
役員１人あたり給与支給総額
1,000
1,125
（単位：万円/人） （年平均上昇率＋4.0％）
補助事業に係る従業員数
100人 140人
（単位：人）</t>
  </si>
  <si>
    <t>2 .補助事業の概要 株式会社カナイ
補助事業の概要の補足資料
自動倉庫平面図設計図及び導入設備の詳細と効果、物流拠点の集約について
1.自動倉庫 平面図設計図及び導入設備の詳細 ③AIパレタイズ/デバレタイズロボット
パレタイズとは荷物をパレットに積み上げる作業である。倉庫内の「取る・置く」を自動化により省人化、
自動倉庫の平面図及び導入設備一覧
出荷スピード向上が期待できる。
①自動倉庫ラック ④シャトル＆サーバ
電動式の移動棚であり、高層化での大量保管、格納効率の向上、省人化等の効果 「高能力自動倉庫」高速で走行する複数のシャトルが高速で同時に入出庫を行い、
が期待 荷揃え・仕分け・ピッキング・補充能率を行い、省人化、出荷スピード向上が期待できる。
②WMS(倉庫管理システム) ⑤AGV（物流送台車）
倉庫への貨物、資材、商品の入出庫管理や在庫管理などの機能を搭載したシステム 「無人搬送車」工場や倉庫で従来は人が行っていた搬送作業を代替するロボットである。
である。入出荷情報等の一元管理の効果が期待できる。 ⑥Goods to Personシステム
物流倉庫内のピッキングや運搬業務をサポートするシステムであり、ロボットが商品のある棚を運んでくる
ため、省人化・ピッキング業務の効率化、正確性の向上が期待できる
⑦垂直搬送機
荷物を垂直に上げ下げして異なる階層に移送させるための設備であり、省人化が期待できる。
⑧RGV（有軌道台車）
設置されたレール上を移動するように設計された台車で、倉庫内での資材運搬や製品搬出などを目的
に使用する。省2.化が期待できる。
⑨太陽光発電パネル
上記の①～⑧までの自動化設備より、毎月最大稼働で200万円の電気代が見込まれることから、倉
庫内の自社利用として太陽光パネルを設置する。
2.物流拠点の集約 ①第二物流倉庫(埼玉県八潮市西袋540)
埼玉県内の右記の既存物流倉庫を
下記の新物流倉庫に集約する
①補助事業住所
埼玉県八潮市大字浮塚20他 ②幸手物流倉庫(埼玉県幸手市木立1830-15)
②敷地面積
7,605㎡
③建物床面積
1階：5,135㎡
2階：2,363㎡
③第四物流倉庫（埼玉県八潮市浮塚20）
3階：1,196㎡
4階： 806㎡
合計：9,502㎡</t>
  </si>
  <si>
    <t>池田糖化工業株式会社
1.⾧期成⾧ビジョン
売上成⾧目標 ※2023年度対比
• 国内の深掘りと新領域への挑戦
• 2029年までの会社全体の売上高成⾧率84％
• 海外輸出向け商材の拡大
• 2029年までの会社全体の売上高増加額471億円
⾧期成⾧ビジョン（目指す姿・ビジネスモデル）
外発的動機
ステークホルダーの「笑顔」のために、常に環境の変化に対応しながら、食を通じて
• 高齢化社会による健康寿命の延伸ニーズの高まり
「未来をつくる会社」を目指します
• SDGｓに基づいたサステナブル経営の要求
■国内の深掘りと新領域への挑戦
• 感染症（コロナ）の終息による訪日外国人の回復
• ウェルネスフードに向けた健康食品商材の拡大（微生物培養事業、ステビアヘ
• 食の多様性（ビーガン食、ハラール食対応）
ルス、乳酸菌商材、納豆菌商材、ジンジャーエキス商材）
• 国内労働人口の減少（人手不足）
• プラントベースフードに向けて品質向上商材の拡大（プラントdeリッチシリーズ）
• 国内人口の減少
• カーボンニュートラルへの事業参画とサーキュラーフードへの活用（藻類産業
• 国内外食チェーンの海外出店加速
（MATSURIプロジェクト）への参画と藻残渣の食品への活用）
• カーボンニュートラルへ向けた脱炭素経営の要求
• インバウンド需要に向けた外食及びコンビニ向け調味料、デザートソース、微粉砕
• 国内外でのペット市場の拡大
品、色素の拡販
内発的動機
■海外輸出向け商材の拡大
• 酵素検査事業で培った微生物培養技術
• 即席めんへの調味料、米飯用製剤、冷凍スイーツへのデザーソースの販売
• 創業120年の中での主事業変遷の歴史
• 国内外食チェーンの海外出店時の調味料販売
• 創業時:水あめ製造→現在:カラメル色素・調味
料などを幅広く製造
■粉末事業への注力
• 当社の存在意義「働く人の幸福」「お客様の満足」
• 新規設備と自社独自技術を掛け合わせた高付加価値商材の開発・販売
「社会への貢献」
• 海外への輸送や⾧期・常温保存に適した粉末商材の拡大
• 創業120年の歴史の中で培ってきた国内食品メー
• 高価な設備の更新を止める企業の商材の取り込み
カーとのつながり
⾧期成⾧ビジョン実現のための課題
省力化
市場のニーズにマッチした 海外および国内の
人手不足の解消 製造キャパの拡張
新製品開発 市場開拓
賃上げ原資の確保
上記課題解決により、高付加価値企業への転換を図りたい</t>
  </si>
  <si>
    <t>池田糖化工業株式会社
2.補助事業の概要
• 世界に通用する技術で、補助事業を池田糖化成⾧のエンジンに
• 高付加価値製品の増産と効率化で、労働生産性の大幅アップ
補助事業の • 将来的に予測される人手不足に対応した省力化工場の建設および、新規導入設備で高付 事業費 162億円
背景・目的 加価値製品の増産を行い、従業員の賃金アップを目指す。 （補助額） （50億円）
• 新工場の新設および、製造設備の導入を行う（設備の詳細については、次頁以降で説明）
（A）事業に要する経費 （B）補助対象経費
単位:千円 （C）補助金交付申請額
（税抜き） （税抜き）
建物費 10,267,000 10,000,000 3,333,333
設備投資の
機械装置費 5,924,253 5,000,000 1,666,667
内容
合計 16,191,253 15,000,000 5,000,000
• 設備投資により、市場の拡大が見込まれるペットフード、ウェルネス市場の開拓に注力するとともに、現在市場の需要に供給
が追い付いていない微粉砕商材市場やオーブン市場、海外市場へ増産体制を構築する。
• また製品単価の高い物に注力し、付加価値額をアップさせることで、労働生産性を2026年度から年平均126.5％増加さ
せる
2026年度 2029年度
項目
（基準年度） （基準年度＋３年後）
労働生産性 8,748万円／人
753万円／人
（単位:万円/人） （年平均上昇率＋126.5％）
目標値 従業員1人あたり給与支給総額 641万円 742万円
（単位:万円/人） （年平均上昇率＋5.0％）
役員１人あたり給与支給総額
0 0
（単位:万円/人）
補助事業に係る従業員数
110人 150人
（単位:人）</t>
  </si>
  <si>
    <t>ＺＡＣＲＯＳ株式会社
1.長期成長ビジョン
積極投資により事業競争力を強化し、2030年度を目標にROEを12%まで押し上げます。
長期成長ビジョン（目指す姿・ビジネスモデル） 外発的動機
• 近年の社会課題（例えば循環経済の実現、代替食品の普及など）は、モ
• 2030年度のROE12％達成を目指し、2030年度までに累計
ノの提供だけ・1社単独では解決できなくなっています。お客様もこれまで以上
1,100億円の投資を実行します。このうち、向こう3年間を積極投
に、モノの提供だけではなく、社会のあたりまえを変えるソリューションの提案を
資による構造改革期と位置付け、2026年度までに700億円の投 求めています。当社の創業以来のビジネスモデルは「世の中に新しい“モノ“を
資を実行します。「ビジネスモデル進化」、「ポートフォリオ変革」、「バ 提案し、カスタム対応を含む受注生産をする」ことです。過去3年間の営業利
ランスシート改革」を断行し、持続的な企業価値向上を図ります。 益目標未達の中でも、サービスや外部資源活用により高付加価値事業
（例えばBioPhaSや建材）が生まれています。
• 世の中の潜在的な「困り事」に先行して挑み、社内外の様々な製
この「ソリューション創造活動」を加速し、他事業に拡大しようとしていますが、
品や技術、サービスを組み合わせ、ユニークな解決策や新しい文化
それにはポートフォリオ変革・バランスシート改革が必須です。株式市場からも
や価値を生み続けるソリューション創造企業であり続けます。その
資本コストを重視した経営を求められており、企業価値向上を図るための目
結果として持続的な企業価値向上を果たします。 標値としてROE12％を設定しました。
数値目標
内発的動機
• 過去3年間で投資案件の準備は進展しましたが、実際の支出は179億円に
留まりました。一部既存事業は成熟化し、過度な安全性・足許収益性の重
視により投資案件探索活動も進まず、新商材・新事業の候補が不足してい
ます。
投資の遅れにより未活用資金が蓄積しており、業務改革(BPR)、DX推進、
AI、IOT、ロボティックスなど先端技術の進展も途上であり、生産現場も疲弊
しています。希少資源である人財への投資の充実も課題です。
この状況を立て直すため、安定的にフリーキャッシュフローを生み出し、資本効
率の観点から企業価値向上を図る企業体質になることを目標に、2030年
度ROE12％を設定しました。株主資本の有効活用と適正な利益の確保に
より、事業としても、従業員が働く場としても、企業価値の大前提であるサス
テナビリティを実現する企業を目指します。</t>
  </si>
  <si>
    <t>ＺＡＣＲＯＳ株式会社
2.補助事業の概要
業界初となる3m幅対応塗工機械を含む大規模設備投資を実施し、偏光板用プロテクトフィルムの生産体制を
1.3倍に拡大します。
• 近年、液晶パネルは大型化が進んでおり、今後も生産面積は右肩上がりで推移することが見込まれます。
補助事業の 事業費 129億円
• そのような市場環境下、当社は大規模投資により偏光板用プロテクトフィルムの生産能力拡大を図り、更なる
背景・目的 （補助額） （41億円）
競争力の強化を図ってまいります。
• 生産最適化を目的に、沼田生産拠点のレイアウトを変更し、新たに建屋を建築し
ます。
• 建築した建屋にて、液晶ディスプレイ製品の大画面化と世界的な需要増に対応
した偏光板用プロテクトフィルムの生産体制を構築します。業界初となる最大3m
幅に対応する塗工機を新設し、生産能力を面積ベースで約1.3倍まで引き上げ
ます。
設備投資の
内容 • この設備投資により、品質・コスト改善を図るほか、生産能力を拡大し、更なる競
争優位性を確保します。また、業界初となる3m幅生産設備を導入することで、
業界内でイニシアチブをとり、今以上のシェアの拡大を図ります。
• 生産能力が拡大する一方で、既存生産拠点のレイアウト変更を伴う生産の最適
化により、労働投入量を抑制することが可能となります。これにより労働生産性が
レイアウト変更・新設備の設置を予定している群馬県 沼田生産拠点
向上するため、増加した労働生産性を原資に賃上げの実施へとつなげます。
2026年度 2029年度
項目
（基準年度） （基準年度＋３年後）
労働生産性 4,375
2,352
（単位：万円/人） （年平均上昇率＋23.0％）
従業員1人あたり給与支給総額 766
目標値 661
（単位：万円/人） （年平均上昇率＋5.0％）
役員１人あたり給与支給総額 -
-
（単位：万円/人） （年平均上昇率 - ％）
補助事業に係る従業員数
384 384
（単位：人）</t>
  </si>
  <si>
    <t>1.長期成長ビジョン アシザワ・ファインテック株式会社
電池や電子部品市場の拡大を機会と捉え、当社のコア技術である「微粒子技術」を軸に、研究開発・生産・受託加工・拡販
体制を強化。次の100年に向け、『グローバルシェア拡大』・『受託加工の体制強化』・『新素材製造の量産化』に取り組む。
長期成長ビジョン（目指す姿・ビジネスモデル） 外発的動機
微粉砕機や材料開発・製造分野におけるメガトレンド
世界トップレベルの微粒子テクノロジーで
• 製品開発競争激化による、材料の高機能化及び製品ライフサイクルの短期化
微粒子の「製造機械」・「受託加工」・「素材製造」の総合メーカーへ躍進する
• 製品開発及び製造工程における効率化、環境負荷低減・脱炭素化
• セグメントとしては、電池・電子部品、医薬品市場が世界的に伸長
①グローバルシェア拡大と人・地域社会・地球環境への貢献
⇒微粉砕機（ビーズミル）の需要は世界的に拡大傾向
➢ 微粉砕機の国内トップメーカーとして、世界トップブランドの仲間入りを果たすと共に、
当社の注力セグメントである電池市場における成長機会
低環境負荷製品、地域サプライチェーン、人材への投資により、SDGsに貢献する。
• xEV等カーボンニュートラルのキーデバイスとしてLiBを中心に世界的に生産量拡大
②受託加工の高付加価値化～電池・電子部品等の材料開発拠点化へ • 電池開発の高度化・短納期化・人手不足による電池材料の受託加工の需要増加
➢ 微粒子加工の実機テスト及び受託加工体制の強化により、拡大する電池・電子部 • LiBの高容量化、高出力化、長寿命化等に寄与する新たな素材・材料へのニーズ
⇒当社の「微粒子技術」が国内外自動車・電池メーカー等から注目されている
品分野等における受託加工のニーズに対応、顧客の製品開発力強化等に貢献する。
リスク・脅威
③新素材開発製造の量産化による新たな付加価値の提供 • 微粉砕機の販売数は顧客企業の設備投資意欲（景気）の影響を大きく受ける
➢ 世界トップレベルの微粒子技術及び長年蓄積してきたノウハウを生かし、リチウムイオン • 微粉砕機の部品や原材料の価格が高騰、またリードタイムも長納期化している
電池（LiB）向け等の機能性材料を当社が開発、製造する事業を軌道に乗せる。 • 国内の労働人口減少を受け、人材の確保・育成や生産性向上が課題
内発的動機
①当社のコアテクノロジーである「微粒子技術」のポテンシャルの高さ
当社は大学等の研究機関や大企業の研究開発部門等とも連携し、微粒子技術
(粒子をより効率的に、より細かく、より高品質に生成する技術)を長年研究してきた。
売上成長目標 経営者自身も技術者として研究に携わる中で、微粒子技術のグローバルなニーズの
2029年度までに以下の成長を目指す 高さを肌で感じると共に当該技術が今後も我が国のものづくりにおける重要な基盤
会社全体売上高 ：60億円 技術であることを再認識した。
売上高増加額 ：31.6億円 (23年度比) ②次の100年に向けた、「五方良し」の経営の重要性
カーボンニュートラルに向けた取組み加速や国内人口減少といった社会課題の中で
売上高成長率 ：111.5% (23年度比)
従来の売り手・買い手・世間の三方良しの経営から、低環境負荷製品の提供や
従業員が安心して働き続けることができる「五方良し」の重要性を強く感じた。
当社の概要
当社は、創業120年となる微粉砕・分散機（以下、『ビーズミル』という）を主力とした混合・混錬・攪拌等の産業用粉体処理機械のメーカーである。ビーズミルとは、セラミックス等の
「ビーズ」を用い、その衝突や摩擦の力によって、粒子を細かくする機械であり、電池や電子部品、化粧品等の材料の開発や製造に用いられている。当社製品は10万分の1ミリメー
トルという世界最小の微粒子製造能力を有しており、ナノレベルの高性能ビーズミル分野では、国内トップ（世界第6位）のシェアである。</t>
  </si>
  <si>
    <t>.補助事業の概要 アシザワ・ファインテック株式会社
2
今後、当社がさらなる成長を目指すために、成長ドライバとなる実機テスト・受託加工サービスについて、高付加価値化及び事業
規模拡大に取り組むと共に、自動化・省力化への設備投資を行い、労働生産性を飛躍的に向上させる。
当社の今後の成長拡大に向けては、実機テスト及び受託加工の対応力がボトルネックとなっており、機会損失も発
補助事業の 事業費 2 億円
5
生している。実機テスト・受託加工体制の強化を成長ドライバとして、国内外で拡大する高性能ビーズミルの需要
背景・目的 （補助額） （8. 億円）
1
を取り込むと共に、これまで培ってきた微粒子技術・ノウハウ及び設備を活かした新素材の開発製造にも注力する。
問題点・課題
① 高性能ビーズミルのスケールアップ受注や拡販においては、実機テスト及び受託加工が重
要なサービスとなるが、旺盛な需要に対応できておらずボトルネックとなっている。
② 既存の受託加工エリアは、防爆室が少なく危険物の取り扱いが制限されている上、クリーン
ルームやドライルームが無く、電池・電子部品材料等の実機テスト及び加工対応が限定的。
③ また、スペースの制約上、機械設置台数が不足しており、かつ運転も自動化できていない。
設備投資の内容
① 本社遊休地に、実機テスト及び受託加工をメインで行う「微粒子工場」を新設。
設備投資の ② 微粒子工場は、従来スペースの2倍を確保すると共に、防爆構造、クリーンルーム・ドライ
内容 ルームを設置し、電池・電子部品材料等の実機テスト・受託加工に対応。
③ 最新の高性能ビーズミルや測定器等の微粒子加工設備を導入すると共に、自動洗浄機
等を設置し、加工運転の自動化・24時間化を図る。
課題解決による労働生産性の向上
① 実機テスト・受託加工の対応件数増及び高付加価値化を実現すると共に、自動化による
省力化及び加工コストの削減
② 実機テスト・受託加工の対応強化による、国内外への高性能ビーズミル販売増
微粒子工場完成イメージ
③ 微粒子加工設備を活用した新素材における開発加速・商業化（量産製造）
2026年度 2029年度
項目 （基準年度） （基準年度＋３年後）
補助事業全体 千葉 大阪 栃木 補助事業全体 千葉 大阪 栃木
労働生産性 1,169万円
805万円 - - - - - -
（単位：万円/人） (CAGR+13.3%)
目標値 従業員1人あたり給与支給総額 650万円 639万円 736万円 873万円
569万円 560万円 645万円 765万円
（単位：万円/人） (CAGR+4.5%) (CAGR+4.5%) (CAGR+4.5%) (CAGR+4.5%)
役員１人あたり給与支給総額 1,323万円 1,323万円
1,160万円 1,160万円 - - - -
（単位：万円/人） (CAGR+4.5%) (CAGR+4.5%)
補助事業に係る従業員数
168人 156人 7人 5人 180人 168人 7人 5人
（単位：人）</t>
  </si>
  <si>
    <t>株式会社八立製作所
1.長期成長ビジョン
• 建設業界では人手不足・カーボンニュートラルへの対応が社会課題
• 当社継続的な成長に向けて、生産体制の強靭化・従業員の給与増に向けて生産性向上が必要
長期成長ビジョン（目指す姿・ビジネスモデル） 外発的動機
1.人口構造変化（国内・海外メガトレンド）
【国内製造業の強靭化・効率化による継続的賃上げ】
少子高齢化進行・労働力不足が日本だけでなくグローバル市場に
建機メーカーは『建設業』における労働力不足・生産性向上ニーズや
おいても課題となっており、『労働生産性向上』が社会課題として
カーボンニュートラルに向けた社会課題に対応すべく、『ICT建機』や
需要が高まっている。また、それに伴い、建機におけるICT技術利
『省エネ建機』等の製品開発を進めていく。
活用は至上命題となり、『製品開発』が進んでいる。
■当社立ち位置（市場：コマツ大阪工場ブラケット部門）
2.2024年問題（国内メガトレンド）
量的経営資源 国内労働力不足が建設業で課題となり、当該問題への取組み急務
大 小
大
質 3.カーボンニュートラル（国内・海外メガトレンド）
リーダー
的 ニッチャー 気温上昇・水面上昇を受け、温暖化対策や省エネ・エネルギー効
（当社：シェア8割）
経 率向上の需要は『建機』においても強く求められている。
営
チャレンジャー
資 フォロワー
（競合他社等：シェア2割）
源 小 内発的動機
1.国内サプライヤーの地位を強靭化
当社はコマツ大阪工場のブラケット部門において8割の市場シェアを誇 ㈱小松製作所のサプライヤーとして一定の地位を築けているものの、
り、マーケットリーダーにあたる。大阪工場でのシェア拡大を図りながら、 物価高騰・インフラに伴うコスト増によって、国内サプライチェーンを維
コマツ茨城工場等の他工場へと市場拡大を図っていく。 持していくには『生産性向上』が不可欠となっている。
その結果、継続的な売上成長・賃上げを実現する。 メーカーにおける製品開発・国際競争力強化にあたって、コスト減は
重要であり、海外生産拠点への流出を防ぐことも重要である。
売上成長目標
2.インフレに対応した従業員の給与アップ
• 2030年6月期の会社全体の売上高年平均成長率7.0％
物価高騰によって従業員の可処分所得は減少している。また、生産
• 2030年6月期の会社全体の売上高増加額7.7億円
年齢人口が減少する中、事業継続・成長に向けて他社と差別化した
給与体制の構築は不可欠となる。</t>
  </si>
  <si>
    <t>株式会社八立製作所
.補助事業の概要
2
• 総額13.4億円の建物・設備投資により、取引先需要や生産ラインの課題解決に取り組む
• 本事業によって、1,519万円/人の労働生産性を実現する
補助事業の • 【背景】：建機メーカーの製品開発・国内サプライチェーンの強靭化に向けた生産性向上 事業費 1 3 億円
• 【目的】：工場のレイアウト最適化と最新設備導入による生産性向上とコスト最適化
背景・目的 （補助額） （4. 億円）
2
• 【課題】：工程分散による段取り非効率と各工程における低生産性
【設備投資の内容】（具体的な『課題』『設備投資による解決方法』については次葉にて記載）
経費区分
建物費 新築工場
設備投資の
内容
①粉体塗装ライン
機械装置費 ②ソリッドストッカー ③立形マシニングセンタ ④ファイバーレーザー切断加工機
⑤サーボドライブベンダー ⑥コンプレッサー ⑦ショットブラスト
2027年度 2030年度
項目
（基準年度） （基準年度＋３年後）
労働生産性 1,519万円/人
1,157万円/人
（単位：万円/人） （年平均上昇率＋9.5％）
従業員1人あたり給与支給総額 633
目標値 563万円
（単位：万円/人） （年平均上昇率＋4.0％）
役員１人あたり給与支給総額 -
-
（単位：万円/人） （年平均上昇率＋3.7％）
補助事業に係る従業員数
79人 89人
（単位：人）</t>
  </si>
  <si>
    <t>1.長期成長ビジョン 株式会社 福山臨床検査センター
中四国の地域診療を支えていくというミッション達成のため、補助事業により医療機関から求められている高度な
検査技術の導入を行いつつ、創出した利益を原資とした従業員への還元は必須の取り組みと考えている。
長期成長ビジョン（目指す姿・ビジネスモデル） 外発的動機
＜高度医療・特殊検査の需要増加＞
当社は、「人の健康こそ幸福への第一歩である」という理念のもと、倫理・法を
• 高付加価値型の検査が増え、予防医療や高度医療の中で新しい価値を生
厳格に遵守する臨床検査センターとして、顧客の期待と要求を的確に捉え、常
み出す可能性があるため、遺伝子検査などの領域に対して最新設備の投資
に提供し、高い顧客満足を追求することを目指していく。
が必要となる
• 特に、個別化医療の進展に伴うヒト遺伝子検査などの遺伝子検査領域は、
＜中四国における地域医療の中核としてのポジション強化と高度化＞
個々の病院レベルで検査を本格的に手掛ける状況にないことから需要も増
• 地域に密着した臨床検査サービスを通じて、地域医療の中核的存在となる
加しており、これらの検査項目に対応できる検査機器や設備の導入が地域
ことを目指す。特に、超高齢化社会の到来に備え、がん検診や慢性疾患の
医療を支えていくためにも求めらている
モニタリングといった高度な医療ニーズに応えるためのサービスを充実させてい
＜診療報酬引き下げに伴うコスト削減への対応＞
く。これにより、地域の医療機関と連携し、地域社会の健康増進に貢献する
• 臨床検査費用は診療報酬点数で決められているなか、近年の診療報酬全
体の引き下げ傾向に連動し、検査費用も引き下げが続いている。ゆえに、収
＜労働生産性向上による従業員への還元・健康経営の実現＞
益を確保するためには低コストで効率性の高い検査体制を構築することが求
• 最新技術の導入による生産性向上を図り、その成果を従業員への賃上げ
められている
や福利厚生の充実として還元する。特に、自動化技術を活用し、検査プロ
＜国家資格である臨床検査技師をはじめとした人材確保難＞
セスの効率化と迅速化を進めることで、生産性を大幅に向上させる。この生
• 人材確保に苦慮する施設が71.4%*を超えており、地方での人材不足が深
産性向上の成果は、従業員の給与改善や働きやすい環境の整備に充て、
刻化している。特に国家資格である臨床検査技師はより確保が難しく、省力
従業員のモチベーション向上と企業の持続的な成長を促進する
化設備などの導入による要員の最小化が必要となっている
＜医療技術の進化と地域医療への還元＞
• 最新の検査技術を積極的に導入し、その成果を地域医療に還元する。こ 内発的動機
れにより、地域の医療機関が提供する診療サービスの質を向上させ、患者に ＜地域医療への貢献に対する想い＞
対する迅速で正確な診断をサポートしていく。地域医療の発展に寄与する • 当社は臨床検査センターとして創業50年以上の歴史を有しており、
企業として、地域社会の健康を支え続けることを目指します COVID-19が蔓延した際も一早く検査体制を整えることで中四国を中心に
地域医療を支えてきた。今後も変化し続ける患者や医療機関のニーズを的
確に捉えながら、対応できる環境を構築しつつ地域医療を支えていきたい
2029年度の売上成長目標 ＜健康経営の取り組み推進＞
※数値は2025年度対比
57.7 12.1 • 当社では健康経営の取り組みを推進すべく、健康宣言をHP上でも実施して
 売上高成長率 ％（年平均上昇率+ %）
おり、社員一人ひとりがわが社の財産として長く安心して活き活きと働くことの
 売上高増加額 58 億円 できる社内環境づくりを目指している
※：一般社団法人日本臨床衛生検査技師会2023年度施設実態調査</t>
  </si>
  <si>
    <t>.補助事業の概要
2 株式会社 福山臨床検査センター
最新鋭の検査設備を導入した新検査棟を設立することにより、臨床検査プロセスを抜本的に見直し、生産性向
上と検査キャパシティの増強をめざす。
既存検査棟のスペース上の制約や、検査工程における手作業の多さから検査キャパシティが限界
補助事業の 事業費 億円
17
を迎えていた。補助事業にてレイアウトを工夫した新検査棟と業界最先端の検査設備を導入する
背景・目的 （補助額） （ 億円）
4.4
ことで、生産性の向上と検査キャパシティの増強を図る
＜投資概要＞
 5階建ての新棟を既存の中央ラボと連結する形で建設。併せて、遺伝子検
査や病理検査、細菌検査、生化学検査などの領域で業界最先端の検査
新棟
設備を導入し、検査能力の向上と検査項目の拡充を図る
＜設備投資詳細＞ 既存の
 新検査棟：15億円 中央ラボ
 検査装置等：9.5億円（全自動塗布装置、自動標本振分装置、バー
設備投資の チャル標本サービス、HPV前処理装置、物品一元管理システム等）
内容 ＜投資効果＞
• 前回のCOVID-19発生時は検査キャパシティが限界を迎え、職員に無理を
させる形で対応を図っていたが、今回の設備投資により最大1.5倍程度まで
キャパシティが増加。仮に今後パンデミックが発生時した際の対応も十分に可
能となる
• 一連の臨床検査プロセスにおいては、検体の滞留や人手での作業が多く発生
していたが、本設備投資で各種作業の自動化設備の導入や、業務プロセス
新棟の完成イメージ
の刷新を図ることにより生産性を向上させることが可能となる。
2026年度 2029年度
項目
（基準年度） （基準年度＋３年後）
労働生産性
564 894（年平均上昇率＋16.6％）
（単位：万円/人）
目標値 従業員1人あたり給与支給総額 434 495（年平均上昇率＋4.5％）
（単位：万円/人）
役員１人あたり給与支給総額
1,645 1,877（年平均上昇率＋4.5％）
（単位：万円/人）
補助事業に係る従業員数
422 431（＋9人）
（単位：人）</t>
  </si>
  <si>
    <t>ユニコム株式会社
1.長期成長ビジョン
循環型社会の実現に向け、高度な油圧トータルシステムで市場を創造し、社会課題を解決できる
「油圧総合メーカー」となる。
長期成長ビジョン（目指す姿・ビジネスモデル）
外発的動機
• 目指す姿：設計から製作・メンテナンスまで高度な油圧技術を基 • 高度な循環型社会の実現に向けて、カーボンニュートラル、環境汚
盤とした油圧トータルシステムを社会に提供することで、環境問題 染対策、災害対策、資源リサイクル等の環境問題をはじめとした社
をはじめとした社会課題を解決できる油圧総合メーカーとして、 会課題への積極的な対応が企業に求められるようになった。
高度な循環型社会の実現に寄与する。
• 油圧機器に対する顧客のニーズが、油圧本来の力強さだけでなく、
• ビジネスモデル：創業44年間で培った油圧技術がビジネス基盤で 省エネ、省スペース、高精度、長寿命、省人化といった高度な水準
ある。油圧システムの設計・製作・メンテナンスまでの全てのプロセス に変化した。
を内製化し、ノウハウの蓄積と効率化、リードタイムの圧縮を実現し、
高付加価値経営を維持する。
• 多くの産業分野・生活基盤を支える油圧技術は近年ますます専
門性を高めている。当社は大型で特殊な油圧システムを得意とし、
顧客ニーズへの高い対応力を武器としている。 内発的動機
• 創業44年間で培った油圧技術は、社員一丸となって妥協を許さな
• 現在、当社には開発専門の部門がないが、補助事業（共同開 い姿勢で獲得したコア・コンピタンスである。
発、応用設計）をきっかけに自社オリジナル製品開発による新たな • ユニコムの社名は、「調和、和合」という意味のユニゾンと「競争、試
市場の創発を加速し、競争力を強化し、持続可能な成長への道 合」という意味のコンペティション、二つの単語を組み合わせた「調和
筋を描く。 と競争」の意味を持つ造語である。
• 調和と競争、それは、厳しい競争の時代にあってこそ、正しいルール
のもと、互いに切磋琢磨し、競争の中に成長を見い出し、調和の中
売上成長目標
に成長を見出すことが、ユニコムの目標である。
• 社員にも仕事を通じて人格を高め、一隅を照らす人材となり、業界
• 2029年度までの会社全体の売上高成長率 103.7％ の進歩発展並びに地域社会と日本の繁栄に貢献してもらいたい。
• 2029年度までの会社全体の売上高増加額 27.3億円
* (事業化報告3年目)－(基準年)で算出</t>
  </si>
  <si>
    <t>.補助事業の概要 ユニコム株式会社
2
生産能力がボトルネックとなっている既存の油圧ユニット設計製作事業及びマニホールド製作事業を、生産設備の拡大によって
油圧グリーンシステム事業として発展させ、労働生産性の年平均上昇率72.4%、賃金の年平均上昇率6.0％を実現する。
• 高度な循環型社会の実現に向けて、当社は顧客からの共同開発（設計、試作）や応用設
補助事業の 事業費 1 億円
8
計製作品の供給に対応してきたが、現状では、量産時の設備が不足しており新規設備投資を
背景・目的 （補助額） （5. 億円）
0
検討してきた。
新工場 イメージパース
• 補助事業実現のため、下記の設備投資を計画
• 油圧ユニット設計製作の新工場及びマネジメントオフィス
• 油圧ユニット及びマニホールドの量産
• 舶用二重配管システムの量産
• 販売管理/生産管理システムの更新
(生産の見える化、DX化、在庫管理）
設備投資の
• 設備投資による課題解決、労働生産性向上につながる点：
内容 最新鋭マシニングセンタ(生産効率・付加価値向上）
１）生産能力が成長のボトルネックのため生産設備拡大をする
２）大型設備投資により３つの生産拠点の地理的分散によるロス・リス
クを削減。効率的な動線設計、生産性の高いマシニングセンタ導入と販
売管理/生産管理システムの更新により労働生産性向上を実現する
量産体制を整備し、信頼性の高い高品質製品及びサービスを継続して
提供することが可能となる。
*2025年導入予定(本補助金対象外)
2026年度 2029年度
項目
（基準年度） （基準年度＋３年後）
労働生産性 3,157
（単位：万円/人） 548 （年平均上昇率＋79.2％）
目標値 従業員
（
1
単
人
位
あ
：
た
万
り給
円
与
/人
支
）
給総額 451
（年平均上
5
昇
3
率
7
＋6.0％）
役員１人あたり給与支給総額
- -
（単位：万円/人）
補助事業に係る従業員数
30 44
（単位：人）</t>
  </si>
  <si>
    <t>1.長期成長ビジョン 株式会社ティー・シー・ピー
「サプライチェーンの国内回帰と知的財産保護を軸にした当社の成長戦略のための新規設備投資」
はじめに
1. TCPグループはこれまで、雑貨を中心にアジアを主要市場として海外からの輸入および国内外での発注により商品を販売する
ビジネスモデルを展開してきました。近年でも40％以上の商品が海外輸入によるものです。
2. 特にアジアで製造される当社の主力商品であるコンテンツ雑貨においては、知的財産（IP）の保護を軽んじる傾向が見られ
る製造・販売体制が問題となっています。また、製造リードタイムの長さや検品の不十分さも当社の課題であると分析していま
す。当社は、自社工場での国内製造を進める一方で、アジア製造に伴う問題点（海賊版や模倣品の出現、納期の遅れ、
不良品の混入など）を鑑み、国内製造の強化が国内の企業にとって求められる方向性であると予測し、このたび新たな国内
製造強化のビジョンを策定しました。
3. 経営者の視点から見た場合、海外製造はコストパフォーマンスの面ではメリットがありますが、模倣品や海賊版が市場に出回
るリスクがあり、IPやコンテンツの管理意識が低いのが現状です。一方で、日本国内での製造に移行することにより、品質向上、
短納期対応、小ロット多品種の提供が可能になります。これらを踏まえ、当社はサプライチェーンを国内に回帰させ、IPコンテン
ツビジネスを自国での生産体制に組み込むことによる成長が見込めると判断し、本申請を行います。日本発のコンテンツは、国
内でのコンテンツ管理に基づき生産され、消費者から愛されることが望ましいです。国内で評価されたキャラクターが、企画は国
内で行われるものの、製造・生産がIP意識が低く品質維持が困難な海外企業によって行われることがブランド価値の低下に
繋がっていると当社は考えます。
2024年3月期部門別 単位百万円 当社商品例
TCPグループ 売上高 粗利
NIC事業／ 輸入 1,543 651
OEM事業 外注 802 176
自社製造 1,564 476
その他 180
合計 4,089 1303</t>
  </si>
  <si>
    <t>1 .長期成長ビジョン 株式会社ティー・シー・ピー
サプライチェーンの国内回帰
IP・コンテンツ保護を基軸とした、国内生産の回帰、ブランドの高付加価値化
• アニメ・IPコンテンツは使い捨てではなく、愛好者にとっては唯一無二の価値を持つ。その価値を安定して提供することが社長の強い動機である。
• 現在、アニメ・IPコンテンツは短命な消費サイクルで扱われがちだが、より長期間にわたり価値を享受できるよう変革を目指す。
• 安定して品質の高い製造を継続できる企業としての地位を確立することを目標とする。
長期成長ビジョン（目指す姿・ビジネスモデル）
外発的動機
• TCPグループはかつて、アジアの提携工場で製造したデザイ • 新型コロナウイルスの影響で、海外製造が主流となっていたアニメを
ンアニメグッズを輸入・販売していましたが、新型コロナウイル 含む雑貨商品の流通が、運送インフラの停止により大幅に遅れ、こ
スの影響で製造インフラが停止した際、千葉県印西市の自社 れらの商品の流通優先順位が下がりました。
工場で増産体制を確立しました。国内製造には、納期短縮、 • この状況を受け、各メーカーは仕入れルートを見直し、輸入可能な
品質保持、"MADE IN JAPAN"の付加価値向上、模倣品リス 卸業者へと変更を余儀なくされましたが、当社が提案する国内製造
ク軽減などの利点があります。エンタメ商品の製造は30年前 への関心を持つようになりました。
に中国へ移転しましたが、国内製造拠点の回帰は最優先課 • 知的財産の保護を重視する現代においては、販売業者からの国内
題です。TCPグループは品質向上、短納期対応、IP保護を実 製造へのシフトが求められ、国内での生産ニーズが高まっています。
現する企業を目指しています。
• TCPグループは、長期的（5～10年後）には、社会に対して以
下のような価値を提供する企業を目指します：
内発的動機
1. 高品質な“MADE IN JAPAN”製品の提供を通じて、日本の製
造業の信頼性とブランド価値を向上させる。 • 「利は源にあり」が、当社社長の主張（モットー）です。
2. 短納期と高品質の両立により、顧客満足度の向上を実現す • 当社はもともとシール印刷業からスタートしましたが、その後、コスト
削減を目的として中国の工場に製造を委託し、自社工場の運営も
る。
行ってきました。この過程で製造ノウハウの蓄積と商品ラインナップの
3. 確実なIP保護とコンテンツ管理を通じて、日本のコンテンツ産
拡充を実現しましたが、海外外注の商流では製造コミュニケーション
業の発展に貢献する。
の難しさ、模倣品の発生、オンデマンド対応の遅延といった課題が
• 対応、IPとコンテンツの確実な保護を実現する企業としての役割を
生じていました。
果たしたいと考えています。
• 当業界の同業他社や競合企業の多くは輸入して販売するビジネス
売上成長目標
モデルを採用しており、アニメや漫画などの知的財産（IP）を十分
• 2029年までに会社全体の売上高成長率目標100％成長 に評価していない状況です。これらの事情を踏まえ、国内への製造
• 2029年までに会社全体の売上高増加額41億円 回帰により市場で差別化を図ることが可能だと当社は判断しました。</t>
  </si>
  <si>
    <t>.補助事業の概要 2
設備投資概要
• 自社加工部門のさらなる強化、サプライチェーンの回帰、知的財産管理保護（コンテンツブラン 事業費 21億円
補助事業の
ド・版権の保護・版権の保護）意識の低い生産国から自国シフト （補助額） （7 .0 億円）
背景・目的
• 既存印西工場は７階建の多層構造、北陸工場は低層建で計画中、効率化が推進可能
設備投資の
内容
目標値
中 2025/3/ 旬 北 陸 工
レ
場
ー
：
ザ
株
ー
台 60
式
カ
会
ッ
社
ト
テ ィ ー
合
・
計
シ
：
ー ・
台 95
ピ ー 北 陸 工 場
ミ マ
中 2025/03/
キ
旬
ア
北
ク
イ
陸
リ
ン
工
ル
ク
場 ：
製
ジ
造 設
ェ ッ
台 35
ト
備
プ リ ン タ 7 1 5 1 新( )
工場イメージ図
：建坪1200坪程度で設計
見積中
設
小
建
合
土
備
計
物
計
地
投 資
ア
カ
成
白
補
白
ク
ッ
形
山
助
山
リ
タ
ル
ー
機
市
金
市
印
機
建
対
旭
刷
坪
象
工
機
1
設
業
2 0
備
団
0
投
地
坪
資
4 7 9 8 坪
台
取
数
得 済
3
6
5
0
8
1
金 額 （ 単 位
1
2
：
,
,
2
5
1
9
2
1
5
千
9
3
3
5
2
7
7
円
2
2
0
5
0
5
0
）
, 6
, 2
, 8
, 6
, 0
, 6
, 0
0
2
0
2
0
2
6
0
0
0
0
0
0
0
①
株 式 会
①② 原原
社
料料
テ
用の
ィ
乾余
ー
燥 機
計 な
・
粉
シ
を 除
ー
去
・
す
ピ
る
ー
装 置
北 陸 工 場 成 形 機 設 備
②
①
株式会社ティー・シー・ピー
2026年度 2029年度
単位：万円 ・人
（基準年度） （基準年度＋３年後）
労働生産性 １，５０６/1人
１，４０６/１人
（付加価値額÷(就業時間換算の従業員数+役員数)） （年平均上昇率：2.3%）
従業員1人当たり給与支給総額 795
550
（給与支給総額÷就業時間換算の従業員数） （年平均上昇率：13.1%）
役員1人当たり給与支給総額 1,700
750
（給与支給総額（役員）÷役員数） （年平均上昇率：31.4%）
常時使用する従業員数 15 40</t>
  </si>
  <si>
    <t>株式会社イズミテクノ
1.⻑期成⻑ビジョン
技術開発により⼀層⼒を⼊れ、表⾯処理分野において『オンリーワン』『ナンバーワン』企業となる
“The Only One Technology Company” を⽬指す
Mission
「The Only One Technology Company」を⽬指して。
外発的動機
⻑期成⻑ビジョン • 半導体市場の旺盛な需要を受け、半導体製造装置市場も⾮常
• 業界トップレベルの⾃社独⾃技術(ハイスペックアルマイト処理)を活かし、 に⾼い成⻑が⾒込まれるとともに、⽇本政府も国を挙げて強化に取
り組んでいる分野である。
さらなる創造と⾰新を通じて、CSV経営の追求そしてコーポレートレジリ
• ⼀⽅、半導体微細化のためには、半導体製造装置メーカーおよび
エンスの強化を図る。
その部品サプライヤーに対しても⾼い技術が常に求められている。
ビジョンについて⼤切にしていること • ⾃社の成⻑とお客さまへの貢献のみならず、従業員の幸福や環境
〜⼈材育成〜 への配慮、地域経済の発展への寄与等、様々なステークホルダーに
対して社会的価値の提供が求められている。
• 現状に満⾜することなく、従業員⼀⼈⼀⼈の⾃⼰成⻑、⾃⼰実現を通
して会社と従業員が共に成⻑し続ける。
〜価値の向上〜
内発的動機
• 新たな価値を⽣み出すことに挑戦し続けることで、⽬まぐるしく変化する
社員⼀⼈ひとりが⾃主性と創造性を発揮する事ができるのは、やる気
半導体製造装置の要求を満たす価値を提供する。
に満ちて仕事をしている時です。
半導体業界の多様化するニーズにスピーディーに応えるために⽇々進
売上成⻑⽬標_最⾼売上(2022年度)との⽐較
化する装置に対する繊細化や⾼エネルギー化の要求を弊社が培ってき
• 2030年までの会社全体の売上⾼成⻑率200％
た挑戦する⾵⼟であれば、この課題を表⾯処理業界のトップランナーと
• 2030年までの会社全体の売上⾼増加額25億円
して解決していけると確信し、社員の継続的な成⻑と会社の継続的
• 2030年までの会社全体の利益成⻑率231％
成⻑をさらに加速させるべく、挑戦を決意しました。
• 2030年までの会社全体の利益増加額7億円</t>
  </si>
  <si>
    <t>2.補助事業の概要 株式会社イズミテクノ
高成長実現のための新工場建設計画
～次世代アルマイト処理技術で半導体製造装置分野へ貢献～
・当社が開発したパーティクル（ナノサイズの塵）抑制⽪膜は、国内で当社のみが生産可能な技術である。この技術 事業費 17億円
はアルマイト処理において、パーティクル発生を劇的に抑えることが出来る。半導体製造においてはパーティクルが大きな
（補助額） （5.3億円）
補助事業の 課題になっているため、半導体製造装置向けのニーズが高まっており、今後の大きな成長性が期待できる。
背景・目的 ・今回、設備投資により増産体制を構築することで、半導体製造装置メーカーへの供給を増加、半導体製造における
歩留まり向上に貢献するとともに、全自動ラインを構築することで、省人化や労働生産性を向上させ、賃上げを実施し
ていく。
＜投資内容＞
 宮城第⼆工場の新設
 次世代半導体製造装置対応のパーティクル抑制⽪膜生産設備
・パーティクル抑制処理ライン_2基 ほか付随設備
＜現状設備の課題＞
現在の生産設備ではパーティクル抑制⽪膜の特殊な処理を行う設備が整っておらず、
パーティクル抑制処理を行うためには、薬品等へ入替る⾮効率業務が発生しており、要
設備投資の 求クリーン度と増産に向けた生産対応が困難となっている。
内容
＜補助事業による設備＞
・パーティクル抑制⽪膜生産設備に特化することで、現状の課題である薬品等の入替作
業が無くなることから、大幅な増産が可能となる。
・半導体製造装置関連のアルマイト処理は多品種⼩ロットであり、生産設備の自動化は
困難だったが、本事業設備においては当社のノウハウを活かし投入から完了までを一貫し
てシステム制御し、各槽の状態を管理することで、フルオートメーション化を実現する。
2026年度11月期 2029年度11月期
項目
（基準年度） （基準年度＋３年後）
労働生産性 1,417
1,064
（単位：万円/人） （年平均上昇率＋10.0％）
従業員1人あたり給与支給総額 406
目標値 372
（単位：万円/人） （年平均上昇率＋3.0％）
役員１人あたり給与支給総額 2,987
2,733
（単位：万円/人） （年平均上昇率＋3.0％）
補助事業に係る従業員数
130 164
（単位：人）</t>
  </si>
  <si>
    <t>株式会社イートアンドフーズ
1.長期成長ビジョン
食を通じて持続可能な社会とワクワクする未来を実現し、ホールディングスとして長期的にはグローバル売上高
1,000億円を目指す
長期成長ビジョン（目指す姿・ビジネスモデル） 外発的動機：「ｺﾛﾅｼｮｯｸによる社会環境と価値観の変容」
生活様式の変化
「Eat＆チャレンジ2030」
【在宅時間の長時間化】
長期 ふとした気づき、ちょっとした工夫を積み重ね、食シーン • リモート会議、テレワーク、オンラインMTGの浸透、インフラの進化
ﾋﾞｼﾞｮﾝ に、新しい価値を生み出し、 【居住空間や生活環境の変化】
グローバル売上高1,000億円を目指します。 • 自宅での長時間滞在による快適な暮らし追求、引っ越しやリノベーションの増加
【巣ごもり消費】:
• EC、デリバリーを利用する顧客拡大、サブスクリプションの普及
食を通じて、持続可能な社会の実現に貢献し、 消費支出の変化
ﾊﾟｰﾊﾟｽ
＋＆の発想で、ワクワクする未来を生み出し続けます。 【消費支出の減少と食消費の偏り】:
• 外出機会の減少によるレジャーや交通費の減少により、食の消費が伸長
株式会社イートアンドホールディングスは、上記の長期ビジョン及び 【外食から内食へのシフト】:
パーパスを掲げ、持続的な社会の実現に向けた、社会の一員としての • コロナ禍で居酒屋需要を中心に外食が減退。内食、中食へシフト
責任を果たします。具体的には、基幹となる外食事業と食品事業の、 【消費・販売拠点やチャネルの変化】:
相乗効果（シナジー）による競争優位を確立することによる、唯一 • 繁華街立地から、生活立地への消費のシフト、ECやﾃﾞﾘﾊﾞﾘｰの拡大
無二の食品メーカーへと進化いたします。
内発的動機
【常に新しい食シーンを提案し続けたいという想い】
ブランド認知獲得 両輪経営による
外食 食品 • 客層を一気にファミリー層に広げた「大阪王将」の全国展開
外食ノウハウを活用 相乗効果（シナジー）
冷凍食品の宣伝効果 • 冷凍餃子界に革新をもたらす「羽根つき餃子」の急拡大
を活かした唯一無二の
• 独自の麺ジャンルを構築した「太陽のトマト麺」のヒット
食品メーカー 食品メーカーへ →時代の変化とニーズをとらえた、様々な業態やブランドを開発してきた
【イノベーションによる成長】
• 水なし油なし、フタいらずで調理できる冷凍餃子
売上成長目標
• 独自の茹で工程で、ぷるもち食感を実現した冷凍水餃子
連結
• 焼きたてを急速冷凍し、いつでも焼きたてが楽しめる冷凍パン
• 2026年度までに会社全体の売上高成長率66.0％
• 洋菓子の技法を取り入れた新食感中華「ふわとろ天津飯」
• 2026年度までに会社全体の売上高増加額170億円
→革新的なイノベーションにより、新しい顧客と市場を生み出してきた
※イートアンドフーズ単体売上はP.8に記載</t>
  </si>
  <si>
    <t>株式会社イートアンドフーズ
.補助事業の概要
2
国内需要拡大へ対応するため関東工場に次ぐ規模の九州工場を新設し、最新設備による生産効率増加×物
流の至便化を実現し賃上げ及び生産性向上を実現する。BCP観点でも当社にとって重要な取り組みである
• コロナ禍以降続いている需要拡大に対応するため、西日本エリアでの新たな生産拠点として宮
補助事業の 事業費 6 億円
7
崎県都城市に新工場を計画し、加えて、関西工場・岡山工場などの西日本生産拠点に新設
背景・目的 （補助額） （21億円）
備の導入等を進めることにより弊社主力商品の生産体制を強化する
設備投資の概要
所在地 宮崎県都城市高城町
操業開始時期 2026年予定
敷地面積 8,259.88㎡
設備投資の 設備投資のポイント
内容 • 新技術導入による生産の効率化
• 主力商品である「大阪王将羽根つき餃子」「大阪王将羽根つきスタミナ肉餃子」「大阪王将ぷるもち水餃子」「大阪王将たれつ
き肉焼売」などの生産体制を強化
• 陸路・海路での輸送の至便化と、地勢上のメリットによるサプライチェーンの効率化
• 冷凍冷蔵設備への自然冷媒の採用による環境への配慮
• 当社主力工場の関東工場だけでなく、西日本（九州）に新鋭工場を建設することでBCP対策の実行
項目 2026年度（基準年度） 2029年度（基準年度＋３年後）
拠点 九州 大阪 岡山 九州 大阪 岡山
労働生産性 1, 705 万円/人
1, 万円/人
(単位：万円/人) 125 （年平均上昇率＋1 ％）
4.9
従業員1人あたり
52 万円/人 519万円/人 571万円/人
2
給与支給総額
45 万円/人 44 万円/人 493万円/人 （年平均上昇 （年平均上昇率 （年平均上昇率
1 9
目標値 （単位：万円/
率＋5.0％） ＋5.0％） ＋5.0％）
人）
役員１人あたり給与
支給総額 0 0 0 0
（単位：万円/人）
補助事業に係る
従業員数 72人 90人 4人 224人 102人 4人
（単位：人）</t>
  </si>
  <si>
    <t>1.長期成長ビジョン アライドコーヒーロースターズ株式会社
コーヒーの持つ様々な価値を追求し2050年に業界No.1を目指す
長期成長ビジョン（目指す姿・ビジネスモデル） 【外発的動機】
【目指す姿】 • 日本のコーヒー業界は、世界各国から輸入される様々な種類のコー
ヒー豆にアクセスし、高品質なコーヒーを楽しむことができる。日本は世
1. 環境に配慮した焙煎技術をコアコンピタンス*として、「コーヒー
界第４位のコーヒー消費大国である。
2050年問題」を克服する！
• 日本の消費者はコーヒーに対して高い知識と期待を持ち、品質やサス
2. 業界におけるシェアを高め、ドメイン（生存領域）を獲得する！
テナビリティに敏感である。
3. コーヒーグラウンズのバイオコークス化とグリーン焙煎技術の開発
• 気候変動や生産者の貧困による離農に伴う生産量の減少「コーヒー
による産業廃棄物の削減及びCO 排出削減
2 2050年問題」が課題となっている。
4. 都市ガスや化石燃料の代替品としてコーヒーグラウンズペレット
• 気候変動や環境意識の高まりに対応するため、持続可能なコーヒー
（固形燃料）の商品化を目指すことで事業成長を実現する。
豆へ移行が求められている。
5. グリーン焙煎スケールアップの大規模な設備投資を行い、地域で
• 国際協力と技術交流：世界的なコーヒー業界との協力による新技
の雇用を創出、賃上げを行い、従業員への還元を積極的に行っ
術や栽培方法の導入が期待される。
ていく。
6. 新工場の建設、最新設備の導入により、働く環境の整備をする
【内発的動機】
ことで、多様な人材が活躍できる職場作りを目指す。（障がい者
雇用）
• 会社合併により、東西に拠点をもつOEMに特化したコーヒー専業の
製造会社として業界内で確固たる地位を確立する。
*コアコンピタンス＝他社に真似できない核となる能力
• 創業50年以上にわたる歴史の中で変化する顧客の期待に応え続け
売上成長目標
る仕組みづくりの必要がある。
2050年3月期 • 設備の処理能力の限界が課題となっており、顧客ニーズに応えるため
売上高
1,280億円増加 の最新設備を導入することで生産性向上を図る。
12倍 1,400億円
• 関西圏では、「ひょうご小野産業団地」に新基幹工場を新設すること
（2024年3月期比）
で事業規模を拡大する。
• 最新設備の導入による労働環境の改善。
売上高
• コーヒーグラウンズの利活用を推進し、産業廃棄物の大幅削減、グ
売上高 275億円
120億円 リーン焙煎のスケールアップを図りたい。
2050年3月期
• コーヒーグラウンズをペレットへ加工し、都市ガスや化石燃料の代替と
業界No.1 を目指す！ して商品化、災害時の備蓄燃料としての実用化。
2024年 2030年 2050年
3月期 3月期 3月期</t>
  </si>
  <si>
    <t>.補助事業の概要 アライドコーヒーロースターズ株式会社
2
最新鋭設備導入により労働生産性を向上させる
1.生産現場の雇用確保・人手不足・高齢化対策
補助事業の ⇒最新型生産機器による自動化・省人化 事業費 54 億円
背景・目的 2.ハイレベルな顧客要求に対応出来る工場設計 （補助額） (16億円）
⇒食品の安心・安全向上による顧客の確保・拡大
1.生産機器の自動化・省人化による生産性向上
コーヒー
精選 焙煎 粉砕 包装 積付・保管 出荷
生豆入庫
⑤ロボットアームによるクラフト製品
③自動計量充填クラフト包装機による
②最先端技術搭載のドイツ パレットはい付け作業省力化
①ロボットアーム＋生豆自動
省力化・省人化
製自動制御焙煎機導入設
設備投資の 開袋機導入による省力化
置 ・自動化により、女性や高年齢も ・包装後の運搬は有人で行っていた
内容
作業が可能となる。 が、③クラフト包装から運搬までの一
連の流れが自動化（省力化）
→労働環境の改善
2. GFSI(食品安全 )・ISO14001・有機JAS・レイン
フォレスト.アライアンス認証をクリアする工場設計
⑥フードディフェンス・手洗い、エアシャ
ワー・陽圧吸気扇・エアシャッター等
④自動計量充填フレキシブルコンテナ
包装機による省人化
➡食品安全の強化
・自動化により、女性や高年齢も作業
が可能となる。</t>
  </si>
  <si>
    <t>.補助事業の概要 アライドコーヒーロースターズ株式会社
2
最新鋭設備導入により労働生産性を向上させる
3.環境保全推進 : コーヒーグラウンズリサイクルによるCO 削減 ・ グリーン焙煎技術確立
補助事業の 2
⇒世界初のグリーン焙煎により業務の拡大を図り、雇用確保と収益向上に繋げて行く
背景・目的
３.段階的なグリーン焙煎技術の確立 プロト(試作)⇨中型⇨大型へ 開発済みプロトタイプ30㎏焙煎機
●コーヒーペレット燃焼炉を熱源とした国産コーヒー焙煎機 ⑦
(ガスバーナー搭載のハイブリット型グリーン焙煎）
現在、当社焙煎コーヒーの納入先工場ではコーヒーグラウンズを
産業廃棄物として有償にて廃棄処理をしている。
このコーヒーグラウンズを当社にて買取り、ペレット燃料化。
再生エネルギーとして焙煎機熱源とし、廃棄物と都市ガス(化石燃料)の
設備投資の 使用削減に加えCO 削減につなげる。
2
内容
step1 プロトタイプ30kg焙煎機導入による焙煎テスト(済)
⇩
Step2 中型120kg焙煎機導入による焙煎技術確立と製品化
コーヒーペレットを
⇩
熱源にした燃焼炉
Step3 大型250kg焙煎機導入による製品化・顧客獲得・製品販売
●昇温ガスバーナー(都市ガス)を連続使用しないRTO（Regenerative
Thermal Oxidizer）＝蓄熱式脱臭装置を付帯設備として導入 RTO
項目 2026年度（基準年度） 2029年（基準年度＋３年後）
3,845
労働生産性（単位：万円/人） 2,551
（年平均上昇率＋14.6％）
目標値 従業員1人あたり給与支給総額 715
580
（単位：万円/人） （年平均上昇率＋7.2％）
役員１人あたり給与支給総額 1,350
1,200
（単位：万円/人） （年平均上昇率＋4.0％）
補助事業に係る従業員数（単位：人） 6 47</t>
  </si>
  <si>
    <t>1.長期成長ビジョン 株式会社東映京都スタジオ
㈱東映京都スタジオ（テーマパーク名：東映太秦映画村）は、従来の観る場所から「リアル体験」する場所へ、
更には「バーチャル体験」も融合させることで、“ものがたり“の体験価値をより一層高め、成長戦略を推進していきます。
㈱東映京都スタジオ 長期ビジョン
【外発的動機】
『日本・京都の”ものがたり“を世界へ』
東映京都撮影所で培ってきた資産（技術、オープンセット、役者）を基盤に、新しい「人、こと、もの」を ・「体験経済」の台頭
吸収しながら、「京都」という“ものがたり”を生み出し、世界中を魅了していきます。 消費者動向として、単なる観賞から、体験型
また、デジタルツインを活用し、千年の都で時空を超えたテーマパークの創生を目指します。 エンターテインメントへの需要が高まっています。
・エンターテインメントの多様化
出所：東映太秦映画村リニューアルサイトより
㈱東映京都スタジオの成長戦略
映画セットや歴史再現、アクション体験に加え、
マンガ/アニメ/ゲームなど、消費者はマルチな
①体験型テーマパークへのアップデート
エンタメ 飲食 エンターテインメントを求めるようになっています。
東映太秦映画村
日本・京都の文化を「観る」場所から ・テクノロジーの進化
(体験型テーマパーク)
「体験する」場所へとアップデート。 WEB3、メタバース、ARやMRなどデジタル技術の
物販 温浴
飲食、物販、エンタメ、温浴の4つの「体験」を軸に、 発展により、消費者はリアル、映像、仮想空間が
リアルとバーチャルの体験を融合させ 融合した、没入感のあるインタラクティングな体験を
世界中で愛される映画村を目指します。 これまでの「観る」場所 求めるようになっています。
②東映グループとの連携による相乗効果 映像事業 【内発的動機】
東映太秦映画村では、顧客が
“映像の世界観をリアルに体験”することができます。 映像 東映太秦映画村 イベント・ ・ユーザーエクスペリエンスの向上
その顧客体験価値は、東映グループの映像事業を ライセンス事業 (体験型テーマパーク) 演劇事業 顧客がより深く楽しめるように、テクノロジーを活用
はじめとした各事業への相乗効果が高く、 した新しいリアル、映像、バーチャルの体験・サービ
グループ収益の最大化に寄与します。 物販、ホテル事業 スの提供に取り組んでいきます。
・京都の観光コンテンツの持続的発展
③海外へのコンテンツ輸出の発信拠点 京都力を生かした観光コンテンツ(歴史・文化 、
伝統産業、映画・マンガ・アニメ等)の海外展開、
日本の文化やアニメ等のコンテンツに高い関心をもつ 東映太秦 またオーバーツーリズム解消を促進するリーディング
外国人観光客に対し、リアルとバーチャルを活用し 映画村 カンパニーとして成長していきます。
旅前・旅中・旅後の体験価値を提供していきます。 ・世界観の拡大
例えば“「聖地巡礼」型観光”や”越境EC”等を通じ、
東映グループと連携し、世界中の人々に感動を
グローバルコンテンツ事業の拡大を図っていきます。
届けることで、国際的な価値を高めていきます。
2033年度の売上成長目標(対2023年度) 売上高成長率470％、売上高増加額67億円</t>
  </si>
  <si>
    <t>.補助事業の概要 株式会社東映京都スタジオ
2
補助事業は、アトラクションや物販、飲食など顧客体験価値向上による集客力・顧客単価向上を目指す設備投資と
なっています。また、その投資には省力化や生産性向上を促進する設備、システム、オフィスも含まれています。
• 「東映太秦映画村全面リニューアル投資事業」では、映像の世界観をリアルに体験できる場として、
補助事業の 事業費 億円
顧客体験価値と集客力を高めると同時に、足元の人手不足に対応した省力化等の建物・設備を導入 35
背景・目的 （補助額） （ 億円）
することで労働生産性を高め、賃上げを持続的に実施していくことを目的とします。 9.5
主な設備投資の内容 労働生産性向上につながる点
①町並み ■人手不足に対応し、労働生産性を高めるオペレーションの工夫
（物販・飲食施設） ＜物販＞ ・自動レジや在庫管理システムを導入し、作業時間と人手不足を軽減
・伝統的な建物と品揃え豊富なお土産品が、訪 ・商品の陳列、在庫管理等のオペレーション業務の効率化を図り、店舗面積当たりの人員を削減
れる人々を魅了、歴史とエンターテインメントが融 ＜飲食＞ ・WEBオーダーシステムの導入、発券機の導入
物
合し、貴重な体験と思い出を提供 ・人手をかけない省人化対応の調理設備の導入
販
・多彩な飲食体験が楽しめるエンターテインメント ・商品管理システムを導入し、無駄な仕入れを削減
・
を揃え、時代情緒溢れる京都の味覚と雰囲気
飲 ■顧客単価の向上
食 で訪れる人を魅了
＜物販＞ ・商品購入と合わせて体験サービスを提供することで滞在時間を伸ばし、商品の購入頻度を増加
施
・多様なバリエーションの商品を提供し、顧客自身にあう商品を訴求
設 ②注文・支払システム、商品管理システム
・外国人観光客のニーズに適用した高付加価値な商品や限定アイテムの導入
（物販・飲食施設）
＜飲食＞ ・特別な体験で顧客が長居することで飲食機会の増加
・省人化、効率化を実現するためのシステム導
・物販と組み合わせることで、購買意欲を高め、平均客単価をアップ
設備投資の 入による生産性の向上
・通常では体験できないエンターテインメント性により、高付加価値な飲食で単価をアップ
内容
③新アトラクション ■人手不足に対応し、労働生産性を高めるオペレーションの工夫
「日本の故郷灯館」 • 最新の映像及び照明技術を活用した、人に頼らないアトラクションの導入
日本の原風景を感じる灯りを巡るウォークスルー • スタッフは配置せず、顧客自身がアトラクション施設を使用しながら体験していく工夫
アトラクション
■集客力の向上
ア 「潜入忍者屋敷」
ト 忍者屋敷で起こる出来事の登場人物として体 • 他のエンターテインメント施設にはない魅力向上
ラ • 京都観光の外国人観光客を対象とした集客力向上（日本のアニメや忍者・サムライ・妖怪等に興味関心
験できるアトラクション
ク のある層、ナイトタイムエコノミーを楽しむ層）
「IP体験ショップ」
シ • デジタルを活用したコスプレ体験等による魅力向上
ョ テレビ、アニメやドラマのキャラクター商品を豊富の
• シニア層をはじめとして、ユニバーサルでやさしいエンターテインメント体験の提供
ン 取り揃え、ファンに喜びと興奮を提供
■顧客単価の向上
④お化け屋敷リニューアル
• 入村料を約20％アップ予定 （現在入村料大人2,400円、中高生1,400円、子供1,200円）
からくり屋敷や遊郭と連携し、映像技術も活用し • アトラクションの価格を約20%アップ予定（現在600円）
たウォークスルー型のお化け屋敷アトラクション</t>
  </si>
  <si>
    <t>.補助事業の概要
2 株式会社東映京都スタジオ
主な設備投資の内容 労働生産性向上につながる点
⑤自動入場ゲートシステム ■人手不足に対応し、労働生産性を高めるオペレーションの工夫
ゲ
ー （ゲート、システム） • チケット販売窓口数を縮小（3か所から1か所）、対応業務の人員を削減
設備投資の ト オンラインチケット販売のシステム導入と合わせ • 入場時のチケット確認業務を省力化し、対応業務の人員を削減
・ て、効率的で迅速な入場プロセスを実現 • デジタル化することで、事前予約の獲得に加え、個人データ及び園内での行動データを取得することがで
内容
オ きるため、データ分析活用の向上と来場者分析業務の効率化も促進
フ ⑥事務所・食堂（オフィス家具・設備） • 機能的なオフィス家具を導入し、効率的な作業環境の整備
ィ
快適な環境と効率的な設備を導入し、従業 • オフィスの機能性を高めることで、事務作業を減らし、顧客対応の人員を増加
ス
員のモチベーションを高め、生産性を向上
棟
2026年度 2029年度
項目
（基準年度） （基準年度＋３年後）
労働生産性
1530
670
（単位：万円/人） （年平均上昇率＋ ％）
31.7
従業員1人あたり給与支給総額
目標値 501
413
（単位：万円/人） （年平均上昇率＋6. ％）
7
役員１人あたり給与支給総額 1,828
1,314
（単位：万円/人） （年平均上昇率＋11.6％）
補助事業に係る従業員数
115 172
（単位：人）</t>
  </si>
  <si>
    <t>メック株式会社
1.長期成長ビジョン
独創の技術で新たな価値を創造し、お客様とともに持続可能な社会の実現に挑戦する
長期成長ビジョン（目指す姿・ビジネスモデル）
【2030年ビジョン】
外発的動機
「独創の技術で新たな価値を創造し、お客様とともに持続可能な社
• 当社グループの主要市場であるエレクトロニクス業界は、技術革新
会の実現に挑戦する」
のスピードが速く、昨今、積極的な研究開発・設備投資が行われて
当社グループは、エレクトロニクス関連の界面処理を核とする技術開 います。IoTやAI、５G、クルマの電動化・自動化・コネクテッド化
発力を最大の特長として、高付加価値のある製品をグローバルに顧客 やDX（デジタルトランスフォーメーション）・GX（グリーントラン
に提供する研究開発型企業です。 スフォーメーション）の進展等の社会的動向を背景に、新しい社
会が出現する転機を迎える等、技術革新が進んでおり、中長期的
市場のニーズに的確に応え、革新的なテクノロジーの実用化に貢献で に当社関連市場は拡大すると予測しています。
きるようなシーズを生み出し育めるよう、独創的な技術開発力に磨きを
かけるとともに、エレクトロニクス業界および関連する業界、参入が可能な
事業領域についてのグローバルな動向把握と潜在需要の掘り起こしに
内発的動機
努め、高い品質の製品と技術サービスの提供を図っています。
• 当社グループは、企業価値の源泉である社是「仕事を楽しむ」を掲
それにより、独創的で価値が高く市場ニーズに合った製品を開発し続 げ、経営理念「わたしたちは『独創の技術』『信頼の品質』『万全の
け、これまで培ったコア技術で、IoT端末を始めとする電子機器の高機 サービス』を信条に、自由に着想し、グローバルな事業活動を通して
能化、信頼性向上に貢献しています。世界中のどの地域の顧客に対し 界面価値創造を実現することで豊かで潤いのある社会と環境づくり
ても高付加価値で高品質な製品を生産し、営業を行うことで事業の拡 に貢献します。」を基本方針として事業を展開しています。
大を目指し、また、企業価値向上や持続的成長に取り組んでいます。
• それぞれの人生で大切な時間をかける仕事を、精一杯楽しみ、どの
ような仕事も自分たちのこととして真剣に取り組み、その成果が人々
売上成長目標
の豊かな暮らしに役立つ。私たちは、仕事を楽しむ自分たちの手で
2025年（基準年度） ：単体売上高116億円
楽しい社会の実現に寄与し、自らの心豊かで幸ある人生と、明るく
2030年 ：約1.7倍相当を達成
楽しい社会への貢献を同時に追い求めています。</t>
  </si>
  <si>
    <t>メック株式会社
2.補助事業の概要
発展を続けるエレクトロニクス分野（半導体産業）のテクノロジーに対して、当社がソリューションを提供し
続けながら事業拡大をするために必要不可欠な、工場の省力化・生産性向上投資内容
デジタル社会(5G・ビッグデータ・AI・IoT・自動運転・ロボティクス・スマートシティ・DX・GX等)の
急速な進展に伴い拡大を続けるエレクトロニクス市場において、当社と関連の深い半導体パッケー
補助事業の 事業費 23億円
ジ基板の更なる需要拡大・技術進化に対応すべく、当社製品の安定供給を目的とした既存工場
背景・目的 （補助額） （5.5億円）
への設備投資や生産技術開発機能も兼ね備えた新工場建設を決定。尚、「重要技術の保護」
「自国産業の強化」「地政学的リスクの回避」のため、これらは全て日本国内投資とした。
投資額
補助事業全体での投資の概要・狙い
（億円）
既
存 当社戦略製品の生産設備を追加・増強し、
工 生産性向上及び今後の需要増加、BCP等への 1.7
補助事業 場 対応能力を強化。
全体での
設備投資の
新工場の完成イメージ図
・当社製品の生産能力を全体で約4割増強し、
内容 北
需要増加やBCPへの対応能力を強化。
九
州 ・生産工程を自動化することで、年齢/性別を
新 問わない多様性のあるモノづくり体制を確立。 38.8
工 ・クリーンルームや新設備を導入し、先端半導体
場 製造等に向けた製品の試作/プロセス開発/ ※土地取得費用
量産技術確立を目指す。 除く
2026年度 2029年度
項目
（基準年度） （基準年度＋３年後）
労働生産性 2,215
1,937
補助事業 （単位：万円/人） （年平均上昇率+4.6％）
従業員1人あたり給与支給総額 918
全体での 830
（単位：万円/人） （年平均上昇率＋3.4％）
目標値
役員１人あたり給与支給総額 2,938
2,688
（単位：万円/人） （年平均上昇率＋3.0％）
補助事業に係る従業員数
318 392
（単位：人）</t>
  </si>
  <si>
    <t>ヤマシンスチール株式会社
1.⾧期成⾧ビジョン
「ワンチームで錆びない未来を」をグループスローガンに掲げ、半導体向けステンレス鋼材のトップメーカーとして市
場需要の拡大に対応することで、産業の発展に貢献する
外発的動機
⾧期成⾧ビジョン（目指す姿・ビジネスモデル）
• 自動車における電動化の進展、情報・通信分野におけるAI用途拡大・
当社が属するYAMCOグループは、ステンレスを中心とした特殊鋼鋼材の仕入 高度化などを背景とした半導体市場の成⾧に伴い、世界の半導体市場
れ、加工、販売を一気通貫で対応している。 及び日本製半導体製造装置市場の規模は2030年にかけて約2倍とな
る見通しである
グループスローガンとして「ワンチームで錆びない未来を」掲げている。これはス
テンレスの特⾧が錆びにくく、いつまでも美しく輝いていることから、人、会社、社 • 半導体製造装置市場は半導体需要の堅調な伸びによりCAGR10.0%
会、地球も錆びない未来にしたいという想いを込めている。 で推移する見通し
• 当社の主力製品であるクリーンステンレスは耐食性に優れ、強度が高いと
ヤマシンスチール㈱はYAMCOグループの中核企業として、以下の⾧期成
いう特性があり、半導体製造装置において必要不可欠な素材であるため、
⾧ビジョンを掲げる。
今後の大幅な需要拡大が見込まれる
１）ステンレス棒鋼材のマーケットリーダーとしての社会的責任の遂行
• 当社の国内におけるクリーンステンレス棒鋼のシェアは約7割を占めており、
当社が主要市場とする半導体関連産業は現在のAIの高度化等の先端技
取引先からは半導体需要の拡大を見据えた増産要請を受けている
術の進展や電気・水素自動車の拡大などで需要が急拡大することが
• クリーンステンレスは①加工難易度の高い点②材料の製造リードタイムが
予想され、国家間競争力維持のために、その成⾧を止めることは許されない。
⾧く在庫を保有する必要がある点③需要の変動が大きい点から参入障
従って、半導体装置部品供給のサプライチェーンの中核にある当社はマーケッ
壁の高い市場となっており、当社は確固たる地位を築いているが同時に市
トリーダーとして、需要のピークをカバーできる生産体制の構築等社会的責任
を果たしたいと考える。 場における供給責任も大きくなっている
２）グループ力で社会への貢献と使命の達成
内発的動機
YAMCOグループは、錆びない未来を目指し、持続可能なビジネスと社会へ
• 当社はクリーンステンレス市場において多くの同業者が参入・撤退を繰り
の貢献を両立させることを使命とする。製品やサービスの品質向上と安全性の
確保を通じて、顧客や社会に価値を提供し続ける。 返す中、粘り強く市場需要に対応することで特殊鋼メーカーとの信頼関係
を築きマーケットリーダーとしての地位を築いてきた
売上成⾧目標 • 2021~2022年のシリコンサイクルのピーク時には製品の供給が追い付か
ず、国内の半導体不足の一因となってしまったことで製品を供給することの
• 2028年までの会社全体の売上高成⾧率+71%
社会的責任を痛感した
• 2028年までの会社全体の売上高増加額+9,630百万円
• 産業構造の転換期において半導体市場の拡大は確実であり、製品需要
※どちらも2025年を基準とした3年後
の急拡大が見込まれることから、供給責任を果たすためにも生産能力の
2025年までシリコンサイクルのボトム期に入り、現状より売上
増強は急務である
減少額50億円程度既に見込まれているため、本事業による
• 持続的な成⾧に向けては、高齢となった熟練技術者からの技能の承継、
その時点からの復活目標
若手技術者でも対応可能な生産体制の構築に取り組む必要がある</t>
  </si>
  <si>
    <t>ヤマシンスチール株式会社
2.補助事業の概要
第2工場の建設と最新設備の導入で、従来の生産工程を刷新し、生産力の増強と生産性の向上を実現し、シ
リコンサイクルのピーク時の需要にも対応可能な製造体制を構築する
• 第2工場の建設でシリコンサイクルのピーク時の需要にも対応できる製造体制を構築する
補助事業の 事業費 29億円
• 最新設備の導入に伴う、生産工程の刷新で工程所用時間を削減し27%の生産性向上を
背景・目的 （補助額） （8.3億円）
実現する
①生産能力の向上 ▼新工場建設 ▼新設備導入
金額単位:百万円
第2工場の増設及び最新設備の導入により、 計画:恵那第２工場建設計画
項目 導入設備・工事 導入メーカー 金額
総生産量は現在880t/月から1,260t/月
場所:岐阜県恵那市武並町竹折他
工事関連 建物 吉川工務店 他 1,380
(+43%)に拡大し、シリコンサイクルのピーク時
（恵那西工業団地C区画）
電機設備工事等 正栄電機 400
の需要にも対応可能な生産体制を構築する
面積:30,852.70㎡
設備関連 異形ロール口付機 川崎製作所 20
②生産性の改善
新設備の導入により、従来の生産工程を刷新し、 引き抜き加工装置① 川崎製作所 157
工程所用時間を大幅に削減することで、27%の 引き抜き加工装置② 川崎製作所 250
設備投資の 生産性向上を実現 プレス矯正機 未定 50
内容 ③労働環境の改善 材料切断機 コーキ 43
過酷工程である酸洗をウェットブラスト洗浄機による
ウェットブラスト洗浄機 マコー 200
酸を使用しない洗浄方法に切り替えることで、従業
その他書装置 未定 200
員の作業負荷を軽減する
補助対象事業費 合計 2,700
④環境負荷の軽減
新規設備を導入し、生産工程を刷新することで、 補助対象外経費 270
酸洗工程を省き、酸の排水をゼロにして環境負荷 事業費 2,970
を低減。また、熱処理工程の回数を減らすことで
CO2排出量の削減も実現
2025年度 2028年度
項目
（基準年度） （基準年度＋３年後）
労働生産性 3,883万円/人
2,358万円/人
（単位:万円/人） （年平均上昇率＋18.1％）
目標値 従業員1人あたり給与支給総額 817万円/人
643万円/人
（単位:万円/人） （年平均上昇率＋8.3％）
役員１人あたり給与支給総額 11,057万円/人
9,988万円/人
（単位:万円/人） （年平均上昇率＋3.4％）
補助事業に係る従業員数
93人 101人
（単位:人）</t>
  </si>
  <si>
    <t>上山製紙株式会社
1.長期成長ビジョン
生活必需品であるトイレットペーパー・ちり紙のメーカーとして社会的責任を果たすと共に、東北唯一となるペー
パータオル製造に進出。人口減少が続く東北地方においても、長期に亘って持続的な成長を達成する。
長期成長ビジョン（目指す姿・ビジネスモデル） 外発的動機
• 安く・軽く・嵩張るトイレットペーパーやペーパータオルは物流ホワイト
【地域企業としての社会貢献】
化に伴い長距離輸送が困難となるため、問屋・小売店は、地元
• 当社は東北最大のトイレットペーパー製造メーカーであり、今後も
メーカーからの調達志向が強まっている。特に東北は広大で他地域
生活必需品供給者としての社会的責任を果たし続ける。創業以
との接点が南しかないため物流問題が深刻。
来74年間に亘って地元東北で地域密着型のサプライチェーンを構
• 東北のトイレットペーパーメーカーは当社含め4社と少なく、約75%
築し、災害時・感染症発生時にも安定的に供給できる体制を維
の製品は他の地域からの調達と推測される。供給と消費のアンバラ
持している。これを更に発展させることで地域社会に貢献する。
ンスが顕著で、メーカーとしての供給責任が問われる。
• 再生紙ペーパータオルは手拭き用衛生紙として定着しているが、東
• トイレットペーパーはわずかながらも着実に需要が伸びており、市場
北地方には製造メーカーがなく、静岡以西からの供給に頼っている。
は安定している。代替不能な生活必需品としての地位は不動。
衛生意識の高まりから今後更なる成長が見込めるペーパータオル
• 東北にはペーパータオルのメーカーがなく、現状では他の地域からの
の一貫生産に進出し、東北地方への安定供給を実現することで
調達に頼らざるを得ない。
地域社会に貢献する。
• ペーパータオルは年率数％の伸びを続けており、衛生紙カテゴリーの
中でも成長率が高い。今後も更なる成長が見込まれる。
【地域リサイクルによる持続的成長】
• ボイラ燃料としてバーク（樹皮）を活用。製材所やチップ工場から
不要物として排出され、バイオマス発電でも利用が進まないバーク
を有効活用し、サーマルリサイクルで地域に貢献している。
• 再生紙製造において、今後原料古紙の減少が見込まれるが、現 内発的動機
在殆ど再利用されず焼却されているペーパータオル古紙を原料とし • 東日本大震災では当社も大きなダメージを負ったが、製品出荷は2
てリサイクルすることで、原料の安定確保による持続的成長を達成 日で再開、生産設備は3日で復旧し、東北地域のお客様に商品
し、東北地方の可燃ゴミ減量化に貢献する。 をお届けすることが出来た。
• 当社は古紙原料在庫約1ヶ月分を備蓄して操業しており、災害時
売上成長目標 でも製品を生産・供給できる体制を構築しているが、東北の需要に
• 2030年までの会社全体の売上高成長率88％ 応えるにはまだ力不足。今回の設備投資により東北地方でのトイ
• 2030年までの会社全体の売上高増加額20億円 レットペーパー・ペーパータオルの自給率が向上し、安定供給に貢献
• 2030年の東北地方でのトイレットペーパーシェア17%、ペー するとともに、当社の地域における優位性が高まる。これによって長
期に亘って持続的に成長可能なモデル構築が可能となる。
パータオルシェア21％</t>
  </si>
  <si>
    <t>上山製紙株式会社
2.補助事業の概要
最新設備の導入＋スケールメリットの追及で高効率な生産工場を実現
「薄くても強い」紙の質的変化によって急成長する長尺トイレットペーパーや薄型ペーパータオルが製造可能に
• 旧設備は構造的に紙の強度が弱いため薄く出来なかったが新設備導入により解消
補助事業の 事業費 30億円
• 最新トイレットペーパー・ペーパータオル製造設備導入による生産性向上
背景・目的 （補助額） （9.9億円）
• 東北地方のトイレットペーパー自給率向上・東北初の再生紙ペーパータオル供給開始
• 2024年基準の最新型製造設備導入＝抄紙幅拡大＆抄紙速度上昇
によるエネルギー効率・生産性・品質の向上と環境対応
• 紙が薄くても強度が出る＝長尺トイレットペーパー・薄型ペーパータオル
が製造可能に＝歩留り向上・古紙原料削減
• 作業環境改善による労働生産性向上
旧抄紙機
設備投資の 設備名 機能 旧設備 新設備能力
内容 写真等
抄紙機 原料を乾燥し紙を作る 330t/月x3台 1,800t/月x1台
トイレットペーパー加工 300t/月x4ライン 900t/月x2ライン
加工機
ペーパータオル加工 加工機なし 600t/月x1ライン
ボイラ 紙を乾かす蒸気を供給 4,000t/月x1台 6,000t/月x1台
新抄紙機
水処理施 330t/月x3台 1,800t/月x1台
排水を処理する施設
設 （生産量換算） (生産量換算)
2026年度 2029年度
項目
（基準年度） （基準年度＋３年後）
労働生産性 1,432
460
（単位：万円/人） （年平均上昇率＋46.0％）
目標値 従業員1人あたり給与支給総額 436
363
（単位：万円/人） （年平均上昇率＋6.3％）
役員１人あたり給与支給総額 1,373
1,172
（単位：万円/人） （年平均上昇率＋5.4％）
補助事業に係る従業員数
103 103
（単位：人）</t>
  </si>
  <si>
    <t>補助事業の概要
2. 株式会社ジェイ・イー・ティ
岡山県浅口市鴨方町に新本社工場を建設
.
面積拡張による生産能力拡大、②省人化・効率化による生産性向上、③研究開発の加速を実現する
①
生産能力の問題：増改築を繰り返してきた本社工場が手狭になってきており、生産能力が不足しつつある
①
② 生産性の問題：
事業費
・洗浄装置1台製造するのに必要な部品は2～3万点。生産数の増加に伴い、従来の人力による部品の
（補助額）
補助事業の 保管・管理・ピッキングでは非効率となっている
背景・目的 ・本社工場で部品保管する場所が不足し外部倉庫を賃貸、コスト増加に繋がっている
③ 研究開発の問題：本社工場は築27年で老朽化が進む。洗浄薬液(硫酸、リン酸等)を使用するが、薬液
11 億円
の給排管が実験機1台分しかなく、同時並行で実験を行えない（顧客対応や開発スピード遅滞の原因） 5
（3 億円）
8
→ 補助事業で新本社工場を建設し、①～③の問題を解決する
 事業実施場所
• 岡山県浅口郡里庄町新庄金山6078
 設備投資の内容
現本社工場
• 本社工場の新築 新本社工場
設備投資の
※ 面積拡張により作業スペースが1.6倍に拡大
内容
※ 部品の自動倉庫を導入し、省人化・効率化を図る
※ 研究開発室の酸給排管を拡張し3台同時に実験可能に
※ 現本社工場は倉庫として活用し、外部倉庫を集約
• その他、製造に必要な設備一式を導入
(例：工作機械、純水設備、荷受・荷出設備 等)
項目 2026年度（基準年度） 2029年度（基準年度＋３年後）
労働生産性 （単位：万円/人） 2,791 3,609 （年平均上昇率＋8.9％）
目標値 従業員1人あたり給与支給総額 （単位：万円/人） 699 767 （年平均上昇率＋3.20％）
役員１人あたり給与支給総額 （単位：万円/人） 4,662 5,397 （年平均上昇率＋5.00％）
補助事業に係る従業員数 （単位：人） 180 240
©J.E.T CO.,LTD. All rights reserved</t>
  </si>
  <si>
    <t>1.長期成長ビジョン 日本電波工業株式会社
２次公
募
周波数でデジタル社会の未来を創るという経営ビジョンを基に、内部の既存資産を積極活用した新たなビジネ
スモデルを先端技術で創出し、水晶専業メーカーとしてグローバル競争力を向上させる。
長期成長ビジョン（目指す姿・ビジネスモデル） 外発的動機
• 市場の状況
• 「周波数でデジタル社会の未来を創る」
– 半導体製品の市場伸長に伴い、半導体製品に必須である弊社の水
晶・周波数製品も同様に成長が見込まれ、周波数ニーズもあらゆる市場
– モビリティ、次世代通信インフラ、医療ロボット、人工衛星などデジタル
で伸長している
技術を用いたプロダクトの成長を、安定した周波数製品で下支えし、
– CASE(*2)を背景とした技術的アーキテクチャの変化や地域市場別の変
持続可能な社会の実現を目指す。
化(EV・ハイブリッドの均衡市場など)などの市場変化が激しい
– 外部環境を鑑みると、既存事業の成長に加え、新規領域の開拓は – 加えて、海外を中心とした新興メーカーが台頭している脅威が顕在化して
必要不可欠。当社の強みである製品の小型化・高周波化・高信頼 いる
性を武器としつつ、壮大なDX構想を必達し、6Gのトップランナーにな • 顧客の要求高度化
– 開発サイクルの短縮
る。
– 技術ニーズ(5G対応の高周波、小型化、安定性など)
– 経営を縮小均衡から拡大均衡へ舵を切り、今後の成長戦略を実現 – チップメーカーの高度な品質要求
するために、組織風土の一新と革新を図る人材育成を徹底する。
– 上記実現のために、先端技術を活用したDXにより、顧客価値を創
内発的動機
出する新ビジネスモデルとスマートファクトリーを構築する
• 経営者の原体験
– 2018年度(*3)～2021年度まで、トップラインを向上させずとも利益を出
せる体制へシフトするために、構造改革を行った
– トップライン成長のために注力していた研究開発が奏功して、構造改革の
売上成長目標(*1) 前倒しが実現した
• 2030年に連結の売上高498億円増加（成長率199％）(*1) – その経験を踏まえ、今は成長フェーズとしてトップラインを向上させ、研究開
– 単体(日本電波工業株式会社)の売上高319億円増加 発など積極的な大規模投資を行い、利益を確保して社員に還元する
– 函館エヌ・デー・ケー(株)の売上高65億円増加 • 内部環境状況
– 古川エヌ・デー・ケー(株)の売上高52億円増加 – セグメント別戦略の体制変革の必要性
– 車載分野における市場シェア50%の実績や、新興メーカーに負けない約
75年の歴史を活かした顧客データ資産の活用による差別化戦略が必要
(*1)売上高増加額および成長率は、2023年度(交付申請直近年度)から2029年度の増加額・成長率の数値であり、かつ売上高は海外連結子会社の数値も含む
(*2)CASE：自動車業界に変化をもたらす要素の頭文字（Connected、Autonomous【自動運転】、Shared&amp;Service、Electric【電動化】）
(*3)当社は、決算期間が4月～3月であるため、2018年度の場合は、2018年4月～2019年3月を指す</t>
  </si>
  <si>
    <t>日本電波工業株式会社
2.補助事業の概要
スマートファクトリーのための機械リプレイス、顧客PFの先端技術の検証とソフトウェア開発、それらを実現する
ためのデータインフラ整備投資によって収益向上をめざす。
• 当社は顧客への対応力が評価され、その結果、特に車載分野では50%の市場シェアを獲得するに
補助事業 至っている。一方、市場成長の中、海外メーカーの台頭や顧客ニーズの多様化、要求高度化など、機
事業費 10４億円
の背景・ 会と脅威双方にさらされている経営環境である、そこで従来とは異なるビジネスモデルの創発と労働生
（補助額） （31億円）
目的 産性を抜本的に改革する生産体制を同時追求し、海外メーカーに対する競争力を構築し、売上高と
営業利益率ポイント倍増計画を作り、実行する。
• 補助事業の構成要素（1）【製造現場のスマートファクトリー化】（83.8億円） 設備投資例
 スマートファクトリーに資する設備投資によって生産効率を向上
• 機械設備費（66.６億円）ラインの設備リプレイスおよび新規設備投資
• ソフトウェア費（7.7億円）スマートファクトリー全体開発費
• 外注費（9.5億円）ユーティリティ工事費・FA・OT設計、設備カスタマイズ・構築・現地試運転費用・
サイバーセキュリティ構築費用 など
設備投資
• 補助事業の構成要（2）【新たな顧客価値を提供する顧客PF】（7億円）
の内容  間接作業の労働生産性の抜本的改革と売上向上
• ソフトウェア費（7億円）
• 補助事業の構成要素（3）【構成要素（1）と（2）を実現するためのデータインフラ】 (13.16億円)
 データでの差別化による持続的な競争力向上が主目的
• ソフトウェア費（10.7億円）
• 外注費（2.46億円）
日本電波工業株式会社 函館エヌ・デー・ケー(株) 古川エヌ・デー・ケー(株)
2026年度 2029年度 2026年度 2029年度 2026年度 2029年度
（基準年度） (基準年度+3年後) （基準年度） (基準年度+3年後) （基準年度） (基準年度+3年後)
32,798千円 31.553千円 18,009千円
労働生産性
16,835千円 （年平均上昇率 14,674千円 （年平均上昇率 10,210千円 （年平均上昇率
(単位：千円/人)
+24.9％） ＋29.1％） ＋20.8％）
従業員1人あたり 8,215千円 6,335千円 5,990千円
目標値 給与支給総額 7,097千円 （年平均上昇率 5,473千円 （年平均上昇率 5,174千円 （年平均上昇率
（単位：千円/人） ＋5.0％） ＋5.0％） ＋5.0％）
役員1人あたり ー ー ー
給与支給総額 ー （年平均上昇率 ー （年平均上昇率 ー （年平均上昇率
(単位：千円/人) ＋2.5％） ＋2.8％） ＋3.0％）
補助事業にかかる従業員数
(単位：人) 736 736 182 182 316 316
就業時間換算</t>
  </si>
  <si>
    <t>株式会社角藤
1.長期成長ビジョン
再開発や経済安全保障、生成AI等の成長を背景とした超高層・大空間建築等の大規模建築の需要増加を成長機会と捉え、
国内トップのファブリケーターとして、最高品質の鉄骨の国内生産規模を拡大することで、売上高1,000億円を実現する。
長期成長ビジョン（目指す姿・ビジネスモデル） 外発的動機
メガトレンド
品質における国内最高水準の鉄骨工場と高い施工技術力で、鉄骨工事事業を拡大、
社会インフラを支える中核企業として、我が国の暮らしと産業の持続的な発展に貢献する • 老朽化対応や都市機能集約を背景とした都心及び地方都市での再開発
• 地政学リスクや海外依存リスクを背景とした我が国における経済安全保障の推進
①Ｓグレード認定の鉄骨工場の生産規模拡大、国内生産基盤強化
• 社会生活、企業活動におけるDX化やAI活用の加速
➢ 国内最高ランク「Ｓグレード」の国土交通省認定を受けている当社鉄骨工場において生
成長機会
産規模を拡大。旺盛な需要に対応すると共に国内生産基盤を強化する。
• 再開発による高層ビル、大型複合施設、大型物流施設等の建設需要拡大
②超高層・大規模建築など高い品質が要求される分野でのニッチトップ実現 • 半導体をはじめ特定重要物資等の国内生産回帰による先端工場建設需要拡大
➢ 鉄骨におけるSグレード品質と設計、製作、施工までの一貫体制を武器に超高層ビルや • 生成AIやクラウドサービスの急成長によるデータセンターの建設需要拡大
半導体工場、データセンター等の先端分野の鉄骨工事受注を拡大する。
⇒当社の高品質な鉄骨工事事業を中心にビジネスチャンスとなっている。
③持続可能な社会の実現に向けた新たな付加価値の提供 リスク・脅威
➢ 長野県における地域未来牽引企業として、高い成長性を実現。ヒトやサプライチェーンへ • 関税政策など通商政策や地政学リスクによる鋼材仕入価格の不安定化
の投資を行い、地域の産業や雇用に貢献。単なる生産設備の増強にとどまらず、技術 • 国内労働人口減少や技能労働者の高齢化による人材確保難
者育成や地域産業の基盤強化を視野に入れた成長戦略を描く。
内発的動機
会社全体の売上成長目標 2031年1月期までに売上高1,000億円を目指す • 国内最高水準であるSグレード認定ファブリケーターとして、国家レベルの信頼と責任
を背負っていると自負。当社の潜在力をさらに発揮し、我が国の社会的基盤の高度
単位:百万円 現状売上高 目標売上高 売上高 売上高 化に必要不可欠な超高層・大空間建築などの大規模建築における鉄骨工事の品
2025年1月期 2031年1月期 増加額 成長率
質と供給体制を高めたいという強い思いがある。
会社全体 61,887 100,000 38,113 61.6% • 創業から間もなく100年を迎える企業として、培ってきた信頼と責任を次世代につな
うち補助事業 25,572 50,000 24,428 95.5% ぐ使命感を持っている。地域未来牽引企業として選定されている立場からも、人材
育成や地域雇用の創出を通じて、地域と共に成長する持続可能な経営を実現を
会社全体の賃上げ目標 以下のとおり賃上げを実現する 目指している。2024年には次世代ものづくり人材の育成を目的に一般財団法人角
藤奨学財団を設立し、2025年4月には公益財団法人として認定。長野県内の学
期間 賃上げ率
生を対象とした奨学支援を本格的に展開予定。
直近事業年度～基準年度 CAGR：2.5%
• 技術革新や社会構造の変化が急速に進む中で、当社の事業展開においても従来
基準年度～事業化報告3年目 CAGR：5.0%
の延長線上では持続的な成長が困難になるという危機感を抱いてる。よりチャレンジ
ングな目標を掲げることで、変革へのモチベーションを高めたい。
当社の概要
当社は、鉄骨工事を中心に外装や基礎といった建築工事や土木工事、橋梁工事を手掛ける創業90年を超える専門工事業である。国立競技場や東京国際空港といったランド
マークから、北陸新幹線などのインフラ整備、商業施設、学校、病院、工場などの幅広いジャンルの建設に関わると共に、本社がある長野県等の地域に密着した工事から、全国でも
有数の規模のビッグプロジェクトまで年間1,500件の工事に携わっている。特に鉄骨工事においては、鉄骨の設計、製作、施工まで一貫して対応できる点、継続した研究開発による
高い技術力を保有している点が強み。全国2,140社のうちわずか18社(0.8%)のSグレード認定ファブリケーターとして、受注シェアは国内トップクラスである。</t>
  </si>
  <si>
    <t>株式会社角藤
.補助事業の概要
2
当社鉄骨工事事業の拡大においては、当社の有する高品質な鉄骨について供給力の増加及び大型化対応が必須となる。既
存工場の拡張による生産規模拡大やロボット等の省力化の設備投資を行い、労働生産性を飛躍的に向上させる。
建設市場における構造物の大型化・高層化・高精度化が進む中で、Sグレードファブリケーターとしてさらなる対応
補助事業の 事業費 2 億円
1
強化が求められている。当社が有するSグレード品質の競争優位性を維持・拡大するため、『生産能力の拡大』・
背景・目的 （補助額） （ 億円）
5.3
『鉄骨の大型化等の高付加価値化』・『省力化等の生産性向上』を同時に実現するための設備投資を実行する。
問題点・課題
① 鉄骨工事全体の需要・引合は旺盛なものの、工事に使用する鉄骨の生産能力が律速。
② 超高層や大空間建築等の大規模建築向けにはビルドボックス柱といった主要構造部材に
おいて大型化へのニーズに対応していく必要がある。
③ 鉄骨の生産工程においては、溶接工程を中心に職人による手作業への依存度が高い工
程があるなど、生産方式にも改善の余地がある。
設備投資の内容
① 生産規模拡大への対応として、日滝原工場を拡張すると共に同工場及び長野工場に生 生産規模拡大 省力化への対応
設備投資の 産設備及びクレーン等の大型マテハン設備を増強する。
内容 ② 大型化への対応として、回転機や一次加工機といった大型生産設備の導入及び20tク
レーンなどの重量級搬送設備を導入する。
③ 省力化への対応として、溶接ロボットや組立治具、電動台車等の作業やマテハンにおける
自動化設備も導入する。
課題解決による労働生産性の向上
① 生産規模拡大による短納期対応力強化、鉄骨工事受注件数の増加、全体収益の拡大
② ビルドボックス柱等の鉄骨製品の大型化対応による高付加価値化、受注単価の向上 大型化への対応
③ 労働集約的な工程における自動化・省力化による労働生産性向上及びコスト低減
2028年1月期 2031年1月期
項目
（基準年度） （基準年度＋３年後）
労働生産性 3,070万円
2,241万円
（単位：万円/人） （年平均上昇率＋11.1％）
従業員1人あたり給与支給総額 831万円
目標値 718万円
（単位：万円/人） （年平均上昇率＋5.0％）
役員１人あたり給与支給総額
-
-
（単位：万円/人） （年平均上昇率＋5.0％）
補助事業に係る従業員数
350人 380人
（単位：人）</t>
  </si>
  <si>
    <t>安藤パラケミー株式会社
1.長期成長ビジョン
化学品を取り扱う企業として組織の力で“パートナー”と未来をつなぐ「夢の架け橋」を目指す
長期成長ビジョン（目指す姿・ビジネスモデル） 外発的動機
• 国内化学品製造プラントの縮小や再編による海外原料ニーズ増
化学品を取り扱う企業として組織の力で“パートナー”と
• 物流2024年問題による物流の制約やコスト高に伴う固定費削
未来をつなぐ「夢の架け橋」を目指す
減志向、慢性的な人手不足等の日本の社会的課題の顕在化
• お客様の困り事「コト」の解決ができる化学品創造企業（商社 • 自然災害・ロシア ウクライナ紛争等による物流の混乱と、エネル
×製造×デジタルプラットフォーム）へと進化
ギー関連・物流・包材含むコストの高騰
単なる「モノ」売りに留まらず、顧客の課題に応えるソリューション提供
• 人員削減等に伴い、仕入先が従来担っていた物流・品質保証機
型企業となり、真に選ばれる専門商社を目指す
能等の外部委託ニーズ増
• 価格面のみならず、付加価値面も含めた顧客ニーズの増加
• カガクの力で日本のモノづくりを支えるTSP（テクニカルソリュー
ションパートナー） • 半導体や電子部品製造の国内回帰やAI社会の到来、EV化の加
世界に誇る先端技術を持つ日本のモノづくりは日本の重要な基幹 速などのメガトレンド
産業であり、世界中から原材料を安定的に調達し顧客供給
内発的動機
• 自走する組織作り
経営戦略や経営方針に則った上で、各従業員が課題を把握し、そ • 「感謝と誇り」を経営理念に、顧客や社員、その家族を含むパート
ナーから感謝され、従業員が誇れる会社となることが当社の使命
れに取り組み、成果をあげられる組織になる
• 日本国内では自社倉庫に加え、40カ所以上の在庫物流拠点の
会社全体の売上成長目標（～31年） ネットワークを軸に、よりキメ細かな配送ができる営業体制の構築お
よび品質管理のできる組織作りを進めてきた
• 売上高成長率10.4％
• 売上高増加額263億円 • 多岐に亘る情報網と知見を活用して、中国品だけではなく、世界
会社全体の賃上げ目標 中の原材料の輸出入提案が可能なことも当社の強み
• 1.2%（直近事業年度～基準年度） • 行田事業所の生産・ブレンド・保管・品質管理等の機能を活かし、
• 7.0%（基準年度～事業化報告3年目） パートナーである取引先の機能(技術力)を掛け合わせた、高付加
価値サービスも拡大</t>
  </si>
  <si>
    <t>安藤パラケミー株式会社
.補助事業の概要
2
現在建設中の津事業所に製造棟を立ち上げ、西日本エリアにおける需要への対応力を強化すると共に、物流
効率化や高付加価値製品への注力、外部倉庫コスト削減による利益率向上を目指す
補助事業の • 西日本エリアの需要への対応力と倉庫・製造キャパシティの限界 事業費 40億円
背景・目的 • 物流2024年問題に伴う物流コストや外部倉庫コストの上昇による収益性低下 （補助額） （13億円）
津事業所の製造棟立ち上げによる高付加価値サービスの拡充
【具体的な投資内容】
① 現在設立中の津事業所に製造棟を建設
「安全」「品質」「効率」を運営の柱とし、「無駄」を徹底的に排除したシンプルで
効率的なオペレーションの確立
設備投資の ② 製造棟への環境に配慮した省人化システムの導入
内容 顧客要求に合致した高いコスト競争力と高付加価値商品、ならびに品質管
理を実現
【補助事業により見込まれる効果】
• 西日本エリアの取引拡大による売上増（ 30年度VC製品売上100％増）
• VC製品取扱増による利益率向上（全社粗利益率+3%の改善）
• 外部倉庫コスト削減（現状から約20％の物流費削減を見込む）
2027年度 2030年度
項目 （基準年度） （基準年度＋３年後）
安藤パラケミー ANPケミカルズ 安藤パラケミー ANPケミカルズ
労働生産性 3,010万円/人 569万円/人
1,385万円/人 476万円/人
（単位：万円/人） （年平均上昇率＋29.5％） （年平均上昇率＋6.1％）
目標値
従業員1人あたり給与支給総額 828万円/人 431万円/人
676万円/人 352万円/人
（単位：万円/人） （年平均上昇率＋7.0％） （年平均上昇率＋7.0％）
役員１人あたり給与支給総額 2,169万円/人 571万円/人
1,874万円/人 493万円/人
（単位：万円/人） （年平均上昇率＋5.0％） （年平均上昇率＋5.0％）
補助事業に係る従業員数
112人 38人 122人 56人
（単位：人）</t>
  </si>
  <si>
    <t>ベストアメニティ株式会社
1.長 期成長 ビジョン
未活用資源の有効活用やペット フード事業の拡大等により高い売上成 率と高収益を実現する。その利益を
長
賃金アップと追加投資の資金に活用することで、持続的な成 を目指す。地域経済への貢献や環境保全を促
長
進し、「食」を通じて社会に貢献する。
長 期成 長 ビジョン（ 目指す姿・ビジネスモデル） 外発的動機( 社会課題・顧客ニーズの変化とメガト レンド)
■ペット フードの増産依頼
■目指す姿（ To Be)
・既存取引業者（ 大手ナチュラル系店舗、大手通信販売業者など）
食を通じて、「人・動物・地球環境」に対して責任を果たし続ける
から栄養価・安全性を評価していただき増産依頼
・持続的成長 の実現
・ペットフード世界シェアを持つM社が、当社のフレッシュフードを知り、「生
・新規雇用と持続的賃金アップにより地域経済に貢献
肉を使用したレトルトの冷凍商品」の共同開発を要請
・原材料の安定的仕入による地元の農業・漁業者の収益に寄与
■食の安全性・高品質化の要請
・関連する事業者（ サプライチェーン） 全ての収益向上への貢献
・食の安全性や高品質化の要請は人間だけではなくペットにも広がって
・未利用資源の活用による環境保全や食料不足への対応
いる。ペットフード市場が拡大する中で、ペットフードにも「ヒューマング
・製造プロセスにおける環境負担軽減による環境保全に貢献
レード」の安全性や品質の要求が高まっている。
■社会的価値の創出（ 企業の使命・社会的役割の要請）
■ビジネスモデル( ToDo )
・地域のリーディングカンパニーとして環境問題や地域経済の波及など、
1.ニーズ・メガトレンドに合致した製品の開発 ⇒ 売上・利益アップ
企業の使命や社会的役割を果たす必要がある。また、人間とペットの
①ペット事業の拡大
食の企業として、食糧不足への対応が必要である。
②高品質と健康志向の強化
2.未利用資源の有効活用 ⇒ コスト削減、環境保全、経済波及
内発的動機（ 経営者の原体験と動機・ビジョン）
3.ヒトとモノに対する有効な投資 ⇒ 成長 の好循環を創出 ■企業の理念・健康へのこだわり
収益の従業員への大幅な還元 ・35年前に「雑穀米」という造語を作り、一粒の雑穀から創業
①有効な設備投資と製造プロセスの改善 ・当時、雑穀は「ゴミだ」と言われた中、自身の体調回復体験から、「皆
②賃金アップと情報共有化 様の健康に貢献したい! 」との強い信念で様々な食品を開発・製造
③収益の従業員への大幅な還元と追加投資 （ 例） 雑穀米、雑穀米発酵調味液、雑穀米発酵甘酒・焼酎、調味料等
・阿蘇郡小国町で耕作放棄地を17ヘクタール再生、自社農園で有機
会社全体の売上成 目標（ 2 0 3 4 年） 栽培を実施
長
• 売上高成長 率150％ ・全国1,500軒以上の契約農家と協力関係を構築
■ペット フード事業
• 売上高増加額145億円
・1999年10月からペットフードの製造を開始
会社全体の賃上げ目標
・愛犬の皮膚炎改善体験をもとに雑穀米を使用した製品を開発
• 1.37% （ 直近事業年度～基準年度）
・九州産の生肉を使用し、人間と同じ基準の品質の原材料を使用
• 3.71% （ 基準年度～事業化報告3年目）</t>
  </si>
  <si>
    <t>ベストアメニティ株式会社
補2 助事業の概要
当社のペットフードは高品質と特殊技術が評価され、大手メーカーから増産の要請を受けているが、キャパシティ
不足で対応できない状況にある。本事業では、工場及び製造ラインの増設と効率化を進め、生産力と労働生
産性の向上を図るとともに当社の強みである技術と高品質を活かしてペット フード事業の拡大を実現する。
当社のペットフードは、高品質であり評判が良く、特殊な製造技術で他社が真似できないことから、大手メー
カーから増産要請を受けているが、キャパシティ不足により断っている状況にある。本事業では、工場や製造ライン
億5 円1
補助事業の 事業費
の増設、自動化を進めることで、生産力を大幅にアップさせるとともに労働生産性の向上を図る。今後、品質・安 （ １1６7 億円）
背景・目的 （ 補助額）
全性への意識が高まる中で、当社のペットフードはさらなる優位性を確立できると考えている。本事業によりペット
フード事業を大幅に拡大し、当社の基幹事業へと発展させる方針である。
【設備投資の内容】 単位: 百万円 工場と物流センター機能の併設で効率化
（ 冷蔵保管完備で高品質保持と廃棄０ ）
設備投資の内容 建物費 機械装置費
第２工場・ライン増 ドライフード １６０ ８８２
設改修
第３工場・新築 ドライフード（キャットフード専用） １,０００ ８８２
第４工場・新築 フレッシュフード・レトルト等 ８００ ４００ 製造ライン
（ エクストルーダーで生産能力向上） 梱包ライン
設備投資の 物流センター・新築 第1～第3工場の材料・製品を一元管理 ８２７ － （ パレタイザー
合 計 ２,７８７ ２,１６４ で省力化）
内容
【労働生産性につながる点・効果】
■製造数量・売上金額の大幅アップ
梱包ライン
ドックフード 製造2,821トン 売上2,959百万円 → 製造6,110トン 売上7,300百万円 計量袋詰めライン
（ パレタイザーで省力化）
（ 自動計量・自動充填
キャットフード 製造 15トン 売上 26百万円 → 製造2,030トン 売上3,700百万円
で省力化）
合 計 製造2,836トン 売上2,985百万円 → 製造8,140トン 売上11,000百万円
■自動化による効率化・属人化の解消、高品質な製品製造・高度な品質管理、
ニーズに応じた機動的製品開発・多種多様な製造に対応可能
2027年度（ 28年3月期） 2030年度（ 31年3月期）
項目
（ 基準年度） （ 基準年度＋３ 年後）
労働生産性
２ ０ ３ ６ 万円
（ 単位: 万円/人） （
目標値 従業員1人あたり給与支給総額 ５ １ ６ 万円
（ 単位: 万円/人） （ 年平均上昇率＋８ ％）
役員１ 人あたり給与支給総額 - ７ ７ ５ -７ 万円
（ 単位: 万円/人） （ 年平均上昇率＋５ ％）
補助事業に係る従業員数
１ ２ ５ 人
（ 単位: 人）</t>
  </si>
  <si>
    <t>1.長期成長ビジョン アイサービス株式会社
設備投資、製造能力拡張によって、現業の高齢者福祉向け商材の開発・製造・販売において強みを更に強化し
て他社の追随を許さない質・価格ともに圧倒的な差別化を図る
目 標
＜長期成長ビジョン達成のポイント＞
会社全体の売上成長目標（2023～2030年度）
売上高成長率：233％
売上高増加額：＋123億円
高齢者施設向け冷凍弁当開発力・製造の強化 会社全体の賃上げ目標（2023～2030年度）
2.82%（直近事業年度～基準年度）
医療・福祉の給食会社としての生い立ちを持ち、給食現場運営のノウハウを 5.92%※従業員数の増加要因除き:9.66％
ポイント
（基準年度～事業化報告3年目）
以って、使い勝手の良い製品企画ができる強みを磨く。及び既存工場運営
１ ⇒従業員 6.00％、役員6.00％
で培った開発力・製造力を最大限生かし、変動する市場の要求にタイムリー
に応える体制を強化する。
売上成長目標（～2030年度）
219億円
増加額：123億円
原料仕入から商品配送まで独自内製分野の強化
94億円
ポイント 現在実施している主要原料の海外と直接貿易仕入、製造した商品の仕分
2
けと関東・関西地区までの幹線便配送等の自社内製分野において、今後
24/6 工場建設の3年後
更なる物量の増加に伴い、質・コスト・スピード共に優位性を磨く。
会社全体の賃上げ目標
従業員への還元
6％
ポイント 自社の成長で得た利益は、積極的に従業員に還元する。賃上げだけでなく
3
従業員(の両親)向け福祉施設の整備計画を進める事により、従業員の収
3％
入増加に加えて支出抑制の支援体制を企業として構築する。
24/6 基準年度 工場建設後3年間
※一人当たり給与支給総額の伸び率 人数の増加によりずれあり</t>
  </si>
  <si>
    <t>1.長期成長ビジョン 内発的動機・外発的動機 アイサービス株式会社
今年はまさに10年以上前から宣伝されてきた2025年問題の真っ只中
「4人に1人が高齢者」となった時代に必要とされる食事サービスを提供したい
外発的動機 内発的動機
 人件費高騰、人手不足による医療・福祉給食運営費の負担増  冷凍弁当ビジネスの黄金期に向けて体制を備える
• 医療・福祉の厨房現場における調理員の人件費負担が年々 • 現在の当社の主力商品であるパック商品は、ユーザーは調理不要
増加している。100床未満の病院では給食提供コストが公定 で、加熱後お皿に盛りつけて提供する。高齢者施設厨房では、盛
価格を上回っており赤字運営の病院が多数発生している。 付の人員確保まで困難になる傾向があり、徐々に容器に盛りつけ
られた冷凍弁当の需要の高まりを感じている。
• 既存の自前調理や委託会社による給食運営によりコストを抑え
た、安全な給食提供の仕組みの必要性が顕在化している。 • 当社は現在1日15万食の製造実績と、ミキサー食、ムース食等
様々な形態の食事に対応できる技術を有しているが、現状の工場
 病院・施設厨房現場の人手不足 では冷凍弁当製造力は限定的である。今後の冷凍弁当の需要
の高まりに備えて開発力と製造能力を強化したい。
• 一日三食365日現場の医療・福祉の厨房では人手不足が深
刻化し、給食の質の向上以前に明日の給食の提供に不安を抱
 新事業軸の創設と幅広い消費者への商品提供
いている現場が多い。厨房の省人化、無人化の仕組みの構築
が急がれる。 • 現在、当社工場製造部門では高齢者福祉施設向けの事業が主
軸となっているが、新たな事業軸の創設を計画している。
 高齢化の進行に伴い、高齢者施設のみならず、在宅高齢者への 今後病院向け市場（推測：約7500億円/約1,500,000床/
食の安定供給の必要性拡大 年）に向けて療養食冷凍弁当販売にチャレンジしたい。
• 現在、在宅高齢者向けの弁当配食企業も店舗運営の人材難 • 日々変動する入院患者に応じた治療食を外部から供給する事は
に直面しており、業績が頭打ち気味の傾向である。ネット通販を 困難で同業者も手をこまねいている分野ではあるが、既に当社は
始めとした、運送企業の配送機能を活用した冷凍弁当の供給 複数の大型急性期病院に冷凍弁当（常食、嚥下対応食）を
の市場が拡大する傾向が顕在化している。 提供している実績を有している。
 病院向けの給食は治療食対応が複雑で院外からの提供は困難 • 今後、新工場において治療食冷凍弁当の開発に着手し、各病院
で多額のコスト（人件費、光熱費）を支出している病院内調理
• 医療施設に向けて、日々変動する入院患者に応じた治療食中
業務の代替能力を有して病院経営の効率化に貢献していく。
心の給食を外部から共有する事は困難であり、委託金額が高
騰した現在でもなお、給食会社への委託率が高い。自前調理
が無理な場合、委託会社への給食委託以外に選択肢がない。</t>
  </si>
  <si>
    <t>.補助事業の概要 アイサービス株式会社
2
原料保管能力・製造能力・製造機能・商品仕分け能力・製品保管能力を向上させ効率を上げる
既存事業の拡大により従業員への賃上げを実現し、更に新規事業へのステップアップを図る
補助事業の 事業費 億円
82
• 今後需要が伸びる冷凍弁当事業の拡大と業務効率化による事業拡大を目指す。
背景・目的 （補助額） （2 億円）
1
• 冷凍弁当専用工場として、岡山県笠岡市に工場を新設。更なる増産でコスト効率化と事業拡大を目指す。
• 新たに米飯・玉子商品製造を開始し、エンドユーザーでの利便性向上とたんぱく質摂取強化等、新たな付加価値を生み出す。
• 自動倉庫導入により原料・製品の冷凍保管能力を大幅拡大し、入出荷業務と国内物流コストを効率化する。
補助事業イメージ
設備投資の • 【主な設備投資内容】（税抜）
内容 ・工場建屋：44.07億円
・自動倉庫：3.0億円
・ピッキング設備：1.2億円
※そのほか製造設備を多数導入。
2027年度 2030年度
項目
（基準年度） （基準年度＋３年後）
労働生産性 660万円
416万円
（単位：万円/人） （年平均上昇率＋16.7％）
従業員1人あたり給与支給総額 374万円
目標値
314万円
（単位：万円/人） （年平均上昇率＋6.0％）
役員１人あたり給与支給総額 -
（単位：万円/人） - （年平均成長率＋6.0％）
補助事業に係る従業員数
685人 795人
（単位：人）</t>
  </si>
  <si>
    <t>株式会社シード
1.長期成長ビジョン
無限の新分野に種をまき、 結実した「成果」を収穫し続けることで、多様な「みえる」喜びを創造できる社会の実
現を目指す
長期成長ビジョン（目指す姿・ビジネスモデル） 外発的動機
• 国内のコンタクトレンズ市場は近視人口の増加による市場の拡大
「種子」に因んだ社名を持つ当社は、無限の新分野に種をまき、 結
が続いており、2030年頃までは成長を続ける見通しである
実した「成果」を収穫し続けることで、多様な「みえる」喜びを創造で
きる社会の実現を目指す • 海外のコンタクトレンズ市場も成長を続けており、特に東南アジアな
ど経済成長率の高い地域での市場拡大が見込まれる
• 円安の状況下では、国内製造品を輸出するメリットが大きく、今後
• お客様の「みえる」に関するニーズに応え、多様なソリューションと付
の輸出拡大にチャンスがある
加価値を提供
• 近視進行抑制効果などコンタクトレンズに新たな価値を付加させる
• 「ジャパンクオリティ」に誇りを持ち、すべての製品を高品質かつ安
ことで需要の拡大が見込まれる
定的に供給
• 既存技術の継承と新技術の探求、専門スキルの研鑽により、自ら
を高め続ける
内発的動機
• ステークホルダーとの多様な接点を生み出し、対話を通じた満足
度の向上と信頼構築に努める • 世界市場はメーカー出荷額ベースで約１兆円以上と見られ、その
中で市場に影響力を持ち、変化の速い市場で生き残る為には業
容の拡大が必要
• 中長期的には連結売上高500億円を目指す
会社全体の売上成長目標（～31年）
• アジアにおいても、月産1億枚程度の製造力が標準となっている状
• 売上高成長率6.0％ 況から、当社も設備の増設を行い世界で戦うための生産能力を有
• 売上高増加額151億円 する必要がある
会社全体の賃上げ目標
• アフターコロナの需要増加に対して当社の商品供給力（生産能
• 3.8%（直近事業年度～基準年度） 力）が不足しており、国内外の受注に対してバックオーダーでの対
• 5.5%（基準年度～事業化報告3年目） 応をせざるを得ない状況から、機会損失が発生している</t>
  </si>
  <si>
    <t>株式会社シード
.補助事業の概要
2
国内外市場での高成長を実現するため、鴻巣研究所4号棟の建設による生産能力拡張と共に、省人化設備
の導入による生産性向上と3号棟にて新素材商品の生産開始による売上増加を目指す
補助事業の • 需要が供給を上回る状況が継続しており、国内外の販売機会損失が発生 事業費 億円
127
背景・目的 • 顧客ニーズの多様化とコスト高・人手不足等の外部圧力 （補助額） （4 億円）
1
鴻巣研究所4号棟の建設による生産能力増強
【具体的な投資内容】
① コンタクトレンズ製造工場建設： 159.4億円（補助金対象外）
生産能力が約1400万枚/月増加
② コンタクトレンズ製造設備導入：130億円（補助金対象）
設備投資の
生産能力が約1000万枚/月増加、省人化による生産性向上と新素材商品
内容
による売上向上
【補助事業により見込まれる効果】
• 生産能力増・顧客ニーズへの対応強化に伴う販売増による売上増
（30年度までに50％増を見込む）
• 生産性向上に伴う原価低減による利益率向上
（全社粗利益率+6%の改善）
2027年度 2030年度
項目 （基準年度） （基準年度＋３年後）
埼玉 東京 埼玉 東京
労働生産性 1,385万円/人
1,190万円/人
（単位：万円/人） （年平均上昇率＋5.2％）
目標値
従業員1人あたり給与支給総額 589万円/人 666万円/人
502万円/人 567万円/人
（単位：万円/人） （年平均上昇率＋5.5％） （年平均上昇率＋5.5％）
役員１人あたり給与支給総額 828万円/人 828万円/人
716万円/人 716万円/人
（単位：万円/人） （年平均上昇率＋5.0％） （年平均上昇率＋5.0％）
補助事業に係る従業員数
829人 341人 864人 341人
（単位：人）</t>
  </si>
  <si>
    <t>河淳株式会社
1.⾧期成⾧ビジョン
限定的な需要の商品でも、市場拡大をすることで 大きな売上を目指すことができます。
河淳スタイルの課題解決を 世の中に広げるために、私たちは絶え間ない拡大と成⾧を遂げる必要があります。
“Japan Concept &amp; Japan Design” 日本発の ものづくりイノベーションで世界の課題を解決します。
× × ×
顧客の声を迅速に反映する企業DNA アイテムの深さ 洗練されたデザイン 河淳クオリティの品質管理
⾧期成⾧ビジョン（目指す姿・ビジネスモデル） 外発的動機
顧客ニーズの多様化とライフスタイルの変化、複雑性
世界に誇る「店舗ソリューション企業＆ライフスタイル専門店」へ
高品質低価格を売りにした商品が市場の主流となっている一方で、顧客のニーズは
多様化しています。消費者は単に価格だけでなく、品質、デザイン、そしてブランドの
顧客の声を迅速に反映する企業DNAと、高品質・デザイン性を兼ね備えた
背景にあるストーリーや価値を重視する傾向が強まっています。さらに、良いものを⾧く
商品開発を深化させ、世界の顧客ニーズに応え、持続的な成⾧を目指します。
使い続けるサステナブルなライフスタイルが広がり、自分独自のライフスタイルを築くことに
対する関心も高まっています。このような変化に伴い、消費者は個々のニーズに合った
①KEYUCAブランドの全国展開
商品を求め、パーソナライズされた体験を重視するようになっています。また、環境意識
首都圏、関西地域が中心のKEYUCAを全都道府県に出店を目指します。
の高まりやエシカル消費の拡大も無視できない要因として存在しています。これらの
千店を超える最大手競合に対し当社は102店。一層成⾧可能な市場です。
外発的動機に対応するためには、多様なニーズに応じた柔軟な商品開発と、消費者
の価値観に寄り添った企業としての姿勢が求められています。
②世界展開の推進
東アジアを中心に事業を展開、欧米市場にも進出します。現地の文化や消費
者ニーズに合わせた商品を開発し、グローバル市場でも高い評価を狙います。 内発的動機
顧客の声に寄り添い続ける信念。その想いは企業DNAへ
③環境・地域貢献・国内生産の強化
“顧客の声を重視し、常に寄り添い、課題解決に努めること”が、当社の信念です。
環境保護や地域社会への貢献を推進し、持続可能な活動を展開します。
地元企業との連携を強化し地域経済に寄与します。年々、国内生産比率を
過去の経験から様々な海外の文化、商品に触れた結果、日本クオリティの商品と
向上させ現在は40％を占めますが、さらに国内生産を進めていきます。
洗練されたデザインを融合させることを目指しています。地産地消の理念を持ち、国内
製品の増加に努める一方で、海外にも目を向け、ベトナムに自社工場を設立するなど、
会社全体の売上成⾧目標（～2030年）
世界に貢献できる体制を整えています。顧客に寄り添い、ニーズを製品化するDNAは
• 売上高成⾧率 +39.6％
企業文化として受け継がれており、現在では27万以上のアイテムを取り扱っています。
• 売上高増加額 304億円
会社全体の賃上げ目標
企業の成⾧は社会貢献と密接に結びついており、よりニッチな顧客のニーズに応えるた
• 2.7%（直近事業年度～基準年度）
め、1人1人のライフスタイルに寄り添うためには、絶え間ない成⾧が必要です。この信
• 7.4%（基準年度～事業化報告3年目）
念は企業全体に浸透し、持続可能な成⾧を追求する強力な原動力となっています。</t>
  </si>
  <si>
    <t>河淳株式会社
2.補助事業の概要
栃木県日光市に新たな物流拠点 【 KAWAJUN今市テクニカル Seven 】を設立し、
自動化技術を積極的に導入にする事により生産性向上と地域経済の活性化を図ります。
本補助事業は、栃木県日光市における当社物流拠点の新設を通じて、全国への店舗展開によ
補助事業の
る雇用創出と地域の経済活性化を目指しています。特に、現行の物流倉庫の能力を大幅に向上
事業費
85億円
させるために、最新の自動化技術を導入することで、作業効率を高め従業員の労働環境を改善し
背景・目的 (補助額) (23億円)
ます。労働生産性及び在庫回転効率の向上を図りながら全国への店舗拡大と売上増加を推進
させる事でひいては地域の企業や住民に対しても波及効果をもたらすことを達成します。
設備投資の内容
■新倉庫【 KAWAJUN今市テクニカル Seven 】の建設
栃木県日光市に延床約23,000㎡の鉄骨造平屋倉庫を新設します。従来比1.5倍の収容力と高い耐震性を備え、ゆとりのトラックバース配
置で入出荷を円滑化。地域企業への発注を積極的に行い、雇用創出と地元経済の活性化にも寄与します。
設備投資の
■物流自動化機器の導入
内容
GTPロボット、AGV、ラックフォーク、自動仕分などを導入し、歩行を伴わないピッキングと高密度収納を実現。これにより保管効率は最大40％、
処理能力は約2.3倍向上し、補充・搬送工数を50％以上削減します。
■ソフトウェアと外部専門家の活用
自動化機器と仕入情報、販売情報を連携させた統合ダッシュボードで在庫・設備稼働・KPIをリアルタイム可視化。さらにPMO、システムインテ
グレーター、物流コンサルタントなど専門家が導入から継続改善まで伴走し、投資効果の最大化を図ります。
自動化による省力化指数 0.87（87％削減） 本事業における目標値
2027年度 2030年度
項目
（基準年度） （基準年度＋３年後）
労働生産性 5,771
3,252
（単位:万円/人） (年平均上昇率21.1%)
従業員1人あたり
351
目標値 給与支給総額 295
(年平均上昇率6.0%)
（単位:万円/人）
役員１人あたり
-
給与支給総額 -
（単位:万円/人）
(年平均上昇率17.0%)
補助事業に係る従業員数
62 72
（単位:人）</t>
  </si>
  <si>
    <t>株式会社丸杉
1.長期成長ビジョン
複雑・多品種加工への対応と省力化を両立する「高度加工対応型流通モデル」へ進化。
業界の人材・資金課題を補完し、社会・顧客・従業員すべてに貢献する持続的成長を目指す。
長期成長ビジョン（目指す姿・ビジネスモデル）
流通加工の強みを活かし、複雑・多品種鋼材への対応を可能とする「高度加工対応型流通モデ
ル」への進化を進めている。加工にかかる設備投資・人材育成が困難な鉄骨加工業者に代わり、当 外発的動機
社がその役割を担うことで、業界全体の持続的発展と構造課題の解決に貢献する。 • 鉄骨加工業者の深刻な人材不足と後継者不
在により、加工代替ニーズが急増
• 鋼材価格の高騰により、付加価値ある加工で
の収益確保が急務
社会課題 従業員への
• 建設市場の短納期化・複雑化により、業界の
の解決 顧客ニーズ 還元
中間工程を担う機能が求められている
への対応
 鋼材供給力を強化し、国土  生産性向上による利益を
強靭化災害復旧・インフラ再  複雑・多品種加工を当社が 年次昇給や職場環境改
生に貢献 代行することで、顧客の資 善に再投資
内発的動機
 熟練技術の機械化・デジタル 金・人材負担を軽減  地域雇用の創出と若手育
• 創業100年超の歴史の中で顧客と共に歩んで
化によって、技術継承の課題  一括納品・短納期・高精度 成を進め、持続可能な人
きた使命感
を解消 加工により、顧客の本業集中 材戦略を実現
を支援
• 自社が担うことで顧客の課題を解決し、恩返し
会社全体の売上成長目標（～2030年） の気持ちで産業を支えたい
• 売上高目標 1,693億円
• 社員への還元と誇りある職場づくりへの意志
• 会社全体の売上高成長率 49.4％
• 会社全体の売上高増加額 857億円 • 社会インフラ維持・震災復興を通じた社会的責
会社全体の賃上げ目標 任の遂行
• 1.89％（直近事業年度～基準年度）
• 6.00％（基準年度～事業家報告３年目）</t>
  </si>
  <si>
    <t>株式会社丸杉
2.補助事業の概要
鋼材事業の生産性・収益性・持続性を高めるための中核的な設備・DX投資を実施。
全拠点の機能強化と地域連携を通じて、構造的な競争力の底上げを図る。
• 人手不足・高齢化・外注加工依存など、鋼材業界が抱える構造課題が深刻化
補助事業の • 自社の既存資産・拠点を活かし、高度加工・省力化・脱炭素・安全性・地域連携を備えた“次世代鋼材 事業費 12億円
背景・目的 流通モデル”を構築 （補助額） （3.9億円）
• 加工対応力の強化、物流DX、安全性向上、GX対応を同時に実現し、全社成長をけん引する基盤とする
■ハードウェア 約17.1億円（複合加工機、一次加工ライン（津工場）、建屋改修、IoTセンサー、アンドン、EMS・太陽光・蓄電設備）
■ソフトウェア約1.6億円（WMS、AIアルゴリズム、危険行動予測AI、CO₂モニタリング制御システム、地域連携マッチングシステム）
【投資対象の概要】
• 加工製造モデル拠点（津・長浜・長野）複合加工機を導入・建屋改修→ 高付加価値な内製加工体制を整備し、生産能力1.5倍に
• 物流最適化拠点（関東・稲沢・産業機器開発部）にWMS・AI分析を導入 → 作業動線・歩数の定量把握により、物流効率を向上
• IoT・GX・地域連携拠点（営業所中心の13拠点）
設備投資の ① IoT・AIセンサー／アンドン → 労災予防・稼働率向上
内容 ② EMS・太陽光・蓄電池 → CO₂削減・エネルギー自給
③ 地域連携マッチングシステム → 近隣鉄工所と加工・物流リソースを相互活用し、CO₂排出・機会損失を低減
【想定される効果】
• 内製化・物流最適化・省力化を通じて、属人性を排除し、労働生産性を19.96％向上
• 複雑加工の内製化により、粗利率が改善し、品質の安定にも貢献
• 生産性の向上による利益は、年6.14％の賃上げ原資として従業員に還元
2027年度 2030年度
項目
（基準年度） （基準年度＋３年後）
労働生産性 2,975万円/人
1,723万円/人
（単位：万円/人） （年平均上昇率＋20.0%）
従業員1人あたり給与支給総額 560万円/人
目標値 469万円/人
（単位：万円/人） （年平均上昇率＋6.1％）
役員１人あたり給与支給総額
- -
（単位：万円/人）
補助事業に係る従業員数
161人 167人
（単位：人）</t>
  </si>
  <si>
    <t>株式会社ヤマイシ
1.長期成長ビジョン
自信があります！！より良いサービスを追求しステークホルダーを笑顔にします。 地域の食文化を豊かにし、自分
の子供を入れたくなる、 愛され続ける会社を目指します
長期成長ビジョン（目指す姿・ビジネスモデル） 外発的動機
• 冷凍・チルド食品需要の増加、食の安全性がより重視されるなど、
自信があります！！より良いサービスを追求しステークホルダーを笑顔
コールドチェーンに対するニーズは高くなってきている
にします。 地域の食文化を豊かにし、自分の子供を入れたくなる、 愛
され続ける会社を目指します。 • 多品種小ロット化によって一つ一つの品物が嵩むようになった結果、
保管効率が下がっており、冷蔵倉庫不足が業界の課題
創業100周年へ向けての「ヤマイシ宣言」 • 冷蔵倉庫の老朽化が進んでおり（90年代以前に建設された冷蔵
倉庫が業界の半数を占める）、老朽化により建替え等が必要にな
私たちの子供がヤマイシで働きたいと思えるよう、青森が世
界に誇れるねぶた祭りに負けない情熱で、 才能と笑顔あふ るが、投資ハードルは高く、冷蔵倉庫の供給能力に不安視
れる企業を創ります。お客様の笑顔の為に、目指せ、咲か • 和食文化の浸透による世界的な日本食ニーズの高まり
せよう笑顔の輪。百年見据えた明るい未来へ！ • 水産品の養殖が盛んな青森県の生産強化と海外輸出強化の取り
組みによる地域活性化
◼ 食品流通業界において県内の『かなめ』となる企業となり、お客様
を笑顔にする
内発的動機
◼ 自分の子供を入れたくなる、 愛され続ける会社を目指す
• 「お客様第一主義」「お客様と共に躍進」が当社のモットーであり、
安心・安全な食品を提供することで、地域のお客様を笑顔にするこ
◼ 在青森の地域未来牽引企業として、青森という地域に根差し、
とが当社の使命
地域社会に貢献する
• 地域に支えられ、未来に向けて共に発展していきたいとの思いから、
青森県の魅力を他県、そして海外にまで発信していくことで青森県
会社全体の売上成長目標（～31年）
の地域活性化に貢献する
• 売上高成長率10％
• 売上高増加額123億円 • 倉庫キャパシティは逼迫しており、今後のさらなる成長・地域貢献を
実現するには倉庫能力の拡張が必要
会社全体の賃上げ目標
• 2.7%（直近事業年度～基準年度） • 人手不足が顕在化しており、生産性を高めたビジネスモデルへと転
換することで社員が幸せに働ける環境作りが重要
• 7.0%（基準年度～事業化報告3年目）</t>
  </si>
  <si>
    <t>株式会社ヤマイシ
.補助事業の概要
2
増加傾向にある冷凍食材・冷凍食品や地場取引先からの多様なニーズへの対応力強化、倉庫運営の効率化
を目的とした、最新自動倉庫システムを備える冷蔵倉庫の増築
補助事業の • 地域の倉庫キャパシティの逼迫と冷蔵倉庫の老朽化 事業費 2 億円
6
背景・目的 • 少量多品種取引対応や人手不足への対応、労働生産性改善が必須 （補助額） （7.7億円）
本社倉庫における冷蔵倉庫増築・自動倉庫システム導入による倉庫能力拡充と生産性向上
【具体的な投資内容】
本社倉庫における冷蔵倉庫増築
①
庫腹3,500トンの冷蔵倉庫を本社倉庫隣接地に建設
設備投資の
内容
【補助事業により見込まれる効果】
• 倉庫能力増や商品多品種を含む多様な取引への対応強化による売上増
（冷蔵庫増築のみで30年度までに37％増を見込む）
• 外部倉庫費削減や自動バゲット式倉庫導入による少人数での倉庫運営
実現による営業利益率改善（+1.5%の改善）
• 作業員の負担減と人の出入り削減による衛生管理改善・品質安定化
2027年度 2030年度
項目
（基準年度） （基準年度＋３年後）
労働生産性 1,019万円/人
523万円/人
（単位：万円/人） （年平均上昇率＋24.9％）
目標値 従業員1人あたり給与支給総額 462万円/人
377万円/人
（単位：万円/人） （年平均上昇率＋7.0％）
役員１人あたり給与支給総額
-
（単位：万円/人） - （年平均上昇率＋5.0％）
補助事業に係る従業員数
221人 230人
（単位：人）</t>
  </si>
  <si>
    <t>たまご＆ファーマーズ株式会社
.長期成長ビジョン
1
・たまごの付加価値を高め、安心かつ安全なたまごを安定的に供給し続ける
・検査や包装工程の自動化や包装工場を集約することで輸送効率を高める
・ゆで卵や温泉卵、液卵などの加工品を新規に開発して、国内外の販売量を増やす
長期成長ビジョン（目指す姿・ビジネスモデル）
外発的動機
メガトレンド
• 鳥インフルエンザや飼料価格の高騰など、養鶏業に大きな影響を与
える外部的要因が頻繁に発生。
• 海外輸出の増加（殻付き卵、液卵、粉卵など）。
• 国内中食需要増加で、ゆで卵などの販売伸びる。 • 農業従事者の高齢化に伴う、継続的な養鶏事業者数の減少。
• 安定供給の重要性増す（飼料価格高騰で鶏卵生産者苦境、 • 卵不足と卵過剰の状況が頻繁に起こり適切な市場を保てていない。
鶏卵生産者→検査・包装→問屋・卸→加工業者・小売と、
市場需要変動、鳥インフルなど）。
生産者と消費者が分断されたシステムでは、市場ニーズが生産者に伝
目指す姿とビジネスモデル
わらず、卵不足と卵過剰が頻繁におこる。
市場需要と連動した効率的で安定した生産体制の確立 当社は国内最大の鶏卵販売業者であり、また鶏卵生産から販売ま
• 検査の自動化：検査プロセスの自動化/DXを進める。 で扱う産直事業者として業界の問題を解決する立場にある。
• 包装工場の集約による包装業務・製品輸送の効率化：従来は
検査・包装工場が養鶏場に隣接しており、規模の小さい工場が多
内発的動機
数あり、不効率であった。大規模包装工場を市場に近い位置に集
• 過去の経営方針では、生産量拡大に注力しており、効率化のため
約し、包装業務と物流を効率化する。
の設備投資が十分でなかった。
• 新商品開発：産直事業者である当社が、市場ニーズにあった卵
• 一昨年より続く、ウクライナ情勢に伴う国際危機が飼料価格を急騰
加工製品を多数販売することで、鶏卵生産者のたまご生産量を
させたことでコストが嵩み、資金繰りが悪化したことから、どのような市
確約できる（業界は鶏卵生産者、卸売、販売店と分断しており、
況であっても利益が出せる体制に転換することを強く意識した。
マーケットアウトであったが、これをマーケットインに変革する）。
• 一方で、当社の主力商品である「森のたまご」が市場に定着して以
＜新規商品＞
降は、マーケティング戦略を駆使した差別化をしてこなかったため、単
（国内）味付きゆで卵、温泉卵など
純な価格競争が主な差別化手段となっており、独自の戦略で利益
（海外）殻付き卵、液卵など
を上げることが困難な状況であった。
会社全体の売上成長目標（直近決算～2031年） 生産の自動化（例：手作業の検査を自動化する）。
• 売上高成長率9.6％ 製品輸送の効率化。
• 売上高増加額324億円 新製品販売による価格競争からの脱却。
（25年1月期442億/31年1月期767億）
会社全体の賃上げ目標
• 7.0%（直近事業年度～基準年度）
• 2.0%（基準年度～事業化報告3年目）</t>
  </si>
  <si>
    <t>たまご＆ファーマーズ株式会社
.補助事業の概要
2
・需要＜供給・海外市場拡大・他社からの卵受入拡大により数量増が確実である。重点拠点の生産性を大幅に向上させる必要がある
・重点拠点への検査、洗浄・選別・包装工程への最新設備導入と建物改装による動線改善・能力向上➨生産性向上・生産能力向上の実現
• 【背景】需要＜供給・海外市場拡大・他社からの卵受入拡大により数量増が確実である。
重点拠点の生産性を大幅に向上させる必要がある。
補助事業の • 【目的】検査工程、洗卵選別包装工程の高度化と建屋改装・設備配置改善による生産性改善 事業費 75億円
背景・目的 • 【施策】 以下重点拠点の生産性を大幅に改善する。 （補助額） （25億円）
岡山工場：洗卵選別包装と検査工程への最新設備導入と自動化・効率化。建屋改装。
色麻工場・関西工場・伊賀工場：洗卵選別包装工程への最新設備導入と自動化・効率化。建屋改装。
＜補助事業/投資内容＞
★検査の自動化：検査プロセスの自動化/DXを進める。
★工場の集約による包装業務・製品輸送の効率化：従来は検査・包装工場が養鶏場に隣接しており、規
模の小さい工場が多数あり、不効率であった。重点拠点において市場に近い位置に大規模工場として集約し、
包装業務と物流を効率化する。
設備投資の ■岡山工場：建物改装工事、検査設備（バーコンベアライン）、洗卵選別包装自動化設備
■色麻工場：建物改装工事、洗卵選別包装自動化設備
内容
■関西工場：建物改装工事、洗卵選別包装自動化設備
■伊賀工場：建物改装工事、洗卵選別包装自動化設備
＜補助事業外＞
■在庫管理・ゲートでの識別・検査・包装・出荷までデータ管理実施を進めている。（伊賀工場）
➨全工場で展開を計画する。
項目 2028年1月期（基準年度） 2031年1月期（基準年度＋３年後）
労働生産性 658万円/人 1,291万円/人（年平均上昇率＋25.2％）
岡山：従業員1人あたり給与支給総額 344万円/人 422万円/人（年平均上昇率＋7.0％）
色麻：従業員1人あたり給与支給総額 344万円/人 422万円/人（年平均上昇率＋7.0％）
関西：従業員1人あたり給与支給総額 344万円/人 422万円/人（年平均上昇率＋7.0％）
伊賀：従業員1人あたり給与支給総額 344万円/人 422万円/人（年平均上昇率＋7.0％）
目標値 岡山：役員１人あたり給与支給総額 ― ―（年平均上昇率+-%)
色麻：役員１人あたり給与支給総額 ― ―（年平均上昇率+-%)
関西：役員１人あたり給与支給総額 ― ―（年平均上昇率+-%)
伊賀：役員１人あたり給与支給総額 ― ―（年平均上昇率+-%)
岡山：補助事業に係る従業員数(役員含む） 165人 180人
色麻：補助事業に係る従業員数(役員含む） 176人 196人
関西：補助事業に係る従業員数(役員含む） 45人 80人
伊賀：補助事業に係る従業員数(役員含む） 74人 94人</t>
  </si>
  <si>
    <t>学校法人花沢学園
1.⾧期成⾧ビジョン
花沢学園の⾧期成⾧ビジョン
外発的動機
⾧期成⾧ビジョン（目指す姿・ビジネスモデル）
• コロナ禍による生活・学習環境の変化で、不登校生徒が全国的に
• 地球規模で深刻化する社会課題（気候変動、格差拡大、人口 増加し、心理的不安や社会的孤立が深刻化
流動など）に対応し、国際社会で課題解決型リーダーシップを発 • 国の「不登校支援強化方針」策定により、学校には早期発見・支
揮できる学生を育成する 援体制整備の迅速な対応が求められている
• 異文化理解、多文化共生の力を育み、人種・宗教・国籍を問わ • 外国人労働者の増加により、外国人生徒の来日が進み、日本語
ず包摂できるグローバル市民を育成する 教育や生活支援のニーズが拡大している
• AI・データサイエンスを活用した教育DX（デジタルトランスフォー • 外国人生徒の学力・言語・文化差への対応力が不足する教育機
メーション）を推進し、個別最適化されたアクティブラーニング環境 関が多く、社会的な課題となっている
を構築する • SDGsにおけるインクルーシブ教育推進により、多文化共生を実現
• 不登校生徒や外国人生徒を積極的に受け入れ、リアルとバーチャ する教育機関への期待が高まっている
ルを融合したキャンパスで交流・共学を推進し、自己肯定感と多
様性受容力を高める
• 世界標準の教育を目指し、国内外の教育機関・企業・自治体と
連携しながら、次世代を担うグローバル人材の育成基盤を確立す
内発的動機
る
• 教員がカウンセリングやメンタルヘルス、異文化理解に関する専門研
修を受け、多様な生徒に対応できる体制を構築
会社全体の売上成⾧目標（～30年） • 教職員の資格取得を推進し、心のケアや個別支援の専門性を高
める取り組みを実施
• 売上高成⾧率110％
• 20年以上の通信制教育のノウハウを活かし、個別最適な学習支
• 売上高増加額14億円
援体制を確立
会社全体の賃上げ目標
• Webと対面を組み合わせたハイブリッド型学習モデルで、生徒の多
• 年平均5.0%（直近事業年度～基準年度）
様な学び方に柔軟対応
• 年平均5.6%（基準年度～事業化報告3年目）
• AI技術を活用し、個別に最適化された進路指導や学習支援を提
供する体制を整備</t>
  </si>
  <si>
    <t>学校法人花沢学園
2.補助事業の概要
補助事業の背景・目的
補助事業の • 不登校生徒や外国人生徒が増加し、多様な生徒に対応できる教育機関の重要性が高まって 事業費 29億円
背景・目的 る。これらの生徒を受け入れ、個別の教育を行い、グローバルに活躍できる人材を育成する。 （補助額） （6.8億円）
不登校生徒・外国人生徒のコミュニケーション障害、言語の壁、異文化対
応を可能とする、メタバース、AIを活用したリアル×バーチャルを繋げた教育
プラットフォームを構築する。
・6階建て校舎建設費:25億円（8.33億円）
・メタバースキャンパス:1.5億円（0.5億円）
設備投資の
リアルとバーチャルのキャンパスで生徒間のコミュニケーションを促進 写真等
内容
・AIカウンセラー:1億円（0.33億円）
不登校生徒の悩み相談、外国人生徒の日本語学習、進路相談
・スクールコミュニティプラットフォーム:0.5億円（0.17億円）
生徒・教員・保護者間のコミュニケーションを促進
2026年度 2029年度
項目
（基準年度） （基準年度＋３年後）
労働生産性 1,815
1,171
（単位:万円/人） （年平均上昇率＋15.7％）
目標値 従業員1人あたり給与支給総額 887
745
（単位:万円/人） （年平均上昇率＋6.0％）
役員１人あたり給与支給総額 1,259
1,087
（単位:万円/人） （年平均上昇率＋5.0％）
補助事業に係る従業員数
58 94
（単位:人）</t>
  </si>
  <si>
    <t>株式会社フルサワ
1.長期成長ビジョン
カーボンニュートラル、サーキュラーエコノミーの観点から高炉の電炉化が進む中で、本事業により、解体機能の強化・効率化
を図り、プラント・風力発電・船舶解体による鉄スクラップ調達量を拡大し、製鉄事業者へ高品質な鉄スクラップを安定的に
供給出来るようになることで、ビジネスモデルの更なる強化を実現します
外発的動機
長期成長ビジョン（目指す姿・ビジネスモデル）
• 環境保護への関心の高まりとともに適切な廃棄物処理とリサイクル・リ
【目指す姿】
• 当社は、鉄・非鉄等の再資源化に取り組むことにより、高品質な ユース・リデュースを前提とした循環型社会の重要性が高まっている
鉄スクラップを鉄鋼メーカーに安定的に供給し、低炭素社会・循環 • プラント解体は、煙突・高構造物と風力発電の高所作業について高い
型社会の実現に向けた役割を果たすと考えている 安全性が求められる
• シップリサイクルは、労働環境・環境保護・人権問題の観点から、これら
【現状】
に配慮した船舶処理の需要が高まっている。特に環境意識の高い欧州
• 当社は、プラント・風力発電・船舶等の大型構造物の解体から
船主は、船舶の処分を労働環境・環境保護・人権問題に配慮した事
鉄・非鉄等のスクラップの再資源化までの一貫した機能を保有し、
業者に依頼したいといったニーズを抱えている
循環型社会の一端を担っている
• 安定した高品質な資源を供給していく為には、更なる調達先の確 • 製鉄事業者は、カーボンニュートラルの観点から、CO2排出量抑制に
保と人工作業(手作業：以下人工作業とする)に依存した工程を 向けた電炉への転換により、高品質な鉄スクラップの安定的な供給を
改善する必要があると捉えている 必要としている
内発的動機
【補助事業の取組み】
• プラント・風力発電・船舶解体をターゲットとした鉄資源の調達量 • 当社は、多様な設備を保有し、解体技術・再資源化の専門知識を持
拡大と、大型クローラークレーン・解体機・プレスシャー等の新規設 つ社員が多く在籍しており、ハード/ソフトの両面のリソースを活用した事
備を導入することで生産性を高めて供給量の拡大を実現し、当社 業成長を目指している
ビジネスモデルの更なる強化により、賃上げと事業成長に繋げてい • 当社は、機械設備が増える中、資格者育成や設備管理の体制を整え
きます ている
会社全体の売上成長目標（2024-2029/12期） • 他の解体業者は再資源化のヤードを殆どが保有していない。当社の強
• 売上高成長率：208％ みである再資源化は人工作業に依存しており、鉄スクラップの供給量を
• 売上高増加額：+40億円 拡大するには生産性の改善が必要であると認識している
• 当社は、環境規制や労働体制等で高いレベルでの作業環境を備えて
会社全体の賃上げ目標
おり、シップリサイクルではインド・トルコへの現地視察を実施し、欧州船
• 年平均0.76%（直近事業年度～基準年度）
主からの視察を受け入れている
• 年平均7.00%（基準年度～事業化報告3年目）
• プラント・船舶解体における調達先との交渉を継続実施している</t>
  </si>
  <si>
    <t>株式会社フルサワ
2.補助事業の概要
補助事業を通じて、鉄・非鉄スクラップを製鉄事業者に安定的に供給し、低炭素社会・循環型社会の実現に
向けた役割を果たすとともに持続的な賃上げを含む地域雇用の拡充と更なる事業成長の基盤を構築します
補助事業の • 既存の解体業の取組みは、人工作業に依存しており、省力化・機械化による労働生産性 事業費 43億円
背景・目的 の改善を進めることで、鉄・非鉄スクラップ取扱量を拡大し、更なる事業成長を目指す （補助額） （14億円）
【設備投資の内容】
1350tクローラクレーン
（リープヘル社製）
① 1350tクローラクレーン 2,768百万円
② 200tクローラクレーン 490百万円
③ バックホー（ラバンテ） 642百万円
④ 2000ｔプレスシャー 360百万円
⑤ ナゲット 60百万円
設備投資の
内容 【生産性向上につながる点】
• 現状、ガス溶接やバックホーにより運搬可能な小ブロックに切り分けたものを
再資源化していた。設備導入により、大ブロックの状態でプレスシャーに投
入出来るようになり、人工作業の工程が縮小する
• 本事業では1,350tクローラクレーンを中心として省力化設備を導入する事
で生産性向上と資源の付加価値を高め、労働・安全環境を整え作業員
の負担を軽減する
2026年度 2029年度
項目
（基準年度） （基準年度＋３年後）
労働生産性 1,704
723
（単位：万円/人） （年平均上昇率＋33.1％）
従業員1人あたり給与支給総額 516
目標値 421
（単位：万円/人） （年平均上昇率＋7.0％）
役員１人あたり給与支給総額 -
-
（単位：万円/人） （年平均上昇率＋7.0％）
補助事業に係る従業員数
160 190
（単位：人）</t>
  </si>
  <si>
    <t>株式会社フルサワ
2.補助事業の概要
補助事業を通じて、プラント・風力発電は煙突や高構造物を降ろすブロックの大型化を図り、船舶解体もブロック
の大型化を図る事で、人工作業を削減し安全施工・環境保護を確立します
プラント解体｜煙突/高構築物の解体工法 船舶解体｜大型船舶の解体工法
従来工法 補助事業を活用した工法
200m 200m
クレーンで地上
に大きなブロックを降ろす
ワイヤーソーで切断
人力で小さく斫り解体していく
25m
100m 100m 遠浅の海底
クレーン＋ラバンテ解体
クレーン＋ラバンテ解体
500tcc、sk480 1350tcc
＜既存解体方法との違い＞ ＜既存解体方法との違い＞
 既存のプラント解体（現状）  インド・バングラデシュの船舶解体(現状）
煙突/高構築物の上部に人が直接あがり、人力で斫り作業を行い解体していく為、人工作業に 船首から浜辺に座礁させてウィンチで固定した後に、潮の干満を活用して解体する工法である。干
よる工数負荷が高いことや、安全性の確保が難しい 潮時に人工作業中心で解体する工法で、安全具装着が無く人権問題や環境問題を抱えている
 新規のプラント解体（補助事業後）  当社の船舶解体（補助事業後）
ワイヤーソーで大ブロックに切断したものを大型クローラクレーンを使用して吊り降ろした後に、地上 当社の解体工法は、船尾から満潮時に座礁させ、大型クローラクレーン等の重機で陸上に揚陸す
にて重機解体を行う為、人工作業の工数削減と安全性の確保が図られる。また、220ｍまでの る工法である。座礁させにくい場合は、船首のバラストタンクに水を注入し、船尾を浮かせ満潮時に
高所対応が可能となる 座礁させ解体する。高い技術ノウハウを必要とする工法である。
＜新規解体方法の優位性＞ ＜当社解体方法の優位性＞
 安全性の向上  解体ヤードの違いによる物理的要因
煙突/高構築物の解体は、大型クローラクレーンにより、ブロックの大型化が実現することから、コン コンテナ船が大型化しており、船体が重く、吃水も9ｍ前後と深くなっている。インド・バングラデシュ
クリート等の落下物のリスクが大幅に減少し、安全性が確保される。今後は機械作業による安全 の海底が遠浅になっており、ヤード近くに入港できない。当社は水深の25ｍあり対応が可能
性と環境保護に配慮した業者が受注する方向にある  環境負荷に配慮した解体方法
 作業効率性の改善 インド・バングラデシュではエンジンルームが設置されている船尾部分が海上に露呈している為、解
煙突/高構造物(50ｍ以上)は既存の方法であれば人工作業が多く掛かっていた。ブロックの大 体時の油・廃棄物の流出しているが、当社は船尾を陸上に引き上げて油除去後に解体する為、
きさを3倍程度のサイズにしても対応が可能となり、人工作業を約50％に削減出来る 海上への影響がない</t>
  </si>
  <si>
    <t>東洋ケアサービス株式会社
1.長期成長ビジョン
未来をTSUNAGU BEST PARTNER企業へ
「スタッフの大切な人に入社させたい！って思っていただける会社を創る！」
長期成長ビジョン（目指す姿・ビジネスモデル） 外発的動機
• 企業・施設・病院の調理スタッフ不足や厨房業務負担の増大が深
未来をTSUNAGU BEST PARTNER企業へ
刻化し、給食外部調達が主流に
「スタッフの大切な人に入社させたい！って思っていただける会社を
• 感染症対策への意識高まりから、洗浄・消毒・清潔維持の外注需
創る！」
要の高まり
• ヘルスケアソリューションを提供するイノベーションカンパニー • 高齢者人口は2040年に3,900万人超へ、福祉・介護関連サー
ヘルスケア分野において、お客様、スタッフ、協力会社、仕入先、地 ビス市場は継続拡大が確実
域社会のベストパートナーを目指し、より豊かで充実した生活を実現 • 介護人材不足や介護現場における業務負担は特に深刻であり、
介護食の外注ニーズが大きい
• 大切な人を入社させたい企業 • 介護食市場は2024年で約1,200億円、2030年に1,400億円
「思いやり」と「優しさ」を持つ事で働き甲斐のある職場環境を作り、大 以上への成長が見込まれる（富士経済）
切な人を入社させたいと思っていただける企業を創造
内発的動機
• 地域貢献と社会課題解決への貢献
ヘルスケア分野における顧客目線のプロダクトを生み続けるイノベーショ • ヘルスケアソリューションを提供するワクワクイノベーションカンパニーと
ンカンパニーとしてロマンあるれる発想と行動力で地域社会人貢献 なり、地域のベストパートナーとして社会課題の解決に貢献すること、
従業員が誇れる会社となることが当社の使命
会社全体の売上成長目標（〜30年） • 常にマーケットインの発想で「お客様の困った」「こんなサービスあれ
ば便利なのに」のお声を拾い上げ確実な課題解決を提案・実行し
• 売上高成長率30.3％
てきたことで、直近10年で売上高は10倍に増加
• 売上高増加額80億円
会社全体の賃上げ目標 • 給食事業は人材不足に悩む企業のニーズを確実に捉えているが、
• 2.5%（直近事業年度～基準年度） 多様化するニーズ（栄養・美味しさ・安全・バラエティ）への対応
• 7.0%（基準年度～事業化報告3年目） と品質強化が課題
• 福祉用具レンタル業界では希少な法人対応・全国対応により、介
護・医療・福祉に係るサービス拡充により社会課題の解決が可能</t>
  </si>
  <si>
    <t>東洋ケアサービス株式会社
.補助事業の概要
2
給食製造工場立ち上げ及び高品質かつ少量多品種対応の製造設備導入による、施設向け介護食への展開
を含めた給食事業の強化
補助事業の • 外部仕入では多様化するニーズや高品質な給食提供が難しい 事業費 2 億円
2
背景・目的 • 超高齢化社会の到来に伴う介護現場の人手不足・労働負担軽減 （補助額） （6.7億円）
THE 統合型フードイノベーションファクトリー計画（健康と福祉と笑顔を支える未来型工場）
【具体的な投資内容】
① 本社近接地に給食製造工場を建設
「安全」「品質」「効率」を運営の柱とし、「無駄」を徹底的に排除したシ
ンプルで効率的なオペレーションの確立
② 省人化・環境配慮を実現する製造設備の導入
設備投資の
企業・施設の多様なニーズや課題に柔軟に対応できる製造設備と、消
内容
費者の生活の質向上を実現する高品質かつ美味しい給食を製造
【補助事業により見込まれる効果】
• 給食事業強化及びサービス拡充による福祉用具事業の取引拡大によ
る売上・利益増（29年度までに売上390％増を見込む）
• 介護現場の人手不足や業務負荷軽減への貢献による高齢化社会が
進む日本の社会的課題解決への貢献
2026年度 2029年度
項目 （基準年度） （基準年度＋３年後）
東洋ケアサービス ESキッチン 東洋ケアサービス ESキッチン
労働生産性 1,707万円/人 1,511万円/人
599万円/人 438万円/人
（単位：万円/人） （年平均上昇率＋41.8％） （年平均上昇率＋51.1％）
目標値
従業員1人あたり給与支給総額 512万円/人 594万円/人
407万円/人 471万円/人
（単位：万円/人） （年平均上昇率＋8.0％） （年平均上昇率＋8.0％）
役員１人あたり給与支給総額 1,133万円/人
（単位：万円/人） 979万円/人 - （年平均上昇率＋5.0％） -
補助事業に係る従業員数
104人 35人 106人 50人
（単位：人）</t>
  </si>
  <si>
    <t>株式会社タカラ倉庫運輸サービス
1.⾧期成⾧ビジョン
海老名に建設する新倉庫を起点に、自社の物流ノウハウと実行力を活かし、業界の構造課題に挑む。共同配
送を含む総合的な物流力で、次世代の標準をつくる。
⾧期成⾧ビジョン: 外発的動機
• 2024年の時間外労働規制（いわゆる「2024年問
「顧客と共に課題を解決し、未来を創る物流パートナー企業へ」
題」）に加え、ドライバーの高齢化や少量多頻度輸送の
物流を単なる「運ぶ」役割にとどめず、 拡大により、2030年には国内の物流キャパシティが約
顧客の課題解決に寄り添い、 34％（約9億トン）不足すると試算されている。(※1)
ともに未来を切り拓く存在を目指します • 物流業界では、運賃抑制・荷主囲い込みによる価格競
争の激化を背景に、M&amp;Aやメーカー物流子会社の統合・
１．“選ばれる企業”へ 再編が加速しており、信頼性・拠点網・提案力を持つ事
安心・安全・誠実な物流を軸とした、荷主・地域・従業員から信頼さ 業者への選別が進んでいる。
れる企業へ • 荷主企業からは、物流事業者に対して単なる運送や保
管にとどまらず、在庫の最適化・納品管理・ESG対応（コ
２.輸出入・保税対応を備えた国際物流拠点へ
ンプライアンス順守を含む）など、サプライチェーン全体を支
内陸型の保税倉庫機能（インランドデポ）を備え、海外荷主ともつ
える機能が求められている。
ながる国際物流拠点を目指す
３．全国規模で価値を提供する物流ネットワーク企業へ
内発的動機
M&amp;Aによる拠点拡大と共同配送モデルで、全国どこでも柔軟に対応
• 現在、倉庫機能が複数拠点に分散しており、庫内作業
できる体制を確立
や人員配置・配車の面で非効率が発生。今後の事業拡
大に向けては、オペレーションの集約・統合が不可欠。
• 主力である自動車関連分野への依存が高く、市場変動リ
売上成⾧目標［コンソーシアム］ スクへの備えが脆弱。事業ポートフォリオの見直しが求めら
れている。
会社全体の売上成⾧目標（2024年8月期／2031年8月期）
• トラック輸送における全国平均の積載率は約40％(※2)
・売上高成⾧率 215.6％
とされており、物流業界全体として「積載効率の低さ」が慢
・売上高増加額 73.5億円
性的な課題。当社でも単独配送が主流であったが、大手
会社全体の賃上げ目標
３社のメーカーと協力してタイヤ事業での共同配送を開始、
・0.9%（直近事業年度～基準年度）
本格的な共同配送体制の構築と多品目・複数荷主対
・6.0%（基準年度～事業化報告3年目）
応の物流モデル転換が急がれる。
(※1)出典:「物流の2024年問題について」 (※2)出典:「自動車輸送統計年報」（1・2、共に国土交通省）</t>
  </si>
  <si>
    <t>株式会社タカラ倉庫運輸サービス
2.補助事業の概要
創業の地・海老名に自社倉庫を建設し、分散拠点と本社機能を統合することで業務効率を向上。将来の共同
配送拠点・インランドデポ機能も見据え、柔軟かつ安定した物流基盤を構築する。
補助事業の
自社物流の中核として拠点と本社機能を統合、共同配送・保税対応・新商材への対応力を高め、変化する物 事業費 46億円
背景・目的
流ニーズに即応できる体制を整える。インランドデポとしての活用も視野に、次世代型の総合物流モデルを構築。 （補助額） （14億円）
①倉庫建設:4,600百万円（税抜）
②その他付随設備等:325百万円（税抜）
①所在地:神奈川県海老名市中新田1丁目629-1
面 積: 21,612.41㎡
②その他付随設備:インタンク、ドッグレベラー、移動ラック、
フォークリフト、バース予約管理システム、運送販売システム 等
• 事業内容:倉庫新設により業務効率を高め、処理能力の増加と共同配送機能の強化を通じて、
売上・利益の拡大を目指す。
設備投資の
• 事業の成果:
内容
コスト面の訴求効果 新倉庫へのシステム導入やスペースの確保により、共同配送体制の整備が進み、
本格的な運用が可能となる。これにより運送コストは約15％削減される。さらに、動線を最適化した倉
庫設計と移動ラック導入により、省スペース化と作業効率の向上が実現し、倉庫運営費も約5％削減。
全体として、固定費の大幅な圧縮が期待される。
売上の訴求効果 新倉庫により積載率向上・共同配送の効率化・保税貨物の受託・新規貨物の取
扱拡大といった複数の取り組みを一体的に進行。従来の主力製品に加え、建材・医療などの新分野を
取り込み、売上基盤を多角化。さらに、インランドデポ機能による輸出入対応の強化やWMS(倉庫管
理システム)導入による庫内オペレーションの最適化などを通じて次世代倉庫としての役割を果たす。
基準年度:2028年8月期（2027年度） 最終年度:2031年度8月期（2030年度）
項目 幹事企業 コンソーシアム参加者 幹事企業 コンソーシアム参加者
（㈱タカラ倉庫運輸サービス） （㈱タカラグループ） （㈱タカラ倉庫運輸サービス） （㈱タカラグループ）
労働生産性 1,222 32,635
714 7,234
（単位:万円/人） （年平均上昇率+19.6％） （年平均上昇率+65.2％）
目標値
従業員1人あたり 543 従業員1人あたり 486
従業員・役員 1人あたり給与支給総額 従業員1人あたり 456 従業員1人あたり 408 （年平均上昇率＋6.0％） （年平均上昇率＋6.0％）
（単位:万円/人） 役員1人あたり - 役員1人あたり - 役員1人あたり - 役員1人あたり -
（年平均上昇率＋5.0％） （年平均上昇率＋5.0％）
補助事業に係る従業員数・役員数
従業員数 365 ・ 役員数 4 従業員数 2 ・ 役員数 1 従業員数 368・ 役員数 4 従業員数 2 ・ 役員数 1
（単位:人）</t>
  </si>
  <si>
    <t>フジセイコー株式会社
1.長期成長ビジョン
従業員・お客様・工場が共に成長し、他社に真似できない技術力で石英ガラスやシリコン等の
硬質脆性素材の加工において日本をリードする受託メーカーとなり、持続的な成長を実現する
長期成長ビジョン（目指す姿・ビジネスモデル） 外発的動機
＜政府による半導体・デジタル産業戦略＞
• 政府の半導体・デジタル産業戦略に基づき、国内の半導体製造拠点
◆日本政府は「半導体・デジタル産業戦略」に基づき、国内の半導体製造
整備が相次いでいる。当社が加工を手掛けるシリコンや石英ガラスは、
拠点整備に多額の予算を投じることとしており、国内の半導体製造拠点
半導体製造装置において欠かせない製品であり、大きな需要拡大が
の整備が進んでいる。
見込まれており、取引先からの引合いも増加傾向にある。
＜半導体のニーズ・需要＞
• 当社では、こうした外部環境の変化や経営課題を解決し、企業としての ◆5G、IoT化の進展や、それに伴うデータセンター能力拡張の必要性など、
新たなステージへとステップアップするため、2023年に10年ビジョンを 半導体の潜在需要は引き続き強く、加えて、自動車のEV化に伴い、自
策定。 動車に搭載される半導体の点数は増大しており、これらの領域における
半導体需要も高まっている。
＜10年ビジョン＞ ＜取引先からの引合い増加＞
従業員・お客様・工場が共に成長し、他社にまねできない技術力 ◆半導体需要の高まりを受け、取引先から増産要請の引合いが増加して
で日本をリードする硬質脆性素材の受託メーカーになる おり、生産体制を強化していく必要がある。
＜本事業の取組み＞
• 10年ビジョンを実現するため、本事業を通じて、工場新築、廃水処理 内発的動機
設備の機能強化、自動加工機の導入等の大規模成長投資を実施し、 ＜生産キャパシティの限界＞
生産能力の拡充や省力化による大幅な生産性向上に取組む。 ◆主力の「形状加工、研磨加工」の増産対応には、加工設備の増強や研
磨工程での大量に消費する給水受水設備・廃水処理設備の機能強化
• 本事業の実施により、売上高35億円、営業利益14億円の達成を実
を行っていく必要がある。
現し、持続的な成長を遂げていく。また、成長の源泉である従業員に
＜経営課題の解決（省人化・自動化対応）＞
対して、年率平均6.5％の高い賃上げを実現する。
◆加工や情報管理において人の手に頼る工程・業務が多く、企業としてス
テップアップするためには、製造工程の自動化・情報管理のシステム化を
売上成長目標
行っていく必要がある。
• 2029年度までに会社全体の売上高成長率195％
＜職場環境の改善、福利厚生の充実＞
2029年度までに会社全体の売上高増加額23億円
2023年度売上高11.8億円 → 2029年度売上高35億円 ◆安定的な新規採用、雇用の維持を実現するためには、職場環境の改善、
• 会社全体の賃上げ目標 福利厚生の充実、給与待遇の改善に取組んでいく必要がある。
3.94%（直近事業年度～基準年度）
6.39%（基準年度～事業化報告3年目）</t>
  </si>
  <si>
    <t>フジセイコー株式会社
.補助事業の概要
2
需要が拡大する半導体製造装置向け、硬質脆性素材加工の生産体制強化を図る
売上拡大・省力化により、労働生産性年平均＋26.09％、賃上げ年平均＋6.5％を実現する
• 自動運転やロボット等の新技術には半導体が多く利用され、今後も半導体の需要拡大が予
測されており、日本国内においても半導体製造拠点が次々に整備されている。
補助事業の 事業費
背景・目的 • 一方、当社では生産キャパシティが不足しており、生産体制に課題を有している。 （補助額） 1 6 億円
• 本事業を通じて、製造スペースを拡充するとともに、効率的な生産体制を構築すことにより、 （5. 0 億円）
市場が拡大する半導体製造装置需要を取り込み、飛躍的な成長を実現していく。
＜事業の内容＞
群馬県安中市内に新たに工場を建設し、最新鋭の硬質脆性素材加工機等の加工設備を導入する。
（１）建物費
①本社第２工場 金額：664,220千円
②廃水処理設備工事 金額：175,750千円
（２）機械装置費
設備投資の 導入設備：グラインディングセンタ、純水設備、自動グライデイングセンタ、遠心分離機
内容 ミストコレクター、ワイヤーソー、くりぬき加工機 合計：357,944千円（税抜）
＜労働生産性の向上＞
• 形状加工の生産キャパシティを現状比2.5倍へ拡充
• 自動化ラインの導入による省人化、夜間の稼働を実現 岡本工作機械製作所製
• 廃水処理設備の機能強化による研磨加工の生産キャパシティを現状比2.5倍へ拡充 グライディングセンタ
• 加工難易度が高い付加価値のある製品に特化した受注これらの取組みにより、労働生産性
新工場レイアウト図
の向上に取組んでいく。
2026年度 2029年度
項目
（基準年度） （基準年度＋３年後）
労働生産性
1,049万円
2,104万円
（単位：万円/人） （年平均上昇率＋26.1％）
目標値 従業員1人あたり給与支給総額 590万円
（単位：万円/人）
489万円
（年平均上昇率＋6.5％）
役員１人あたり給与支給総額
-
（単位：万円/人） - （年平均上昇率＋6.0）
補助事業に係る従業員数
94人 100人
（単位：人）</t>
  </si>
  <si>
    <t>スギムラ化学工業株式会社
1.長期成長ビジョン
環境意識の高まり、顧客の産業構造転換によるニーズの変化に伴い、研究開発力に強みを持つ当社が市場か
ら求められる製品を提供し、文字通り日本産業の潤滑油のような存在を目指す。
長期成長ビジョン（目指す姿・ビジネスモデル） 外発的動機
【目指す姿（5～10年後における企業像）】 • 気候変動や資源制約の深刻化により、製造業全体で脱炭素や資
源循環への対応が強く求められている。加えて、製品性能と環境配
当社は、持続可能な社会に貢献するマテリアル開発型企業を目指
慮の両立が前提となり、素材にも機能性と環境性の両立が求めら
す。バイオマス原料への切替や製品リサイクル提案、油剤の高性能化
れるようになった。
を通じて、顧客のカーボンニュートラル実現に貢献し、「高機能×環境
配慮」分野で中核的役割を担う。 • 自動車分野では、HV市場拡大やEV市場停滞、海外EVメーカー
の進出など構造変化が進み、環境対応素材の採用も加速。素材
【目指すビジネスモデル】
サプライヤーには高い技術対応力が求められている。
多様な試作・用途開発の実績をもとに、製造業の現場ニーズに応
じた機能材料を柔軟に提案。100％受注生産体制のもと、小ロット
こうした変化に対応できなければ、選ばれ続けることはできないという
試作から量産まで柔軟に対応し、再生油や環境配慮素材の開発を
強い危機感があった。そこで当社では、個別の製品対応に留まらず、
強化。加工油事業を中心に、提案型・高付加価値モデルへの転換
企業としての進むべき方向を明確にすべく、中長期的な視点からビジョ
を図り、多品種少量でも収益性を確保する。これにより得た利益を原
ンを策定した。
資に積極的な賃上げを行い、継続的な組織力の強化を図る。
【社会に提供する価値】
機能性と環境性を備えた材料により、顧客製品の性能向上や脱 内発的動機
炭素対応を支援する。製品仕様や工程への適合性を踏まえた提案 • 当社はこれまで、用途や工程に応じた素材処方の提供を通じ、顧
を通じて、製造現場に寄り添うソリューションパートナーとなる。バイオマ 客の製品づくりを支えてきた。従来は仕様通りの受託が主流だった
ス原料への切替、リサイクル提案、高性能油剤による省エネ支援を通 が、近年は製品特性や開発スピードに応じた提案型のニーズが増
じ、顧客のカーボンニュートラル実現に貢献する。 加している。
• 経営陣としても、これまで培ってきた設計力や試作対応力を、単な
会社全体の売上成長目標（～2031年）
る製造受託ではなく「付加価値のある素材提案」として活かすべき
• 売上高成長率178.6％ 局面を迎えていると認識している。
• 売上高増加額114億円（2031年売上高：259億円）
再生油や環境配慮型素材を扱う中で、素材を通じた社会課題への
会社全体の賃上げ目標
貢献や、企業としての責任の高まりを実感するようになった。こうした気
• 0.1%（直近事業年度～基準年度）
づきを背景に、自社の進むべき方向を中長期的に明確化する必要性
• 6.0%（基準年度～事業化報告3年目）
を感じ、長期ビジョンの策定に至った。</t>
  </si>
  <si>
    <t>スギムラ化学工業株式会社
.補助事業の概要
2
柔軟な供給体制への転換を目的に、新工場の建設と一連の生産設備の最適配置を実施する。
生産性向上と多品種対応を両立し、生産能力3倍、労働生産性＋30.8%、給与支給総額＋6.0%を見込む。
補助事業の 高機能・多品種製品への対応力や供給安定性の確保を含め、生産体制を再構築し、柔軟で 事業費 億円
47
背景・目的 効率的な製造プロセスへ転換する。生産能力と収益性を高める供給基盤を確立する。 （補助額） （1 億円）
2
• 本補助事業では、主に新工場の建設と一連の生産設備の導入を実施する。
• 工場面積は1.9倍に拡張され、生産動線も再設計されることで作業効率が向上する。
• 撹拌槽・撹拌機・加温槽などを製品のロットや用途に応じて最適配置し、段取り時間や不良の発生を抑制する。
これにより生産能力は実質3倍に拡張され、多品種・高性能な潤滑剤や再生油などの量産に対応可能となる。
• 従来対応が難しかった小ロットや試作にも柔軟に対応できる体制となり、売上拡大と利益率の改善が期待される。
設備投資の
内容
写真等
【建物】1.9倍に拡張 【1階】ゆとりある作業空間 【2階】広い作業スペース 【1階】柔軟な生産レイアウト
2028年度 2031年度
項目
（基準年度） （基準年度＋３年後）
（単
労
位
働
：
生
万
産
円
性
/人）
1,426
（年平均上
3
昇
,1
率
92
＋30.8％）
目標値 従業員1人あたり給与支給総額
626
746
（単位：万円/人） （年平均上昇率＋6.0％）
役員１人あたり給与支給総額
-
（単位：万円/人） - （年平均上昇率＋6.0％）
補助事業に係る従業員数
192 198
（単位：人）</t>
  </si>
  <si>
    <t>都吹株式会社
1.長期成長ビジョン
大規模成長投資で地元(島根県)の雇用創出・経済の活性化・インフラ整備の発展に寄与するとともに、企
業規模を拡大させ、グローバル市場での競争力を高める
長期成長ビジョン(目指す姿・ビジネスモデル) 外発的動機
• 労働人口の減少(人手不足)に伴う、簡便で“美味しい”冷凍食品
「冷凍食品を通じて社会貢献する」、「お客様の食卓に笑顔を届け
のニーズの高まり
る」を基本方針とし、創立40年の知見、急速冷凍技術等を武器に
• 「冷凍食品＝手抜き、美味しくない」のイメージを覆す、最新の冷凍
会社規模の拡大を図り、従業員、地域社会への還元を実現させる
技術(＝美味しさを守る技術)と素材へのこだわり
• コロナ禍以降、チルド商品から冷凍食品への移行が進行
 冷凍豆腐・冷凍厚揚げの販売シェア日本一へと成長を遂げ、全 • 賞味期限が短く、売れ残った場合に大量廃棄が発生
チルド商品
社員の大幅且つ、持続的な賃上げを実現させる • 流通過程での温度管理が厳しく、廃棄率が高い
 補助事業実施により、省人化を図り、長期的な大規模成長を見 • 賞味期限が数か月～1年以上と長く、在庫管理しやすい
冷凍商品
• 品質安定、フードロス削減し、グローバルな食品流通可能
据えた省人化・自動化を推進し、柔軟な生産対応を可能とする
工場により生産効率を大幅に向上させる • 既存取引先より、「大豆」を利用した冷凍食品開発ニーズ高く、豆
腐市場において冷凍豆腐・冷凍厚揚げの引き合いが強くなっている
 2035年までに補助事業対象商品である冷凍豆腐・冷凍厚揚げ
の海外輸出を拡大し、日本初の高品質冷凍豆腐として、アジア・
内発的動機
欧米市場への進出、ヴィーガン・ハラル対応により、幅広い食文化
に適応させる • 補助事業を計画している島根工場は過疎地域に立地しているため、
地元の雇用を創出し、少しでも地元に貢献したい
 栄養価が高く、地球環境負荷の低い良質な植物性タンパク質で
※島根県雇用対策計画(令和7年3月策定)において、県内就業率
ある地元の「大豆」を利用した冷凍商品の開発拡大を行い、持続
は低い。県内高校卒業生の約49.0％が県外に就職(島根県雇
可能な社会実現に寄与する
用対策計画内数値)しており、地方創生に注力する必要性が高い
• 本来冷凍保存が困難とされる豆腐を特殊技術により、急速冷凍を
会社全体の売上成長目標 行うことができる技術力を保有
※基準年度～事業化報告3年 • 島根工場の位置する島根県で栽培された大豆を使用した商品を
• 年平均売上高成長率 16.89％ 生産し、地元農業が活性化するよう応援したい
• 輸入大豆仕入にあたり、地元の港湾施設を利用することで、地元
• 売上高増加額 45億円
に寄り添う企業として共に発展したい
会社全体の賃上げ目標
• 島根工場の生産能力が限界に到達し、機会損失が発生
• 年平均上昇率(従業員) 7.35% • 震災、コロナ禍等外部環境の急変に苦労した時代があり、社会的
• 年平均上昇率(役員) 6.00％ なニーズや価値観の変化に柔軟に対応する企業を目指したい</t>
  </si>
  <si>
    <t>都吹株式会社
.補助事業の概要
2
既存島根工場の増築、新設備導入により、工場全体オペレーションを見直し、労働生産性の向上を
実現させる = 継続的な賃上げの実施
 現在の工場生産キャパシティでは顧客からの増産依頼に対して、全ての対応が困難
 補助事業での生産商品は顧客からの引き合いが強く、販売網確保も実現でき、事業規模拡大(＝賃上げ実施)に繋がる
補助事業の ＜課題＞ 国内外の競争激化による商品差別化および既存島根工場の労働生産性 事業費 3 億円
2
背景・目的 ＜目的＞ 労働生産性の抜本的な向上と事業規模拡大により、継続的な賃上げを実現 （補助額） (1 億円)
0
豆乳抽出設備 フリーザー
“ 既存島根工場の増設を行い、冷凍豆腐・厚揚げの製造を拡大 ”
 事業規模の拡大
2019年に島根工場新設後、空きスペースの有効活用を継続的に検討
今後の調理済食品市場の需要拡大を見据え、生産能力の拡大を図る
 持続的な賃上げ
従来より賃上げを継続的に行ってきたが、本件投資による労働生産性向上 ※ 一部の機械
設備投資の 設備を掲載
実現により、日本企業全体の平均賃上げ率を上回る賃上げが可能となる
内容  製造ライン、製造体制の見直し
既存島根工場
スマートファクトリー化、既存事業×DX化による事業変革や省人化を図り、
製造ライン、製造体制全体の見直しを実施し労働生産性向上に繋げる
 環境負荷の軽減
補助事業実施と同時並行で太陽光パネルの設置を実施する。加えて、自然
冷媒フリーザー導入による脱フロン化、蒸気加熱式フライヤー導入によるCO2
削減が可能となる
2027年度 2030年度
項目
（基準年度） （基準年度＋３年後）
労働生産性 975
605
（単位：万円/人） （年平均上昇率＋17.2％）
目標値 従業員1人あたり給与支給総額 442
357
（単位：万円/人） （年平均上昇率＋7.3％）
役員１人あたり給与支給総額 1,872
1,572
（単位：万円/人） （年平均上昇率＋6.0％）
補助事業に係る従業員数
318 336
（単位：人）</t>
  </si>
  <si>
    <t>賀谷セロファン株式会社
1.長期成長ビジョン
北陸エリアで業界における圧倒的No.1企業となる
外発的動機
長期成長ビジョン（目指す姿・ビジネスモデル）
1. 環境規制と顧客要求の高まり
• 常に顧客から何が求められるているかを敏感にキャッチする。そして、 日本のプラスチック資源循環法により、揮発性有機溶剤（VOC）を使わないラミネート技術へ
最先端の設備を揃え、最高の仕事をする。 の転換がグローバルスタンダードに。サステナブル調達を推進する大手食品・医薬品メーカーの
指名条件でもある。
• 具長体的期に成は長、労ビ務ジ自ョン動（化目比率指＊すを姿現・在ビのジ5ネ5%スかモらデ、ル5年）後(本事業 2. 硬質容器から軟包装へのシフト加速
終了時)に75%、そして15年後(次期大型工場建築時)に90%まで 少量・多頻度・リフィル需要の拡大で、紙箱・ガラス瓶から軽量なスタンドパック／スパウトパウチ
• （会社（又はグループ全体）が長期的（５～10年後）に目指 への置き換えが急速に進行。
引き上げる。
す姿として、社会に対しどのような価値を提供するか等のビジョンに 3. 物流2024年問題とカーボンコストの顕在化
ついてご記載ください） 人手不足によるリードタイム長期化・運賃高騰により、調達から納品までのリスクを自社内に吸
• 工場の自動化促進に合わせて、効率を徹底追求した基幹システムを
収できる高効率一貫生産の価値が上昇。CO₂排出量可視化義務化への対応としても、輸送
計画的に導入する。
回数を減らす軽量・省スペース包装への切り替えが不可避。
4. 地域経済への波及と政府補助金の活用機会
• 上記は自ずと安全面と働きやすさが伴うものであり、働き方改革に叶う。 「持続的賃上げ」を掲げる政策と、大規模投資を後押しする補助金制度を活かし、北陸発・最
常に最先端を追い求め、働くことがワクワクする会社にすることで、人材 新鋭自動化工場のモデルケースとなる好機。
を確保する。高収益を達成し、力強い賃上げを持続する。
内発的動機
1. 自動化ロードマップの実現
• 上記を成し遂げ、北陸エリアで業界における圧倒的No.1企業となる。
先進他社視察で痛感した残り20～35ポイントのオートメーション・ギャップを埋め、5 年後には
労務自動化率75%、15年後90% を達成して北陸エリア No.1 の座を確固たるものにする。
会社全体の売上成長目標（～2030年） 2. 多様な人材が活躍できる“安全・クリーン工場”の実装
• 売上 会 高 社 成 全 長 体 率 の 1 売 7. 上 1％ 成長目標（～XX年） 重量物搬送や溶剤臭による身体的・衛生的負担を根本解消し、女性・シニア・外国人実習生
• 売上• 高 売 増 上 加 高成 額 長 2 率 7. X 8 X 億 ％ 円 を含む多様なチームが安心して働ける環境を構築。
3. 繁忙期の二交替＋残業からの脱却
• 売上高増加額XX億円
AGV・立体倉庫・ノンソルベントラミネータ導入により、段取り・搬送のムダ時間を 40 % 以上
会社全体の賃上げ目標
会社全体の賃上げ目標 削減。残業削減と休日確保でエンゲージメントを向上させ、優秀人材の定着を図る。
• XX.X%（直近事業年度～基準年度） 4. “賃上げ 6 %／年” を継続できる利益体質への転換
• 4.0 • % X （ X. 直 X% 近 （ 事 基 業 準 年 年 度 度～ ～ 事 基 業 準 化 年 報 度 告 ） 3年目） 高付加価値製品比率を引き上げ、限界利益率 72 % を実現。生産性向上と価格競争力
• 6.0%（基準年度～事業化報告3年目） 強化を両立させ、従業員への還元と次期投資を好循環させる。
5. データドリブン経営と現場イノベーションの加速
基幹システム刷新でリアルタイム原価・品質データを可視化し、現場発の改善提案を即 PDCA
＊労務自動化率＝工程要員のうち、常時ラインに張り付く必要がなくなる割合 に反映。属人的ノウハウをデジタル資産に転換する。</t>
  </si>
  <si>
    <t>賀谷セロファン株式会社
.補助事業の概要
2
最新鋭自動化工場と高付加価値製品による持続賃上げ基盤構築事業
• 従来の「安い売値に合わせて製造原価を抑制する」ビジネスモデルから脱却し、高付加価値製品の開発・
製造に注力することで、より高い売値を実現し、安定した給与原資の確保するビジネスモデルへ変革する。
補助事業の 事業費 3 億円
• 「高付加価値製品を安定供給できるサプライヤー」と「一般商材を低価格で提供するサプライヤー」では、 1
背景・目的 （補助額） （ 億円）
7.5
事業安定性が全く異なる。本補助金を活用した大規模投資により、高付加価値製品の製造体制を構
築し、地域における持続的な賃上げの実現に貢献する。
スタンド製袋機
【設備投資の内容】 A：建物費18億円、B:機械装置費10億円、C：システム構築費2億円
A：本社工場を増設工事を施し、そこにAGV,AGF,立体自動倉庫を設置する(P14-15)
B：高付加価値製品の生産性向上・自動化比率向上を目指す(P16)
C：基幹システムの抜本改革。上記A・Bの設備投資と連携する（P17）
設備投資の 【課題解決手段・労働生産性向上策】
スパウトインサータ
内容 • 非防爆型工場の新設による作業効率向上及び労働環境改善 ノンソルベントラミネータ
• 環境配慮型工場とすることでの省エネ・脱炭素化とTier1からの受注拡大
• スパウトインサータ、スタンド製袋機の導入によるスパウト付包装や
スタンドパック製造による高付加価値化（右写真：主要設備）
• 工程間の段取工程における手作業の自動化・省力化
• 熟練技術者のノウハウのデジタル化・機械化による品質安定性・ロス削減
2026年度（2027/4月期） 2029年度（2030年4月期）
項目
（基準年度） （基準年度＋３年後）
（単
労
位
働
：
生
万
産
円
性
/人）
1,076万円/人
（年平
2
均
,0
上
2
昇
4万
率
円
＋
/
2
人
3.4％）
目標値 従業員
（
1
単
人
位
あ
：
た
万
り給
円
与
/人
支
）
給総額 526万円/人
（年平均
62
上
6
昇
万
率
円
＋
/人
6.0％）
役員１人あたり給与支給総額
-
（単位：万円/人） - （年平均上昇率＋6.0％）
補助事業に係る従業員数
74人 88人
（単位：人）</t>
  </si>
  <si>
    <t>株式会社清水インダストリー
1.長期成長ビジョン
バイオマス発電の燃料となるウッドチップの生産強化や物流問題解決に向けたトレーラー車への
ウォーキングフロア架装事業を通じて、2030年に売上高37億円と飛躍的な成長を実現する
長期成長ビジョン（目指す姿・ビジネスモデル） 外発的動機
• カーボンニュートラル実現に向け、バイオマス発電所の増加
• 自然に寄り添った仕事がしたいという想いから林業を主業とし
に伴い、豊富な森林資源を活用したウッドチップの需要が
て創業。その後、土木工事・産業廃棄物収集運搬、産業
増加している
廃棄物処理業、事業に使用する重機やトラックの販売・整
• 2024年問題により物流業界におけるドライバー不足して
備事業まで多角的に事業を展開している。
おり、効率的な輸送ができるウォーキングフロア仕様のトレー
• 1990年の設立以来、自然環境に配慮した事業を社会に ラー車の需要の増加している
提供することにより、持続的な成長を遂げてきた。当社を取り
（グループ会社でウォーキングフロアの架装事業を行ってい
巻く事業環境は急速に変化しており、時代や顧客ニーズに
るが、納品まで２年待ちの状況）
適した新たな価値を提供し続けることにより、更なる成長を遂
• 円安や海外情勢による燃料費等の資源価格の高止まり
げていくことを成長ビジョンに位置付けている。
による収益悪化や人口減少による労働者不足等の社会
• 本事業を通じて、需要が拡大している①ウッドチップの生産 的な課題に直面している
能力強化及び高品質化、②トレーラー車へのウォーキング
フロアの架装事業を展開していく。 内発的動機
• 外部環境や内部環境を踏まえ、需要が増加する分野への • 木くずの処理能力に限界があり、依頼が多いものの処理で
きない状況、処理能力を拡大していく必要性がある
積極的な大型設備投資を実行することで競争優位性を確
立し、2030年には、売上高37億円・営業利益5億円の野 • 重機での作業工程が多く、慢性的に時間外労働が増加、
作業効率の改善や自動化に取組んでいく必要性がある
心的な目標を設定し、飛躍的な成長を実現していく。
• 木くずをウッドチップへ処理する際におが屑が混じってしまい、
会社全体の売上成長目標（～2030年4月期） ウッドチップとしての商品価値が低下しているため、おが屑を
• 売上高成長率159.5％ 除去する振るい機等の設備導入を行い、商品価値を高め
• 売上高増加額23億円
ていく必要性がある
会社全体の賃上げ目標
• 人材募集を行っても人材が集まりにくい状況であり、労働
• 1.55%（直近事業年度～基準年度）
環境の改善や企業の魅力度を高める取り組みを行っていく
• 6.2%（基準年度～事業化報告3年目）
必要性がある</t>
  </si>
  <si>
    <t>株式会社清水インダストリー
.補助事業の概要
2
成長分野であるウッドチップ及びウォーキングフロア事業の強化を図るため大型設備投資を実行
売上収益の拡大、労働生産性の抜本的な向上を図ることにより、年平均7％の賃上げを実施
補助事業の目的は、木くず等の中間処理施設及びトレーラー車架装施設の整備の2点である。
① カーボンニュートラル実現に向けバイオマス発電の需要が高まる中、燃料となるウッドチップ
事業費 15億円
補助事業の の需要が増加しているが、当社の処理施設では処理能力が限られていることから、本事
（補助額） （ 億円）
背景・目的 業を通じて木くず等の中間処理施設を整備する。 4.8
② 物流における輸送効率を高めるためウォーキングフロア仕様のトレーラー車の需要が高
まっていることから、ウォーキングフロアの施工・組立てを行う整備工場を整備する。
【完成イメージ】
（１）実施場所
群馬県高崎市にウッドチップ処理工場及びウォーキングフロア架装整備工場を整備する。
【ウッドチップ事業工場】
事業実施場所：群馬県高崎市箕郷町矢原字十二本松2180
事業所名称 ：清水インダストリー 箕郷工場
【ウォーキングフロア事業工場】
設備投資の 事業実施場所：群馬県高崎市金古町１７１６
内容 事業所名称 ：清水インダストリー 金古工場
（２）設備概要
項目 設備金額（税別） 設備内容
建物費 790百万円 木くず処理（ウッドチップ製造）工場、ウォーキングフロア架装整備工場
機械装置費 712百万円 破砕処理機、ふるい機、ホイールローダー、天井クレーン、リフト、塗装ブース 等
2026年度 2029年度
項目
（基準年度） （基準年度＋３年後）
労働生産性 1,946万円
830万円
（単位：万円/人） （年平均上昇率＋32.8％）
従業員1人あたり給与支給総額 627万円
目標値 512万円
（単位：万円/人） （年平均上昇率＋7 .0 ％）
役員１人あたり給与支給総額
-
-
（単位：万円/人） （年平均上昇率＋5.5％）
補助事業に係る従業員数
55人 60人
（単位：人）</t>
  </si>
  <si>
    <t>株式会社ヤマキ
1.長期成長ビジョン
長期成長ビジョンは、鋳造部品のサプライチェーン維持・強靭化により機械等完成品メーカーの成長・発展に寄
与する。売上成長目標は、5年後の2030年までの売上高成長率75％、売上高増加額37.5億円
長期成長ビジョン（目指す姿・ビジネスモデル） 外発的動機
• 鋳造部品のサプライチェーン維持・強靭化により機械等完成 • 市場である銑鉄鋳物製品生産額は、2014年7,072億円、2024年
7,272億円、10年で2.8%増加している(出典：(一社)日本鋳造協会
品メーカーの成長・発展に寄与する。
HP)
• 当社の鋳造部品が最も使われる農業用機械製造業の製造品出荷額は、
⑴鋳造部品のイノベーションを提供していく
2021年12,047億円、2022年12,734億円、5.7％増加している(出
・製造機能を強化し、生産能力向上、低コスト化、短納期化を行う。
典：経済構造実態調査)
・技術開発機能を強化し、鋳造部品の高付加価値化を行う。
• 主要取引先㈱クボタの売上高は、2020年度18,532億円、2024年度
30,163億円、4年で63％増加している(出典：㈱クボタHP)
⑵㈱クボタのティア1サプライヤーとして受注シェアを拡大
• 同業者である機械用銑鉄鋳物の産出事業所数は、2012年750事業
国内の農業機械最大手の㈱クボタの鋳造部品のティア1サプライヤーと
所、2022年700事業所、10年間で約7％減少しているため、転注依頼
して受注シェアを拡大する。
がある。(出典：経済センサス活動調査、経済構造実態調査)
• 大手メーカーは、社内で大型鋳造品を量産している。近年では鋳造から
⑶マーケット
撤退する大手メーカーが増えているため、大型品の転注依頼がある。
㈱クボタ中心から他の農業機械メーカー、非農業機械の自動車・鉄
道・航空・宇宙産業に販路を拡大する。
内発的動機(経営者の思い)
⑷地場産業である鋳造業界を牽引し、持続可能な発展と地場産業の活
性化を実現。 • 鋳造業の意義を正しく認識させることにより鋳造部品の価値を高め、地域
での当社の地位を確立する。
• 形状・材質・強度などの最適鋳造部品の製造により、インプット/アウトプッ
トともに最小の環境負荷を目指す。
会社全体の売上成長目標（2030年度） • 「大型品・量産・箱型形状を得意とするヤマキ」という位置づけを日本全国
に広める。
• 売上高成長率75％
• 人の作業比率の高い後処理工程のリニューアルによりDX/IOT/AI/ロボッ
• 売上高増加額37.5億円
ト使用可能な環境を整え、今からの時代に合った鋳造業を目指す。
会社全体の賃上げ目標
• 人にやさしい・人に手厚い鋳造品づくりで働く人もお客様も協力業者様も
• 3.65%（直近事業年度～基準年度）
集めて、三大鋳造品産地である西尾の力をより高める。
• 6.2%（基準年度～事業化報告3年目）</t>
  </si>
  <si>
    <t>株式会社ヤマキ
.補助事業の概要
2
補助事業で製造・技術開発・物流機能の強化により生産能力向上・高付加価値化、低コスト化を図る。これに
より生産性向上を行い、鋳造部品のサプライチェーンの強靭化を図る。
背景：主要取引先㈱クボタは、鋳造ラインを再編し、農業機械の鋳造部品を委託生産に切り替えているた
め、当社に生産能力向上の要請がある。 事業費 41 億円
補助事業の （補助額） （13億円）
目的：新工場により製造・技術開発・倉庫機能を強化した鋳造部品のサプライチェーンを強靭化する。
背景・目的
課題：主に鋳造工程の生産能力は、年33,500ｔ、仕上げ工程の生産能力は、年21,000ｔで、仕上げ
工程がボトルネックとなっており、受注を制限している。仕上げ工程の生産能力を12,500ｔ向上でき
れば、@30万円/1ｔで37億5千万円の売上拡大が可能である。
投資設備 課題解決 生産性向上
・工場面積拡大で仕上げ設備増設が可能 ・仕上げ設備増設により生産能力向上で売上拡大
工場(仕上げ工場)
・仕上げ工程の集約化によりリードタイム短縮 ・リードタイム短縮により低コスト化・短納期化
・ショットブラスト7台導入によりボトルネックの解消 ・ボトルネック解消により生産能力向上で売上拡大
仕
ショットブラスト ・一層の複雑形状が可能 ・鋳造品の高付加価値化で売上拡大
設備投資の 上
・粉塵や廃材の回収を強化できる ・作業環境の改善、環境負荷の低減
内容 げ
・鋳仕上げ機6台導入によりボトルネックの解消 ・ボトルネック解消により生産能力向上で売上拡大
設
鋳仕上げ機
・一層の寸法精度が向上 ・鋳造品の高精度化により売上拡大
備
集塵機
・鋳仕上げ機の多台持ちが可能 ・自動化・省人化により低コスト化
・入出庫作業が自動化により作業時間が短縮 ・作業時間の短縮より低コスト化。
自動倉庫
・ﾛｹｰｼｮﾝ・在庫・日付管理の自動処理が可能 ・倉庫業務の効率化により低コスト化。
2027年度 2030年度
項目
（基準年度） （基準年度＋３年後）
労働生産性 2,258万円/人
1,439万円/人
（単位：万円/人） （年平均上昇率＋16.2％）
目標値 従業員1人あたり給与支給総額 508万円/人
424万円/人
（単位：万円/人） （年平均上昇率＋6.2％）
役員１人あたり給与支給総額
-
（単位：万円/人） - （年平均上昇率＋6.2％）
補助事業に係る従業員数
75人 111人
（単位：人）</t>
  </si>
  <si>
    <t>日生流通運輸倉庫株式会社
1.長期成長ビジョン
物流業界を取り巻く環境の変化起因で、輸送網の縮小が顕在化しており、コールドチェーンの再編が必須の状
況。大型冷凍冷蔵施設、共同配送ファシリティを装備・活用し、解決に向け主体的に取組みます。
長期成長ビジョン（目指す姿・ビジネスモデル）
外発的動機 –コールドサプライチェーンの危機-
「冷凍冷蔵食品の関東物流供給網を支える社会インフラ企業へ」
• 【拡大する需要】家庭用冷凍食品市場は拡大し（CAGR+2.4%） 、
• 当社は埼玉を拠点に、「感動・感激をお届けする」という経営理念のもと、単なる物 冷凍冷蔵倉庫の庫腹は逼迫（’22/9月以降100%超で推移）。
流ではなく、荷主様と消費者双方に価値を届けます。
• 【労働規制】2024年問題に伴う労働規制により輸送事業者の供給力
• 物流コールドチェーン崩壊危機に対し、最適地に新設する大型冷凍冷蔵倉庫・物 は低減。物流業界は変革を迫られる。
流センターのファシリティを活かした高効率な輸送ルートへの再構築を実施。従来の
個別配送の限界を打破します。 • 【具体的影響】特に、長時間労働を前提としていた物流拠点から関東
エリアへの配送網における物流拠点の再編を迫られている。
• 物流網の構築において、複数の顧客や同業他社と共同で持続可能な輸送網を構
築することで、維持が危ぶまれる関東圏への食品流通の維持に主体的に取り組み • 【縮小している供給】少子高齢化の進行、他業種への流出拡大により
ます。 乗務員不足が深刻になっている。
• 上記取組みにより、地域雇用創出と従業員への適正な賃上げを実現。物流課題 • 【社会影響】極めて近い将来において、地方食品生産者の都市部供
を地域発展の原動力に変換します。
給が困難となり、更なる食品価格高騰を招く懸念。
コールドサプライチェーンの持続が危ぶまれる。
売上成長目標 売上高(実績) 24/5期比 売上高成長率
売上高(見込)
163%
売上高(計画) 152%
139%
108% 内発的動機 -食のインフラ企業としての使命と危機感-
（十億円） 100% 102% 101% 102%
13.8 • 1976年創業以降、食品の小売や一般家庭に向けた供給を担い、埼
14 12.9
11.8 玉県をはじめとした関東の食のインフラを支えてまいりました。
12
10 7.8 8.2 8.5 8.6 8.6 8.7 9.2 • しかし当社は大規模な冷凍冷蔵倉庫・物流センター保有しておらず、限
8 定的な物流サービスの提供にとどまっております。
6
4 • コールドサプライチェーンの維持に主体的に取り組むとともに、集荷・荷
22/5期 23/5期 24/5期 25/5期 26/5期 27/5期 28/5期 29/5期 30/5期 31/5期 役・保管・配送という一気通貫サービスの提供により当社成長と荷主様
が企業間競争に勝ち抜くための競争力としての物流サービスをご提供す
長期成長ビジョンの実現に向け、’31/5期までに全社で以下成長を目指します るため、今回最適地に大型冷凍冷蔵倉庫・物流センターを備えた新物
➢ 売上高成長率163%、売上高増加額+53億円 流センターの装備検討に至りました。</t>
  </si>
  <si>
    <t>日生流通運輸倉庫株式会社
.補助事業の概要
2
物流業界におけるドライバーの人手不足や2024年問題等による輸送機能の供給網が崩壊しつつある中、当社
は新物流センターを主軸とした持続可能で効率的な食品供給網を関東圏内に展開し、課題解決を目指します。
◼ 関東全域の食料品供給網を支える社会インフラ企業へ
➢ 物流拠点の新設と輸送網及び輸送手段の再構築を通じて、共同配送プラットフォー 81億円
補助事業の 事業費
背景・目的 ムを構築し、従来の個別配送の限界を打破 （補助額） ( )
17億円
➢ 関東圏の食品流通の効率化を図るとともに、地域雇用の創出と従業員への適正な
賃上げを実現
◼ 新物流センター完成図 ◼ 新物流センター設備概要（次頁以降で詳細記載）
設備名称 施設特徴
冷蔵・冷凍保管倉庫 床面積：約9,000㎡
管理システム 輸配送・倉庫管理・入退室管理・温度管理システム
トラフィックセンター 床面積：約4,600㎡
設備投資
トラックバース 貨物トラックの連結可能台数：24台
内容
事務所棟 本社・輸送・システム事務所の機能を包括
インタンク 40Kℓの軽油を貯蔵可能
太陽光発電設備 約1,000枚のソーラーパネルを拠点の屋上に設置
駐車場 約200台
洗車機 1台
項目 2028年度（基準年度） 2031年度（基準年度＋3年後）
労働生産性（単位：百万円/人） 4 万円/人 1,264万円/人
76
（年平均上昇率＋38.4%）
目標値 従業員1人当たり給与支給総額（単位：百万円/人） 427 万円/人 495万円/人
（年平均上昇率＋5.0％）
役員1人あたり給与支給額（単位：百万円/人） - -
補助事業に係る従業員数（単位：人） 140人
268人</t>
  </si>
  <si>
    <t>栄屋乳業株式会社
1.長期成長ビジョン
・ 生産が追い付かないニッチトップ商品の生産能力を高める
・ 国内シェア拡大・ブランド周知・海外拡販の本格化により売上高成長率+155％、売上高増加額200億円を目指す
・ 増加した利益を従業員へ還元することにより、8%の賃上げ目標を定める
長期成長ビジョン（目指す姿・ビジネスモデル） 外発的動機
メガトレンド • ニッチトップ商品、無添加プリン、上質アイスの人気が高く、生産が
追い付かない。（コンビニ向けのNB製品の生産で手一杯で、独自
• 高付加価値商品（上質な味、健康志向、無添加）が大人気。 ブランド製品の生産が十分できない。）
• 海外で日本の果物、料理の人気＝日本のスイーツも人気の兆し。 • ニッチトップ商品を大手が追随できないくらい市場普及率を高めたい。
• 国内コンビニ、ス―パーの販売は頭打ち。 独自ブランドをより普及したい。
• 就労者人口減少による人手不足。 （過去、当社生クリーム入りヨーグルト風デザートは大手が進出し撤退）
目指す姿とビジネスモデル • 海外市場で日本のスイーツに人気の兆し。早めにシェアを取りたい。
新工場で生産能力向上し、ニッチトップ商品の販売能力拡大。
• 国内市場は「アンデイコ」ブランドの訴求に
国内市場の高収益化、独自ブランド商品の営業力強化。
よる認知度向上によりニッチトップ商品である、
海外市場への営業力強化。
上質アイス、無添加プリンなどのシェアをさらに高める。
• 海外市場は独自製法・冷凍技術で日本の上質・ナチュラルスイー
ツを拡販する。海外に日本の上質かつリーズナブルな価格のスイー
ツを届ける。
省力化、デジタル化した新スマート工場で生産能力の拡大。
全国スーパーへの営業により「アンデイコ」商品の普及拡大。 内発的動機
世界小売りチェーン（Costcoなど）へ上質アイス、無添加プリンを 生産能力拡大、ブランド普及、国内外営業強化を行い、当社を５年
販売。 で高収益型企業に変え、10年後に発展型企業（第2創業）にした
い。これにより、世界に日本の上質スイーツ（無添加、リーズナブル価
格）を届けたい
会社全体の売上成長目標（直近決算～2031年）
• 新工場はデジタル化したスマート工場にし、生産性ともに作業環境
• 売上高成長率+155％
を向上させたい。
• 売上高増加額：129億円➨329億円 ＋200億円
• 多様な人材を採用・育成し続け、職場環境を改善して、従業員か
会社全体の賃上げ目標
ら選ばれる企業になり続ける。
• 3.0% (直近事業年度～基準年度） • 商品企画・開発力と冷凍技術も含めた製造工程技術を維持・発
• 8.0%（基準年度～事業化報告3年目） 展させたい。</t>
  </si>
  <si>
    <t>栄屋乳業株式会社
.補助事業の概要
2
・既存の本社工場がフル生産である現状を鑑み、本社内に新工場を新設する
・新工場を活用し、プリンの国内供給能力向上と海外輸出冷凍製品の製造を実現する
・最新の製造設備を導入して、自動化・省力化による生産性向上及び賃上げの両方を実現する
・【背景】需要増のため既存工場（本社工場）がフル生産状態。本社内の老朽化した工場をスクラップ＆ビルト
補助事業の 事業費 61 億円
し、その場所にプリン＆カップアイスを製造する工場を新設する。
背景・目的 ・【目的】供給能力の拡大と海外向け高付加価値冷凍製品の販売拡大を狙う。 （補助額） （ 20 億円）
・【施策】本社に新工場を設立し、新設備の導入を行う。⇒プリン＆カップアイス製造工場を補助事業とする。
■新工場設立
生産能力向上/輸出向け高付加価値冷凍新製品製造開始
・大幅な生産能力拡大を図る
・導入する生産ラインで輸出向け/高付加価値/冷凍新製品の製造を行う。
■投資内容
＜新工場設立＞
設備投資の
本社敷地内に２階建ての工場を新設。自動化製造ラインを整備。
内容 ＜新工場概要＞栄屋乳業 新工場
＜設備概要＞
住所：愛知県岡崎市東牧内町字甲田45
・調合設備、充填設備、蒸し・冷却設備、包装・梱包設備・プリン＆カップアイスライン資材置場。
敷地面積：1500㎡ 施工床面積：1780㎡
・プリン＆カップアイスライン増強で冷凍製品生産を拡大して海外販売拡大を図る。 建築面積：890㎡
・当社技術により自動化・省力化を図る。 ■本社工場内に新設し、既存のインフラを活用した効率的な製
造体制を構築
■原料受入から製造、冷凍保管、出荷まで一貫した生産・物
流体制を確立
2028年度 2031年度
項目
（基準年度） （基準年度＋３年後）
労働生産性 2,888
1,088
（単位：万円/人） （年平均上昇率＋38.5％）
目標値 従業員1人あたり給与支給総額 559
444
（単位：万円/人） （年平均上昇率＋8.0％）
役員１人あたり給与支給総額
-
（単位：万円/人） - （年平均上昇率＋6.0％）
補助事業に係る従業員数(役員含む）
30 130
（単位：人）</t>
  </si>
  <si>
    <t>1.長期成長ビジョン DOWAパワーデバイス株式会社
➢ 省エネ・脱炭素化や経済産業省の行う施策は外発的要因として当社にとっても追い風である。
➢ 金属-セラミックス基板において世界トップクラスのシェアを持つ当社が事業伸張により世界シェア№1となることは日本国内のパワーデバイス業界
成長に直接的に貢献することである。
長期成長ビジョン（目指す姿・ビジネスモデル）
外発的動機
【中長期目標】 ✓ 省エネ・脱炭素社会に向けたパワーデバイスに対するニーズが高まっ
社会インフラ支える技術と品質 ている（市場の高い成長率）。さらに、経済産業省「半導体・デジ
省エネ・脱炭素化社会でのニーズの高まりを受け、 タル産業戦略」では、「日本全体としてパワーデバイスの競争力を向
上する必要がある」とし、また「日本列島をパワー半導体の世界拠
金属-セラミックス基板全体において世界ナンバーワンを目指す
点に」と掲げられており、国を挙げて成長に向けた投資が行われてい
く見込み。
【2030年のありたい姿】
✓ 自社の成長およびお客さまへの貢献のみならず、従業員の幸福や
顧客が満足する差別化技術・商品を提案し、顧客密着型で低 環境への配慮、地域経済の発展への寄与等、様々なステークホル
炭素化社会の実現する製品をつくり、社会に貢献し、事業を伸 ダーに対して社会的な価値の提供が求められている。
長させていく。
【社会価値の提供】
内発的動機
技術革新を通じ、様々なステークホルダーへの価値提供を行うこ
✓ 企業理念である「豊かな暮らしの創造と環境社会に貢献していく」
とで、下記を実現する。
にある通り、自社の事業活動を通じて、世界の脱炭素化とサステ
①当社の成長と社会の成長が同期する＝サステビリティ経営の
ナブルな社会の構築に貢献する必要がある。
実現 ✓ 銅張窒化アルミ基板における世界トップシェアを誇る企業として、
②当社の成長が日本国のパワーデバイス分野の強化へ貢献 新たな技術や製品開発、供給能力の増強を行い、日本企業の
パワーデバイスにおける優位性をサポートしていく責任がある。
✓ 金属-セラミックス基板において「信州から世界シェアNo.1を目指
会社全体の売上成長目標（～2030年度） す！」という目標を社内で掲げた際、明確な「共通目的」が出来
• 売上高成長率246％ たことで、従業員が一丸となって目標に取組む姿があった。今回、
• 売上高増加額92億円 長期成長ビジョンを掲げることで、さらに従業員がモチベーションを
会社全体の賃上げ目標 高めながら、活き活きと前向きに仕事に取組む体制を構築したい。
• 1.27%（直近事業年度～基準年度）
• 6.52%（基準年度～事業化報告3年目・従業員）</t>
  </si>
  <si>
    <t>.補助事業の概要 DOWAパワーデバイス株式会社
2
➢ 白板製造工場を建設し、ボトルネックとなっている材料供給を解消する。
➢ 工場増築と自動化を図る設備投資により、売上高増加とシェア拡大を図るとともに、労働生産性の改善を図る。
• 受注旺盛で現在の生産能力も上限に達しており、今後さらなる受注増が内示されていることから
増産設備投資が急務となっている。増加する需要に応えるためにボトルネックを解消し、当社の
事業費 億円
補助事業の 開発技術力と製品の信頼性の認知を広げることで市場シェア上昇するとともに、更なる売上高 46
背景・目的 獲得が見込める。 （補助額） （ 14 億円）
• 設備投資で製造工程の自動化・効率化を行うことで労働生産性は改善し、積極的な賃金改
善が可能となる。ひいては地域の主要企業として雇用拡大などを通じて積極的な地域貢献を行
うことができるものである。
• 建物費
A棟：2,280m2
D
B棟：1,027m2
①材料である白板製造のための工場建設を行う
C棟：2,737m2
②増産対応の機械設備設置のために工場D棟の増築を行う。
D棟: 2,700m2 (2018年4月竣工) C
③増産による廃液処理のため、廃液タンクヤード、廃液処理施設の増強を行う。 敷地面積：90,000m2
• 機械装置
B
①白板製造のための製造ライン構築
②律速工程となっているろう材印刷工程及びレジスト印刷工程に自動機を
設備投資の
増設し、ボトルネックを解消する。 A
内容
③処理量増加に対応するため積層機、真空炉及びエッチングラインを増設する。
④検査工程の省人化のために自動検査装置を増設する。
⑤品質担保のためにＸ線検査装置及び超音波検査装置を増設する。
• システム
増産に対応し、在庫管理及び原価管理による収益確保のため生産管理システム
を増強する。
2027年度 2030年度
項目
（基準年度） （基準年度＋３年後）
労働生産性 2,379
1,195
（単位：万円/人） （年平均上昇率＋25.8％）
目標値 従業員1人あたり給与支給総額 596
493
（単位：万円/人） （年平均上昇率＋6.5％）
役員１人あたり給与支給総額
-
（単位：万円/人） - （年平均上昇率＋6.5％）
補助事業に係る従業員数
155 191
（単位：人）</t>
  </si>
  <si>
    <t>三日月興業株式会社
1.長期成長ビジョン
地域に貢献し、“観光地域を作る”新たなリゾート事業のモデルを構築することで、日本/地域の観光産業・経済を牽引する︓
拡大する観光/「ならでは」体験需要に対して、創業100年来培った地域社会とのつながりを活かし、継続的・積極的な設備投資
によって、リゾートを中心とした新たな地域づくりモデルを構築し、業界・地域課題の解決と、事業拡大・基盤強化を目指す
長期成長ビジョン（目指す姿・ビジネスモデル） 外発的動機︓新たなニーズ対応による成長機会の獲得可能性
地域“ならでは”を活かしたラグジュアリーリゾートで、千葉県・日本の “ 観光産業の拡大・新たなニーズの台頭
観光地域づくり”を牽引し、全国展開・産業モデル化を目指す ü 国家/県の観光戦略として、急激な市場拡大が見込まれる*1,2
成長
• 社会的な価値観の変容に対して、地域とのつながり・体験やウェルネス・環境を重 （例︓訪日外国人旅行消費額は2030年に約2倍*1）
機会
視したお客様の「寛ぎ･感動･創造」を追求する、高付加価値・高生産性のラグジ ü 円安を背景にインバウンド客が急増。地方意識／「ならでは」の体験型観光
ュアリーリゾートホテルで持続可能な成長基盤を構築 への意識が高まり、ラグジュアリーリゾート市場拡大*3,4,5
• 新たな観光地域づくりを通じた雇用創出・経済振興を通じて、千葉県の観光立 新たなニーズに応えられない業界構造・設備
対処
県に貢献する観光業のリーティングカンパニーへ ü 人口減少に加え、業界全体における低賃金・低労働生産性・高負荷な労
すべ
働環境により、約8割の事業者が人手不足*6,7
き
課題 ü ニーズに合わない設備や老朽化が残存し、拡大する需要に応えられないうえ、
補助事業 リゾートを軸に魅力的な地域を作るビジネスモデル構築 新たな顧客ニーズに人手で対応するため、人材不足の悪循環
• 千葉県御宿町で新たにラグジュアリーリゾートを開業し、地域の漁業協同組合と 課題解決・
共同した魅力的な観光地域づくり、千葉の主要なリゾートエリアへと育てる 機会の獲得
設備投資によるサービス付加価値・生産性向上
• 高付加価値な事業モデルと地域一帯となった取り組みにより、業界全体の課題
である、低生産性・人材不足の解決を目指す
内発的動機︓社会変化に合わせた業態転換と、地域社会への貢献
地域 創業110年以上で培った地域・社会との深いつながり、地域への貢献
これまで 従来型ビジネスの限界、コロナ禍を契機にリゾート事業へ挑戦 との ü 1914年の創業から培った世代を問わない高い認知度・集客力
• ビジネスホテル・カジュアルリゾートは高い稼働率を維持し事業基盤は安定するも、 つな ü 行政他団体と連携した地方創生・雇用創出への貢献によって生まれた、
がり
基本的な顧客価値は価格や利便性であり、売上拡大/収益性には課題が存在 地域社会との強いつながり、地域金融機関との関係性
• コロナ禍を契機に、長期滞在・旅館ならではを求める顧客ニーズが台頭。ラグジュア
社会 社会変化に応じた事業拡大・業態転換の必要性
リーリゾート事業を展開開始
変化 ü 地域産業の構造やニーズの変化に対して、ビジネスモデルを転換する必要性
会社全体の売上成長目標（2025/3～2030/3） への ü 社会変化に合わせ、「地域×ウェルビーイング×サステナ」等のブランドの再解
対応
• 売上高成長率+179％（2.79倍）、売上高増加額11.7億円 釈により、持続的な事業成長基盤の構築が必要
会社全体の賃上げ目標 役員除く従業員一人当たり給与
• 直近期～基準年度（2025/3～2027/3）︓+5.6% ブランド/
事業基盤
• 基準年度～2030/3（2027/3～2030/3）︓+23.0% 理念経営への原点回帰による地域・社会への貢献
強化
*1︓観光庁「明日の日本を支える観光ビジョン」、*2︓千葉県「第3次観光立県ちば推進基本計画」、*3︓J.D. パワージャパン「国内旅行に関する消費者意向アンケート」、*4︓RemoteLock「存在感を増す「ラグジュアリーホ
スピタリティ」需要」、*5︓トラベルボイス「急回復する世界の富裕層旅行、「ラグジュアリー2.0」の最新トレンドを取材した、変化する価値観と求められる旅のカタチとは︖」
*6︓帝国データバンク「人手不足に対する企業の動向調査」、*7︓日本政策金融公庫「飲食業・宿泊業における人材確保の課題と対策」</t>
  </si>
  <si>
    <t>三日月興業株式会社
2.補助事業の概要
3公募用
経営理念である“お客様の「寛ぎ･感動･創造」を追求する”に基づき、社会環境の変化に合わせた、ラグジュアリーリゾートブラン
ドを千葉県御宿に開業・拡大。地域との協創によって「地域×ウェルビーイング×サステナビリティ」を体現し、魅力ある観光地域
づくりと、継続的な事業拡大を両立する高付加価値ビジネスモデルを構築する
• 環境や消費者の価値観の変化により、ビジネスホテルなどの中核事業は、維持コスト/価格競争等ビジネスモデル上の課題が顕在化
補助事業の • 政府や千葉県が後押しする観光振興や魅力ある観光地域づくりには、環境変化に対応し、ウェルビーイングや「地域ならでは」の高付加 事業費 11億円
背景・目的 価値な体験を提供する設備や地域社会との共創が必要 （補助額）（2.8億円）
• 創業以来、顧客ニーズを捉え、地域と共生した経営理念に基づき、地域体験を備えたラグジュアリーリゾートモデルを構築
• 千葉県御宿町に、地域漁業組合と連携し、敷地面積約3,000㎡の、「全室スイート」「個別露天× コンセプトイメージ
概要
サウナ×地域食体験」を核とした、唯一無二の“温泉プライベートヴィラ型ラグジュアリー施設”を開業
建築 • 自然と調和した半開放型構造、独立性の高い設計、和の設計美×現代性の融合
設備
思想 • サステナビリティ（持続可能性）を意識した温泉設備・ろ過循環システム導入
構成と
• 露天風呂、サウナ、内湯、水風呂完備の“全室スイート仕様” 10室中5室はプライベートプール付き
特徴 客室
• テラスやサンルーム付きで地域が誇る自然との一体感を演出
労働生産性 • 内装・意匠デザイン・高機能かつ長期滞在に適した設備を完備し、顧客単価増を実現
設備投資の 向上 • 長期滞在顧客の増加による清掃工数の減少とともに、高機能設備による省力化・低コスト運営を実現
内容
将来構想/ • 地域団体との連携による高単価なラグジュアリーリゾート事業・魅力ある観光地域づくりのビジネスモデル
地域貢献 を強固なものとし、千葉県全域に同事業モデルを展開。観光立県に貢献
立地予定の御宿海岸 全室スイート仕様の客室設計。プールも併設 客室イメージ 客室には露天風呂を完備
地元食材を使ったオーベルジュスタイル
項目 ※補助事業は新規事業であるため全社数値を併記 2027年度（基準年度） 2030年度（基準年度＋３年後）
労働生産性（単位︓万円/人） 949万円 2,294万円（年平均上昇率＋34.2％）
目標値 従業員1人あたり給与支給総額（単位︓万円/人） 404万円 482万円（年平均上昇率＋6.0％）
役員１人あたり給与支給総額（単位︓万円/人） - ※補助事業における該当者なし - ※補助事業における該当者なし
補助事業に係る従業員数（単位︓人） 7 27（年平均上昇率 +56.8%）</t>
  </si>
  <si>
    <t>株式会社PXP
1.長期成長ビジョン
クリーンなエネルギーを いつでも どこでも だれでも 自由に使える世界を目指して
• 数十年に及ぶ太陽電池製造ノウハウの結晶である次世代CIGS（カルコパイライト）太陽電池を開発（量産検証中）
• 国産太陽電池を通じ、脱炭素とエネルギー自給率の向上に貢献する
長期成長ビジョン（目指す姿・ビジネスモデル）
外発的動機
• 次世代太陽電池製造業のグローバルトップ企業 • 脱炭素に向けた世界的な潮流の中、我が国でも第七次エネルギー
基本計画にて太陽光発電の大幅な増強が求められているが、既に
メガソーラー施設向けの適地は少なく、軽量・フレキシブルな特性に
• CIGS太陽電池（次項詳述）とペロブスカイト型太陽電池のタン
て設置場所の選択肢を大きく増やす新しい太陽電池が求められて
デム化（二重構造）により、世界に類を見ない超軽量・高性能・
いる
高耐久な太陽電池を開発・製造
• このような需要を満たすための次世代太陽電池は、ペロブスカイト型
を中心に注目を集め、市場での認知が浸透しつつあるが、当社の
• 太陽電池の設置場所における自由度を飛躍的に向上し、電力が
有する次世代CIGS太陽電池は最も有力な現実的ソリューションで
必要な場所で発電できる世界を作る
ある。またペロブスカイト型太陽電池とのタンデム化により、同電池の
可能性を飛躍的に向上させることが出来る
• 我が国のエネルギー自給率の向上、グローバルではインフラ未整備
地域での電力普及に貢献し、以てカーボンニュートラルの実現に大 • 更には、中国製のシリコンパネルが市場を席捲する中、エネルギー自
給率向上の観点より、国産太陽電池の実現が切望されている
きく寄与する
会社全体の売上成長目標（～2030年） 内発的動機
• 売上高成長率333倍（vs直前確定決算期） • 当社は国内大手メーカーから開発チームがスピンオフして発足した。
• 売上高増加額235億円（同上） 上述の外的要因より軽量・フレキシブルな次世代太陽電池への社
※本件はR&amp;Dフェーズから量産化に進む為の投資であり、既存数値と 会的需要が高まる中、数十年来積み重ねてきたノウハウをフルに活
比べて上昇幅は大きい
かし、早期に社会実装が可能なプロダクトを提供してこれに応えたい
• また、世界的に競争力のある国産太陽電池を開発することで、国
会社全体の賃上げ目標
内に原材料サプライヤーを含む新たな産業を創出、工場建設を通
• 4.9%（基準年度～事業化報告3年目） じて雇用を生み出し、賃料水準の引き上げに貢献し、延いては産
※補助事業（量産事業）で採用を予定する従業員の報酬水準は、
業基盤を支える技術力を持つ人材を育成して、日本のモノ作り分
技能的背景より既存事業（R&amp;D事業）のものよりも一般的に低いた
野を盛り上げていきたい
め、全社員ベースでは直前決算年度～基準年度の一人当たり給与は
• 長期的には、EOT（Energy of Things、モノにエネルギーを接続
下がるが、補助事業推進により同事業の従業員報酬を継続的に上げ
する）を実現し、「クリーンなエネルギーをいつでも、どこでも、だれで
ることで、補助事業３年目には全社ベースで直前決算年度並み（＝
R&amp;D事業の水準）に戻る想定である も自由に使える世界」を目指したい</t>
  </si>
  <si>
    <t>株式会社PXP
.補助事業の概要
2
量産工場の新設による生産性向上、雇用増加
• まずは実績のあるCIGS太陽電池を軽量・フレキシブルな形で生産、市場投入
補助事業の • フレキシブルCIGS太陽電池の量産工場を新たに建造。現在の少量生産（～0.2MW/年) 事業費 億円
37
背景・目的 に起因する不採算性、非効率性を解消し、商用化につなげる （補助額） （9.6億円）
• フレキシブルCIGS太陽電池の製造設備一式及び建屋
• パイロットラインにて量産性の検証を行った設備を、25MW規模の生産
能力で建造する。
• 量産工場については製造工程の徹底的な見直しにより、一般的な工
法に比べて生産効率を8～10倍高めることに成功しており、OPEX、
CAPEX共に大幅な削減となる為、極めて生産性の高いラインを構築す
設備投資の
ることが可能となる
内容
• 当社の製法ではパイロットラインにて検証したサイズの製品をそのまま量
産化するため、製造環境に大きな変化がなく、量産化（大型化）に伴
う工程上の問題はほぼ生じない
（現在のパイロットラインの様子）
2027年度 2030年度
項目
（基準年度） （基準年度＋３年後）
労働生産性
7,685 24,892（年平均上昇率48.0％）
（単位：万円/人）
目標値 従業員1人あたり給与支給総額 1,054
842
（単位：万円/人） （年平均上昇率＋7.8％）
役員１人あたり給与支給総額
-
（単位：万円/人） - （年平均上昇率＋5.0％）
補助事業に係る従業員数
38 66
（単位：人）</t>
  </si>
  <si>
    <t>株式会社ユビタス
1.長期成長ビジョン
クラウド及びAI技術の最先端企業として、世界をリードするクラウドAIソリューションプラットフォームを目指す
長期成長ビジョン（目指す姿・ビジネスモデル） 外発的動機
①日本のAI開発基盤の自立化・強化
クラウド及びAI技術の最先端企業として、世界をリード
• デジタル分野の海外依存加速による日本のデジタル赤字拡大
するクラウドAIソリューションプラットフォームを目指す
• 日本市場・文化に適した日本語特化型LLMニーズや機密性の高
い領域におけるAI活用ニーズの増加
クラウドAIソリューションプラットフォーム
• 日本政府のAI・デジタル基盤整備政策（GENIAC等）
◼ 世界最高のGPU仮想化テクノロジーとクラウドストリーミングプラット
フォームで社会のデジタルトランスフォーメーション加速に貢献 ②GPU供給不足
• 生成AI需要の爆発的拡大に伴うGPU供給不足と価格高騰
イノベーション
• 日本国内におけるGPUクラウド基盤の不足による国内AI産業の
◼ 「勇敢に夢を追いかけ、失敗を恐れない」という信念で失敗から学
成長阻害
び、イノベーションを実現する
グローバル
内発的動機
◼ 国際的な視点からスタートし、全ての人々に最大の利益をもたらす
• クラウドゲーミングで培ったGPU仮想化・低遅延技術を活かした、生
成AI領域でのワンストップソリューション提供への挑戦
会社全体の売上成長目標（～30年）
• 「AI時代のGPU供給インフラを日本国内で確立したい」という創
• 売上高成長率42％ 業者の強い意志
• 売上高増加額159億円
• 国内GPUリソースが限られる中で、NVIDIAとの強固な関係を活
会社全体の賃上げ目標
かし、AIスタートアップや中小企業の成長を支援したいという思い
• 3.4%（直近事業年度～基準年度）
• 10.0%（基準年度～事業化報告3年目） • 「日本発の技術で、世界のAI・コンテンツ産業に貢献したい」という
グローバルな志向</t>
  </si>
  <si>
    <t>株式会社ユビタス
.補助事業の概要
2
京都府舞鶴市における生成AI向けGPU搭載データセンター新設により国内GPU供給体制を確立し、クラウド
技術を活かした一体的サービス提供により、国内AI開発の活性化と競争力強化を目指す
補助事業の • GPUリソース不足と大手海外クラウド事業者への依存による価格高騰・柔軟性不足 事業費 億円
176
背景・目的 • GPU仮想化・低遅延ストリーミング技術を活かした国内AI開発の活性化 （補助額） （50億円）
京都府舞鶴市における生成AI向けデータセンター新設による国内GPU供給体制の確立
【具体的な投資内容】
① データセンターの建屋建設：20億円（補助対象）
エネルギー効率の高いGPU搭載データセンター用の建屋を新設
② GPUサーバー・ネットワーク機器導入：160億円（補助対象）
NVIDIA Blackwell GPU等の最先端技術を2025年から2026年に掛けて先
行的に導入
設備投資の
内容 ③ GPUサーバー・ネットワーク機器導入：320億円（補助対象外）
電力供給の確保状況に応じて2027年に段階的に導入（最大5,000台規模）
【補助事業により見込まれる効果】
• GPUリソースとGPU運用サービスの一体的提供による売上拡大
• データの国内処理・保全体制を確立し、サイバーセキュリティ・BCP対策を強化
• GPU供給不足・コスト高騰問題を解消し、国内AI産業の競争力強化
• 新規雇用創出（運用・技術職）＋賃上げ実現を通じた地域経済の活性化
2027年度 2030年度
項目
（基準年度） （基準年度＋３年後）
労働生産性 14,857万円/人
3,220万円/人
（単位：万円/人） （年平均上昇率＋66.5％）
従業員1人あたり給与支給総額 1,017万円/人
目標値 764万円/人
（単位：万円/人） （年平均上昇率＋10.0％）
役員１人あたり給与支給総額
-
（単位：万円/人） - （年平均上昇率＋5.0％）
補助事業に係る従業員数
47人 60人
（単位：人）</t>
  </si>
  <si>
    <t>株式会社高木製作所
1.⾧期成⾧ビジョン
• ⾧期成⾧ビジョンを策定し、自動車の電動化というメガトレンドに対応する計画を策定
• 自動車用プレス部品の価値を⾧期的に維持するために、世界で戦える競争力をつける
• 多品種小ロット生産の自動化により、将来にわたって自動車産業に貢献する。プレス部品のビジネスモデル変革を変革し、日本のものづくり力を強める
⾧期成⾧ビジョン
外発的動機
「プレス部品の一貫完全自動生産」により世界と戦える競争力を得る
社会課題
メガトレンドへの対応
• EVシフトや世界競争激化でプレス部品の付加価値向上が必要
• 物流の2024年問題（トヨタ自動車が効率化を要望）
◆設計から納品までの一貫自動化・省力化でQCD競争力を高め、
自動車産業のEVシフト、国際競争に貢献する • EV、ハイブリッド車で電子部品の車体への締結パーツの需要が増大
• 少子化、高齢化で人材採用が困難
省力化で採用難に対応し、競争力を高め、自動車製造における
時代の変化に合わせた “ものづくり”変革は必要不可欠
プレス部品の地位を維持・向上
（自動化・省力化・付加価値向上・社員主導）
完全自動化生産ができればコスト競争力が得られ、将来は自動車業界以外
顧客ニーズ（トヨタ自動車）の変化
への転用も可能（建設、家具などのプレス部品＝ものづくり産業に貢献）
• 仕入先活用拡大（ホーム＆アウェー戦略）
多品種小ロット生産自動化の先駆けとなり、業界のビジネスモデルを変革する
• 電動化拡大、新技術導入で仕入先にはNo.1ものづくり、
実現の方法
世界的な競争力が求められる
海外企業との競争に勝てないと選ばれない
①一貫完全自動生産工場の構築、物流の効率化、自動倉庫の導入
強みである自動化技術を深化させ、プレス加工、溶接、工程間輸送、
集荷・出荷を自動化・省力化・無人化する。最終的に一気通貫の完全自動生 経営者の内発的動機（原体験）
産体制を構築する
• 海外競合先（特に新興国）との競争激化を感じる
②金型データのDX化、設計力強化で技術力強化、付加価値向上 このままでは新興国の現地調達化が進み、国内プレス産業衰退
過去の約25,000件の金型設計データを活用し、金型製造を自動的に行う • 異種材料活用（金属から樹脂活用）が進み脅威
仕組みを構築。設計力の高度化をし、樹脂材料にQCDで勝る製品開発を行う • 少子高齢化により年々採用は厳しさを増す
当社を含め、日本のプレス業界存続に危機感がある
③社員の福祉の充実（経営理念）
社員がいきいきと働けるよう、職場環境、ワークライフバランス、給与制度、
【目指す方向】
教育・研修の拡充を継続的に行う。社員に選ばれる会社になる
ものづくり変革で世界に打ち勝つQCD競争力をつける
会社全体の売上成⾧目標（2030年まで）
省人化、自動化設備の導入
・売上高成⾧率 168%
最新技術活用と独自開発技術の組み合わせで競合との差別化
・売上高増加額 304億円
部品屋ではなくシステムサプライヤーの立場に変革
会社全体の賃上げ目標
・106%（直近事業年度～基準年度）
・124%（基準年度～事業化報告３年目） ※コンソーシアムの合計値</t>
  </si>
  <si>
    <t>株式会社高木製作所
2.補助事業の概要
• 自動車用プレス部品の競争激化で世界と戦える競争力が必要
• 材料投入からに出荷までの一貫完全自動生産システムを構築し、省力化、生産性向上を図り、生産能力を拡大
• 自動倉庫システム導入などで物流問題に対応し、金型データDX化により生産準備時間の短縮を図る
背景:EVシフトや国内自動車生産数頭打ちでプレス部品の競争激化
補助事業の
背景・目的・
目的:世界と戦える競争力を得て競争に勝ち抜き売上を拡大させる 事業費 94億円
方法:①一貫完全自動生産工場の構築、自動倉庫の導入 （補助額） （23億円）
方法
②金型データのDX化、③設計作業の取り込み
①一貫完全自動生産工場の構築、自動倉庫の導入
• 新工場建設（含む造成など）
• 自動倉庫システム
• 入出庫管理ソフト
設備投資の
• AGV（無人搬送車）、AGV関連建設
内容 • 自動溶接ライン無人化※
• 高速プレスライン無人化※
②金型データのDX化
• ビッグデータ、AI化による技術ナレッジと金型自動設計システム
• 金型自動加工ライン※ ※自己資金で導入予定
①採用難が進む 一貫完全自動生産工場で省力化、労働負荷の低減で未経験者・女性・シニアにやさしい労働環境を確立
②生産数増加 一貫完全自動生産工場による省力化、製造リードタイム削減で、人手不足の中でも生産数増加が可能
課題解決
③競争激化 一貫完全自動生産工場で圧倒的な価格競争力を築く。金型データのDX化で短納期化、設計作業取り込みで付加価値を増す
④物流問題による巡回集荷開始 一貫完全自動生産の自動集荷・出荷機能で顧客の要望に合う荷姿を自動で提供。巡回集荷に対応
省力化、生産性向上で、労働生産性が増加
労働生産性 ①プレス、溶接、表面処理、検査、集荷・出荷の各工程を自動で実施
向上 ②工程間はAGV、上下搬送機などで自動輸送化
③パレタイジング自動化で出荷準備の無人化
④新工場（自動倉庫設置）により点在していた完成品置き場を集約し、拠点間物流を整流化（ジグザグ運搬撤廃）
項目 2027年度（基準年度） 2030年度（基準年度＋３年後）
労働生産性（単位:万円/人） 3,668 / 664 6,529（年平均上昇率＋21.2％） /1,117 (同+18.9%)
目標値
従業員1人あたり給与支給総額（単位:万円/人） 599 / 456 719（年平均上昇率＋6.3％） / 558 (同+7.0%)
役員１人あたり給与支給総額（単位:万円/人） ー ー
補助事業に係る従業員数（単位:人） 98 / 95 101（年平均上昇率＋1.0%) / 98 (同＋1.0%)
左:高木製作所 / 右:高木運輸</t>
  </si>
  <si>
    <t>伊藤光学工業株式会社
1.長期成長ビジョン
全世界的に眼鏡レンズ品質の二極化が進む中、MADE IN JAPANの高品質レンズを当社の武器として、市
場拡大を図る。また、雇用を確保し、地域に根差した中小企業として地元に愛される会社を目指していきます。
長期成長ビジョン（目指す姿・ビジネスモデル） 外発的動機
• 海外生産品の大量流入により価格破壊が起こり、市場が安価な製品
• 市場（社会・取引先・個人）の要求するものをきめ細かく開発・
を求める層と高級なものを求める層に二極化している。
生産・販売していくことで、社会からの⽀持を得る。
• 今後人口減少が叫ばれる一方で、眼鏡使用者の低年齢化や降り注ぐ
• 高齢化に寄り添った形で、快適な視空間を提供し続ける企業とし 紫外線が目の健康に与える影響が検証され、眼鏡装用に対する社会
て、医療や他産業分野とも広く連携し研究開発を続けていく。 的関心が高まってきている。
MADE IN JAPANの名前に恥じない、高品質な製品を愛知県 • 海外市場では、中国資本のメーカーが市場を席巻しつつあり、安価な製
蒲郡から世界に提供し、光に関する様々な課題を解決していく。 品が出回っている一方で、仕入れ先の分散や高品質を求める動きも加
速している。
• 価格競争に参入するのではなく、設計や表面加工技術を活かした • 欧米でREACH規制等の環境問題への規制強化が求められている。
ハイエンドな商品を国内外に販売し、提供する“小粒でピリリ”とし
たメーカーを目指す。
内発的動機
• 環境負荷物質の代替については専門メーカーと協力しながら技術
• 現在工場が、市内の３箇所に分散しており、工程毎に搬送が必要とな
開発部門にて改良を目指す。
り非効率であると同時に設備の老朽化も進んでいる。
• 現在の工場を、生産を継続しながら最新設備に入れ替えていく、あるい
会社全体の売上成長目標（～31年度）
は工程を抜本的に見直していくことは厳しい状況である。
• 売上高成長率103％
• 現在の生産設備･効率では、高まる紫外線対策ニーズやファッションに対
• 売上高増加額65.9億円
するニーズに伴う増産、海外からの高機能レンズに対する要求に応えき
会社全体の賃上げ目標
れない可能性が高い。
• 1.89%（直近事業年度～基準年度）
• 海外においては環境面にも配慮したものづくりが強く求められており、現
• 5.50%（基準年度～事業化報告3年目）
在の生産設備より前進させる必要がある。
• 世の中の環境に配慮し安全で環境負荷の少ない工程を目指していく。</t>
  </si>
  <si>
    <t>伊藤光学工業株式会社
2.補助事業の概要
生産拠点の集約と工程の抜本的な効率化、及び生産余力の創出を図り、会社全体の生産性を向上する。
また、付加価値額の拡大により、従業員に対して持続的な賃上げを実現し地元に愛される会社を目指す。
補助事業の • 市内３箇所に分散した工場を集約し、工程の見直しを図り、搬送コスト削減・生産能力増強。 事業費 億円
47
背景・目的 • 老朽化した設備を刷新し、環境面、効率、生産性向上を目的とする。 （補助額） （1 億円）
5
• (建物) 分散している工場を1つの工場に集約することで、
作業の効率化及び動線のムダを省き生産能力増強。
• (ハード) 老朽化した設備に変わり、最新設備を導入することで省エネ、
省人化によるコスト削減、加工時間短縮、大量生産が可能になる。
設備投資の • (蒸着) 生産設備の自動化による抜本的な効率化を図り、生産効率
内容 向上、作業負担軽減、品質の安定化が期待できる。また、移動・搬送
などのコストを削減し、各工程の処理時間の短縮。
• (環境) 新工場建設による快適な労働環境を提供をすることで働きや
すい環境を作り、また、作業環境の改善によりコスト削減が実現し、
従業員の賃上げにつながる。
2028年度 2031年度
項目
（基準年度） （基準年度＋３年後）
労働生産性 1,208万円
630万円
（単位：万円/人） （年平均上昇率＋24.2％）
従業員1人あたり給与支給総額 602万円
目標値 513万円
（単位：万円/人） （年平均上昇率＋5.5％）
役員１人あたり給与支給総額
-
（単位：万円/人） - （年平均上昇率＋5.5％）
補助事業に係る従業員数
349人 360人
（単位：人）</t>
  </si>
  <si>
    <t>株式会社ファイン
1.長期成長ビジョン
パーパス ：全世界の人々のすこやかなくらしのお手伝いを
企業理念 ：従業員の物心両面の幸福を追求し、より美しく、より健康な社会を実現する。
長期成長ビジョン：健康食品・医療食品への継続投資と、医薬品の新工場建設により、 「全方位での高成長」を目指す。
長期成長ビジョン（目指す姿・ビジネスモデル） 外発的動機
【ファイングループ パーパス】 • 2025年4月、米国で新たな関税が発動された。
全世界の人々のすこやかなくらしのお手伝いを • 2022年に「セルフメディケーション税制」が見直され、一部の「非OTC
「グローバル」×「お客様に近い存在」を両立。 薬成分」も当該税制の対象品目に追加された。
美しくいきいきとした生活を1日でも長く、あなたの健康対策をサポートします。 • 経済産業省健康・医療新産業協議会が新しい健康社会の実現に
“いつまでも自分らしく”に寄り添った製品・サービスをお届けします。 向けた「アクションプラン2023」を策定、以下3点を目標とした。
【企業理念】 ①2050年のヘルスケア産業の国内市場を77兆円に
従業員の物心両面の幸福を追求し、より美しく、より健康な社会を実現する。 ②2050年の世界での日本企業の医療機器売上を13兆円に
私たちは医食同源を理念とし、製品の安全性を第一に、新製品の開発と技術の向 ③2040年の健康寿命を2040年75歳以上に
上に日々努力し、皆様の健康に奉仕するとともに、従業員の幸せと、社会に貢献で • 海外でOTC化していて国内でOTC化されていない医薬品について、
きる企業であることを目指します。 早期にOTC化していく促進する方針が示された。
【長期成長ビジョン達成に向けた今後の取組】 • 「要指導医薬品」のネット販売が解禁される見込となっている。
■健康食品・医療食品の製造販売事業の拡大 • 医療用医薬品の供給不足は継続している（OTC医薬品による代替
• 健康食品事業に継続的な投資を行い、製造能力強化、生産性向上を図る。 需要の取込、ジェネリック医薬品の受託製造参入への機会）。
• 健康食品・医療食品の国内売上を伸ばしていく。 • 「サプリメント・健康食品、OTC・指定医薬部外品等」の市場は長期
• 健康食品・医療食品の海外展開を強化する。 的にも堅調な成長が見込まれている。
• 健康食品・医療食品の国内EC事業、越境EC事業を拡大する。 • 食品・医薬品のEC化率は徐々に高まっている。
■医薬品製造・販売事業の拡大
内発的動機(本補助事業は当社企業理念実現に不可欠)
• 医薬品製造の大型新工場を建設する。
• 「医食同源」を企業理念にも掲げており、当社製品を通じて、ユー
• 自社OTC医薬品の国内売上を伸ばしていく。
ザーの健康寿命延伸やQOL向上に寄与するという強い思いがある。
• 自社OTC医薬品の海外展開の開始・拡大を図る。
• 現社長は幼少期から当社製品に囲まれて過ごしており、その効き目
• 新工場では、他社OTC医薬品の製造受託事業も拡大する。
効果を実感・記憶しており、製品には確固たる自信がある。
• 医療用医薬品(ジェネリック医薬品)の受託製造事業への参入に向けた準備をする。
• 現社長は、2012年の社長就任後、基幹工場新設、機能性表示
会社全体の売上目標(直近期～2031/3期*） ㈱ファイン オール薬品工業㈱ 食品事業への参入、オール薬品工業の買収などを成功させてきた。
売上高成長率 +273％ +678％ • 世界一の高齢化社会の日本で開発した高齢者向け製品（例えば
売上高増加額 +127億円 +44億円
「とろみ調整食品」などの医療食品）は、海外需要も期待できる。
会社全体の賃上げ目標 ㈱ファイン(単) オール薬品工業㈱
• 後発薬を中心に、医療用医薬品が不足している、という業界の現状
会社全体の賃上げ率(直近期～基準年) +2.49%/年 +3.56%/年
には、同じ業界に属する者として忸怩たる思いがあり、その解決の一
会社全体の賃上げ率(基準年～事業化3年目) +5.70%/年 +5.73%/年
＊オール薬品工業㈱は2031/2期
助になるべく本補助事業を進めていく。</t>
  </si>
  <si>
    <t>株式会社ファイン
2.補助事業の概要
医薬品の新工場の建設と設備を補助対象とする。新工場に導入する設備は、自動化・効率化・大容量化を進め、また工
場の稼働時間を増やすことで、医薬品の製造能力と生産性を大幅に向上させる。
■課題 ：オール薬品工業の既存の医薬品工場のキャパシティが不足(欠品なども発生してしまっている)。
既存工場は立地上、周辺への配慮が必要で、稼働時間も増やせない。 36億円
補助事業の 事業費
また、既存工場の設備は小型で、自動化も進んでいないので生産性が低い。 (11億円)
背景・目的 （補助額）
■解決策：24時間稼働な立地に新工場を建設し、大型設備を導入して自動化も進めることで、医薬品の製 ＊2社合計額
造キャパシティの大幅拡大、生産性の大幅向上を図る。
【①ファインの投資】 【②オール薬品工業の投資】
■工場概要（1,886百万円）
新工場の運営はオール薬品工業が担う。
・住所：兵庫県たつの市新宮町光都1-11-1
新工場は、ファインの基幹工場の仕様を
（ファインの播磨先端製造技術センターと同敷地）
参考に、設備の大型化と製造工程の効
・建物：３階建（延床面積約5,200㎡）
設備投資の 率化・自動化を図り、オール薬品工業の
・製造品目：医薬品（自社・他社OTC医薬品の他、ジェネ
内容 既存の医薬品工場と比較して、生産性
リック医薬品の製造にも対応可能とする）
を大幅に高める（詳細後述）。
＊拡張性を持たせた仕様にしており、更なる設備増設も可能
■設備内容（1,541百万円） ■設備内容（14百万円）
・造粒ライン×2 ・打錠ライン×2 ・コーティング機×1台 混合機×1台（左記工場内造粒ライン
・瓶充填ライン×1 ・包装ライン×1 他 (詳細後述) の一部設備を導入）
【工場レイアウトイメージ図】
㈱ファイン（幹事企業） オール薬品工業㈱(参加企業)
項目
2028/3期 2031/3期 2028/2期 2031/2期
（基準年度） （基準年度＋３年後） （基準年度） （基準年度＋３年後）
労働生産性 1,310万円/人 1,453万円/人
895万円/人 311万円/人
（単位：万円/人） （年平均上昇率＋13.5％） （年平均上昇率＋67.1％）
目標値 従業員1人あたり給与支給総額 538万円/人 511万円/人
452万円/人 429万円/人
（単位：万円/人） （年平均上昇率＋6.0％） （年平均上昇率＋6.0％）
役員１人あたり給与支給総額 - -
- -
（単位：万円/人） （年平均上昇率＋4.5％） （年平均上昇率＋4.5％）
補助事業に係る従業員数
276人 306人 23人 58人
（単位：人）
＊ファインの事業実施場所は複数あるが「拠点別情報無し」のため上表には全社数値をまとめて記載。賃上対象となる役員・従業員は両社「全事業・全員」としている。</t>
  </si>
  <si>
    <t>ガイア株式会社
1.長期成長ビジョン
人と競走馬がその力をいかんなく発揮できる雇用環境を地域と競馬ファンと従業員のキズナを構築して創出する。
本ミネラルウォーター事業を通じた地方創生モデルを構築し地域の持続可能性向上と楽しい日本づくりに寄与。
長期成長ビジョン（目指す姿・ビジネスモデル）
外発的動機
• 当社の目的(コーズ)は「強い競走馬の輩出を実現するために良質な育成環境 • 日本は人口減少社会・少子高齢化がコロナ禍等を通じて加速度
を整えて人々の感動・ワクワクを創出する」である。今後は、地域の持続可能性
的に進んだ結果、低成長率に陥りＧＤＰが4位に転落。
を向上させて“楽しい日本”の実現にチャレンジすることをそのコーズに加える。 • 日本がもう一度輝き、夢を持てる国となるためには、世界にも挑戦・
• 海外でも勝てる強い競走馬を輩出するため、その競走馬を育む当社従業員へ
勝てる分野、ワクワクできることを多く育むことが必要となっている。
の賃上げ環境とチーム力の強化を図り、世界で勝てる馬づくりを実現する。
• 日本の成長・地域に育まれた当社グループの日本への恩返しのため
• 大山の豊かな自然が育んだ水の魅力を伝えるミネラルウォーターの製造・販売を
に、世界に勝てる馬づくりと水づくり、地域と連携した人づくりを通じて
行い、このコーズに共感するファンとのキズナを構築して観光振興にも寄与する。
• 伯耆町の地域・若者に支えられている競走馬育成事業に加えミネラルウォーター 日本の再成長への夢と自信を回復させたい。
事業で加齢後も働く場を提供する地方創生モデルを構築する。 • 日本では近年「推し活」というアイドル文化に代表される評価や応
援したい対象を支援することに喜びを強く感じる活動が盛んである。
• 本事業を通じて成長し得られるキャッシュを競走馬育成事業に関わ
推し馬の活躍の価値 る従業員の賃上げとして分配し、成長と分配の好循環を創出する。
購入・支援
内発的動機
• 日本の地域の皆様に支えられて、当社は発展することができた。
海外での活躍
水提供
競馬ファン・当社見学風景 • 当社Gr.は日本の高度成長の折、社会的な課題の公害問題やゴ
出典：読売新聞 ミ等の環境問題に果敢にチャレンジし解決することで事業拡大した。
• 一流の競走馬を育成する当社の牧場大山ヒルズの隣接地に広大
ミネラルウォーターの販売
利益を賃上げに活用 な土地・水源を保有しており同土地の有効活用が可能。
⇒永続的に働ける場の提供 • 日本の底力を再び取り戻すために、世界にも伍して勝てる分野とし
競走馬育成の質向上 て馬づくり、水づくり、人づくりを行う。その実現のためにミネラルウォー
ター事業を通じて競馬ファンが強い競走馬づくりに参画できる新たな
競走馬育成事業 強い馬の活躍 キズナ・仕組みを構築する。
会社全体の売上成長目標(～2029年度)売上成長目標（2024年度比） • 既存事業で働く人が加齢しても当社で働ける場を提供したい。
• 2029年度までの会社全体の売上高年平均成長率35.6％ • 人口減少社会の原因として大学へ進学のため他県へ進学・就職し
• 2029年度までの会社全体の売上高増加額57億円を目指す。 て地域から若者が消えてしまっている。その一つの解として県外の大
• 新事業のみのため2024年比較は割愛。2027年度比で149%を目指す。
学へ進学すること以外の道・伯耆町で住み、子供を育て、働く続け
会社全体の賃上げ目標（１人あたり）
られる場を提供。伯耆町や地域企業とコラボしたひと・まち・しごとの
• 3.5%（直近事業年度～基準年度）
大山・伯耆町モデルを構築したい。
• 6.1%（従業員）5.95％（役員）（基準年度～事業化報告3年目）</t>
  </si>
  <si>
    <t>ガイア株式会社
2.補助事業の概要
労働集約型の競走馬育成事業からミネラルウォーター製造という装置産業に売上の軸足を移すことで労働生産性は、
劇的改善。従業員へ労働分配を図り、良質な競走馬育成環境を実現！地方創生『伯耆町モデル』を構築する。
• 補助事業により、労働集約型の競走馬育成事業の利益の限界に対し、大山特有の軟水でまろやかな水
補助事業の 事業費 50億円
をペットボトルのミネラルウォーターとして商品化。得られた利益を既存と新規事業の従業員に分配。
背景・目的 （補助額） （17億円）
世界へ水と強い馬、日本の地方・地域の新しい価値を発信する。
【設備投資の内容】
• ミネラルウォーター製造工場の建物工事
• ミネラルウォーターの製造設備
（ペットボトル自体の製造から水のろ過・充填の自動化装置による一貫生産体制）
【本設備投資での課題解決】
①製造計画や生産管理はプラント管理の経験や水質管理ノウハウを豊富に持つ
グループ会社（都市クリエイト等）の社員を転属させて管理、従業員へＯＪＴ
にて教育を実施し、当社内で生産ノウハウを蓄積する。
②ミネラルウォーターの製造、販売を連携する事業者である三友機器、
設備投資の
岩崎氏から技術指導を受けて品質の高い製造体制と販売体制を構築する。
内容
③競走馬の育成環境の向上という課題解決のために、競走馬の育成に関わる人への給与水準の
向上と新たな設備投資を行う。競走馬の育成に関わる人の士気向上と環境改善に繋がるため強
い・良質の馬の生産・育成が可能となる。
④ミネラルウォーターの製造販売を通じて当社の事業と競馬の感動を広く世の中に
伝える。大山ヒルズの育成馬のパッケージを商品化したミネラルウォーター
「うらら(PBブランド名)」の販売とマーケティングを行う。従業員の士気向上を図り
世界に通用する馬づくりを実現。競馬ファン等がミネラルウォーターを購入することで、世界に通用する
馬づくりに参画し、その感動を分かち合うことが可能となる。 工場操業イメージイラスト
⑤鳥取県伯耆町と連携しミネラルウォーターを核とする、まち・ひと・しごとの地方創生モデルを構築。少子高齢化の社会課題を解決する『伯耆町モデル』を構築する。
2026年度（基準年度） 2029年度（基準年度＋３年後）
項目
鳥取 大阪 全社 鳥取 大阪 全社
労働生産性 3,099万円
963万円
（単位：万円/人） （年平均上昇率＋47.6％）
従業員1人あたり給与支給総額 518万円 773万円 575万円
目標値 428万円 615万円 481万円
（単位：万円/人） （年平均上昇率＋6.6％） （年平均上昇率＋7.9％） （年平均上昇率7.0％）
役員１人あたり給与支給総額 - - -（7人） -（7人）
鳥取役員在籍なし 鳥取役員在籍なし （年平均上昇率 （年平均上昇率＋
（単位：万円/人） （7人） （7人）
+5.95％） 5.95％）
補助事業に係る従業員数
60人 24人 84人 84人 24人 108人
（単位：人）</t>
  </si>
  <si>
    <t>八戸酒造株式会社
1.長期成長ビジョン
①八戸観光の振興の核を担う ②伝統文化の継承・海外への食文化発信 ③地域の発展への貢献を合言葉に今後も事業を拡大。
長年の事業拡大に伴う建て増しにより非効率な生産体制が課題。伝統と最新設備の融合による新工場により生産量拡大と新商品開発
を加速。旧工場は重要文化財であることから、八戸市の観光振興の中心をにない、インバウンドに対する日本酒文化の発信基地とする。
長期成長ビジョン（目指す姿・ビジネスモデル） 外発的動機
• 国内の日本酒市場は縮小傾向にあるが、海外においては近年の日本食ブーム
①八戸観光の振興
により日本酒の注目度も上がっている。加えて2024年12月に日本の醸造技術
• 歴史ある酒蔵を観光資源として活用し、地域の活性化を図る。
がユネスコ無形文化遺産に登録されたこともあり、日本酒の輸出量がさらに高ま
• 青森・八戸の交流人口を増やす取り組みを意識する。
ることが予想される。
• 事業規模が大きい酒蔵、知名度の高い酒蔵で蔵見学をしているところは少な
• 2013年に和食がユネスコ無形文化遺産に登録された当時の海外の日本食レ
いため、今後も蔵見学を継続していきたい。
ストランは5.5万件であったものが、2017年には11.8万件に増えている(農林水
• 八戸は魚の食文化が根付いている地域であり、その食文化をアピールして観
産省データ)。これに伴い、清酒の輸出金額が2013年は10,524百万円であっ
光客を呼び込んでいきたい。
たのが、2017年は18,679百万円に拡大した(財務省データより)。
②伝統文化の承継、海外への日本食文化の発信（販売強化）
• 当社でも外国人観光客の酒蔵見学が増加し、昨年度は15,000人に達した。
• 当社は1775年に初代駒井庄三郎が開いた酒蔵を源流としており、現代表
団体客は台湾、個人客は欧州からの旅行者が多い。
は8代目に当たる。
• 歴史を紡いできた中での新たな挑戦（清酒以外の商品の造成、日本酒だけ 内発的動機
でなくそれ以外の新しいカテゴリーの商品化）
• 現在の酒蔵で最も古い蔵は大正５年に建造され、その後、生産量の増加に
• 青森・東北・日本酒業界をけん引することを目指す。
伴って、敷地内に所せましと、順次建造された。
③地域の発展への貢献
• 旧八戸酒類株式会社を離脱し、代表取締役、八代目駒井庄三郎が再独立し、
• 酒米栽培農業の発展に寄与する。
当社を設立したが、当時の酒質は低く、売上は低迷していた。（次頁）そこで
• 青森の特産物や産業を国内外に発信していく。
大きな生産方法の改革を行った。これが瓶詰め火入れである（P8参照）。その
• 伝統芸能（えんぶり）を次世代につなげる取り組みを継続する。
生産方法を改革する上で、敷地外に瓶詰め・火入れラインを作らざるを得ず、公
道を挟んだ非効率な生産体制を取らざるを得なくなった。
会社全体の売上成長目標（～2030年度）
• 売上高 16.4億円 • 地域の観光振興や海外展開に向け、多様なニーズに応える商品開発を行いた
いが、冷蔵施設も敷地内に分散しており、効率的な在庫管理が行えない。
• 売上高成長率 14.28％（2030年度）
• 売上高増加額 7.1億円 • 日本酒文化の発信のため当社も積極的に酒蔵見学を受け入れてきたが、敷地
内に所狭しと蔵が建っており、見学の導線と製造の導線が重なってしまっており、
会社全体の賃上げ目標
見学者の増加が生産の足かせとなってしまっている。
• CAGR 3.8%（直近事業年度～基準年度）
• 12.6%（基準年度～事業化報告3年目） • 日本酒はワインに勝てるという漠然とした思いが、近年の海外コンテスト受賞で革
新に変わり、本補助事業（海外展開含む）チャレンジの意向を固めた。
当社の概要・特徴
• 現代表である8代目庄三郎は青森県の地酒として県産の米と酵母にこだわり、仕込み水は八戸・蟹沢地区の名水を使用した、時代が求める環境と健康に
配慮した安全で美味しい酒造りに挑戦してきた。創業は1775年ではあるが、当社設立は1997年で現酒蔵を使用できず、仮の酒蔵で新銘柄「八仙」を立
上げ、後述の通り、地域を代表する高級地酒として首都圏で好評価を受け、海外へ日本酒の魅力発信を目指している。</t>
  </si>
  <si>
    <t>八戸酒造株式会社
2.補助事業の概要
補助事業では当社が設立以来、研究を重ねてきた新製法に合致し、製品移送の最適な導線と高品質を実現する温度管理を実現する。これによ
りボトルネックの火入れラインは生産性が3倍に向上する。かつ、温度管理の精度が高まるため、世界に通用する品質を実現する。本事業で得た利
益を従業員給与の向上に振り向け、八戸地域の雇用を支える。
• 次頁の通り、現酒蔵は様々の問題を抱えている。
• 現酒蔵は観光拠点としてさらなる活用ができるよう、製造拠点としての役割から解放する。
補助事業の 事業費 26億円
• 大正時代建造の現酒蔵で新製法を採用したため非効率な作業導線となったことから、現在の
背景・目的 （補助額） （ . 億円）
6 5
導線に合致し、かつ将来に向けた余剰スペース確保が可能な新工場建設が不可欠である。
• 品質をさらに高め、青森県の魅力を世界に発信したい人材を積極採用していきたい。
• 土地の取得（八戸市より購入合意、20,357㎡、692,138千円）
・整地（2025年度）
• 鉄骨造平屋建の新工場の建設（法定耐用年数31年）
• 現在ボトルネックとなっている火入れ工程の設備（パストライザー）を導
入し、1時間あたりの火入れ本数を400本から1,200本に増強する。
• 醸造タンク他、設備に関しては現酒蔵から移設し、必要最小限の費用
設備投資の
となるよう工夫する。
写真等
内容
• 現酒蔵から製造設備を移設することで現酒蔵を観光拠点化するための
企画・準備をスムーズに進める。
• 工場全体について、空調・断熱材を完備することで光熱費を押さえると
ともにカビの発生などのリスクを軽減し、品質の向上を図る。
• 冷蔵倉庫は在庫管理システムと連携し、アイテム点数増加に耐えられ
る管理体制を構築する。
2027年度 2030年度
項目
（基準年度） （基準年度＋３年後）
労働生産性
1,140
1,618
（単位：万円/人） （年平均上昇率＋12.4％）
目標値 従業員1人あたり給与支給総額 542
407
（単位：万円/人） （年平均上昇率＋10.0％）
役員１人あたり給与支給総額 4,160
3,396
（単位：万円/人） （年平均上昇率＋7.0％）
補助事業に係る従業員数
36 42
（単位：人）</t>
  </si>
  <si>
    <t>株式会社ファーストダウン
1.長期成長ビジョン
株式会社ファーストダウンは、 2031年度に全国５工場、売上高150億円の達成を目標とし、社会にインパクト
を与えられる規模、リーダー企業への成長することで社会へ貢献し経営理念の実現を果たします。
長期成長ビジョン（目指す姿・ビジネスモデル）
外発的動機
• 2031年、全国5工場、売上高150億円の達成
• 高齢化、共働きの増加、核家族化等の社会変化により、 「食の外
この補助事業を実施することにより、2027年に西日本№１のカット野
部化」が拡大、カット野菜市場の急拡大（ 2012年度735億円
菜メーカーへと成長します。2030年には関東へ進出し、2031年150億
円を目指します。 から2022年には1,969億円まで成長※ ）。
• 業界的に自動化が十分に進んでおらず労働集約的であり、供給能
• 全国への供給網・調達網を持つ業界のリーダー企業として、農業
従事者減少問題（2050年に農業経営体数84%減、生産額 力や、食の安全面への要求に対する対応が急務。.
52%減見込（出典：三菱総合研究所））の解決に着手します。
• 2024年問題、農業従事者減少問題など多くの社会課題があり、
全国での供給工場は全国の産地との取り組みを意味し、仕入金額 リーダー企業による対応が求められる。
の増加は多くの産地、生産者へのインパクトを表します。すでに収穫
支援などの取り組みを開始しており、全国規模で農業従事者減少の
内発的動機
課題へ取り組んでいくことを目指しております。
• 単一商圏ではなく広域商圏をターゲットとすることで、売上規模の拡
⇒そして、経営理念である「食の事業を通じて縁ある人を幸せにす
大を目指す。
る」の実現
• 製造拠点間で生産量調整を常に行い、過重労働やキャパシティ
会社全体の売上成長目標（～2031年）
オーバーを回避、生産性と品質を高め、企業の競争力を高める。
• 2031年までに売上高成長率267%
• 2031年までに売上高増加額は9,380億円 • 大きな社会課題に取り組むにはリーダー企業になる必要。
※最新事業年度比較（24/8期 56億円⇒ 31/8期 150億円）
会社全体の賃上げ目標
• 0.00%（直近事業年度～基準年度）
• 5.00%（基準年度～事業化報告3年目） ※株式会社サラダクラブ調べ</t>
  </si>
  <si>
    <t>株式会社ファーストダウン
.補助事業の概要
2
社会環境の変化により拡大が見込まれるカット野菜市場のニーズに応えるために新工場を設置。人手不足問題に対応
するため、省人化機械を多く導入することで労働生産性を向上、高い売上成長率と、持続的な賃金上昇を実現する。
• 当社は中四国において高いシェアを誇るが、2024年問題によるドライバーの不足で
事業費 3 億円
1
現在当社の立地している京都工場から中四国への長距離輸送に大きな課題を抱
（補助額） （1 億円）
0
えている。中四国エリアへ新工場を設置することでフードマイレージ（食の輸送距
補助事業の 離）の短縮により2024年問題へ対応。
背景・目的 • 現状、中四国にはカット野菜メーカーの数が少なく、中四国エリアにおけるカット野菜
全自動計量器 自動脱水機
ニーズの高まりに対し、供給体制が十分ではない。
• 人手不足にも対応した省人化・省力化機械により、さらなる売上獲得により西日本
ナンバーワンメーカーへの成長を実現することができる。
中四国エリアへのカット野菜工場の新設により、物流問題に対応。省人化・省力化機
械を導入することで、労働者数を減らし喫緊の人手不足問題に対応する。
• 具体例
① 全自動計量器の導入（2名→完全無人化） 自動箱詰め機 カメラ検査装置
設備投資の
② カメラ検査装置による印字チェックの導入（1名→完全無人化）
内容
③ 自動脱水装置（2名→完全無人化）
④ 自動箱詰め機の導入（箱詰め作業者を6名→1名に）
等により、1日の生産に必要な作業者数を大幅に減少させることで労働生産性を高め、
高い賃金上昇率を達成する。
2027年度 2030年度
項目
（基準年度） （基準年度＋３年後）
労働生産性 758
484
（単位：万円/人） （年平均上昇率＋16.1％）
従業員1人あたり給与支給総額 373
目標値 322
（単位：万円/人） （年平均上昇率＋5.0％）
役員１人あたり給与支給総額
-
-
（単位：万円/人） （年平均上昇率＋4.9％）
補助事業に係る従業員数
380 500
（単位：人）</t>
  </si>
  <si>
    <t>株式会社ファーストダウン
.補助事業の概要
2
省人化・省力化機械を導入することで、下記設備導入で11名必要であった人員数が1名で対応可能に
（△90％）
新工場に導入する主な設備
千切りキャベツの
自動脱水装置 自動計量装置
2人体制→完全無人化 2人体制→完全無人化
原料受入 原料下処理 スライス 洗浄・脱水 計量 包装
ラベルチェック
箱詰 出荷
・検品
ラベルチェックの自動化
梱包・積荷
1人体制→完全無人化
180ｐ/分処理に
6人体制→1人体制</t>
  </si>
  <si>
    <t>株式会社ファーストダウン
.補助事業の概要
2
省人化・省力化機械を導入することで、労働者数を減らし喫緊の人手不足問題に対応。 地域雇用創出効果
は163人、給与支給総額増加額は799百万円、生産力は1.5倍、労働生産性も1.8倍にUP
工場新設後における生産体制の３つの特徴
①生産能力増強 ②労働生産性UP ③給与アップ・雇用創出効果
新設後 新設後
新設後
労働生産性 1,864百万円
従来の
生産体制の
従前の 現状
生産数
労働生産性 1,085百万円
生産量MAX 生産量MAX
4,114千円 7,582千円 337人 500人
40万パック/日 60万パック/日
2024年と2030年との比較 2024年と2030年との比較
2024年と2030年との比較
省力化投資で労働生産性アップ 人員 163名増
工場新設により生産キャパ1.5倍
労働生産性 3,469千円増 給与支給総額 779百万円増</t>
  </si>
  <si>
    <t>健栄製薬株式会社
1.長期成長ビジョン
長期成長ビジョンは「一人でも多くの人の健康で豊かな生活に貢献する」ことを掲げ、本補助事業を通じて社会的
需要が拡大する医薬品の供給と薬不足問題の解消に取り組み持続的な成長を実現する
長期成長ビジョン（目指す姿・ビジネスモデル） 外発的動機
• 厚生労働省医政局によると、医薬品全体の18.5％に当たる 3,103
「一人でも多くの人の健康で豊かな生活に貢献する」
品目が限定出荷または供給停止状態(2024年11月)にあり、特に需
医薬品の供給不足に対する不安等、国民の不安を解消していくことで、
要がある低薬価の後発医薬品を中心として供給が不安定な状況にある
「一人でも多くの人が健康で豊かな生活を送る」ことを目指す。そのために、当
• 今後も医薬品市場は高齢者数の増加に伴う医薬品需要の増加、後発
社が局方品においてトップシェアを獲得してきたノウハウを生かし、社会的需要
医薬品の使用促進政策に伴う供給不足の発生などにより、今後も深刻
が拡大する医薬品の供給と薬不足問題の解消に取り組み、持続的な成長
な薬不足が続く見通し
を実現する
• 後発医薬品の使用促進政策等に伴い、後発医薬品の市場規模は
CAGR 6.9%で成長することが見込まれる
主力製品の国内および海外のさらなる需要拡大への対応と不足している
• 世界的な高齢者数の増加やライフスタイルの変化によって慢性便秘有病
後発医薬品の安定的供給を実現し、社会的貢献を果たす
率の上昇により、世界市場の規模が拡大しており、今後もCAGR
6.3%で成長することが見込まれる
➀将来の国内・海外の需要拡大に対する生産能力増強
• 治療薬としては、従来の刺激性の便秘症向け医薬品から非刺激性への
• 新工場を建設し生産能力を増強することで、国内・海外需要の増加によ
移行が進んでいる
る市場の成長に対し、安定供給が可能な体制を構築する
②後発医薬品の供給不足に対する安定供給の実現
• ローコストオペレーションのノウハウを生かし、供給不足となっている低薬価 内発的動機
の後発医薬品について採算を確保しながら、安定的な供給を実現するこ
• 当社は創業以来、局方品のカテゴリーにおいて多くの品目を安定供給して
とで社会的課題の解決に貢献する
おり、トップシェアの地位を確保している
• 新工場では自動化ラインの導入による労働生産性の向上を図り、将来的
• 局方品は汎用性が高く需要量が多い一方で、規格の統一により、製品の
な人材不足にも対応
差別化が困難であることから、販売価格が低くなる傾向にあるが、当社は
ローコストオペレーションの構築により低単価でも採算を確保しながら安
会社全体の売上成長目標（2023年度～2030年度） 定供給を行ってきた
• 売上高成長率7.8％ • 低薬価の後発医薬品は、採算性を理由とした他社撤退による供給不
• 売上高増加額186億円 足がさらに深刻化する見通しであり、当社はローコストオペレーションの強
会社全体の年平均賃上げ目標 みを生かして後発薬市場に本格参入することで薬不足の解消に貢献で
きると考えている
• 5.2% (2023年度～2027年度）
• 非刺激性の便秘症向け医薬品についても、今後の世界的需要増加に
• 8.7% (2027年度～2030年度）
対してトップメーカーとして供給責任を果たしていきたいと考えている</t>
  </si>
  <si>
    <t>健栄製薬株式会社
.補助事業の概要
2
主力製品である便秘症向け医薬品の国内・海外需要の拡大および後発医薬品の供給不足に対し、新工場建設に
よる生産能力の増強、最新設備導入による生産性向上を図り、労働生産性の改善を実現する
• 新工場建設により、主力製品の便秘症向け医薬品の生産能力を増強し、需要拡大に対応 事業費 1 億円
17
補助事業の する （補助額） （35億円）
背景・目的 • 最新設備の導入による自動化ラインの設置により生産性向上を図り、低薬価の後発医薬品
においても採算を確保し、安定供給ができる生産体制を構築する
生産能力増強のための新工場建設
• 新工場である十三第2工場は延べ床面積約5,800㎡・4階建ての建設を予
十三第二工場(新工場)イメージ
定
• 便秘症向け医薬品と後発医薬品の製造ラインを導入し、生産能力の増強を
図る
• 既存工場で製造している便秘症向けのOTC医薬品の製造ラインを新工場に
移管することで、各工場の役割を明確化し、段取時間削減による稼働時間向
設備投資の 上で各工場の生産性改善を実現する
内容 生産性向上のための特注の設備導入・最新設備の導入
• 秤量、調合、洗浄、充填・包装工程へ最新設備を導入し、製造ラインを完全
自動化することで省人化および生産性向上を図り、労働生産性を改善する
• グリセリン浣腸液の充填・包装工程に対しては、製品の複雑な形状に対応した
特注の設備を導入することで、従来の設備では達成できなかった完全自動化
を実現
• 各製造ラインの製造設備を拡大し、段取り替えを削減することで設備稼働効
率を改善し、生産性向上を図る
2027年度 2030年度
項目
（基準年度） （基準年度＋３年後）
労働生産性 2,807
1,982
（単位：万円/人） （年平均上昇率＋12.3％）
目標値 従業員1人あたり給与支給総額 561
433
（単位：万円/人） （年平均上昇率＋9.0％）
役員１人あたり給与支給総額
-
（単位：万円/人） - (年平均上昇率+6.5％)
補助事業に係る従業員数
683 716
（単位：人）</t>
  </si>
  <si>
    <t>キングパーツ株式会社
1.長期成長ビジョン
• ロストワックス精密鋳造による精密部品の安定供給を通じて、日本の精密機械競争力向上に貢献する、 ”キングファン”を
増やしみんなを笑顔にする。その取組みを通じて2030年度に売上高成長率219％、売上高増加額＋53億円を目指す
長期成長ビジョン（目指す姿・ビジネスモデル） 外発的動機
サプライチェーン強靭化の要請（鋳造品の安定供給）
１ ロストワックス精密鋳造による精密部品の安定供給を通じて、 • 特定国へ依存しないグローバルサプライチェーン強靭化の観点から、日
日本の精密機械の競争力向上に貢献する 本は鋳造品の安定供給の役割が求められている。
製造の国内回帰の強まり
2 技術力と提案力で顧客の課題解決を図り、 • 新型コロナやウクライナ侵攻でサプライチェーン寸断を経験し、製造拠点
”キングファン”を増やす
の国内回帰の動きが急激に強まっており、転注獲得の機会である
経済安全保障に関する重要技術保護の強化
3 会社の稼ぐ力を強化し、従業員や地域へ還元、
会社・従業員・従業員家族のみんなを笑顔にする • 「鍵を握る重要物資・技術」の保護・国外流出防止の強化が、国の重
要施策となっており、国内生産メーカーの事業機会となっている
売上高年平均成長率 世界的なSDGs対応の要請
中長期の数値目標
24.93％(2027～2030年度) • 持続可能な社会の実現に向け、材料ロスを最小限に抑える製法が要
(事業化報告3年目) 請され、切削と比して金属ロスの少ないロストワックス精密鋳造が優位
(基準年度) 2030年度
2027年度 精密部品の安定供給を
(直近事業年度)
高付加価値化を 通じて 内発的動機
目指し 日本の精密機械の
ロストワックスの可能性を拡げたい
生産体制の見直し 競争力向上に貢献
2023年度 • 当社は中～高難易度・小～中ロット・短納期対応で企業成長してきた
50億円
97億円
44億円 • 人件費が安い海外での生産が増える中、更なる高付加価値化により
当社事業の継続性を高めるとともに、日本のものづくりに貢献したい
会社全体の売上成長目標（2023～2030年度） 作業環境を改善し、熟練工を育てたい
売上高成長率︓219％ • ものづくりは良い作り手、すなわち熟練の従業員がいてこそ実現する
売上高増加額︓＋53億円 • 鋳造業は重い・暑い等の厳しい作業を伴うが、作業環境改善で可能
な限り従業員の負担を減らし定着してもらうことで、熟練工を育てたい
会社全体の賃上げ目標（2023～2030年度）
従業員が安心して働ける、愛着のわく職場をつくりたい
0.43%（直近事業年度～基準年度）
5.45%（基準年度～事業化報告3年目） • 会社の事業継続性・収益力を高め従業員に給与として還元するととも
に、作業環境が整備された、更に魅力的な職場にしていきたい
© KINGPARTS Co., Ltd. All Rights Reserved.</t>
  </si>
  <si>
    <t>キングパーツ株式会社
２.補助事業の概要
• 本社隣地に新工場を建設
①工程集約・省人化・効率化による生産性向上、②温度・湿度管理強化による品質向上と高難易度鋳型製作、
③生産能力の拡大を実現する
① 生産性の問題︓ 事業費
・拠点間、工場間、階層間で仕掛品の移動が頻発し、非効率となっている （補助額）
補助事業の ・WAXモデル成型におけるろうの充填、WAXモデル組立における資材運搬、鋳型製作が非効率となっている
背景・目的
② 品質の問題︓工場老朽化により温度・湿度管理能力が低下、鋳型の品質低下の原因となっている 34億円
（11億円）
③ 生産能力の問題︓改善活動による生産能力拡大が限界に近付きつつある
 事業実施場所
• 広島県福山市御幸町下岩成879-1付近（本社隣地）
赤枠内が
 設備投資の内容 本社・鋳造工場
敷地
• 新工場の建設、その他製造に必要な設備一式
※ WAXモデル成型、WAXモデル組立、鋳型製作の工程を集約、 動線
の最適化を図る
設備投資の
※ WAX自動供給装置を導入し、ろうの充填を自動化・効率化する
内容
※ 自動倉庫を導入し、WAXモデル組立に使用する資材のピッキング・
運搬等の自動化・効率化を図る
建設予定地
※ 造形自動ロボットを導入し、鋳型製作の7割を自動化する
(現在駐車場)
※ 上記より、生産能力の拡大（約2倍）を実現する
※ 温度・湿度管理装置を導入し、鋳型品質の向上と、高難易度の鋳
型製作に取り組む
項目 2027年度（基準年度） 2030年度（基準年度＋３年後）
労働生産性（単位︓万円/人） 745 1,177（年平均上昇率＋16.5％）
目標値 従業員1人あたり給与支給総額（単位︓万円/人） 390 464（年平均上昇率＋6.0％）
役員１人あたり給与支給総額（単位︓万円/人） - -（年平均上昇率＋5.0％）
補助事業に係る従業員数（単位︓人） 323 372
© KINGPARTS Co., Ltd. All Rights Reserved.</t>
  </si>
  <si>
    <t>株式会社八天堂
.補助事業の概要
2
・現工場（みはら臨空工場）のある八天堂ビレッジの敷地内に全て自動化・省力化が図られる新工場を建設
・くりーむパンの生産能力を飛躍的に向上させるとともに全国のパン・菓子製造業からOEMを請け負う
①生産能力の問題：現工場（みはら臨空工場）の生産能力（最大7万個/日）は限界
2 億円
補助事業の 製造プロセスに多くの手作業が含まれ技術革新による自動化が必須 事業費 6
（8.3億円）
背景・目的 （補助額）
②品質の問題：現工場ではISO9001やJFS-B適合証明書を取得しているが、FSSC22000
（食品安全システム認証）の取得が求められる
補助事業実施場所：広島県三原市本郷町善入寺
 設備投資の内容
新工場建設 15.0億円 空の駅 ORCHARD 新工場
八天堂ビレッジ
製造に必要な設備一式 09.9億円
りんくう保育園
 設備投資が課題を解決し得ること 広島空港 八天堂カフェリエ 天空カフェ
・現工場では終日工場を3交代制で稼働させても、最大7万個/日までし 八天堂本店
設備投資の か生産できなかったが、新工場では全て自動化・省力化が図られ、最大 八天堂みはら臨空工場
内容 15万個/日の追加生産が可能となる
・現工場は手間暇かけた付加価値のある商品を製造していく予定
新工場 今後、変更となる場合があります。
・また現在は賞味期限が3日程度であるがチルドを扱うことで賞味期限が
延びたり、遠方への運搬も可能になる
・新工場ではFSSC22000（食品安全システム認証）の取得を目指す
・以上により、くりーむパンの生産能力を飛躍的に向上させるとともに全国の
パン・菓子製造業からOEMを請け負うことで高利益体質になる
項目 2027年度（基準年度） 2030年度（基準年度＋３年後）
労働生産性（単位：万円/人） 719 1,284（年平均上昇率＋21.3％）
目標値 従業員1人あたり給与支給総額（単位：万円/人） 38 45 （年平均上昇率＋6.0％）
0 3
役員１人あたり給与支給総額（単位：万円/人） （年平均上昇率＋6.0％）
- -
補助事業に係る従業員数（単位：人） 198 24
1</t>
  </si>
  <si>
    <t>昭和化工株式会社
1.長期成長ビジョン
「愛と創造」の社是のもと、「化学と食で未来を創る」をグループ経営理念に掲げ、時代の変化とニーズを的確に
捉えて、社会の求める化学品を提供し続ける
長期成長ビジョン（目指す姿・ビジネスモデル） 外発的動機
• 電子部品や半導体の増加により化学品の需要も増加
企業理念である「愛と創造」を大成することを通じて、社会課題の解
（半導体市場の2032年までの年平均成長率は14.9%
決、持続可能な社会実現に貢献
出典：Fortune Business Insights のレポート「半導体
市場予測 2024-2032」）
■ヒトのやりたがらないことをやりつづける
• 技術や経験が蓄積されるにともない取引先からの化学品に関する
→社会の求める少量多品種の化学品を提供し、
要望・相談が増加
劇物などの危険物を取り扱うなど、
• 取引先や投資家からのESG重視の選定、最終消費者における環
他社のやりたがらない普通のことを普通にやり続ける
境意識の高まりなど、市場・顧客から環境・持続可能性への取り組
みが求められている
■脱属人化
• 少子化による労働力不足や健康経営などによる労働環境改善へ
→いかなる状況でも普通のことを普通にできる盤石な組織基盤を
の投資の必要性増加
作り、時代が変化すれば時代に合わせて形を変えることができる組
織を目指す
■環境保全・サスティナブル
→無理無駄を省く、法令遵守、自社保有森林活用 内発的動機
• 創業から受け継がれた企業理念
会社全体の売上成長目標（～2031年3月度） • 先代までの経営による会社の一時的な衰退
• 売上高成長率+98％ そこから経営を立て直し債務超過解消・自己資本比率40％まで
• 売上高増加額107億円 の回復につなげた
会社全体の賃上げ目標 • 商社に勤めた経験（モノを右から左へ流すだけで現場が分からな
い）に対して、昭和化工で現場でのモノづくりの楽しさを知った
• 平均賃上げ率 2.16%（直近事業年度～基準年度）
そのモノづくりの楽しさを、作る人・管理する人・売る人・買う人すべて
• 平均賃上げ率 6.75%（基準年度～事業化報告3年目）
に知ってもらいたい</t>
  </si>
  <si>
    <t>昭和化工株式会社
.補助事業の概要
2
生産量の拡大及び全工程の内製化を含めた工程効率化を目的として、半導体用の感光材原料工場及び無
機錫化合物の製造工場を建設する
補助事業の • 半導体関連の需要が増加していることに対して生産量が追いついていないことに課題感 事業費 億円
112
背景・目的 • 無機錫工場の過去の無作為な拡張により非効率的な生産となっていることに課題感 （補助額） （ 億円）
18
• 事業費 ①新クロライド工場増設 30億円
②無機錫工場改築 25億円
• 事業概要
①新クロライド工場の建設
・半導体製造に必要な感光材原料(SK-20C,30C)等の製造工場
・生産量の増大（現状40t → 100t）につながることに加え、一部外注していた工程を内
製化することができ、品質管理の向上及び生産効率化（労働生産性向上）を実現する
設備投資の ・生産量の増加に対して従業員数は微増に留まるため生産効率大幅増
内容 （27年度→30年度対比 売上高+50.9%増に対して人員+1.4%の増員に留まる）
②無機錫工場の建設
・現状の複数棟に分散されている平屋工場を立て直し、導線を見直した効率的な工場を新
たに建設する
・これにより、生産量の増加や、外注していた工程を内製化できることに加え、低品質の原料
を独自に溶解・精製することで、高品質製品に加工することができるようになり、大幅なコスト
削減につながる
（写真は現工場）
2028年3月度 2031年3月度
項目
（基準年度） （基準年度＋３年後）
（単
労
位
働
：
生
万
産
円
性
/人）
1,304万円
（年平均
2
上
,7
昇
15
率
万
＋
円
27.7％）
目標値 従業員
（
1
単
人
位
あ
：
た
万
り給
円
与
/人
支
）
給総額
626万円
（年平均
7
上
6
昇
7万
率
円
＋7.0％）
役員１人あたり給与支給総額
-
（単位：万円/人） - （年平均上昇率5.0％）
補助事業に係る従業員数
160 177
（単位：人）</t>
  </si>
  <si>
    <t>中本Fine Pack株式会社
1.長期成長ビジョン
人と環境にやさしい、全天候型グローバル企業を目指す中本グループの長期成長ビジョンの中核事業として、食品
容器の製造販売を担っている“中本Fine Packの生産拠点再編・環境対応新工場の構造改革事業”を推進
長期成長ビジョン（目指す姿・ビジネスモデル） 外発的動機
• 地球温暖化の防止・循環型社会の実現するには、原材料の調達・製品加
• 中本Fine Pack（当社）が属する中本パックスグループは、印刷加
工・輸送・消費・廃棄に至るプロセスにおけるCO2や廃棄物の削減、植物
工(グラビア印刷)、ラミネート加工(ドライラミネート)、コーティング加
由来材料、非化石エネルギーへの転換が急務である。
工及び成形加工による製品の販売を主な事業としています。この中
• 海洋プラスチックごみは、現在海洋ごみの約6割を占め、海の生態系への影
で中本Fine Packは、成形加工事業を担っており、グループ経営方
響、海洋生物を通じて人体に入ることが懸念されており、プラスチック削減、
針『人に、環境にやさしい企業をめざして～クリーン＆セイフティ～」
海にプラスチックごみを捨てない取り組みが必要である。
のもと、企業価値を高め、急速に変化する事業環境に左右されな
• 日本の人口1人あたりのプラスチック容器包装の廃棄量は米国に次いで多く、
い「全天候型グローバル企業」を目指しています。環境問題対応の
プラスチックの３Ｒを推進し、循環型社会の早期実現が望まれている。
最大のテーマとして、プラスチックの中でも特にポリエチレンテレフタレー
• 容器包装プラスチックは、軽量・安全で食品貯蔵寿命延長や輸送保管量
ト（PET）樹脂のリサイクル・リデュースを目指し、常に新しい技術に
削減が可能となり、小売店や食品メーカー等から根強い支持を得てプラス
取り組み、顧客に密着したマーケティング活動を行い、グローバル規
チック容器の市場は拡大している。
模で顧客や社会のニーズを先取りし、強力に推進しています。現在
• 当社の主要顧客である（株）エフピコより、2027年度以降、リサイクル不
の社会課題である食品容器などのリサイクルや廃棄物の削減による
可なOPS製プラ容器から、リサイクル可能なPET製プラ容器への切り替え、
CO2の削減等、社会・環境に対して配慮した商品・サービスの提供、
PET製プラ容器の大幅な増産要請を受けている。
そして安全性向上・健康に貢献する商品・サービスの提供を行い、
地域社会経済の発展に貢献していきます。
• 当社のビジネスモデルは、①原材料メーカーから材料を仕入れ、② 内発的動機
シート成形（補助事業で一部内製化）、③印刷・コーディネート等
• 社会課題に対応して食品容器のリサイクル商品の生産比率を高め、更に
の加工（中本パックス）、④容器成形（当社）、⑤商品納入、で
生産性向上を高める施策を打ち出して、企業価値最大化を追求していく。
あり、中本グループで協働したサプライチェーンを構築している。
• 戦略投資を実施し、もっとも高品質で環境に配慮した製品を、どこよりも競
争力のある価格で、必要なときに確実にお届けする、方針を追求したい。
• 既存工場は、住宅地等に隣接しており、レイアウトも複雑で生産性向上が
会社全体の売上成長目標（～2030年12月期）
難しい。既存事業拡張や新商品生産用の設備、自動化設備・省エネル
• 売上高成長率 17.01％ ギー設備等を導入するスペースがなく、夜間操業も騒音等の問題で制限
• 売上高増加額 33.45億円 を受けている。
会社全体の賃上げ目標
• 既存工場の土地建物の一部は借用であり、経済的負担が大きい。
• 2.00%（直近事業年度～基準年度） • 工場と倉庫の距離が離れており、物流動線も複雑でロスが大きい。
• 5.42%（基準年度～事業化報告3年目） • 自社内で発生した製品端材の再生設備がなく、業者へ転売している。</t>
  </si>
  <si>
    <t>中本Fine Pack株式会社
.補助事業の概要
2
既存工場の立地環境では制約があり、実現が困難なPET材料の再利用、省人・省力化、物流の効率化、
CO2排出抑制、騒音対策、従業員福利厚生等の課題克服を、新工場にてミニマム投資で実現する。
補助事業の • 中本Fine packが保有している3工場のうち、立地環境から生産制約があり今後の事業展開 事業費 35億円
背景・目的 に支障のある2工場を新工場に生産集約・再編し、企業構造改革を推進する。 （補助額） (9. 億円)
7
• 設備投資の内容 押出成形機(例)
押出成形機 1台新設、真空圧空成形機（PET) ４台新設・３台移設
熱板圧空成形機（OPS) ３台移設、付帯機器 1式
梱包・封函装置 １式、段ボール積込装置 １式
破砕機 4台新設・6台移設、基幹業務・生産管理システム 1式等
真空圧空成形機(例) 段ボール積込装置(例)
• 設備投資が課題を解決し得ること
素材成形から最終製品まで一貫生産体制を確立し、物流プロセスを
合理化する。
設備投資の
PETシートを購入せずリサイクル材を使用し内製でPETシートを成形する。
内容
生産段階で発生した端材を再処理し、再び原料として再利用する。
徹底した省人化・自動化を指向し、人手不足の深刻化に対応する。
徹底した省エネルギー設備・システムにより、CO2の排出を抑制する。 破砕機(例) 封函装置(例)
新工場の生産最適レイアウトにより、構内物流の効率化を図る。
人と環境に優しいモノづくりに取組み、地域社会に貢献する。
• 労働生産性向上につながる点
上記の施策を通じて付加価値比率を上げ、生産の効率化合理化を
推進することで労働生産性を向上させる。
2027年度 2030年度
項目
（基準年度） （基準年度＋３年後）
労働生産性 84
415 7
（単位：万円/人） （年平均上昇率＋26.8％）
目標値 従業員1人あたり給与支給総額 431
367
（単位：万円/人） （年平均上昇率＋5.5％）
役員１人あたり給与支給総額
-
（単位：万円/人） - （年平均上昇率＋5.0％）
補助事業に係る従業員数（単位：人） 64 144</t>
  </si>
  <si>
    <t>味覚糖株式会社
1.長期成長ビジョン
「おいしさは、やさしさ」を理念に、UHA味覚糖グループで2030年に売上1,000億円、
味覚糖（株）として単体売上目標620億円（直近決算期比197.3%）を実現
長期成長ビジョン（目指す姿・ビジネスモデル） 外発的動機
外的変化と外的リスクに対する対応力強化が不可欠
理念に基づき、H＆B市場、グローバル市場への展開を図る
・長期的な日本の人口の減少トレンド（消費量・消費額の減少）
おいしさは、やさしさ：H&amp;B市場への展開 ・日本の長高齢化社会の進展と健康寿命延伸への課題（食の安全・安心）
おいしいものは、カラダにいい。カラダにいいものはおいしい。 ・ライフスタイル変化（共働き、利便性追求、完全栄養食ニーズの高まり）
健康・美容に対する意識の高まりを受け、おいしさと栄養を両立させた ・生産拠点の一極集中リスクの回避（BCP要請）
商品開発を推し進めていく。 ・食のエンタメ化（体験型ニーズ、SNS映えを意識した消費者行動）
・食文化のボーダレス化（輸出、現地生産などの即時対応ニーズ）
UHA（ユニーク・ヒューマン・アドベンチャー）＝『遊波』：グローバル展開
食べることを通じて、多くの人が大きな夢を心に抱き、快適で健全な生活を送ること。 様々な課題がありつつも、独創的で冒険心溢れたマインドで、革新的な
楽しみ、遊び、ときには人を精神的に、肉体的に向上・リラックスさせる"食"の創造。 商品を生み出し持続的な企業成長を目指したい。
そんな食で遊ぶ『遊食』を社会に提供することで、味覚糖から『遊』の『波』を広げてい
きたい。より良い商品をより安く、お客さまに届けることが私たちの社会貢献。
グループおよび味覚糖（株）単体売上目標 内発的動機
理念「おいしさは、やさしさ」の元、食の領域で新しい波を起こし続けるの
好調なグミキャンディなどの製菓に加え、グミサプリなどの健康食品（H＆B）領域に
は私たちの変わることのない使命
も力を入れることで、81期にUHA味覚糖グループ で1,000億円、
※ 当社は、1949年の創業以来お客さまが求めるものを提供する「マーケティング志
味覚糖（株）で620億円の達成を目指す。
向」を大事にしてきた。また、「健康は食べ物が作り上げるもの」であり、お菓子はそ
※ UHA味覚糖グループ：味覚糖（株）、UHA味覚糖（株）、UHA（株）、UHAピピン（株） の中で補助的な役割を果たすものと考えている。
設立当初はカロリーが欠乏している時代で、栄養価の高いものを提供するため主に
飴を製造したが、世の中の変化にあわせてガムやグミ、サプリメントなど次々と商品を
味覚糖（株）全体の売上成長目標（直近事業年度～2030年9月） 生み出してきた。
売上高成長率197.3％ 当社は、これからも変わることなく、世の中のあこがれや必要なものを提供する会社
売上高増加額305.8億円（75期314.2億→81期620億） であり続けたい。
味覚糖（株）会社全体の賃上げ目標 お菓子というカテゴリーに留まることなく、サプリメントや機能性食品など、
※
0.57%（直近事業年度〜基準年度） より身体に良いもの、健康・美容を支えるものを世界中のお客様に一人
6.08%（基準年度〜事業化報告3年目） でも多く届けていく。
※一人当たり給与支給総額上昇率</t>
  </si>
  <si>
    <t>味覚糖株式会社
.補助事業の概要
2
福島県に既存ライン150%の生産効率を誇る第２工場を新設、奈良工場の排水処理能力を強化し
好調なグミを中心とした生産増強を実現、関東・関西２拠点の製造ライン最適化で高効率生産を実現
今回の補助事業は好調な国内グミ市場に対応するため、BCPの観点からも福島県に大規模
補助事業の な製造工場を建設する。加えてマザー工場である奈良工場でボトルネック解消を図ることで生 事業費 11 7 億円
背景・目的 産増強を図り、今後市場の拡大する米国市場へ輸出する商品の生産体制を強化する。 （補助額） （3 9 億円）
＜投資内容と生産効率化ポイント＞
新設の福島第２工場は、原材料の自動溶解など作業効率化、グミ成形にける充填効率
の向上、乾燥工程の能力アップ、搬送作業のAGV化等により、必要労働員数50%減、
既存ラインの150%生産効率アップを実現する。
奈良工場は、ライン新設および既存ライン改修による生産増に対応するため、
排水処理能力を150%に増強。これにより189億円の生産能力増を確保。
関東・関西２拠点の製品構成の最適化により全社で効率性向上を実現。
設備投資の
投資項目 投資額 概要
内容
福島第２工場建設費 54.6億円 本事業を実施する新工場建設費
福島第１工場拡張工事 2.0億円 既存工場の拡張工事
福島グミ製造設備 53.5億円 グミの製造・梱包搬送装置ほか
奈良工場排水処理設備 5.7億円 生産拡大に対応した排水処理の増強
合計 115.8億円 上:福島工場最終完成図／下:本投資対象エリア（紫色）
2027年度 2030年度
項目
（基準年度） （基準年度＋３年後）
2,306
労働生産性
1,331
（単位：万円/人） （年平均上昇率＋20.1％）
目標値 従業員1人あたり給与支給総額 566
472
（単位：万円/人） （年平均上昇率＋6. ％）
3
役員1人あたり給与支給総額
- -
（単位：万円/人）
補助事業に係る従業員数
63 74
8 2
（単位：人）</t>
  </si>
  <si>
    <t>オーディエー株式会社
1.長期成長ビジョン
業務用加工食品流通業界におけるモデルプラントとなる先進的な省力化・省人化物流センターを構築し、働き
方改革・少子高齢化といった社会問題に対応して業界の底上げ・標準化に貢献する。
長期成長ビジョン（目指す姿・ビジネスモデル） 外発的動機
少子高齢化による働き手不足
当社は、業務用食材のエキスパートから次世代の総合フードサービス
• 少子高齢化により若い働き手が減少しているが、業務用加工食品
の提供への変革を目指す。
流通業界においては冷蔵・冷凍庫内での在庫管理・荷受業務と
1. 省人化・省力化物流センターの構築
いった高齢者には肉体的に難しい業務が多くなっており、働き手の
• 関東圏の集団給食向けに省力化・省人化された物流センターを
減少が著しくなっている。この働き手不足解消のために、業務用加
設立し、事業拡大を図る。
工食品流通業界においても省力化・省人化が求められている。
• この第一歩としてまず横浜市の学校給食が個別納入方式から一
物流業界における働き方改革
括納入方式に変更されることに対応する。省人化・省力化物流セ
• 物流業界における働き方改革は当業界における配送にも影響を与
ンターを活用し配送コストを削減することで、学校給食物資の納入
えており、働き方改革による物流コストの増加が学校給食における
価格低減を実現し、児童の献立の充実に繋げる。
児童の献立に影響を与えかねない状況である。
2. 最新技術を活用した効率化
• デジタルアソートシステム（DAS）や自動倉庫を導入し、働き方
改革・少子高齢化に対応。安心・安全な食品供給を維持し、集 内発的動機
団給食を中心とした外食産業に貢献し続ける。 大阪本社における成功体験
3. バリューチェーンの最適化とフードロス削減 • 過去当社では手作業でのピッキングや配送ルートごとの仕分けに膨
• 上流の計画的な発注・配送のニーズや下流の必要な時に、必要 大な時間を費やし、多くの残業が生じてしまっていた。これを解消す
な量の納品ニーズに対応し、バリューチェーン全体の効率化・フード るために大阪本社では2009年にDAS、2021年に立体自動倉庫
ロス削減を図り、持続可能な成長に貢献したいと考えている。 を導入し、労働時間の大幅短縮に成功した。この成功体験を関東
4.業界全体のデジタル化と標準化の推進 事業でも活かし、働き方改革・少子高齢化という避けては通れない
• 業務用加工食品流通業界に合理化結果を公表し、モデルプラン 社会問題に対応し、業界の底上げ・標準化を行いたいと考えている。
トとして公開。業界全体の効率化・デジタル化を促進する。 中小・零細企業、給食を食べる人のために
• 学校給食の物資の選択は入札形式で公平に調達する制度になっ
会社全体の売上成長目標（～30/7期）
ているが、中小・零細企業は製造ができても納品ができず入札をあ
• 売上高成長率+85％（直近決算期比）
きらめざるを得ないため、十分な競争となっていない恐れがある。
• 売上高増加額+101億円（直近決算期比）
• 一括納入方式への切り替わりにおいて、当社が納品を一括して請
会社全体の賃上げ目標
け負うことで、入札に参加する中小企業が増加し、競争の一層の
• 1.9%（直近事業年度～基準年度）
活発化、学校給食の質向上に貢献できる。
• 6.1%（基準年度～事業化報告3年目）</t>
  </si>
  <si>
    <t>オーディエー株式会社
2.補助事業の概要
学校給食の一括納入方式導入の流れをつかみ、更なる成長を実現するために、横浜市周辺において大阪本社で蓄積した
ノウハウを活かし省力化・省人化された物流センターを開設する。また、大阪本社においても更なる設備投資で効率化を推
進する。
補助事業の • 学校給食の一括納入方式導入の流れをつかみ、更なる成長を実現するために省力化・省人 事業費 31億円
背景・目的 化された物流センターを設置すること等で更なる成長を実現する。 （補助額） （10億円）
【設備投資の内容】
• 26/4より中学校給食の一括納入方式が採用され、小学校給食
（300校）にも導入が予定されている横浜市においてデジタル・アソー 自動倉庫
トシステム（DAS）、立体自動倉庫を備えた省力化・省人化された物
流センターを開設する。大阪本社においても自動倉庫を追加導入し更
なる効率化を推進する。
【労働生産性の向上】 無線DAS
• 当社は大阪本社で2009年にDASを、2021年に立体自動倉庫を導
設備投資の
入し、これまで人が作業していた、商品のピッキングの効率化、商品荷
内容
受けの効率化・自動化を図り、省力化・省人化に成功している。
• 大阪本社で蓄積したこの省力化・省人化についてのノウハウを活用し、
横浜市周辺においても同様の省力化・省人化された物流センターを開
設し、労働生産性の向上を図る。
【更なる成長の実現】
• これにより昨今の採用が難しくなっている状況においても、比較的人員に
余裕のある部署から配置転換を行うこと等で、追加人員の問題を解決
して、更なる成長を実現する。
2027/7期 2030/7期
項目
（基準年度） （基準年度＋３年後）
労働生産性 1,527
762
（単位：万円/人） （年平均上昇率＋26.1％）
従業員1人あたり給与支給総額 488
目標値 409
（単位：万円/人） （年平均上昇率＋6.1％）
役員１人あたり給与支給総額 -
-
（単位：万円/人） （年平均上昇率＋6.1％）
補助事業に係る従業員数
170 205
（単位：人）</t>
  </si>
  <si>
    <t>1.長期成長ビジョン 大和鋼業株式会社
健全な財務基盤を構築し、持続的成長と従業員への還元を両立させながら、次の100年を迎えられる企業とな
ることを目指す。
長期成長ビジョン(目指す姿・ビジネスモデル）
外発的動機
〈目指す姿〉 • 物流の2024年問題への対応が業界全体で求められており、完成品
健全な財務基盤を構築し、持続的成長と従業員への還元を両立させ メーカーからも強い要望があります。今後の受注拡大を実現するには、
ながら、次の100年を迎えられる企業となることを目指す。 この課題に対応した体制整備が急務となっている。
〈ビジネスモデル〉 • 完成品メーカーの海外調達比率が上昇している状況であり、当該状
• 社長就任直後にリーマンショックを経験し、当時は歴史ある分だけ閉 況の中で競争力を維持・拡大するには、高付加価値化と生産性向上
鎖的で社員に積極性がない会社でした。特殊鋼材という勝てる分 の両立が不可欠である。
野に特化し、ランチェスター戦略(特定市場での集中戦略）で市場 • 日本の製造業が世界市場で競争力を維持するためには、従業員一
を拡大してきました。新工場の設立により、これまでの成長戦略を更 人ひとりの創造力と成長力が求められており、当該人材を育成すること
に発展させ、高付加価値化と生産性向上を実現を目指す。 が社会的責任として求められている。
• 新工場では、積み降ろし時間を減らす動線の確保や暑さ対策など
労働環境改善に取り組みます。また、鋼板加工に必要な新規設備
導入に加え、ピッキング自動倉庫を導入して生産性をさらに高める。
内発的動機
自社開発システムを活用する事で各工場が連携できる体制を構築
• 外注先からの依頼により買収した経緯があり、後継者問題、単体での
し、生産性向上と組織化を図る。
収益性と必要な設備投資額といった課題に対応していく必要がある。
• 人材育成・技術継承を体系的に進め、社員一人ひとりの成長を支
これらの問題は、当社にも置き換えることが出来るものであり、市場情
援するとともに、幹部社員を育成し、自立的な組織体制の構築を
勢を読みながら先行して設備投資や経営方針の見直しをする事で対
目指します。また、自社と外注協力企業の両方の業績向上を追求
応していく必要があると考えている。
し、共に成長することを目指す。
• 鋼板加工においても、工場の再編や見直しによる業務効率化・高付
会社全体の売上成長目標(～2030年度） 加価値化が求められており、他社との差別化を行うにはこれらの対応が
必要不可欠である。
• 売上高成長率+59.8％
• 売上高増加額+47.8億円 • 外注協力企業に依頼している売上が２割近くあるが、それらの外注先
会社全体の賃上げ目標 との取引を減らすことなく、当社の内製化を進めていくために高額な製
造設備と広大な工業用地が必要である。
• 4.3%(直近事業年度～基準年度）
• 7.5%(基準年度～事業化報告3年目） • 従業員の高齢化や技術の承継に課題がある。</t>
  </si>
  <si>
    <t>.補助事業の概要 大和鋼業株式会社
2
新工場建設により、物流問題と労働環境改善に取り組み、設備導入及び自動化によって生産性向上を図る。
これらを実現することで収益性向上と賃上げの実現を目指す。
補助事業の • 市場環境の変化への対応(変化のスピードUP、サステナビリティ、労働問題、物流問題） 事業費 億円
39
背景・目的 • 自動化及び生産性向上による収益性向上と賃上げの実現を目指す。 (補助額） (1 億円）
2
〈設備投資内容〉 ファイバーレーザー切断機
• 工場の建設
• ファイバーレーザー切断機
• ガス切断機
• ピッキング自動倉庫
• マシニングセンタ（鋼板加工設備）
〈当社の課題〉
設備投資の
• 業務効率化、人手不足解消、労働環境改善、
内容
物流問題対応、生産性向上への対応 NCガス切断機
〈課題解決策〉
• 工場の動線改善による積み降ろし時間削減及び暑さ対策を施した工
場の建設による労働環境改善・人手不足解消
• 最新設備導入及び自動化により生産性向上と省人化を図る。
(製造数量＋60％、省人化△30％削減）
2027年度 2030年度
項目
(基準年度） (基準年度＋３年後）
労働生産性 1,802
726
(単位：万円/人） (年平均上昇率＋35.4％）
目標値 従業員1人あたり給与支給総額 777
(単位：万円/人）
626
(年平均上昇率＋7.5％）
役員１人あたり給与支給総額
-
(単位：万円/人） - (年平均上昇率＋7.5％）
補助事業に係る従業員数 145
135
(単位：人） (増加人員＋10名）</t>
  </si>
  <si>
    <t>株式会社モリシタ
1.長期成長ビジョン
• 目指す姿は「便利で安心・安全なヒューマングレードを超えるプレミアム品質のペットフードを提供する」ことで、大切な家族の
一員であるペットの健康と飼い主の幸せに寄与する」こと。その取り組みを通じてコンソーシアム全体で、2030年度の会社全
体の売上高成長目標は301％、増加額は43億円、賃上げ目標は5.65％を目指す。
外発的動機
長期成長ビジョン（目指す姿・ビジネスモデル）
消費者ニーズの変化～「ペットは家族の一員」
【目指す姿・ビジネスモデル】
• 便利で安心・安全なヒューマングレードを超えるプレミアム品質のペッ • 近年、ペットを家族の一員として捉える価値観が浸透し、小型犬や
トフードを提供することで、大切な家族の一員であるペットの健康と 猫など室内飼育で飼い主と生活を共にするペットが主流となっている。
飼い主の幸せに寄与する。
ペットの高齢化・疾患の増加 社会課題
【長期成長ビジョン】 • 室内飼育の普及に伴い、アレルギー等の慢性疾患や高齢化により
日本の伝統的な食文化を世界に発信！ 介護状態となるペットが増加し、食事による健康管理の重要性が高
• ペットの食文化に無添加という価値を定着させ、ペットの健康寿命を延ばす まっている。
顧客ニーズ
ことで、人間とペットがより長く、安心して暮らせる社会の実現に貢献する。 国内におけるペットフード市場の拡大
• プレミアムな健康志向型フードに“だし”を取り入れ、より嗜好性の高いフー • 飼い主の意識の高まりを受け、国内におけるペットの飼育数は横ばい
ド作りを展開し、国内を足掛かりに、アジア・欧米を中心に海外市場に向け
だが１頭あたりのペットフード支出額は増加傾向。世界第２位の市
て、日本の伝統的な食文化を活かしたペットフードを提供する。
場規模を有する日本市場の中でもプレミアムペットフード市場は更な
ペットに合わせてカスタマイズのできるプレミアムペットフードの製造 る拡大が見込まれている。
創業者や経営者
• 現在は外部委託により製造を行っているが、今後さらなる品質・柔軟性を
内発的動機 の原体験
追求していくには限界がある。
• 自社工場を保有することで、外注では実現できなかったペットの種類・年齢・ ペットと飼い主双方の健康と幸せを支える企業を目指す思い
サイズ・嗜好、さらには輸出先の規制・嗜好に応じた個別設計が可能となる。 • 代表者は“株式会社モリシタでは仕入れられないもの”、“この世にま
• また、ドライ・冷凍・ウェットの製造設備により、嗜好性と栄養保持の両立が
だ、ないもの”を作ろうと株式会社ホワイトフォックスを設立。
できる。将来的にはペット１頭１頭の健康状態に合わせたオーダーメイドの
• その後自宅で飼い始めた愛犬は、消化機能が弱く、一般的なドライ
フードの提供を予定している。
のペットフードでは嘔吐してしまうような状況であった。そのため、自宅
コンソーシアム全体の売上成長目標（2023～2030年度） で犬のご飯の手作りを開始。「従来のペットフードを受け入れられない
• 売上高成長率 301％ コンソーシアム形式各社の合計数値 体質のペットも多いのでは？」、「毎日の手作りは大変だと困っている
• 売上高増加額 43億円 同じ悩みを持つ飼い主の助けになれば！」と手軽に使える安心・安
全なペットフードの開発を思い立った。
コンソーシアム全体の賃上げ目標 経営者の動機
• 1.17%（直近事業年度～基準年度） ペットと共に食卓を囲む新しい価値の提供
• 5.65%（基準年度～事業化報告3年目） • 「人間が食べても問題ない」から、「人間が食べても美味しい」品質の
⇒内訳：従業員 6.44％、役員6.00％
製品で新たなペットとの食事の価値観に基づいた市場を創出する。</t>
  </si>
  <si>
    <t>株式会社モリシタ
2.補助事業の概要
• 卸売業のノウハウを生かし、企画・製造・販売の一貫体制を持つメーカーベンダーへの進化を目指して、本
社・工場・自社物流倉庫機能を集約した拠点を新設する。
お客様のニーズに合わせ、柔軟かつスピーディーに応えていくため、本事業にて製造設備の新設と物 18億円
補助事業の 事業費
流拠点の整備・統合を行うことで、迅速かつ柔軟に自社で商品開発・製造が可能な体制構築と
（4.4億円）
背景・目的 （補助額）
機動的な物流、および機能集約による相乗効果の創出を目指す。
【完成イメージ図】
■本社・工場・物流倉庫機能を集約した施設を１か所に建設
・以下の点において現状のグループの事業体制の課題が解決・改善される。
【効率的な在庫管理】 在庫の移動が迅速かつ効率的になり、在庫管理の
精度が向上し製造・出荷計画を柔軟に調整できる。
【リードタイムの短縮】 製造⇒出荷までのプロセスが短縮され、納品が迅速に
なり、顧客満足度の向上に繋がる。
【コスト削減】 移動コストや二重管理コストが削減され、利益率が改善する。
設備投資の 【柔軟な労働力の配置】 製造・物流間での柔軟に人員配置により需要の変
内容 動に応じた労働力の最適化による労働生産性や各人の業務互換性が向上する
■拠点詳細
• １F：自動物流倉庫（モリシタ）
• ２F：ペットフード製造工場（ホワイトフォックス）
• ３F：本社機能（商品企画・開発）（グループ全体）
• 屋上：ドッグラン（地域のペットと飼い主に無料開放※）
(※)屋上の無料開放： 地域の飼い主との接点を創出し、当社グループおよび商品の認知度向上・ブランドイメージ強化を図る。来場者にアンケー
トや試供品モニターを依頼し、ニーズに関するデータを収集・分析することで商品開発やマーケティング戦略に反映させる
モリシタ ホワイトフォックス
項目 2027年度 2030年度 2027年度 2030年度
（基準年度） （基準年度＋３年後） （基準年度） （基準年度＋３年後）
労働生産性（万円/人） 855 1,232（年平均上昇率＋12.9％） 1,232 4,771（年平均上昇率＋57.1％）
目標値
従業員1人あたり給与支給総額（万円/人） 431 513（年平均上昇率＋6.0％） 529 630（年平均上昇率＋6.0％）
役員１人あたり給与支給総額（万円/人） - -（年平均上昇率＋6.0％） - -（年平均上昇率＋6.0％）
補助事業に係る従業員数（人） 21 25 8 13</t>
  </si>
  <si>
    <t>日本エア・リキード合同会社
1.長期成長ビジョン
産業ガスが社会的に貢献して以来、日本エア・リキードは100年以上にわたり社会に貢献しておりますが、さらに
持続可能な社会づくりに貢献できるものと考え、長期成長ビジョンを設定している。
長期成長ビジョン（目指す姿・ビジネスモデル） 外発的動機
• 産業ガスのリーディングカンパニーとして、持続可能な世界を作るた
• 持続可能な社会つくりに貢献するため、脱炭素化に積極的に貢献し
めの社会的貢献が必要不可欠。
てまいります。
○ 2035年までに2020年比で炭酸ガス排出量を33%削減。 • 顧客自身もSDGsと真摯に向き合い、サプライヤーを選ぶ基準にそ
○ 2050年までにカーボンニュートラルを達成。 の姿勢を問われるようになってきた。かつては価格を中心に比較され
• 持続的社会発展に必要な以下の分野へ注力し、産業ガスのリーディ ていたが、近年は環境面の評価もサプライヤー選択時の重要な判
ングカンパニーとして社会的責任を果たしながら、継続的な成長を 断基準の一つである。
目指します。
• 過酷な競争環境はより熾烈化し、集中と差別化がより高度に要求
⇒ エレクトロニクス、水素、ホームケア、食物、水処理、エネル
されるようになってきた。
ギートランジション、デジタル化
• コロナ禍以降、より安全で包括的かつ協力的な新しい働き方や人
• 従業員の多様性・包括性を推進し会社の基礎体力の強化行います。
材育成の方法が要求される環境になってきた。
• 世界中で地域的な安全保障上の課題が顕在化し、不安定化する
会社全体の売上成長目標（～2030年）
なか、産業のサプライチェーンの確立が喫緊の課題として強く認識さ
• 売上高成長率年93.0%(2024年度比)
れている。こうした背景の元、日本を含め、全ての産業の心臓部を
• 売上高増加額1,022億円(2024年度比)
担う半導体に関わる業界の勢いは、特にアジアにおいて顕著である。
会社全体の賃上げ目標
併せて、エレクトロニクス関連事業は、脱炭素・エネルギートランジ
• 2.5%（直近事業年度～基準年度）
ション・AI/デジタル化､地震や異常気象など災害時の生産の強靭
• 6.5%（基準年度～事業化報告3年目）
化といった世界的な課題の解決・対応にもソリューションを提供する。
• このため、当社の強みを活かした半導体産業の競争力強化を支え
これらの目標を達成するため、世界全体で以下のアクション(Advance)
ることへの強い期待の高まりを感じているところ。
を実行していきます。
• 半導体分野への重点的な投資を加速させます。
内発的動機
• 資本資源の有効活用を念頭にした投資判断を行います。
• 産業ガス業界の性格上、エネルギー依存度が高く、継続的な発
• 炭酸ガス排出量を投資判断の一つの基準とします。
展のためには脱炭素化は喫緊の課題である。
• 2025年から炭酸ガス排出量を具体的に減らしてまいります。2035年
• 多様性・包括性をさらに高め、国際企業である強みを最大化し、
までに33％削減）⇒ 再生可能エネルギー並びにNFFCを採用します。
国内競合他社との差別化を推進する必要がある。
• 国際企業である強みを生かし、国籍・性別を問わずに適材適所の人材
配置並びに能力開発に注力します。</t>
  </si>
  <si>
    <t>日本エア・リキード合同会社
.補助事業の概要
2
複数の拠点において、半導体製造工場向けに産業ガス供給設備や半導体材料製造設備の増強及び新設を行う。大型の産業ガス
供給設備を増設及び新設やガスの液化設備を新設することで、効率化を図り、製造能力の増強だけでなく、生産性の向上も見込む
補助事業の • 熊本県・広島県にて、半導体関連企業向けの産業ガス供給設備を最新鋭設備を用いて増 事業費 億円
203
背景・目的 強・新設し、日本製半導体の安定供給に貢献する （補助額） （50億円）
• 熊本/広島
• 空気分離装置
• タンク設備・供給設備
• 機械室建屋増築
• 事務所・製造用建屋
空気分離装置
• 熊本
• 水素製造装置
設備投資の • 水素充填場供給設備
内容 • 広島 液化設備 機械室建屋
• 液化設備
タンク設備
水素製造装置設備
項目 2027年度 2030年度
労働生産性 24,301
8,619
（単位：万円/人） （年平均上昇率＋41.3％）
目標値 従業員1人あたり給与支給総額(全事業所) 1,046
871
（単位：万円/人） （年平均上昇率＋6.5％）
役員１人あたり給与支給総額(全事業所)
（単位：万円/人） - -
補助事業に係る従業員数(全事業所)
244 269
（単位：人）</t>
  </si>
  <si>
    <t>高知食糧株式会社
1.⾧期成⾧ビジョン
当社は1953年設立。戦後の経済復興期に生まれ、高度成⾧期、バブル経済期、バブル崩壊からの平成不況、コロナ禍といった様々な時代の中、食品
卸会社として地域の食卓に豊かな食を提供してきた。近年「ペット事業」を加え、時代と共に変化する生きる「糧」を創造しつづけ、「やりがいと生きがいが循
環する世の中を創る」と言うビジョンを描き、地産地消で強固なバリューチェーンとして成⾧・発展する。
時代背景とミッションの変遷
バリュー ミッション ビジョン 2023年～ 2000年～ 1975年～ 1953年～
ひとつひとつの想いをつなぎ、 生きる糧をつくる やりがいと生きがいが
やりがい・生きがい 豊かさの追求 食の安心・安全 物不足の時代
普段の何気ない「しあわせ 循環する世の中を創る
生きる「糧」創造 生活文化の提案 食文化の提供 モノの流通
なひととき」を演出する
外発的動機
⾧期成⾧ビジョン（目指す姿・ビジネスモデル） 米価格が高騰し流通不安が発生
安心・安全、継続して安定的に食
現状・リスク・機会 あるべき姿
卓に届ける社会的使命を再認識
・米の流通不安 ・地域のサプライチェーン
精米工場・倉庫・配送など自動化
・農業者の減少 で食糧の安定供給
・人手不足、企業の ギャップを埋める ・地産地消の推進 で省力化を図り付加価値を高める
生産性向上 ・設備導入で手作業を無くし労働 ・循環型社会に貢献 ・令和の米騒動と言われる状況が発生
・物価高 生産性を高め人手不足を解消 ・地元資本の企業によ
・グループ会社のスーパー他、多くの量販店など受注が増加
・旧式の設備・物流 ・地元の川上・川下側と連携しサプ る経済牽引、地域の
・契約農家・農場等の状況は厳しく、高付加価値型商品の開発が必要
拠点という課題 ライチェーンの価値連鎖を図る 価値創造推進
・高知県内での地産地消を基本としており、高知県の食料自給率を高めたい
地方のハンデを克服し、地産地消で強固なサプライチェーンを構築! ・県外資本のサプライヤーが多く進出。
・陸の孤島と呼ばれる高知県。物流コストの問題があるが大手流通業が進出。 ・大手ＮＢ商品などが多くなり、地元産品の需要が衰退しつつある。
・地元の食品卸売業として、県内流通のバリューチェーン（価値連鎖）を高める。 ・1次産業者の高齢化、耕作放棄地の増加など。
・最大のボトルネックは当社の精米工場・物流センターの生産能力・効率化。
生産・保
（精米工場は2.６倍の生産能力、倉庫容量拡大、自動化を徹底） 新たな 賃上げ 設備導入 人に頼り 生産能 需要は
・地元農家・農場など川上側の産地開拓力、商品開発力という強みを活かす 管量増大
価値創造 実現 で自動化 非効率 力の限界 増加
・グループ会社のスーパーなど販売拡大は可能・・・（需要に対応出来ない状態） 省力化
・地元資本の企業による経済牽引、地域の価値創造推進
内発的動機
会社全体の売上成⾧目標（2035年）
・高知県内のサプライチェーンを構築しているが、その価値連鎖を高めたい。
売上高:２００億円企業をめざす
・大手ＮＢ商品などに負けない商品開発を生産者と共に行いたい。
• 売上高成⾧率: 8.9％ ・精米工場の人手による作業が多く、非効率。生産能力も追いついていない。
• 売上高増加額:126億円 ・機械化（自動化）が出来ていないため人手に頼るしか無い状態。
会社全体の賃上げ目標（給与支給総額伸び率） ・従業員の作業が過酷。残業、夜間交代制で人手によるフル稼働状態。
・人手不足で人員確保が困難。
• 1.5%（直近事業年度～基準年度）
・従業員の単純作業を減らし、働きがいのある高付加価値業務にシフトしたい。
• 6.6%（基準年度～事業化報告3年目）
・安定的に成⾧発展してきたが、食の流通業として地元の期待に応えたい。</t>
  </si>
  <si>
    <t>高知食糧株式会社
2.補助事業の概要
地域の食を支える企業として、総合的な流通の核となる拠点を整備する。本社敷地内スペースに新精米工場を設け自動
化設備による省力化を推進。他の卸売食品を含めた倉庫・配送も自動化を図る。これらの機械設備をＦＡシステムで統合
管理し、人手による作業を削減することで労働生産性を高める。省人化での人材は高付加価値部門に配置。
収益は拡大しているが生産能力は限界。人の作業が多いが人手不足は深刻。設備導入で省力化を図
事業費 17億円
補助事業の
ることが課題。製造・物流両面に先端設備を導入し人の単純作業を削減。過酷な作業→高付加価値
（補助額） （5.4億円）
背景・目的
型業務という従業員ニーズも実現させ、大幅な賃上げを実現。強みであるライスラボ(研究室)のデータを
活用した適正な商品精査と新商品開発で地域サプライチェーンの価値創造につなげることが目的。
本社隣接の精米工場、倉庫、配送センターを全面的に再構築
• 駐車スペースに精米工場を新設し生産能力を拡大する。
• 隣接する倉庫を全面改修し自動化を図る。
• レイアウトを変更し徹底的な省力化・省人化と作業効率改善を図る。
（全ての取扱い商品の効率的配置、ピッキング、など）
• 全てを統合するＦＡシステムを導入
新精米工場新築＋倉庫改修:16.1億円
設備投資の
物流効率化設備導入+新事業:3.8億円（基準年度～3年以内:補助対象外）
内容
【効果について】
上記の通り作業負担を徹底削減するためセンター自体の省力化は多大。
当社は米穀を含む食品全般の卸業で、労働集約的な小売・飲食・ペットショップ
も展開しているが、会社全体の労働生産性としても15.1％上昇と高い効果。
よって、高い給与支給総額の伸びが得られる。省力化・省人化により得られた人
員は高付加価値部門での配置転換を予定。「歩留まりの向上」といった収益性
にも貢献して頂く。更に基準年度＋３年後まで継続的な追加投資を行い物効
率化設備の導入、新事業（パックごはん製造）に取組み成⾧・発展する。
2027年度 2030年度
項目
（基準年度） （基準年度＋３年後）
労働生産性 523万円
344万円
（単位:万円/人） （年平均上昇率＋15.0％）
目標値
従業員1人あたり給与支給総額
257万円
307万円
（単位:万円/人） （年平均上昇率＋6.1％）
役員１人あたり給与支給総額
-
-
（単位:万円/人） （年平均上昇率＋4.6％）
補助事業に係る従業員数
330 336
（単位:人）</t>
  </si>
  <si>
    <t>有限会社ホテル十勝屋
1.長期成長ビジョン（現在の事業概要）
当社は、北海道帯広市に創業しホテル事業を中心に経営している。宿泊事業においても新形態の宿泊施設に
チャレンジし、宿泊事業以外の拡大も積極的に行い、地域振興に向けた活動を広く行っている。
【会社概要】
【企業理念】
企業名：有限会社ホテル十勝屋
所在地：北海道帯広市西三条南10-14 お客様に愛されるホテルを創る
創業：昭和39年 設立：昭和53年 お客様への感謝の気持ち×おもてなしの心
従業員数：139名
ホテル事業 売上80％
その他事業 売上２０％
十勝帯広エリア 3施設 札幌エリア 2施設
• 十勝ガーデンズホテルのシェフが手掛ける
① 十勝イン:帯広駅近くで繁華街近くにある昭和54年からある老舗ホテル
お弁当事業
十勝帯広 ② 十勝ガーデンズホテル:帯広駅の目の前と好立地。最も客室数稼働率が高いホテル
• ポテトけんぴなど十勝名物を使った物販事
③ レイク・イン:キャンプ場、天然温泉を併設した隠れ家的リゾートホテル
業
④ GARDENS CABIN:札幌の繁華街にあるキャビン型の簡易宿所形態の施設
札幌 • テナント収入など
⑤ GARDENS STAY:ビジネス、観光、コンサートなどのイベントに便利なサウナ施設付きホテル
物販事業
②十勝ガーデンズ ③湯宿くったり温 ④GARDENS ⑤GARDENS 旬菜お届け弁当
①十勝イン Brand New
ホテル 泉レイク・イン CABIN STAY けやき
Tokachi
ホテル事業においては、施設平均の稼働率は80％越えと高い。札幌エリアのインバウンド需要を見据えて札幌エリアにも進出し売上向上をしてきた。
2018年から新社長が就任し、積極的に新規事業も行い、ホテル事業以外の事業拡大も積極的に行っている。地産地消の食材を使ったお弁当事
業やコロナ禍には十勝の魅力を自社から発信するための商品開発を行い自社のブランド力向上しながら、宿泊以外でも他社との差別化を行ってきた。</t>
  </si>
  <si>
    <t>有限会社ホテル十勝屋
1.長期成長ビジョン
帯広市において、インバウンド需要をはじめとした観光誘致は課題となっている。特に通過型から脱却するために観光の拠点となる
宿泊施設の充実は欠かせない。当社が帯広十勝エリアのシンボルとなる宿泊施設へ成長することで、観光客におけるエリア内の
滞在時間を長くし、地域経済の活性化に大きく貢献していく。
外発的動機
長期成長ビジョン（目指す姿・ビジネスモデル）
• 外国人観光客の取り込み
• ブランド力のさらなる強化：帯広市のシンボルとなる宿泊施設へ 帯広エリアの観光時の特徴として、通過型で消費行動も少ないため、
施設の充実とサービスの充実をすることで、幅広く宿泊者のニーズを満 「十勝モデル」を創出し滞在時間を増大させることが官民ともに課題と
たすホテルへと成長する。それにより当社の宿泊施設としてのブランド なっている。また、とかち帯広空港に海外直行便が就航されたことからイ
力を強化していくことで、相乗効果により全施設の稼働率・単価を向 ンバウンド需要拡大が見込め、追い風となっている。
上させていく。 • 近隣企業の動き
• 帯広市のインバウンド需要拡大要因となる拠点へ 新ホテルのオープン、リニューアルが起きているため、更なる優位性の発
観光資源が豊富な北海道において、帯広市におけるインバウンド需 掘が必須である
要の獲得は当社のみならず、帯広市全体の課題でもある。当社を • ビジネスチャンス
中心として、帯広市の魅力発信し、当社宿泊施設を観光拠点として 北海道における安定したビジネス利用の多さ
利用してもらうことで帯広市の更なる経済活性化に貢献していく 豊富な観光資源による観光客の獲得と付加価値を高めることでサービ
ス単価を向上させることが必要
• 帯広市内の観光産業の更なる発展への貢献
当社が積極的に十勝エリアの企業と連携していき、帯広市の魅力 内発的動機
発信と集客に貢献する。それにより相乗効果が生まれ、帯広市を中
• 安定したビジネス客の利用によりコロナ禍の影響は同業他社と比べ
心とした十勝エリアにおける観光資源の活性化に貢献していく。
て最小限にできたため、積極的な投資が可能。
• 客室数の増加と老朽化施設の改善を行うことで、競争力強化を図
りたい
会社全体の売上成長目標（2030年度）
• 遊休地の土地活用を行い、帯広市中心エリアの更なる活性化に
• 売上高成長率280.3％ 貢献したい
• 売上高増加額35.6億円 • 地域振興のために様々な会に積極的に関与
会社全体の賃上げ目標 「十勝サウナ協議会：会長」「十勝インバウンド誘客推進協議会：
• 1%（直近事業年度～基準年度） 参画」「帯広コンベンション協会：理事」を兼任し地域活性化に意欲
• 7%（基準年度～事業化報告3年目） 的
• 地元老舗ビジネスホテルとして、地域№１の稼働率を誇る</t>
  </si>
  <si>
    <t>有限会社ホテル十勝屋
1.長期成長ビジョン
帯広十勝エリアの特徴として、経済都市なため平日はビジネス利用が多く見込める。同エリアは空港、鉄道、高速道路すべての移動手段でアクセスが
容易であり、観光資源も多くある。そのため、いかに滞在時間を長くしてもらえるかがカギとなるため、宿泊施設の充実が欠かせない。また、地域企業と
連携して観光誘致の協力ができる当社のような老舗ホテルだからこそ地域活性化ができる宿泊施設を運営できる。
インバウンド需要と国際観光の多様化
■北海道内において、インバウンド需要は拡大傾向 ■十勝帯広エリアとしての課題
北海道内における外国人観光客はコロナ前を超え 外国人観光客が道央圏に集中しており、取込が必要
※外国人観光客数：3188万人（2019）⇒3678万人（2024） ※外国人観光客：16.3万人（2019）⇒14.5万人（2024）
※北海道運輸局より ※北海道経済部より
■十勝インバウンド誘客推進協議会が発足 ■とかち帯広空港の国際線直行便就航
2024年より発足し、十勝エリアにおけるインバウンド需要獲得に向けて、 韓国の清州の直行便が初めて就航
地域企業と自治体と連携して誘客施策を積極的に実施予定 外国人観光客の増加が見込める
デジタル化スマートテクノロジーの進化
■チェックインの自動化
■人材不足への対策
負担の大きいチェックイン、チェックアウト時の顧客対応の自動化することで
宿泊業界全体として、人材不足となっている。
大幅な70％以上生産性向上が見込める
人材不足解消のために、デジタル化を活用した業務負担軽減が課題。
（８ｈ×4名+４ｈ×2名）⇒（８ｈ×1名+４ｈ×1名）
帯広十勝エリアの特徴
■北海道内における経済都市 ■豊富な観光資源
北海道の耕地面積22％を占めるなど第一次産業が盛んである。また食 世界唯一のばんえい競馬、十勝牧場や三国峠など自然景観
品製造業も多く十勝ブランドの商品展開をしている大手企業も多い。ま 六花亭や花畑牧場等の名産品が多くあり、空港、鉄道、高速道路もあり
た農業用機器や産業用機械などの製造業も盛んな経済都市である。 アクセスが良く、観光しやすいエリアである。
地域経済への貢献
■目指す姿 ■必要な対策や課題
十勝帯広エリアにおける観光拠点となる宿泊施設へ 全国チェーンホテルとの差別化
地域企業と協力を行い、観光資源の更なる活性化への貢献 宿泊施設の高付加価値化、デジタル化による生産性向上
帯広市におけるシンボルとなる宿泊施設へ 地域企業とのさらなる連携とプロモーションの強化</t>
  </si>
  <si>
    <t>有限会社ホテル十勝屋
.補助事業の概要
2
当社の課題並びに帯広市内の観光産業における課題解決のために、客室数を増大させた最新の宿泊施設を建設する。それだ
けでなく、従業員の生産性向上となるようなDX化設備を積極的に導入を行う。それにより、従来よりも大幅な売上増加に加えて、
労働生産性も大きく向上することが可能となる。
• 繁忙期は満室となることから機会損失も発生している。現状よりも客室数を増大する必要性がある
• 客室増加だけでなく、施設充実も合わせて行うことで利用客増加が見込めると考えた
補助事業の 事業費 4 5億円
• 地元企業である社会医療法人博愛会所有の市内中心地の土地活用を共同で行うことで、帯広中心
背景・目的 街の活性化を図る （補助額） （1 3 億円）
• 客室増加に対応できるように、業務負担軽減を行い生産性を向上させる
• 8階建て180室のホテル新設
ベッドはダブルタイプ、最上階に展望大浴場（サウナ、露天風呂も併設）、地産地消にこだわった
朝食を提供することで、宿泊施設三大要素３Bを全て他社に負けない施設クオリティへと高める。
• 立体駐車場の新設
最大規模の宿泊施設となり、宿泊者の駐車スペースの確保も必要となるため新たに立体駐車場を
建設する。駐車場スペースの問題による機会損失を無くすことでさらなる稼働率向上も見込める。
設備投資の
駅近でもあるため、宿泊者だけでなく近隣住民や周辺施設利用者も活用できるようにすることで
内容
宿泊者が利用しない日中の稼働も高めることが期待できる。
• 全施設のDX化
キャッシュレス、多言語対応の自動チェックイン機を導入することで、チェックインアウト時の顧客対応
の業務負担を軽減させ、大幅な宿泊者増加にも対応できる体制を確立する。 新ホテルイメージ
その他、PMS、RPAやAIコミュニケーションツール、各種ロボットの導入により全館のDX化を促進させ、 十勝イン
効率的な施設運営を図る。
2027年度 2030年度
項目
（基準年度） （基準年度＋３年後）
労働生産性
（単位：万円/人）
949 2496（年平均上昇率＋38.0％）
目標値 従業員1人あたり給与支給総額
（単位：万円/人）
396 486（年平均上昇率＋7.0％）
役員１人あたり給与支給総額
（単位：万円/人）
- -（年平均上昇率＋7.0％）
補助事業に係る従業員数
78 90
（単位：人）</t>
  </si>
  <si>
    <t>有限会社ホテル十勝屋
.補助事業の概要
2
ホテル建設の周辺環境と補助事業のきっかけとなった社会医療法人博愛会との連携について下記に記載を行った。当社が帯広
駅の繫華街の中心に位置しているため、経済的波及効果が高く見込め、地域企業と連携した取り組みができる
【藤丸百貨店】
【社会医療法人 博愛会 所有地】
地元資本の百貨店が2023年に122年の歴史に幕を閉じ、
北洋銀行帯広支店跡地1,500㎡（現在更地）
中心地の交流人口が減少。
市内中心地活性化を目的として博愛会と連携し、博愛会
現在、人流増加に向けた
所有地に日帰り入浴可能な展望露天を完備した宿泊施
再開発が予定されており、
設を当社が建設。
2030年を目途に
リニューアルオープン予定。
博愛会は、医療機関や、
飲食店などが入る複合施設を
【当社所有地】
建設する。(博愛会の事業は
大型テナントビル跡地 1,000㎡（現在更地）
本補助事業対象外で実施)
市内中心地活性化に向け、老朽化が進んでい
たテナントビルを2024年に取得し、2025年3月
【完成イメージ】 に解体工事が完了。
広場を大きく作る 当社が立体駐車場を建設し、宿泊利用者の利
ことで、人々が集 用並びに近隣施設利用時の駐車場として提供
いやすい環境を する。
提供する。 将来的には、藤丸
利用者への駐車場
サービスの提携も行
う予定。
帯広駅から藤丸百貨店までを中心に繁華街として栄え、その東西に飲食
帯広駅
店が多く立ちならんでいる。
徒歩6分
【ホテル周辺の豊富な飲食店などの観光施設】
当社のホテル建設予定地は繫華街の中心に位置する。社会医療法人博
• 六花亭 帯広本店
愛会と連携して繁華街の活性化のためにも、人流が活発化するような施
• カレーショップインデアンまちなか店
設の建設を考えた。当社が宿泊施設として市外からの人流増加を見込み、
• 北の屋台
博愛会が医療施設を中心とした複合施設にすることで、市内の人流増加
その他多数の飲食店あり、宿泊時の経済効果が見込める
を見込み、相乗効果で市内中心地の人流増加により、繁華街の活性化
を考えている。</t>
  </si>
  <si>
    <t>株式会社ティーケーシン
1.長期成長ビジョン
当社は売上高100億円越え を目指し、足元需要が拡大している冷凍おせち市場の強化および、
（2030年4月期）
持続的な収益獲得のために、冷凍食品の最適な製造体制の構築、海外への販路拡大を目指す。
長期成長ビジョン（目指す姿・ビジネスモデル） 外発的動機
◼ 冷凍おせち市場の拡大
◼ 目指す姿：～世界の食卓を豊かにする～
おせちは「つくる」から「買う」時代へシフト。 ECサイトによる販売増加に
⚫
◼ ビジネスモデル より冷凍おせちの需要は拡大
✓ 冷凍おせち事業の拡大・高付加価値商品の製造拡大 ⚫ おせちの種類が多様化
当社のおせち事業（売上高）は冷凍おせち事業を中心に2020年 - 若者のおせち離れを防ぐための推しおせちや、インバウンド需要や高
⚫
から2024年にかけてCAGR13.1%で成長。他社の事業撤退や縮 級志向ニーズへ対応したフレンチおせち、中華おせちがトレンド
小、おせちをつくる家庭の減少、ECサイトの発展により、シェアを順調 ⚫ 小規模事業者は事業撤退や縮小が進行
に拡大。直近、冷凍おせちの需要増加に対し、現在の生産設備では ◼ 冷凍食品市場の拡大
生産能力が不足するため、設備投資の実施が急務。 ⚫ ECサイトの普及やコロナの巣ごもり需要増で、冷凍食品市場が拡大
一方で、少子高齢化により国内市場は長期的には成長が伸び悩む ⚫ 冷凍弁当・冷凍和惣菜は仕出し弁当製造事業者の衰退により引き
ことが予測されるため、日本食ブームが発生している海外での早期市 合いが増加
場開拓、高付加価値商品の開発によるコスト構造の改革が必要。 ⚫ 冷凍スイーツは函南町のふるさと納税への協力の引き合いがある
世界におせち文化の浸透を目指す。 ◼ 海外での日本食ブーム
海外で日本食の人気が高まっており、ホテル・百貨店などから海外向け
⚫
✓ 冷凍食品事業（弁当・スイーツ）の強化
の冷凍おせち・弁当・和惣菜の引き合い・OEMの相談が増加
おせちの製造は4月から12月に行われており、1月から3月までは工場
⚫
が未稼働。おせちの製造が出来ていない期間を有効活用するとともに、 内発的動機
引き合いが増加し、市場が急速に伸びている冷凍食品（弁当・ス ◼ 国内外の需要に応える
イーツ）の製造を強化し、企業として持続的な成長、通年を通した売 当社は明治38年の創業以来、食を通じお客様の想いを形にしており、
⚫
上の創出を目指す。 今後もこれまでに積み上げてきたノウハウを活用して、お客様のニーズ
（高付加価値のおせちの開発、冷凍弁当・冷凍和惣菜・冷凍スイー
✓ 労働生産性・収益性の改善
ツ販売など）に応えたい
補助事業により省人省力化の設備を整備し、抜本的な生産環境の
⚫
また、日本の食文化を海外に広めることで社会に貢献したい
改善、コストの見直しを行うことで、利益率を大幅に向上する ⚫
◼ 企業としての持続的な成長
会社全体の売上成長目標（2030年4月期：売上目標112億円） ⚫ 当社の冷凍おせち事業はCAGR13.1%で成長しており、現状のまま
• 売上高成長率：16.3％ では市場の需要に対して供給が追いつかないため、設備投資による増
• 売上高増加額（2025年4月期から2030年4月期）：+50.6億円 産体制の構築が急務になっている。また、主力である冷凍おせち事業
会社全体の賃上げ目標 は現在は好調ではあるものの、国内事業においては長期的（10年
• 1.7%/年（直近年度～基準年度） 後）には、市場成長が鈍化する見込みのため、需要が見込める海
• 従業員：6.8%/年、役員：6.5%/年（基準年度～事業化報告3年目） 外への展開、市場が伸びている冷凍食品（弁当・和惣菜・スイー
ツ）事業の拡大を進めていきたい</t>
  </si>
  <si>
    <t>株式会社ティーケーシン
.補助事業の概要
2
補助事業により冷凍おせちおよびその他冷凍食品の生産能力を強化し、通年で工場を稼働できる体制を構築
する。また現在はほぼ手作業の工程を自動化することで、労働生産性の向上、6.8%/年の賃上げを目指す。
◼ 本補助事業では冷凍おせち・弁当・スイーツの需要増への対応・工場の最適な生産体制の構築により、企業としての持 事業費
続的な成長を目指すため、これらの生産体制の強化を行う。 （補助額）
現在、当社の冷凍おせちの引き合いは増加しているが、生産設備の不足により機会損失が発生。また、ホテル・百貨
⚫
補助事業の 店・自治体などから冷凍食品の生産に関する製造の相談が来ているものの設備が不足し、需要に応えられていない 億円
21
背景・目的 おせちは季節商品であり、1～3月は工場が未稼働なため、工場を通年で稼働できるようにしたい （5.0億円）
⚫
◼ 増設した工場には、AIやIoTを活用した設備や大量生産可能なラインを積極的に導入することで、労働者の負担を減ら
すとともに生産能力を高め、労働人口の減少に対応するとともに、収益の向上を目指す
現在、おせちやスイーツは手作業での作業がほとんどで、自動化への対応が急務
⚫
◼ 概算費用内訳
建物の新設：5.1億円
⚫
製造設備：9.9億円
⚫
◼ 設備投資の内容
冷凍おせち・冷凍スイーツ、冷凍弁当の生産体制の強化
⚫
設備投資の - 現在引き合いが来ている国内外の需要へ対応可能
内容 ◼ その他に、見込める効果
作業の自動化による労働者への負担軽減、生産性の向上
⚫
- 現状より生産量は5倍に対し、人員増加は約2倍での対応が可能
収益性の向上
⚫
- 工場の通年稼働、大量生産が可能になり、労働生産性の向上、コスト削減
が見込まれる
2027年4月度 2030年4月度
項目
（基準年度） （基準年度＋３年後）
労働生産性
956
2,159
（単位：万円/人） （年平均上昇率＋31.2％）
目標値
従業員
（
1
単
人
位
あ
：
た
万
り給
円
与
/人
支
）
給総額 349
（年平均上
4
昇
2
率
5
＋6.8％）
役員１人あたり給与支給総額
- -
（単位：万円/人）
補助事業に係る従業員数
44 98
（単位：人）</t>
  </si>
  <si>
    <t>株式会社ライト製作所
1.⾧期成⾧ビジョン
精密メカトロニクス技術を強みとし、医療機器・半導体製造装置の発展を通じて、世界の人々の健康と幸福に
貢献し、売上高160億円(現状の2倍)を目指して地域の雇用創出と持続的な賃上げを実現する
⾧期成⾧ビジョン（目指す姿・ビジネスモデル） 外発的動機
精密メカトロニクス技術を強みとして、売上高160億円を実現 【医療機器事業】
• 世界的な人口増加・高齢化に伴い、医療機器へのニーズが増大
 医療機器・半導体製造装置の発展を通じて世界の人々の健康と幸
• 医療機器事業の国内取引先は拡大する海外市場でのシェア獲
福に貢献する
 補助事業を通じて、事業基盤を強固にし更に医療事業へ投資を行 得を目指しており、当社に対して大幅な増産要請を行っている
い事業規模を現在の約2倍の160億円へ成⾧させる • 海外メーカーからの引き合い、取引も拡大している
【半導体製造装置事業】
補助事業
• 半導体市場は上昇局面に移行する見込みで、これまでの継続的
 本補助事業では、医療機器事業の製造拠点において、新工場の建
な投資の成果により売上高の増加が見込まれる
設と工程の効率化を行い、さらなる拡大を図る
 生産能力の増強と生産効率の向上を両立させることで労働生産性
の飛躍的な向上が見込まれ持続的な賃上げを実現する 医療機器事業における取引先からの増産要請と
世界的な人口増加に伴うさらなる海外展開の可能性
現在の状況
 当社は大きくわけて医療機器の開発・製造と半導体製造装置の開 内発的動機
発・製造の2つの事業を展開している
• 当社は70年以上の間、医療機器市場において安定的に事業成
 半導体製造装置事業は継続的な設備投資を行っており、景気動向
⾧を続けており、生産体制を充実させ、今後より一層、世の中の
の回復に伴う増産体制の整備が完了している
人々の健康に貢献したいと考えている。
 医療機器の受託開発・製造事業は製造拠点の老朽化が深刻で取
• 当社の主力事業である医療機器事業に係る製造拠点は設備の
引先からの増産要請にも対応することができない
老朽化等が深刻化しており、これ以上の拡大は難しい
※2023年度とは 2023年度 2026年度 2029年度 • 半導体製造装置事業への継続的な投資と合わせ、2027年度ま
2024年6月期決算 (直近年度) (基準年度) (最終年度)
でに会社全体の売上高100億円の実現を目標としている
売上 76億円 95億円 160億円
• 医療機器事業へ大規模な投資を行っていくことで、売上高100億
営業利益 0億円 8億円 40億円 円の実現だけでなく、その先の成⾧を目指す
付加価値額 28.2億円 39億円 79億円
売上高100億円のその先の160億円への成⾧を目指す
賃上げ率 ー 2.0~3.0% 6.0%</t>
  </si>
  <si>
    <t>株式会社ライト製作所
2.補助事業の概要
宮城工場、青森工場に新建屋を建設し生産効率の向上を図ることで、医療機器事業の生産能力を2倍に増強し、
国内医療機器メーカーからの増産要請への対応と海外医療機器メーカーへの製品提供も展開・拡大する
• 医療機器事業において、複数の取引先メーカーから増産要請を受けているものの製造工場の老朽化が深刻
6
補助事業の 化しており対応することができていない 事業費 6億円
背景・目的 • 本事業では、医療機器事業に係る製造工場の生産能力を大幅に増強することで増産要請への対応だけでな （補助額） （16億円）
く、新規取引先への供給も目指す
• 本事業では、医療機器事業に係る製造工場の生産能力を増強し、主要取引先からの増産要請に対応するとともに、新規取引先を含め、高付
加価値な製品を安定的に供給する
実現する
内容 • さらに当社グループの中国法人に対しても製品の供給を行うことで、さらなる事業拡大を図る
• 上記を実現することで労働生産性の飛躍的な向上を図り、持続的な賃上げによる従業員への還元を行う
• 宮城工場は加工組立一貫生産ラインの生産能力を2倍に増強する
• 15,500㎡の新建屋を建設し、工場面積を現在の2倍に拡大させ、新建屋には最新の生
宮
産設備を導入して生産効率の向上を図る
城
• 開発エリアを充実させ、製品開発に使用する設備も設置し、開発・設計スピードを上げて高
工
付加価値の製品を開発できる体制を整備する
場
設備投資の
• 旧建屋では自社製品である眼鏡検査機器の製造ラインを再構築することで生産効率の向
内容 上と生産能力の増強を図る
• 青森工場は小物部品の製造工場としてグループ全体に精密部品の供給を行うことに加え
青 て、周辺地域の取引先から新規受注も積極的に行う
森
• 具体的には2,000㎡の新建屋を建設し工場面積を現在の2倍に拡大させ、新建屋は保温
工
性の高い構造にすることで精密部品加工が可能な環境を構築する
場
ライトグループ全体 ライト製作所（申請者）* 青森ライト 東北ライト製作所
目標数値
2026年度 2029年度 2026年度 2029年度 2026年度 2029年度 2026年度 2029年度
労働生産性 556万円/人 1,281万円/人 5,916万円/人 25,437万円/人 440万円/人 644万円/人 403万円/人 708万円/人
405万円/人 511万円/人 422万円/人 398万円/人
従業員1人あたり給与支給総額 339万円/人 429万円/人 354万円/人 334万円/人
（年平均＋6.0％） （年平均＋6.0％） （年平均＋6.0％） （年平均＋6.0％）
- -
役員1人あたり給与支給総額 - - - - - -
（年平均＋6.0％） （年平均＋6.0％）
補助事業の従業員数 368人 416人 10人＊ 10人＊ 63人 79人 295人 327人
＊ライト製作所本社在籍で東北ライト製作所に勤務する海外実習生+指導者</t>
  </si>
  <si>
    <t>.長期成長ビジョン さくら不動産株式会社
1
白馬村での長期滞在型のインバウンド需要対応で培ったノウハウを長野県全域に波及し、地元企業として受け
入れ体制を整えることで、観光産業発展・地域経済の地産地消に貢献したい。
外発的動機
長期成長ビジョン（目指す姿・ビジネスモデル）
①インバウンド観光市場の拡大
• 白馬で培った長期滞在型コンドミニアムの運営ノウハウを活かし、 • インバウンド観光市場は今後大幅な成長が見込まれており、特に
長野県全域への展開を進め、大規模な投資を加速する。 白馬村においては今後更なる成長が期待できるエリアと見込んでい
• 特に松本市エリアは松本城や上高地、塩尻市エリアは奈良井宿と る。この需要を取り込みつつ、長野県全域における需要も取り込ん
いったインバウンド向けの魅力的な観光資源が豊富で、高い成長 でいきたい。
ポテンシャルを有している。 ②持続可能な観光地づくり、駅前開発の必要性
• 長期滞在型コンドミニアムは、既存の短期滞在型宿泊施設とは • 白馬村で長年事業を営んできた地元企業として地域のポテンシャル
ターゲットが異なるため競合せず、むしろ相乗効果によって観光客 を引き上げていくことや持続可能な観光地づくりが期待されている。
の滞在期間を延ばし、観光消費額の増加や地域のポテンシャル向 • 白馬駅前は再開発が進んでおらず、地元企業として取り組みたい
上に寄与していきたい。 他、沿線利用の促進や観光客の受入体制整備は地域を挙げての
• インバウンド観光市場が急速に拡大する中、受け入れ体制の整備 課題となっている。
は重要な課題となっている。このような背景を踏まえ、2029年度ま
でに長期滞在型の高級コンドミニアムを長野県内に新たに5棟建
設する計画を進める。
内発的動機
会社全体の売上成長目標（～2029年度）
①長野県や白馬村の活性化に貢献したいという思い
• 売上高成長率19.0％（年平均成長率）
• 不動産や宿泊といった当社ができる事業を通して、生まれ育った長
• 売上高増加額52.9億円（直近事業年度比285%）
野県や白馬村に事業を通して貢献したいという思い。
注）直近期～事業化報告最終年度のコンソーシアム合算で記載
• 白馬村のポテンシャルを活かしたスキー場での「地元資本による高
会社全体の賃上げ目標 級コンドミニアム」は成功実績がある。
（直近事業年度～基準年度）
• さくら不動産㈱-0.53％ ②賃上げや更なる大規模投資の契機としたい
• The Hakuba Company㈱＋1.02% • 補助事業を通じて白馬村でのブランドイメージを確立し、長野県内
（基準年度～事業化報告3年目） 全域での大規模投資にステップアップしたい。
• コンソーシアム合計+7.8% • また、地域に貢献したいという人材採用を強化し、大幅な賃上げに
注）従業員1人あたり給与支給額の年平均成長率を記載 もチャレンジする契機としたい。
コンソーシアム合算で記載、直近事業年度～基準年度は２名の従業員から役
員への登用の影響で一部マイナス表示となっている。</t>
  </si>
  <si>
    <t>.長期成長ビジョン さくら不動産株式会社
1
「地域に根差し未来を創る」
国内外の富裕層を惹きつける独自のコンドミニアム・ブランドを確立。地元企業との連携による成長モデルを展開。
～2030年
スケール展開
～2027年
ブランド確立 • 補助事業を通じて得られた駅前開発及び運
～2025年
営ノウハウを長野県の他地域へ波及
基盤構築 • 補助事業を通じて、当社では初となる駅前のコ
• 具体的には、松本エリアの５ヵ所でコンドミニア
ンドミニアムによる再開発を実現させ、白馬村ブ
ム開発のプロジェクトを計画。
ランドとして確立
• 白馬にて長年の不動産取引実績を重ね、地
域に根差した企業としての基盤を構築 • 高稼働と顧客体験の改善を通じてブランド価
値向上
• 国際ゲレンデ前においてコンドミニアム建設のプ
ロジェクトを実施 • SNSやインフルエンサー活用により海外プロモー 不動産取引業 コンドミニアム
ション
• 観光客受入のための宿泊関連のサービスを提
供できる体制を確立
× ×
不動産取引業 コンドミニアム 地域課題解決
地域課題解決
不動産取引業
白馬駅前再開発という当社における 事業を通じて地域の課題解決、地域雇用の促進、
コンドミニアム
ビッグプロジェクトを計画 地域経済活性化に貢献できる企業へとスケール
不動産取引業から始まり、コンドミニアム業を生み出し コンドミニアムによる再開発とインバウンド需要対応の 横展開を図りつつも、更なる知見を積み上げることで
基盤を作った時期 新たなモデルを確立する時期 「地域に根差し未来を創る」という理念を実現</t>
  </si>
  <si>
    <t>.補助事業の概要 さくら不動産株式会社
2
白馬駅前再開発を長期滞在型コンドミニアム建設という形で地元企業が担うことで、インバウンド需要の取り込
みを実現。駅前利便性向上、景観への配慮、地域に経済波及効果が拡がる事業運営を目指す。
補助事業の • 白馬駅周辺における長期滞在型施設の整備を起点とし、インバウンド観光における地域共生 事業費 11 億円
背景・目的 型宿泊の先進モデルとして、今後の長野県全体への横展開を視野に入れた取組である。 （補助額） （ 億円）
2.7
さくら不動産㈱（幹事企業）
主な役割：不動産開発、プロパティマネジメント、地域連携、バックオフィス
• 長期滞在型コンドミニアム（14億円）11室＋店舗＋事務所）
（敷地面積2,348㎡、鉄骨造4階建）
それぞれの得意領域に合った投資を行い、
高付加価値な長期滞在型コンドミニアムのモデルを構築
設備投資の
内容 The Hakuba Company㈱（コンソーシアム参画企業）
主な役割：コンドミニアム運営、人材教育、DX推進
• バイリンガルAIコンシェルジュ、AIによるパーソナライズ観光レコメンド構築、
デジタル観光マップアプリ（1億円）
• AI自動チェックイン機、清掃ロボット（0.1億円）
コンソーシアム合計 さくら不動産㈱ The Hakuba Company㈱
項目 2026年度 2029年度 2026年度 2029年度 2026年度 2029年度
（基準年度） （基準年度＋３年後） （基準年度） （基準年度＋３年後） （基準年度） （基準年度＋３年後）
1049万円/人 1661万円/人 772万円/人
労働生産性
（単位：万円/人）
583万円/人 （年平均上昇率 776万円/人 （年平均上昇率 400万円/人 （年平均上昇率
＋21.1％） ＋28.8％） ＋24.5％）
目標値 従業員1人あたり給与支給総額 712万円/人 918万円/人 632万円/人
568万円/人 （年平均上昇率 690万円/人 （年平均上昇率 475万円 （年平均上昇率
（単位：万円/人）
＋7.8％） ＋10.0％） ＋10.0％）
役員１人あたり給与支給総額
- -
（単位：万円/人） - （年平均上昇率＋5.0％） - （年平均上昇率＋5.0％） - -
補助事業に係る従業員数
30人 61人 13人 17人 17人 44人
（単位：人）</t>
  </si>
  <si>
    <t>.補助事業の概要 さくら不動産株式会社
2
さくら不動産㈱は、拡大する需要を捉えた不動産開発とプロパティマネジメントに注力していく必要があり、運営ノ
ウハウを有するThe Hakuba Companyと連携することで相乗効果を発揮。
さくら不動産㈱ The Hakuaba Company㈱
コンソーシアムにおける役割 コンソーシアムにおける役割
• 不動産会社として、不動産開発、プロパティマネジメント、 • 滞在施設の運営、接客サービス人材の採用と育成、運営
地域や行政との連携などの役割を担う に関わるDX化などの役割を担う
コンソーシアムにより、双方の得意な領域に特化することで、
補助事業のみならず、長期ビジョンの実現にも寄与
特徴
特徴
• 白馬エリアを中心に長年の不動産取引実績や地域のネッ • 「暮らすように泊まる」ことをコンセプトにしたリゾートコンドミニ
トワークを有している アムや貸別荘などの運営実績がある。
• 宅地建物取引士や税理士資格保有者など資格者が多 • ゲストサービスに精通したメンバーが中心となっており、サービ
数在籍しており、不動産取引や開発について専門性の高 ス人材の採用と育成を行っていく体制が整っている。
い少数精鋭の組織 • DXや新たなサービス企画などソフト面に強みがある。
課題
課題
• 補助事業を契機にコンドミニアムの横展開を図っていく中で、 • 自社のみで不動産開発から運営まで担うことは難しい。
滞在施設の特にサービス部門に関わる部分は任せていく必 • サービス人材の採用と育成、DXやサービス企画などに特化
要がある。 して対応していくことで高付加価値化を実現させていくことが
• 高付加価値な滞在施設を目指しており、高いサービス品 課題。
質などが求められるため単純な外部委託が困難。</t>
  </si>
  <si>
    <t>.補助事業の概要 さくら不動産株式会社
2
観光客受け入れの玄関口とも言える駅前の利便性を当事業により向上させることが可能となる他、景観にも配
慮した白馬村ブランド向上に資する投資を実現
• 補助事業実施場所は、現在のさくら不動産㈱本社を含んでおり、駅前再開発に伴い、建物全般の管理、コンドミニアム及び店舗管理等を行う事務所を２
階部分に設置し、登記上の本社もそこに移転を予定。
• 建物は、鉄骨造４階建て、敷地面積：2,348.0 ㎡ 建築面積：839.0 ㎡ 延床面積：2,138.0 ㎡
• 現在（2025年4月時点）では、白馬駅前にはコンビニエンスストアが無い他、日用品などを購入できる場所も少なく観光客受入において地域課題となって
いる。また、白馬村は電柱の地中化を進めており景観への配慮も重要である。白馬駅を降りると正面に敷地がある。現在は四角い建物が眺望を阻害してい
るが、本設計では建築を西側にセットバックし、山岳景観との調和を徹底して検討することで、求められる4 階建てのボリュームを収めた設計となっている。
• デザインは、名古屋市立大学の太幡英亮教授（白馬村出身）と連携し、白馬駅周辺のランドスケープデザインと屋根構造を共同研究したものである。
• 1階部分には、物販、コンビニ、カフェなど観光客受入の玄関口として駅前利便性の向上、地域の食材等を提供するカフェなどの入居を予定。2～4階部分
が主にコンドミニアム部分となる。
建設予定地について レイアウトイメージ（1階部分）
現在のさくら不動産㈱本社場所 補助事業実施場所（建設予定地）</t>
  </si>
  <si>
    <t>東洋スクリーン工業株式会社
1.長期成長ビジョン
世界No.1のウェッジワイヤースクリーン技術の進化により、地球環境と社会の発展に貢献し、当社と社員の成長
促進、経営理念の実現を目指す
長期成長ビジョン（目指す姿・ビジネスモデル） 外発的動機
• 少子高齢化に伴う生産年齢人口の減少で、生産性の効
地球環境と社会の進歩発展に貢献し、
率化が喫緊の課題
「社会に必要な存在であり続ける」こと、
• 地球温暖化によるCO₂排出削減目標に関連し、持続可能
そして顧客と社員一同、 社会に向けた資源リサイクル利用検討の流れ
「喜びを感じながら成長し続ける」ことを目指す • 5G、AI技術による時間短縮、自動化とコト売りサービスの
流れ
テーマ • 半導体、AI技術に関する外資企業の国内拠点化の流れ
1.当社の技術力を活用した新たな市場開拓 2029年 • 上記を背景に、あらゆるサービス業や製造業において、当
2.中東やアジア等の海外での水インフラ、半導体等の分 社主要事業である水需要が更なる高まりを見せている
野におけるサプライチェーンの水需要の増加 • 採用環境において、売り手市場かつ大手企業との賃金格
3.新工場移転と設備投資による生産能力の向上と継 差といった脅威
続的な賃上げの実現
内発的動機
• 一昨年度より中期経営計画を策定し、従業員に明示。目
的と目標を定めることで従業員のベクトルが揃い、順調に業
績が伸長しており、経営計画を立てることの必要性を強く認
2024年
識
目指す姿
• 従業員の成長と技術の質の向上により、付加価値の高い
世界No.1の微細と精度を誇るウェッジワイヤースクリーン技術を更に進化させ、お客
新製品が生み出されている現在、長期的な成長ビジョンを
さまの困りごとに寄り添うモノづくりを推進し、安心安全の勝ちを提供することで、地球
環境と社会の発展に貢献する 掲げ、事業ドメインを示すことで、更なる成長に繋げる
• 経営理念である、従業員一人ひとりが昨日より今日、今日
会社全体の売上成長目標（～2029年）
より明日、「喜びを感じながら成長し続ける」ことを実現したい
•売上高成長率217％（直近事業年度比）
地球環境と社会の進歩発展に
•売上高増加額38億円（直近事業年度比）
会社全体の賃上げ目標
70年貢献してきた当社を100年、
•全体:1.57%、従業員:2.5%、役員:0.0%(直近事業年度～基準年度)
150年と次世代に繋げていきたい
•全体:4.54%、従業員:6.0%、役員:4.5%(基準年度～事業化報告3年目)</t>
  </si>
  <si>
    <t>東洋スクリーン工業株式会社
.補助事業の概要/補助事業内容と投資内容
2
本社兼工場移転を補助事業とし、その必要性と費用対効果を検証。現工場の生産能力オーバーや導線の悪さ、老
朽化が問題となっており、新工場建設と設備導入によって、労働生産性向上と賃上げを実現する
• 現工場はキャパシティ不足であり、これ以上の売上増加（生産拡大）が見込めない
補助事業の 事業費 億円
• 老朽化の進行や導線の悪さ、空調が無い等により、生産効率が悪い 33
背景・目的 （補助額） （9.1億円）
（現工場延べ床面積：6540.99㎡ ⇒ 新工場予定：8672.49㎡）
【新工場建設：24億円 移設費：1億円】 本社兼工場イメージ
・上記の問題を解決すべく、今般工場を新設し、本社移転を行う。
・現状の年商を超えるリスクの高い投資ではあるが、売上が頭打ちとなることか
ら、持続的な成長及び賃上げのためには必須の投資と判断。
・生産能力を増加させるだけでなく、導線の効率化により労働生産性も向上
する。
・「見せる工場」とし、積極的な賃上げにより会社の魅力を向上させ、雇用を
設備投資の 創出させる。
内容 ・現敷地での増設は困難であるため、新しい土地で新工場を建設する。
【設備投資：2.41億円】
（内訳：円筒型スクリーン溶接機1億3000万円、プレス機3,000万円、
三本ロール1,600万円、レーザー加工機6,000万円、AGV500万円）
・主要製品の製作に必要であり、売上向上及び生産性向上に必須。
2026年度 2029年度
項目
（基準年度） （基準年度＋３年後）
労働生産性 1,44
1,072 6
（単位：万円/人） （年平均上昇率＋10.5％）
従業員1人あたり給与支給総額 630
目標値 529
（単位：万円/人） （年平均上昇率＋6.0％）
役員1人あたり給与支給総額
-
（単位：万円/人） - （年平均上昇率＋4.5％）
補助事業に係る従業員数
112 175
（単位：人）</t>
  </si>
  <si>
    <t>アトム株式会社
1.長期成長ビジョン
 「安心・安全」で良質な国産肉の普及に貢献するとともに、外食産業における社会課題解決にも寄与する
 拡大する顧客ニーズに対し、新工場建設により生産力増強と生産性向上を実現し、2030年までに売上高320億円を目指す
長期成長ビジョン（目指す姿・ビジネスモデル） 外発的動機
国産食肉への需要の高まり
目指す姿
• 食生活の多様化により、食肉消費量は増加傾向
「生産者保護と支援」「食肉販売の安定確保」を目的に、食にまつわる川上から
• 国際情勢悪化による輸入肉の供給不安や、円安進行によ
川下までをカバーして、安心･安全で良質な食文化の創造を目指します
る輸入肉と国産肉の価格差の縮小（国産肉需要増加）
ビジネスモデル
• 高品質低価格な当社商品が評判を呼び、直売所の販売
国内の「顔が見える」生産者からの安定仕入にはじまり、加工、配送、販売 まで
量が増加。FC店舗の新規出店要請も相次いでいる
自社で一貫して管理することで、高品質・高付加価値の商品を提供する
セントラルキッチン(CK)のニーズ拡大
成長戦略
• 外食産業では人手不足・コスト削減・品質の均一化といった
①小売事業（FC展開拡大） 課題を抱え、CK活用企業の増加が想定される
• ｢あんず お肉の工場直売所」の店舗数拡大（年10店舗の出店計画） • 当社においても、既存取引先や新規先より引合いがあるが、
• 国産の良質な食肉をお手頃価格で消費者に提供し感動を与える キャパシティや生産能力の限界により対応できない状況
②セントラルキッチン（CK）事業
• 人件費高騰等の社会課題に苦しむ飲食チェーン店のCK機能を請負う
内発的動機
③自社飲食店事業
経営理念:『食を通じてお客様に本物の感動を』
• ｢和心とんかつあんず」ブランドをはじめ、自社飲食店の出店拡大
• 素材と鮮度にこだわり、最高の品質とより安心・安全な食肉
④海外事業
をお届けしたい
• グループ会社を通じ、｢JAPAN QUALITY」をテーマに高品質の商品を販売
畜産農家の存続と復興
• 主に日本から進出する外食企業に安全で質の高い食材を提供し、ニーズに
合った細かな加工で外食企業のプラットホームとなる • 日本の食文化を支え、宮崎牛などの地域ブランド肉の普及
に貢献したい
会社全体の売上成長目標（～2030年9月期）
従業員の労働負担軽減
• 売上高年平均成長率14.5％
• 売上高増加額179億円（直近期比） • 機械、システム化の導入により、労働負担の軽減を図りたい
既存工場の老朽化
会社全体の賃上げ目標
• 2.51%（直近事業年度～基準年度） • 安心安全を向上させつつ増産するためには、生産ラインの非
• 5.42%（基準年度～事業化報告3年目） 効率性を見直す必要がある</t>
  </si>
  <si>
    <t>アトム株式会社
.補助事業の概要
2
 新工場の建設及び新型設備の導入により、各工程の生産能力を最大5倍にすると共に、生産体制の効率化及び省人化を実現
 収益力強化により、従業員1人あたり給与支給総額は、年平均成長率5.8％を目標とした賃上げを行う
• ｢お肉の工場直売所」のFC店舗の販売量増加及びセントラルキッチンのニーズ拡大に対して、
補助事業の 既存工場のキャパシティ、生産ラインの非効率がボトルネックとなっている 事業費 億円
42
背景・目的 • 新工場では製造ラインを最適化、新型設備及び自動化設備を導入することで生産性向上を （補助額） （12億円）
実現し、生産量の増加及び従業員の負担軽減を図る
【設備投資概要】 仮)篠栗町ATM新工場
所在地：福岡県糟屋郡篠栗町彩り台地区 ／ 工場建物：鉄骨２階建 延床坪数：約1,500坪
【投資効果】
生産能力の増強・生産性向上
• トンネルフリーザー等の新たな生産機器を導入し、生産能力を増強
• 既存の3工場を集約。製造ラインの適正化により、生産性向上
設備投資の
• 製造面積は従来の2.5倍に拡大。食肉加工後、配送までの製品を
内容
保管する冷凍スペースを拡大し、生産・配送の効率が向上
大幅な効率化・省人化
• 各工程に自動化設備導入、工程間は自動搬送装置で行い、
加工から箱詰めまでの作業時間の縮小と省人化が可能
• また、工場内の自動化設備を制御する生産管理システムを導入、
各工程での進捗状況管理の高度化が可能
2026年度（2027/9期） 2029年度（2030/9期）
項目
【基準年度】 【基準年度＋３年後】
労働生産性 1,685万円／人
563万円／人
（単位：万円/人） （年平均上昇率＋44.1％）
目標値 従業員1人あたり給与支給総額 415万円／人
350万円／人
（単位：万円/人） （年平均上昇率＋5.8％）
役員１人あたり給与支給総額
-
（単位：万円/人） - （年平均上昇率＋5.5％）
補助事業に係る従業員数
125人 170人
（単位：人）</t>
  </si>
  <si>
    <t>第一物産株式会社
1.⾧期成⾧ビジョン
製造事業の拡大に注力し、設計・製造機能を統合したソリューション提供を行う課題解決型企業へと変革を遂
げ、成⾧市場へのアプローチにより飛躍的な成⾧を遂げるとともに、地元高岡市への貢献を目指す。
⾧期成⾧ビジョン（目指す姿・ビジネスモデル） 外発的動機
1. 顧客ニーズの変化（省力化、課題解決型提案の要求）
1. 製造事業の拡大と課題解決型企業への変革
• 顧客が求める価値が「単なる仕入れ価格の安さ」から「業務効率化
• 高付加価値の製造事業（液体自動充填装置、 スマホ等向け
や生産性向上」へとシフトしている。
MLCC や全固体電池 向け治具）の拡大に注力。 70年の歴
*1 *2
• 省力化ニーズの高まりにより、単なる材料提供のみではなく、当社の
史と卸売業務を通じて築いた2000社の取引先に対し、単なる商
技術力を用いた課題解決型の提案が求められるようになった。
材の卸売から、設計・製造機能を統合したソリューション提供を可
2. 巨大な市場ポテンシャルの存在
能とし、顧客企業の課題を解決し、競争力向上に貢献する。
• 高齢化を背景とした医薬品市場の拡大、スマホ等向けMLCC *1 及
2. 巨大な市場ポテンシャルへの積極的なアプローチ
び産電・車載向け全固体電池 といった市場の成⾧が見込まれる。
*2
• 高齢化に伴い拡大が見込まれる医薬品市場、スマホ等向け
• これらの市場に強みを有する大手電子部品メーカー（具体的な社
MLCC 及び産電・車載向け全固体電池 市場等、今後の成
*1 *2
名等は後述）から当社技術は高い評価を得ており、これら市場へ
⾧ポテンシャルが見込まれる市場に積極的にアプローチし、飛躍的
の挑戦は自社の強みとマッチする。
な成⾧を実現する。
3. 地元である富山県高岡市への貢献
内発的動機
• 当社事業を発展させ、当社が地元人材の魅力的な受け皿企業と
1. 父の姿を見て育ったことで培われた「経営者としての覚悟」
なることで、就職先の不足による高岡市からの若い人材の流出を
防ぐ。また閉校となった旧小学校の跡地を活用し、避難所や地域 • 当社社⾧は4代目であり、幼いころから父の経営する姿を間近で見
て育ち、ものづくりの世界に誇りと愛着を持ってきた。
イベントスペースとしての機能を維持し、地元高岡市への貢献を目
指す。 • 事業承継にあたり、「単に会社を維持するのではなく、時代の変化
に対応しながら発展させていくべきだ」という強い思いがあった。
会社全体の売上成⾧目標（～31/8期）
2. 地域の未来に貢献するための決意
• 売上高成⾧率+128.4％（直近決算期比） • 社⾧の出身校でもある地元小学校が閉校となった際、地元住民・
• 売上高増加額+53.7億円（直近決算期比） 地元企業としてその跡地の活用方法を考えたときに「自社と地域が
会社全体の賃上げ目標 共に発展する場所として活用したい」 という想いが生まれた。新工
• +2.0%（直近事業年度～基準年度） 場建設は、単に生産力を高めるためではなく、「地域の企業・行政・
• +6.1%（基準年度～事業化報告3年目） 教育機関と連携し、高岡のものづくり産業の未来を支える場をつく
る」というビジョンの実現手段である。
*1:MLCC（積層セラミックコンデンサ）とは一時的に電気を蓄えたり放出したり、信号に含まれるノイズの吸収や一定の周波数の信号を取り出す等、モバイル機器や家電製品、IoT機器などで採用されている部品。
*2:全固体電池とは電池の電解質を固体にした電池で、リチウムイオン電池などの従来の電池と比べて高い性能が期待されている。</t>
  </si>
  <si>
    <t>第一物産株式会社
2.補助事業の概要（1/3）
小学校閉校跡地を活用して本社・工場・倉庫各機能を集約した新工場を建設し、労働生産性の向上を図る。
また、用地の一部は避難所やイベント広場として活用し、地域貢献の場としての機能を持たせる。
補助事業の • 部門間連携及び施設大規模化による労働生産性向上の必要性と、小学校閉校に伴う跡地 事業費 17億円
背景・目的 活用の地域ニーズが合致。自社機能の集約化による生産性向上と地域貢献を同時に図る。 （補助額） （5.5億円）
【本社・工場・倉庫を集約した新拠点の建設】 【完成イメージ】
①投資の概要
• 少子化・人口減少の影響により閉校となった小学校の跡地を有効活用し、本
危険物倉庫 屋外倉庫 既存/体育館
社・工場・倉庫機能を統合した中核拠点を整備する。
(避難所)
②現在抱えている課題
• 現在の本社事務所、工場は増築を繰り返した影響で、各建屋が小規模に分散 イベントスペース兼
するなど非効率な配置となっており、生産性向上の妨げとなっていた。 体育館駐車場
③課題解決・労働生産性向上
設備投資の • 製造工場を1棟1フロアに集約し、設備の最適配置、導線効率の最適化を実現
内容 することにより労働生産性を高める。また、倉庫を本社スペース内に集約(現在は 既存/
厚生棟
本社敷地含めた3か所に点在)し、物流業務の効率化を図る。さらに事務所ス
ペース含めた各部門を1棟に集約することで部門間の協働促進・情報共有を図
り全社一丸での売上向上を目指す。 本社事務所 緑地公園
工場棟
④地域への貢献
メモリアル
• 閉校跡地の一部は産業観光施設（計りの歴史や仕組みを子供も学べるも 施設
の）、イベント広場、地域メモリアル施設として一般開放。また体育館は災害時 ：補助対象施設 屋上ソーラーパネル
の近隣住民の避難所として活用し、「地域共創空間」として整備する。また地元
行政と連携して子供向けの出前講座等を予定しており、企業イメージの向上と
⾧期的な地元の若者の雇用拡大を図る。
2028/8期 2031/8期
項目
（基準年度） （基準年度＋３年後）
労働生産性 1,199万円/人
667万円/人
（単位:万円/人） （年平均上昇率＋21.6％）
目標値 従業員1人あたり給与支給総額 566万円/人
474万円/人
（単位:万円/人） （年平均上昇率＋6.1％）
役員１人あたり給与支給総額 -
-
（単位:万円/人） （年平均上昇率＋6.1％）
補助事業に係る従業員数
78人 125人
（単位:人）</t>
  </si>
  <si>
    <t>第一物産株式会社
2.補助事業の概要（2/3）
分散している施設を一か所に集約することで、作業効率の向上を図るとともに、顧客情報の積極的な共有を促
し、全社一体となって成⾧するための事業部間シナジーを生み出す。
【拠点集約化の効果】
現状 補助事業実施後
拠点集約
化成品卸売事業 顧客A 化成品卸売事業 顧客A
計器機械事業 顧客B 計器機械事業 顧客B
精密機械加工事業 顧客C 精密機械加工事業 顧客C
• 施設・棟・人員が細かく分かれており、作業効率が悪く、情報の分断も • 1棟ワンフロアに製造機能が集約し、効率化。
生じてしまっている。
• 本社敷地内1か所に倉庫を集約し、荷受け等、物流業務を効率化。
• 顧客情報の共有も不十分で事業部間のシナジーが発生していない。
• 事務所スペース含めた各部の人員が1棟に集約し、部門協同や情報伝達が活発化。
顧客情報の共有等、事業部間のシナジー発揮が可能となる。
• 工場スペースの大
規模化により、設
備の最適配置、効
率的な導線設計を
実現。
• 液体自動充填装
置の組み立てス
ペースも確保でき、
製造効率が向上。
現在の当社のレイアウト 新工場内のレイアウト</t>
  </si>
  <si>
    <t>第一物産株式会社
2.補助事業の概要（3/3）
高精度マシニングセンタ2台を導入することで今後受注が大きく伸びることが予測されるスマホ等向けMLCC や
*1
全固体電池 用の治具の生産に対応する。
*2
【高精度マシニングセンタ×２台】
①投資の概要
• 高精度かつ自動加工を行うマシニングセンタ2台を導入する。
②現在抱えている課題
• 主要得意先である村田製作所からのスマホ等向けMLCC *1 や全固体電池 *2 用治具の受注が今後大きく伸びることが見込ま
れるが、現行設備の製造能力ではこの受注に対応しきれない。
③課題解決・労働生産性向上
• 現行の設備では加工が不可能な「高精度部品(充填機のノズルや位置決め治具等)」の加工を実現し、生産能力・速度も
大幅に向上する。また、CAD/CAM連携により労働生産性も向上する。
設備投資の
内容
【既存システムのアップデート対応】
新規設備導入、新社屋・工場建設に伴い、既存システムに必要なアップデートを行う。
*1:MLCC（積層セラミックコンデンサ）とは一時的に電気を蓄えたり放出したり、信号に含まれるノイズの吸収や一定の周波数の信号を取り出す等、モバイル機器や家電製品、IoT機器などで採用されている部品。
*2:全固体電池とは電池の電解質を固体にした電池で、リチウムイオン電池などの従来の電池と比べて高い性能が期待されている。</t>
  </si>
  <si>
    <t>1.長期成長ビジョン 株式会社浪速ポンプ製作所
世界シェアトップの船舶用ポンプメーカーを目指して、生産の拡大・効率化および新製品の投入により事業を拡
大し、グローバルニッチトップ企業として関わる人全員の幸福と、社会の平和及び繁栄に貢献する。
長期成長ビジョン（目指す姿・ビジネスモデル） 外発的動機
「世界シェアトップの船舶用ポンプメーカーを目指して」 ・新造船建造需要の拡大
・当社は、顧客の多様なニーズに応えるオーダーメイドの船舶用ポン 新造船の建造・竣工量は、中国・韓国・日本の3か国で世界全体の
プを製作・販売することで、独自の競争力を築いてきた。この柔軟な 9割強を占めている。2050年に向けた環境規制に対応した船舶の建
製品対応力こそが、当社の最大の強み。 造と約20年前に大量に建造された船舶の新替建造に加え、世界人
・一方で、持続的な成長を実現するには、製造プロセスの抜本的な 口の増加に伴う物流需要の拡大を背景に、新造船の需要は長期的
見直しと自動化による生産性の飛躍的向上が不可欠。効率的な に右肩上がりの成長が見込まれる。
量産体制を確立しながらも、顧客のニーズに的確かつスピーディに応 2024年の年間新造船竣工量は約7,000万総トンだが、2030年に
える体制を整え、柔軟性と効率性を兼ね備えたものづくりを追求する。 は1億総トン規模まで拡大する見通し。
・当社の主力製品である船舶用ポンプは、現在世界最大の造船 ・カーゴポンピングシステム市場の独占構造と事業機会
国・中国においてトップシェアを誇る。この実績とブランド力を礎に、タ カーゴポンピングシステム市場は、競合が1社存在する程度で、事実
ンカー向けカーゴポンプ及びポンプ駆動用蒸気タービンと関連機器 上1社による独占状態。選択肢が限られている現状に対し、顧客から、
装置（以下、カーゴポンピングシステム）といった新たな製品展開 当社に対し参入を求める声が強まっている。
を図り、事業領域のさらなる拡大を目指す。 こうした外部環境の変化と市場構造の特異性が、大きなビジネスチャ
・当社は、こうした挑戦を通じて「グローバルニッチトップ企業」としての ンスであり、今後の事業拡大を後押しする強力な外発的動機である。
地位を確立し、企業理念である「ポンプおよび関連機器装置の開
内発的動機
発・設計・製造・販売を通じて、関わる人全員の幸福と社会の平
和・繁栄に貢献する」という使命の実現に、揺るぎない覚悟で取り組 • 社長の想い
み続ける。 経営理念である関わる人全員の幸福と社会の平和及び繁栄、地域
貢献、従業員のウェルビーイングの実現には、会社として生産性を上
会社全体の売上成長目標（基準日～2030年）
げ利益率を高めることが必要である。
• 売上高成長率 20％ • 製品力・ブランド力
• 売上高増加額 84億円 これまで培ってきた当社の強みでもあるオーダーメイド製品から得られ
るノウハウや技術力を元に、海外での知名度も高く、造船所や船主か
会社全体の賃上げ目標 らの指定注文も多いことから、信頼や浪速ブランドを確立できている。
• 3.16%（直近事業年度～基準年度） • 生産性
• 6.34%（基準年度～事業化報告3年目） 世界的な造船建造数増加の一方、当社の工場設備に生産性の限
界が来ており、自動化を中心とした生産性の向上・拡充が必要である。</t>
  </si>
  <si>
    <t>.補助事業の概要 株式会社浪速ポンプ製作所
2
新工場の建設および生産の効率化を目的とした設備投資を行い、既存製品の規模拡大とともに新製品である
カーゴポンピングシステムを販売し、更なる事業拡大を図る。
• 既存工場は増設を重ねた結果、レイアウト上の制約や動線の複雑化により生産効率が低下
補助事業の 事業費 3 億円
8
している。この課題を解消するため、新工場の建設により生産性向上を図り、更には世界シェ
背景・目的 （補助額） （ . 億円）
8 8
アトップを目指す戦略製品であるカーゴポンピングシステムを量産、国際競争力を強化する。
当社が保有する：
• 福井事業所はポンプ製造の主力拠点であり、新たに取得した隣接地に
オーダーメイドの船舶用ポンプをより効率的に量産できる新工場を建設
する。
• 美原事業所は補充部品の供給や小型ポンプの製造を担うべく、福井事
業所と連携し、補充部品の取扱量拡大に対応できる体制を構築する。
設備投資の • 両事業所では、1つのオーダーを分担して製造しているため、部材の供給
内容 や積み合わせ作業の手間など非効率な面がある。今回の設備投資によ
り、全体のリアロケーションを実現し、生産効率の抜本的な改善を図る。
• 両事業所における効率化と自動化の推進により、既存設備において人
員の余力を生み出し、その人的リソースを新製品の製造や事業拡大に
活用することで、全社的な労働生産性の向上を図る。
2027年度 2030年度
項目
（基準年度） （基準年度＋３年後）
労働生産性 1,636万円/人
856万円/人
（単位：万円/人） （年平均上昇率＋24.1％）
目標値 従業員1人あたり給与支給総額 671万円/人
558万円/人
（単位：万円/人） （年平均上昇率＋6.3％）
役員１人あたり給与支給総額
-
（単位：万円/人） - （年平均上昇率＋5.0％）
補助事業に係る従業員数
229人 235人
（単位：人）</t>
  </si>
  <si>
    <t>.長期成長ビジョン フタバ食品株式会社
1
氷菓「サクレ」や中華まん等を製造するスマート工場と研究開発拠点を整備
生産機能・商品開発力を強化することにより、売上収益の最大化を図り、持続的な成長を実現
長期成長ビジョン（目指す姿・ビジネスモデル） 外発的動機
◆ アイスクリーム類・氷菓市場の規模拡大
• 変化の激しい時代にあっても、私たちの変わることのない企業使命である
アイスクリーム類・氷菓市場は、商品の高付加価値化や平均気温の高まりもあり、
｢おいしさと楽しさ、安全と安心｣を常に追求しながら、お客さまの立場に
市場規模が拡大傾向、また輸出額も拡大基調にあり、潜在的な需要が高い。
立った、お客さまにご満足いただける商品とサービスを提供している。
市場動向に合わせた生産能力強化や海外展開等の販路強化の必要性がある
＜長期成長ビジョン＞ →積極的な設備投資による生産能力の強化、商品開発力の強化
• 当社は1945年に設立し、今年で80周年を迎える。設立100周年に ◆ カーボンニュートラル、SDGsへの対応
向け、持続的な成長を実現するため、外部環境・内部環境を踏まえた 栃木県を代表する企業として、持続可能な社会を実現するため、カーボンニュー
大規模な設備投資を実行するものである。 トラル・SDGsへの対応が社会的責任として求められる
• 大規模設備投資を通じ、企業使命を体現するとともに、売上高350 →環境に配慮した生産拠点の整備
億円・営業利益26億円を達成させ、持続的な成長を実現していく。 ◆ 少子高齢化の社会構造の変化
人手不足が顕在化しており、人手に頼らない生産体制の構築が必要
＜具体的な取組み内容＞
また、国内人口構造や当社の販売シェアを踏まえた販売戦略の再構築が必要
(1)企業使命「おいしさと楽しさ、安全と安心」を実現するための取組み
→スマート工場の建設、ブランド力の強化、西日本エリアの販路拡大
①FSSC22000の認証取得による食品安全体制を構築
②工場見学コース設置による観光需要の喚起、安心安全の訴求
内発的動機
③研究開発機能強化による商品ラインナップの強化、品質の向上
◆ 生産能力の限界
(2)売上高350億円の達成及び持続的な成長に向けた取組み アイス・中華まんにおいて新規の引合いの対応や営業強化を行いたくても、生産
①新工場の建設や工場機能の最適化による製品供給力の強化 キャパシティが限界であるため、新規受注や増産対応ができない状況
②広告宣伝等によるブランド力強化、国内外の販売戦略の強化 （アイス・中華まんの潜在的な需要があるものの供給ができない）
→新工場建設による生産体制の強化や各工場の生産性向上
③自動生産ラインやデジタル化による生産性向上、歩留まり率の改善
◆ 人手不足・従業員の安定的な採用
④太陽光設置、グリーン電力使用等に環境配慮型の生産拠点の整備
人手不足により、年々採用活動が難しくなっている状況
売上成長目標（2024年8月期～2030年8月期） 中華まんの生産拠点の分散や手作業の工程もあり、非効率な生産体制
• 売上高成長率 51.4％ →スマート工場の建設による省人化、職場環境改善による採用強化
• 売上高増加額 118.9億円 ◆ 新商品の開発体制の強化や原材料価格高騰への対応
(2024/3期 売上高231.1億円に対して、2030/8期 売上高350億円) 食品業界では、商品サイクルが早く季節商品の開発や売れ筋商品の改良を常
会社全体の賃上げ目標 に行っていく必要がある。また、カカオ等の原材料価格の高騰に対応するため、効
• 4.8%（直近事業年度～基準年度） 率的な製造技術等の高度化を図っていく必要がある
• 6.4%（基準年度～事業化報告3年目） →開発体制の強化、オープンイノベーションの取組み強化</t>
  </si>
  <si>
    <t>.補助事業の概要 フタバ食品株式会社
2
氷菓トップメーカーとして、ブランド力の向上及び安定した製品供給体制を構築をするため、
大型設備投資によるスマート工場を整備し、売上収益の飛躍的な成長を実現する
• 主力のサクレ・中華まんをはじめ各製品は、工場の生産キャパシティが限られ、更なる増産対応
ができない状況。
補助事業の • 本事業では、生産能力の強化を図るため、省力化・省人化をコンセプトとしたスマート工場の建設 事業費 168億円
背景・目的 に加え、製品や素材等の研究開発拠点を整備する。 （補助額） （50億円）
• 本事業を通じて、サクレにおける生産能力1.8倍・生産性2.4倍、中華まんにおける生産性1.7
倍へ向上させ、年平均年6.5％の高い賃上げを実現する。
【完成イメージ】
（１）設備目的
①主力サクレの増産、②中華まんの生産性向上、③工場機能の最適化、④研究開発の機能強化
⑤物流の効率化、⑥デジタル技術を活かした業務効率化、⑦見学コース設置によるPR強化
（２）実施場所
栃木県鹿沼インター産業団地に先進スマート食品工場及び研究開発拠点を整備する。
事業実施場所：栃木県鹿沼市深津 鹿沼インター産業団地4街区 敷地面積：43,600㎡
設備投資の
事業所名称 ：フタバ食品 鹿沼工場 延床面積：20,896㎡
内容 （３）設備概要
項目 設備金額 設備内容
アイス、中華まん、マロングラッセ、ゼリーの食品製造工場
建物費 105億円(税別)
その他、研究開発施設、自動保管倉庫、見学コース等を併設
アイス製造ライン(サクレ及びバルクアイス）35億円、中華まん製造ライン16億円、
機械装置費 63億円(税別)
マロングラッセ製造ライン4億円、ゼリー製造ライン8億円
項目 2026年度（基準年度） 2029年度（基準年度＋３年後）
1,5 万円
労働生産性 66
万円
908
（単位：万円/人） （年平均上昇率＋ ％）
19.9
従業員1人あたり給与支給総額 5 74 万円
4 万円
目標値 （単位：万円/人） 75 （年平均上昇率＋6.5％）
役員１人あたり給与支給総額 -
-
（単位：万円/人） （年平均上昇率＋6 ％）
.0
補助事業に係る従業員数
437人 460人
（単位：人）</t>
  </si>
  <si>
    <t>株式会社北海道ちぬやファーム
1.長期成長ビ
ジョン
凍食品 「新たな食の価値を通じて地域社会と共生し、
味のちぬやグループは、冷 業界のリーディングカンパニーとして
豊かな生活と持続可能な未来に貢献する信頼される食品製造グループ」を目
指す。
長期成長ビジョン（目指す姿・ビジネスモデル） 外発的動機
• 急拡大する冷凍食品市場とプレミアム志向の高まり
①国産原料と地域資源を最大限に活用した「安全・安心・高品質」な
～冷凍食品の 小売の 成長や女性の雇用
食品の提供 世界市場は、オンライン 急速な
2030 3,840億米ド 2025
率の増加等を背景として、 年までに ル規模（
～北海道・四国等の 原料と人材を 食品の
地域の 活かし、 地産地消を推進。
CAGR5.78 成長すると予測されて 国内冷凍食品
年からの ％）に いる。
高まり 応える高付加 食品
健康志向やプレミアム志向の に 価値冷凍 を国内外に
成長が見込ま 2030 2 2025
市場も同様に れ、 年までに約 兆円（ 年から
確立する～
安定供給出来る体制を
CAGR6.00 成長推移を見込む 高ま
の ％）での 。特にプレミアム志向の り
②グループ横断の生産・物流・販売一体型モデルによる競争力の強化
国産原料使用の冷凍食品が 7割～
により、 選ばれる割合は約
～仕入・生産・物流・販売を
担う各グループ企業が連携し、川上から川下まで • 地域農業の担い手不足・異常気象等による収穫量の減少
一気 を確立。ス 省力
の 通貫のバリューチェーン マートファクトリー化・ 化・物流最
～北海道内の 高齢化率（65 50
農家の 歳以上）は約 ％であり、担い
より、生産性 力を実現 る～
適化に 向上とコスト競争 す
手不足に 小規模
よる原料の収穫量減少リスクが顕在化している。特に、
③持続的な賃上げと働きがい向上を実現する成長企業体への進化
大型設備へ
農家は の投資が困難で、離農・廃業が進んでいる。また、近
～継 生産 人材
続的な労働 性向上と 投資を通じ、従業員の賃上げを実現。 面・保管面 ～
年の異常気象等により、収穫 に課題を抱えている
人材が
多様な 活躍出来る環境を整備し、「選ばれる企業グループ」として、地 • 人手不足・高齢化の進行
雇用 る～
域の 創出・所得向上に貢献す
～冷凍食品需要が高ま 食品製造業に る有効求人倍率は
る中、 おけ 約
④デジタル技術・環境配慮型経営の強化で社会的価値を創出
3.05 生産性低下リ 高ま る～
倍となっており、 スクが ってい
～AI IoT 活用し 生産管理や需要予測を通じ
・ を た て、フードロス削減・物流効
率化を促進。環境配慮型の商品開発を進め、持続可能な 食の 未来に貢献 内発的動機
る～
す • 食の安定供給に対する使命感
～近年、 原料不足リ 高ま
異常気象の頻発化等により、 スクが る中、冷凍
コンソーシアム全体の売上成長目標（～2030年） 食品の 食の
需要急増に対して、安定した 供給を実現することが社会的責
• 売上高成長率176.8 ％（直近期 比 ） 務と認識してい る～
• 売上高増加額261 億円（直 近期比 ） • 地域農業の未来を守る想い
～農業の 手不足やコス
担い ト上昇等の影響で北海道の農家が減少傾
食品加工企業として、農業と一体とな 生産体
コンソーシアム全体の賃上げ目標（累計増加率） 向にあり、 り、持続可能な
～
• 109.7%（直近事業年度～ 基準年度） 制を構築することが重要
• 従業員の賃上げ・働きがい向上への決意
• 118.0%（基準年度～事業 化報告 3年目）
～給与水準の 使命～
向上と働きやすい環境を提供することが経営の
参考文献：MarkNtel Advisors「世界の冷凍食品市場調査レポート」、日本冷凍食品協会「冷凍食品の国内生産及び消費」、「国内生産量推移統計資料」、冨士経済「加工食品国内市場に関する調査」、日本政策金融公庫「消費者動向調
査結果」、農林水産省「2020年農業センサス」、経済産業省「2024年版ものづくり白書」、Intage市場動向レポート、GrandViewResearch社レポート</t>
  </si>
  <si>
    <t>株式会社北海道ちぬやファーム
2.補助事業の概要①
倉庫新設と省力設備等の導入 力強化と生産 業工数
により、供給 性向上を図る。保管・物流コスト削減、作 削
より、労働生産性 大幅 農業支 長を目指
減に の 向上及び継続的な賃上げと地域 援を通じた持続可能な成 す
• 冷凍食品市場の急成長に伴い、グループ全体で冷凍コロッケの生産・保管能力が限界を迎えている 。特に外部倉庫へ
の依存による物流コストの増加や保管品質低下による収益悪化リスクが顕在化している。
補助事業の • 異常気象の頻発や農家の担い手不足により、地域農業の収穫量減少・原料供給の不安定化も進行 。 事業費 41 億円
背景・目的 • 更に、 製造現場では、人手不足による現場負荷増大・生産効率低下が顕著な状況 。 （補助額） （11億円）
• 本事業は、これらの課題を解決する為、 馬鈴薯保管倉庫の新設・省力化設備等の導入を通じて、供給力を強化し、持
続的な地域貢献・労働生産性向上・賃上げを実現させる
。
投資内容 投資額 課題解決内容
り、一人
外部倉庫依存による保管・物流コストの削減、品質劣化、廃棄ロスの抑制、 左記の取組によ あたり付加価
馬鈴薯保管倉庫
32.7億円 供給力不足の解消が可能。地域農家の収益安定化に貢献し、持続可能な 値額の大幅向上と、持 続的な賃上げ
（無線工事等含む）
供給体制を確立出来る。 原資の確保が可能となり、 生産性と働
き方改革の両立を実現する
。
冷凍能力が約1.5倍化し、供給力増強、商品ロスの削減、受注機会の損失防
設備投資の スパイラル冷凍設備 3.5億円
止が可能。
内容
加熱工程の自動化・均一化により、品質安定化、生産量増加、作業時間削
遠赤自動フライヤー 0.6億円 【各投資内容のイメージ・図等について】
減。 • 馬鈴薯保管倉庫 P17・18記載
• 各種生産設備 P19記載
スチームピーラー 0.9億円 自動化により、人手削減、歩留まり改善、原料ロス削減により、利益率向上。
逆ピロー包装機 1.3億円 包装自動化により、作業時間、人手削減、出荷効率・包装精度向上。
コンソーシアム全体 ㈱北海道ちぬやファーム ちぬや冷食㈱
2027年度 2030年度 2027年度 2030年度 2027年度 2030年度
項目
（基準年度） （基準年度＋３年後） （基準年度） （基準年度＋３年後） （基準年度） （基準年度＋３年後）
（単
労
位
働
：
生
万
産
円
性
/人）
2,804万円/人
（年平
4
均
,5
上
23
昇
万
率
円
＋1
/
7
人
.2％）
3,357万円/人
（年平
4
均
,9
上
33
昇
万
率
円
＋1
/
3
人
.7％）
2,771万円/人
（年平
4
均
,4
上
98
昇
万
率
円
＋1
/
7
人
.5％）
従業員1人あたり給与
目標値
支給総額 342万円/人
406万円/人
325万円/人
386万円/人
343万円/人
407万円/人
（年平均上昇率＋5.9％） （年平均上昇率＋5.9％） （年平均上昇率＋5.9％）
（単位：万円/人）
役員１人あたり給与支
給総額 - - - - - -
（年平均上昇率＋5.9％） （年平均上昇率＋5.9％） （年平均上昇率＋5.9％）
（単位：万円/人）
補助事業に係る従業
員数 220人 268人 10人 13人 210人 255人
（単位：人）</t>
  </si>
  <si>
    <t>株式会社北海道ちぬやファーム
.補助事業の概要①-1
2
新馬鈴薯倉庫の配置図
新築予定馬鈴薯倉庫
【新馬鈴薯倉庫の概要】
延床面積：6,002㎡
保管数量：7,020t
部屋数：8部屋
㈱北海道ちぬやファーム
【搭載機能】
本社
• アスパレーションシステム（風乾により、品質向上、廃棄ロス抑制）
• エチレンガスシステム（萌芽を抑制、長期貯蔵が可能）
• 24時間自動温湿度制御、遠隔監視、遠隔操作
• 高換気仕様による省エネ性能</t>
  </si>
  <si>
    <t>株式会社北海道ちぬやファーム
.補助事業の概要①-2
2
新馬鈴薯倉庫の平面図</t>
  </si>
  <si>
    <t>株式会社北海道ちぬやファーム
.補助事業の概要①-3
2
導入予定生産設備イメージ
スパイラル冷凍設備 遠赤自動フライヤー
スチームピーラー 逆ピロー包装機</t>
  </si>
  <si>
    <t>ノーラエンジニアリング株式会社
2
17億円
（4.8億円）
22.7 19.2
6.7 6.0
- - 6.1 - - 10.0</t>
  </si>
  <si>
    <t>名古屋東部陸運株式会社
1.長期成長ビジョン
調達・保管・出荷の一体運用と業務標準化により、持続可能な物流体制を構築し、労働環境と生産性の両
立を図る。2031年度に売上453億円、賃上げ年平均9.65％を目標とする。
長期成長ビジョン（目指す姿・ビジネスモデル） 外発的動機
• 目指す姿（5～10年後における企業像） • 物流業界では、輸送ニーズの多様化や荷主の調達体制の変化に
加え、労働力不足や環境対応など複合的な課題が顕在化してい
当社は、「お客様が困ったとき、最初に顔を思い浮かべてもらえる物
る。特に自動車業界では、仕入先から最終組立までの調達物流の
流パートナー」として、2030年に業界カスタマーマインドシェアNo.1の
見直しが進み、輸送会社には保管・仕分け・中継機能を統合的に
実現を目指す。グループ売上500億円に向け、大手自動車メーカー
担う体制が強く求められている。
の調達物流モデルを起点に、他OEMや新規荷主へ展開し、業界全
体の生産性向上と持続可能な社会に貢献する。 • また、輸送の安全性やCO₂削減への社会的要請も強まるなか、単
なる運搬業から脱し、機能集約型の都市型物流モデルへの進化が
• 目指すビジネスモデル
求められている。。
大手自動車メーカーの調達物流を起点に、中継・保管・出荷を一
体化した営業倉庫モデルを展開。共通システムにより作業標準を統
当社にとっても、現状の体制のままでは、選ばれ続けることは難しいと
一し、多能工化と省力化で人員効率を高める。荷主の業務変化に
いう危機感があった。こうした構造変化に対応し、自らの役割を明確に
も柔軟に対応し、運行効率と信頼性を両立。今後は他社拡張と多
するため、今後の進路を中長期の視点から定める必要があった。
荷主化により安定収益を確保する。
• 社会に提供する価値
中継機能と営業倉庫を一体で運用することで、トラックの待機や回 内発的動機
送を最小限に抑え、地域の道路混雑と事故リスクを軽減する。現場 • 現場の経験や工夫に支えられた運用体制は、柔軟性がある一方で
では共通システムを軸に作業を標準化し、複数倉庫間で人員を柔 属人性が強く、変化への対応力に限界があった。仕様変更や納入
軟に配置。倉庫拡張により雇用数も増加し、安定した就労機会を地 タイミングの変化が重なる中、担当者の力量に依存する状況は、品
域に提供する。 質維持にも支障をきたし始めていた。
• 既存拠点では誤出荷や待機時間の長期化が常態化し、拘束や
会社全体の売上成長目標（2027年～2031年）
作業ミスも慢性化。現場対応だけでは限界があり、再発防止も属
• 売上高成長率14.8％
人的で、人手不足も相まって負担が増していた。
• 売上高増加額190億円（2031年売上高：453億円）
会社全体の賃上げ目標 こうした状況に対し、従来型の改善では抜本的な解決に至らないこ
とを実感した。設備・体制・人材の在り方を含めて抜本的に見直し、
• 3.87%（直近事業年度～基準年度）
将来に向けた方向性を全社で共有する必要があるとの判断から、長
• 9.65%（基準年度～事業化報告3年目）
期ビジョンの策定に至った。</t>
  </si>
  <si>
    <t>名古屋東部陸運株式会社
.補助事業の概要
2
調達物流の効率化と多様な出荷形態への対応に向けて、D・E・Fの3棟を新設。共通システムによる作業標準
化と柔軟な人員配置で、持続的な賃上げと物流改革の基盤を構築する。
補助事業の トヨタ自動車が推進する調達物流を巡る構造変化を成長機会と捉え、中継・仕分・出荷機能を 事業費 65億円
背景・目的 統合する物流体制を構築。次世代の調達物流の要となる新倉庫を建設する。 （補助額） （21億円）
• 本補助事業では、調達物流の効率化と多様な出荷形態に対応する新倉庫3棟を建設する。
• D棟はトヨタ向けの調達物流に特化した中継拠点として、E・F棟は多荷主対応の営業倉庫として活用する。
• それぞれに情報処理・保管・仕分・出荷の機能を備え、運用にはトヨタ独自開発システムを導入して作業進捗を可視化する。
共通のシステム運用により作業手順を統一し、多能工化を進めることで人材配置の柔軟性が向上する。
• 既存拠点に隣接して整備することで、乗務員の待機時間や車両回送の無駄を削減し運行効率が向上する。これにより省人
化と生産性向上を同時に実現し、持続的な賃上げと調達物流改革の実行基盤を確立する。
設備投資の
内容
【D棟】大手自動車メーカー向け 【E棟】多荷主対応の営業倉庫 【F棟】多荷主対応の営業倉庫
2028年度 2031年度
項目
（基準年度） （基準年度＋３年後）
労働生産性 1605
（単位：万円/人）
884
（年平均上昇率＋22.0％）
目標値 従業員
（
1
単
人
位
あ
：
た
万
り給
円
与
/人
支
）
給総額 569
（年平均上
6
昇
9
率
6
＋6.9％）
役員１人あたり給与支給総額
2,789
3,276
（単位：万円/人） （年平均上昇率＋5.5％）
補助事業に係る従業員数
390 424
（単位：人）</t>
  </si>
  <si>
    <t>株式会社英楽
1.長期成長ビジョン
構造的な不透明さが増す食品業界において、顧客・消費者ニーズに応える成長分野への戦略投資を進めること
で、日本の「食」の発展と地域経済の活性化に貢献し、従業員とともに持続可能な経営の実現を目指す。
長期成長ビジョン（目指す姿・ビジネスモデル）
外発的動機
【経営理念】
「国際社会の不安定化と日本全体の人手不足」
「故郷が支える日本の食」
・世界の「食」を支える
・国際情勢の変化や為替変動を原因とした、飼料や資材
・人々の「心」を動かす
高騰による経営の不安定化
・社員の「笑」顔を守る
・自社の事業である養鶏および食肉加工業界、顧客である
①人々を飢えさせない ②美味しさを追求する
③食と健康を繋げる ④働く人の楽しさを創る ⑤常に挑戦する 飲食業や小売業の担い手不足
・他産業との労働力確保競争の激化
【５年後の目指す姿】 ・若者を中心とした人口流出による地域産業衰退の懸念
「食肉カット事業への戦略的投資により冷凍食肉加工分野での
地域ナンバーワン企業を目指す」
多様化する顧客・消費者ニーズへ対応するとともに、深刻な人手不 内発的動機
足に直面する取引先や地元企業の課題解決に貢献し、当該分野で
「多様化する顧客ニーズへの対応と加工効率向上」
の地域トップ企業を目指す。従業員の待遇や働きがいの向上に取り
組み、持続可能な企業づくりを実現する。
・飲食店の人手不足や核家族化によるIQFニーズを認識
会社全体の売上成長目標 ・カット職人の高齢化による顧客ニーズの取りこぼし
（2024年4月期～2030年4月期） ・手切りでのカットに挑戦した際の、歩留まりの低さや品質
• 売上高成長率 +433.8％ の低下を実感
• 売上高増加額 31.9億円
・コロナ禍の受注低迷を経験したことによる従業員の雇用
会社全体の賃上げ目標
維持および待遇、さらなるエンゲージメント向上への想い
• 9.72%（直近事業年度～基準年度）
• 6.93%（基準年度～事業化報告3年目）</t>
  </si>
  <si>
    <t>株式会社英楽
.補助事業の概要
2
包丁を使わない食肉カット専用工場を自社敷地に新設、AI搭載のウォーターカッターマシンをはじめとした先進
設備を導入。IQF（バラ凍結）製品の強化とともに、生産効率や歩留まり、衛生面の課題解決を図る。
多様化する消費者ニーズや飲食事業者の人手不足に対応するため、解凍時間の短縮や食品ロス
補助事業の 事業費 19億円
削減に貢献するIQF製品の強化を進めている。一方で、現状の手作業によるカットは、作業員不
背景・目的 （補助額） （6.3億円）
足や生産効率の低さ、歩留まりの悪さの問題が発生、機械導入でこれらの解決を図る。
新工場建設予定地
項目 概要 金額
工場の新設 包丁を使わない食肉カット専用の1.5次加工工場の建設 9.0億円
ウォーターカッターマシン、スパイラル凍結機、フルスケール
機械装置
計量器、テンパリングミンチ機、トンネルフリーザー、製簡機、 10.0億円
の導入
設備投資の その他生産に必要な機械装置
内容 ウォーターカッターマシン
・倉庫として活用している自社敷地内にカット専用工場を新設。
・ウォーターカッターマシンは水の高圧噴射とAI制御により、設定重量での自動カットが可能。
1台で15人分の作業を代替し、作業員不足の解消と労働生産性向上に大きく寄与する。
・カット精度の向上により歩留まりが改善され、生産性の向上も期待できる。
・今回の機械装置導入で、カット前の凍結から計量、再凍結、包装まで一貫生産体制が構築される。
・工場内では刃物を使わず、人が肉に手を触れないため安全面・衛生面も大幅に向上する。
・IQF製品をメインに、一部BQF（ブロック凍結）への対応要望もあり双方に対応可能な体制を整える。
2026年度 2029年度
項目
（基準年度） （基準年度＋３年後）
労働生産性
-191 1,529
（単位：万円/人）
目標値 従業員1人あたり給与支給総額 324
265
（単位：万円/人） （年平均上昇率＋6.9％）
役員１人あたり給与支給総額
-
（単位：万円/人） - （年平均上昇率＋10.6％）
補助事業に係る従業員数
35 59
（単位：人）</t>
  </si>
  <si>
    <t>藤本化学製品株式会社
1.長期成長ビジョン
世界的な高齢化が進む中、当社の培ってきた高い技術力と新設工場の生産力で医薬品需要に応えるとともに、
連続生産方式を組み合わせたより高効率な生産体制を構築し、長期的な成長を図る。
長期成長ビジョン（目指す姿・ビジネスモデル） 外発的動機
• 高齢化社会とヘルスケア需要の増大
1. 経営基盤の強化と事業の拡大
世界的な高齢化に伴い、医薬品原薬への需要が急増。顧客から高品質
新工場の建設・稼働により売上・利益の更なる拡大を図り、より
かつ迅速な供給が求められており、連続合成による効率的な生産が競争
強固な経営基盤を構築し、事業の持続的な拡大を目指す。
力の鍵となっている。
海外市場への進出や製品ラインの拡充により、事業の規模と影
• 環境規制の強化と持続可能性への要求
響力を拡大する。
グローバルな環境規制やSDGsへの対応が求められる中、連続生産方式を
2. コア技術の活用と持続可能な成長
活用した環境負荷低減型の生産プロセスが必須となっている。
連続生産方式導入に伴う連続合成技術を核に、省エネルギー
• 技術革新とデジタル化の促進
化と廃棄物削減を実現する。高品質な医薬品原薬・中間体を
化学産業におけるDXやAI活用が進む中、連続生産方式はプロセス制御
提供しつつ、環境規制やSDGsに対応。省エネルギー技術と環境
の自動化や効率化を可能にし、技術革新の基盤として注目されている。
負荷低減の取り組みを強化することで、社会と経済の両面で価
• 雇用の難しさと人材確保の課題
値を創出し、持続可能な成長を追求する。
少子高齢化や若年層の製造業離れが進む中、熟練技術者や若手人材
3. 技術革新と人材基盤の強化
の確保が難しくなっている。連続生産方式の導入により、生産プロセスの自
連続生産方式の導入により、生産プロセスの自動化と効率化を
動化を進め、労働集約的な作業を軽減することで、人材不足に対応しつつ
推進。雇用の難しさに対応し、労働負荷を軽減しつつ、若手人
生産性を向上させることが求められる。
材の育成や働きやすい職場環境を整備する。
4. 地域社会への貢献
内発的動機
地域社会への積極的な貢献を通じて、企業の社会的責任を果
• 患者様の命と健康への貢献
たす。地域の雇用創出や地元の環境保全活動、地域イベントへ
当社で製造した医薬品原薬が最終医薬品として市場にリリースされ、難病
の支援など、地域との共生を図る。
の患者様を含め多くの患者様の力になっている。私たちの仕事が直接患者
会社全体の売上成長目標（～2035年） 様の命と健康に貢献していることを実感し、私たちの使命に対する誇りと責
• 当社は2035年度に売上高500億円を目指す。 任感を強くする原動力となっている。
• これに向けて、2035年度では直近決算期比で売上高増加 • 青年期における地域社会との関わり（代表取締役社長の原体験）
率+169％、売上高増加額314億円を達成する。 青年期に地域の清掃活動やコミュニティイベントの運営支援を行う中で、
会社全体の賃上げ目標 人々の生活環境を向上させコミュニティの絆を強める重要性を感じた。この
• 0.63% （直近事業年度～基準年度） 経験が現在の仕事において、環境に配慮した医薬品生産を目指し、社会
• 7.2%（基準年度～事業化報告3年目。都道府県別。） 的・経済的価値を創出する動機づけとなっている。</t>
  </si>
  <si>
    <t>藤本化学製品株式会社
2.補助事業の概要
連続生産方式の設備を備える新工場を建設・稼働させることで、当社の課題となっていた生産キャパシティの問
題を解決するとともに労働生産性の向上を図る。
補助事業の • 既存工場の生産キャパシティが限界に近い水準に達しており、これ以上の成長のためには新工 事業費 142億円
背景・目的 場の建設・稼働が必須となっており、この課題を解決するために新工場建設を行う。 （補助額） （46億円）
• 【設備投資の内容】
岡山県倉敷市に既存主力工場の泉北工場のほぼ3倍の面積
（47,872.01㎡）の工場用地を取得済みである。この土地は新幹線
の新倉敷駅、山陽自動車道のインターチェンジに近いことに加え、玉島
ハーバーアイランド内の水島港を活用し海外からの原材料輸入も可能
である等、交通・物流アクセスに優れている。ここに新工場を建設すると
ともに、既存工場では導入していない新しい連続生産方式を導入する。
設備投資の
• 【労働生産性の向上】
内容
新工場稼働により、成長のボトルネックになっていた生産キャパシティの
問題を解決するとともに、既存工場では導入していなかった省人化が可
能な連続生産方式も導入し、労働生産を向上させる。
• 【BCP対策】
当社の既存工場はいずれも関西圏にあり、東南海地震などの災害リス
クが想定されるため、活断層の少ない岡山県に新工場を建設することで
災害リスクに備える。
2027年度 2030年度
項目
（基準年度） （基準年度＋３年後）
労働生産性 3,475万円/人
1,371万円/人
（単位：万円/人） （年平均上昇率＋36.3％）
岡山 大阪 兵庫 東京 岡山 大阪 兵庫 東京
目標値
872万円/人
従業員1人あたり給与支給総額 708万円/ 708万円/ 631万円/ 816万円/ 872万円/人 777万円/人 1,006万円/人
（年平均上昇率＋
（単位：万円/人） 人 人 人 人 （＋7.2％） （＋7.2％） （＋7.2％）
7.2％）
役員１人あたり給与支給総額 - - - -
- - - -
（単位：万円/人） （年平均上昇率ー％） （+7.2％） （+7.2％） （+7.2％）
補助事業に係る従業員数
20人 158人 104人 5人 42人 167人 90人 5人
（単位：人）</t>
  </si>
  <si>
    <t>藤本化学製品株式会社
2.補助事業の概要
連続生産方式の設備を備える新工場を建設・稼働させることで、当社の課題となっていた生産キャパシティの問
題を解決するとともに労働生産性の向上を図る。
• 【導入予定の生産ラインについて】 【A系列（連続生産）】
設備投資として、大きく3系列の投資を予定している。 フロー合成装置（写真）
フロー合成装置（イメージ図）
A系列（連続生産方式）
連続生産方式を備えた製造ライン。晶析釜、遠心分離機、
乾燥機はクリーンルーム内に設置されており原薬製造が可能
となっている。
設備概要：タンク類 9基（200L～500L）、調製釜 4
基（500～1500L）、濃縮・晶析釜 3基（2000L～
3000L）、 加圧ろ過機 1基、遠心分離機 1基,、棚式乾
燥機 1基等で構成される。
B/C系列（大量生産ライン）
大規模反応釜を備えた大量生産ライン。晶析釜、遠心分 【B/C系列（大量生産）】
設備投資の 離機、乾燥機はクリーンルーム内に設置されており原薬製造 大規模反応釜 コニカル乾燥機
が可能となっている。
内容
設備概要：反応釜 各ライン 2基（5000L～8000L）、
濃縮・晶析釜 各ライン 2基（8000L～12000L）、遠心
分離機 各ライン 1基, コニカル乾燥機 各ライン 1基等で構
成される。
• 【労働生産性の向上への寄与】
A系列（連続生産方式）ではフロー合成反応は自動化されており連続で実施可能となっている。これにより従来のバッ
チ生産に比して省人化・省力化が可能となり、労働生産性の向上に寄与する。
• B/C系列（大量生産ライン）では大容量の反応窯等を備えることで既存工場設備に比して20%程度生産効率が
向上する見込みである。</t>
  </si>
  <si>
    <t>中央製乳株式会社
1.長期成長ビジョン
補助事業である新工場建設を通じて、持続的な成長を実現するとともに地域密着型のビジネスモデルにより他
社と差別化を図る。
長期成長ビジョン（目指す姿・ビジネスモデル）
外発的動機
【目指す姿】
• 飼養戸数や飼養頭数の減少を背景として、2000年以降は生乳生
• 創業の精神である｢一円融合｣を大切に守り、地元の酪農家とお
産量が年々減少している状況（東海エリア：約20年で4割減）
客さまへの感謝の気持ちを忘れず、 ｢地産地消｣をモットーに安全
安心な製品を提供して、社会の安全、健康及び顧客満足を最優 • 飼料価格やエネルギーコストの高騰による生乳価格の上昇
先に活動する。 • また、少子化高齢化により主要販売先である学校給食の需要が減
少傾向（年2％の需要減少）にある
【ビジネスモデル】
• 補助事業である新工場建設を通じて、持続的な成長を実現する • 物流の2024年問題（ドライバー不足・物流費高騰）の影響により、
製乳の鮮度やコスト面で対応すべき課題がある
とともに地域密着型のビジネスモデルにより他社との差別化を図る。
➢ 現状の生産設備及び敷地では生産能力・効率に限界がある • 2050年までのカーボンニュートラル実現に向けて、乳牛の腸内発酵に
よるメタン排出が温室効果ガス削減の課題となっている
ため、設備投資により生産性向上と省人化を図る。また、新型
設備の導入で新型容器（チルドカップ）の製造が可能となる。
➢ 生産能力拡大と新型設備導入により、利益率が高い新規事 内発的動機
業領域（コンビニ向け乳飲料の販売）へ進出が可能であり、
他の乳業メーカーとの差別化を図る • 創業の精神である｢一円融合｣を大切に守り、地元の酪農家とお客さ
まへの感謝の気持ちを忘れず、社員やその家族も含めた皆様が幸せ
➢ 従業員やその家族への還元（賃上げ、育成制度の充実、働
であることを第一に考えている
き方改革の推進）を積極的に実施する
• 現状の生産設備及び敷地では生産能力に限界があり、生産設備の
会社全体の売上成長目標（～2030年） 老朽化により生産効率にも課題がある。そのため、今後の成長に向け
ては生産体制の刷新が必要不可⽋である。
• 売上高成長率：57％
• 売上高増加額：54億円 • 愛知県を中心とした東海エリアでのブランドとしての認知と信頼があるが、
全国での知名度に弱みがあり、マーケティングを通じた商品開発にも弱
会社全体の賃上げ目標
みがあるため、今後の成長に向けては全国での知名度確立とマーケ
• 4.0%（直近事業年度～基準年度）
ティングに強い業者との協業が必要である。
• 6.3%（基準年度～事業化報告3年目）
※一円融合：二宮尊徳翁によって提唱された言葉であり、当社だけでなく、関係者の皆様
と心を一つにして物事に当たることにより、共に繁栄していくという思想</t>
  </si>
  <si>
    <t>中央製乳株式会社
.補助事業の概要
2
補助事業では、既存本社工場の近接地に新工場を建設して、各種製造設備（乳飲料の製造設備・充填
機）を導入することで生産性向上と省人化を図る。
補助事業の • 新工場建設により、乳製品の生産量の拡大を図る 事業費 億円
66
背景・目的 • 新たに包装容器を製造できる充填機（チルドカップ・紙パック）を新工場に導入する （補助額） （ 億円）
15
新工場建設（生産能力拡大）とペットボトル包装容器の充填機を導入 既存工場 新工場
【具体的な投資内容】
① 既存本社工場の近接地に新工場を建設
② 新工場に乳製品の製造設備を導入する
③ 新工場に包装容器（チルドカップ・紙パック）を製造できる充填機を導入する
設備投資の
【補助事業により見込まれる効果】
内容
• 新規事業としてコンビニ向け乳製品の販売を開始（年/3,500万本生産）
• 生産最適化による労働生産性の向上（充填作業が30％削減可能）
• その他生産効率化及びコスト削減（充填機の導入によりパレット積み付けの自
動化が可能である（従前5人で行う作業を1人以下に削減可能））
新工場建屋イメージ
2027年度 2030年度
項目
（基準年度） （基準年度＋３年後）
労働生産性
789
1,512
（単位：万円/人） （年平均上昇率＋24.2％）
目標値 従業員
（
1
単
人
位
あ
：
た
万
り給
円
与
/人
支
）
給総額 548
（年平均上
6
昇
5
率
9
＋6.3％）
役員１人あたり給与支給総額
-
（単位：万円/人） - （年平均上昇率＋6.3％）
補助事業に係る従業員数 139
124
（単位：人） （＋15名増加）</t>
  </si>
  <si>
    <t>近江鍛工株式会社
0.企業紹介
当社は「陸・海・空」の幅広い分野に製品を提供する鍛造業界のリーディングカンパニーである
高い技術力と自社一貫生産により高品質を実現しており、地域貢献の目線も非常に強い
近江鍛工とは
◼ 滋賀県に本社工場を置く、鉄鋼及び非鉄金属を用いた鍛造業のリーディングカンパニー
◼ 自動車・新幹線・建設機械・石油掘削・船舶・航空機などの分野が顧客対象であり、国内外の「陸・海・空」全領域に貢献
◼ 2017年に「地域未来牽引企業」に認定、21年に「令和3年度ふるさと企業大賞（総務大臣賞）」を受賞。地域からの積極雇用にも注力
当社の製品、ビジネスフィールド
◼ ローリング鍛造（金属をリング状に変形させる加工技術）技術と自社一貫生産体制により、大小さまざまな高品質製品を製造
◼ 国内外の様々な大手メーカーの認定工場であり、新幹線の車両用軸受け製品では7割のシェアを有する
ローリング鍛造品のイメージ 代表的なビジネスフィールド
（出所）当社HP</t>
  </si>
  <si>
    <t>近江鍛工株式会社
0.企業紹介
当社は製造設備の内製化により、日本で初めてローリング鍛造製品の製造に成功した
以降も60年近くにわたり大規模投資を繰り返し、時流に即した製品を製造し続けている
近江鍛工の沿革
リングミルを内製し
日本で初めて
ローリング鍛造を実現
従業員5名で創業 「令和3年度ふるさ
（当時の社名： 超高速鍛造技術 信楽工場竣工 と企業大賞（総務
ISO9001を取得
坂口鍛工所） の導入 大型リングミル導入 大臣賞）」を受賞
Φ800リングミル
1951年 1956年 1988年 1994年 1999年 2007年 2021年 2024年
大型油圧プレス機 ステッキ加工開始 長崎工場開設 「明日の日本を支 25億円を投じ、信
社名を「近江鍛工
の導入（大物対応 える元気なモノ作 楽工場に大型鍛造
株式会社」に変更
実現） り300社」に選出 設備を導入
8,000t油圧プレス
（出所）当社HP</t>
  </si>
  <si>
    <t>近江鍛工株式会社
0.企業紹介
ローリング鍛造とは回転するロールを用いて加熱した金属材料を塑性変形させ、顧客が所望される形状に成形
する加工方法。本補助事業では鍛造加工後の機械加工工程キャパシティ拡充を目指している
今後キャパシティ拡充が
現時点で十分な生産キャパシティがある工程
必要な工程
切断 加熱・鍛造 熱処理 機械加工
◼ 鋼材を加熱し、ローリング ◼ 専用設備により焼入れ（鋼 ◼ 旋盤設備等により、顧客
◼ 専用の切断機にて、最終
ミルによってリング形状に を一定温度まで加熱し、急 要望に応じて切削加工な
的な製品形状に合わせて
成形（棒状鍛造の場合は 冷するプロセス）を行い、 どを実施（外注するケース
適切な重量で材料を切断
プレス機を使用） 製品内部の品質を均一化 あり）
（出所） 近江鍛工株式会社HPより作成</t>
  </si>
  <si>
    <t>近江鍛工株式会社
1.長期成長ビジョン
主要事業分野における鍛造＋切削加工品需要の高まりに応えるため、補助事業を通じ
切削加工能力と生産性を向上させ、事業ポートフォリオの盤石化により売上高300億円を達成する
長期成長ビジョン（目指す姿・ビジネスモデル） 外発的動機
【ビジョン】 ◼ 高精度鍛造＋切削加工品の短納期需要激増
当社主要分野である建設機械、エネルギー、直近の引き合いが
◼ 「働きがいのある100年企業」を目指し、基本方針として以下の ⚫
強い石油掘削領域などから、高精度鍛造に加えて切削加工ま
4つを掲げ、時流に即した挑戦を続けることで鍛造業界のリーディ
で施した製品の短納期要望が激化
ングカンパニーであり続ける
短納期での切削加工品納品に向け、製造リードタイムの短縮及
1.KEEP SPEEDY 「スピード感を持って」 ⚫
び加工キャパシティの拡充が必要
2.KEEP SAFETY 「安全に、そして正確に」
3.KEEP CHALLENGE 「チャレンジ精神を忘れず」 ◼ 海外鍛造メーカーのシェア拡大
安価な鍛造品を大量供給する海外企業との競争が激化
4.KEEP CLEAN 「環境への拘り」 ⚫
ローリング鍛造業のパイオニアとして当社が培った高精度鍛造技
⚫
術に加え、切削加工済み製品の強化により差異化を図る想定
【ビジネスモデル】
◼ 成長領域の事業基盤を強化し、ローリング鍛造品のサプライヤーと
内発的動機
して持続可能な事業ポートフォリオの構築を目指す
主要事業であるベアリング部門・建設機械部門・エネルギー ◼ 切削加工工程のキャパシティ拡充
⚫
部門の成長セグメント向け製品および、成長産業であるオイル ⚫ 需要に見合った供給能力を確保するため、外注先と提携しつつ、
&amp;ガス部門全体の鍛造＋切削加工品生産能力を強化 切削加工の内製化能力を向上させる必要あり
⚫ 今後の需要が特に確度高く見込める建築資材については新規 ⚫ 昨年度に総計25億円を投じ、信楽工場の鍛造工程生産能力
事業として独立させ、将来の主要収益製品を創出する を大幅に増強しており、出荷能力は当社の切削加工能力に比
例する状態
会社全体の売上成長目標（2024→30年）
◼ 本社工場の生産性向上
• 全社売上高 156億円→300億円 切削工程が複数箇所に分散している本社工場を新築し、加工
⚫
• 全社売上高成長率 11.5％/年 機能を集約することで工程間リードタイムを大幅に削減する想定
• 売上高増加額 ＋144億円 製造キャパシティの拡充に伴い、製品を劣化させずに保管可能
⚫
会社全体の賃上げ目標 な製品置場の拡充も必要
• 4.9%/年（直近事業年度～基準年度） ⚫ 従業員から自動積込ロボット導入の要望も高まっており、省力
• 従業員：5.4%/年、役員：5.0%/年（基準年度～事業 化の観点も踏まえた生産性の向上が必要と判断
化報告3年目）</t>
  </si>
  <si>
    <t>近江鍛工株式会社
.補助事業の概要
2
本社工場の増改築及び国内全拠点の設備投資により、鍛造+切削加工品の生産能力を1.8倍に拡張、加え
て労働生産性を2.2倍に向上させることで、顧客ニーズに対応した高付加価値鍛造品を増産する
◼ 当社はローリング鍛造のリーディングカンパニーとして高品質な鍛造品を製造しており、安価な製
品でシェアを拡大する海外メーカーとは高付加価値化戦略により差異化を目指す想定
補助事業の ◼ レアメタル資源の掘削、天然ガス発電容量拡大、生成AI普及に伴う電力需要増などの影響で 事業費 2 4 億円
背景・目的 鍛造品の需要が伸び、当社主要事業分野においても納期が短く高品質な鍛造＋切削加工 （補助額） （ . 億円）
5 9
品の引き合い増加。鍛造＋切削加工品の大量製造を実現するための製造キャパシティ拡
充・効率化が求められている
◼ 投資内容の内訳 第一旋盤工場 第三旋盤工場 ステッキ工場
本社工場
⚫
- 工場・倉庫新築工事 8.8億円
- 旋盤・切断機械等投資 6.4億円
信楽・長崎工場
⚫
- 旋盤・切断機械等投資 9.8億円
設備投資の ◼ 投資内容詳細
内容 ⚫ 国内全拠点（本社、信楽、長崎工場）において、旋削設備の
増強により鍛造＋切削加工品の増産を実現（一日あたり加工製 新工場 導入予定設備の例
品数 2024年時点の2倍）
倉庫
本社工場に2か所の旋盤工場とステッキ工場の機能を集約した
⚫
新工場を建設し、自動積込ロボットを導入することで年間生産能
力を1.8倍に向上 ※完成イメージ
製品検査・保管場として倉庫を新築し、製品の保管能力を拡張
⚫
2027年度 2030年度
項目
（基準年度） （基準年度＋３年後）
労働生産性 2,577
1,571
（単位：万円/人） （年平均上昇率＋17.9％）
目標値 従業員1人あたり給与支給総額 915
780
（単位：万円/人） （年平均上昇率＋5.4％）
役員１人あたり給与支給総額 4,971
4,300
（単位：万円/人） （年平均上昇率＋5.0％）
補助事業に係る従業員数 273
270
（単位：人） （年平均上昇率＋0.4％）</t>
  </si>
  <si>
    <t>株式会社アヤボ
1.長期成長ビジョン
新生産拠点へDX自動化製造システム導入により切削工具の一貫生産・再生事業を極める
当社の事業：切削工具等の（再）研削からコーティングを１つの工場内で行うことで、完全一 外発的動機
貫生産によるワンストップ型超高精度リコンディショニング・システムを確立し「nanowarp®」の ＜機会＞
名称でサービスを提供 • 航空機・電気電子・重電分野での切削工具市場の拡大
低燃費・低騒音航空機最新型エンジン事業の隆盛
活発な半導体設備投資
最新型原子力発電所の新設
• コーティング装置リーディングメーカー神戸製鋼所との共同研究
• 名古屋大学とのAIを活用した材料開発共同研究
nanowarp®サービスにより ＜脅威＞
生産される切削工具や金型 • 電気自動車の台頭により、自動車エンジン部品加工用切削工具
市場の縮小
長期成長ビジョン（目指す姿・ビジネスモデル）
• 新型コロナウイルス感染拡大の影響で切削工具の原材料「タング
目指す姿 ビジネスモデル ステン」の価格高騰
企業主導型保育施設「このみ保育園」の運営と 内発的動機
多角的な子育て支援と
保育カリキュラムの開発 • 現生産拠点への設備等により切削工具市場拡大と共に売上高
多子化の実現
多様な働き方改革 増大した成功体験（平成23年度国内立地推進事業を活用）
• 現生産拠点の生産力飽和状態の解消
人材投資型新製品開発推進モデル
新生産拠点稼働による生産力増大
最新コーティング装置の導入と新コーティング皮膜の開発
思い切った設備投資により自動化・省力化生産設備の導入
賃上げによる研究開発人材の確保
スマートマニュファクチャリング 思い切ったDX投資による検査製造工程の高効率化・省力化
DX人材育成と組織の強化
DX自動化切削工具研削ライン（生産量＋40％） これまで蓄積してきたノウハウをAIのティーチングに活用
拡大する市場のシェア拡大
• 切削工具市場におけるシェア拡大
カスタマイズオンデマンド製造
• 企業主導型保育施設の開園と従業員の子育て支援
受発注・生産計画のDX化
• 賃上げによる従業員の豊かな生活と多子化
リサイクルとリマニュファクチャリング • 研究開発・DX人材の確保
持続可能性と環境対応
新品性能の再生切削工具
会社全体の売上成長目標（2025年度～2030年度）
• 売上高成長率２０％（年平均）
• 売上高増加額１６億円
会社全体の賃上げ目標
• １.７%（直近事業年度～基準年度）
• ３.３%（基準年度～事業化報告3年目） 企業主導型保育施設「このみ保育園」 産学官共同研究</t>
  </si>
  <si>
    <t>株式会社アヤボ
2.補助事業の概要
新生産拠点における切削工具のDX自動化研削・コーティング事業で生産性向上と持続的賃上げを実現！
＜背景＞ 事業費 18億円
 現生産拠点では、スペース等の関係より生産力が飽和しつつあり、今後成長が見込まれる切削 （補助額） （3.4億円）
工具市場のシェアの維持・拡大が困難
 若年層人口の減少によって労働力不足が顕在化
補助事業の ＜手段＞
背景・目的  大規模投資により、新生産拠点の構築、DX自動化に対応した生産設備の導入
＜目的＞
 売上倍増・労働生産性の向上・持続的賃上げの実現
 切削工具市場でのシェア拡大１％→1.8％へ
 従業員満足度向上
新生産拠点の構築と切削工具のDX自動化研削・コーティング事業の立上
 新生産拠点の建設
 製品を自動的に生産・検査設備にセットするための搬送ロボットが自在に移動できるフロア設計
 DX化インフラ設備
補助事業の  生産設備を安定稼働させるために導入。インフラ稼働状況をDX一元管理し省力化
内容  切削工具生産のための生産管理・検査・研削・コーティング工程のDX自動化の実現
 既存事業のノウハウをAIに学習させた自動化生産管理ソフトウエアにより生産計画を立案(PI)
 研削工程は素材の投入から研削・検査まで完全無人化、土日無人操業可能
 コーティングの準備作業を自動化
 最新コーティング装置の導入による高性能コーティング皮膜の開発と上市
新生産拠点（補助事業） 現生産拠点
設備投資の
内容</t>
  </si>
  <si>
    <t>株式会社アヤボ
2.補助事業の概要
新生産拠点における切削工具のDX自動化研削・コーティング事業で生産性向上と持続的賃上げを実現！
名称（写真） 役割・労働生産性向上の内容 導入・事業化までの課題とその解決策
新生産拠点 • 立地選定：物流コスト、従業員の通勤
• 省力化生産性向上を可能にする新生産拠点  愛知県内のユーザーに容易にアクセスでき物流コストを
• 切削工具搬送ロボが障害物に接触することなく移動できるよう 低減
に生産設備を配置  安城市内で通勤が容易、十分な駐車場の確保
• 14.９億円売上高を9人の従業員（OP）で担当  愛知県の先端技術認定業種による農地転用を申請中
• 売上高当たりの従業員数6倍に改善 • 設備導入
 先端設備に精通した博士人材の登用
DX化インフラ • 高品質切削工具を製造するための室温管理
• DX自動化生産設備を支えるインフラ
 エアコンの能力と換気頻度をシミュレーションにより算定
• 写真はコンプレッサー
• インフラ設備の安定的運用・維持管理
• その他集中クーラント、エアコンシステム、DX圧縮空気・冷却
 電気・ガス・水道・圧縮空気等の状況をセンサーを使って
水量監視システムなどを導入
２４時間３５６日監視、監視情報をDX化により一元
• DX化によるインフラ管理の省力化（OP 1人）
管理・保存
DX生産管理ソフトウエア • ソフトウエアの要件定義
設備投資の
• これまでの受注状況をAIに学習させ生産計画を自動的に行う  ちかと経営研究所の支援を受けながらてRequest for
内容
ソフト Proposal (RFP）を作成
• 生産計画策定の省力化を実現（OP 1人） • 生産設備への生産計画指示の伝達
• ネットワークにつながれた生産設備に生産計画を転送  光ファイバー回線を導入することによる高速情報通信の
実現
自動画像処理検査装置 • 自動判定プログラムの作成
• 切削工具の品質検査を自動化
 名古屋大学材質デザイン工学研究室の支援を受け
• AIによる画像判定可能
ニューラルネットワーク学習モデルを構築(PI)
• これまでの属人化していた合否判定のノウハウをAIの学習情
• 自動判定の精度と信頼性の向上
報として活用
 導入前に検査に必要な精度を確認、定期的な校正作
• 品質管理業務の省力化（OP 1人）
業、品質検査データのフィードバックループの構築
コーティング装置 • 最新コーティング装置に対応した新製品コーティング皮膜の
• 神戸製鋼所製最新コーティング装置 開発
• これまでにないコーティング皮膜を神戸製鋼所と共同開発  装置メーカー神戸製鋼所との共同開発により特許出願
（特許共同出願済み） • オペレータの操作方法の習得
• ３台のコーティング装置運転業務の省力化（OP３人）  同型機がすでに一台導入されているのでそれを使った事
業期間中のオペレータトレーニング</t>
  </si>
  <si>
    <t>株式会社アヤボ
2.補助事業の概要
新生産拠点における切削工具のDX自動化研削・コーティング事業で生産性向上と持続的賃上げを実現！
名称（写真） 役割・労働生産性向上の内容 導入・事業化までの課題とその解決策
コーティングセットアップロボ
• １バッチセットアップするためのリードタイム（LT）
• 切削工具をコーティングするために工具をホルダーに自動マ  ２台のロボットアームの協調動作によるLT短縮
ウントできる装置 • コーティング治具の規格化
• コーティングセットアップ作業の省力化（OP0.5人）  ロボットアームが容易にハンドリングできる形状の選定
 ４種類の治具と８種類のスペーサを組合せにより対応
自動洗浄機 • 切削工具の自動搬送機構
設備投資の  コンベアとステンレス籠を組み合わせた自動搬送機構
内容 • コーティング前の切削工具を洗浄するための装置 の開発
• 自動搬送装置付き無人運転で省力化（OP0.5人） • 洗浄タクトタイム
 多槽式洗浄機を設計することにより個々の槽での洗
浄時間を短縮
DX自動化切削工具研削ライン • 土日無人操業のための生産管理
• 切削工具の研削から測定まで全自動で行うためのシステム  ６０時間連続運転可能な研削スケジュールの立案
• ４台の研削装置・１台の検査装置の土日無人操業可能 • 特殊形状工具の研削プログラムの開発
で生産力40%アップ  大分大学・鹿児島大学との共同研究による「時間遅
• 全自動により研削作業員の省力化（OP２人） れの自励振動理論」にもとづいた理論解析とシミュレー
ション手法の活用
2027年度 2030年度
項目
（基準年度） （基準年度＋３年後）
労働生産性 ６，２３２
３，１３５
（単位：万円/人） （年平均上昇率＋２５．７％）
従業員1人あたり給与支給総額 ５９３
目標値 ４４６
（単位：万円/人） （年平均上昇率＋１０．０％）
役員１人あたり給与支給総額 -
-
（単位：万円/人） （年平均上昇率＋５．０％）
補助事業に係る従業員数
５ ９
（単位：人）</t>
  </si>
  <si>
    <t>株式会社田中食品興業所
1.⻑期成⻑ビジョン
社会構造の変化に伴う業務用フィリング事業の需要増加に対応することで国内外の⾷生活の充実に貢献する
2031年7月期までに売上高18,952百万円、成⻑率+50%を実現する
⻑期成⻑ビジョン（目指す姿・ビジネスモデル） 外発的動機
•
労働⼈⼝の減少を背景とした労働⼒不⾜や原材料の高騰により、従来フィリング
「感動してもらえる食品づくりによって、豊かな食生活に貢献する」
を自社生産していた外⾷市場やコンビニエンスストア（CVS）・スーパーマーケット
•
業務用フィリングメーカーとして、安定した業務用フィリングの生産体制によって国 （SM）等の中⾷市場、スイーツ市場において省⼈化、効率化を目的としてフィ
内外の豊かな⾷生活に貢献するとともに、製パンメーカーだけでなく外⾷、中⾷ リングを外製化する需要が高まっており、業務用フィリング市場は拡大傾向。
等「⾷」を提供する市場に対してフィリングによって新たな価値を提供する。
•
業務用フィリング市場において最も重要な顧客であるパン市場では、共働き世帯、
•
当社は、強みである製品開発⼒に磨きをかけ、⾜元のニーズを確実に充⾜する
単身世帯の増加、「タイムパフォーマンス（タイパ）」といった新たな価値観の広が
とともに、効率的かつ大量生産ができる製造体制を構築することによって、国内
りを背景に⾷事に⼿軽さを求める消費者の増加により、手軽な食事の代表格で
外の新たな消費者ニーズに応えることで、⻑期的な事業成⻑を実現する。
ある菓子パン・総菜パンの売上は増加している。
•
海外パン市場、特にアジア市場への進出に向けた社内体制の強化に取り組み、 •
コンビニエンスストアの台頭により、消費者ニーズは多様化・高度化しており、商品
国内製パンメーカーの海外戦略のパートナーとなることで、⽇本のみならずアジア
ライフサイクルの短期化、多品種少量化、高品質化が進んでいる。
圏全体のパン⾷⽂化発展に貢献し、持続的な成⻑を実現する。
•
• アジア市場において、経済成⻑に伴う中間層の増加により高い市場成⻑が⾒込
これまでフィリングを自社生産してきた外食、中食（コンビニエンスストア・スー
まれるとともに「日本のパン食文化」のアジア圏での支持が高まりつつあることか
パーマーケット等）、スイーツ（カフェ等）等の市場に向けて販路を拡大する。
ら、当社の主要顧客である製パンメーカーやCVS等が海外進出を進めており、
主原料と⽐較して価格優位性もあり、機能性も高い業務用フィリングを活用する
ベーカリーフィリングの需要も拡⼤している。
ことで、労働⼒不⾜の状況にあるこれらの業界における省⼒化・効率化を⽀援
するとともに、価格弾⼒性も付与することで私たちの生活の根幹をなす⾷⽂化の
内発的動機
保全を⾏う。
•
当社は社是「食品による国⺠の体⼒増強に奉仕する」のもと、戦後の⼤阪の町
•
従業員の成果に正しく報いることを掲げて、高度⼈材を採用して⻑期的な事業
で創業し、フィリング（中具）メーカーとしてパン⾷⽂化形成の一端を担ってきた。
成⻑を実現するために賃上げ等により採用競争⼒を高める。
•
創業以来、常に安全・安心でおいしく、健康に良い商品作りを追求し、顧客ニー
ズに応じた商品開発⼒を強みに、⼤⼿製パンメーカーに訴求することで信頼関係
会社全体の売上成⻑目標（〜2031年7月期）
を蓄積してきた。
•
売上高成⻑率150.0％（2024年7月期⽐）
•
• 近年では国内パン業界全体の成⻑は以前ほどの勢いはないものの、海外市場に
売上高増加額63億円（2024年7月期⽐）
おける「⽇本のパン⾷」拡⼤に加えて、従来フィリングを自社生産してきた業界にお
会社全体の賃上げ目標
けるフィリング需要の拡大による成⻑機会を獲得していくために生産⼒の増強
•
0.97%（直近事業年度〜基準年度）
が必要である。
•
6.15%（基準年度〜事業化報告3年目） •
収益率が低く過当競争状態にある⾷品製造業においては、収益性の改善による
賃上げ等により⼈員を拡⼤し、更なる売上拡⼤につなげる良いサイクルを実現す
るためにはリスクを伴う⼤規模な賃上げが必須と考えている。</t>
  </si>
  <si>
    <t>株式会社田中食品興業所
2.補助事業の概要
業務用フィリングの海外市場成⻑・市場拡⼤による需要増加に対応するため、生産能⼒の増強を図る
加えて、出荷工程等ノンコア業務の自動化により生産部門を省⼈化し、労働生産性の向上を実現する
•
海外パン市場の成⻑、外⾷・中⾷・スイーツ等へのフィリング市場拡⼤による需要増加に対して当社生産
補助事業の 事業費 20億円
能⼒が不⾜しており、将来の継続的な事業成⻑を実現するべく生産能⼒増強及び省⼒化による労働
背景・目的 （補助額）（6.6億円）
生産性改善を実施する。
①生産能⼒増強
• 国内外での業務用フィリングの需要増加に対応するべく生産能⼒を増強する。 生産能⼒増強
生産量︓25,400t（2024年7月期） ⇒ 43,600t（2031年7月期） 設備投資 投資⾦額
プラコン洗浄室増設 90百万円
• 業務用フィリングのニーズ拡⼤に伴い需要が増加している外⾷・中⾷・スイーツ等市場に向
受水槽増設 60百万円
けて、⼩容量品の量産が可能な製造ラインを構築する。
原料倉庫増設 500百万円
②省⼒化 原料倉庫移動ラック 50百万円
• 業務の標準化をしやすいノンコア業務において、工程自動化を実現することで生産量の向 物流システム 20百万円
製品冷却設備 280百万円
上及び省⼈化を実現。
設備投資の 冷凍・冷蔵庫 42百万円
• 外⾷・中⾷・スイーツ等市場に需要の高いフィリングのボトル充填を自動化し、効率生産を
内容 ⼤型ニーダー 150百万円
実現する。
シート用包装機 34百万円
省⼒化
つ
本 設備投資 投資⾦額
く
社 ボトル充填機 58百万円
ば
工 AI選別機 38百万円
工
場 箱詰め工程の自動化 300百万円
場
充填後工程の自動化 110百万円
製品搬送設備の新設 300百万円
2027年度(2028年7月期) 2030年度(2031年7月期)
項目
（基準年度） （基準年度＋３年後）
労働生産性 1,276万円/⼈
825万円/⼈
（単位︓万円/⼈） （年平均上昇率＋15.7％）
目標値 従業員1⼈あたり給与支給総額 558万円/⼈ 669万円/⼈
（単位︓万円/⼈） （年平均上昇率＋6.2％）
役員１⼈あたり給与支給総額 -
-
（単位︓万円/⼈） （年平均上昇率＋5.0％）
補助事業に係る従業員数
326⼈ 337⼈
（単位︓⼈）</t>
  </si>
  <si>
    <t>カンケンテクノ株式会社
1.⾧期成⾧ビジョン
グローバルな半導体需要と環境対応ニーズの高まりを背景に、排ガス除害装置の生産能力強化と新技術の量
産化を通じて、環境装置分野のプラットフォーマーを目指します。
⾧期成⾧ビジョン（目指す姿・ビジネスモデル） 外発的動機
• カンケンテクノ株式会社は、「環境技術革新への挑戦」を経営理
• 世界最大の半導体業界団体であるSEMIは2030年までに半導
念に掲げ、半導体製造工程等で発生する温室効果ガス等の除
体市場が1兆米ドル規模に拡大すると予測しており、世界的な環
害装置を中核事業として展開しています。
境規制強化や脱炭素化の推進により、当社製品への需要が増加。
• 当社の主力製品は、半導体製造などで発生する毒性・可燃性ガ
• 各国政府による支援策にも後押しされ、 TSMC・Micron、
ス（PFCやNF3、SF6等）を処理する除害装置であり、独自の
Samsung、ソニー等の大手半導体メーカーが積極的に設備投資
電気式熱分解方式等により、高効率・高安全性・省エネルギー性
を推進中。官民一体化となった大型投資が継続。
を実現しています。また、2024年度には、ネオンリサイクル装置が
「省エネ大賞」を受賞。希少資源の再利用と温室効果ガスの排出
• 台湾・米国・韓国・日本・中国市場における旺盛な需要増に対応
抑制を両立する革新的な技術として高く評価されており、現在その
する必要性が高まっている。
標準化・量産化に取り組んでいます。
• さらに、2024～2028年にかけて、京都本社および熊本工場に新 内発的動機
たな増設棟を整備し、生産能力の抜本的拡張と供給体制の柔
軟化を進めます。これにより、グローバル市場における安定供給と、 • カンケンテクノは、「環境負荷を低減し、持続可能な社会を創る」と
多品種対応の強化を図り、“環境装置のプラットフォーマー”として いう理念のもと、大気環境保全装置の開発を推進してきた。設立
の基盤構築を目指します。 以来、強化される環境規制や産業構造の変化に対応しながら、国
内外で確固たる地位を確立。
グループ全体の売上成⾧目標（2024～2030年） • 半導体市場の急成⾧や技術進化に伴い、除害装置の大型化・高
性能化が進む中、従来の生産拠点・設備では対応が困難となり、
• 売上高成⾧率13.7％（267億円→585億円）
生産体制の抜本的な見直しが不可欠。
• 売上高増加額318億円
• そのため、生産拠点の拡張と効率化を図り、環境負荷低減と生産
会社全体の賃上げ目標
性向上の両立を目指すと共に、従業員の働きやすさを向上させるこ
• 4.12%（最新決算期～基準年度）
とで、継続的な賃上げと社員エンゲージメント向上を図る。
• 5.37%（基準年度～事業化報告3年目）</t>
  </si>
  <si>
    <t>カンケンテクノ株式会社
2.補助事業の概要
半導体市場の成⾧に伴う排ガス除害装置の需要増に対応するため、京都本社新棟および熊本工場を増築し、
生産能力を拡大します。環境負荷低減、生産性向上、地域経済の活性化を図ります。
• 半導体市場の拡大による除害装置の需要急増への対応が急務
• 国内シェア1位・グローバル上位シェアを堅持、供給不足リスクの解消と世界シェア拡大を目指す
補助事業の
• 熊本工場を国内第2の量産拠点として、BCP（事業継続）・多拠点体制を強化
事業費 28億円
背景・目的
• 省力化・生産性向上を実現し、地域雇用の創出と持続的な賃上げにつなげる
（補助額） （8.4億円）
【京都本社工場（新棟）】
• 延床898㎡（6階建）の新棟建設により装置組立・計装工程を集約、生
産能力を月40台→50台へ拡大（+25%）
• 3次元ファイバーレーザー加工機と窒素発生装置を導入し、ステンレス配管
の加工自動化を実現。
└ 年間10486h相当の作業を3495hに削減見込み（2028年時点）
設備投資の
• 工場近隣に新たな部品倉庫を建設し、安定部品供給体制の確立 写真等
内容
【熊本工場（2期工場）】
• 第2期工場（新棟）を増設し、部品製作、倉庫機能を追加し、一貫生産
体制を確立
• 月産20台→60台（＋3倍）へ拡張し、大型機種への対応力を強化
2027年度 2030年度
項目
（基準年度） （基準年度＋３年後）
労働生産性
1,006万円 1,260万円（年平均上昇率＋7.8％）
（単位:万円/人）
従業員1人あたり給与支給総額 京都 788万円 926万円（年平均上昇率＋5.5％）
目標値
（単位:万円/人） 熊本 709万円 834万円（年平均上昇率＋5.5％）
役員１人あたり給与支給総額 京都 - -（年平均上昇率＋5.3％）
（単位:万円/人） 熊本 - -
補助事業に係る従業員数 京都 401人 462人
（単位:人 役員除く） 熊本 44人 54人</t>
  </si>
  <si>
    <t>INTLOOP株式会社
1.⾧期成⾧ビジョン
「テクノロジーと人を統合したソリューションプラットフォーマー」として、先進技術群とプロフェッショナル人材を結集して
企業の複雑化する経営課題解決に取り組み、労働人口減に直面する日本の産業競争力強化への貢献を目指す
⾧期成⾧ビジョン（目指す姿・ビジネスモデル）
外発的動機
 目指す姿（FY30） • 労働人口の減少と各産業の人材不足の拡大・深刻化
（2030年に最大640万人の労働力が不足）
• 「テクノロジーと人を統合したソリューションプラットフォーマー」へ進化
• 先進の技術群とプロフェッショナル人材を結集し、顧客企業の支援 • AIを中心とする先端テクノロジーの社会実装需要の急増
を通じて社会課題を解決する企業を目指す
• グローバルでのリソース獲得競争の激化
• 2030年目標として売上高1,000億円・営業利益150億円の • IT分野を中心とするハイスキル人材の不足と多様な働き方の浸透
達成を目指し、デジタル社会の実現に貢献する中核企業として、
日本の産業競争力強化と労働市場の課題解決に寄与(連結) 内発的動機
• 自らが「成⾧」のシンボルとなり、人と企業の価値を最大化するという
 ビジネスモデル（プロフェッショナル人材活用サービス）
ミッションの実現
• Webマーケティングで獲得したフリーランスへの案件紹介、
• 約5万人規模の人材DBを活用した多様な課題解決への挑戦
マッチングサービスを展開
• テクノロジーとソリューションを統合し、顧客企業の高付加価値化を支援
• クライアントとフリーランスの間に立ち、1名からチーム提案まで様々な
規模の案件に対応 • テクノロジーパートナーとのエコシステム形成による先端技術を活用した
社会課題解決への貢献
• 約5万人の人材DBを擁し、多種多様な課題解決を支援
会社全体の売上成⾧目標（～2030年/連結）
• 売上高成⾧率: 24.3％(FY24実績比)
• 売上高増加額:729億円(FY24実績比)
会社全体の賃上げ目標（単体）
• 年平均＋4.18%（直近事業年度～基準年度:FY24～FY27）
• 年平均＋6.74%（基準年度～事業化報告3年目:FY27～FY30）
出所:情報処理推進推進機構、パーソル総合研究所</t>
  </si>
  <si>
    <t>2.補助事業の概要
2030年問題の労働人口減の加速が迫り、従来の人ベースでの企業ニーズに合わせたフリーランス提供から
AIエージェント基盤の整備で、サービス提供対象を拡大して地方／SMBまで包含したサービス提供を目指す
• 2030年問題の労働人口減に伴い、各企業で労働力の確保が大きな経営課題
補助事業の 事業費 15億円
• 採用難が多くの企業に広がり、大手企業/地方企業/SMB問わず外部人材活用ニーズが拡大
背景・目的 （補助額） （5.1億円）
• INTLOOPでは人とAIを融合した事業強化で、サービス/提供対象の拡大/自動化を目指す
【設備投資内容】
新規設備投資/開発対象
• AIエージェントサービス
‒ 人材マッチングAIエージェント
 人材ニーズに合う人材をAIマッチング
INTLOOP社員
‒ コンサルティング自動化AIエージェント フリーランス
人材提案 大手企業
 コンサルサービスのAI化／自動提供 ネットワーク
‒ エージェントマーケットプレイス 48,000人 人材マッチング効率化/精度向上
 サービス提供のオープン化／SaaS化 管理基盤 データ活用基盤
中堅
• データ活用基盤 (IAP Backend)
中小企業
設備投資の
‒ 各種基盤機能整備
内容  エージェントサービスに必要な SAP
人材マッチング
SAP/Datalakeなどシステム基盤整備
AIエージェント 地方企業
【設備投資による課題解決】 フリーランス マ Datalake
• 従来の人ベースのサービスからAI活用で DB データ ル
集約/ チ 最小限の人員でサービス提供対象を拡大
統合
分析基盤
• オープン化/SaaS化によるサービス提供の コンサルティング
自動化で労働生産性向上 自動化 SMB
AIエージェント
【地方への波及効果】 AIエージェント
モデル
• 従来の営業(ヒト)がアプローチできなかった
地方へ、SaaS化(AI)でサービス提供
項目 FY25(直近決算年度) FY28(基準年度) FY31（基準年度＋３年後）
労働生産性 （単位:万円/人） －万円/人 3,506万円/人 12,510万円/人(3年間の年平均上昇率52.8％)
目標値
従業員1人あたり給与支給総 （単位:万円/人） －万円/人 1,996万円/人 2,348万円/人(3年間の年平均上昇率(cid:1)5.6％)
役員１人あたり給与支給総額 （単位:万円/人） －万円/人 －万円/人 －万円/人(3年間の年平均上昇率 －％)
補助事業に係る従業員数 （単位:人） － 人 21 人 27 人
AI
INTLOOP株式会社
INTLOOP AI Agent Platform（IAP）
従来 個別人材検索
ヒトで 領域
手厚く
AIエージェントサービス
提案
(IAP Frontend)
エ
ー AI化での 人材提案/
データ ジ コンサル 新たな
連携/活用 ェ SaaS化 拡大領域
ン
AIで
ト
幅広く
提案</t>
  </si>
  <si>
    <t>株式会社サンワ
1.長期成長ビジョン
人と社会と環境に貢献する価値提供ロジスティクス企業への昇華、そして創業100年売上100億円企業を目
指す
長期成長ビジョン（目指す姿・ビジネスモデル） 外発的動機
物流総合効率化による業界変革
人と社会と環境に貢献する価値提供ロジスティクス企業
◼ 国主導の物流総合効率化法により、輸送の合理化、流通業務の効率化、
環境負荷軽減への対応が物流業界に求められている
◼ 「モーダルシフト」、「共同配送」、「輸送網の集約」などの効率化が重視
サンワグループは、物流に関わる様々な機能の高度化にチャレンジ
物流業界の人手不足と労働環境問題
し続け、お客様の発展に繋がる価値提供サービスを追求する。
◼ 労働者人口減少に加え、2024年問題によりドライバー人手不足に拍車
自社の成長過程において、人と社会と環境への関りを常に意識
◼ 重労働や長時間労働が多く、労働環境改善が求められている
し、持続的な発展を目指す。
競争激化と荷主からの付加価値サービス要求の高まり
価値提供ロジスティクス 人と社会と環境への貢献 ◼ スピード対応や価格競争が激化するなか、燃料費や人件費は上昇傾向
◼ JIT（ジャストインタイム）納品への要求、納入部品集約のDEPO機能、組
付け等の加工納品要求の高まり
ロジティクス機能の高度化 人
財産である従業員の幸せを実現
①運送②倉庫③荷役④流通加工 内発的動機
• 事業領域拡大と各機能高度化 社会
企業理念の追求と事業継続性強化
• 一貫請負の付加価値サービス お客様と地域発展への貢献
◼ 「わが社は人が財産であり、全てである。社会に欠くべからざる物流の中で、
• サプライチェーンマネジメント提案 環境 必要有る存在として、常にお客様への感謝を忘れず、お客様の発展を願い、
• 企業間連携、共同事業強化 SDGs、カーボンニュートラルへの取組 身の程をわきまえ、しかし身の程を超える目標をもち、会社の永遠の繁栄と従
業員の幸せを実現する」が当社の企業理念
◼ 女性経営者の視点を活かし、老若男女問わず働きやすい環境をつくり、「小
会社全体の売上成長目標（～31年9月期）
さくてもキラリと光る会社」を目指す
• 売上高成長率12.2％
変化への柔軟性とタイヤサービス技術開発の成功
• 売上高増加額46億円
◼ 繊維運送から自動車産業関連への運送へと柔軟に領域拡大してきた歴史
会社全体の賃上げ目標
を持ち、市場ニーズに対応した物流一括請負が強み
• 3.0%（直近事業年度～基準年度） ◼ 特に自動車タイヤ荷役に関しては、先端技術開発による自動化に積極的に
• 6.0%（基準年度～事業化報告3年目） 取組むなどの実績と信頼を積み上げた結果、Tier1企業から物流アウトソー
シングの相談を受けるに至っている</t>
  </si>
  <si>
    <t>株式会社サンワ
.補助事業の概要
2
産業集積地における物流集約DEPO建設による付加価値機能強化と産業用車両向け取引の拡大により、労
働生産性の大幅向上と持続的な賃上げを目指す
補助事業の 背景：外部環境の変化と産業車両部品のロジスティクス要望 事業費 24億円
背景・目的 目的：物流総合化・効率化に向けた提供サービス価値向上とホワイト物流の実現 （補助額） （ 億円）
7.3
産業集積地における物流集約DEPO建設による付加価値機能強化と産業用車両向け取引の拡大
【具体的な投資内容】
① 安城DEPO建設（21億円）
産業用車両の各メーカ部品を集約入荷保管し、DEPO内で組付け加工と順立て
を行った上で、ジャストインタイムでメーカーへ出荷納品
② 自動倉庫・ピッキングロボットシステムの導入（3億円）
設備投資の
介護自動搬送システムを設置し、ピッキング・入出荷の省力化
内容
【補助事業により見込まれる効果】
DEPO倉庫とは：
• 提供サービス価値向上による売上・利益率拡大、労働生産性向上 多くの在庫を持たず、迅速に頻度の高い
• 物流総合化・効率化の社会・環境課題への寄与 配送を行うための施設として、顧客に商
• 地域雇用と賃上げ 品を届ける最後の配送区間（ラストワン
マイル）を担当する倉庫
2026年度 2029年度
項目
（基準年度） （基準年度＋３年後）
労働生産性 982万円/人
573万円/人
（単位：万円/人） （年平均上昇率＋19.6％）
目標値 従業員1人あたり給与支給総額 500万円/人
420万円/人
（単位：万円/人） （年平均上昇率＋6.0％）
役員１人あたり給与支給総額
-
（単位：万円/人） - （年平均上昇率＋5.0％）
補助事業に係る従業員数
427人 433人
（単位：人）</t>
  </si>
  <si>
    <t>白鷺特殊鋼株式会社
1.長期成長ビジョン
ハクログループの目指す姿：強みである特殊鋼多種豊富な在庫を武器に、加工含むワンストップサービスを追求。
ハクログループのシナジーを発揮し、多様なニーズに、いっそう付加価値の高いサービスを提供する。
長期成長ビジョン（目指す姿・ビジネスモデル） 外発的動機
• 流通に求められる顧客のニーズの多様化（切断・穴あけのみならず、
「IRON（鉄鋼）SOLUTION 」
切削、研磨までの加工要求高まる）
• 安全・快適な社会を支え、産業界に欠かせない鉄鋼を供給する企業と • 進む多機能化・多品種化・小ロット化
して、ハクログループは「新たなる信頼への挑戦」をテーマに掲げています。 • 進む顧客先での在庫減少と当社グループに求められる短納期化
• 多様なお客様のご要望に対して、「ハクログループ3社のシナジーを発揮し、 • 顧客での先端産業高精度精密部品の増加にともなう品質保証
より付加価値の高いサービスを提供する」、それを可能にするのがハクロの 体制の維持および強化
「IRON鉄鋼 SOLUTION X」です。 • 海外動向への対応(為替、品質、納期)
• ビジネスに進化をもたらし、ものづくりを深化させ、お客様とより強固な
信頼関係を構築していきたいと考えています。
内発的動機
• グローバル化が加速する中、私たちは世界のお客様に選ばれるグループ
企業でなければならないと考えています。 • ハクログループの連携問題。連絡・指示・情報系統で生産性
• ハクログループの強みである対応のきめ細やかさや迅速な供給体制を維 改善の見込み。
持しながら、国際競争力を高めるべく、さらなる努力を続けます。 • 鋼材加工の短納期多品種対応とともに、高難度切削加工能力
そして、メイドインジャパンの最高品質で、信頼性の高い製品を供給し、 の増強でグループ力による付加価値向上。
安心できる社会と豊かな未来の創造に貢献すべく、研鑽を重ねてまいり • 北海道から九州まで顧客重要素材の供給責任から、全国18拠点
ます。
でのレジリエンス強化。
白鷺特殊鋼㈱兵庫の売上成長目標（～2030年） ハクロスチール㈱の売上成長目標（～2030年）
• 売上高成長率192％ • 売上高成長率166％
• 売上高増加額70億円 • 売上高増加額10.3億円
白鷺特殊鋼㈱兵庫の1人あたり年平均賃上げ目標 ハクロスチール㈱の1人あたり年平均賃上げ目標
• 5.76%（直近事業年度～基準年度 年平均） • 4.5%（直近事業年度～基準年度 年平均）
• 6.7%（基準年度～事業化報告3年目 年平均） • 6.7%（基準年度～事業化報告3年目 年平均）
2社合計の売上成長目標（～2030年） 2社合計の1人あたり年平均賃上げ目標
• 売上高成長率187％ • 5.1%（直近事業年度～基準年度 年平均）
• 売上高増加額81億円 • 6.7%（基準年度～事業化報告3年目 年平均）</t>
  </si>
  <si>
    <t>白鷺特殊鋼株式会社
.補助事業の概要
2
全国各拠点での配送機能のレジリエンス強化で、重要素材の供給責任を果たしつつ、
ユーザーに最適な特殊鋼供給体制構築＝商社機能＋加工機能の強化を通じて付加価値向上を目指す。
補助事業 中核兵庫エリアでの在庫保管＋加工機能強化、受注・顧客管理・在庫・加工・配送情報共有で、全国 事業費 億円
36
の背景・目
各拠点の「量・種類ともに豊富な在庫力」「加工即時対応」等機能を補完するとともに、全社的に生産性 （補助額） （ . 億円）
的 8 5
向上による利益拡大で、「顧客」「従業員」「取引先」「地域」ほかステークホルダーへの貢献を目指す。
① グループ物流・在庫機能強化～合金鋼需要での生産性向上 ③グループ切削加工強化
～難削材加工での高付加価値化
①-1 白鷺特殊鋼㈱の本社工場★13ｐ ①-2 グループ切断加工強化 情報システム再構築等グ ・白鷺特殊鋼㈱、ハクロスチール㈱
＋神戸大学との産学連携研究による最適 ～合金鋼需要での生産性向上 ループDX取組み 各拠点での切断機械増強
設備投資
な生産システム ・白鷺特殊鋼㈱、ハクロスチール ★補助事業外 ★16ｐ
の
内容 ㈱新工場での切断機の増強
★15ｐ
白鷺特殊鋼㈱兵庫事業＋ハクロスチール㈱コンソーシアム２社の下表目標を踏まえ、
2社合計で2030年度労働生産性年平均31％上昇、従業員1人あたり給与支給総額年平均6.7％上昇を目指す
白鷺特殊鋼㈱兵庫事業 ハクロスチール㈱ コンソーシアム
2027年度 2030年度 2027年度 2030年度 2027年度 2030年度
項目
（基準年度） （基準年度＋３年後） （基準年度） （基準年度＋３年後） （基準年度） （基準年度＋３年後）
労働生産性 2,845 1,541 2,415
（単位：万円/人）
955
（年平均上昇率＋43.9％）
716
（年平均上昇率＋29.1％）
877
（年平均上昇率＋40.16％）
目
従業員1人あたり給与支給 488 593 477 580 484 589
標 総額（単位：万円/人） （年平均上昇率＋6.7％） （年平均上昇率＋6.7%） （年平均上昇率＋6.7%）
値 役員１人あた 額 り給与支給総 - （年平均上昇 - 率＋6.7％） - （年平均上昇 - 率＋6.7％） - （年平均上昇 - 率＋6.7％）
（単位：万円/人）
補助事業に係る従業員数 55 60 27 30 82 90
（単位：人）</t>
  </si>
  <si>
    <t>奥長良川名水株式会社
1.長期成長ビジョン
「きれいな水で、日本にレジリエンスを。」
日本でも有数の高品質な水を持つ当社が、市場への影響力を拡大し、社会に安心と安全をもたらす。
長期成長ビジョン（目指す姿・ビジネスモデル）
外発的動機
• ミネラルウォーター製造事業を通じて、長期的に持続可能な社会
• 健康への意識が高まる中、清潔で栄養価の高いミネラルウォー
への貢献を目指す。
ターへの需要が増加している。
• 持続可能な開発目標（SDGs）の一環として、安心安全でク
• 日本では近年激甚災害が多発しており、水道の停止が常に問題と
リーンな水を全ての人に提供する。
なっている。そのため、保存水の備蓄が重要視されている。
• 高品質なミネラルウォーターの供給を拡大し、災害時における備蓄
• 水質汚染やインフラの老朽化により、公共の水道水への信頼が低
用の保存水を通じて社会のレジリエンスを高める。
下している場合がある。
• 質の高い水を提供することで、日常生活における健康と豊かな生
• 日本全国では、災害時に必要とされる備蓄水量は最低でも108
活を支える。
億リットル(約9,000万ケース相当)と推計されており、中部地方
• 新工場のDX化により、生産性と環境配慮を両立させる先進の工
だけでも18億リットル₍約1.5億ケース)にのぼる。このような大規
場モデルを実現し、企業としての社会的責任を全うする。
模な備蓄ニーズに対し、安定供給体制を構築することは、当社の
■売上成長目標（2024年直近決算～2029年） 社会的使命である。(出展先：内閣府「災害に対する備え」)、(総
務省統計局「人口推計令和5年」)
・全社売上目標：28.6億円
・売上高成長率：358.3%
・会社全体の売上高増加額：20.6億円
内発的動機
（売上の内訳） 2024年 2029年
• OEM保存水の需要は年々高まり、現状もオーダー待ちとなっている
OEM保存水 723百万 2,777百万 ことから受注の機会を逸失する事象が生じている。
• 設備の老朽化も含め製造能力の限界に達しており、市場の需要に
機能水製造 75百万 84百万
応えられない状況。
798百万 2,861百万
• 市場の需要に迅速かつ適切に対応するため、営業戦略に基づいた
■会社全体の賃上げ目標
体制構築が必須。
• 107.0％（2024年直近決算～2026年基準年度） • 省エネルギー化と高速製造機器を導入することでDX化を推進し
• 146.9％（2026年直近決算～2029年基準年度） 「増産・人材活用・利益率」の向上を図る必要がある。
2024年 2026年 2029年 • 安定して成長する企業であることで、ミネラルウォーター製造を通じ、
長期的に持続可能な社会への貢献をしていく。
給与支給総額 94.3百万 100.9百万 148.3百万</t>
  </si>
  <si>
    <t>奥長良川名水株式会社
.補助事業の概要
2
最新設備の導入と既存生産工場とのシナジーにより、高い労働生産性を誇る新工場を建設。
単なる増員によるリスクを低減しながら、大規模な供給能力を実現するスマートファクトリー。
近年の健康志向の高まりや災害リスクの顕在化により、高品質かつ保存性の高いミネラルウォーターへの需要が
急増している。特に災害備蓄用保存水としての用途が注目されており、安定供給体制の構築が社会的要請と
補助事業の なっている。当社においても順調に受注を伸ばしているが、現有施設ではこれらの需要に応じきれず、受注機会の 事業費 13 億円
背景・目的 損失が発生している。これらに対応するため、補助事業を通じて新たに新工場の増設を行い、生産設備のDX化 （補助額） （ 3 .0億円）
による自動化を進める。これにより、生産設備の老朽化と受注機会の損失を解消し、生産性を向上させる。そし
て、社会に貢献する企業として、さらなる飛躍を目指している。
■新工場
※設備投資金額については、3社
・建設 634,635千円
から見積提案をいただき、価格面、
・プラント設備 580,030千円
スペック面を検討した結果から計
画している。
■特徴
・ボトル成型から、充填、キャップ、ラベル、検査、梱包まで全てオートメーション
・省エネと生産スピードが高い設備導入により、現状より2.4倍/ｈの生産可能
設備投資の
・作業効率が高いため、増産と同時に省人化が可能で生産性が向上
内容
■ペットボトル製造ラインを採用した経緯
投資に際してはアルミ缶との比較も行ったが、環境負荷や安全性の観点からペットボトル製造ライン
を採用した。アルミは再生時に高温処理が必要で環境負荷が大きく、窒素充填の必要性もある。
一方、ペットボトルは効率的なリサイクルが可能で、当社では15年以上の保存実績有しており、他
社にはない信頼性の裏付けをもとに選定した。
新工場イメージ
2026年度 2029年度
項目
（基準年度） （基準年度＋３年後）
労働生産性 3,390
87
（単位：万円/人） 2 （年平均上昇率＋57.2％）
目標値 従業員1人当たり給与支給総額 555
46
（単位：万円/人） 5 （年平均上昇率＋6.1％）
役員１人当たり給与支給総額
-
（単位：万円/人） - （年平均上昇率＋6.1％）
補助事業に係る従業員数
17 22
（単位：人）</t>
  </si>
  <si>
    <t>有楽製菓株式会社
当社について
「おいしさイナズマ級！」というキャッチコピーで大ヒットし、2024年に販売30周年を迎えたブラックサンダーを始
めとして、子どもから大人まで誰にも親しまれるお菓子を自社工場にて製造・販売している。
会社概要 売上高推移（単位：億円）
180.0 165
154
• 会社名：有楽製菓株式会社 160.0
137
• 代表者：代表取締役社長 河合 辰信 140.0
118.6
• 本社所在地：東京都小平市小川町１－９４ 111.4
120.0
• 創業： 1955年3月
100.0
• 資本金：1,140万円
• 事業内容：菓子製造販売 80.0
• 売上高：165億円（2024年7月期） 60.0
• 従業員数：458名（2024年7月期） 40.0
• 国内拠点：
20.0
本社工場、豊橋夢工場、札幌工場
0.0
札幌営業所、東京営業所、大阪営業所
20年7月期 21年7月期 22年7月期 23年7月期 24年7月期
*値引前の総額売上高
主要工場 主要ブランド
2024年に発売30周年を迎えたロングセラー商品
• 2011年に愛知県・豊橋に約2
万坪の工場「豊橋夢工場」を
新設。
• お客様に「夢」のあるお菓子を
届けることができる工場という
意味など、「夢」を具現化した
工場である。</t>
  </si>
  <si>
    <t>有楽製菓株式会社
1.長期成長ビジョン
”日本一ワクワクする菓子屋”を目指し、働く従業員もワクワクしながら、国内市場の深耕と海外展開の拡大へ。
2030年7月期売上高は、340億円を目指す。
長期成長ビジョン（目指す姿・ビジネスモデル） 外発的動機
• “日本一ワクワクする菓子屋”を目指し、お客様のココロとオナカを • 国内市場：日本では少子高齢化が進んでいるが、甘さ控えめ、素
材指向など在宅勤務時の大人のおやつとして需要獲得や、観光
満たし続けながら、企業理念である“安くておいしいお菓子”を提
客・訪日客という外部需要の取り込み、ファンマーケティングによる1
供し続ける。
人あたり売上高（LTV）の増加など伸びしろは十分にある。
• 働く従業員こそ”ワクワクした気持ちとユニークな発想で働く”ため
に、賃上げを継続的に実施する。そのために、設備投資による生 • 海外市場：日本ブランドへの信頼感が強い国々（台湾、タイ、香
港など）では「日本式チョコ菓子」としてポジションが取れる。テスト
産性の改善・合理化は必須である。
販売を行ったアメリカ市場においても、海外オリジナルの“新食感ス
ナック”として十分に市場ニーズがあることが確認出来た。
• 海外はこれまで最大の販売先である台湾を始め、アジア国々、ア
メリカへの展開を拡大し、世界のたくさんの方々にブラックサンダー
はじめ有楽製菓のお菓子を楽しんでいただけるように取り組む。
内発的動機
• これまで当社は味の良さ・高いコストパフォーマンスで他社と差別化
会社全体の売上成長目標（2030/7月期） をしてきたが、時代の変化とともに、お客様のニーズも多様化。今後
• 売上高成長率16％ も当社商品を選んで頂くためには更なる価値提供が必要。
• 売上高増加額155億円
会社全体の賃上げ目標 • お客様にはお得感を感じてもらいながら、既存の枠にとらわれないユ
ニークな発想をし続け、業界の中でもオンリーワンの企業でありたい。
• 3%（直近事業年度～基準年度）
• 6%（基準年度～事業化報告3年目）</t>
  </si>
  <si>
    <t>有楽製菓株式会社
.補助事業の概要
2
需要に対して、供給が追いつていないブラックサンダー及びシリーズ品の生産能力を拡大するため、豊橋夢工場
敷地内に約4,000坪の第2工場を増築。
補助事業の • ブラックサンダー（シリーズ商品含む）の需要に対して、供給が追い付いていない状況である。 事業費 億円
25
背景・目的 • 新規設備投資により、生産能力の向上、合理化と賃上げを目指す。 （補助額） （ . 億円）
8 3
• 愛知県豊橋市にある豊橋夢工場敷地内に、約4,000坪
の第2工場を増築。
• 第2工場では、まず需要の拡大する「ブラックサンダー」、
「ブラックサンダーシリーズ」の生産力の増強を行う。その後
設備投資の 製造設備を増設し、より多くの商品ラインアップの製造を
内容 予定。
• 第2工場では、既存の夢工場に比べて全面的な機械化、
特に個包装・箱詰めの省力化を推進し、労働生産性の向
上を目指す。
2027/7期 2030/7期
項目
（基準年度） （基準年度＋３年後）
労働生産性 2,396
1,27
（単位：万円/人） 5 （年平均上昇率＋23 ％）
.4
従業員1人あたり給与支給総額
目標値 628 748
（単位：万円/人） （年平均上昇率＋6 ％）
.0
役員１人あたり給与支給総額
-
-
（単位：万円/人） （年平均上昇率＋5.6％）
補助事業に係る従業員数
462 505
（単位：人）</t>
  </si>
  <si>
    <t>株式会社GYXUS
1.⾧期成⾧ビジョン
今後増加が見込まれ、かつ建設廃棄物のリサイクル率向上の阻害要因である石膏ボード廃棄物（以下、廃
石膏）の１００％水平リサイクル事業を主軸とし、本コンソーシアム企業が中心となりメガ資源循環アライアン
スを組成することで持続可能な建設業界の実現を目指します。
⾧期成⾧ビジョン（目指す姿・ビジネスモデル） 外発的動機
• 現在の廃石膏再資源化率は約40％にとどまり、2025年には200万トン、2039
• 幹事企業(株)GYXUS（以下、当社）は、「地球に埋めない、
年には350万トンを超えると廃棄量の増加が予測されている。産業廃棄物埋立処
世界を創る」をミッションに掲げ、世界の廃石膏のリサイクルを通じ
分場の残容量は1億7000万㎥程度であり、廃石膏のリサイクルは喫緊の課題。
て、持続可能な循環型社会の実現を目指している。
• 石炭火力発電所等の副産物である化学石膏は、石膏ボード原料として利用され
• 廃石膏は一部地域を除いて大半が埋立処分されている。当社は てきたが、カーボンニュートラルへの移行により火力発電縮小が進み、供給減少が
廃石膏を用いて高品質な100％リサイクル石膏ボードを再製造
予想される。海外天然石膏比率が高まり石膏ボード価格の乱高下が懸念される。
（以下、水平リサイクル）する特殊技術を保有している。
• 廃石膏のリサイクル率が高い地域は建設廃棄物全体のリサイクル率が高い。全国
の廃石膏リサイクル率を向上させる事が全体を押し上げる事につながる。
• 建設現場から発生する廃石膏を安定的に受け入れる地産地消
体制を全国に構築し、リサイクル率を向上させる廃石膏地産地
消型資源循環モデルを確立させる。 内発的動機
• 同時に金属や木材など他の建設廃棄物も一括処理可能な体 • 当社代表取締役の平田富太郎は、大手石膏ボードメーカーチヨダウーテの創業家
制を整え、顧客利便性を高める。人材不足の国内で成⾧するに で、同社の専務執行役員を務めていた。また日本最大級の廃石膏中間処理業
は、動脈・静脈事業の連携が必要であり、解体業者、廃棄物処 者である株式会社トクヤマ・チヨダジプサム（TCG）の設立・経営にも携わった経
理業者、大手建材販売事業者とコンソーシアムを組成し、7年後 験から、静脈事業（廃棄物処理）と動脈事業（製品生産）の両面に精通して
に年間700億円規模のメガ資源循環アライアンスを目指す。 いる。
• 動脈と静脈の有機的連携によりリサイクル率や労働生産性が向上する現場を数
※本事業期間では、アライアンス最大の強みとなる「廃石膏地産地
多く経験し、培った知見と人脈を活用して本ビジネスモデルを構築した。
消型資源循環モデル」を確立する事に重点投資を行う。
KOSEI GYXUS
単位:百万円 GYXUS 光州産業 グラデュオ 沖潮開発 合計
GYXUS 関東
直近決算期 43 0 8,097 0 151 2,051 10,342
売上成⾧目標
基準年度＋3年後 4,677 337 9,732 275 595 2,733 18,349
売上高増加額 4,634 337 1,636 275 445 682 8,007
売上高成⾧率 376.3% - 6.3% - 58.1% 10.0% 21.1%
賃上げ目標 補助事業開始以降、幹事企業、コンソーシアム企業それぞれにて毎年7％以上の賃上げを実施する。</t>
  </si>
  <si>
    <t>株式会社GYXUS
2.補助事業の概要
廃石膏地産地消型資源循環モデルを推進し、最終処分場の延命、リサイクル率向上を実現しながら、動脈事
業と静脈事業を有機的に連携させ、労働生産性を向上し従業員の給与へ還元します。
• 石膏ボードはリサイクル率が低く、多くが最終処分場にて埋立処理されており、今後最終処分場がひっ迫する社会的問題、
補助事業の 事業費 98億円
またカーボンニュートラルに向けて火力発電の縮小に伴い、化学石膏の減少、天然石膏の価格高騰による石膏ボード価格
背景・目的
が上昇する現状を解決するため、リサイクル石膏を主原料100%とした石膏ボードを製造し、社会的課題の解決を行う。
（補助額） （26億円）
投資内容 導入拠点 金額（税抜） • 廃石膏ボードの多くが埋立処理される中、本設備投
破砕ライン 4 6.5億円 資により石膏ボードの水平リサイクルすることができ、循
焼成ライン 5 8.9憶円 環型社会の形成に大きく貢献できます。
設備投資の 成型ライン 5 9.6億円 • これまで中間処理し、埋め立てる最終処分のためにコ
内容 乾燥ライン 5 10.5億円 ストがかかっていましたが、埋め立てる代わりに石膏ボー
切断ライン 5 8.1億円 ドを製造することで、新たな付加価値を生む取り組みと
工場建物 5 33.6億円 なっており、労働生産性は向上します。
合計 77.2億円
KOSEI GYXUS
労働生産性 GYXUS 光洲産業 グラデュオ 沖潮開発 合算
GYXUS 関東
基準年度（千円） 16,438 △13,128 9,609 △3,516 799 110 6,751
基準年度＋3年後（千円） 47,918 16,643 13,040 12,641 16,151 13,092 26,511
年平均上昇率 42.9% - 10.7% - 26.4% 392.0% 57.8%
KOSEI GYXUS
従業員1人あたり給与支給総額 GYXUS 光洲産業 グラデュオ 沖潮開発 合算
GYXUS 関東
基準年度（千円） 4,905 4,200 4,893 4,200 4,494 4,200 4,655
基準年度＋3年後（千円） 6,012 5,145 5,999 5,145 5,505 5,145 5,690
年平均上昇率 7.0% 7.0% 7.0% 7.0% 7.0% 7.0% 7.0%
目標値
KOSEI GYXUS
役員1人あたり給与支給総額 GYXUS 光洲産業 グラデュオ 沖潮開発 合算
GYXUS 関東
基準年度（千円） - - - - - - -
基準年度＋3年後（千円） - - - - - - -
年平均上昇率 5.0% 5.0% 5.0% 5.0% 5.0% 5.0% 5.0%
KOSEI GYXUS
補助事業に係る従業員数 GYXUS 光洲産業 グラデュオ 沖潮開発 合算
GYXUS 関東
基準年度（人） 14.0 2.0 2.5 0.3 9.0 5.0 32.8
基準年度＋3年後（人） 38.0 8.0 24.0 6.0 11.0 11.0 98.0
年平均増加率 39.5% 58.7% 112.5% 162.1% 6.9% 30.1% 44.0%</t>
  </si>
  <si>
    <t>巴工業株式会社
1.長期成長ビジョン
大型遠心分離機の新興国を中心としたグローバル需要の拡大を成長機会と捉え、コア技術である「遠心分離」を軸に、当社グルー
プ及び事業の全体最適化により、研究・開発、生産、海外販売体制を強化。グローバルシェア拡大に向けた取り組みを加速させる。
長期成長ビジョン（目指す姿・ビジネスモデル） 外発的動機
メガトレンド
遠心分離テクノロジー×化学分野の専門性で
• インドや東南アジアをはじめとした新興市場の成長、社会インフラ整備の加速
遠心分離機の世界トップクラスのメーカーに躍進する • 持続可能な社会実現に向けた、SDGs等への取り組み加速
• 自動化、デジタル化、AI等の最新テクノロジーへの注目
①インドや東南アジアを中心としたグローバル展開の加速 ⇒大型遠心分離機は世界的に需要が拡大。高付加価値化への期待も高い。
➢ 国内トップクラスの大型遠心分離機メーカーとして、化学工業をはじめとする特殊分野に 成長機会
おけるグローバル展開をさらに推進。グローバルニッチトップとして市場シェアNo.1を目指す。 • インドを中心とした化学工業・水処理・食品加工分野等の成長拡大
• インドネシア等東南アジアにおけるインフラ需要の拡大
②巴グループ全体での遠心分離機生産の最適化と国内生産体制の強化
• 国内における食品、医薬品、リサイクル等の先端分野の研究・開発の加速
➢ 巴工業及び巴マシナリー(共同申請者)の生産拠点統合を通じて、生産・研究・物流機 ⇒特にインドにおける化学工業分野の成長が当社にとって大きなビジネスチャンス
能の合理化、強化を推進。国内サプライチェーンの強靭化と機能集約により、高付加価
リスク・脅威
値なモノづくりを実現するための新たな生産体制とイノベーションの基盤を構築する。
• 国内における将来的な当社主力製品（大型遠心分離機）の成長鈍化
• 米国での政権交代に伴う貿易政策の不確実性など貿易リスクや地政学リスク
③事業間シナジー発揮と持続可能な社会の実現に向けた付加価値の提供
• 国内の労働人口減少を受け、人材の確保・育成、生産性向上が共通課題
➢ 化学品卸売事業と遠心分離機事業(補助事業)という二本柱の連携によるシナジーを
最大化すると共に、環境負荷低減型製品の開発や地域人材・サプライチェーンへの投資
内発的動機
を通じて、地域社会と地球環境に貢献する持続可能な価値提供を進める。
①グローバルでの成長と事業間シナジーの加速
会社全体の売上成長目標
単位：百万円 当社はメーカーと商社の機能を併せ持つ独自の体制で、経済的な困難も両部門の相互補
売上高 売上高 売上高 売上高 完により乗り越えてきた。国内市場が人口減少などで縮小する中、当社が持つ高精度・高
社名
2024年10月期 2030年10月期 増加額 成長率 効率な遠心分離機技術をさらに活かすには、グローバル市場での拡販が不可欠である。今
巴工業㈱ 47,315 73,000 25,685 54.3%
回の大規模成長投資により、機械事業の技術力と供給体制を飛躍的に強化し、インドや
うち機械事業 11,541 23,000 11,459 99.3% ASEAN、欧州における化学品事業との連携によるシナジー創出を加速する。ESG経営のも
巴マシナリー㈱ 565 1,000 435 77.0% と、社会課題の解決と企業価値向上を両立させ、100年企業としての地位確立を図る。
コンソ全体 47,880 74,000 26,120 54.6%
②高い技術力・ブランド維持と国内拠点の重要性
会社全体の賃上げ目標 当社遠心分離機が高い評価を得ている背景には、主要回転部品における極めて高い加工
精度と、それを支える製造体制がある。しかしながら、こうした精度要求は海外加工業者では
期間 巴工業 巴マシナリー
対応困難である。一方、国内では限られた高度加工業者との協業が可能であり、巴マシナ
直近事業年度～基準年度 CAGR2.9% CAGR2.9%
リーと巴工業が隣接地で部品製作から組立・試運転まで一貫して行う体制が、技術蓄積・
基準年度～事業化報告3年目 CAGR5.0% CAGR5.0%
技能承継を支えている。これらはブランド価値を維持し、完成品メーカーとしての競争優位を
確立する上で不可欠であり、国内製造の継続こそが国際競争力強化の鍵であると考える。
当社及び共同申請者の概要
当社は、遠心分離機を中心とした機械の製造販売事業と化学品の卸売事業を展開している。遠心分離機とは、回転による遠心力を利用して、液体や固体の混合物を効率的に
分離する装置であり、化学工業、食品、医薬品、水処理など幅広い用途で使用されている。当社は大型遠心分離機メーカーとして70年を超える老舗であり、国内トップシェア、世
界シェアでも５位以内に入る。また、共同申請者の巴マシナリー（当社の100%子会社）は遠心分離機におけるスクリュウコンベアなどの主要部品製造を担う中核企業である。</t>
  </si>
  <si>
    <t>巴工業株式会社
.補助事業の概要
2
当社機械事業における海外でのシェア拡大及び国内でのキャッシュフロー最大化に向け、中核製品である遠心分離機の生産拠
点の統合による巴グループの最適化及び生産規模拡大・省力化への設備投資を行い、労働生産性を飛躍的に向上させる。
当社グループは、拡大するインドをはじめとしたグローバル市場における需要獲得を加速している。一方で、現在の
補助事業の 生産体制は複数拠点に分散し、生産能力やリードタイム、物流面での非効率が成長のボトルネックとなっている。 事業費 52 億円
背景・目的 本補助事業では、生産・開発・実機テスト機能を一体化した新拠点を整備し、QCDの抜本的強化と共に、グルー （補助額） （ 13 億円）
プ全体の競争力を飛躍的に高めることで、国際市場でのシェア拡大と成長基盤の確立を図る。
現状の課題
① 機械事業における売上高成長の持続・加速のためには、インドをはじめ海外市場における
需要を取り込む必要があるものの、生産能力が律速となっている。(規模拡大の必要性)
② 複数拠点間でのモノやヒトの移動が発生し、生産性が低下。(物流・工程のムダ)
③ 主要部品においては職人の手作業への依存度が高いなど、生産効率に課題がある。
設備投資の内容
新工場建設(完成イメージ)
① 神奈川県綾瀬市に、新たな主力工場を新設し、複数拠点を統合する。
設備投資の ② 新工場では、生産スペース拡大と共に、最先端のレーザー金属積層造形機等を導入する
内容 など、生産能力拡大及び生産の自動化・24時間化を図る。
③ 新工場には防爆構造の新実機テスト棟を併設し、実機テスト対応の高度化も図る。
課題解決による労働生産性の向上
① 生産・物流機能の一体化により、リードタイム短縮とコスト最適化を実現
② 海外市場向けを中心とした大型機の生産能力の大幅な拡充による、売上規模の拡大 レーザー金属積層造型機 実機テスト等の
③ 自動化・省力化による労働生産性の向上と、収益性の高い製品群へのシフト 等の自動化設備導入 高度化・対応強化
2027年10月期（基準年度） 2030年10月期（基準年度＋３年後）
巴工業 巴マシナリー 巴工業 巴マシナリー
項目
補助事業 補助事業
神奈川 東京 大阪 福岡 宮城 北海道 神奈川※1 神奈川 東京 大阪 福岡 宮城 北海道 神奈川※1
全体 全体
労働生産性 2,011 983
1,260 - - - - - - 696 - - - - - -
（単位：万円/人） CAGR+16.9% CAGR+12.2%
従業員1人あたり
目標値 給与支給総額 952 944 970 964 925 921 761 604 1,101 1,093 1,123 1,116 1,071 1,066 881 699
CAGR+5.0% CAGR+5.0% CAGR+5.0% CAGR+5.0% CAGR+5.0% CAGR+5.0% CAGR+5.0% CAGR+5.0%
（単位：万円/人）
役員１人あたり
給与支給総額 5,013 - 5,013 - - - - 該当なし 5,803 - 5,803 - - - - 該当なし
※2 CAGR+5.0% CAGR+5.0% ※2
（単位：万円/人）
補助事業に係る
315 40
従業員数 284 155 94 23 6 3 3 33 170 104 26 7 4 4
CAGR+3.5% CAGR+6.6%
（単位：人）
※1 巴マシナリーは神奈川県にのみ拠点を有している。
※2 巴マシナリーの役員（1名）は、巴工業の従業員であり巴工業から給与を支給している。そのため、本計画では巴工業側の給与支給額及び従業員数に含めて算出している。</t>
  </si>
  <si>
    <t>株式会社上野凮月堂
1.長期成長ビジョン

これまでの業歴とブランドを活かし、外国人向けの販売を強化。世界への展開を目指す
長期成長ビジョン（目指す姿・ビジネスモデル） 外発的動機
 ビジョン：
①外国人向けの商機拡大
 インバウンド客の増加や、海外における日本産菓子の評価の向上により、
 伝統と革新で新たな菓子文化を創造し、世界に感動を 国内外における外国人向け販売の商機が拡大
届ける
②流通経路の多様化による客層拡大
 ビジネスモデル  以前は主体であった百貨店や量販店での販売だけでなく、駅や空港と
いった土産物需要が旺盛な場所や、ECでの販売が堅調。潜在客層が広
 国内における知名度・老舗のブランドを活かした新製品の開発 がっており、ニーズにこたえる製品開発が必要
により、主に外国人を対象とした販売を強化。国内外において ➂コストの上昇
以下の施策にてビジネスを展開する  少子高齢化に伴う人件費、インフレに伴う材料費、物流コスト等、製造
に関する様々なコストが増加傾向
-
【国内】設備投資等による生産性の向上により、既存製品
⇒
生産性の向上を契機として、コスト削減と新製品の開発を両立
の利益率を改善。得られた資源を外国人向け新製品の企
推進していく必要あり
画開発や販売チャネルの拡大に充て、外国人への販売を
強化することで、国内での販売額を増加する
-
【海外】大手小売店が有する海外店舗への販売を初期的 内発的動機
な足がかりとし、海外市場でのマーケティングを強化。海外で  当社には、職人の高齢化や工場の老朽化、工場のキャパシティ不足や製造
の現地販売増を図るとともに、得られた顧客ニーズを開発 機械の入替時期の到来といった、老舗ならではの解決すべき事項があり、今
部門にフィードバックし、越境ECや国内販売とのシナジー 後のビジョンに合わせた対策を打つ必要があった
も見込む
 様々な方向性を模索する中で、約10年前より主に東南アジアの展示会に出
会社全体の売上成長目標（～2031年）
展。当時は現在と比較して円高である中でも、日本の菓子は高くても買いた
• 売上高成長率＋１４９％（2024年～2031年） いという声に多数触れ、外国人向けの販売拡大余地を感じていた
• 売上高増加額＋８５億円（2024年～2031年）
会社全体の賃上げ目標（従業員＋役員）  直近では、商品の1つ「東京カラメリゼ」が、アメリカに実店舗を多数持つ企業
から非常に高評価。当該企業のCEOにも絶賛されたことで、日本の菓子や
• ＋２.２%（年平均：直近事業年度～基準年度）
当社製品は海外にも打って出る実力があるものと確信。世界へ感動を与えた
• ＋６.０%（年平均：基準年度～事業化報告3年目）
いという信念で、外国人向けの販売強化に向け取り組むことを決意。なお、
※上野凮月堂とHD全体の合算値
既に上記企業とは契約を締結し、具体的な販売の準備を行っている</t>
  </si>
  <si>
    <t>株式会社上野凮月堂
2.補助事業の概要

既存工場の建て替えを行い、製造能力の強化、生産性の向上を図る

職人の余剰時間を創出することで、新製品の開発を促進し、長期ビジョンの実現を目指す
 現状の当社の東京工場では、作業工程において人手に頼る部分が大きい点や、古くからの増築による
補助事業の 製造機械の多階層化とライン隔離、入室時の衛生対応の煩雑さなどの課題が生じている 事業費 63億円
背景・目的  本事業は、工場の建て替えによる生産キャパシティの増加と人的工数の削減を通して生産性の向上を （補助額） （18億円）
図るとともに、職人が商品開発に関与する余力を創出し、ビジョン実現のための体制を実現するもの
 設備投資の内容 完成イメージ
 工場の建て替えと新設備の導入
 設備投資による効果
【省力化・生産効率向上】
 動線の改善によって、一人あたりの担当可能範囲が拡大し、工数削減が可能に
 一部工程を自動化することで、工数削減が可能に
 新設備の導入によって、一部商品の焼き方を変更することで、端材の削減や
抜きズレの防止が可能となり、食品ロスを削減できる
設備投資の
 2シフト制の導入が可能となり、増産に向けた製造キャパシティも確保
内容
【新製品開発に向けた体制の構築】
 上記の省力化・生産効率の上昇によって、職人が新商品開発へ関わる時間を創出
 これにより、製造・開発・営業部門が一体となり、
消費者ニーズと製造プロセスの両面を見据えた開発が可能となる
【雇用の促進と労働環境の改善】
 従業員の給与を上げ、2シフト制にすることで、さらなる雇用を促進する。
 老朽化した既存工場に比べて、従業員の安全性や労働環境が改善。離職率の更なる低下やウェルビーイングの向上も期待できる
上野凮月堂 上野凮月堂HD
項目 2027年度（基準年度） 2030年度（３年後） 2027年度（基準年度） 2030年度（３年後）
2,136万円/人 6,132万円/人
労働生産性 507万円/人 6,132万円/人
（CAGR＋61.5％） （増減なし）
従業員1人あたり 398万円/人 774万円/人
334万円/人 650万円/人
目標値 給与支給総額 （年平均＋6.0％） （年平均＋6.0％）
役員1人あたり - -
- -
給与支給総額 （年平均＋6.0％） （年平均＋6.0％）
補助事業に係る 198人 1人
181人 1人
従業員数 （＋17人） （増減なし）</t>
  </si>
  <si>
    <t>株式会社トッカコーポレーション
0.会社概要
当社は、埼玉県内に３工場を有し、食品等のパッケージ加工を行う製造業である。
製袋の専門会社として、国内最大級のシェアを有し、ISO9001等を取得する等の高い品質力がある。
＜会社概要＞ ＜当社が所有する装置の代表例＞
会社名 株式会社トッカコーポレーション 西部機械社 業界随一の技術力により【カクジッパープラスワ
製 ン】（マチ付スタンドチャック袋）や合わせ貼り
代表者 代表取締役 髙田 豊
三方シール 特殊製袋など、当社にしかできない製袋加工
製袋機 が可能。
住所 埼玉県草加市稲荷一丁目5番28号
設立 1995年2月20日
トタニ技研 チャック･スタンディング製袋や全周抜き袋を中
工業社製 心とした先進的な高速製袋加工機で大ロット
① 各種ラミネートフィルム製袋加工
三方シール 高速生産に対応しているため、大量受注も可
② グラビア印刷
製袋機 能。
③ カクジッパー
取扱
：日本国特許第2844442号取得
製品
④ 各種チャック袋・各種自立袋 給袋充填包 製袋された袋を自動で給袋し、グミなど固形の
⑤ 各種パッケージング、食品充填、給袋充填、 装機 食品を充填してシールする。4種類のミックスま
ピロー包装・セットアップ加工 他 で対応可能。
9色振分グ 裏刷り表刷り対応。最大で9色のストレート印
本社工場（埼玉県草加市） ：2,028㎡
ラビア印刷 刷が可能。
┗ 本社工場内 草加第二工場：3,360㎡
工場 機 自在振分により同時に2つの異なる製品の印
戸田工場（埼玉県戸田市）：882㎡
刷を行い、高い生産効率を維持できる。
越谷工場（埼玉県越谷市）：4,169㎡
トレーサビリ 製造ラインの映像データを保存し、異物混入
ISO9001
ティカメラ の防止や、製品事故のトレースや原因対策に
認証 ISO14001
活用している。
総合型HACCP</t>
  </si>
  <si>
    <t>株式会社トッカコーポレーション
0.会社概要
当社は製袋事業を主力として、グラビア印刷や充填包装事業も行う。製袋は印刷会社（凸版印刷等）からの
受注が大半。近年は製袋を内製している印刷会社が外注に切り替える流れもありビジネスチャンスと捉えている
＜包装事業のサプライチェーンと当社の役割＞
• フィルム製造から充填包装を経て消費者に届く過程で、当社はグラビア印刷、製袋、充填包装を取り扱っている
• サプライチェーンの中で、グラビア印刷、ラミネート加工、製袋をまとめて大手印刷会社が受注し、自社および外注リソースを活用
して対応している。近年では外注に切り替える動きがあり当社にとってビジネスチャンスが広がっている
包装事業
フィルム等製造 グラビア印刷 ラミネート加工 製袋加工 充填包装加工 卸・小売
【本社工場】
【印刷会社】 【越谷工場】
【食品メーカー】
【印刷会社】
【戸田工場】
【フィルム製造会社】 【小売業者】
【越谷工場】
当社では、主に食品向けパッケージの
製袋加工を行っており、外部の湿気
や塵から内容物を保護する事ができ、
内容物の品質を維持するために重要
【戸田工場】
な機能を果たしている。
国内最大規模。
最新のグラビア印刷機を用い、美しく耐久性のある印刷を実現している。
欠点検知器と熟練した検品担当者による二重の品質検査で、印刷ミ
スを最小限にしている。
【凡例】 ＝当社の取り扱い領域</t>
  </si>
  <si>
    <t>株式会社トッカコーポレーション
1.長期成長ビジョン
高まる衛生面の強化とプラスチック低減の社会課題に応え、国内一の技術力と品質管理体制、生産性で食品
用パッケージの製袋事業の拡大を図るとともに、業界初の研修施設にて従業員と会社の持続的な成長を図る。
長期成長ビジョン（目指す姿・ビジネスモデル） 外発的動機
品質 No.1 • 包装市場全体は微増だが、市場拡大が続いている
• 製袋業界で、「世界一の品質の実現」（異物混入0（ゼロ）、
• 食品のパッケージを扱うということで、高度な品質管理が
枚数の相違0（ゼロ）
求められ、今までは大手印刷会社が内製化していたもの
人的資本投資 No.1 の、近年は専門会社に外注化する流れがある。例えば、
袋の材質向上に伴い、今までの箱の中の袋タイプから、袋
• 当社が、製袋の専門会社として、高い技術力と品質管理能力を認
められることで、今後、印刷会社からの事業譲渡や業界内の タイプにパッケージ変更を行い、コストダウンとパッケージデザ
M&amp;Aを積極的に行い、業界全体の給与水準の底上げを図る インの良化を図る等のケースが増えている
• 製袋業界の人材教育の業界標準を確立し、製袋業界の地位
向上を図る。業界内の他社からの研修受け入れも行い、業界 • 主には製袋加工を営む競合は、印刷会社や食品会社に
全体のスキル向上をリードする 比べると小規模会社も多く、品質管理や従業員教育体
制が不十分な会社も多い
シェアNo.1
• 印刷会社内の事業を外注化する流れを捉え、積極的に受注 内発的動機
拡大を図り製袋業界No.1の地位を確立。印刷会社や食品
会社へ提案できるビジネスパートナーとなる • リーディングカンパニーとして、業界全体の人材育成と給与
会社全体の売上成長目標 水準の引き上げにより魅力ある業界にしたい
2.2倍
• 売上高:
• 高い技術力と品質管理体制をベースとして、パッケージ素
会社全体の賃上げ目標 材の高度化や複雑な形状にも対応できる技術力を高め
ることで、顧客への提案活動を積極的に行う
2.2倍
• 給与支給総額:
”前向きである”組織であり続けたい
1.4倍
• 1人あたり給与支給額:
1.5倍 • 全従業員で信念を持って”安全で安心なもの”を世の中に
• 従業員数:
提供し続けたい
※ 最新期実績と計画最終年度比</t>
  </si>
  <si>
    <t>株式会社トッカコーポレーション
.補助事業の概要
2
新工場へ高速の製袋機を導入し当社ノウハウによりチューンアップを実施。さらに、人材の高度化をはかるため
OJT研修施設や育成システムを構築し、生産効率と生産能力UPを短期間で実施する。
• 簡易包装の関心の高まりにより、棚に自立で置ける立体構造の袋の需要が高まっているが、複
補助事業の 事業費 億円
17
雑で生産効率が悪く、職人技が求められる。
背景・目的 （補助額） （ . 億円）
5 5
• 当事業では、高効率で大量生産を実現する設備とヒトの体制を構築することを目的とする。
＜生産ライン＞
• 新工場を建設し高速でフィルムを立体構造に折って袋にする製袋機を導入
• 自社改造にて画像認識カメラ、軟X線検査装置を搭載
• 従来型に比べフィルムを12％節約し、生産性４％向上
• 段取り替え時間を2.5時間から1.5時間へ１時間短縮し生産性18％向上
• 生産スピードは、平均120ショット/分から130ショット/分へと高速化し、生産性８％向上
• トタニデータ通信システム(*7) を導入し、データを蓄積していくことで、更なる生産性改善や品質改善を図る
設備投資の
内容
＜教育施設＞
• 高速での製袋機は、微妙なパラメータ設定や前処理が歩留まりを左右する。補助事業の増員には若手へのノウハウ伝授による
早期戦力化が欠かせない。旧ラインを用いたOJT研修施設構築やノウハウの言語化、マニュアル化、職種別階層別研修を実施
し、一人当たりの生産能力を3年後に８％UPさせる
2027年度 （2028年1月期） 2030年度 （2031年1月期）
項目
（基準年度） （基準年度＋３年後）
879
労働生産性
582
（単位：万円/人） （年平均上昇率＋14.7%）
従業員1人あたり給与支給総額 520
目標値 380
（単位：万円/人） （年平均上昇率＋11. %）
1
役員１人あたり給与支給総額 -
-
（単位：万円/人） （年平均上昇率＋4.5%）
補助事業に係る従業員数
19 294
5
（単位：人）</t>
  </si>
  <si>
    <t>株式会社トッカコーポレーション
.補助事業の概要
2
新工場へ高速の製袋機を導入し当社ノウハウによりチューンアップを実施。さらに、人材の高度化をはかるため
OJT研修施設や育成システムを構築し、生産効率と生産能力UPを短期間で実施する。
＜本投資によって見込まれる省力化等の内容＞
Before After
1 原材料低減 原材料フィルムに余白が必要 余白を減らし12％節約
製袋機がボルトタイプで段取り替えにお
2 段取替え時間の短縮 ボルトレスで段取り替えが1時間30分に短縮
生産ライン よそ2時間30分/回
(高速の製袋機)
従業員による目視確認。判定誤差が
画像認識カメラによる外観検査、軟X線によ
3 検査の自動化 あり不良をおさえるためスピードは平均
る検査を行い平均130ショットへ高速化
120ショット/分
何を、いつ、誰が、どのような条件で生産した
情報入力の手間があり、かつデータの粒
4 製造データの蓄積・活用 のが即わかるため、品質改善や次回設備立
度は粗い
上時間を削減(既存ラインにて試験的に導入中)
5人チームのスキル分布
実地研修を積めるOJT研修施設を構築し、若手の早
〜中堅社員を１としたときのメンバーの生産性〜
期戦力化を図る。①ノウハウの共有、②階層別研修、
③OJTの強化を実施する。
1.25 新人、2年生の生産性を
基準年度＋3年では、新人・2年生の生産性を3年
3年生レベルまで高める
生レベルまで早期育成を目指す。 1
教育施設 プロジェクトチームを作りベテランの暗黙知を言語化しマ
0.75
(人材育成) ニュアルを策定する。階層別研修では上位役職者が若
手を育成する役割やOJTの方法論を学び、若手は業 0.5
務のやり方について把握する。研修施設ではOff-JT用
0.25
に広めのスペースを設けた生産ラインを新設し、OJTとあ
わせ若手の早期戦力化を実現する。 0
新人 2年生 3年生 中堅 リーダー
現在 補助事業実施から3年後</t>
  </si>
  <si>
    <t>株式会社トッカコーポレーション
.補助事業の概要
2
本事業の土地は既に取得済、建屋規模・生産機器の決定を進め、2026年1月着工〜2027年春に竣工・稼
働の計画。新工場・研修センターは地上3階建て、延床面積約3,750㎡、製袋機は最大15台の規模を想定
＜新工場の概観＞
1階
草加第二工場
新工場・研修センターは、
本社工場・草加第二工場
から車で5分圏内の立地
倉庫 荷別場
本社工場
新工場・研修センター
2階 3階
工場スペース
工場スペース
研修施設
製袋事業 製袋事業 10台
5台</t>
  </si>
  <si>
    <t>1.長期成長ビジョン 株式会社川金コアテック
免制震デバイスの「製品製造業」から、「分析・提案」から「設計・解析」「製造・施工」「点検・メンテナンス」まで、
ワンストップで提供し、免制震デバイスの「トータルソリューション事業」への変革
◼ ビジョン 外発的動機
75年超の実績で磨いた業界トップクラスの免制震技術を核に、分析・提案 • 当社市場は、「新設から補修」へと成長市場が急速にシフトしており、
→設計・解析→製造・施工→点検・メンテまでワンストップで担う。単品デバ 補修割合の増加に向けた構造転換が必要（老朽化橋梁・建築物が
イス供給にとどまらず、顧客の耐震課題を丸ごと解決するフルスタックのトータ 年々累積で増加し、点検や免制震デバイス需要が増加）
ルソリューション事業へ転換する • 橋梁市場では、高速道路特措法改正により、補修需要が今後増加す
◼ 変革内容 る事から体制整備が必要
１．製造拠点の新設による製造プロセス変革と建築支承市場参入 • 建築市場では、新設件数は減少するものの、大規模化・高度化、半
生産能力２倍となる新設拠点建築、塗装自動化設備や塗装ロボットを 導体工場やデータセンター、物流工場などの新たな大型需要増加
導入。併せて、在庫、入出庫管理をタグでデジタル管理。検査も遠隔臨場 • 南海トラフ・首都直下型地震などの災害対策への需要増加と突発的
に対応。生産・在庫管理・検査体制、ロボットや自動化により、工場全体の な需要増加により生産体制対応急務
製造プロセスを変革 • 発注側から多品種化・高サイズ化・高付加価値化など要求が高度化し
２．AI画像認識システム開発による点検自動化 ており、小・中規模企業は撤退傾向にあり、供給を補う必要が高まる
開発したAIにより、橋梁状況を写真画像で損傷度合いを評価する。単な • 最新期に資材高騰や人手不足による予算枯れによる売上減が発生
る静的写真からではなく、複数枚の画像から動きを捉え、詳細診断を実施
する、業界初の革新的な画像認識システムである 内発的動機
点検自動化により、膨大な点検量をこなすことができ、その後のメンテ受注 • 供給量キャパが要因となり、国交省の工期に完了できなかったことが数
の獲得や当社製品の提案数増加により売上寄与。その他将来的には、AI 件あり、大きな課題となった。免制震は、品質が求められる製品である
システムの供与サービスを提供 事から、単なる工場拡張ではなく、効率化・管理体制・モノの流れの最
３．上記により免制震デバイスのトータルソリューション事業へ 適化、在庫入出庫管理デジタル化など、生産～管理全体の製造プロ
当社主力で成長する補修領域において、川上である「点検」を膨大に対 セス高度化が必須
応する事により、川下のソリューションの提案・提供が可能となる。また、生産 • 補修事業は、多品種が優位性となるため、在庫・検査・管理がより、煩
能力として、工期を踏まえたキャパや、工場の非効率化が当社の弱みとなっ 雑・複雑となる。現在は、在庫管理で言えば、ヒューマンパワーによる管
ているため、新設による製造プロセスの変革により、生産能力を２倍・リード 理で、製品は逸品一様のため、検索工数負担が非常に大きい。このた
タイム1.4倍へ め。在庫・出荷管理、検査などの体制刷新が必須
売上成長目標(2030年度全社（基準年比）) • AIによる橋梁の補修点検のための画像認識システムは、競合も未開発
• 売上高成長率173％(cagr20%) な状況であり、国交省から打診があった事がきっかけである。AI開発には、
• 売上高増加額95億円 精緻な写真データセット量が必要であり、シェアトップである当社に高い
会社全体の賃上げ目標
優位性がある領域であるため、ビジネスモデルの変革に向け推進
• 0.69%（直近事業年度～基準年度）
• 5.5%（基準年度～事業化報告3年目）</t>
  </si>
  <si>
    <t>.補助事業の概要 株式会社川金コアテック
2
免制震デバイスの「製品製造業」から、「分析・提案」から「設計・解析」「製造・施工」「点検・メンテナンス」まで、
ワンストップで提供し、橋梁から建築強化により免制震デバイスの「トータルソリューション事業」へ変革
• 高速道路橋梁における更新ニーズは引き続き強い一方、生産スペック不足で工期遅れリスク
補助事業の • 海外・建築市場の拡大に向け製品量産化に対応する工場が必要 事業費 4 億円
0
背景・目的 • 国交省要請で、AI画像認識システムを開発。点検・メンテナンス・施工に本格参入により川上 （補助額） （11億円）
から川下までのトータルソリューションを展開し、差別化を図る
⚫ 製造拠点
以下の製造拠点設立により、生産キャパ２倍に大規模投資。
• 組み立て工場建設
• 塗装工場建設 一工場ですべてが完結するワン
ストップ化、協同ロボや塗装自
• 危険物倉庫棟建設 動化導入、デジタル化により、
高い省人化と生産性を実現
設備投資の ⚫ 機械装置導入
内容 ロボットや自動化設備、最新試験機導入により、生産性・品質
向上
• レール式塗装装置・ローラーブラストマシン
• 自動裁断機・プレス機・クレーン
• ほか
⚫ AI診断システム開発 ※補助経費対象外
基準年 +3期
項目
28/3月期 31/3月期
労働生産性 3,624
2,333
(万円/人) 年平均上昇率＋15.8%
目標値 従業員1人あたり 810
691
給与支給総額（万円/人） 年平均上昇率＋5.5%
役員1人あたり -
給与支給総額（万円/人） - 年平均上昇率＋5.5%
補助事業にかかる従業員数 198
182
（単位：人） 年平均上昇率＋2.8%</t>
  </si>
  <si>
    <t>株式会社エネルギーギャップ
1.長期成長ビジョン
国内外で想定される再生エネルギー需要増加の後押しを受け、鹿児島工場への新工場設立による蓄電池製
造を起点とした施策を実行することで、2030年度に2024年度比602億円の売上増加を目指す。
長期成長ビジョン（目指す姿・ビジネスモデル） 外発的動機
① 国の脱炭素政策・エネルギー政策の加速
私たちは“未来から今を見る“を合言葉にし、地域と世界
政府は再エネ比率36～38%の実現に向け、太陽光とともに蓄電
をつなぐ、国産再生エネルギーソリューション企業を目指し
池を中核インフラと位置づけ、その整備を国策として加速している。
ています。
② 海外依存に対する国内製造回帰の動き
蓄電池の海外依存が高まる中、日本国内での安定供給体制の
確立は、コストだけでなく産業安全保障の観点からも急務となって
目指す姿に向け以下、成長の3本柱を実行していきます。
いる。
① メイドインジャパン
③ 市場の構造変化と顧客ニーズの高まり
鹿児島工場で蓄電池の国産製造を開始し、“ジャパン・クオリ
太陽光＋蓄電池の需要が国内外で急増する中、当社には既に
ティ”による信頼を確立
大規模案件が進行しており、国産による安定供給への期待が高
② 統合ソリューションの深化（太陽光×蓄電池×EMS*）
まっている。
再エネの創る・貯める・使うを自社技術で一体提供し、法人・
自治体に最適提案を実現
③ 地域共創とグローバル展開の両立 内発的動機
地元雇用・資源活用で地域に根ざしながら、国内外（日本 • 日本の技術で、安心できるエネルギーを届けたい
12GWh、海外20GWh）の案件に対応 かつて世界をリードしていた日本のエネルギー技術を再び国内外へ
発信したいという想いから、2014年にエネルギーギャップを創業しま
した。10年かけて国内工場を立ち上げ、「メイド・イン・ジャパン」の品
会社全体の売上成長目標（～2030年）
質と信頼を築いてきた。
• 売上高成長率 753％
• 蓄電池販売のビジネスチャンスが到来
• 売上高増加額 602億円
蓄電池の需要が世界中で爆発的に増加する中、当社も日本・米
会社全体の賃上げ目標 国で合計30GWh超の大型プロジェクトに関与している。
• 年平均 9.5%（直近事業年度～基準年度） • 国内製造による地域共生
• 年平均 7.4%（基準年度～事業化報告3年目） 蓄電池事業の国内化は、地域との共生・雇用創出・賃上げといっ
た社会的責任を果たす取り組みに繋がると考えている。
*EMS：エネルギーマネジメントシステム</t>
  </si>
  <si>
    <t>株式会社エネルギーギャップ
.補助事業の概要
2
太陽光事業の強化を図りつつ、急拡大する蓄電池市場の波を確実に捉えるため、次なる成長戦略として鹿児
島工場敷地内に蓄電池製造ラインを含む新工場建屋を建設する。
• 現時点で既に、日本国内では約12GWh分の蓄電池プロジェクト、またアメリカ市場では約
20GWh分もの商談・提携案件の受注・共同開発・納入に向けた交渉を進行中。
補助事業の 事業費 億円
87
背景・目的 • 一方で、現在取り扱っている蓄電池製品は海外メーカー製を当社が輸入して顧客へ提供して （補助額） （26億円）
おり、コスト・供給の安定性・品質面で課題が顕在化。
• 当社で責任をもち高品質な製品・サービスを提供するため、以下を実行する。
✓ 鹿児島工場敷地内における新建屋の建設
✓ 蓄電池システム製造ラインの新設
✓ 太陽電池モジュール新製造ラインの設置
✓ 製造ラインEMS管理システムの構築
設備投資の
• 補助事業により以下を実現し、労働生産性の向上を見込む。
内容
✓ 新工場では効率的なレイアウトに更新、効率的な設備を導入し生
産・人員効率を高める。
✓ 新たに蓄電池製造組立を開始し、既存製品と統合ソリューションとし
て提供可能とすることで、増加した付加価値を原資に賃上げを実施
する。
EG鹿児島工場（鹿児島県出水市）
2027年度 2030年度
項目
（基準年度） （基準年度＋３年後）
労働生産性 10,294
3,144
（単位：万円/人） （年平均上昇率＋48.5％）
目標値 従業員1人あたり給与支給総額 592
497
（単位：万円/人） （年平均上昇率＋6.0％）
役員１人あたり給与支給総額
-
（単位：万円/人） - （年平均上昇率＋6.0％）
補助事業に係る従業員数
82 87
（単位：人）</t>
  </si>
  <si>
    <t>エックスサーバー株式会社
1.長期成長ビジョン
当社は独立系のホスティング事業者です。国内Webサイトの4分の1を運用、シェア28.2%*（国内1位）、運用サイト数250万件を有し、中小・起業・個人が主な顧客です。
重大不具合のない品質と技術への信頼で高い支持を得ています。中小・地域企業は①省力化と付加価値、②高度化（DXの浸透や生成AI活用）、③クラウド利用多様化と
いう環境激変に直面しています。これら企業は社内の情報人材に制約のある中で高度な情報対応が求められます。当社の技術と支援力がこれら企業の競争力と生き残りに直結し
ます。当社は「国産クラウド」として従来の柔軟・安定対応に高度利用を加え、新たな（第2の）成長軌道で応えます。 「国産クラウド」で公共性を担うのが当社成長の軸になります。
外発的動機
長期成長ビジョン（目指す姿・ビジネスモデル）
• グローバル競争の激化による中小企業の生き残り戦略としてのデジタル活用ニーズの高まり
理念
（中小・地域企業の生き残りには高度な情報対応が求められ、同時に飛躍の機会にもなる）
日本のデジタル基盤を支える国産クラウド事業者
• 生成AI革命による産業構造の変革と、それに対応するための新たなクラウドインフラ需要の急増
目標
• 日本の労働生産性の低迷（OECD加盟38か国中31位）という社会課題と、中小企業のDX推
日本を代表するクラウドインフラ事業者として確固たる地位を確立 進による解決可能性
社会に対する価値提供 • 大手クラウド事業者の値上げに伴う、コスト効率の高い代替サービスへの市場ニーズの拡大
• 中小企業のIT活用促進・生産性向上による賃金・所得アップ • 少子高齢化による労働力不足を補う自動化・効率化ツールとしてのクラウドサービス活用の必要性
• 誰もが生成AIをはじめとしたデジタル技術を活用できる環境整備 • データセキュリティや経済安全保障の観点から、国産クラウドサービスへの期待の高まり
• 国産のクラウド基盤を確立し、経済安全保障・地方創生に寄与 • コロナ禍を経て加速したリモートワークやデジタルコミュニケーションの定着
• 最新デジタル技術・AI技術発展と人材育成の好循環を生み出す • デジタル庁設置やデジタル田園都市国家構想など、国家レベルでのデジタル化推進施策の加速
環境創出
会社全体の売上成長目標（～2030年） 内発的動機
•
売上高成長率：年平均130％成長
• 創業当初からの「最高を提供する」という企業理念に基づく、絶え間ない革新と成長への投資
（2030年3月期までに売上300億円 、10年後には1000億円）
• 50万ユーザー、250万サイトを有する国内有数のインフラサービス事業者としての誇りと、
•
売上高増加額：+223億円
日本のデジタル基盤を支えるという使命感
（2024年3月期77億円 → 2030年3月期300億円） • エンジニア発の企業として、技術力で社会課題を解決することへの情熱と責任
会社全体の賃上げ目標 • 中小企業の成長を支援することで得られる達成感と、顧客の成功体験が自社の原動力に
• 自社開発・自社運用にこだわり続けてきた技術者としてのプライドと、さらなる高みを目指す向上心
• 6.8 ％ （直近事業年度～基準年度）
• 業界の先駆者として、創業20年以上の歴史で培った「安定性」と「信頼性」を基盤に、次の時代の
• 10.04 ％ （基準年度～事業化報告3年目平均）
デジタル革命を牽引したいという願望
• 日本のデジタル人材育成に貢献することで、持続可能な社会づくりに参画するという社会的責任感</t>
  </si>
  <si>
    <t>エックスサーバー株式会社
1-1. 中小企業のデジタル革新を牽引する：当社の社会的役割と技術力
中小企業が安心・安全・簡単に利用できるクラウドインフラを自社開発・運用し、年間15万社の新設法人のうち35％以上に選ば
れるサービスを提供。現在は22万社超の中小企業、約50万件の利用者を支え、ドメイン数は国内1位（世界27位）です。
当社の社会的インパクト
- 1年間に創業する15万社のうち、サイト開設する法人数7.5万社。その35％以上にあたる2.毎年7万社以上が当社サービスを新たに選択
- 現在、会社サイトやメールアドレス運用を中心に日本の「町のクラウド」として、22万社以上の中小企業のデジタル化を支えている
- 情報人材に制約のある中小企業のIT・デジタル・AI活用を「初心者でも使える」から「本格的な活用」まで、切れ目なくサポートする
- 当社が、生成AI・デジタル化を支援するクラウドインフラ・クラウドサービスを整備・提供することは、中小のデジタル・AI活用による競争力と生き残りに直結
- 個人を含む利用数は約50万件、250万サイト以上を運用。競合より数倍高い客単価にも拘らず国内シェアは28.2％で国内1位。シェアは年々拡大傾向にある
- 当社インフラ上で運用されるドメイン数は約100万件であり、国内1位・世界27位の位置にある
- 海外クラウド事業者への依存を減らすことは、サービスの安定供給、きめ細かいサービスとともに経済安全保障にも貢献する国産クラウドの使命
当社の技術的強み
- 機器調達、インフラ設計・構築・運用、アプリケーション開発、一気通貫で可能な自社開発・運用能力
- 20年以上、250万サイト以上を大きな障害・インシデントを起こすことなく運用してきた自社データセンターと、独自開発の運用管理ツール群
社会的意義
- 中小企業のIT・デジタル・AI活用促進による生産性向上と賃金上昇への貢献
- 地方創生：地域の中小企業のデジタル化（生き残り策＋成長の“飛び道具”）を支える「町のクラウド」としての役割
- 経済安全保障：国産クラウド基盤の確立による海外依存度の低減
- デジタル人材育成：日本のIT・デジタル・AIリテラシー向上のための学習・開発環境の提供
- 特に生成AIはインターネット革命に匹敵すると考えられ、中小企業におけるAI活用は、日本社会・経済にとって不可欠かつ急務
▼外部調査・統計データ
- 国内Webサイトの4分の1がエックスサーバーを利用、W3Techs調査で国内トップシェア率28.2％を獲得 https://w3techs.com/technologies/segmentation/sl-jp-/web_hosting
- 国内法人数は、総務省統計局の実施した調査(令和3年6月1日実施、令和5年6月27日公表)によると「207万社」であり、近年は横ばい傾向
- 新設法人数は、帝国データバンクの実施した調査(2023年調査、2024年5月28日公表)によると「約15万社」であり、2010年代後半から増加傾向（平均すると14万件程度）
- 小規模法人(20名以下)のサイト開設率は、中小企業庁の調査（2013年版白書）によると「約46％」であり、中規模・大手企業と大きな乖離あり
※小規模企業が全体の85％であり、全法人のうち50％程度のHP開設率だと考えられる
※総務省の調査(令和5年通信利用動向調査報告書(希望編))によるとHP開設率は93％(100名以上の法人が対象)
- bgp.toolsによる公開情報、Japan Network Rankings/Global Network RankingsのHost Rankより、当社は国内1位、世界27位</t>
  </si>
  <si>
    <t>エックスサーバー株式会社
.補助事業の概要
2
「中小企業DX・AI活用推進のためのクラウドインフラ基盤整備・開発事業」として、顧客ニーズに対応可能な
従来より大幅に拡張性・効率性の高い国産クラウド環境を構築します。
補助事業の • 中小企業が低コストかつ高性能な国産クラウドを利用できる環境を整備し、生成AIやDX導入を促進 事業費 • 設備投資総額： 35 億円 *
• 日本国内でのデータ保管・サポートを強化し、経済安全保障と地方創生に貢献 （うち補助金 6.8億円）
背景・目的 （補助額）
• これらを実現するため、新設備の投資を通じて新領域に進出し、当社としても新たな成長軌道を実現 • 自己資金で残額を対応
新たなクラウドインフラ基盤を構築・拡張
• データセンター拠点の強化（高性能サーバー、ネットワーク機器など）
• 管理パネルなどの基盤システムを開発・導入
本プロジェクトでは、ラック・電源設備、ネットワーク回線、サーバー・スイッチなどの機器類をまとめて導入し、
VPSやクラウド事業(IaaS/PaaS)および法人SaaS事業などで活用予定。生成AIによるサービスの展開も想定。
設備投資の概要
• 電源・ラック設備、ネットワーク回線・配線、サーバー・ストレージ・スイッチ類、その他資材 など
設備投資の 課題解決への貢献
内容
• スケーラビリティと高性能
AI需要増やアクセス集中に対応できる大容量サーバー・ストレージ冗長化で障害発生時のダウンタイムを最小化
• セキュリティ・可用性の向上
新機器や保守サービスで監視体制とセキュリティを強化電源冗長化により24時間安定稼働を実現させる
• 国産クラウドとしての社会的役割
国内保管・運用で経済安全保障を支援円建て料金や日本語サポートで中小企業のDXを促進
この投資は「スケーラビリティ」「高可用性」「セキュリティ」を飛躍的に強化し、運用効率を高める取り組みです。国内
企業のDX推進を支える国産クラウド事業者としての競争力向上と、当社自身の成長を同時に実現していきます。
2026年度 2029年度
項目
（基準年度） （基準年度＋３年後）
労働生産性 エックスサーバー：3,654万円 エックスサーバー：13,918万円（年平均上昇率＋56.2％）
（単位：万円/人） エックスサーバークラウド：3,070万円 エックスサーバークラウド：5,436万円（年平均上昇率＋21.0％）
目標値 従業員1人あたり給与支給総額 エックスサーバー：695万円 エックスサーバー：925万円（年平均上昇率＋10.0％）
（単位：万円/人） エックスサーバークラウド：727万円 エックスサーバークラウド：968万円（年平均上昇率＋10.0％）
役員１人あたり給与支給総額 エックスサーバー： - エックスサーバー： -（年平均上昇率＋10.2％）
（単位：万円/人） エックスサーバークラウド： - エックスサーバークラウド： -（年平均上昇率＋10.1％）
補助事業に係る従業員数 エックスサーバー：15人 エックスサーバー：30人
（単位：人） エックスサーバークラウド：10人 エックスサーバークラウド：25人</t>
  </si>
  <si>
    <t>ハビックス株式会社
1.⾧期成⾧ビジョン
『ビューティフルライフ創造企業』という経営ミッションのもと衛生用品メーカーへ進化し、社会の衛生向上および
サステナビリティに寄与する商品を提供することで、2030年度売上高236億円、営業利益19億円を目指す。
⾧期成⾧ビジョン（目指す姿・ビジネスモデル） 外発的動機
『ビューティフルライフ創造企業』という経営ミッションのもと、以下の観 • コロナ禍を経た消費者の衛生意識の向上や外食産業界のインバウ
点で⾧期成⾧ビジョンを達成する。 ンドの増加により、衛生用品の需要が増加している。
• 新事業・新分野創出 • 新参メーカーによる衛生用品業界参入や中国製品の流入により、
 衛生用品の加工事業および医療・介護分野へ進出し、2030 衛生用品業界における競争が激化している。
年度までに新事業・新分野の売上高割合40%以上を目指す • 原燃料や資材の価格高騰や円安により、急激にコストが上昇して
• 競争力強化 おり、より強靭な収益体質が求められる。
 技術提携や共同開発における戦略的アライアンスをさらに強化 • 交替勤務体系において人員不足がより深刻化している。
し、新事業創出や既存事業の高付加価値化を図る
 国内外拠点を含め、事業ポートフォリオを見直し効率化を図る
内発的動機
 工場の自動化DXを推進することで操業員数を減らし、1人あ
• 要求品質が厳しい衛生用品業界において、パルプ不織布、化合繊
たり生産効率を引き上げる
不織布、衛生用紙の3種を有している素材メーカーはおらず、素材
• 経営基盤強化
の特性を強みとして活かした製品展開・事業展開は合理的である。
 執行役員や部⾧等への権限移譲を進め、経営のスピード化を
• 一方で、素材ビジネスでは付加価値に限りがあるため、より高付加
図るとともに、社外取締役の増員等により内部統制を強化する
価値な製品で持続的な成⾧を遂げるには、最終製品の事業展開
• 人材マネジメント
が必要である。
 従業員エンゲージメントとものづくりプライドの向上を図る
• 衛生用品のOEM受託により、加工事業のノウハウを蓄積し、その
 体系的研修の実施、マルチスキルアップ支援制度、OJT整備 先の加工事業につなげ、素材メーカーから衛生用品メーカーへ
等で人材を強化するとともに、専門的知識を有する人材の中
進化を遂げる。
途採用を強化する
• サステナビリティ対応
売上成⾧目標（基準年度比）
 2050年のカーボンニュートラルに向けた脱炭素化へ取組み、
• 2030年度までに会社全体の売上高増加額75億円
CO2の排出量を2050年までに80%の削減を目指す
• 2030年までに会社全体の売上高年平均成⾧率14%</t>
  </si>
  <si>
    <t>ハビックス株式会社
2.補助事業の概要
素材メーカーが自社素材を活かした衛生用品の加工事業を展開する。新工場を建設し、加工ラインを導入する。
事業モデルの昇華とともに、労働者の新たな雇用および昇給を実現する。
補助事業の • 素材メーカーとしての強みを活かし、衛生用品の加工事業へ参入することにより、 事業費 36億円
背景・目的 事業モデルを昇華し、社会貢献の幅を広げる。 （補助額） （9.8億円）
① 設備の内容
• 岐阜県本巣市に加工事業の工場建屋を新設し、生産設備を賃借形
態で導入する
② 現状の課題とその解決
• 現在の素材事業だけでは成⾧が頭打ちであり、かつ付加価値に限界が
あることから収益性の改善にも限界がある。最終製品の加工まで手掛け
設備投資の ることにより、当社製品の付加価値を上げ、さらに既存の素材事業の稼
内容 働率も上げることにより、当社全体の収益性を改善する。
③ 労働生産性の向上
• 当該拠点は、既存拠点の従業員の兼務およびAGVやAGF等の設備に
よる省人化により、売上の増加幅に対して人員数の増加を一定程度抑
えることができ、労働生産性が向上する
• 本件投資後、さらに荷役についての自動化の対応を行う予定である（事
業計画に当該設備投資を織り込み済である）
2027年度 2030年度
項目
（基準年度） （基準年度＋３年後）
労働生産性 1,863
1,249
（単位:万円/人） （年平均上昇率＋14.3％）
目標値 従業員1人あたり給与支給総額 751
639
（単位:万円/人） （年平均上昇率＋5.5％）
役員１人あたり給与支給総額
-
-
（単位:万円/人） （年平均上昇率＋4.5％）
補助事業に係る従業員数
220 237
（単位:人）</t>
  </si>
  <si>
    <t>1.長期成長ビジョン トクセン工業株式会社
金属線の超精密加工技術を生かし、機能用線事業である低侵襲医療などのメディカル分野、エレクトロニクス分野の製品販売
を拡大することで高付加価値型ビジネスモデルへの転換を図り、持続的成長を実現する
長期成長ビジョン（目指す姿・ビジネスモデル） 外発的動機
• 自動車産業に関する主力事業のタイヤ用線事業は、全社売上の約70%
世界の特殊金属線スペシャリストとして社会の発展に貢献する
を占めているが、製品のコモディティ化が進展し海外からの低価格の競合品
高付加価値型ビジネスモデルへの転換 も参入してきたため、今後の成長が見込みにくい
• 特殊金属線の加工技術を生かし、低侵襲医療などのメディカル分野、エレクトロ • 特殊鋼線事業もエンジン向けの製品が中心であり、短期的には堅調に推
ニクス分野等、より精密な加工技術を求められる高付加価値型ビジネスの構成 移するがEVシフトによって中長期的には減少する見通し
比を高めることで第二創業を果たす • 他方で、当社の超精密金属線加工技術を生かした、メディカル、エレク
※ 全社の営業利益に占める高付加価値型ビジネス (メディカル・エレクトロニク トロニクス向け製品は今後も市場の成長が期待できる
ス分野)の割合を2023年度16.5%から2030年度61.6%へ拡大させる • メディカル向けは、カテーテルを中心とした低侵襲医療市場が、医療費抑
当社製品の供給を通じた社会貢献の実現 制等の動きを背景に年間8%の成長が見込まれている
• メディカル分野においては、より多くの人が低侵襲医療を安心して受療できるよう、 • エレクトロニクス向けは、当社商品が使用されている電子部品市場が、半
経済的で高品質な医療機器用金属線・部材を開発し世界中に届けることで、 導体、EV等の拡大により、年間4.4～5.4%の伸長が見込まれている
長寿命社会における医療費負担の軽減に貢献する
内発的動機
• エレクトロニクス分野においては、より高精度な製品の開発・供給により、社会の
持続的発展に必要不可欠な半導体の基板となるシリコンウェハの更なる高性能 • 顧客のニーズに応えるべく、タイヤ・エンジン・家電製品向けの独自の金属
化およびEVシフトやカーボンニュートラルにおけるキーデバイスの成長に貢献する 線加工技術で成長を遂げ、各分野で「ニッチトップ」の地位を確立してきた
人材育成と地域貢献 • 年々シビアになっていく品質要求に応え続けることにより金属線加工技術に
磨きをかけ、近年では超精密加工が求められるメディカル分野やエレクトロ
• 技能の承継・人材育成による持続的成長と地域貢献の実現に向けて、地域雇
ニクス分野にも進出している
用の拡大及び継続的な賃上げを実行すると共にリスキリングやワークライフバラン
スなど人的投資を推進し、地域人材から選ばれる職場づくりを実現する • 当社が長年培ってきた高い技術力を生かし、低侵襲医療向けなどのメディ
• また、地域の教育プログラムへの賛同や地域交流活動への協賛など、今まで以 カル分野においては、カテーテル用ブレード線で国内85%のシェアを獲得、
上に地域に還元していくことで地域への貢献を図る エレクトロニクス分野においても、プローブカードピン、ソーワイヤ、ナノパウ
ダーにおいて世界的に高いシェアを獲得しており、市場における存在感は
会社全体の売上成長及び賃上げ目標
年々高まっている
【売上成長目標】（2023年度対比）
• メディカル・エレクトロニクス分野の顧客ニーズに対し、既存の生産能力で
• 2023年度売上高：250億円
は不足しているため、新工場を建設し、拡大する必要がある
• 2027年度売上高：283億円(+32億円,+13%)
• 当社は、国内医療機器市場における国産比率の改善、世界シェア獲得に
• 2030年度売上高：371億円(+121億円,+48%）
よる世界の低侵襲医療への貢献を果たしたいと考えている
【賃上げ目標 】
• メディカル・エレクトロニクス分野での成長を第二創業と位置づけ、次の50
• 2023年度～2027年度：+1.0%
年に向けて高付加価値型ビジネスへシフトしていきたい
• 2028年度～2030年度：+6.0%</t>
  </si>
  <si>
    <t>.補助事業の概要 トクセン工業株式会社
2
既存工場に隣接する所有地に新工場を建設・集約し、機能用線事業の生産能力拡大および新しい加工技術を取り入れた
新規設備を導入することで飛躍的な生産性向上を実現し、世界市場におけるシェア獲得を実現する
• 市場の成長に対して既存工場では生産キャパシティが不足しており、新工場への機
4 億円
5
能集約および最新設備の導入により、機能用線事業の生産性向上及び供給量の
事業費 （ 億円）
補助事業の 9.9
拡大を図る
（補助額）
背景・目的
• メディカル分野向けでは新たに戦略商品量産ラインを増設することで、世界最大手 ※44.9億円の内訳
建物 30.6億円
メーカーに対する差別化戦略の実行、BCP需要の獲得による中国・欧米における売
設備 14.3億円
上拡大を実現する
➀新工場の建設による機能集約に伴う生産能力向上
伸線 圧延
• 既存工場の隣地に、現工場の3倍である延床面積8.2千㎡の新工場を建設
• 分散している人員および工程を集約し、新規設備導入による能力増強を図ることで、 厚み×幅
40μm×100μm
その相乗効果により生産能力を2倍 (2.5t ⇒ 5.0ｔ/月)へ向上させる
②量産機の増設・最新設備の導入による生産性向上
• 伸線設備等の増設、新規設備の導入による歩留率の改善および機能集約による 直径40μm
設備投資の 一人当たり持ち台数が1.5倍増加することにより生産性向上を図る
内容 • 最新設備導入による伸線加工治具の摩耗の抑制、圧延設備における計測データ
の収集および寸法調整の自動化により、長時間の連続稼働を実現
また、生産性向上のみでなく、作業時間の短縮による3交替制勤務の廃止等、職
場環境の改善を図る
③検査機器、分析機器導入による品質対応および差別化の実現
• 最新検査機器および分析機器の導入により、海外における高品質に対応し、また、 新工場外観イメージ
競合との差別化を図ることで中国・欧米における市場シェアの拡大を実現する
2027年度 2030年度
項目
（基準年度） （基準年度＋３年後）
労働生産性 2,589
1,212
（単位：万円/人） （年平均上昇率＋28.8％）
目標値 従業員1人あたり給与支給総額 669
562
（単位：万円/人） （年平均上昇率＋6.0％）
役員１人あたり給与支給総額 -
（単位：万円/人） - （年平均上昇率+6.0％）
補助事業に係る従業員数
111 135
（単位：人）</t>
  </si>
  <si>
    <t>千代田空調機器株式会社
1.長期成長ビジョン
海外優先投資等を中心とした現体制の見直しを行い、当社の強みを生かした上でスマートファクトリー化、国内
回帰等による長期的な国内製造力の強化を図り、長期成長ビジョンを実現させる。
長期成長ビジョン（目指す姿・ビジネスモデル）
外発的動機
【経営理念】
⚫ 円安 …輸入コスト増
次の100年、世界の人々から愛される企業グループになろう
⚫ 海外部品調達難 …部品の海外依存度高
CSR経営/最高の品質/新商品開発 → 100年経営/利益創出
【中期経営計画 ～2025年に目指すべき姿～】 ⚫ 製造原価高騰 …金属価格
1）ES …賃金上昇・エンゲージメント向上
⚫ 労働力 …生産年齢人口減少
2）CS …CO2 30％削減（工場内排出量）
⚫ 競争激化 …海外企業との製造競争
3）DX …スマートファクトリー更なる強化
⚫ BCP …自然災害の脅威（南海トラフなど）
4）製品…地産地消 国内還流
新たな価値の創造（冷媒ユニット）（P7参照）
5）社会…国内製造力の強化、地産地消
【長期経営計画 ～ 2030年に目指す姿～】 内発的動機
1）ES …ハイブリッド型制度導入 ⚫ 当社の投資状況 …海外優先、国内停滞
2）CS …CO2 50％削減（工場内排出量）
⚫ 業界依存 …空調製品へ高い依存
3）DX …弊社独自基準でレベル４による品質向上(P5参照)
⚫ 取引先依存 …1社偏重
4）製品…創造した価値（冷媒ユニット）の更なる展開
5）社会…海外販路の拡大 ⚫ ES …新規採用および人材定着への苦戦
会社全体の売上成長目標（基準年～2030年度） →ハイブリッド型制度の検討へ
• 売上高成長率21.3％
• 売上高増加額80億円
⚫ DXへの課題 …部分的な取組みを全体の流れに
会社全体の賃上げ目標
• 2.69%（直近事業年度～基準年度）
• 5.50%（基準年度～事業化報告3年目）</t>
  </si>
  <si>
    <t>千代田空調機器株式会社
1.長期成長ビジョン
当社の紹介は、空調・冷凍機に使用される機能部品等の設計・製造・販売を行っている。配管加工品・バルブ・
圧力容器の製造およびそれらの接合・封止技術は当社の優位性がある技術である。
千代田空調機器 株式会社
1939年4月創業 【当社製品紹介】
配管加工品 バルブ 圧力容器
【本社】
りんくう （本社登記：大阪府堺市中区東山461番地）
【事業内容】
空調・冷凍機の機能部品の設計・製造・販売
【製品】
接合・封止技術を
独自の接合・封止技術を活用
活用して一体製品へ
3つの製品：圧力容器・配管アッセンブリ・バルブ
【製造拠点】
国内 …りんくう工場、堺工場、愛東工場（滋賀県）
冷媒配管ASSY
海外 …大連、蘇州、アユタヤ</t>
  </si>
  <si>
    <t>千代田空調機器株式会社
1.長期成長ビジョン
従業員の活性化とともに、CSRおよびSDGsの推進、品質向上の取り組み、スマートファクトリーに向けたDXの推
進活動を通じて、長期成長ビジョンの実現を図っている。</t>
  </si>
  <si>
    <t>千代田空調機器株式会社
1.長期成長ビジョン
従来外生産していた配管加工品の国内生産化および南海トラフ地震等に対するBCP対策の観点から、滋賀
新工場を立ち上げる。
震災対策等に対するBCP対策</t>
  </si>
  <si>
    <t>千代田空調機器株式会社
.補助事業の概要
2
従来ベテラン従業員が実施していた生産工程上の調整作業をスマートファクトリーによる無人化を図るとともに、
生産の国内回帰を図るため、滋賀新工場を立ち上げる。
補助事業の • 海外調達リスク回避による生産の国内回帰 事業費 1 億円
5
背景・目的 • DX化スマートファクトリー全体最適 （補助額） （4.6億円）
1. 配管切断加工機×9台（図１参照）
図１ 図２
※導入数量は予定
2. 配管端末加工機類×29台（図２参照）
3. 配管曲げベンダー×12台（図３参照）
4. 自動化用ロボット×7台（図４参照）
5. 配管洗浄装置×1台
6. トラバーサー×１台
7. その他加工機類×17台
設備投資の ①現保有設備対比生産能力が約1.5倍 図３ 図４
内容 →モーターなどの駆動部の性能が大幅UP
②マテハン/ロボット導入により効率化
８．生産管理システム（DX化スマートファクトリー全体最適化）
①工程情報を集約し 需要計画、生産計画、部品の発注、
現場での作業指示・進捗管理から原価管理といった一連の
業務フローを統合的に管理し現場の正確なデータを一本化
することで業務効率化や生産性向上に寄与
2026年3月期 2029年3月期
項目
（基準年度） （基準年度＋３年後）
（単
労
位
働
：
生
万
産
円
性
/人）
699万円/人
（年平均
1,
上
65
昇
3
率
万 円
＋
/人
33.2％）
目標値 従業員
（
1
単
人
位
あ
：
た
万
り給
円
与
/人
支
）
給総額 440万円/人
（年平均
5
上
16
昇
万
率
円 /
＋
人
5.5％）
役員１人あたり給与支給総額 -
（単位：万円/人） - （年平均上昇率 ＋5.0％）
補助事業に係る従業員数
240人 280人
（単位：人）</t>
  </si>
  <si>
    <t>三友プラントサービス株式会社
1.長期成長ビジョン
地域企業の廃棄物処理・資源循環についての増加要請および高度化に応え続け、社会経済インフラとし
て、その使命を果たしていきます。
長期成長ビジョン（目指す姿・ビジネスモデル） 外発的動機
• 産廃の排出量は国内総量で390百万トンから漸減で推移しており、今後も同
• 「環境と資源を守る」を経営理念とし、創業76周年、未来の
数の処理量が予測されています※。一方、リサイクル意識は多くの業種で広く浸
環境・地球の資源のため、産業廃棄物処理、資源循環のプ
透し、産廃についてもリサイクルサービス市場については右肩上りとなっています。
ロフェッショナル集団として、環境保全活動を継続的に推進し、 • これをビジネス機会と捉え、この分野への投資強化を行う同業も多く、相対的に
焼却施設や化学処理施設への設備投資額が縮小されている状況です。設備
持続可能な社会形成の一翼を担い続けていきます。
の老朽化が進む中、事業規模の漸減もやむなしと感じている同業者は少なくな
く、代替先として当社への期待が高い状態にあります。
• 当社グループ全体での強固かつ効率的な全国対応網を活用 • 京浜工業地帯やその周辺地域企業では廃棄物の県外処理も多く発生してい
しつつ、本補助事業で事業規模の拡大およびさらなる高度化 て、CO2排出抑制の問題から県内処理を強く要請されており、神奈川県下に
おいて、産廃処理能力を高める必要があります。また、神奈川県からの一般廃
を進めていきます。
棄物処理の処理受託要請等、地域内での産廃処理ニーズが増加傾向にあり
ます。
• 総合産業廃棄物処理事業者として、地域社会のニーズに応 • また当社はリサイクルや環境負荷低減の取り組み、NEDOの委託事業として新
え、自社の長期安定的成長を図りながら、従業員や取引先 技術開発などを行うことはもちろんですが、顧客から安心して、収集運搬から、
中間処理、最終処分までを任せられる一気通貫の産廃社会インフラとして、積
等ステークホルダーの未来を守っていきます。
極的に設備維持・更新・拡大し、社会的使命を果たすべきと考えております。
※ 令和3年版 環境・循環型社会・生物多様性白書 より
内発的動機
会社全体の売上成長目標（～2030年）
• 既存設備は20～30年前に投資しており、設備老朽化や人手不足といった内
• 売上高成長率 68％※ 発的な要因もあって工場稼働率を高められず、機会損失が散見されています。
• 売上高増加額 56億円 処理量増加の要望に、最新の合理化・自動化の設備を導入して応えていくべ
き状況にあります。
（2024/12期：82億円⇒2030/12期：139億円）
• 創業以来、速いスピードで全国的な事業展開してきたことで、工場間物流
※（2030/12期売上高 - 2024/12期売上高）÷ 2024/12期売上高
（施設の処理能力にばらつきがあり、神奈川県で発生した廃棄物を千葉工場
会社全体の賃上げ目標 へ運搬するなどの非効率）や作業プロセスの部分で非効率や問題点対応の課
題が見えております。
• 年増加率 3.54%（直近事業年度～基準年度）
• 2024年に創業家の三代目社長に事業承継を行い、上記現状の課題を整理
• 年増加率 5.84%（基準年度～事業化報告3年目）
対応しつつ、同時に今後の長期安定成長、地域社会貢献、産廃処理技術革
新につながる設備投資を行いたいと考えています。</t>
  </si>
  <si>
    <t>三友プラントサービス株式会社
.補助事業の概要
2
現状の５倍の処理量を備え、多種類の特別管理産業廃棄物に対応可能な、投入から処理までを自動で
行える業界内では先進的な設備を組み込んだ、総合廃棄物処理工場（横浜新工場）を建設します。
• 現横浜工場の処理能力が年間6千トンと地域の経済規模に比して小さく、顧客からの処理要請に応えきれていません。当社の他工場
事業費 6 億円
補助事業の での処理は運搬人員を必要とし、それができない場合は顧客側で神奈川県外処理を行わざるをえず、手間とコスト増となっています。 4
背景・目的 • 特別管理産業廃棄物（感染性廃棄物、試薬類）や、PFOS/PFOAといった特定化学物質の処理需要が伸びつつある中、一般廃棄 （補助額）（ 19 億円）
物処理など新たな要請も発生しており、地域での大型総合産業廃棄物処理施設（処理能力3万トン）の建設が強く求められています。
【設備】
建設工場全体イメージ（写真は当社の他工場）、処理用設備の一部
• 横浜市金沢区※で廃棄物焼却炉（処理能力30,000トン、現横浜工場の5倍の
処理能力）を有する設備を建設します。
• 処理工程の設備は、前処理設備、コンベア及びタンブルリフトを含む投入装置、焼却
炉、ボイラ、排ガス処理装置、煙突などから構成されます。
• 多種類の特別管理産業廃棄物処理に対応できるよう必要設備を配置します。
【労働生産性の向上】 ※2,200坪の敷地を工場建設予定地として取得済みです。
• 工程の一部に最新設備を組み込むことで、 工程間運搬や投入など複数の工程を自
動化し、既存工場と比べて4割の省人化対応が可能となります。
↑医療系廃棄物の自動投
• 特別管理産業廃棄物処理について、前処理工程の設備を機能ごとに区分けするな
設備投資の 入機（最新型を導入）↓
ど工夫して、専門知識と経験の少ないパートタイム従業員でも対応できるようにします。
内容
スペシャリストの人員不足を幅広い層の雇用で対応可能です。
【設備投資によって解決し得ること】
• 神奈川県内および関東圏内からの、特別管理産業廃棄物や特定化学物質等の増 ←粉粒体の搬送を
加要請に応えることができます。 省人化するフライト
• これまで大学連携等で培ってきた先進技術（排出ガスの回収促進、焼却残渣のリ コンベア
パーパスなど）を設備に組み込み、環境保護と資源再活用にさらに貢献できます。
ロボットアームによ
• 医療廃棄物および一般廃棄物の受け入れも可能になり、医療業界および行政の課
る自動選別装置
題解決につながります。
（図はイメージ）
• 省人化設備および処理工程の工夫により、経験者・専門家の人員不足の状況下で →
も、大規模な処理能力を確保することができます。
項目 2027年度（基準年度） 2030年度（基準年度＋３年後）
労働生産性 2,142万円
1,150万円／人
（単位：万円/人） （年平均上昇率＋23.0％）
従業員1人あたり給与支給総額 634万円
530万円
目標値 （単位：万円/人） （年平均上昇率＋6.1％）
役員１人あたり給与支給総額 2,183万円
1,885万円
（単位：万円/人） （年平均上昇率＋5.0％）
補助事業に係る従業員数
237人 274人
（単位：人）</t>
  </si>
  <si>
    <t>松村フーズ株式会社
1.長期成長ビジョン
過酷な作業環境を自動化により根本的に改善し、従業員の働き方改革に貢献します。
保税機能を保有することで、付加価値上昇を実現し、持続的な従業員の所得向上を図ります。
冷凍食品保管事業という-20℃下での過酷な作業環境を自動化により根本的に改善します。
保税機能を保有することで、付加価値上昇を目指します。
長期成長ビジョン（目指す姿・ビジネスモデル）
外発的動機
• 取扱品である冷凍商品の需要拡大は今後も継続することから、そ
• 働き方改革に対応し、業務の効率化を推進し、従業員の給与アッ
の物流拠点となる冷凍食品倉庫の需要も拡大します。
プにつなげます。
• このニーズを捕捉するためには倉庫建設が必須ですが、従来型で
• 冷凍食品はＳＤＧｓの17の目標の内、12.作る責任、つかう責
は付加価値の向上は望めません。
任、2.飢餓を0に、等に該当します。
• 今回の補助事業では自動倉庫機能による作業環境の改善と保
• 円安による燃料高騰等、物価の上昇分を売値への転嫁には限界
税機能による付加価値向上を目指しています。
があり、自助努力が必要です。
• 又、この新機能倉庫により、５年後には補助事業の事業基盤を
• コロナ感染拡大に伴った生活環境の変化により特に食生活の変化
確立し、１０年後には群馬県から関東一円や北陸信越地方に
による冷凍商品の需要拡大が今後も継続します。
冷凍食品を配送する物流拠点となると想定しています。
• また、補助事業が食品倉庫業界の働き方改革の行動モデルとなり、
同時に、ＳＤＧｓ実現のモデルとなると想定しています。
内発的動機
• 冷凍食品事業は食品ロスの減少や、働き方改革に貢献する事業
会社全体の売上成長目標
（基準年度～事業化報告3年目）
ですが、その基盤を支える冷凍食品保管業は－２０℃という過酷
• 売上高成長率 16.7％
な環境下での仕事です。
• 売上高増加額176.4億円（298.5億→474.9億）
• コンビニ、量販店等の顧客の要望に即応した出庫が必要であり、不
会社全体の賃上げ目標
規則な勤務時間が常態化しています。
• 2.0%（直近事業年度～基準年度） • 顧客要望に比し、付加価値が低く、従業員の給与に報いられてい
• 5.1%（基準年度～事業化報告3年目） ません。
• 卸売業が保有する倉庫は、販売までの一時保管場所としての位置
付けですが、保税倉庫機能を活かし、かつ自動倉庫機能を活用し
て効率の良い、付加価値の高い卸売業を目指したいと考えていま
す。</t>
  </si>
  <si>
    <t>松村フーズ株式会社
.補助事業の概要
2
補助事業は「保税機能を持つスマート冷凍食品自動倉庫の建設」です。
総額43.4億円、補助対象経費は38.9億円のビッグプロジェクトとなります。
• 卸売業は利益率が低く、従業員への給与の支払いにも限度があります。 事業費 億円
50
補助事業の • 一方、昨今のＩＴ技術の進歩により、従来の有人自動車輸送からドローンを含む無人輸送機材へと移行 （補助額） （12億円）
しています。また、ＳＤＧｓに示される持続可能な発展に沿った取り組みが必要となっています。
背景・目的
• このような背景から、従業員への持続可能な給与支払いの原資を生み出すための高付加価値事業の
創設が目的です。
・ 設備投資の内容
設備投資の
高崎工業団地内に土地を確保し、自動倉庫機能と保税機能を持つ冷 写真等
内容
凍倉庫を建設します。
・冷凍食品業界及び食品物流業界が直面する省エネや労働環境を
改善した職場環境の構築が課題です。これを今回の投資により弊社
の強みである冷凍食品業界での先導性と専門性を保有する人材の
活用により、補助事業を実行し、上記課題を解決します。
2028年2月度 2031年２月度
項目
（基準年度） （基準年度＋３年後）
労働生産性
1,415万円 3,340万円（年平均上昇率＋33.1％）
（単位：万円/人）
目標値 従業員1人あたり給与支給総額
518万円 632万円（年平均上昇率＋6.8％）
（単位：万円/人）
役員１人あたり給与支給総額
－ －(年平均上昇率＋4.6％）
（単位：万円/人）
補助事業に係る従業員数
10 30
（単位：人）</t>
  </si>
  <si>
    <t>株式会社光製作所
1.⾧期成⾧ビジョン
100年に一度の大変革期をビジネスチャンスと捉え、積極投資により事業の構造改革を行い、ステークホルダーに
貢献し、100年企業を目指し、更なる発展を企図
⾧期成⾧ビジョン（目指す姿・ビジネスモデル）
外発的動機
• 自動車業界及び航空宇宙業界は共に大変革期を迎えている。
• 中部地区は自動車業界、航空宇宙業界の重要なモノづくり拠点
• 光製作所は 切削をコア技術とした加工部品を他社にはない設備、 となっているが、自動車業界ではカーボンニュートラルの加速により、
CASE、航空宇宙産業では飛行機、ロケットの国産化、更には
技術力を持ち、高品質、高精度、低コストでこの業界に納めて
eVTOLや産業用ロボット等、軽量かつ高剛性の部品が求められ、
おり顧客から厚い信頼を得ている。
光製作所が⾧年培ってきた加工技術、ノウハウが必要とされてい
• 今年で創業77年を迎えるが、更なる発展を図ることにより100年 る。
企業を目指すため、この変革期をビジネスチャンスと捉え、積極
• 一方 賃上げ、働き方改善、SDGs、地域社会との共存、共栄が
投資により、合理化、拡販、新規ビジネスの獲得を目指す
求められている. これらの期待に応えるため自動車産業向け生産を
• 持続的成⾧を実現することで、ステークホルダーである-顧客、従業 している民生品事業部の集約を図り岐阜市柳津に魅せる新工場
員、仕入先、地域社会に貢献する。 を立ち上げる。
内発的動機
• 自動車部品の急激な生産の伸びに追従するため、持続的な設備
増設投資を続けてきており、工場面積の不足による部材保管場
所の不足、それに伴う部品の移動ロス発生や、作業改善、環境
売上成⾧目標 改善の遅れといった非効率な運用を強いる状況となっている。
• また、人員増加に伴う 休憩スペースの不足等働く人の負担が増加
• 2030年までの会社全体の売上高成⾧率+82.6％ している状況。このため工場新設にあたり、安心・安全な職場環境
を構築し、休憩スペースの確保や、従業員の希望を取り入れた働き
• 2030年までの会社全体の売上高増加額77.8億円
やすい工場を作る。
＜コンセプト＞ ・働く人に優しい
・地域社会に優しい
・地球環境に優しい</t>
  </si>
  <si>
    <t>株式会社光製作所
2.補助事業の概要
民生品事業部(補助事業)において、現在6拠点に分散している工場、倉庫、研究施設を1ヶ所に集約すること
で生産性向上を図るとともに、新領域事業用のスペースを確保し売り上げ拡大を実現
補助事業の • 自動車業界エンジン関係が減少する中、CASEへの対応が必須である. 現状は既存 事業費 48億円
背景・目的 製品の対応で余剰面積がない、このため新工場設立、新規設備投資を行い売り上げ拡大を図る （補助額）（12億円）
狙い
区分 内容
競争力強化/ 拡販 CN/SDGs 柳津新工場構想図
効率化
• 工場建設 • 新工場の土地造成・建物建設 ✓ ✓ ✓
①1 CASE向け生産設備新設 ✓
②2 eVTOL・ロボット用加工設備新設 ✓
設備投資の
• 生産設備
③3 新領域におけるSub-Assy組立設備新設 ✓ ✓
内容 設置
④ 付加価値向上、競争力向上用
4 ✓ ✓
ダイカストマシン増設
• 切削切粉の圧縮、ブリケット化、
5 ✓ ✓
搬送設備新設
• 付帯設備 • 省エネタイプのエアコンシステム、コジェネ、
6 ✓
設置 コンプレッサー新設
2027年度 2030年度
項目
（基準年度） （基準年度＋３年後）
労働生産性 2,409万円
1,597万円
（単位:万円/人） （年平均上昇率＋14.7％）
目標値 従業員1人あたり給与支給総額 811万円
694万円
（単位:万円/人） （年平均上昇率＋5.3％）
役員１人あたり給与支給総額 -
-
（単位:万円/人） （年平均上昇率＋5.2％）
補助事業に係る従業員数
126人 158人
（単位:人）</t>
  </si>
  <si>
    <t>1.長期成長ビジョン 至誠堂製薬株式会社
一般用医薬品の生産能力を大幅強化することで、持続的な成長を実現し、200年企業を目指す
長期成長ビジョン（目指す姿・ビジネスモデル） 外発的動機
【社会】
国内外で需要が拡大している一般用医薬品の生産能力を大幅に
• 健康意識の高まり（健康食品・サプリメントへの興味関心）
引き上げることにより、人々の健康寿命の延伸に貢献する。
• 健康に対する価値観の変化（対症療法から「未病」「予防」「アンチエイジング」へ）
• 医薬品の所得控除制度によるセルフメディケーションの推進
国内外の健康を支える医薬品メーカーとして
• 一般用医薬品の販売チャネルの多様化（通信販売の規制緩和、訪問薬剤師・在
早期の売上高100億円を達成し、200年企業を目指す。
宅介護などの新チャネル拡大）
＜社会に対して＞
【医薬品業界】
• 健康寿命の延伸や病気の予防・早期手当などの社会的な健康意識の高
• 一般用医薬品の堅調な国内市場、高成長が続く海外市場
まりに対して、高品質な一般用医薬品製造によって貢献する
※但し医療費抑制や人口減少により、国内市場は将来の縮小が見込まれる
• 海外市場への進出を加速し、メイドインジャパンブランドの医薬品を拡め、中
• 医薬品メーカーの相次ぐ不祥事に対する行政処分(製造停止)、専門知識を持つ人材の不
小医薬品メーカーとして一般用医薬品の海外市場No.1を目指す
足、原料高騰、薬価制度の構造的課題等を受け、医療用医薬品の需給逼迫が深刻化
（2025年4月現在15か国に進出実績あり）
※受託製造企業も医療用を優先することで、一般用医薬品の供給能力が不足
＜顧客に対して＞ • 大手医薬品メーカーは製造のみならず開発段階から外部委託する傾向にあり、受
• 高度な医薬品開発力をもって、新商品開発から製造までワンストップでサ 託製造企業の開発力が問われるケースが増加
ポートし、医薬品業界の発展に貢献する • 企画・開発・製造・医薬品承認申請まで、一貫した受託製造が可能な当社に、受
託・OEM製造の引き合いが殺到している
＜社内に対して＞
• 社員とその家族の幸福実現に向けた「道経一体の経営」/三方善と社会に
役立つ人づくりを行う 内発的動機
• 経営の絶対的安定＝自己資本比率60％超を目指す
• 働きやすい職場づくりにより、人材の定着・成長を促す • 当社の生産能力は限界に達しており、市場ニーズの高まり、殺到する顧客からの引
き合いに対して、機会損失が発生し続けている
• 売上規模の拡大による飛躍的な企業成長を遂げ、
全社員を対象に持続的な賃上げを実現する • 労働力人口が減少する中で人材確保が難しくなってきており、生産における省人化・
省力化が喫緊の課題である
会社全体の売上成長目標（2031年3月期） • 将来を見据えた人材育成に本格的に取り組まなければ、企業として成長ができないと
いう危機感を持っている
• 売上高成長率 +244.8％（直近決算比較）
• できるだけ早期に中小企業から中堅企業へと成長し、医薬品製造業界内で一段上
• 売上高増加額 +68.2億円（直近決算比較）
のステージへステップアップを果たしたい
会社全体の賃上げ目標
• 新工場建設による生産能力の大幅増強に基づき、大手医薬品メーカー向けに一
• 4.5%（直近事業年度～基準年度） 般用医薬品を大規模生産する計画が確定しており、当社の飛躍的な成長を実現
• 7.5%（基準年度～事業化報告3年目） する契機を迎えている。</t>
  </si>
  <si>
    <t>.補助事業の概要 至誠堂製薬株式会社
2
当社では医療用医薬品の取り扱いは無く、本補助事業で生産する製品は一般用医薬品である。
新工場立上げにより抜本的な生産性拡大と売上・利益増加を実現 国の薬価制度により価格を決定する医療用医薬品とは異なるものであるため、国が支出する過去又は
現在の他の制度と同一又は類似の事業には当てはまらない
事業費 5 8 億円
新工場建設で生産能力を抜本的に増強し、国内大手医薬品メーカー向け一般用医薬品の大型製造受託、 （補助額） （ 16 億円）
海外市場における一般用医薬品及びサプリメント需要に対応する
補助事業の
• 一般用医薬品市場の需給がひっ迫し続けており、当社も新規の引き合いを断らざるを得ない状況が続いている（機会損失の発生）
背景・目的
• 既存工場の生産性改善に取り組んできたが、生産スペースの増床ができなければ、現状以上の生産性向上は物理的に不可能な状況
• 人材の売り手市場が続く中、人員確保が厳しさを増しており、生産性改善による省人化や既存工員の定着を促す必要がある
• 取引先である大手医薬品メーカーから一般用医薬品（錠剤）の大規模生産の引き合いを頂いている
【図：新工場・打錠工程の配置図】
新工場建設＋最新の省力化・省人化設備の導入により、生産能力増強(現在の最大10倍)を実現
• 既存工場はこれ以上の増床が難しいため、新工場を建設し、既存工場との2拠点体制を確立。
• バッチサイズが既存工場の2～４倍となる生産設備を導入し、１ラインあたりの生産能力を大幅強化すると
共に、これまで人手を要していた運搬・供給作業等もライン生産で自動化し、生産性を大幅改善。
設備投資の
• 少人数で生産量増を実現するため、夜間無人操業が可能な打錠機械、コーティング機械、
内容 錠剤外観検査機等を導入。
• 新工場稼働に合わせ、全社的なDX/DI*生産管理システムを導入。新工場の一部の機械もDI対応仕様にし、
ヒューマンエラー低減・タイムリーな生産変更・原料在庫状況の把握管理による業務効率化を図る。
*データのライフサイクル全体において、改ざんや偽装を防ぎ、データの完全性と正確性が客観的に担保されている状態のこと。医薬品の安全性追求やデジタル化、そしてマーケットやサプライチェーンの
グローバル化の流れの中で、データに関する不正や、要件の不適合が多く発生するようになり、業界内で重要度が高くなっている
2028年3月期 2031年3月期
項目
（基準年度） （基準年度＋３年後）
労働生産性 2,422万円/人
552万円/人
（単位：万円/人） （年平均上昇率＋63.7％）
目標値 従業員1人あたり給与支給総額 新工場で働く 569万円
458万円/人
（単位：万円/人） 従業員だけでなく （年平均上昇率＋7.5％）
全従業員を対象に
役員１人あたり給与支給総額
-
（単位：万円/人） - 賃上げを実施 （年平均上昇率＋7.5％）
補助事業に係る従業員数
110人 140人
（単位：人）</t>
  </si>
  <si>
    <t>1.長期成長ビジョン ときわ製作所株式会社
自ら市場を開拓する組織と成り、Made in TSUYAMA製品を世界中に展開することで地域および世の中へ貢献する
長期成長ビジョン（目指す姿・ビジネスモデル） 外発的動機
1.旺盛な金属加工需要
目指す姿：
・大手企業からの下請け加工ニーズの高まり
自ら市場を開拓する組織と成り、Made in TSUYAMA製品を世界
2. 域内におけるサプライヤー事業者の減少
中に展開する
・旺盛な金属加工需要にもかかわらず、後継者不足等に起因した
ビジネスモデル：
廃業・倒産の増加
・分散する生産拠点を1か所へ集約し、安全性・生産性を向上させる
3. 無農薬農業領域の拡大
・旺盛な需要が見込まれる自社製品の量産化を実現し、
・無農薬除草作業ニーズの増加
海外輸出を含めた商圏拡大を積極的に推進する
4.大手企業撤退後の工場跡地活用
・補助事業を通じて生産性を向上させ、サプライヤー不足という
・大型工場跡地活用に対する地域からの期待
地域課題を解決する
1. 拠点集約に伴う生産性向上 内発的動機
・大手企業撤退跡地を取得することで、4拠点にまたがる生産拠点 1. 拠点集約による生産性向上の必要性
を新工場1か所へ集約。「板金-機械加工-組立-溶接」といった ・加工拠点が4拠点に分散しており、非効率な生産性となっている
金属加工のワンストップ提供体制を構築し、競争力を強化 2. 自社製品製造事業拡充の必要性
・加工機能における重複工程の解消及び入出荷効率化の実現 ・既存の金属加工事業の対応に人手を要し、旺盛な需要のある
2. 自社製品事業の拡充 自社製品の量産化対応ができていない
・自社開発製品である水田用除草機「楽とーる」の量産体制を構築 3.安定した職場環境整備及び地域との共生の必要性
・一部外注も活用することで、地域経済へ高い波及効果を実現 ・地元就職を促進する魅力的な処遇改善が必要
3. 職場環境の改善、地域との共生 ・老朽化した加工機が多くあり、安全性確保が急務
・民家の隣接する拠点から、工業団地へ移転することで、 ・近隣家屋に対し、騒音対策、製品入出荷時の安全対策が必要
騒音問題の解消および入出荷時の安全性を確保 4.安全安定操業の必要性
・最新設備導入に伴う安全性の向上 ・ハザードエリアに所在する拠点の抜本的な対策が必要となっている
会社全体の売上成長目標（直近事業年度～2029年）
• 売上高成長率25.99%（年平均）
• 売上高増加額23.9億円
会社全体の賃上げ目標
• 2.35%（直近事業年度～基準年度）
• 4.88%:従業員、4.77％:役員（基準年度～事業化報告3年目）</t>
  </si>
  <si>
    <t>. 補助事業の概要 ときわ製作所株式会社
2
・ 客先からの強い需要及び伸張する市場に対応するために、分散する拠点を１か所へ集約し設備増強を行う
・ 「生産性・生産能力向上」「安全性向上」させ、労働環境改善および継続的な賃金向上を達成する
補助事業の • 既存主要取引先からの増産要請に対し、点在している事業所の集約と製造ラインの再構築 事業費 10億円
背景・目的 を実施し顧客ニーズに答えていく。また有望な新規事業に着手、事業を飛躍的に伸長させる。 （補助額） （ 2.5 億円）
• 設備投資の内容
弊社含むグループ拠点として、津山市草加部工業団地
内に新拠点を取得し、点在している弊社事業所を集約
、同時に新たな事業展開を視野に設備投資を実施する。
工場集約に伴い、既存顧客からの増産要請、新規取込
みに対するライン増強と省力化に資する投資を実施する。
※新拠点取得費および改修費は本補助金対象外
設備投資の
内容
内容 詳細/投資効果 金額
板金・機械加工・溶接・精密検査・自動搬送設備
設備導入 950百万円
→安全性向上、省力化、加工能力向上、品質精度向上
生産管理システム、サイバーセキュリティ対策システム導入
システム構築 50百万円
→省力化、生産管理能力向上、セキュリティ対策
2026年度 2029年度
項目
（基準年度） （基準年度＋３年後）
労働生産性 1,461万円
695万円
（単位：万円/人） （年平均上昇率＋28.1％）
目標値 従業員1人あたり給与支給総額 548万円
475万円
（単位：万円/人） （年平均上昇率＋4.9％）
役員１人あたり給与支給総額
-
（単位：万円/人） - （年平均上昇率＋4.8％）
補助事業に係る従業員数
59人 80人
（単位：人）</t>
  </si>
  <si>
    <t>株式会社ライジング
1.⾧期成⾧ビジョン（1/2）
小型部品から大型のハードウェアまでを対象に、設計から大量生産まで一気通貫の高品質なものづくりを追求し、
世界の「高機能工場」として、グローバル「製造業の高収益化」に貢献する
⾧期成⾧ビジョン（目指す姿・ビジネスモデル）
世界の「高機能工場」として、グローバル「製造業の高収益
外発的動機
化」に貢献する
 製造業の品質に対する要求水準が高まる中で、最小の部品から
 自ら工場機能を持たない顧客を中心とした製造受託を通
最大のハードウェアまで、設計から大量生産までの全ての製品を
じて、顧客ニーズに合致した品質の高い工場機能を提供 対象とした一気通貫の品質確保が重要
 自ら材料調達や在庫管理を行わない一方で、材料管理シ  サプライチェーンの多様化を背景に、Apple社に代表される自ら工
ステムの自社開発を行っており、顧客企業の材料調達・在 場機能を持たないテクノロジー企業が台頭
庫管理への付加価値提供により、歩留率の改善に寄与
 また、世界的な人口減少・経済のグローバル化が進展する中で、国
際人事戦略の観点で多文化環境の創出が重要
 高卒人材・多国籍人材の積極登用を行うと同時に、専門
部署がタレントマネジメントシステムを導入し、社員教育に積
極的に投資し、高い労働生産性と雇用定着を実現
内発的動機
会社全体の売上成⾧目標（～2031年）
• 売上高成⾧率:+133％
• 製造業における材料調達に伴う歩留率の悪化に伴う収益性の低
• 売上高増加額:51億円
下が経営の危機をもたらした過去の経験から、自ら材料調達や在
庫管理を行わない工場機能に特化した事業形態を選択
会社全体の賃上げ目標
• 2.2%（直近事業年度～基準年度）
• 8.9%（基準年度～事業化報告3年目）</t>
  </si>
  <si>
    <t>株式会社ライジング
1.⾧期成⾧ビジョン（2/2）
世界の「高機能工場」として、グローバル「製造業の高収益化」に貢献するための事業のグローバル化、現代的な
ソリューションにおいて重要な役割を果たしていくことを積極的に発信している。
2024年6月16日発行のTIME誌に掲載（以下、日本語訳）</t>
  </si>
  <si>
    <t>株式会社ライジング
2.補助事業の概要（1/2）
グローバル「製造業の高収益化」への貢献を広げるため、最先端設備やAI技術を活用した自動化による「高機
能工場」を新設し、高収益化（増収増益）による更なる成⾧と従業員が働きやすい環境構築を目指す。
• 従来17,306㎡の敷地内に8,700㎡の製造エリアを保有して生産活動していたものの、受注
補助事業の 事業費 33億円
量の急増への対応が必要となったため、製造業の高収益化に貢献するための「高機能工場」、
背景・目的 （補助額） （11億円）
かつ従業員が働きやすい環境を兼ね備えた新工場(総面積11,800㎡)2拠点を建設予定。
 「高機能工場」として収益性の工場（増収増益）を実現
• 旧明和工場では実現出来なかったレベルの自動搬送を実現し、物の
移動を自動化することで従業員の作業負担を軽減
• 最先端設備やAI技術を積極的に導入し、従業員はより付加価値の
高い業務に従事することで技術レベルの向上を目指す
設備投資の • 難易度の高い製品を増産可能な体制を整備し、増収増益を実現
内容
 従業員が働きやすい環境構築し、人的基盤を強化
• 新工場内には、休憩室、カウンセリングルーム、調理スペースのある食堂
を完備し、従業員が働きやすい環境を構築し、心身不調の軽減、離職
率低減を実現
• 従業員向けのリフレッシュスペースを設置し、工場増設による環境変化
や増産による精神的・肉体的負担増加に対応
2028年度 2031年度
項目
（基準年度） （基準年度＋３年後）
労働生産性 713万円
539万円
（単位:万円/人） （年平均上昇率＋9.8％）
目標値 従業員1人あたり給与支給総額 437万円
339万円
（単位:万円/人） （年平均上昇率＋8.9％）
役員１人あたり給与支給総額 -
-
（単位:万円/人） （年平均上昇率＋7.0％）
補助事業に係る従業員数
490名 674名
（単位:人）</t>
  </si>
  <si>
    <t>株式会社ライジング
2.補助事業の概要（2/2）
補助事業の投資内訳の詳細は以下の通りであり、新工場の建設の他、最新の工場設備・システムの導入によ
る自動化・オペレーションの効率化を促進し、労働生産性の向上を推進する。
①SMTマウンターライン導入:1.8億円
 プリント基板の製造ライン（3ライン）を導入
②屋内無人搬送車導入:0.4億円
 小型で300kgの荷物を運ぶ事のできる屋内無人搬送車（AMR）を導入し、2,500km分の搬送を自動化可能
 従来のAMRより狭い通路(80cm程度)を走行出来るため、製造工程の中まで部品を届ける事が可能
 松阪工場での導入実績が国土交通省の「物流・配送会社のための物流DX導入事例集」にてモデル事例として紹介
③搬送物自動積替システム導入:0.2億円
 AMRで搬送された部品や完成品を協働ロボットを使用して、自動積み下ろしを行う
 積み下ろしの為に人が移動する際に要した時間や自動搬送車の到着待ち時間等の時間を削減
④X線検査装置（CT付）導入:0.2億円
 CT機能を搭載したX線検査装置を導入し、これまで確認出来なかった部品の検査を行うことで、高品質な生産を確保
⑤生産管理システム（TPiCS）導入:0.1億円
 製造工程の平準化、部材所要量の確認を自動化し、生産効率を改善
⑥AIによる判定装置導入:0.2億円
 9名程度確保して実施していた製品の良否判定をAI技術を活用した判定装置を導入することで検査時間を短縮予定
 虚報率90%→15%まで削減可能</t>
  </si>
  <si>
    <t>株式会社山福
1.長期成長ビジョン
当社は創業79年の、業務用高級食材の卸売、おせちのOEM製造を主力事業とする食品事業を行う
2029年度にコンソーシアム合算売上高480億円を目指し、事業の中核機能である「保管」機能を強化
会社概要 卸売事業 おせち事業 海外事業 小売事業
創業：1946年4月（創業79年） （主力事業） （主力事業）
拠点：大阪府豊中市（本社）、宮城県仙台市（支 1,100社以上
店）、宮崎県東諸県郡（製造工場）、大阪府大阪市
産地・製造会社 食品輸入商社 仕入先
（小売店舗）、東京両国（営業拠点）
その他：健康経営有料法人、優良申告法人
事業概要
• 卸売事業：業務用高級食材をホテル、旅館、料亭、 保管 倉庫業者
飲食店等へ卸売り。食材は最終調理工程の手前まで
加工を施し、調理現場の省力化を図ったものが主力商
品。高級食材専門商社として商品点数は5万点超。 幹事企業 参加企業
• おせち事業：通販会社、百貨店、有名シェフ・料亭など 企画・製造・品質管理 保管 コンソーシアム
からOEM製造を受託し、完成した冷凍おせちを販売。
直近120万食以上売上。業界首位。
• 海外事業：国内の輸出商社向けに、高級食材を卸売
おせち盛り込み 外注先
販売
• 小売事業：主要顧客は周辺の高級料理店。一般消
費者も購入可能。自社製品も店頭に並ぶ
保管 倉庫業者
業務用高級食材卸売 おせち企画OEM
業務用食品卸 食品輸出商社 食品卸会社
調理提供者 通販事業者等 自社店舗 飲食・小売
1,200社以上
一般消費者・業者 消費等</t>
  </si>
  <si>
    <t>株式会社山福
1.長期成長ビジョン
日本食における「ごちそう」を支える“黒子役”として、食の現場におけるリソース不足を高い水準でサポートする。
そして、地域還元を通じて、魅力ある業界へとけん引するリーディングカンパニーとなる
長期成長ビジョン（目指す姿・ビジネスモデル） 外発的動機
• 国内の冷凍冷蔵倉庫の絶対量の不足、老朽化（冷蔵事業者の約
日本食の「ごちそう」を支える盤石な社会インフラ
9割は中小企業が占めるが、投資余力がなく、高齢化に伴う廃業によ
りさらに供給は逼迫することが予想される。そして、建て替えが必要な
• 全国の調理現場、お客様に高品質で、かつ安全な商品を安定して
築40年以上の倉庫も全国で3割を超える*1）
提供する
• 物流の2024年問題により、納期遅延、物流コストの上昇が顕著に
• 日本の食文化を守り、そして発展させていくため、現時点で約5万
経営を圧迫
点を超える商品に加え、オリジナルブランドの製品開発にも注力し
• 通信販売(ECやカタログ通販、テレビショッピング等）を通じた食品の
ていく。
購入拡大（2019年から2021年で2.1倍、2023年も前年比＋
• 全国的に枯渇する外部冷凍冷蔵倉庫に供給網を委ねるのではな
5.2％*2）
く、自社で必要庫数を確保し、品質および安定供給を担保する
• インバウンド需要の拡大と国内外食・旅行需要の回復
• 工場における自動化、物流における効率化を積極的に図り、山福
• 2013年「和食」がユネスコに登録されて以降、コロナ禍による一時的
で働く人が、より創造性のある仕事に従事できるよう工夫を重ねる。
な縮小はあったものの、海外における底堅い日本食ニーズの高まり
• 事業拡大で得られる収益は人財に還元し、業界をけん引するリー
• （ホテルや旅館、料亭などの）料理現場における人手不足と高齢化
ディングカンパニーとなる
内発的動機
売上成長目標
• 創業から79年の間、商品点数は現在5万点以上に達し、全国の仕
（コンソーシアム合算）2031年5月期: 509億円
入先は1100社以上、販売先も約1200社まで拡大。山福は業務
• 27/5期から31/5期までの売上高成長率: +13.4％
用高級食材の専門商社として現場のプロが求める食材を安全、かつ
• 27/5期から31/5期までの売上高増加額: +197億円
安定して提供し続ける使命がある
• 販売点数業界１位の「おせち」のOEM事業は、前年2月から仕入れ
（山福単体） 2031年5月期: 503億円
を開始し、4月から仕込みを始めている。材料段階から最終製品まで、
• 27/5期から31/5期までの売上高成長率: +13.2%
品質を高水準で維持するための冷凍冷蔵倉庫の保管キャパシティが
• 27/5期から31/5期までの売上高増加額: +201億円
頭打ちとなっており、食の安全を確保するために、拡大する需要に対
応しきれていない。
*1: 「コールドストレージの今」, 2024年4月,CBRE
*2 「10年後の冷蔵倉庫市場の展望」,2023年8月,NRI</t>
  </si>
  <si>
    <t>株式会社山福
.補助事業の概要
2
仙台新冷凍冷蔵倉庫の建設及び設備導入費は、総額48.7億円の大規模投資となる
労働生産性は1,587万円/人(年率24.5%成長)、従業員給与は470万円/人(年率6.0%増額)へ
• 物流の2024年問題や冷凍冷蔵倉庫の全国的な不足・老朽化により物流コストや物流効率
が悪化。物流の最適解を外部に求めることが困難な状況となっている 事業費 億円
51
補助事業の
• 受注に対応できる必要な在庫を確保し、自社倉庫をハブとした効率的な物流網を構築すると （補助額） （16億円）
背景・目的
ともに、倉庫内オペレーションも自動化装置により省力化を図ったものとする
• 宮城県仙台市宮城野区に地上3階建ての大規模冷凍冷蔵倉庫（延床
面積は8,550㎡、庫腹は最大11,400トン）を建設（40.3億円）
• 倉庫内には、移動ラックシステムやAGV、遠距離バーコードスキャナーなどの
各種自動化設備を導入と共に、これら自動設備を活かしたオペレーションを
実現するためにシステム刷新（導入総額は8.4億円）
設備投資の • 材料の調達から食材・製品を輸送に係る現状のサプライチェーンは大阪を
内容 起点としており、長距離・非効率な輸送
• 仙台に大規模拠点を持つことにより、現地周辺での調達量を増やし、関東
以北へも短納期が達成可能
• 移動ラックシステムや各種自動化設備、システム刷新による情報の見える
化等の組み合わせにより、倉庫オペレーション全体がDX化され、高級食材 (仙台新冷凍冷蔵倉庫CGパース)
の多品種少量へも効率的に対応可能
2027年度 2030年度
項目
（基準年度） （基準年度＋３年後）
（単
労
位
働
：
生
万
産
円
性
/人）
822（山福:660、エクセル:14,035） 1,587
（
（
年
山
平
福
均
:1
上
,4
昇
33
率
、
＋
エク
2
セ
4.
ル
5
:
％
15
）
,166）
470（山福:470（宮城:621、大阪:536、宮
目標値 従業員1人あたり給与支給総額 386（山福:386（宮城:521、大阪:450、宮崎:209）、エクセ
（単位：万円/人） ル:n/a）
（
崎
年
:2
平
48
均
）
上
、
昇
エク
率
セ
＋
ル
6
:5
.0
3
％
6）
）
1,829（山福:2,207（※）、エクセル:1,199(※))
役員１人あたり給与支給総額 1,603（山福:1,934（※）、エクセル:1,050（※）)
（※拠点はいずれも大阪のみ）
（単位：万円/人） （※拠点はいずれも大阪のみ）
（年平均上昇率＋4.5％）
補助事業に係る従業員数 324（山福:324（宮城:45、大阪:179、宮崎100）、エクセ 355（山福:355（宮城:60、大阪:195、宮崎:100）、
（単位：人） ル:n/a） エクセル:1）</t>
  </si>
  <si>
    <t>株式会社やまみ
1.長期成長ビジョン
豆腐・大豆の国内外の需要に対して当社の製品を届け、世界の食卓を健康的で豊かな食卓にし、2034年に
売上高600億円、業界トップのシェアを目指す。まずは補助事業を通じ、2030年に475億円を達成する。
長期成長ビジョン（目指す姿・ビジネスモデル） 外発的動機
◼ 豆腐・おからの需要拡大
◼ 目指す姿
国内外で健康に対する意識が高まっており、豆腐・おからなどのたんぱく
⚫
大豆食品の提供を通じて、世界の人々の健康と社会に貢献
⚫ 質の需要が増加
⚫ 売上高600億円（2034年）、世界シェアトップ ⚫ 国内の競合他社は事業撤退や縮小が進んでおり、当社への引き合い
が増加
◼ ビジネスモデル
海外ではユネスコで和食が無形文化財として登録され、日本食の需要
⚫
✓ 事業拡大
が拡大。豆腐・おからについても市場は急速に拡大
国内事業の強化：直近4年間の売り上げはCAGR14.2%で好調
⚫ 世界的なサスティナビリティの促進により、食品ロス削減への関心が高
⚫
に成長。現在も高まっているニーズに対応するため、引き続き東日本
まっており、おからの引き合いが増加
を中心に事業を強化していく
◼ 人手不足への対応
海外事業への進出：海外での日本食ブーム・たんぱく質の需要増加
⚫ 少子高齢化の進行に伴って、人手不足に対応した安定生産の構築
⚫
により、海外向けの商品の引き合いを受諾。市場が急速に成長してい
が必要
る海外市場への開拓を行い、今後の持続的な成長に繋げる
◼ 自然災害の増加への対応
✓ 高付加価商品の開発 ⚫ 近年、豪雨や地震などの自然災害が増加しており、安定供給体制の
競合との差別化、高い利益の獲得のため、他社に先駆けた商品開 構築が必要（現在、おからは関西工場のみで製造）
⚫
発を実施
内発的動機
✓ 生産能力の強化・安定的な生産体制の構築
◼ 現状国内事業の強化：現在は国内向けに事業を展開しており、直近3
国内外の需要対応、リスクヘッジのために、製造量の増加が必
⚫
年間の売り上げはCAGR14.2%での成長を達成。
要。人手不足へ対応するために、省人省力化が可能な設備を
◼ 世界への挑戦：2034年に売上600億円、国内・世界トップの豆腐企
導入し、生産能力を強化していく
業を目指す。国内では東日本のシェア獲得をより一層強化する。また、市
場が急速に成長している海外市場へも早期に進出し、海外事業の基盤
会社全体の売上成長目標（2030年6月期）
づくりを実施する。これにより、自社の成長と共に日本の食文化を世界に
• 売上高：475.3億円（2024年6月期+272.3億円）
届け、世界の人々の健康を促進することで社会へ貢献していきたい
• 年平均成長率：16.7%/年（直近3年間の実績：14.2%/年）
◼ 食品業界の労働イメージの改善：新たな設備投資によって従業員の労
会社全体の賃上げ目標
働負荷の減少、収益性向上による継続的な賃上げを実現することで、長
• 4.2%（直近事業年度～基準年度）
期雇用の創出、業界全体のイメージ改善につなげたい
• 6.8%（基準年度～事業化報告3年目）</t>
  </si>
  <si>
    <t>株式会社やまみ
.補助事業の概要
2
国内外の豆腐・おから需要の増加により、生産能力の強化が急務になっており、富士山麓工場を増設する。新
工場は最新設備の導入により、省人・省力化を行い、労働生産性を向上し、6.８%/年の賃上げを実現する。
◼ 既存工場では国内外の需要に豆腐・おからの生産能力が不足するため、補助事業を通じて、
生産能力を拡大する（特に、東日本に向けた販売の強化、海外進出のための設備が必要）
補助事業の
背景・目的 ◼ 将来の人手不足に対応するために、生産性向上や業務効率化も急務となっており、最新の設 事業費 56億円
備を導入することで生産能力増強、生産性向上を目指す
（補助額） （18億円）
◼ 費用の内訳
費用の 工場建設費 20.1億円
⚫
内訳 機械設備費 35.9億円
⚫
設 ⚫ ソフトウェア費 0.1億円 合計56.1億円
備
◼ 静岡県の富士山麓工場に豆腐・おからを製造する工場を増設
投
生産量の増加により、国内外の豆腐・おから需要の増加に対応可能
⚫
資
⇒生産能力約4倍（豆腐：10,000P/hr→40.000P/hrの製造が可能）
の
製造ラインの自動化による労働生産性の向上
⚫
内
効果 ⇒人員は約2倍の増加で留める
容
生産管理システムの導入による機械処理能力の強化
⚫
◼ 東日本への販売ルートの強化および海外への販売ルートの構築
◼ 労働負荷の低減、賃上げにより食品業界の重労働・低賃金のイメージを改善
2027年6月期年度 2030年6月期
項目
（基準年度） （基準年度＋３年後）
労働生産性 3,079
1,401
（単位：万円/人） （年平均上昇率＋30.0％）
目標値 従業員1人あたり給与支給総額 426
350
（単位：万円/人） （年平均上昇率＋6.8％）
役員１人あたり給与支給総額
- -
（単位：万円/人）
補助事業に係る従業員数
115人 203人
（単位：人）</t>
  </si>
  <si>
    <t>株式会社宮古島の雪塩
1.長期成長ビジョン
宮古島での菓子事業を担う企業として、県内での生産を実現させるとともに、宮古島が得意とする観光・農業を
さらに発展させ、地域社会へ貢献する
長期成長ビジョン（目指す姿・ビジネスモデル） 外発的動機
美しい宮古島の海から生まれる塩 ～宮古島から世界へ～
• アフターコロナでの旅行需要の急回復、円安による海外から国内への旅
• 沖縄では最大規模かつ最先端の菓子工場および見学施設を兼 行客のシフトによる沖縄・宮古島への観光客が増加
ね備えたファクトリ―ショップを建設
• 沖縄随一の美しい海や2つの空港をもつ宮古島エリアの無限の可能性
土産菓子製造工場を併設した商業施設を立ち上げ、宮古
• 県内耕地面積の31％を占めるほどの高い生産力を持つ島の農業との
圏域の農業および製造業の振興に貢献
連携の可能性
• これまでの「塩を軸とした工場・商業施設」、「地域特産品を軸とし
た商業施設」に続く「菓子を軸とした工場・商業施設」を構築
島内3つ目の商業施設を展開することによる観光需要の積
極的な掘り起こし
• 従業員を始めとした人材も重要な経営資源と捉え、菓子製造技
内発的動機
術を承継していく
島内での新たな雇用創出に貢献
• 県外企業によるOEM生産で販売している「雪塩さんど」がヒット商品にま
で成長した。しかし、沖縄県内に「雪塩さんど」を生産可能な工場はなく、
「県外産の沖縄土産」という状況を解消を目指す
会社全体の売上成長目標（～29年度）
• 現状の生産能力では限界がきており、生産能力を増強させ、沖縄土産
• 売上高成長率217％
のトップブランドを目指す
• 売上高増加額80億円
会社全体の賃上げ目標 • サトウキビ製糖以外では製造業不毛の地と言われた離島宮古島におい
て、トップクラスの菓子工場を建設し、地域のこども達の見学を積極的に
• 2.4%（直近事業年度～基準年度）
受け入れ、モノづくりを人材育成の面からもサポートする
• 7.0%（基準年度～事業化報告3年目）
• 最終製品を作り上げる菓子工場を建設することで、これまで島になかっ
た事業の誘致を促進し、製造業の「すそ野の広がり」を実現させる</t>
  </si>
  <si>
    <t>株式会社宮古島の雪塩
.補助事業の概要
2
宮古島市に大規模土産菓子工場を建設することで、現状の製造能力不足が解消されるのみならず、宮古島の
農業、製造業、観光業の振興に貢献できる投資である
⚫ 県外に生産委託の構造のまま県産菓子の市場が成長し、経済が域外流出 事業費 2 億円
補助事業の 5
⚫ 宮古島にて最先端の土産菓子工場を建設して産業構造を転換し、地域経済を牽引しつつ （補助額） （8 億円）
背景・目的 .0
雇用の創出、農業、観光業のさらなる活性化を目指す
⚫ 沖縄県宮古島市に菓子製造工場を新設し、菓子事業における規模
拡張を見込む
⚫ 宮古島市において新たな雇用を創出し、島外へ労働人口が流出して
しまう宮古島の課題解決に貢献
⚫ 県内最大規模の菓子製造工場を持つことにより、原料としての地元農
設備投資の
産物の積極的な採用とブランディング
内容
【住所】 沖縄県宮古島市平良荷川取314-1
【坪数】 敷地坪数2700坪、施設坪数1120坪
＊工場970坪、商業施設150坪を予定
【金額】
・建物 23.4億円
・機械装置 0.6億円
2026年度 2029年度
項目
（基準年度） （基準年度＋３年後）
労働生産性 2,949
1,548
（単位：万円/人） （年平均上昇率＋24.0％）
目標値 従業員1人あたり給与支給総額 559
456
（単位：万円/人） （年平均上昇率＋7.0％）
役員１人あたり給与支給総額
- -
（単位：万円/人）
補助事業に係る従業員数
108 131
（単位：人）</t>
  </si>
  <si>
    <t>大京株式会社
1.長期成長ビジョン
当社は「Over the Border」を社是として掲げ、①工場の生産能⼒拡⼤②組⽴対応⼒の強化③労働環境改善・
積極的な賃上げによる従業員への還元④塗装設備能⼒を活かした事業強靭性の強化により持続的成長を目指す。
長期成長ビジョン（目指す姿・ビジネスモデル） 外発的動機
• 当社は「Over the Border～私たちは境界を超えていきます • 新興国の経済成長に伴う建設需要の⾼まり、先進国におけるインフラ
老朽化への対応、産業を支える鉱物資源採掘需要の拡⼤により今後
～」を社是として掲げている
の建機市場は大きく伸長することが見込まれる
• 製品を通じて国境を越えて価値を提供すること、そのために知的好
奇心を持ち、既存技術の枠組みを超えて新たな価値を創造・提供 • 当社主要取引先についても、世界市場において⾼い売上成長を見込
することを目指す んでおり、当社主力製品に対する需要はさらに拡大する見通しである
20年ぶりに日本国内で大規模投資を実施することにより、今後50年 • 建設機械メーカーは複数部品の事前組立（サブアッセンブリー）の
外部委託を進めており、当社にも対応要請が来ている
後を見越した次世代につながる成長基盤を構築します。具体的には、
新工場建設を契機に4つの方針で持続可能な成長を実現します。 • カーボンニュートラルへの取組意識が⾼まっており、当社も生産プロセス
において温室効果ガス排出量の削減にコミットしていく必要がある
①工場レイアウト最適化による生産性及び品質改善の実現、キャパシ
ティ拡⼤による成長する市場需要の獲得、需要変動への対応力強化 • 環境負荷低減や労働者の安全に対する意識が高まっており、電動
化、自律化、遠隔操作など、新たな技術も台頭してきている
②組立工程の対応力をさらに高め、競合他社との差別化を図ることで
世界シェア拡⼤を実現する
③重量物運搬作業の削減で労働環境を改善し、積極的な賃上げを 内発的動機
通じて従業員へ還元する。また、社員が知的好奇心を持ち自己成長
• 当社は、塗装事業を起点に事業を拡大し、2000年代は顧客要望
できる環境を提供することでノウハウ蓄積・新技術への対応力を⾼める。
に応えるため海外投資を積極的に進めてきました。一方、国内の製
④北陸最大級の塗装設備能力を活かして、建設業界及び塗装生産 造拠点では、以下の課題に直面しております。
量の変動への対応を可能とすることで地域貢献するとともに事業強靭
• 成長に伴う工場拡⼤により、工場が点在する形態となり、工場間の
性（レジリエンス）を高める。
物流が増加し、生産現場における大きな非効率を生んでいます。
• 得意先からの需要増加や新規事業の要望に対して、スペース不足等
会社全体の売上成長目標（2029年度）
により十分な対応ができない状況に陥っています。
• 売上⾼成長率65％
• 市場競争力を維持するためには、製品の安定供給と品質確保のため
• 売上⾼増加額208億円
の自動化設備投資が不可欠となっています。
会社全体の賃上げ目標
• 上記課題を解決するため、日本国内での大規模投資を決断しました。
• 1.57%（直近事業年度～基準年度） 地域No.1の売上高を目指すとともに、社員とその家族が幸せで居続
• 8.0%（基準年度～事業化報告3年目） けれるように継続して賃上げを推進することが私の使命と考えています。</t>
  </si>
  <si>
    <t>大京株式会社
.補助事業の概要
2
補助事業により既存4工場の集約を行い、工場間の運搬及び工程ごとの部品の着脱の削減、新規設備導入
により、従業員の労働環境改善、生産性向上を実現する
補助事業の • 新工場建設により工場間の部品移動を削減し、製造部門における生産性改善、従業員の労 事業費 億円
61
背景・目的 働環境の改善を実現することで、売上拡⼤・利益の極⼤化を図る （補助額） （20億円）
■設備投資内容 新工場イメージ
• 新たに工場を建設し、既存4工場の集約を行い建設機械部品の製造ライン ~つながる生産ライン、着脱レスの実現~
を設ける
• 新工場では空調による温度管理機能を⾼め、作業環境の改善を図る 製
組立 塗装 板金
• 材料・購入部品保管スペースを同フロアに隣接配置することで複数部品を組 品
み⽴てた上での部品供給（サブアッセンブリー対応）への対応力を高める
部品
• 各工程にも生産性改善に向けた設備導入を行い、生産性改善を図る
①溶接…溶接ロボットの導入による溶接時間の短縮
組立 塗装 板金
設備投資の ②塗装…⾼品質・効率化の実現、工程間搬送レールによる着脱ロス削減
電着 検査
内容 ■投資効果 部品 塗装
ピッキング
• 製造工程における製品の着脱回数削減による工数削減、従業員の重量物 仕上
粉体 溶接
着脱が減ることによる労働環境改善 サブ 塗装①
組⽴
• フォークリフトによる工場間物流削減による工数削減、使用エネルギー削減、 ロボット
粉体 溶接
場内事故リスクの抑制 組⽴ 塗装②
ライン
• 溶接ロボット増設、新塗装設備の導入による省人化、製品品質の改善 溶剤 仮組
塗装
• サブアッセンブリー対応による主要取引先とのリレーション強化及び売上拡大
サブ組
• 再生可能エネルギーの導入、⾼効率機器導入による省エネの実現
2026年度 2029年度
項目
（基準年度） （基準年度＋３年後）
労働生産性 1,055
560
（単位：万円/人） （年平均上昇率＋23.5%）
目標値 従業員1人あたり給与支給総額 478
379
（単位：万円/人） （年平均上昇率＋8.0％）
役員１人あたり給与支給総額
-
（単位：万円/人） - （年平均上昇率＋8.0％）
補助事業に係る従業員数 610
563
（単位：人） （増加＋47人）</t>
  </si>
  <si>
    <t>大京株式会社
.補助事業の概要
2
工場間物流によるロス削減、従業員の事故リスクの抑制、空調機能の改善による労働環境改善が見込まれる
第1工場は受託塗装事業専用工場、第3工場には部品販売事業を集約する
工場配置：串町工業団地内
■再編計画
• 【補助事業】建設機械部品製造事業(溶接、塗装、組⽴工程)を本社工場に集約
• 第1工場は受託塗装事業専用工場とする
• 第3工場に部品販売事業に関する業務(輸出入、梱包)を集約する
既存工場 再編後
串町 第1工場 部品塗装 工程 作業 方法 串町 第1工場 受託塗装
天井ｸﾚｰﾝ→ﾛﾎﾞｯﾄ
⇅
受託塗装 工 第3工場 輸出梱包
程
溶
第2工場 組⽴工程 内
接 輸入品保管
運
⇅ 搬
新)本社工場 板金工程
第3工場 板金工程 部品→乗せ降ろし
塗装工程
着
⇅
組⽴工程 塗 脱 組⽴工程
装 作
⇅
業
物流効果指標
今江 今江工場 受託塗装 既存工場の工程間運搬回数
フォークリフト→次工程
輸出梱包 工 1,000回/日
程
組
⇅ ⽴ 間
運 新工場はトラック荷役用のみとする
搬
外部 貸倉庫 輸入品保管 フォークリフト33台→10台に削減
■工場分散による問題点
• 工場間物流によるロス発生(着脱回数増加、横持ち物流)
• フォークリフトによる工場間の運搬が中心であり、従業員の安全面でもリスクが⾼い
• 工場の搬入・搬出口を開放しておく必要があるため、空調機器が機能しづらい
• 仕掛品を屋外保管せざるを得ない状況が発生しており、現体制で品質を⾼めながら生産キャパシティを拡⼤することは困難</t>
  </si>
  <si>
    <t>牛乳石鹸共進社株式会社
1.長期成長ビジョン
当社の経営理念である「ずっと変わらぬ やさしさを」を体現するため、市場環境やニーズの変化に対応した上で、
品質第一主義に拘り、「やさしさの連鎖の起点となる製品やサービスをつくり、多くの人の幸せを届ける。 」
長期成長ビジョン（目指す姿・ビジネスモデル） 外発的動機
• 日本の人口減少と世界の人口増加
&lt;経営方針&gt;
日本は人口減少と高齢化が進み、個人・高齢者向け市場が拡大が
ミッション：事業を通じて品質第一主義で広く社会に奉仕する 予想される。一方、世界的には人口が増加し、特にアジアでは人口増
と需要増が続くと見込まれる。
ドメイン：美と清潔 健康づくりに役立つ商品やサービスを提供する
• モノからコトへ本格的移行 化粧品市場の成熟化と飽和化
コアバリュー：共進の精神、製品の人格化、堅実経営
スマートフォンと通信技術の進化により、消費者が主役となり「モノ」よ
ビジョン：美と清潔 健康づくりに役立ち、社会から必要とされ、社 り「コト」で共感を得ることが重要に。企業の一方的な発信ではなく、
員が誇れる会社として進化し続ける 体験や共感を通じたファンづくりが鍵であり、特に若年層へのアプロー
チが今後の成長に不可欠となっている。
&lt;2032年に目指す姿・ビジネスモデル&gt;
• 「やさしさ 」 (環境、人、心など)への関心の高まり
1. 経常利益率 5%以上を長期的なスタンスで達成する 環境への配慮は今やビジネスの基本条件であり、当社も「やさしさ」を
軸に、肌や心に優しい新商品の開発が求められている。
2. 「モノ作り」の原点に立ち返り、品質第一に徹する（SDGs の推
進）
内発的動機
3. 事業領域を拡散させず、限りある経営資源を集中して投下する
• 圧倒的知名度、身体洗浄料での地位向上
4. 常に「革新」を意識して仕事に取り組む 社名と赤箱や青箱のブランドとしての圧倒的知名度がある。この知名
度と好感度で、固形石鹸ナンバーワンの地位は揺るぎないものとなって
いる。更に、ボディソープ市場では第3位の地位であり、第2位のユニリ
会社全体の売上成長目標（基準年～2030年度） ーバとシェアは縮まっている。
• 売上高成長率18.9％ • 品質へのこだわり
• 売上高増加額167億円 当社が長年こだわってきた「品質第一主義」を貫きながら「お客様の
求め（ニーズ）に即応」した商品開発は必要不可欠である。
会社全体の賃上げ目標
• マスマーケットに合わせた考え方や設備の見直し
• 4.06%（直近事業年度～基準年度）
従来型のマスマーケットに合わせた大量生産大量消費（薄利多売）
• 8.00%（基準年度～事業化報告3年目）
と、時代に合わせたスモールマス、パーソナル化に合わせた少量生産少
量消費（厚利少売）の二つを同時に進めて行く必要がある。</t>
  </si>
  <si>
    <t>牛乳石鹸共進社株式会社
.補助事業の概要
2
当社の成長を加速させる転機となる第二工場の建設・稼働を通じて、固形石鹸分野で築いたトップシェアの実
績とノウハウを他商品へも展開するとともに、高付加価値商品の生産を拡大し、事業規模の拡大を図る。
補助事業の • キャパシティ不足によって生産力に課題があることから、第二工場を新設し生産能力を改善する 事業費 14 億円
5
背景・目的 とともに、既存工場の生産体制も見直し、環境負荷の少ない生産体制の拡充を図る。 （補助額） （4 億円）
6
• 当社の大阪安田工場に次ぐ第二工場として、岐阜県可児市に新工
場を新規建設する。
• 第二工場では主に液体石鹸商品を生産する想定である。製造ラインは
18ラインとなる計画であり、既存工場の液体製造ラインの1.5倍の規模
の生産設備となる。
設備投資の
写真等
内容
• 第二工場稼働に伴い既存工場に生産キャパシティ余裕が生じることか
ら、スキンケア・ヘアケア商品やプレミアム石鹸等の高付加価値商品の
生産に切り替える計画である。
• 第二工場稼働に伴い人員の採用も想定しているが、自動化・IoT化に
よる省人化や上述の高付加価値商品の拡大によって、労働生産性は
大きく上昇している。
2027年度 2030年度
項目
（基準年度） （基準年度＋３年後）
（単
労
位
働
：
生
万
産
円
性
/人）
1,655万円/人
（年平
3
均
,2
上
5
昇
6万
率
円
＋
/
2
人
5.3%）
目標値 従業員
（
1
単
人
位
あ
：
た
万
り給
円
与
/人
支
）
給総額
760万円/人
（年平均
95
上
7万
昇
円
率
/
＋
人
8.0％）
役員１人あたり給与支給総額
-
（単位：万円/人） - （年平均上昇率＋6.0％）
補助事業に係る従業員数
（単位：人）
324人 350人</t>
  </si>
  <si>
    <t>株式会社レイズ
1.長期成長ビジョン
軽量×高強度ホイールで「クルマを楽しむ歓び」と交通安全を両立、OEM市場・アフターマーケット（AM市場）を伸長させ、
2029年度に単体売上成長率67％、2034年度にグループ売上成長率+222%を達成し、世界トップクラスのホイールメーカーへ飛躍する。
DX・自動化・ESGを統合した大規模投資により付加価値を拡大し、年平均7％の賃上げと地域経済活性化を同時実現するロードマップを示す。
長期成長ビジョン（目指す姿・ビジネスモデル） 外発的動機
・EV化や車両軽量化ニーズの拡大により、OEM市場の軽量アルミホイール需要拡大。
＜社会に提供する価値＞ 電池、装備の重量増に対し、エネルギー効率を高めるために部品の軽量化が求められている。重量シェアの高いアルミホ
イールは、重要保安部品であるため強度の担保が必要。当社のモータースポーツを軸とした軽量化と強度を両立出来る設
・クルマ好きがクルマを楽しむ歓びを享受出来る文化を世界中で創造する。 計開発技術は、鍛造・鋳造、両方でOEM市場のニーズを満たす。
・軽量、高強度の高再生率アルミホイールでCO2削減と交通安全を両立。成長投 ・OEM市場ではZEV規制等、CO2削減に向け再生アルミ比率向上が求められている。
資による付加価値拡大を原資に高い賃上げと雇用創出、地域取引量増大を実 電気の塊であるアルミ合金で出来たホイールには、再生アルミ比率向上が求められている。
材料の機械的性質、製品の強度を担保して再生アルミ比率を上げる為の技術と、アルミ再生設備が必要。
現。環境・社会・経済の三領域で持続可能なモビリティ社会に貢献する。
・サプライチェーンESG遵守の要求
OEM市場ではESGを満たす事が事実上必須となっており、対応が求められる。当社は鍛造ホイール事業で既に対応中で
＜長期事業戦略・ビジネスモデル＞ あるため、鋳造ホイール事業でも既に主な自動車メーカーとは取引可能な状態にある。
E＝再生アルミ率向上、S＝取引各社とCoC締結 G＝取引各社のガバナンス調査と自己診断の提出
成長ドライバー
・アルミ価格高騰で、低価格ホイールの価格が高騰し、相対的に当社製品の値ごろ感向上。
・高強度x軽量ホイールにより、世界中のEV、軽量化需要への即応 中国・アジア製のローエンド品はアルミ地金高騰で実売価格が上昇し、当社プレミアムホイールのコストパフォーマンス優位が
・ニッチマーケティング、多品種小ロット体制で多様なニーズの獲得 顕在化し、購買層が高付加価値型セグメントへシフトし、国内、海外両方で当社需要が拡大。
・アジア地域での高付加価値型ホイールの需要拡大。偽造品対策の必要性。
・北米・アジア・インド・中東のAM市場、OEM市場深耕
中間層や富裕層が増加し、マイカーの差別化のためカスタマイズ率が向上、高付加価値型ホイールへの需要拡大中。反
・DX/FA化で生産性向上、設備増設で生産キャパシティ強化 面、当社製品の偽造品が大量に流通、知的財産保護とブランド価値維持のため、製品の差別化と法的措置を強化。
事業ポートフォリオ最適化 ・北米でのモータースポーツ人気向上と新市場への参入
ラスベガスでのF1開催、動画配信サービス等の影響で、北米ではモータースポーツ人気が拡大中。モータースポーツ分野に
ブランド力を核に、鍛造・鋳造・ファブレスの最適な事業ポートフォリオを構成。
強みとブランドの認知を持つ当社への需要が高まっている。北米ではピックアップトラック市場がスポーツカー市場の数十倍の
補助事業への大規模投資 規模で、当社のモータースポーツでのブランド認知はここでも有効であるため、この市場への参入を開始。
・DX/FA、不良率低減、アルミ再生技術で生産性向上、製造原価低減。
内発的動機
・生産キャパシティを増強、需要へ応え、機会損失を解消。
･世界の鍛造ホイール市場トップクラスのブランドと競争力を保有
継続的成長と雇用創出、継続的賃上げ、地域への波及効果増大
高強度×軽量の高度技術資産を鋳造・ファブレスにも展開できる技術的優位性を確立している。当社はAM市場、OEM
・売上、収益の成長を賃上げ、雇用創出、地域経済の取引増大に活かす。 市場でもプレミアムブランドとして認知されており、ブランド価値を起点にグローバル市場シェア拡大を加速できる。
・潤沢な資金を活用し、地域への投資や支援を以て周辺企業を巻き込みなが ・製造原価低減によりAM市場の付加価値向上とOEM市場での価格競争力獲得を同時に実現
DX／FA化で生産性向上、製造技術投入による不良率改善、アルミ再生率アップ、これらが製造原価を低減。
ら地域経済を活性化し、自社と地域が相乗的に成長するサイクルを構築する。
AM市場では高付加価値化で収益性向上、OEM市場では価格競争力を確保する。
・生産能力増強で機会損失解消と新規需要獲得。
売上成長目標（～2029年度）
10年以上にわたりフルキャパ状態が続き、機会損失が顕在化。AM市場の機会損失解消、需要拡大と新規OEM市場を
売上高増加率：+67％ 新規獲得し、持続的成長を実現する。
・潤沢な現金資産を成長投資に活用
売上高増加額：103億円増
当社は高い自己資本比率と現金資産を有する一方、過剰キャッシュ保有により資本効率が低下している。今回の成長投
グループ連結長期成長目標（～2034年度） 資により資本効率を改善し、中長期的な企業価値向上を実現する。
・DX・FA化による属人性解消で、技能伝承リスクと高負荷工程の人員定着課題を同時解決
グループ連結売上高成長率+222％、 熟練技能者の技能伝承リスクに加え、特に作業者に高負荷がかかる工程での人員定着が難しい状態である。DXやFA化
で作業者負荷を抜本的に低減し、高負荷工程の人員定着率を改善する。
グループ連結売上高500億円を目指す
・社外取締役招聘＋外部監査（会計・財務コンサル／製造技術監査）でガバナンス体制を強化
会社全体の賃上げ目標 取締役会の意思決定に透明性・独立性を高めるため、社外取締役を招聘する。財務・会計コンサルタントや製造技術監
査を通じたPDCAを毎年実施することで、経営ガバナンスと実効性ある成長投資を確保する。
4.5%（2024年度～2026年度）
・社長である私は、「従業員とその家族の幸せ」を人生の使命と決意し、その実現に必要な継続的な賃上げや労働環
7.0%（2026年度～2029年度） 境改善には、持続的な企業成長が不可欠だと強く認識した。そして企業の成長と次世代への継承を永続させるには、
4
持続可能な社会への貢献が必須であるとの信念に至った。</t>
  </si>
  <si>
    <t>株式会社レイズ
.補助事業の概要
2
高機能・軽量ホイールの需要増加を背景に、生産能力増強を目的として工程集約・FA・DX化を推進し、供給力・労働生産性・品質競争力を向上
させる。さらにアルミ再生リサイクル設備・太陽光発電を導入し、CO₂排出削減を実現して持続的な成長と賃上げを目指す。
•当社工場は10年以上フル稼働状態が続いており、生産能力が限界を迎え、新規需要を逃す機会損失が発生している。
補助事業の •工程が分散し工程間移動時の不良が増加、生産効率・BCP対応にも課題があり、工程の集約・効率化が急務となっている。 事業費 億円
37
背景・目的
•生産プロセスのFA化・DX化、工程改善により、不良率を30％→5％以下へと劇的に改善し、製品競争力を高める。
（補助額） （ 億円）
•生産能力を増強し、グローバル市場での収益拡大を目指す。 12
•ESG対応としてアルミ再生リサイクル設備、太陽光発電設備の導入により環境負荷を低減し、持続可能な生産体制を構築する。
不良率低減（目標：全体不良率を30％→5％以下に）で収益性と生産量アップ
・リサイクル炉新設・溶湯品質管理高度化によるアルミ溶湯改善で、鋳造不良削減（▲4％）
・自動スピニング加工設備導入で加工工程の不良率低減（▲10％～）
・塗装棟新設、自動塗装設備、前処理新技術投入により塗装不良率削減（▲5％）
・3工場集約による工程間移動時に発生していた不良の低減（▲4％）
・検査工程のDX/FA化で検査人員の完成品修正ライン強化、不良率低減（▲2％）
設備増強・自動化・生産性向上（生産能力250％、労働生産性向上）
鋳造・熱処理・加工・塗装工程の設備増強・自動化（1万本→2.5万本/月へ生産能力拡張）
AI生産管理システム導入（多品種小ロット効率化、リードタイム短縮）
設備投資の ERP導入（製造・受発注・会計・財務の一元管理、意思決定迅速化・生産性向上）
内容 検査工程DX・自動化（人員の再配置による労働生産性・修正能力強化）
BCP（事業継続計画）の強化
・工程集約による工程間移動・リードタイム短縮による対応力向上
・既存工場を一部工程で維持し工程複線化によるリスク分散・BCP対応を強化
ESG（環境対応・CO₂削減）
・アルミ再生リサイクル設備導入 と溶湯品質改善でCO₂排出削減・資源循環
・自家消費型太陽光発電導入 によるエネルギーコスト低減とCO₂排出量削減推進
上記の投資額43.2億円は実施後３年で投資額の回収を見込む。
※成長投資計画書別紙の補助事業収益計画を根拠とする。
2026年度 2029年度
項目
（基準年度） （基準年度＋３年後）
（単
労
位
働
：
生
万
産
円
性
/人）
1,408
（年平均上
2
昇
,8
率
03
＋25.8％）
目標値 従業員1人あたり給与支給総額
465
570
（単位：万円/人） （年平均上昇率＋7.0％）
役員１人あたり給与支給総額
-
（単位：万円/人） - （年平均上昇率＋5.0％）
補助事業に係る従業員数
110 150
（単位：人）</t>
  </si>
  <si>
    <t>東亜薬品株式会社
1.⾧期成⾧ビジョン
難度の高い粉末吸入剤の後発品開発と生産に挑戦し続け、
医薬品の安定供給を通して「人々の健康に貢献する」リーディングカンパニーを目指します。
⾧期成⾧ビジョン（目指す姿・ビジネスモデル） 外発的動機
■医薬品の安定供給問題
DPI製剤を中心としたニッチな分野における後発品で
・品質問題に端を発し、多くの医療用医薬品の製造・供給が停止。医薬品の
市場を牽引しながら、売上高440億円を目指す 供給問題が発生した。
■後発品市場の需要拡大
1．医療用医薬品の生産能力増強
・2024年10月より導入された選定療養制度により、後発品の需要は益々高
新製剤棟の建設を推進し、医療用内服固形製剤（以下、経口剤） まっている。
へ集中投資を行い、生産能力を底上げする。 ■求人倍率の増加
・富山県における高卒者の求人倍率が急上昇。2014年度の就職希望者数
2．保管機能の強化
2,008人に対し、求人数は3,556人で1.77倍であった。10年後の2024年
新製剤棟に新たに倉庫を設けることで、原材料の安全在庫の強化ならび は就職希望者数1,385人に対し、求人数は5,545人となり、求人倍率は
に顧客へのフレキシブルな供給体制の実現をはかる。 4.00倍にまで増加。大卒者も同様に採用競争が激化している。
また、新製剤棟と既存棟を接続することで、既存棟でボトルネックとなって
安定供給体制の確立こそがシェア拡大のチャンス
いる保管能力のキャパシティが改善される。これによりDPI製剤の生産及
人手不足に対応するため、機械化による省人化ラインを導入
び供給能力の底上げが実現する。
3．省力化・効率化の推進
内発的動機
省人化を徹底し、生産効率を上げることで利益を確保し、従業員へ還元 ■生産ライン及び倉庫のキャパシティ不足
できる仕組みづくりを行う。 ・既存の経口剤の生産ラインの稼働率が上限に達しつつ
ある。更なる増産のためには、生産ラインそのものの強化
会社全体の売上成⾧目標 ならびに倉庫のキャパシティ強化が求められる。
・当社の自社開発品である「ブデホル吸入粉末剤」は、選定
2023年 2030年 2036年
療養の対象品目であり、国内における需要が加速している。
（最新決算） （7年後） (13年後)
・現在、中国への輸出を検討している。ゆくゆくは台湾・シンガ
売上高 215億円 335億円 440億円
ポールなどのアジア圏への展開を構想している。
売上高成⾧率 － 156％ 205％
■更なる挑戦に向けた経営基盤の強化
・現在開発中の新製品もブデホル同様、日本の社会保険費の削減と貿易収
会社全体の賃上げ目標
支の改善に貢献できる。開発業務を推進するためにも、足元の経営基盤を
2.49%（直近事業年度～基準年度）
強化する必要がある。
5.78%（基準年度～事業化報告3年目）
更なる飛躍に備え、足元の経営基盤を強化するための投資が必要</t>
  </si>
  <si>
    <t>東亜薬品株式会社
2.補助事業の概要
新製剤棟の建設による、生産能力及び倉庫保管能力の向上を目指す
補助事業の 選定療養制度の導入と後発薬の安定供給問題により、後発薬の需要は大きく伸びている中、 事業費 190億円
背景・目的 当社の生産能力は上限に達している。更なるニーズに応えるために、生産能力増強を行う。 （補助額） （46億円）
＜新製剤棟＞ 西本郷工場 新製剤棟建設イメージパース
建屋:174億円／設備:15億円（初年度） 【合計】189億円
階層:4階建て、延床面積:18,724㎡
生産能力:13億錠
新製剤棟
倉庫容量:5,458棚
スケジュール:2026年6月着工～2027年11月竣工
第1製剤棟
試験管理棟
第2製剤棟
設備投資の ＜特徴＞
・機械化（生産・運搬・洗浄） ・無人運転（検査・包装工程）
内容
・DX化（積極的なデジタル技術の導入）
① 生産設備の新規導入による生産能力の増強に加え、既存棟でボトル
ネックになっている倉庫能力を本設備投資で補填することにより、西本郷
工場全体の生産効率を最大限に活用することを目的とする。
② 設備の特徴として、製剤工程における『自動洗浄設備』、包装工程に
おける『自動供給設備』、『自動搬送設備』、入出庫管理における
『パレットチェンジャー』の導入を行い、徹底した効率化・省人化を目指す。
2027年度 2030年度
項目
（基準年度） （基準年度＋３年後）
労働生産性 1,969(cid:1)万円/人
1,617(cid:1)万円/人
（単位:万円/人） （年平均上昇率＋6.8％）
従業員1人あたり給与支給総額 604(cid:1)万円/人
目標値 510 万円/人
（単位:万円/人） （年平均上昇率＋5.8％）
役員1人あたり給与支給総額
― ―
（単位:万円/人）
補助事業に係る従業員数
640 人 670 人
（単位:人）</t>
  </si>
  <si>
    <t>ハマダレクテック株式会社
1.⾧期成⾧ビジョン
コスト・環境・品質を追求し、半導体材料再生の業界トップクラスメーカーとして、半導体産業の成⾧と
脱炭素化に貢献する企業を目指す
⾧期成⾧ビジョン（目指す姿・ビジネスモデル） 外発的動機
「低コストでエコな半導体材料再生」のトップメーカー • 1988年に半導体産業の日本シェアは50.3%だったが、2019年
には10%まで低下
 新品同等の高品質な半導体材料再生サービス(シリコン・SiC) • 日本政府は半導体を特定重要物資と位置付けている
を国内外に低コストで提供することで、半導体産業の成⾧に貢
• 2050年カーボンニュートラル宣言において、半導体産業は成⾧が
献し、AIやDXを根底から支える
期待される14分野に選出されており、国策として強い取り組み姿
 半導体材料を繰り返し再生することを通じて半導体産業の 勢がある
CO2削減を牽引する • 半導体製造量増加に伴うCO2排出増加が業界問題となっている
が、シリコンウェハー再生、SiC加工・再生事業は、省CO2、省資
 半導体材料再生の業界トップメーカーとして、より魅力ある職
源、省コストによる貢献で半導体産業の成⾧を支えることが出来
場を目指し、賃上げを積極的に行うことで、業界全体の地位向
る
上を牽引する
会社全体の売上成⾧目標（～2030年度）
直近2024年7月期の会社全体の売上高119億円
内発的動機
• 売上高成⾧率124％ • 「時代を画すテクノロジーで半導体産業を支え、信頼される存在に
• 売上高増加額147億円 なる」ことが経営理念であり、コスト・環境・品質に配慮した半導体
材料加工サービスを安定的に提供することが使命
• 300mmシリコンウェハー再生事業において国内市場シェア1位で
2031年7月期の全社全体の売上高目標266億円
30年以上の研究・開発実績がある当社が、設備投資を通じて業
界を牽引していくという自負がある
会社全体の賃上げ目標
• 熊本地震による工場休止を経験し、半導体サプライチェーンでの当
• 3.07%（直近事業年度～基準年度）
社の役割の重要性を強く認識
• 7.00%（基準年度～事業化報告3年目）</t>
  </si>
  <si>
    <t>ハマダレクテック株式会社
2.補助事業の概要
本件投資により現在の稼働逼迫状況を解消し、取引先の要請に応じた増産が可能になり、売上・利益の増加
を見込む。最先端の省力化自動設備導入により、人員は抑えられ、大幅な労働生産性向上が可能となる
補助事業の • 現状設備では取引先の増産需要に対応しきれていないことに課題感 事業費 106億円
背景・目的 • 更なる市場成⾧を見込み、生産能力拡張によりマーケットシェア拡大を狙う （補助額） （35億円）
補助対象事業
• シリコンウェハー再生事業とSiC加工・再生事業の最新鋭の設備を揃えた
一貫生産ラインを新設する
• 現状、シリコンウェハー再生事業の稼働が逼迫状態にあること、SiC加工事業は
今後の需要急増への対応のため、本投資によりそれぞれ2024年度比126%、
632%の生産能力へ拡大し、取引先の増産要請に応える シリコンウェハー再生 SiC加工サービス
サービス【主要事業】 （再生＆受託）
設備投資の
• 現状小規模ラインのSiC加工事業には、需要の高まりや取引先の要請があり、
内容
量産体制を構築する
• 以下2つの観点から労働生産性の大幅な向上を見込む
 最新鋭の省力化自動設備の導入により、2030年度は2027年度比
売上75%増に対して人員は3%の増員に留まる
 事業拡大による利益は賃上げの原資とし、補助事業実施後は賃上げ
7%を実施する
2027年度 2030年度
項目
（基準年度） （基準年度＋３年後）
労働生産性 4,384万円
1,957万円/人
（単位:万円/人） （年平均上昇率＋30.8％）
従業員1人あたり給与支給総額 721万円/人
目標値 588万円/人
（単位:万円/人） （年平均上昇率＋7.0％）
役員１人あたり給与支給総額 -
-
（単位:万円/人） （年平均上昇率＋8.4％）
補助事業に係る従業員数
318人 328人
（単位:人）</t>
  </si>
  <si>
    <t>株式会社キド
1.長期成長ビジョン
コロナ禍により、食品加工用機械器具（淡路島の地域産業）が低迷。これを打開するため、成長分野に選択
と集中を行い、地域に人と仕事が集まる好循環を作る。創業100周年には100億円企業を目指す
長期成長ビジョン（目指す姿・ビジネスモデル） 外発的動機
顕在化したリスク
当社が将来的に目指す姿
• コロナ禍により、食品の業務用需要（外食需要）が低迷。食品加工
成長分野（半導体・医薬・二次電池など）における日本の製造
用製品への依存度の高い当社は、大きく低迷
業の国際競争力を、下支えする基盤技術企業
• 成長分野への「選択と集中」による持続的な成長 顧客の新たな動向
• 少子化・パンデミックリスクのある食品分野への依存度低減
• 以下の点から、当社へ増産・短納期要請が強まっている
増産要請 • 医薬品分野（抗体医薬品製造用タンク）
会社全体の売上成長目標（2030年） • EV用電池製造用の圧力容器タンク
• 売上高成長率163.2％(CAGR 14.8%) • 半導体分野（コーティング剤等の製造用タンク）
• 売上高増加額30.2億円 • 顧客が生産拠点を集約することに伴い、大型タンクの
会社全体の賃上げ目標 需要増加
• CAGR 5.5%（直近事業年度(2023)～基準年度(2027)） 供給者不足 • 大型タンクを製造可能なサプライヤーが不足
• CAGR 15.2%（基準年度(2027)～事業化報告3年目(2030)）
工期遅延 • 人手不足によりプラント建設スケジュールが遅れがち
当社の新しい事業ドメイン
内発的動機
対象顧客 プラントエンジニアリング企業等(日揮等)
地域産業の立直し
戦略製品 抗体医薬品・半導体・二次電池・食品等の生 • 当社所在地（淡路島）は農業・酪農が盛んなため、食品機械製造業
産に必要な圧力容器タンク（特に大型） も集積している（当社もその一社）。少子高齢化の影響もあり、コロナ
後も売上は完全に回復していない
活用技術 短納期対応力
• 地域の企業同士は競争しつつも協力関係にもある。当社も地域に支え
タンク設計・溶接・製缶・試験までのワンス
られてきたので、地域経済の再生に貢献したい
トップ提供体制・技術・経験
人手不足への対処
重要成功要因
• 一次産業が中心の淡路島では、若者が多様で高収入な仕事を求めて
競合他社と比べて圧倒的な短納期対応力で差別化を図る
流出し、地域産業の維持が難しくなっている。これを防ぐため、やりがいの
• タンク製造のほとんどの工程を自動化
ある仕事づくりをしたい
• 機械化によるボトルネック工程（組立・溶接）の生産力強化</t>
  </si>
  <si>
    <t>株式会社キド
.補助事業の概要
2
①生産能力不足による機会損失防止、②大型対応、③短納期対応、のため新工場を建設する。機会損失が
防げると同時に、顧客ニーズである大型品・短納期要請を満たすことによって、事業の拡大を図る
補助事業の • 食品・医薬品・半導体・二次電池製造用圧力容器タンクの大型化・短納期化ニーズに応えるため、生産 事業費 2 6 億円
背景・目的 能力を抜本的に高める。人手不足環境下でも納期遅れ・品質問題が生じないよう効率化を図る。 （補助額） （ . 億円）
5 7
投資内容 新工場の建設(18.92億円)
※付帯工事（⼟地造成含む）経費含む
課題① 生産能力不足による機会損失の防止
事業拡大に伴い工場を何度も拡張してきたが、これ以上は困難。
現在は5～6年先まで受注があり、大型タンクの需要増に対応する
には十分な作業・保管・設備スペースが必要。余力がないため、す
でに年20件・約17億円の機会損失が発生しており、早急な対策
が必要。
課題② 大型・短納期ニーズを満たすための生産能力向上
顧客からは大型・短納期要望が強い。大型品は、高さ10～15
設備投資の メートル、径3メートル前後のものであり、これの製造には相当のス
現工場のタンク組立現場（余裕が少ない）
内容 ペースが必要。さらに人手不足化で短納期対応をするには、設備
（その１） 増強も必要
工夫 短納期ニーズを満たすため「スキッド化」も提供
スキッド化とは、従来のように現地でタンクの付属部品を取り付けるのではなく、ポンプやバルブなどを工場であらかじめ組み
付け、配管・配線まで行った状態で一体化して納品する方式である。現地では据え付けるだけで済むため、工事期間を大
幅に短縮でき、短納期ニーズにも適している。ただし、工場内に十分な作業スペースが必要となる。
課題がどう解決するか • 作業スペースや設備設置スペース、保管スペースが確保されるため、生産能力が高まり、機会損失が防止できる
• スキッド化作業スペースが確保されるため、より一層短納期ニーズに応えることができる
生産性向上との関連 • 生産効率の向上と製品の生産量増加により生産能力が高まり、売上が増加する
• 生産量が増えると、材料費や外注費（変動費）等にバーゲニング・パワーが発揮でき、仕入れコストが減少する
• スキッド化は現地作業の大幅削減につながる付加価値があるため、高い粗利益率で販売できる</t>
  </si>
  <si>
    <t>株式会社キド
.補助事業の概要
2
短納期ニーズに応えるため、ボトルネックを省人化・自動化・非熟練化で解消し、圧力容器タンクの開先加工・
溶接自動化設備を導入。作業の非熟練化と作業時間を1/4程度に短縮することで、短納期ニーズを満たす
補助事業の • 食品・医薬品・半導体・二次電池製造用圧力容器タンクの大型化・短納期化ニーズに応えるため、生産 事業費 26億円
背景・目的 能力を抜本的に高める。人手不足環境下でも納期遅れ・品質問題が生じないよう効率化を図る。 （補助額）
（5.7億円）
投資内容 圧力容器タンクの組立・溶接自動化設備(6.13億円)
課題① 組立・溶接工程のボトルネック解消
短納期対応には、設備増強やスキッド化だけでなく、ボトルネックで
あるタンク組立・溶接（開先加工含む）の効率化が不可欠。この
工程は熟練作業者による手作業が中心で、特に大型タンクでは足
場作業も必要となり、多くの時間と人手を要する。高所作業で増
員も難しく、安全面の負担も大きい。しかも技能の継承が進みにく
く、属人化の問題もある。
人手不足の中で多数の受注に対応するには、省人化・自動化・非
熟練化が求められる。
設備投資の
組立・溶接自動化設備イメージ
内容
（Koike Aronson Ransome動画より引用)
工夫 組立・溶接自動化設備専用ラインを構築
（その2）
既存の製造ラインに組立・溶接自動化設備を設置するのではなく、組立・溶接に特化した専用ライン（レーザーによる開
先加工から組立・溶接まで）を設ける。これで手作業がほぼ無くなる。また同じタスクを繰り返すことで、非熟練者は設備
操作技能を習得しやすくなり、作業の効率性と正確性が早い段階で向上する。
課題がどう解決するか レーザー加工機（開先加工自動化対応）を導入。大きな金属板を円筒形に成形し、溶接のために正確に位置合わせし、
自動溶接できる設備を導入し、自動化する。のべ17名の熟練作業者ではなく、非熟練者含む6名での運用が可能となる。
生産性向上との関連 • この工程の標準リードタイムが1ヶ月半だが、材料と部品が揃っていれば、1週間～10日程度で組立・溶接工程が完了
• リードタイムが1/4程度になることから、ボトルネックが解消。製品の生産量増加により、営業利益が増加する
• 付加価値額は向上する上、より少ない作業者数でタンクの量産が可能となるため、労働生産性が向上する</t>
  </si>
  <si>
    <t>株式会社キド
.補助事業の概要
2
材料の運搬からレーザー加工・ベンディング・溶接の各工程が下記の通り自動化される。これに
より、従来は熟練作業者のべ17名が必要であった全工程が、非熟練者含め のべ6名に圧縮される
運搬 運搬 運搬
設備投資の
内容
材料ヤード レーザー・開先加工機 ベンディングマシーン 自動溶接機
（その2）
省力化ライ
ンイメージ BEFORE …10人…
従来の作業
熟練作業者 のべ17名 レーザー加工 開先加工(手作業) 曲げ加工(手作業) 溶接(手作業)
AFTER
非熟練化
省力化ライン
非熟練者含め のべ6名
2027年度 2030年度
項目
（基準年度） （基準年度＋３年後）
労働生産性 1,825
1,082
（単位：万円/人） （年平均上昇率＋19.0％）
目標値 従業員1人あたり給与支給総額 713
59
（単位：万円/人） 9 （年平均上昇率＋6.0％）
役員１人あたり給与支給総額 832
71
（単位：万円/人） 9 （年平均上昇率＋5.0％）
補助事業に係る従業員数 112
86
（単位：人） （年平均上昇率＋9.2％）</t>
  </si>
  <si>
    <t>株式会社ジョヴィ
1.⾧期成⾧ビジョン
加盟店の処方データや患者データを分析し、PHRビジネスに展開するなど、データを資産として有効活用する「データドリブン型経営」に
より、企業の成⾧を加速させることを目指しています。また、全国の薬局を拠点にマイクログリッド網を構築し、自社のデータ活用事業の
継続性を担保するほか、災害時の電力安定供給により医療活動もサポートします。
⾧期成⾧ビジョン（目指す姿・ビジネスモデル） 外発的動機
 地域包括ケア・高齢化社会の進行
既存のPB事業・電力事業・システム事業・情報事業で得ることができるデー - 高齢者の健康管理・予防医療の重要性が増す中、地域に根差した医療支援のニーズが急増。
 医療費抑制政策の推進
タを資産として有効活用することで、従来の調剤事業に頼らない薬局経営
- 国の医療費抑制の方針から、OTC医薬品の活用や予防医療へのシフトが奨励されている。
ビジネスモデルで成⾧する企業を目指します。
 PHR活用推進の国家方針
- 厚生労働省は「PHR活用推進ロードマップ」を策定し、個人の健康・医療データの活用促進を政策的に
本補助事業
後押し。
本補助事業は、薬局を中心としたデータ活用による科学的アプローチで、総合
- 健康管理アプリ、医療機関、研究機関、製薬企業の間で「リアルワールドデータ（RWD）」のニーズが増加。
的なデータを収集解析し、正確な情報を届けることで医療の質や実効性を高め
 製薬・研究機関によるデータ活用の拡大
るデータドリブン事業。 - 新薬開発やヘルスケア製品のパーソナライズに向け、性別・年齢・服薬状況などを含む生活者データへの
パーソナライズされたCRMによる売上、PHR販売、そして健康ポイント導入による アクセスが急務。
物販売上・データ売上・ポイント売上を大きく見込んでいます。 - 治験コスト削減や予測モデルの精緻化にもデータ利活用が不可欠。
また、本補助事業のデータ活用をバックグラウンドで支えるため、既存加盟店の  個人の健康意識向上とPHRサービスの需要増加
ネットワークを活用したVPPシステムの構築を展開。非常時の医療活動を支え - ヘルスケアアプリやウェアラブル利用者の増加により、「自分の健康をデータで管理したい」ニーズが拡大中。
 災害多発による医療の継続性確保ニーズの高まり
る医療電力レジリエンスの強化に貢献するほか、将来的には電力P2Pにより余剰
- 地震・台風など災害時の停電により、薬局や診療所の機能停止リスクが顕在化。
電力の有効活用による副次的収入効果も見込める他、本事業の取り組みは「薬
- 医療機関のBCP（事業継続計画）対策が法的・倫理的にも強く求められている。
局経営の支援」にとどまらず、地域全体のヘルスケアエコシステムや災害対応、地
 分散型電源（マイクログリッド）政策の加速
場産業の活性化、デジタル人材育成など多方面で好循環を生み出すことが可
- 経済産業省・環境省が主導する再エネ導入・蓄電池補助金制度などにより、地域単位でのエネルギー
能です。 自給体制構築が進む。
24年3月期 28年3月期 31年3月期 内発的動機
(直近事業年度) (基準年) (事業化報告３年目)  全国4,500店舗という圧倒的な実店舗ネットワーク
- 地域ごとの患者属性、疾病傾向、購買傾向を蓄積する独自資産があり、ローカルかつ実用的な
売上高 医療ビッグデータが形成可能。
882億円 1,562億円 2,441億円
（既存事業）  既存PB・販促支援事業とのシナジー
- 収集データを基に、より精度の高い商品開発、販促、マーケティングができ、自社事業にも還元可能。
賃上目標 年平均 年平均
ー  他社との差別化と新たな収益源の確立
（既存事業） 6％以上 6％以上
- 薬局の主な収益である保険調剤は、医療費削減政策や人口減少により縮小が避けられないが、処方データ
だけでなく購買データ（OTC、サプリなど）も持つ企業は稀であり、他社にない価値あるデータ提供者としての
2,488億円 4,790億円
売上高目標 収益源を確立できる。
ー
(＋補助事業) 対既存比 対既存比  「行動変容支援」による新たな価値提供への挑戦
159%UP 196%UP - 生活者との中⾧期的関係性構築により、ヘルスケア領域でのポジショニング強化。
 薬局＝地域インフラとしての再定義
年平均 年平均
- 「健康を守る場」から「命を守る場」へ進化。災害時も止まらない医療拠点として、地域での信頼・存在価値を
賃上目標 13.9％以上 12.5％以上
ー 強化。
(＋補助事業) 対既存比 対既存比
 エネルギー×医療のハイブリッドモデルによる差別化と社会貢献
232%UP 200%UP
- 医療とエネルギーの融合というユニークなポジションを確立し、社会課題の解決と自社の事業成⾧を両立させる。
※（＋補助事業）とは、本補助事業の実施で見込まれる成果高</t>
  </si>
  <si>
    <t>株式会社ジョヴィ
2.補助事業の概要
全国各地の薬局を拠点に地域・個人単位の精緻なデータ活用と効率的な運営を両立する「みまもりサービ
ス」を展開し、同時にVPPシステムを構築。災害時の電力安定供給により医療活動のBCP対応を実施。
調剤報酬依存から脱却できる薬局経営の仕組みを提供する
 バイタル・服薬情報・薬剤情報のAI解析により、患者一人ひとりの心身の状態に合わせた統合的な治
療とケアを提供し、収集したデータはPHRとして利活用
みまもり
VPP
 薬剤師がデータ活用によって科学的にアプローチすることで、総合的な知識を持ち、正確な情報を届け
医療の質や実効性を高め、薬局中心のOTC/サプリメントを使ったセルフメディケーションを実施すること みまもり
VPP
で、医療費増大の抑制や薬局・地域住民・地域経済の生産性向上にもつなげる
ジョヴィみまもりシステム
バイタルデータ
個人 匿名
PHR PHR 医療機関
匿名・仮名加工
患者
PHR
副作用データ
一般企業
PHR
データ
OTC VRM
管理 AI 提供
サプリ ターミナル 解析エンジン
製薬企業
処方箋データ
研究機関
OTC・サプリメント
薬局
ジョヴィVPPシステム</t>
  </si>
  <si>
    <t>株式会社ジョヴィ
2.補助事業の概要
地域・個人単位の精緻なデータ活用と効率的な運営を両立し、調剤報酬依存から脱却。加盟店の業務負
担を軽減しつつ、加盟店に高収益な薬局経営の仕組みを提供する
事業費 165億円
（補助額） （30億円）
【労働生産性向上のポイント】
• オペレーションの自動化・効率化: DX化により手作業・判断の工数削減
• 高度な販促支援: AIが最適な提案を支援し、スタッフのスキル差を補完
• 独自商品の開発による高付加価値化: 営業利益率が向上し、少人数運営でも収益を確保可能
• 地域ニーズに基づくサービス展開: 不要な施策を減らし、的確なリソース配分が可能に
2028年度 2031年度
項目
目標値 （基準年度） （基準年度＋３年後）
労働生産性 3,829万円／人
（単位:万円/人）
3,863万円／人
（年平均上昇率-0.3％）
従業員1人あたり給与支給総額 1,536万円／人
（単位:万円/人）
1,233万円／人
（年平均上昇率＋7.6％）
役員１人あたり給与支給総額
1,172万円／人
1,442万／人
（単位:万円/人） （年平均上昇率＋7.1％）
補助事業に係る従業員数
135人 155人
（単位:人）</t>
  </si>
  <si>
    <t>L物流株式会社
1.長期成長ビジョン
当社創立の原点は顧客・従業員の幸福の追求ゆえである。三方よしを意味する経営理念を掲げ、事業を通じた恒久的な地域
社会への貢献を行うべく「お客様第一主義」「職場環境つくりの徹底」「人財育成」に日々取組み、成長を続けてきた。
長期成長ビジョン（目指す姿・ビジネスモデル） 外発的動機
• 山陰地区の物流機能が脆弱であるが故、物流をベースとしたあらゆる社
当社は、経営理念である「全社員の物心両面での幸福、全てのお客様、協力
会インフラが脆弱な土地ともいえる。
者様との相互繁栄を追求し、事業を通じた恒久的な地域社会への貢献を行う
• 少子高齢化により、小売業をはじめ食を中心とした生活インフラは特に必
べく」の3つの指針と取組みを通じ、現在の事業基盤を構築してきた。
要不可欠である為、これら地域インフラの持続性を守る必要を強く感じて
• お客様第一主義の徹底
いた。
時代のニーズの変化に対応する為に、現状に囚われることなく徹底した見直
• 創業者である久保(現:相談役)が、創業以前に努めていた企業において、
し・改善活動を行っていく。
商流･企業間のしがらみにより、サービス提供に一定の制限がかかる事象
• 職場環境つくりの徹底
が発生していた。その為、ドライバーに多くの非効率を強いる環境が常態
5S徹底によるムダ、ムラ、ムリの排除を図り、コンプライアンス遵守により、全
化。結果的に消費者、地域社会の活性化が阻害されている事に疑問を
ての従業員が、安全で安心して働きやすい労働環境を確立する。
持った。 L物流では商流やしがらみに左右されない、常に中立的な立場
• 人財育成
で、純粋に地域社会や働く従業員をはじめ、地域に接点を持つ他府県の
「企業は人なり」人材を人財に育成することと、企業の成長、存続は比例す
物流企業の便益を追究する事を目指し、会社創設に至った。
る。L物流の社員としてのまず正しい思考の形成、正しい行動指針の習得を
最優先し、その基盤の上に業務知識の習得を図る。
内発的動機
売上成長目標
• 全ステークホルダーの相互繁栄と恒久的な地域社会への貢献を成す為に
2014年に立てた「2034年までに売上高成長率107.5％の維持、年
は、継続的な企業の成長･発展が必要であり、企業を形成する人の教育
商100億円」という目標は今回の補助事業により2031年3月期で達
は不可欠である
成する前倒しの計画を策定。以降も、伸長率を落とすことなく増収傾向
• 「企業は人なり。人材を人財に育成することと、企業の成長、存続は比例
を維持する。
する」と考え、正しい思考と正しい行動指針を有した人財を社会に輩出し
続けたいという想いを持っている
会社全体の売上成長目標 （24年3月期～
• 2014年に社長が交代した際、山陰地域は隣接の岡山県、広島県、山
30年3月期）
• 売上高成長率203.3％
口県を含む、平均ドライバー年収を下回る都道府県であり、堅実経営に
• 売上高増加額47億円
よる年商100億円目標の達成により、ドライバーの収入アップ/職業として
会社全体の賃上げ目標
の魅力の向上を目指したいとの発想に至った。
• 2.94%（直近事業年度～基準年度） • 以前より地域の環境問題についての意識をもっており、配送の効率化や
• 6.35%（基準年度～事業化報告3年目） 環境に配慮した運送事業への想いを持っていた。
↳実際に2009年に「エア・エコ・システム（AES）III」を自社開発
特許を取得［特許番号：5390291号］</t>
  </si>
  <si>
    <t>L物流株式会社
2.補助事業の概要
鳥取県米子インターの傍に低温物流センターを設立。センターを拠点に、4事業（地域内外の冷凍商材の入出荷保管、EC
出荷代行、共同配送 、地域支援事業）を行い、地域社会インフラおよび、地域内外の相乗的な経済の発展を目指す。
補助事業の 山陰地域の生活インフラである小売業、地域の消費者、他府県からのドライバーの様々な不合理を解消し、 事業費 46億円
背景・目的 地域、物流の両課題に対応した持続性ある地域インフラを構築する為、冷凍倉庫事業を立ち上げる。 （補助額） （14億円）
山陰地区における輸送・保管能力の増強および、中継輸送拠点としての活用を目的とした「米子低温食品物流センター」を建設
所在地：鳥取県米子市みのり町
※土地や一部発注済み経費含む
敷地面積：3,431坪（11,357㎡)
建設面積：2,748坪
（倉庫 ：2,437坪、事務所：311坪）
【補助対象経費概要】
(百万円)
総額： 4,319百万円
設備投資の
投資項目 投資額 概要
内容
建物費 3,045 自社初の所有倉庫。地域のハブとなる拠点
機械装置 979 DPS等の省力化設備やBCPの為の発電機等
ソフトウェア 165 WMS,マテハン情報システム
外注費 130 設計費
自動化機器/マテハン、業務効率化システムを内包し、従前の対応では実現できなかった物量への入出荷保管対応する事で、
新しい売上の創出、生産性向上により、労働生産性の大幅な向上を図る。
2027年3月期（基準年度） 2030年3月期（基準年度＋３年後）
項目
鳥取県 島根県 岡山県 鳥取県 島根県 岡山県
労働生産性（単位：万円/人） 577万円/人 947万円/人（CAGR+17.9％）
目標値
従業員1人あたり給与支給総額 433万円/人 393万円/人 454万円/人
349万円/人 336万円/人 375万円/人
（単位：万円/人） （CAGR+7.5％） （CAGR+5.4％） （CAGR+6.6％）
役員１人あたり給与支給総額 ー ー（補助事業専任役員なし）
補助事業に係る従業員数
77人 88人 46人 125人 88人 64人
（単位：人）</t>
  </si>
  <si>
    <t>ヤマトスチール株式会社
1.⻑期成⻑ビジョン
コア事業である鉄鋼事業の強靭化と脱炭素社会の実現に貢献する戦略的な⼤規模設備投資により⽬指す
「鉄のリーディングカンパニー」
⻑期成⻑ビジョン（⽬指す姿・ビジネスモデル）
• コア事業である鉄鋼事業では形鋼の製造販売を⾏っており、国内
において業界3位の⽣産量を有しているほか、世界的に展開するグ
ループ企業のマザー⼯場としての役割も有している。
• 同業他社では設備の⽼朽化が進み、⼀部では事業縮⼩の動きも
外発的動機
⾒られるなか、2022年から総額500億円規模の戦略的な設備投
資を計画実⾏することでコスト競争⼒及び製造技術の優位性を⼀ • 同業他社とのコスト・品質⾯における競争が激化するなか、エネル
層⾼め、「鉄のリーディングカンパニー」を⽬指す。 ギー価格を始めとする諸コストの上昇及び⼈⼿不⾜に⾒舞われて
• 上記投資による主要設備の新設・増設において最先端技術の導 おり、鉄鋼事業の強靭化のためには、最先端技術の導⼊による操
⼊を進めることで労働⽣産性の⼤幅な向上を図るとともに、温室効 業の効率化と品質向上による⾼収益化が必須かつ急務である。
果ガス削減に取り組む。 • ⾼炉メーカーの⾼級鋼への製造シフト及び汎⽤品（形鋼）の⽣
• 新たに技術開発されたバイオコークス事業を展開し、未利⽤バイオ 産ライン縮⼩により、マーケットシェアの拡⼤余地が⽣まれている。
マスの活⽤における地域循環共⽣圏の構築に寄与し、脱炭素社 • 地球温暖化への対応をはじめとする環境問題に対する社会におけ
会の実現に貢献する（補助対象外）。 る関⼼が⾼まるなか、電炉による形鋼製造という鉄リサイクルはまさ
• 上記の事業を補完し、より効率的な事業展開を図るため、⾃社船 に資源循環型社会の⼀端を担うものであり、環境優位性が⾼いこ
舶を保有することにより、必要な原料・製品の確実な輸送⼿段を確 とから、当社の事業価値が⾼まっている。
保する（補助対象外）。
会社全体の売上成⻑⽬標（〜2030年）
内発的動機
• 売上⾼成⻑率10％
• 最先端技術の導⼊により⽣産体制を改善し、労働⽣産性の向上
• 売上⾼増加額420億円
を実現することで、安定した収益体質を構築する。
会社全体の賃上げ⽬標
• ⽼朽設備の刷新を通じた労働環境の改善と環境負荷低減に資す
• 0.1%（直近事業年度〜基準年度）
る各種取組による企業イメージの向上を図ることにより、従業員のモ
※熟練⼯退職に伴う世代交代により若年従業員⼤幅増加のため、賃上げは実施
チベーションを⾼めるとともに、優秀な⼈材の確保と安定的な雇⽤を
するも基準年度までは上記数値に留まる⾒込み。
維持する。
• 7.4%（基準年度〜事業化報告3年⽬）</t>
  </si>
  <si>
    <t>ヤマトスチール株式会社
2.補助事業の概要
最先端技術を導⼊した主要設備の新設・増設による持続的な成⻑と賃上げの実現
• 最先端技術を導⼊した主要設備の新設・増設により鉄鋼事業における労働⽣産性の向上を図り、
補助事業の ⼈材不⾜や労働環境の改善を図るとともに、温室効果ガス排出量削減にも寄与する。 事業費 133億円
背景・⽬的 （補助額） （41億円）
• 鉄鋼事業の強靭化に向け、単位時間あたりの⽣産効率を向上させるた
め、本補助事業において、最先端技術を有する新圧延機を導⼊する。
• ⽣産効率の向上と最先端技術による⾃動化において、⼈⼿に頼った操
業部分の⾮効率性の解消と労働環境の改善（特に安全⾯の向上）
が⾒込まれるため、⼈材不⾜対策や働きやすさ向上に繋がる投資となる。
設備投資の （補助事業期間中の事業費１２６億円）
参考資料は次スライド以降
内容 • 新圧延機の導⼊に続き、加熱炉の容量拡⼤や⾮化⽯燃料混焼バー
ナーの搭載を予定。（補助対象外）
• 増産のボトルネックとなり得る物流、特に海上輸送⼿段の逼迫に備え、
⾃社保有船舶を建造中。 （補助対象外）
• 更なる脱炭素に向けた取組としてバイオコークス事業も進⾏中。（補助
対象外）
新圧延機（イメージ）
2027年度 2030年度
項⽬
（基準年度） （基準年度＋３年後）
労働⽣産性 9,849
5,828
（単位︓万円/⼈） （年平均上昇率＋19.1％）
⽬標値 従業員1⼈あたり給与⽀給総額 1,076
866
（単位︓万円/⼈） （年平均上昇率＋7.5％）
役員１⼈あたり給与⽀給総額 -
-
（単位︓万円/⼈） （年平均上昇率＋6.0％）
補助事業に係る従業員数
219 230
（単位︓⼈）</t>
  </si>
  <si>
    <t>長野牛乳株式会社
1.長期成長ビジョン
➢ 酪農乳業界全体の維持・発展に寄与するため、新工場を建設する大規模投資を行いシェア拡大を図り、売上高200億円
企業を目指す
長期成長ビジョン（目指す姿・ビジネスモデル） 外発的動機
• 人口減少により市場拡大は見込まれないため、シェアを確保するこ
【当社が目指す姿】
とが重要。
酪農乳業界全体の維持・発展に寄与し安心・安全で高品
• スーパーマーケットの再編により小型店舗が減少し大規模化。効率
質な牛乳・乳飲料を消費者に届ける 的な仕入をするために乳処理事業者への受注は一定の規模を超
えるようになり対応できる乳処理事業者が限られている。更にドラッ
【成長のビジョン】 クストアにの参入より加速化している。
• 大手3大乳業メーカーが牛乳生産から高付加価値乳加工品へシフ
・安定した供給を確保するために自社の利益のみでなく酪
トし業界内の再編、集約が進んでいる。
農家も含めWIN-WINな関係性を構築する
• 生産コストは上昇しているおり、省力化投資により労働生産性向
・安心・安全な牛乳・乳飲料を安定的に供給するために引
上が急務。
き続き、品質管理を徹底する • 人手不足により365日稼働しなければならない乳処理事業者の雇
・自社商圏内においてシェアを拡大し、自社を飛躍的に成 用確保には賃上げが必須。
長させ地域を代表する企業となる
・従業員への還元、地域雇用の創出など地域と共存し持
内発的動機
続可能な経営を目指す
• 国内の酪農の衰退に歯止めをかけるとともに消費者の健
康を支える牛乳 乳製品を安定的に拡販する
会社全体の売上成長目標（2030年3月期）
• 取引先からの増産要請に応えるとともに新規先を獲得し
• 売上高成長率122％
自社を発展させ持続可能性の高いビジネスモデルを構築
• 売上高増加額99億円
する
2033年度に売上高200億円を目指す！
• 人手不足の中、懸命に働く従業員に賃上げという形で報
いるために大規模投資を実施し、自社を飛躍的に成長さ
会社全体の賃上げ目標
せ賃上げの原資を確保し十分な還元を行いたい
• 0.33%（直近事業年度～基準年度）
• 6.0%（基準年度～事業化報告3年目）</t>
  </si>
  <si>
    <t>長野牛乳株式会社
.補助事業の概要
2
➢ 新工場建設と省力化が図れる設備投資により売上高増加とシェア拡大を図り、労働生産性を向上させる
➢ 増加する利益を従業員へ還元するとともにサプライチェーン上の取引先に高い波及効果が生まれる成長戦略を実現する
• 受注旺盛で既に生産能力は限界の状況。取引先からは本投資を見据え、具体的な増産依頼
補助事業の あり、設備投資は急務の状況。 事業費 89 億円
背景・目的 • 顧客からの要請に応えることで更なるシェアを獲得し、大幅に付加価値を増加させるべく収益性 （補助額） （ 22 億円）
の向上、生産性の向上を目指す。
新工場完成イメージ
• 新工場および本社 27.5億円
（3階建て、延べ床面積5101.76㎡）
新工場を建設し、製造ラインを4ライン設置する
• 調合殺菌設備 24億円
• 充填機 15億円 ４台
• ユーティリティ設備 25億円（電気 配管 ボイラ－等）
設備投資の
内容
• 当社の課題は製造能力が限界であること。既存工場には新ラインを設
置するスペースがなく新工場建設は必須。
• 既存工場のラインは老朽化しており、新工場稼働後に順次停止する
• 本投資により当社の製造能力は2倍超増加する。１ﾗｲﾝ当たりの製造
能力が14％UPし、2ライン体制から4ライン体制へ増加させる
• 旺盛な受注に対応可能となり売上高が大幅に増加することで労働生
産性も飛躍的に向上する。 ※その他導入設備は次項に記載
2027年度（2028年3月期） 2030年度（2031年3月期）
項目
（基準年度） （基準年度＋３年後）
労働生産性 5,699
2,662
（単位：万円/人） （年平均上昇率＋28.9％）
目標値 従業員1人あたり給与支給総額 473
398
（単位：万円/人） （年平均上昇率＋6.0％）
役員１人あたり給与支給総額
-
（単位：万円/人） - （年平均上昇率＋5.0％）
補助事業に係る従業員数
40 49
（単位：人）</t>
  </si>
  <si>
    <t>長野牛乳株式会社
.補助事業の概要
2
➢ 導入予定の設備イメージ
充填設備
調合殺菌設備
最新型の充填機
殺菌機イメージ
画像処理機印字検査機イメージ ウェートチェッカーイメージ</t>
  </si>
  <si>
    <t>1.長期成長ビジョン モルツウェル株式会社
在宅高齢者弁当配食サービス現場や東日本大震災食材義援活動での原体験をきっかけに、誰もが最期までごきげ
んに暮らせる社会をつくること、ふるさとを守ることを目的とし、給食業界をDXの力で大変革することを目指しています。
長期成長ビジョン（目指す姿・ビジネスモデル） 外発的動機
• 今後も高齢化が進展することから、高齢者向け食品の需要は拡大する
• モルツウェル株式会社は、島根県という社会課題先進地域で事業を展開し
ことが予想されます。しかしながら、高齢者施設内で食事提供業務を行
ており、地域の少子高齢化問題に最前線で向き合う企業です。
う厨房人材不足が業界の大きな問題となっており、特に介護施設厨房
• 全国の高齢者施設向けに調理済み食材の企画・製造・販売を行う傍ら、
は早朝出勤、365日休みなし、メニューの個別対応も多く、属人化が激
高齢者施設給食業務の受託サービス、在宅高齢者配食サービス、買い物
しく、危機的状況です。
代行サービス、2021年からシステム開発事業などを行っています。
• さらに当社がある島根県は人口減少率、高齢化率ともに国内トップクラ
• 「全社員、社員家族の物心両面における幸福を追求すると同時に日本全
ス、社会基盤も脆弱でより一層深刻です。
国津々浦々“健やか”で“安らいだ”地域生活に貢献すること」を理念とし、
• 給食業界を変革してごきげんに働ける環境をつくりたい！ふるさと島根を
人材不足の給食業界をDXの力で大変革することを目指しています。
明るくしたい！食と農、県外への移出で雇用を創り、地域の若者に希望
• 地域福祉の中核を担う立場として、持続可能で質の高い食支援体制を構
と目標を与えたい！
築し、県内外の福祉・介護の現場を支えていきます。
• 島根での取り組みを土台として、関東など他拠点への展開も視野に、地域 内発的動機
と社会に貢献する事業を推進してまいります。
• 2004年、私たちは「安否確認付き在宅高齢者向け弁当配食サービ
• 2031年度（2032/8期）までの長期成長ビジョンとして、売上100億円、
ス」事業に参入しました。引きこもりやゴミ屋敷、年に数回は孤独死を発
完全調理済みメニュー食材で業界1位、中堅企業への飛躍を掲げています。
見する過酷な地域生活最前線の仕事です。かつて日本の繁栄を築き
支えてくださった先輩方が、いま誰にも気づかれない、暗い部屋の中で生
きる意欲さえ失っている―その現実に直面した私は、「せめて最期くらい、
ごきげんに過ごせる社会をつくりたい」と強く心に誓いました。その瞬間、
「これこそがモルツウェルの使命だ」と深く胸に刻みました。これが、私の原
体験です。
• 2011年、東日本大震災発災の翌日にはトラック2台をチャーターし、島
会社全体の売上成長目標（～2031年度）
根を出発して被災地へ食材義援に向かいました。現地で目の当たりにし
• 売上高100億円（2032/8期）← 17.9億円（2024/8期） たのは、家族、仲間、会社、社員、そしてかけがえのない思い出までもを
• 売上高増加額82.1億円、成長率459％ 飲み込んだ津波の、あまりにも残酷な爪痕でした。 一瞬でふるさとを失っ
会社全体の賃上げ目標
た東北の姿に、戦後70余年のあいだ、少しずつ若者を都会に奪われ続
• 2.84%（直近事業年度～基準年度） けてきた、わがふるさと・島根の姿が重なって見えたのです。「ふるさとは永
• 5.01%（基準年度～事業化報告3年目） 遠ではない」―そう気づかされたことが、私にとってのもう一つの原体験と
なりました。</t>
  </si>
  <si>
    <t>.補助事業の概要 モルツウェル株式会社
2
島根県松江市に新工場を建設し、安全で美味しく、厨房業務の省力化に資する完全調理済みメニュー食材の
生産能力を増強することで、拡大し続ける高齢者施設給食市場のニーズに対応します。
補助事業の • 高齢者施設給食向け完全調理済み食品の受注拡大とニーズ多様化に対応するため、新工場を建設 事業費 1 億円
8
背景・目的 して生産能力を2.3倍へ増強するとともに、デジタル化と自動化によって労働生産性を向上させます。 （補助額） （5.9億円）
■内訳 新工場完成イメージ
①建物費：島根県松江市にて新工場建設、敷地面積10,296㎡、建屋面積11,219㎡
（2階建て）、税抜き金額1,020,000千円 ※建設用地は既に取得済み
②機械装置費：真空調理法による食材製造を行うための加工設備、衛生設備など一式、税
抜き金額751,997千円（うち、補助対象経費745,867千円）
③ソフトウェア費：倉庫アドレス管理システム、検収支援システム、製造支援システム、第2次
出荷システム、税抜き金額21,000千円
設備投資の ■現状の問題点
内容 ①調理済み食品の受注獲得ペースが加速しており、現在のペースでいくと2027年中に生産能力が不足する。
②製造管理が紙ベース・アナログ管理であり、生産上不具合があったときリアルタイムに把握できない
③多品種少量生産だが、原材料・仕掛品・完成品、禁止対応品など、在庫の保管や管理のルールが確立されていない。
④BCP対応や行事食用として需要が高まっている冷凍品在庫に対応できていない（現在は日配品のみ）。
⑤出荷作業が紙ベース・アナログ管理であり、人的要因のミス（欠品クレーム）が発生している。
■設備投資が課題解決、労働生産性向上につながる点、工夫点
①新工場を建設することで、生産ライン数は3から7へ、生産能力は現在の3万食/日から7万食へ大幅に増強される。
②受注から出荷までの全工程をデジタル化、自動化することで、ミス撲滅、状況の見える化、リードタイム短縮、省人化が実現する。
2027年度（2028年8月期） 2030年度（2031年8月期）
項目
（基準年度） （基準年度＋３年後）
労働生産性 991万円
447万円
（単位：万円/人） （年平均上昇率＋30.4％）
目標値 従業員1人あたり給与支給総額 320万円 377万円
（単位：万円/人） （年平均上昇率＋5.6％）
役員１人あたり給与支給総額 -
-
（単位：万円/人） （年平均上昇率＋5.0％）
補助事業に係る従業員数
159 253
（単位：人）</t>
  </si>
  <si>
    <t>北海道乳業株式会社
1.長期成長ビジョン
消費者ニーズの多様化や社会課題の解決を受け、生産体制の拡充を行い、高付加価値商品の飛躍的な成
長を遂げることで、当社のみならず地域産業の成長・発展を目指す
長期成長ビジョン（目指す姿・ビジネスモデル）
〈基本方針〉
当社事業ポートフォリオにおける重要性が高い高付加価値商品事業を強化することで
地域産業の成長・発展を目指す
〈重点戦略〉
• 高付加価値商品事業に経営資源を投下 • 地域産業の安定化によるサプライチェーン維持
消費者からの支持も高い当社主力製品のヨーグルト(市場シェア30％)に 当社は、北海道道南地区における乳業界のリーディングカンパニーとして
おける製造ラインを抜本的に改革することで他の高付加製品(牛乳、 酪農家の経営安定化等への重要な役割を担っている。道内における生
チーズ等)へリソース、ノウハウを波及 乳調達量の増加は酪農家の経営安定化とサプライチェーン維持に繋がる。
• 雇用の創出と継続的な賃上げ • 自動化による省力化と生産性向上
北海道函館市に新工場を建設し、工場従業員は現地採用を計画して 新工場ではロボット導入・生産ラインのAI化と自動倉庫の導入によって、
いる。ヨーグルト事業全体の生産力が増加することで基準率以上の賃上 ヨーグルト製造方法の革新と物流における積載効率を高め、省力化と生
げを実現する。 産性向上を実現する。
〈売上成長目標〉
2030年度 売上高665億円（2023年度比＋316億円、90.8％増）営業利益65.3億円（2023年度比＋53.2億円、 442.6％増）
〈賃上げ目標〉
2.0%（直近事業年度～基準年度） 8.0%（基準年度～事業化報告3年目）
外発的動機 内発的動機
道南エリア酪農家による乳生産量維持への期待 賃上げや新規雇用の促進による地域社会への貢献
消費者ニーズの多様化による新たな乳製品への期待
高付加価値事業を次代の柱へ成長させることによるビジネスモデル変革
物流2024年問題の解決と脱炭素化への貢献
省力化技術を導入した生産体制推進の必要性
生産拠点の分散化によるレジリエンスの強化</t>
  </si>
  <si>
    <t>北海道乳業株式会社
.補助事業の概要/補助事業内容と投資内容
2
• 総額89.5億円の設備投資により、高付加価値商品の増産と新製品の市場投入を行う
• 補助事業を通じて労働生産性を高め、従業員の賃上げへ還元していく
• 当社の高付加価値商品の生産性が低く、現在以上の増産が困難な状況。
補助事業の
• 生産設備導入スペースが限界であるが、国内だけでなく、海外も含めた高付加価値商品の
背景
億円
市場要求は強く、機会損失が発生している。 事業費 97
（29億円）
（補助額）
補助事業の 高付加価値商品の生産性向上と最先端の省力化設備の導入による
目的 労働生産性の向上
• 既設敷地内の設備の合理化(ビルド＆スクラップ）により新工場建
設更地を確保する。合理化は、生産性向上を伴う前提で進める。
• 新設備では人物情報動線の短縮、削減を新型装置、ロボティクス、
AIの導入により達成し、新建屋には太陽光発電など自然エネル
ギー活用を推進する。
• また、自動倉庫を導入することで、高付加価値製品の生産出荷量
設備投資の を確保し、生産性向上と合わせた利益向上により、賃金アップ達成
内容 を確実なものとする。導入予定の新技術は下記の通りである。
① ロボティクス：パレタイザー、包材自動供給、原料自動供給
② AI：原料検査
③ 建築構造設計：セレクトビーム工法
新工場イメージ
④ 場内物流：自動倉庫
⑤ 生産性向上：高能力多機能充填機
2027年度 2030年度
項目
（基準年度） （基準年度＋３年後）
（単
労
位
働
：
生
万
産
円
性
/人）
1,332
（年平均上
2
昇
,9
率
35
＋30.1％）
目標値 従業員1人あたり給与支給総額 551
（単位：万円/人） 437 （年平均上昇率＋8.0％）
役員１人あたり給与支給総額
- -
（単位：万円/人）
補助事業に係る従業員数
（単位：人） 304 321</t>
  </si>
  <si>
    <t>株式会社マルト水谷
1.長期成長ビジョン
「永続可能な外食店創造業」への革新をテーマに、DX・管理会計・ロジスティクスを融合した新型卸売業への進
化を図り、外食店の生産性を向上させるとともにフードロス問題の解決にも寄与することをビジョンとしている
長期成長ビジョン（目指す姿・ビジネスモデル） 外発的動機
• DX・管理会計・ロジスティクスの融合による新しい形の業務用総 • 人口減少や物価高、労務コストの上昇等を背景に、外食店の廃
合卸売業への進化を図り、新たな事業領域「永続可能な外食店 業率は高まっており、これまで外食店が担ってきた地域の雇用やコ
創造業」への革新を目指す ミュニケーションの場としての外食店の存在を守る必要がでてきている
• 具体的には、各外食店が、データに基づいた需要予測から「売れる • 外食業界全体で人手不足が問題となっている状況下、店舗運営
ものを売れる分だけタイムリーに」発注できる未来を食品卸の立場 効率化及び既存雇用者の労働環境改善の面から、各外食店で
から実現し、外食店の生産性を向上させ、外食店で働く人たちの 生産性を向上させることが必要となってきている
豊かさの向上に貢献することを事業ビジョンとしている • 外食店向けのサプライヤー（肉屋、八百屋、魚屋等の食品業
• 食品卸の立場からは、無駄のない効率的な食品ロジスティクスの 者）の人手不足の状況は深刻であり、ロットが確保できない外食
体制（当社による多品種の一括納入、デイリーでのタイムリーな供 店では配送頻度等の面でサービスの制限を受けたり、配送コストの
給）を構築することで、上記外食店のデータドリブン経営を支える 上昇を受け入れざるを得ないケースが生じている
とともに、社会課題であるCO2削減、フードロス問題の解決にも寄 • 世界的にSDGsに向けた取り組みが積極化される中、外食産業に
与したいと考えている おけるフードロス問題は深刻であり、食品卸売業者も含めてこれを
• 新倉庫建設により、自動化と効率化の推進によるリードタイムの短 解消する社会的責任がある
縮、取り扱う食品種類の拡大（鮮魚や野菜等の生鮮食品の取り
扱い開始） 、作業スタッフの負荷軽減に伴う生産性向上を同時
に達成する持続可能な食品ロジスティクス体制の構築を図り、外 内発的動機
食店の生産性向上に必要不可欠なパートナーとして、外食店が • 従来から外食店向けの「繁盛請負業」を使命として掲げており、
永続できる社会の実現およびフードロス問題の解決を図りたい 365日配送や「速達生」サービスの提供、コンサルティングの実施等、
付加価値の創造に向けた挑戦を環境変化に即して実施し、外食
会社全体の売上成長目標（～2031年3月期）
店の繁盛を支援してきた
• 売上高成長率97.2％（24年3月期比）
• 売上高増加額255億円（24年3月期比） • コロナ禍において、協力金申請やテイクアウトシステムの開発等、繁
盛とは異なる視点で支援を実施。これを契機に、売上増加以外の
会社全体の賃上げ目標
部分で外食店をサポートする必要性が高まっていること、これを担う
• 従業員役員計:2.95%（直近事業年度～基準年度）
ポテンシャルが自社にあることを実感するに至った
• 従業員:5.5%（基準年度～事業化報告3年目）
• 人口減少等の問題は避けられない状況下、外食店の「永続可能
• 役員:5.0%（基準年度～事業化報告3年目）
性」をテーマに、外食店が直面しつつある新しい課題解決をリードす
※上記はいずれも幹事会社単体数値
ることで、地域・社会に貢献し続けたいと考えている</t>
  </si>
  <si>
    <t>株式会社マルト水谷
2.補助事業の概要
2拠点目となる物流センターを東海市に新築し、取引先外食店のあらゆる需要に応える新設備を導入するととも
に、従業員の負荷を軽減するための自動化・効率化装置を備えることで、労働生産性を向上させる
• 既存倉庫においては、そのキャパシティが限界に近付いていること、生産性向上のための新規設
備導入に制限が生じていることから、新物流拠点を立ち上げる
補助事業の • 新拠点では、取引先外食店のあらゆる商品・サービス需要に対応できるよう、サプライヤー各社 事業費 45億円
背景・目的 を当社がハブとなってつなぎ、ラストワンマイルを当社で提供することを目的とする （補助額） （15億円）
• 2拠点体制に移行することで当社の主要市場である名古屋市を南北から配送可能とし、1日2
往復する2発便を増台することで生産性を大幅に向上させる
【設備投資①】：新物流センター建物1棟（建物費25.3億円）
• 愛知県東海市に物流倉庫1棟（約2,300坪）を新たに建設予定
• 重量物（酒樽等）の積込み、荷揚げ作業の負荷軽減を目的とした
完成イメージ
高床式プラットフォームを導入
• 出荷時間短縮を目的とした最適導線の設計
【設備投資②】：マテハン機器（機械装置費17.6億円）
• 作業効率向上、作業負荷軽減を目的とした自動パレット倉庫、DPS
（Digital Picking System）、運搬ロボの導入
設備投資の • 冷凍肉・魚等を含む取扱い食品の拡大に対応した冷蔵・冷凍設備の
内容 導入（冷蔵自動パレット倉庫等）
• 温度管理の徹底を目的としたドッグシェルターの導入
• 作業効率化、業務平準化、作業ミス低減を目的としたWCS（倉庫
制御システム）の導入
【設備投資③】：在庫・販売管理システム（ソフトウェア費2.1億円）
• 従来の1拠点体制から2拠点体制へ移行することに伴い、必要機能を
既存システムに追加（2拠点体制を前提とした最適配送ルートの計算
機能等）</t>
  </si>
  <si>
    <t>株式会社マルト水谷
2.補助事業の概要
生産性向上による増益分を従業員に積極的に還元することで年平均5.5%の賃上げを実施するとともに、労働
生産性を20.1%（MMG HDは14.5%）上昇させることを目標とする
申請対象2社の労働生産性及び賃上げの目標値
2028年3月期 2031年3月期
項目
（基準年度） （基準年度＋３年後）
労働生産性 1,898万円/人
1,095万円/人
（単位：万円/人） （年平均上昇率＋20.1％）
従業員1人あたり給与支給総額 769万円/人
655万円/人
マルト水谷 （単位：万円/人） （年平均上昇率＋5.5％）
(幹事企業) 役員１人あたり給与支給総額 2,820万円/人
2,436万円/人
（単位：万円/人） （年平均上昇率＋5.0％）
補助事業に係る従業員数
282人 349人
（単位：人）
2028年3月期 2031年3月期
項目
（基準年度） （基準年度＋３年後）
労働生産性 2,355万円/人
1,568万円/人
（単位：万円/人） （年平均上昇率＋14.5％）
従業員1人あたり給与支給総額 881万円/人
751万円/人
MMG HD （単位：万円/人） （年平均上昇率＋5.5％）
(参加企業) 役員１人あたり給与支給総額 787万円/人
680万円/人
（単位：万円/人） （年平均上昇率＋5.0％）
補助事業に係る従業員数
13人 18人
（単位：人）</t>
  </si>
  <si>
    <t>1.長期成長ビジョン 有価物回収協業組合 石坂グループ
九州の静脈産業を支える廃棄物中間処理業者として、県内の低調な廃プラ処理の向上、PETボトル水平リサイクル、ビッ
グデータ/AI技術の活用、処理情報のデジタル化等により、あらゆるものを資源化する「リソーシング産業」へ変革する。
長期成長ビジョン（目指す姿・ビジネスモデル） 外発的動機
①：2022年4月、「プラスチック資源循環促進法」が施行、容器包装リ
熊本県の有価物回収協業組合として、処理能力の強化、ビッグデータ
サイクルだけでなく「製品プラ（※ポリバケツやハンガーなど、それ自体がプラ
収集やAI技術の開発、適正処理情報の同期化システムの開発等を
製の商品）」も、適切に回収・選別することが求められるようになった。一
通じて、あらゆるものを資源化するリソーシング産業へと変革する。 方、熊本県の容器包装リサイクルは、45自治体中、22自治体に留まり
（約49％）、製品プラにおいては5％にも満たない状況である。
【顧客の視点】
・既存自治体（熊本市・菊陽町・八代市・阿蘇市）のみならず、九州全土か
②：排出される飲料容器が「瓶・缶」から「PETボトル」に変わっていく中、
らの廃プラ（容器包装・製品プラ）の大規模処理を可能とする。
PETボトルを再びPETボトルにする「ボトルtoボトル（水平リサイクル）」
・豊田通商・三井物産など、大手リサイクラーへ高品質のPETボトル中間処理
が求められている。ボトルtoボトルに適した、選別精度の高いPETボトル
品（フレーク）を安定かつ大量に供給、さらにサントリーなど飲料メーカー（動
提供のため、高度な選別技術の確立、AI技術の活用、処理力の強化が
脈産業）へ回収した飲料容器のビッグデータ（商品別の飲み残し量等）を
必要である。
フィードバックする体制を整える。
・ウエノテックス社と共同開発の「エコキャッチャー」の実地工場としてAIによる
③適正処理が求められる一般廃棄物について、不法投棄はいまだに存在
選別技術の進化を図り、全国の処理事業者への導入を目指す。
しており、現状のマニフェストによる情報管理のDX化が迫られている。
【業務プロセスの視点】
・受け入れる廃棄物をセンサーで管理、適正処理情報の即時同期システムを
④：昨今の気候変動で災害が増えており、「災害廃棄物（※建築廃材
開発、マニフェストによる管理のDX化の浸透を目指す。
や粗大ゴミ）」の迅速な処理が必要となっている。また台湾の半導体メー
・飲料容器の光学3種選別・廃プラ選別における独自の吸引機構により、省力
カー「TSMC」の熊本進出により廃棄物処理ニーズが高まっている。
化と高度な選別技術の確立を目指す。
・人吉モデルを活かし、災害時の廃棄物受入を可能とする。
内発的動機
【学習と成長の視点】
①：熊本有価物回収事業協同組合として「瓶・缶」の回収から始まり、
・アスリート採用の開始で若手人材が増加、部門別研修による人材育成、働
時代の流れとともに「協業組合」に組織を変更、事業を拡張させてきた。
きやすい環境の整備を推進、定着率向上を目指す。
大量生産・大量消費の社会から、サステナブルな社会への変革が求めら
【財務の視点】
れる中で、リソーシング産業としての地位を確立する使命感を感じている。
売上成長目標（直近期（2024年5月期→2031年5月期）
会社全体の売上高：45.67億円→110.01億円
②：日本紙パルプ商事(株)と共同出資して開設した「(株)エコポート九
（売上高：64.34億円の増加・CAGR：13.38％）
州」は、県内唯一のプラスチックの「マテリアルリサイクル（※排出された
会社全体の賃上げ目標（直近年度～基準年度:1.66%（従業員・役員 ）
物を、再び製品として生まれ変わらせる」が可能な施設に成長し、さらに
→基準年度～事業化報告3年目:4.01%（従業員・役員）の賃上げ
第二工場を建設予定で、処理力の増強に合わせた受入増が期待できる4。</t>
  </si>
  <si>
    <t>.補助事業の概要 有価物回収協業組合 石坂グループ
2
大きな変化に直面している九州・熊本における廃棄物処理において、最先端の選別ラインとAI学習・DX化に向けた
次世代中間処理施設を開設、処理力増強と省力化を図り、あらゆるものの資源化（リソーシング）を目指す。
プラ新法の施行、PETボトル水平リサイクル、気候変動による災害増加、TSMC進出、AI学
補助事業の 事業費 42億円
習技術やDX化の進展などの環境変化に対し、次世代の中間処理施設を開設することで、
背景・目的 （補助額） （12億円）
九州・熊本エリアのあらゆる排出物を資源化し、動静脈を繋ぐリソーシング産業を確立する。
【課題の解決方法と労働生産性向上に繋がる点】
【主な設備投資内容】
・容器包装プラと製品プラを自動選別する「独自のロールスクリーン＋２つの吸引機構」を導入
①建物費
したラインで手選別を大幅に省力化、大規模処理（最大64t/日）を実現する。
・資源物再資源化工場（廃プラスチック・飲料容
・瓶・缶・PETボトルを高度に選別する「光学3種選別」を導入したラインで、手選別を大幅に省
器処理施設）：約4,014㎡
力化、現状の処理量（約3,500t/年）の約1.5倍の処理を可能とすると同時に、飲料容器の
・廃棄物再資源化工場（建築廃材処理施
ビッグデータを収集・蓄積、 AI技術活用した新型エコキャッチャーの共同開発を目指す。
設）：約1,540㎡
・建築廃材の破砕作業を大きく省力化すると同時に処理力を約100t/hに強化。さらに多くの車
・廃飲料再資源化施設：約422.5㎡
両が搬入できるスペースを確保（軽トラ42台分）し、災害時の対応も可能にする。
・破砕・プレス工場棟：約798㎡
・DX化の遅れている廃棄物の適正処理情報管理（マニフェスト運用）の改革を目指し、セン
・事務所棟：約1,420㎡
サー活用による適正処理情報の即時同期システムを開発、中間処理業者への浸透を図る。
設備投資の ・福利厚生棟（車庫棟含む）：約968㎡
内容 ②機械装置費 ＜選別における労働生産性向上のイメージ＞
・廃プラスチック選別・圧縮ライン 手作業による選別 光学選別（赤外線センサー）
（破集袋機・ロールスクリーン・風力選別機・開梱 （手選別）
機・プレス機・コンベヤ関連・ヤード内張等）
・瓶・缶・PETボトル選別・圧縮ライン
（破袋機・除袋機・アルミ/スチール選別機・光学3
種選別機・缶プレス機・PETボトルプレス機・コンベ
ヤ・AIロボット（エコキャッチャー）等）
・建築廃材選別ライン（プレス機・コンベヤ等）
・廃飲料処理設備（分離機・コンベヤ等）
項目 2028年5月期（基準年度） 2031年5月期（基準年度＋３年後）
労働生産性（単位：万円/人） 3,128 5,70 5 （年平均上昇率＋22.2％）
目標値 従業員1人あたり給与支給総額（単位：万円/人） 302 374（年平均上昇率＋7.4％）
役員１人あたり給与支給総額（単位：万円/人） - - （年平均上昇率＋15.0％）
補助事業に係る従業員数（単位：人） 25 95</t>
  </si>
  <si>
    <t>KIDO PACKAGING株式会社
1.長期成長ビジョン
企画から製造までの一貫体制によるフレキシブルな対応力に磨きをかけ、「低環境負荷包材需要への対応」「多品種少量化」「衛生面の強
化」等多様化する顧客ニーズへ応えることで2031/3期に単体売上高196億円、コンソーシアム199.6億円企業への成長を目指す。
長期成長ビジョン（目指す姿・ビジネスモデル） 外発的動機
■目指す姿・ビジネスモデル • 軟包装は硬質パッケージと比して環境負荷が低く、商品保護機能により食品ロス
削減にも貢献することができるため、サステナビリティへの取組拡大を背景に採用が
「お客様の品物とその価値を包み、安全・確実にお届けする」
加速しており、世界の軟包装市場は2030年度までCAGR4.0%での成
• 生活必需品を事業ドメインとし、商品を保護し情報を伝える「一次包装」の提
長が見込まれる
供を通じて人間生活の向上、社会の発展に貢献する
• 当社の手掛ける1次包装は主に加工食品に用いられるが、女性の社会進出等の
• 顧客第一主義の姿勢を貫き、企画、デザインから生産までの一貫体制によりフ
ライフスタイルの変化による食の時短・簡便化ニーズを背景に加工食品市場
レキシブルな対応力を発揮し、環境変化に対応することで持続的な成長を目
は今後も成長が見込まれる
指す
• 当社顧客である食品メーカーは環境対応を強化しており、環境負荷の高い油性
塗料を用いた包装の不使用に向けた取組が大手メーカーを中心に拡大しており、
■長期成長ビジョンの実現に向けた事業戦略 環境対応パッケージへの切り替え需要の発生が見込まれる
①水性印刷対応により低環境負荷型パッケージへの切替需要獲得 • 商品の「顔」としてのパッケージに対する要求水準の高まり、ライフサイクルの短期化
• 役目を終えた包材はゴミへと変わるため、より環境負荷の少ない製造プロセスづくり による包装の多品種少量化も進展しており、規模の経済が働きにくくなって いる
を追求することを使命として取り組み、新たな市場需要も獲得する • 生産年齢人口が減少する中で持続的な成長を実現するためには、印刷業の生
②工場統合および新型印刷機の導入による生産性改善 産現場の3K(きつい、きたない、きけん)のイメージを払拭し、女性やシニア人材も
• 工場統合および最新印刷設備導入により、生産性向上および多品種少量化 安全に働きやすい環境整備を行うことが求められる
への対応力を高めることで収益力向上を図る
③AGV導入により過酷労働を削減し、労働環境を改善
• AGV導入により重量物の運搬を削減し、かねてから取り組んでいる有機溶剤使 内発的動機
用量削減と合わせて安全に働きやすい労働環境の整備に取り組む
• 企画、デザインから生産までの一貫体制によるフレキシブルな対応力を強みに顧客
➃安全・衛生管理面への取組強化
ニーズに寄り添い、90年にわたって「一次包装」を通じて「商品の保護」「商品情報
• 工場統合により安全・衛生面も強化し、FSSC22000認証の取得に取り組
の伝達」といった付加価値を提供してきた
むことで食品メーカーからの信頼をより強固なものにする
• 持続的成長を実現するためには、衛生管理面の強化、多品種小ロット対応、環
会社全体の売上成長目標 境負荷低減等、高度化する顧客ニーズに対応する必要がある
（基準年度～事業化報告3年目）
• 現工場は工場建屋・空調設備の老朽化による労働環境の悪化、新規設備導
• 年平均売上高成長率単体16.9％、コンソーシアム17.1％
入に向けたスペースの不足、既存印刷設備の能力不足等競争力を維持し、
• 売上高増加額単体73億円、コンソーシアム75億円
成長する市場の需要を獲得するためには工場の更新が急務である
会社全体の賃上げ目標
• 社内従業員の平均年齢の上昇により、次世代の技術者育成に向けたノウハウ
• 4.14%（直近事業年度～基準年度） の継承が課題となっている
• 5.5%（基準年度～事業化報告3年目）</t>
  </si>
  <si>
    <t>KIDO PACKAGING株式会社
.補助事業の概要
2
既存工場を統合し、低環境負荷型の高性能印刷設備導入と衛生面強化により競争力を高める。
AGV導入および有機溶剤使用量の削減により労働環境改善を実現する。
補助事業の 点在する既存工場を新工場へ統合し、設備増強を行うことで、高まる環境負荷軽減需要の獲得、衛生面強化によ 事業費 億円
46
背景・目的 る信頼獲得を図る。生産性改善と労働環境改善にも取り組むことで、持続的な成長を実現する。 （補助額） （ 億円）
15
【新工場への集約/設備増強】 2.「工場統合による生産性改善」 3.「労働環境改善」 4.「工場統合による衛生面強化」
同一建屋内への工程集約と最新 AGV導入による過酷労働削 同一建屋内への工程集約による衛
1.「環境需要獲得」
製造設備導入による生産性改善 減と水性印刷（有機溶剤レ 生面強化とFSSC22000の取得
水性印刷対応による低環境負荷型
及び多品種小ロットへの対応強化 ス）による労働環境改善
パッケージへの切替需要獲得
設備投資の
内容
投資会社 内容 投資額
ＫＩＤＯ ＰＡＣＫＡＧＩＮＧ株式会社 生産設備1４種（1８台） 11.5億円
ＫＩＤＯホールディングス株式会社 工場建設にかかる費用 40.7億円
ＫＩＤＯ ＰＡＣＫＡＧＩＮＧ株式会社 ＫＩＤＯホールディングス株式会社
2031年3月期 2031年3月期
項目 2028年3月期（基準年度） 2028年3月期（基準年度）
（基準年度＋３年後） （基準年度＋３年後）
労働生産性
1,154万円
1,891万円
7,500万円
14,400万円
目標値 （単位：万円/人） （年平均上昇率＋17.9％） （年平均上昇率＋24.3％）
従業員1人あたり給与支給総額
605万円
711万円
605万円
711万円
（単位：万円/人） （年平均上昇率＋5.5％） （年平均上昇率＋5.5％）
役員１人あたり給与支給総額
- -
（単位：万円/人） - （年平均上昇率＋5.5％） - （年平均上昇率＋5.5％）
補助事業に係る従業員数
230人 239人 1人 1人
（単位：人）</t>
  </si>
  <si>
    <t>東亜工業株式会社
1.長期成長ビジョン
BEV向け部品生産体制を構築するため、総額123億円超の大型設備投資を実施
自動車部品のサプライヤーとしての使命を果たすとともに企業価値の最大化・持続的な成長を実現
長期成長ビジョン（目指す姿・ビジネスモデル） 外発的動機
①自動車の電動化への潮流
創業以来培ってきた技術と独自のノウハウで、進化をリードする製品の開
2015年パリ協定を契機に各国・自動車メーカーが電動化目標を
発・製造に提案型メーカーとしてチャレンジし、自動車業界のベストパート
公表し、電動化への潮流が加速。主要取引先であるSUBARUや
ナーとして、先進のクルマづくりを支えていく。
トヨタ自動車でもBEVへの対応が急速に進んでいる。
＜具体的な取組み＞
→自動車メーカーの動向に合わせた製品開発・製造の必要性
• 本事業では、外発的・内発的動機を踏まえ、自動車業界の電動化に対
②電動化による部品点数の減少
応するため、総額123億円もの大型設備投資を通じて、BEV向け部 現在、3万点といわれる自動車部品点数は、電動化によって2万点
品生産ラインを構築する。 まで減少すると想定され、自動車部品サプライヤー間の競争がより
激化すると予測されている。
• 電動車向け部品の高品質且つ安大型プレス等による新たな一体成型
→競争優位性がある製品開発への取組みの必要性
技術にもチャレンジし、電動車部品の製造コストの削減や衝突安全性能
等の安全性向上にも貢献していく。
• 電動化が進む中で、衝突安全性や部品の軽量化が特に求められている。
内発的動機
当社の強みであるホットスタンプ技術や製品開発力を活かして、BEV向
① 企業価値の最大化・持続的な成長
け製品の開発を推進していく。
持続的な成長や企業価値を高めるためには、成長が見込まれる分
• BEV向けの部品供給体制の構築を通じて、自動車部品サプライヤー 野へ参入していく必要がある
としての使命を果たすともに、持続的な成長を実現していく。 →成長が見込まれるBEV向けの取組みを強化していく必要性
• 地域牽引企業として、地元である群馬県を中心に地域経済の活性化や ② BEV専用ラインの構築
地域雇用の拡大を図っていく。 ガソリン車とBEVでは、安全性能や堅牢性等の製品に求められる
要素が異なり、既存ラインでは対応できない
会社全体の売上成長目標（2030年度）
→BEV専用工場及び生産ラインを構築する必要性
• 売上高成長率20.32％（基準年度比）
• 売上高増加額163億円（基準年度比） ③ 次世代を担う人材の採用・育成
会社全体の賃上げ目標 当社強みである最先端技術開発、要素技術開発から量産化の体
制を維持・発展するためには、優秀な人材の採用・育成が必要で
• 29.51%（基準年度比）
ある
• 41.59%（直近年度比）
→次世代を担う人材の採用・育成、雇用の維持の必要性
※BEV：Battery Electric Vehicle（電気自動車）の略称</t>
  </si>
  <si>
    <t>東亜工業株式会社
.補助事業の概要
2
BEVへの急速なシフトに対応するため、総額約123億円もの資金を投じた大規模設備投資を行う。
BEV向け車体骨格部品・サスペンション部品の生産体制を構築し、持続的な成長を実現する
• 飛躍的な需要拡大が見込まれる電動車の部品供給体制を構築するため、BEV向け専用ライ
ンを構築し、企業価値の最大化・持続的な成長を実現していく。
補助事業の 事業費 億円
• BEV部品の安定的な成長が見込まれる分野へ参入することにより、労働生産性向上、年平 57
背景・目的 （補助額） （ 億円）
均5％を超える賃上げを実現していく。 19
＜脇屋工場概要＞
（１）事業内容
BEV向け車体骨格部品・サスペンション部品の生産体制を構築するために、群馬
県太田市に新工場建築及び大型プレス機等の最新設備を導入する。
（２）設備投資内容
①建物費
当社の脇屋工場をBEV生産の拠点として整備する。
②機械装置費
設備投資の BEV向け専用ライン構築につき、生産設備の増強
内容 ホットスタンププレス機、レーザーカット設備、専用パレット、測定器具、金型等
（３）労働生産性の向上
■最新鋭の技術を有したホットスタンプ一体成型設備を設置する。
＜ホットスタンププレス機＞
■最新鋭の設備導入により、剛性の高い素材へのプレス加工や自動化による省人化を
進め、付加価値の高い製品開発、安定した供給体制を構築することで、高い労働生産
性を実現していく。
2027年度 2030年度
項目
（基準年度） （基準年度＋３年後）
労働生産性 1,822
1,728
（単位：万円/人） （年平均上昇率＋1.8％）
目標値 従業員1人あたり給与支給総額 680
（単位：万円/人）
580
（年平均上昇率＋5.5％）
役員１人あたり給与支給総額
-
（単位：万円/人） - （年平均上昇率＋5.0％）
補助事業に係る従業員数
258 742
（単位：人）</t>
  </si>
  <si>
    <t>株式会社富士カーボン製造所
1. 長期成長ビジョン
カーボン素材の優位性を活かし、材料置き換え需要を踏まえた市場開拓、APACを中心とした海外輸出向けの
大量生産を行うことで、2030年に連結売上高154億円(当社単体85億円)を目指す
長期成長ビジョン(目指す姿・ビジネスモデル) 外発的動機
ブラシレスモーターの増加による更なる市場拡大
他社が模倣困難なカーボン原料高度化能力
• カーボンブラシを使用しないブラシレスモーターにより家電・電動工具市場における
当社製品ニーズは減退。一方で車載用利便系モーターはICE,PHEV,BEVの種
カーボン素材開発技術 3つの成長戦略 別に関わらず今後大量にモーターを使用することからコスト重視の意向が強く、当
大手モーターメーカーとの
の収益化による成長戦略 社製品への期待は高まっている。また、駆動系開発モーターのワンストップ受注
共同開発による
Core1 成長分野への参入 ニーズも見られる。
回るを支え、動くをつくる 協働
長寿命性を望む海外メーカーとノウハウ秘匿の危機
• 世界各国のモーターメーカーは「長寿命性」に今後の活路を見出している。当社
樹脂材および金属材の Core2 Core3 カーボン原料を焼成まで のカーボン原料は長寿命性を実現可能であるが、海外での混捏・混合を行ったり、
開発 輸出
代替機能部品に関する 国内で大量生産し、
カーボン原料のままで輸出したりすると、当社のノウハウが流出するリスクがある。
製品開発及び市場開拓 海外メーカーへ輸出
「カーボン優位性」を求めた素材切り替えニーズ
• カーボンは耐摩耗性や耐熱性、軽量性を発揮できるため、これまで金属やプラス
重要課題
チック等の材料で構成されてきた部品から置き換わる需要が高まっている。
⚫ カーボン原料混捏・混合作業の安全性・生産性の向上
⚫ カーボンブラシ搭載モーターの使用が拡大する産業分野サプライヤーとの協働
⚫ ブラシ製造工程の自動化促進による余力時間を利用し、開発競争段階にある低トルク領域での高効率
内発的動機
モーター用ブラシ、メカニカルカーボン製品開発時間の捻出
⚫ Made in Japanカーボン素材の輸出を実現する国内生産体制の構築
100年企業に向けての業界牽引
当社全体の売上成長目標(～2030年)
• 当社は1935年に創業した老舗カーボン原料・カーボンブラシメーカーである。当
該製品のメーカーは国内に10社程度しかないニッチ業界である。既存顧客産業
2024年度 2030年度
売上高成長率 売上高増加額 のみに依存すれば市場が減退するが、カーボンの優位性を発揮できる分野は多
(単位：億円) 売上目標
分にあり、当社は他社に先駆けて需要を開拓するという自負がある。
当社(単体) 22.32 85.75 384.1％ 63.42
大手企業との対等な関係性構築によるパートナーシップ深化の可能性
海外子会社 27.10 68.72 253.6% 41.62 • 特に、当該製品を素材開発から一貫して担えるのは国内でも5社程度の特殊領
域である。そのため、新規製品立ち上げの際には、大手企業から技術的な助言
売上高(連結) 49.42 154.47 312.5% 105.04
を求められる機会が多い。
当社全体の賃上げ目標※含む役員給与 長寿命性に関する対外的な評価の高さ
• 顧客企業の要求を満たすために、産学官連携・先進企業とのアライアンスを進
⚫ 5.26％ : 2024年度～2027年度(基準年度) める中で、長寿命性のノウハウを開発してきた。この能力は他社では模倣ができず、
⚫ 6.05% : 2027年度～2030年度(事業化報告3年目) 競争優位を築いている。</t>
  </si>
  <si>
    <t>株式会社富士カーボン製造所
. 補助事業の概要
2
新工場では、原料配合工程における作業環境の改善と高効率な生産ラインの構築を通じて、
年平均21.6％の労働生産性向上および従業員1人あたり6.2％の賃上げを実現する
① 属人的作業の自動化と高効率設備導入による省人化、及び労働環境改善
補助事業の 事業費 億円
② カーボン原料製造工程のレイアウト見直し等を通じた生産能力向上 52
背景・目的 (補助額) ( 億円)
15
原料配合工程を改善させた福受新工場建設
• 【立地場所】愛知県豊田市福受町中ノ切130 他32筆
設備投資の
内容 • 【敷地面積】32,578.06 m² 【建築面積】8,202.55 m²
• 【3年間の雇用者増加目標】80名 (うち新規雇用80名)
• 【主な設備】自動加工機・AI検査設備、自動搬送装置 等
2027年度 2030年度
項目
(基準年度) (基準年度＋３年後)
労働生産性 1,090
60
6
(単位：万円/人) (年平均上昇率＋21.6％)
従業員1人あたり給与支給総額 598
目標値
500
(単位：万円/人) (年平均上昇率＋6.2％)
役員１人あたり給与支給総額
-
-
(単位：万円/人) (年平均上昇率＋4.5％)
補助事業に係る従業員数
176 256
(単位：人)</t>
  </si>
  <si>
    <t>山崎商事運輸株式会社
1.長期成長ビジョン
当社は50年にわたって運送事業を手がけ、日本の物流網の一端を担ってきた。51年目以降の更なる発展に向
けて、 「今を運び未来を築く」という企業理念のもと、物流による付加価値の向上に取り組んでいる。
長期成長ビジョン（目指す姿・ビジネスモデル） 外発的動機
• 企業理念「今を運び未来を築く」 • 外部の機会
国土交通省を筆頭とした物流DX・物流標準化の推進
日々の業務の中で継続的改善を行うことで、物流における価値創造を ◼
通じた地域社会への貢献、ひいては日本経済の発展への寄与を目指す ◼ 自家用トラックドライバーの労働時間規制に伴う、大手メーカ－に
おける物流業務のアウトソーシング需要の顕在化
• 上記の達成に向けた3つの柱 ◼ サプライチェーンの効率化を背景とした3PL市場の拡大
① サプライチェーンの最適化 業界の多重下請構造の是正に向けて取引が二次下請までに制
◼
◼ 2030年までに全国の主要エリアに拠点を設置し、輸送能力を確保す 限され、荷主との直接取引が拡大する可能性
ることで物流の2024年問題の解決に寄与
◼ 3PL事業の推進により効率的な物流網を構築し、運送の元請へ進出 • 外部の脅威
するとともに多様な顧客ニーズへ対応
物流の2024年問題に伴う輸送能力不足
◼
② 脱炭素社会への貢献
高齢化社会の進展・労働環境に起因するドライバー不足
◼ サプライチェーンの効率化を通じて物流におけるムダを削減し、CO2の ◼
ウクライナ情勢に伴う燃料費の高騰
排出量を削減 ◼
米国関税政策による輸出減および国内輸送量の減少
◼ 電気自動車等の次世代トラックの導入促進 ◼
カーボンニュートラルに向けた取組の重要度増加
③ 高齢化社会・人口減少への対応 ◼
◼ 定年を迎えたトラックドライバーに対する就労機会の創出
◼
継続的な設備投資による省力化の実現・労働生産性の向上
内発的動機
• 当社の経営理念「すべての夢をYAMAZAKIで」は、当社従業員
会社全体の売上成長目標（～31年5月期） 一人ひとりが働く喜びを持ち、夢に挑戦し続けることができる風通し
• 売上高成長率25.0％ の良い経営を実践するだけでなく、協力会社の皆さまやお客様を含
• 売上高増加額36.6億円 む全ての関係者の繁栄に寄与することで、地域社会から信頼される
会社全体の賃上げ目標 企業になることを目指しているものである。
• 3.20%（直近事業年度～基準年度） • 当社は今年で創業50年を迎え、さらなる発展のために実運送、利
用運送にとどまらない総合的な物流ソリューションの提供や、賃上
• 5.97%（基準年度～事業化報告3年目）
げ・労働環境改善による従業員への還元を通じて持続的な成長を
• 従業員のみでは7.0%
実現し、100年以上存続する企業になることを目標としている。</t>
  </si>
  <si>
    <t>山崎商事運輸株式会社
.補助事業の概要
2
本事業は大規模物流センターを建設し、高付加価値の3PL（サードパーティーロジスティクス）事業を展開する
ことによって、当社課題の解決および労働生産性の向上、物流の2024問題への対応を目指す取組である。
補助事業の • 大規模物流センターを起点に総合的な物流サービスを提供し、多様化する顧客ニーズに応える 事業費 2 億円
6
背景・目的 • 物流の2024年問題に伴う輸送力不足に対応し、サプライチェーンの効率化を実現する （補助額） （8.5億円）
• 投資内容
当社の本社隣接地（約2,800坪）に垂直搬送機を備えた2階建ての物流
センターを新設し、移動ラック導入によるスペース効率向上、フォークリフト・
AMRによる効率化・省力化を推進する。2階部分は10～20℃の低温環境
設備を備え、食品やフィルムなど温度管理が必要な貨物の取扱を可能とし、
作業環境改善・人材確保の効果も見込む。また自家消費用の太陽光発電
設備を設置し、物価高騰対策・賃上げの原資に活用する。
• 補助事業による課題の解決、労働生産性向上
設備投資の ◼ 立地戦略 物流センター外観イメージ
建設予定地は清州東・西ICに近接しており、2021年の名古屋西・飛鳥
内容
JCTの開通以来、東日本と西日本を結ぶ中継地点として拠点性が向上し
ている。この立地を活用することで輸送能力の増強が期待できる。
◼ 物流センター内の業務の効率化
移動ラックによるスペース効率向上、省力化設備・低温環境の維持（2階
部分）による労働環境の改善・労働生産性の向上を図る。
◼ 部門間の連携強化
物流センターを中心に実運送事業、貨物運送取扱事業を連携させ、3PL
事業を実現し、顧客の物流機能をワンストップで請け負う。これにより当社
物流センター配置図
サービスの付加価値を向上させ、売上単価・利益率の向上を達成する。
2028年5月期 2031年5月期
項目
（基準年度） （基準年度＋３年後）
労働生産性 1,546
871
（単位：万円/人） （年平均上昇率＋21.1％）
目標値 従業員1人あたり給与支給総額 560
457
（単位：万円/人） （年平均上昇率＋7.0％）
役員１人あたり給与支給総額
-
（単位：万円/人） - （年平均上昇率＋5.0％）
補助事業に係る従業員数
92 110
（単位：人）</t>
  </si>
  <si>
    <t>株式会社フォース
1.長期成長ビジョン
世界的な砂不足の状況と私の考える持続可能な社会の発展への思いから、３Rの徹底と再生砂生産の両立に
よる売上拡大を目指すことを長期成長ビジョンとして掲げ、2028年度に売上高成長率81.88％を目指します。
長期成長ビジョン（目指す姿・ビジネスモデル） 外発的動機
• 当社は、右に示すような外発的及び内発的動機から、長期成長ビ • 近年、産油国や途上国でのインフラ新設、日本でもインフラの保守
や再開発があり、世界的なコンクリート需要が高まっています。
ジョンとして、構造物の解体、建築工事、産業廃棄物収集運搬の
• 細かい砂漠の砂はコンクリートに適さず、海水を含む海砂は塩抜き
諸活動よる3R（リデュース・リサイクル・リユース）の徹底といった従
の工程が複雑なため、川砂がコンクリートに適しています。
来の取組に加え、再生砂の生産を通じて持続可能な開発目標
• 一方、川床低下を招く川砂の採取は、日本では規制されています。
（SDGs）の達成に貢献することを掲げています。
• また、ゼロエミッションへの挑戦として、あらゆる廃棄物を原材料として • コンクリート需要の高まりで各国が砂の輸入を求めて世界的な争奪
戦に発展し、深刻な「砂不足」が社会問題になっています。
有効活用し、ゴミを根本から無くす活動を私たちは関西最大級の
• こうした事情と循環型社会の実現に向けた取組推進の観点から、
新型リサイクルプラントをもって挑戦し続けています。再生砂の原料
建設現場の廃材から生成する再生砂が注目されています。
が豊富に入手できることを強みとし、この取組を加速します。
• 再生した砂はセメント原料として社会のインフラ整備に貢献し、他の • 上のような社会情勢や顧客のニーズから、左の長期成長ビジョンを
作成するにいたりました。
再生した廃棄物は製紙原料、火力発電用燃料などとなり常に皆
様の周りをめぐると共に、土壌汚染の防止にも一躍を担います。
• さらに、上記ビジョン達成のために、イノベーションの創出も実現して
内発的動機
いくことも長期ビジョンの一つとして掲げています。環境負荷軽減に
対して新しいアイデアが出てきたときには、すぐにその試作や実験に • 私は、地球環境の保全と持続可能な社会の発展のために、責任あ
取り掛かるような組織風土を実現していきます。 る事業活動を展開していきたいと考え、当社を設立しました。
• 上の外発的動機も併せて、産業廃棄物処理業は、近年ますます
会社全体の売上成長目標（2029年6月期） その重要性を増していると私は考えています。
• 売上高成長率81.88％ • そこで弊社では循環型社会に対応すべく、産業廃棄物中間処理
• 売上高増加額52.67億円（基準年度からの増加額） からリサイクル商品の販売まで一貫した３Ｒ活動を推進しています。
会社全体の賃上げ目標 • ところが現状の設備では再生砂の洗浄工程の処理能力が足りず、
• 4.01%（直近事業年度～基準年度） 本来再生砂として販売、循環すべき資源の一部を高い費用を支
• 8.49%（基準年度～事業化報告3年目） 払って最終処分場へ送らざるを得ず、収益を圧迫するという重大な
問題が発生しており、左の長期ビジョンを作成するにいたりました。</t>
  </si>
  <si>
    <t>株式会社フォース
2.補助事業の概要①
本事業において再生砂の生成販売に向けて新施設を設置し設備を導入します。事業費は、建設資材中間処理施設16.25億
円、産廃処理施設建築費11.43億円、建機類設備費2.32億円です。目標値は、労働生産性3,206万円/人に上昇。
補助事業の • 背景として、自然界の砂の収集が厳しくなってきており、再生砂の需要が高まっています。しかし、 事業費 36億円
背景・目的 当社では再生砂を生成する施設がないため、施設を新たに設置し需要に応えることが目的です。（補助額） （7.3億円）
• 大きな設備投資は以下の3点です。
①建設廃材中間処理施設（16.25億円）
（設備機器一式、付帯工事・材料費、工事費、設計費）
②産業廃棄物処理施設新築工事（11.43億円）
（圧搾式フィルタープレス棟、汚泥ピット棟、作業場棟、原料ヤード、
排出ヤード、給油所棟、事務所、倉庫、分離層工事、水槽工事）
設備投資の ③建機類設備（2.32億円）
内容 （油圧ショベル3台、ホイルローダー2台、土質改良機1台）
• 本設備投資よって、スーパーゼネコンが求める再生砂を生成し販売する
ことが可能となります。また、最新のノウハウの詰まった施設と設備を導入
することで、少人数でも工場を稼働させることが可能となり、労働生産性
を向上させることができます。
2026年6月決算期 2029年6月決算期
項目
（基準年度） （基準年度＋３年後）
労働生産性 3,206万円/人
658万円/人
（単位：万円/人） （年平均上昇率＋69.5％）
従業員1人あたり給与支給総額 607万円/人
目標値 480万円/人
（単位：万円/人） （年平均上昇率＋8.1％）
役員１人あたり給与支給総額 -
-
（単位：万円/人） （年平均上昇率＋14.5％）
従業員数
0.4人 21人
（単位：人）</t>
  </si>
  <si>
    <t>株式会社フォース
2.補助事業の概要②
再生砂の生成販売に向けて新施設を設置し設備を導入します。具体的な設備は以下の通りです。
型式 名称 単価（百万円） 数量 小計（百万円） メーカー 備考
SR2000G 自走式土質改良機 95 1 95 日立建機 粘土質の土に固形剤などを混ぜて改良
ZW180-7 ホイールローダー 31 2 62 日立建機 再生砂原料の整備、積み込み・運搬
ZX200-7 油圧ショベル 25 3 75 日立建機 再生砂原料の整備、積み込み・運搬
合計 232
名称 単価（百万円） 数量 小計（千円） メーカー 備考
分離槽、基礎工事など 1,008 1 1,008 分離槽、水槽、外構、給油タンク基礎工事
建物 共通仮設費 20 1 20
現場管理費 63 1 63
諸経費 52 1 52
合計 1,143
名称 単価（百万円） 数量 小計（千円） メーカー 備考
設備機器（一式） 1,110 1 1,110 株式会社三央 処理設備本体一式
処理設備 付帯設備・材料等（一式） 299 1 299 架台、設備付属品など
工事費（一式） 180 1 180 設備据付工事費用
設計費及び諸経費（一式） 36 1 36 個別使用設計費、事務経費など
合計 1,625
合計投資金額 3,000 百万円</t>
  </si>
  <si>
    <t>中村土建株式会社
1.長期成長ビジョン
当社は、最新の技術を駆使することで、革新的な省人化と生産効率の向上、脱炭素化を果たし、
中小企業のパイオニアとして地域建設業のDX推進と地元経済の発展を実現し、地方創生をリードします。
長期成長ビジョン（目指す姿・ビジネスモデル） 外発的動機
• 地方創生2.0の政策の下、地域資源を最大限に活用した地方経済の
【5年後ビジョン】（本補助金で実施する範囲）
自立的な成長が求められている。
「中小ゼネコンとして県内No.1の売上を盤石なものとするとともに、地
• リーマンショック以降、国内建設投資市場は順調に回復。現在はリーマ
方創生に関する中小ゼネコンのパイオニアとなる！」
ン以前のレベルを超え、さらに堅調に伸長している。
• 新社屋(ND_LABO)およびICT/DX事業拠点(DX_LABO)を創
• 大手・中堅ゼネコン（大・中堅企業）の地方進出が進むことで、地元
設、これらを両軸としたイノベーションを展開する。
中小ゼネコンとの競争が激化
• 設計・施工管理に最新のデジタル技術を導入。革新的な生産効率向
• 2024年に施行された働き方改革関連法により、建設業の時間外労働
上、脱炭素化を果たす。
管理が厳格化されている。
• 生産性向上と現場監督を担える人材の育成・増員の相乗効果により、
• 国内の生産年齢人口は年々減少し、10年後には現在の約9割に落ち
売上を約２倍に拡大する。
込む予想。建設業界全体が慢性的な人手不足を抱える
• 当社の革新的取り組みを、本社ショールームを通して地域社会に公開
• 地元建設業界において、若者や女性の雇用を促進するとともに、地域
し、県内7000超の中小建設業のDX推進を支援、国による i-
雇用を守り地域の人口減少問題を解決することが求めれている。
Construction 2.0 ビジョン実現に貢献する。
• 遠隔監視・操作、シミュレーション、VR/AR等デジタル技術の進歩。
• 地域企業活用促進によって地域雇用拡大、地域経済成長に貢献す
• 国は i-Construction 2.0 を推進中。建設現場の省人化 3割、生
る。当社協力会（専門工事業者他、建設に関わる全業種）とともに
産性1.5倍（2023年比）が求められている。一方、中小建設業の
成長する。
ICT化は進んでいないのが現状。
• 日本政府が掲げるグリーン成長戦略の下、2050年カーボンニュートラル
【10年後ビジョン】（将来的に実施する範囲）
に向けた脱炭素化推進の社会要求がある。
「大手・中堅を含めた県内No.1の売上を有するゼネコンとなる！」
• さらなる現場監督の増員を図り、業務量を拡大。 内発的動機
• 主要商圏を栃木県中心から北関東全域（埼玉、群馬、茨城）に拡
• 地域・日本の経済成長、持続可能な社会の実現へ貢献したい。
大し、国内有数の中堅ゼネコンを目指す。
• 当社の知識・技術・経験を活用し、新たな価値を創造したい。
• 大手・中堅企業との競争に負けない企業力を確保したい
会社全体の売上成長目標（2024年～2030年）
• 新規顧客開拓が進んでいない
• 売上高成長率214％
• 今後社員の高齢化が進み、労働力確保が困難となる恐れあり。
• 売上高増加額129億円
• 高い技術を有し現場監督を担える人材の数が限られていることがボト
会社全体の賃上げ目標
ルネックとなり、当社の成長が阻害されている。
• 年率平均+1.4%（2024年度～2027年度）
• 現在の社屋は手狭で、人員を大幅に増員する余地なし。
• 年率平均+5.1%（2027年度～2030年度）
• 従業員の待遇を向上させ、将来に渡って雇用を維持したい。</t>
  </si>
  <si>
    <t>中村土建株式会社
2.補助事業の概要
本補助事業は当社が今後飛躍的な成長を遂げるための基盤となる事業である。先進的社屋を新設するとともに、
最先端のデジタル設備を導入し、年平均約35%の大幅な労働生産性向上と年5.6%の賃金アップを実現する。
• 当社が地域創生をリードし、将来に渡り継続的に成長するには、業務効率化、技術者・監督者
補助事業の の早期育成・増員、地域との関係性構築、顧客開拓、優秀な人材の獲得が主要な課題とな 事業費 20億円
背景・目的 る。これらを実現するためには、徹底したICT/DX導入（i-Construction 2.0の追求）や、 （補助額） （4.7億円）
地域への情報発信など、大胆な施策の実行＝イノベーションが必要である。
【投資内容】 投資内訳 ND_LABO
• 栃木県宇都宮市にある本社建屋を撤去し、新たに新社屋 建物 16.5 億円
(ND_LABO)を建設。
設備 1.7 億円
• 上記建設作業中、本社仮事務所として近隣の空きビルを購入。
ND_LABO完工後に本社機能をND_LABOに移し、仮事務所として ｿﾌﾄｳｪｱ 0.5 億円
いた空きビルを改修してICT/DX事業拠点(DX_LABO)とする。 外注 0.3 億円
• 上記２つの施設にはi-Construction 2.0、働き方改革を推進する
設備投資の 合計 19.0 億円
ためのさまざまな装置、システムを導入する。
内容 DX_LABO
• 総投資額: 19億円 (建物16.5億、設備1.7億、ソフトウェア0.5億、外注0.3億)
• 基準年+3年後までの従業員増員計画数: 47名（対2024年度）
【生産効率化ポイント】
• ICT/DXの導入により業務フローのすべての段階で作業効率改善・省人化を図る
• 主業務だけでなく、バックオフィス業務の効率化も図る
• 当社取組を公開し、顧客開拓・地域との関係性構築を図り、成長の基盤とする
2027年度 2030年度
項目
（基準年度） （基準年度＋３年後）
労働生産性 3,099
1,265
（単位：万円/人） （年平均上昇率＋34.8％）
目標値 従業員1人あたり給与支給総額 727
617
（単位：万円/人） （年平均上昇率＋5.6％）
役員１人あたり給与支給総額 -
-
（単位：万円/人） （年平均上昇率＋5.0％）
補助事業に係る従業員数
86 120
（単位：人）</t>
  </si>
  <si>
    <t>ホーコス株式会社
1.⻑期成⻑ビジョン
「地球益」を考慮した「工作機械」「建築設備機器」「環境改善機器/産業機械」を製造するメーカー
技術⼒を基に半導体、医療、航空宇宙分野にも進出し、持続可能な未来を⽬指して国内外で事業を展開
グローバルな視点で成⻑を追求し、地域社会や地球全体に対する責任を果たす
⻑期成⻑ビジョン（目指す姿・ビジネスモデル）
外発的動機
「地球益」を第一に考えたモノづくり 2030年問題(少⼦⾼齢化・労働⼒不⾜)への対応
 環境負荷低減や有害なものを出さない、地球上の生物にとって
• 2030年には日本全体の労働⼒不⾜が深刻化し、様々な業種で深刻
やさしい製品づくりを実践することで脱炭素社会へ貢献する企業
な影響を受けると⾒込まれている
であり続ける
• 製造業においても⼈⼿不⾜によるリードタイムの⻑期化や、安定した
生産能⼒を確保することが課題となっている
海外への展開
• これらの問題を解決するためには、サプライチェーン全体での取り組みが
 2025年3月 インドに現地法⼈「ホーコス・インド会社」を設⽴
必要であると考える
 ⾃動⾞工場向け機械のアフターサービスを中⼼とし、タイの⼦会社
とともに、アジア地域での更なる販売強化を図り、迅速かつ充実
事業機会を逃さない投資の必要性
したサービスの提供を⾏う
• 昨今では、エネルギー価格や資源価格が上昇するなか、安価で加工性
生産の効率化と持続的な賃上げ の得られる鉄のニーズが更に高まりつつある
 地域を牽引する製造業者として⾃社だけでなくサプライチェーン • 鉄製品専用工場を新設することで、サプライチェーン全体での付加価値
全体での付加価値向上を⽬指す 向上に取り組み、取引先との共存共栄の構築を⽬指す
 結果として、賃上げにとどまらず、福山市に優秀な⼈材が集結する
ことで、地域全体に波及する効果が⼀層増幅される 内発的動機
環境への配慮に向けた取組
本補助事業
• 約55年前、社会課題であった公害問題解決の⼀助を担うべく、集塵
①新工場建設 ②従来の生産方法を抜本的に⾒直す
装置製造に参入。以来環境に配慮した製品開発に強みがある
生産能⼒の拡大・労働生産性の向上により、持続的な賃上げを実現
• 引き続き環境に配慮した製品を開発・製造し、当社の製品を使用いた
サプライチェーン全体での付加価値向上に取り組む
だくことで、日本全体のカーボンニュートラルに貢献する
⽬標
会社全体の売上成⻑目標（2023〜2029年度） 海外へ事業拡大
売上高成⻑率 169％ / 売上高増加額 167億円 • 当社売上高の約60%を工作機械が占めている
• 工作機械の需要は景気の変動に敏感であり、経済状況に応じて大きく
会社全体の賃上げ目標（2023〜2029年度）
変動することから、海外への事業拡大を通じて地域分散を図り、経営の
• 1.95%（直近事業年度〜基準年度）
安定化を⽬指す
• 5.42%（基準年度〜事業化報告3年⽬）</t>
  </si>
  <si>
    <t>ホーコス株式会社
2.補助事業の概要
ホーコスは「GO GREEN」のスローガンのもと、「工作機械部門」「建築設備機器部門」「環境改善機器/産業機械部門」3部門の
強みを活かし、新工場を建設。⾃動化を含め従来の生産方法を抜本的に⾒直し、「地球益」に貢献する「モノづくり」を⽬指す
(背景) 【外部環境】 サプライチェーンにおける⼈⼿不⾜と鉄製品に対する顧客ニーズへの対応
事業費
【内部環境】 鉄製品専用の⾃社工場を持たず労働集約型の生産体制であり、リードタイムが⻑期化
（補助額）
補助事業の
背景・目的 (⽬的) ・「建築設備機器部門」をメインとする３部門の鉄製品専用工場を新設し、生産能⼒を拡大させる
・⼈⼿不⾜を解消するため⾃動化設備を導入し、サプライチェーンの効率化を実現する
30億円
・⾃社にノウハウを蓄積することで意匠性も向上させ、⾃社製品の付加価値を更に高めていく （7.1億円）
【設備投資内容】
・広島県福山市の「福山北産業団地」に鉄製品専用工場を新設
主な機械装置 取組内容
・生産能⼒の拡大を⽬指し、工場内の溶接・板⾦加工・塗装のプロセスを
⾃動化設備で効率化することで、省⼒化を実現
工場 ・サプライチェーンにおける⼈⼿不⾜の課題に対し、⾰新的なソリューションを
提供
設備投資の
・ホーコスの集塵技術を活かし、溶接時に発生するヒューム対策を⾏う
内容
うち板⾦
・板⾦加工と⼀部溶接の⾃動化
ファイバーレーザー複合加工機
・CADCAMによる効率化
パネルベンダー 他
うち塗装 ・塗装工程を⾃動化
⾃動ライン塗装システム ・有機溶剤から粉体塗装に変えることで、環境や⼈体への
影響を低減させる
(粉体塗装) 他
2026年度 2029年度
項目
（基準年度） （基準年度＋３年後）
労働生産性 1,281
862
（単位︓万円/人） （年平均上昇率＋14.1％）
目標値 従業員1人あたり給与支給総額 663
565
（単位︓万円/人） （年平均上昇率＋5.5％）
役員１人あたり給与支給総額
-
-
（単位︓万円/人） （年平均上昇率 +5.0％）
補助事業に係る従業員数
753 780
（単位︓人）</t>
  </si>
  <si>
    <t>株式会社シュゼット・ホールディングス
1.長期成長ビジョン（会社概要）
【当社グループ概要】 当シュゼットグループは1968年に創業し、選びぬいた素材を使い、オリジナルの製造技術
と改良を重ね、お菓子の美味しさを追い求め続けており、国際的にもその品質・味などが認められた企業である。
・ グループ売上高：1968年喫茶店創業(神戸市芦屋) ▶2010年160億円 ▶2023年279億円
創業 1968年1月18日（株式会社アンリ・シャルパンティエ）
＜アンリ・シャルパンティエ＞販売個数世界一
本社所在地 兵庫県西宮市久保町5-16 ハーバースタジオ43南館 代表商品「フィナンシェ」が、年間販売個数において
8年連続で世界一位
事業内容 菓子・パン類の製造・販売ならびに喫茶、左記に関する付帯業務
（ギネス認定）
＜アンリ・シャルパンティエ＞
計100店舗
(国内94、海外6店舗)
＜シーキューブ＞ モンドセレクション金賞
芦屋のスイーツ文化を世界へ
2017年度から8年連続モンドセレクションで金賞受
（主力商品:フィナンシェ）
ブランド展開 主な実績 賞、加えて2018年より7年連続でInternational
＜シーキューブ＞ 42店舗
Taste Institute(※)を受賞
および
お菓子で幸せなつながりを
※International Taste
店舗数 （主力商品:焼きティラミス）
Institute:世界トップクラスのシェフ
2025年4月1日 ＜カサネオ＞ 1店舗
とソムリエが食品・飲料品の評価認定
現在 究極に「レアル(本物)」なスイーツ
（主力商品:ミルクレープ）
＜シュゼット・ホールディングス＞百貨店NO１
＜バックハウスイリエ＞ 4店舗
市場調査「外食産業マーケティング便覧2020」
（主力商品:クリームパン）
（株式会社富士経済発行）において、初めて国
素材・製法にこだわった様々なパ
内百貨店の洋菓子部門シェア１位を達成
ンをお届け。
・ハーバースタジオ43(本社・工場):兵庫県西宮市久保町5-16 ・横浜リバーサイドスタジオ(工場):横浜市港北区北新横浜2-1-1
事業所
・銀座オフィス(事務所):東京都中央区銀座2-8-20 ・シュゼット・インターナショナル:111 Somerset Road, #03-09, Singapore</t>
  </si>
  <si>
    <t>株式会社シュゼット・ホールディングス
1.長期成長ビジョン
・「使命(Misson)」 菓子と生きかたをつくる。
・「目指す場所／姿(Vision)」 世界のスイーツグランメゾンになる。
長期成長ビジョン（目指す姿・ビジネスモデル）
外発的動機▶「日本発の洋菓子文化」を世界へ
「厳しい経営環境」
「使命(Mission)」 菓子と生きかたをつくる。
・ 洋菓子業界ではケーキ店など「街の洋菓子店」の倒産が急増。2024
たったひとつのお菓子が、お客様を笑顔にし、幸せにする。創業のきっか
年度に発生した「洋菓子店」の倒産は過去最多を更新
けとなったその感動は、どんなに時代が変わっても揺らぐことのないわたした
・ 原材料や包装資材の仕入価格や水光熱費、物流コストの高騰、人
ちのお菓子づくりの原点です。
手不足など
そして創業から半世紀以上を経て、私たちは、お菓子が持つさらなる可
・ コンビニや大手洋菓子チェーン店などの安価なスイーツとの競争激化
能性に気づきました。
「事業領域の拡大」
・お菓子は、言葉の壁も国境も越えることができる。
・ 厳しい経営環境のなか、当社は創業以来、商品企画から販売に
・喜怒哀楽のすべてに寄り添うことができる。
至るまで一貫して自社プロデュースを行う体制を敷いており、
・地域や生産者が抱える課題までも解決することができる。
自社ノウハウを活用した高価値ブランド構築のためのコンサルティング事
・その人を想い、人生に寄り添ったお菓子を届けることで「生きかた」を
業等、さまざまな事業へと領域を拡大
もつくることができる。
「日本発の洋菓子文化を世界へ・ユニバーサルブランドの展開」
お菓子そのものだけではなくその先にある「こと」のためにお菓子はある。
・ 2014年にはシンガポールへ出店し、“日本発の洋菓子文化”を
食べる方の人生に寄り添い、生きかたをつくるお菓子を届けることこそ、私
アジア、欧米、世界へと発信するユニバーサルブランドの展開を目指
たちが最も大切にしていることです。
しています
「目指す場所／姿(Vision)」 世界のスイーツグランドメゾンになる。
内発的動機▶日本の「手わざ」を残しつつ、生産性を上げる
創業以来、長きにわたり「たったひとつのお菓子から、心ときめくシーンを
1969年、青い炎が印象的なデセール『クレープ・シュゼット』を提供する
演出する」という企業理念を掲げてきました。当グループは新たなビジョン
喫茶店として兵庫県芦屋市に誕生しました。
として「世界のスイーツグランドメゾンになる」を掲げました。グランドメゾ
創業から半世紀以上を経て、現在は４ブランド、国内100店舗、海
ンとは「大きな家」を意味する言葉。個性的なブランドが立ち並び、世界
外6店舗を展開しています。
中のあらゆる「生きかた」に影響を与える大きな家。そんな姿を目指して
洋菓子世界大会第1位のパティシエを有し、創業より「生ケーキはすべ
お菓子の可能性を信じ、広げ続けます。
て手作りにこだわる」など「世界最高峰の技術でお菓子文化を生み出す
コンソーシアム全体の売上成長目標（2024→2030年) 会社」として、日本の「手わざ（手作り）」を残しつつ、生産性を上げる
・売上高 84％増 という相反する課題に対応するため、製造工程や物流過程の最適化、
・売上高増加額 135億円増 製造設備やDX、販路拡大、これらを担う人への積極的かつ継続的な
コンソーシアム全体の賃上げ目標 成長投資を行い、100年先を見据えたお菓子作りを通じ、さまざまなシ
ーンにおけて忘れられない感動をお届けすることを使命(Misson)として
・5.1%（基準年度～事業化報告3年目の年平均）
成長を続けます。</t>
  </si>
  <si>
    <t>株式会社シュゼット・ホールディングス
1.長期成長ビジョン（参考資料）
【コンソーシアム構成企業】 株式会社シュゼット・ホールディングス(幹事企業)・株式会社スタジオ・シュゼット
▶ 創業50年を迎え、経営企画・管理部門と製造部門が一体となり、次の50年への更なる成長に向けた
大規模成長投資を実施する
［沿革］
●1969年 兵庫県芦屋市で15坪の喫茶店「アンリ・シャルパンティエ」を開店
アンリ・シャルパンティエ神戸そごう（現 神戸阪急）店を出店
●1975年
｢フィナンシェ｣を発売、代表商品となる。
●1980～ 百貨店（デパ地下）洋菓子の先駆けとして「デパ地下洋菓子業
90年代 界」を牽引
洋菓子製造工場「ハーバースタジオ43」 (当社では工場を「スタジ
●1997年
オ」と呼んでいる）竣工
●2000年代 駅・空港の交通系店舗(以下「駅ナカ」「空ナカ」という）に展開
海外出店1号店「シンガポール アンリ・シャルパンティエ デンプシーヒ
●2014年
ル店」を開店
トヨタ生産方式を導入、製造工程改善を繰り返し、生産性向上、
内製化、製造量増に成功
●2010～
（工場規模を拡大せずに製造売上1.7倍に）
20年代
代表商品「フィナンシェ」が年間販売個数世界一へ
（8年連続ギネス世界記録認定）
第18回クープ・デュ・モンド・ドゥ・ラ・パティスリーにおいて当社の駒居
●2023年
崇宏が団長を務める日本チームが世界1位となる
創業50年を迎え、次の50年への更なる成長に向けた大規模成長投資の実施
(幹事企業) 株式会社シュゼット・ホールディングス
本社:兵庫県西宮市久保町5-16 ［大規模成長投資の実施］
資本金:10,000,000円 従業員数:74名 ●2025～ 新工場（西宮浜工場、今津工場）建設
事業内容:経営企画、経営管理(総務・経理) 2027年 （更なる生産性向上、製造量増を図る）
資産管理 ●2030年 売上高297.1億円、労働生産性200％向上
［大規模成長投資内容］コンソーシアム合計投資額100.9億円
(参加企業) 株式会社スタジオ・シュゼット
西宮浜工場：焼き菓子製造、今津工場：生菓子製造
本社:兵庫県西宮市久保町5-16 株式会社シュゼット・ホールディングス ▶2工場(西宮浜・今津)建屋等建設
資本金:100,000,000円 従業員数:329名
(投資額95.9億円) ▶製造設備導入に伴う横浜工場改良
事業内容:洋菓子(焼き菓子・生菓子)の製造
株式会社スタジオ・シュゼット (投資額5.1億円) ▶製造設備導入</t>
  </si>
  <si>
    <t>株式会社シュゼット・ホールディングス
2.補助事業の概要
【大規模成長投資の概要】
大規模成長投資により、労働生産性を高め構造的な賃上げを実現する計画
▶ 「ヒト・モノ」への継続的な投資により、「日本発の製菓の「ラグジュアリーブランド」を確立する
• 主要事業への大規模な成長投資 ▶日本発の“洋菓子文化”を世界へと発信するユニバーサルブランド
補助事業の
事業費 104億円
構築に向け、コンソーシアム2社を含む当社グループ全体の持続的な成長に欠かせない大規模成長投
背景・目的
（補助額） （34億円）
資を行い、労働生産性向上と構造的な賃上げを実現する
【設備投資内容】
• 焼き菓子製造工場(西宮浜工場)と生菓子製造工場(今津工場)の新設
• 焼き菓子最新製造設備の導入
• 食用ゼリー最新充填設備の導入(横浜工場）
【投資内容と目的】
投資内容 投資目的 投資内容 投資額
設備投資の
・現工場床面積7,800㎡
内容 製造規模の拡大 →西宮浜工場10,000㎡
西宮浜工場 95.9
今津工場5,000㎡に拡大
今津工場の建設 億円
レジリエンス強化 ・製造工場の多拠点化
自社オリジナル
生産能力向上省力化 ・最新技術を導入した焼き菓子製造ラインの導入
5.1
最新型製造設備
億円
の導入 新商品製造 ・食用ゼリー最新型製造設備の導入
項目 コンソーシアム構成企業 2027年度（基準年度） 2030年度（基準年度＋３年後）
シュゼット・ホールディングス 1,261 1,383（年平均上昇率＋3.1％）
労働生産性
スタジオ・シュゼット 884 1,194（年平均上昇率＋10.5％）
（単位：万円/人）
2社合算 953 1,229（年平均上昇率+8.8）
シュゼット・ホールディングス 523 606（年平均上昇率＋5.0％）
従業員1人あたり給与支給総額 兵庫 339 392（年平均上昇率＋5.0％）
スタジオ・シュゼット
（単位：万円/人） 横浜 345 400（年平均上昇率＋5.0％）
2社合算 373 433（年平均上昇率＋5.1％）
目標値
シュゼット・ホールディングス - -
役員１人あたり給与支給総額 兵庫 - -
スタジオ・シュゼット
（単位：万円/人） 横浜 - -
2社合算 - -
シュゼット・ホールディングス 84 112（年平均上昇率＋10.1％）
補助事業に係る従業員数 兵庫 303 402（年平均上昇率＋9.9％）
スタジオ・シュゼット
（単位：人） 横浜 74 87（年平均上昇率＋5.5％）
2社合算 461 601（年平均上昇率＋9.2％）</t>
  </si>
  <si>
    <t>株式会社シュゼット・ホールディングス
2.補助事業の概要（参考資料）
【大規模成長投資の内容】 補助事業での設備投資（Phase1）と更なる設備投資（Phase2）を実行する
▶ Phase1+Phase2 での大規模投資により、大きく成長する事業基盤を確立する
• 製造工程の最適化・効率化を図ってきたが、需要増加等に対応し、持続的な成長を実現するための更な
る生産性向上・効率化、製造規模拡大を図る必要がある
• 現在のスタジオ(工場、本社)は定期借地上に建設されたものであり、2029年には契約が切れ、契約更新
大規模成長投資の必要性① が出来ない状況にある
• 工場が位置する西宮市には自然が醸し出す奇跡の酒造用水とされる地下水「宮水」が存在しており、厳
格な排水処理が求められているが、現在の排水処理施設の処理能力は上限に達している
• 製造設備の一部(オーブン)にアスベスト使用の古い機材が存在する
• 国内市場での百貨店(デパ地下)店舗でのトップポジションを堅持し、更なる成長のための交通系(駅ナカ・
空ナカ)店舗、EC販売強化、インバウンド需要取り込み等の成功戦略実現には製造規模拡大と省力化が
大規模成長投資の必要性② 必須な課題である
• 主力商品の「フィナンシェ」を軸とした新ブランド・新業態への進出を計画、焼き菓子製造ラインの製造能力
を高める必要がある
大規模成長投資
補助事業 更なる成長投資
Phase1での投資内容 投資目的 投資内容 投資額
・現工場床面積7,800㎡
製造規模の拡大 95.9
西宮浜工場・今津工場の建設 →西宮浜工場10,000㎡、今津工場5,000㎡に拡大
億円
レジリエンス強化 ・製造工場の多拠点化
生産能力向上省力化 ・最新技術を導入した焼き菓子製造ラインの導入 5.1
自社オリジナル最新型製造設備の導入
新商品製造 ・食用ゼリー最新型製造設備の導入 億円</t>
  </si>
  <si>
    <t>1.長期成長ビジョン 株式会社アダチ
当社は、市場拡大と競争激化を背景に、物流効率を高め提案力を強化することで顧客課題を解決する提案型企業へ進化する。
新倉庫を核に、効率化と高度な提案力を融合した高付加価値モデルを展開し、競合と差別化しながら安定成長を実現する。
長期成長ビジョン（目指す姿・ビジネスモデル） 外発的動機
【目指す姿（5～10年後における企業像）】 • 単身世帯、高齢世帯、女性の社会進出の増加による中食市場の
当社は、中食市場の拡大と競争激化を背景に、顧客現場に寄り添 拡大などを背景に、食品向け容器の需要が増加している。(富士経
い課題解決を進める提案型企業へ進化する。“色んな『包む』を提案 済グループの資料（外部リンクあり）)
する”理念のもと、多様な製品と最適な供給で顧客の成長を後押し • 国内の食品用包装市場は、2025年から2033年にかけてCAGR
し、信頼を築く。新倉庫は、その実現を推進する基盤となる。 （年平均成長率）4.62%で成長すると予測されている。 (imarc
の資料（外部リンクあり）)
【目指すビジネスモデル】 • 関西地域への新規出店のスーパーマーケットの増加（流通ニュースの
資料（外部リンクあり））
当社は、新倉庫を核に、物流効率化によるコスト削減と、専門人材
• 東南アジアの経済は拡大、特にベトナムの経済成長は大きい
による提案力を組み合わせ、顧客に高付加価値を提供するモデルを
（JETROの資料（外部リンクあり）)
展開する。
物流効率化：IoTとデジタル化で、精度とコスト競争力を高める。
提案力強化：独⽴した営業部と開発部門が連携し、現場課題に
応じた製品と解決策を提供する。 内発的動機
組織力向上：快適な職場と人材育成により、専門性と対応力を継
続的に高める。 • 当社は、“色んな「包む」を提案する”を企業理念とし、食品用包装
この仕組みにより、当社は顧客ニーズに応える付加価値提案で競合 資材、家庭用ごみ袋、日用雑貨、産業用什器備品等を扱ってきた。
と差別化し、安定した収益を確保するモデルを実現する。 • 国内の食品用包装資材の市場成長率が4%超えを維持している中、
競合他社との競争が激化しており、現状に甘んじれば、当社の売上
会社全体の売上成長目標（直近2024～2030年度） 高減少や大手競合他社に飲み込まれかねない。このため、当社の物
流の効率化、売上高増加、人員の拡充を目指す必要がある。
• 売上高増加額:7,833百万円
• 近年、関西地域へ新規出店を行うスーパーマーケット、東南アジアの
• 売上高成長率:14.3％（年平均成長率）
日系スーパーマーケット等からの取引打診が増えていることから、これら
一人当たりの賃上げ目標（基準2027～2030年度）
のスーパーマーケットを対象に新規取引を目指すこととした。
• 従業員:6.5% （年平均上昇率） • また、既存顧客（業務スーパー、スーパーマルハチ等）の店舗増加
• 役員:6.5% （年平均上昇率） に対応した物流の効率化による当社売上高増加を目指すこととした。</t>
  </si>
  <si>
    <t>.補助事業の概要 株式会社アダチ
2
本補助事業では、本社敷地内に鉄骨造・地上5階建の新社屋兼物流倉庫を建設し、供給力不⾜を解消し物流コス
トを削減する。これにより、安定した出荷体制を確⽴し、売上拡大と収支改善を実現する。
主要顧客の発注増と新規商談の進展により供給力強化が急務である。現行倉庫は能力 事業費 1, 736 百万円
補助事業の
不⾜でコストも増大している。物流効率化と専門人材による提案力・組織力向上を一体で （補助額） （ 409 百万円）
背景・目的
推進し、補助事業では、その中核となる新倉庫を建設する。
本補助事業では、本社敷地内に鉄骨造・地上5階建ての
新社屋兼物流倉庫を建設する。
• 敷地面積1,981.55㎡、建築面積1,335.74㎡、施工面積
4,812.18㎡とし、在庫集約と動線最適化を実現する。
• 本倉庫は、段階的に基幹システム導入と連携できる構造を備え、
第一フェーズとして供給体制強化を担う。 新社屋兼物流倉庫の外観イメージ図
設備投資の
• トラック接車効率・保管効率を考慮したレイアウトにより、外部倉庫
内容
依存を削減し、物流コストを低減する。
• 物流事務所・現場環境を改善し、人材定着に資する快適な職場
を整える。
これにより、供給力不⾜を解消し、外部倉庫依存を減らして物流コスト
を削減するとともに、安定した出荷体制を確⽴し、売上拡大と収支改
善を実現する。
新社屋兼物流倉庫の内観イメージ図
項目 基準年度（2028年度） 事業化報告3年目（2031年度）
（単
労
位
働
：
生
千
産
円
性
/人）
15,513
（年平均上
29
昇
,7
率
6
＋
8
24.3％）
目標値 従業員1人あたり給与支給総額 4,606
3,813
（単位：千円/人） （年平均上昇率＋6.5％）
役員１人あたり給与支給総額
-
（単位：千円/人） - （年平均上昇率＋6.5％）
補助事業に係る従業員数
55 75
（単位：人）</t>
  </si>
  <si>
    <t>株式会社コスモス食品
1.長期成長ビジョン
会社全体の売
上成長目標 「宇宙と自然の恵み・力・循環」を活かし、持続可能な未来の食文化を創造することを目指します。
（～XX年） 「環境負荷を抑えながら、安心・安全で美味しい食を世界へ届ける」使命を実践します。
• 売上高増加額
XX百万円
• 売上高成長率 長期成長ビジョン（目指す姿・ビジネスモデル）
外発的動機 25/07/22修正済
XX％
「食を通じて、未来の地球と人を守る」
• 持続可能な食品の需要増加：環境意識の高まりにより市場拡大。
• 健康志向の高まり
• 自社ブランド(CosmoSpark)商品を通じて、SPICEの様に、なくて ⇒無添加・発酵食品への関心増。
はならない会社となって、社会に貢献します。 • 食品業界も、限られた資源を循環させていく必要がある。
【記載にあたる留意事項】 • (フードロス削減) ×(持続可能な農業)×(環境負荷ゼロ）の製造技 • 世界情勢や気候変動による原材料供給の不安定化
• 長期成長ビジョンの最 術を融合し、次世代の食文化を創出します。 ⇒持続可能な食料供給システムの確立の必要性
終年度（5～10年後 • 人口減少に伴う国内市場の縮小と採用/雇用問題。
• 伝統 × 最先端技術 を融合し、「美味しさ・安全・持続可能性」を追
を任意で設定）におけ • アジア(海外)市場の急拡大。(インド/東南アジアの人口増、日本ブランド、円安）
求します。
る定量的な成果目標 • 日本は、低い食料自給率にもかかわらずプライスメーカーでなくなる。
をご記載ください *コ • 世界的な食糧問題への対応と持続可能な食文化のリーダーシップを
ンソーシアムの場合は 確立します。
可能な限り単体・連結
• Nature Future ブランドの海外進出を通じた持続可能な食品市場
双方の目標値をご記
を形成し、拡大します。 内発的動機
載ください。
• 直販施設(CosmoSpark(KOUBAIBU)) を通じた地域と世界の • フリーズドライ食品の市場拡大と国際展開へ始動
• 売上高成長目標につ
食産業との架け橋の構築を行います。 • 自動化の推進、DX化、AI導入による環境改善と人手不足解消
いては、
• 保存(Keep Fresh)技術を活用した低酸化食品の開発と設備補強
CAGR（年平均成長
• 食品前処理製造の自動化・効率化（洗浄、皮剥、発酵、抽出）
率）にて記載ください
• 直販施設(CosmoSpark（KOUBAIBU))を通じたバーチャルとリアルの両面での地域
連携強化
• 新型真空凍結乾燥機(New SF）の導入とレイアウト改良による生産性の向上
• 持続可能なフードシステムのためのエネルギー効率化施策
• 自社ブランド(Nature Future）の海外市場展開（北米・アジア・欧州）とパートナー
シップ構築
• 新型自社製FD機の開発、海外工場展開と現地生産の確立
私たちは、「宇宙と自然の恵み・力・循環」を活かし、世界の食
会社全体の売上成長目標（～2030年） の未来になくてはならない存在になるべく、これらの技術と理念
• 売上高増加額3,706百万円
を実現していきます。
• 売上高 年平均成長率 10.02％</t>
  </si>
  <si>
    <t>株式会社コスモス食品
.補助事業の概要
2
・海外でのRTE食品市場の伸長が望める中で、事業を拡大していくために、RTE商品生産に特化した設備導入及び製品倉庫の拡充を実施する。
・手作業を機械に置き換え省力化することで、従業員の労働負荷軽減、作業効率の向上、ランニングコスト軽減を実現し賃上げを実施する。
・海外市場に対応した設備の増強。(認証取得）
コンソーシアムの場合、
• マーケットの成長トレンドが見込める中、自社ブランドを中心としたRTE商品の事業の拡大。 各2社5/毎07に/ス22ラ修イド正作済成
• 既存設備での、生産体制での製造量の限界。 （株式会社XXXX）
補助事業の • 人手不足解消と、従業員の満足度向上と定着のためには、持続的な賃上げの実施が必要不可欠。
• 食を通じて地域になくてはならない企業になる。（地域雇用、地域食材の仕入れ、安全な商品作り）
背景・目的
• 自動化/省力化を実施することで、労働負荷軽減、生産効率・収益性向上を実現。 事業費 1, 百万円
684
• 見える倉庫で、地域貢献 直販アンテナショップの礎に。
（補助額） （ 百万円）
392
• 海外市場に対応した設備の増強(認証取得)。
250725
＜建屋改修 耐震工事＞ 売上再考
修正必要なし
・製品倉庫拡充⇒外部倉庫費用の軽減、作業導線の最適化。
・RTE製品出荷場の新設⇒直販業務の内製化を実現。
＜製造設備増設＞
・真空凍結乾燥機増設⇒製造能力40％増。
・CO2冷媒使用の冷凍/冷蔵庫更新⇒ランニングコスト30％減。
設備投資の ＜製造機器/システム更新＞
写真等
内容 ・直販自動倉庫⇒省力化、見せる倉庫の実現。
・半自動搬送台車⇒人員での搬送作業負荷を軽減し、人員数半減。
・包装不良検査機(カメラ)⇒目視検査の人員を削減。
・生産管理システム更新⇒管理業務のDX化を実現、脱属人化。
上記投資の実現により、大幅な省人化、省力化が可能になる。
項目 基準年度 事業化報告3年目
（単
労
位
働
：
生
千
産
円
性
/人）
11,310
（年平均上
14
昇
,9
率
84
＋9.8％）
目標値 従業員
（
1
単
人
位
あ
：
た
千
り給
円
与
/人
支
）
給総額 6,042
（年平均上
7
昇
,84
率
7
＋9.1％）
役員１人あたり給与支給総額
-
（単位：千円/人） - （年平均上昇率＋4.5％）
補助事業に係る従業員数
159 164
（単位：人）</t>
  </si>
  <si>
    <t>1.長期成長ビジョン 奥伊吹観光株式会社
宿泊型総合リゾートへの転換で観光産業の新たな成長モデルを確立する。「日帰り」から「滞在型」に転換するためスキー場内に
宿泊施設を建設し顧客単価を増加させるとともに地域経済を牽引する。
長期成長ビジョン（目指す姿・ビジネスモデル） 外発的動機
• インバウンド市場の急成長
■「2070年地域のこどもたちにスキーを」
• 鉄道、陸路とも大都市圏（京阪神・中京・北陸）からの
・地域資源を活かした観光と環境保全の両立を図りながら
良好なアクセス
持続可能な観光産業の新たな成長モデルを確立する
• スキー人口の構造変化
・「通過点」から「目的地」への転換を図り地域経済を牽引 • 都市観光＋雪体験の需要増加
する • 雪無し国（東アジア・東南アジア）からのインバウンド客
増加
• 滋賀県北部では宿泊施設が少なく日帰り観光客が9割
■長期ビジョンの実現に向けた事業戦略
を占めている
・スキー場内に50室・定員118名の宿泊施設を新設し、
客単価を現状7,500円から10,000円へ向上させる。宿
泊客単価45,000円/人を実現。自動チェックインシステム
内発的動機
導入により効率的な運営を図り、インバウンド対応として英
• 滋賀県北部の観光振興と地域活性化を牽引
語・中国語対応スタッフを配置。グランピング施設との連携
• 成長を続けるスキー場運営実績により来場者数の増加
で通年型リゾートへと発展させる。
• 宿泊施設を保有しておらず日帰り客のみとなっており顧客
・地域DMO・自治体と連携し地域一丸となって観光客の 単価が7,500円程度で頭打ちとなる
誘致を図る • 将来的に商圏人口は減少するため当社のみならず地域
の産業の衰退が危ぶまれる
・奥伊吹モデルの完成によりM&amp;Aを実施
• 宿泊施設を保有し「奥伊吹モデル」を完成させ全国に展
会社全体の売上成長目標
（2024年9月期～2030年9月期） 開する
• 売上高増加額7,320百万円
• 売上高成長率31.3％</t>
  </si>
  <si>
    <t>.補助事業の概要 奥伊吹観光株式会社
2
6階建て50室・定員118名の宿泊施設と自動チェックインシステム等を設置。冬季150日、グリーンシーズン120日の運営で年間稼働率72％を目
指す。インバウンド客をメインターゲットとし、京都・大阪の外国人観光客に「都市観光＋雪体験」という新たな観光スタイルを提案する。
• 滋賀県湖北地域は「高訪問者数・低収益」という課題がある。年間25万人の来場者数がある当 事業費 2,0 94 百万円
補助事業の
社が宿泊施設を保有し「量」から「質」への転換を図る。奥伊吹モデルを完成させるとともに地域を （補助額） （670百万円）
背景・目的
力強く牽引する。
◆宿泊施設（仮：グランスノーホテル）（20億円）
・客室数：6階建て50室・定員118名
・稼働 ：冬季150日、グリーンシーズン120日
・概要 ：インバウンド客を中心に宿泊型スキー場として展開する。
京都・大阪圏を中心としたインバウンド客に対し「観光＋体験」を提供。
・効果 ：宿泊客の増加により客単価の向上を見込むことができる。
グランエレメントの支配人・従業員を配置することで通年雇用体制を強化する
▲ホテル完成イメージ
設備投資の ◆自動チェックインシステム・自動精算システム（1千万円）
内容 ・概要：人を介さずチェックイン・精算を行う
・効果：フロント業務の省力化・効率化
フロントのチェックイン業務は受付やご案内がメインとなりアルバイトスタッフでも十分
対応が可能となる。
フロント業務が単純化されることにより利用者の待ち時間も短縮することができる。
導入にあたっては多言語対応機を予定している。
■運営人員：30名（繁忙期は50名）を予定しておりグランエレメントの従業員をスイッチ
自動チェックイン機・自動精算機システム
する
の構成イメージ
項目 基準年度 事業化報告3年目
労働生産性 41,836
（単位：千円/人） 31,158 （年平均上昇率＋10.3％）
目標値 従業員1人あたり給与支給総額 5,906
4,808
（単位：千円/人） （年平均上昇率＋7.1％）
役員１人あたり給与支給総額
14,613
（単位：千円/人）
12,515
（年平均上昇率＋5.3％）
補助事業に係る従業員数
50 56
（単位：人）</t>
  </si>
  <si>
    <t>.補助事業の概要 奥伊吹観光株式会社
2
宿泊単価30,000/人と設定し、稼働率により売上計画を策定した。夏季はイベント開催時の宿泊を見込むとともにイベント開
催時以外では避暑客の利用を見込んでいる。
【補助事業の概要】
【冬季】5か月：150日の運営 【夏季】4か月：120日の運営
2028年 2029年 2030年 2028年 2029年 2030年
9月期 9月期 9月期 9月期 9月期 9月期
稼働率 80％ 85％ 88％ 稼働率 60％ 60％ 60％
売上高 売上高
424,800,000 451,350,000 467,280,000 254,880,000 254,880,000 254,880,000
夏季には駐車場や広大な敷地を活用してイベントを開催している。
毎回、500人～8,000人の来場者数の実績がある。
モーターイベント コスプレ撮影会
2025年
野外音楽フェスティバル</t>
  </si>
  <si>
    <t>1.長期成長ビジョン 瀬戸内海印刷株式会社
・取引先のニーズに応え得る生産体制と技術力向上により、環境負荷の低減と当社の持続的な成長を両立
・従業員が誇りをもって働ける環境を整え、従業員の力を成長ドライバーとして地域に貢献できる企業を目指す
取引先ニーズに応え得る増産体制の整備 外発的動機
Vision
１ • 主要取引先の大手お菓子メーカーを中心とした受注で手一杯と 製品の需要拡大に伴う増産の必要性
なっており、増産体制の整備が喫緊の課題
・現状、主要取引先からの受注でほぼフル稼働の状態で、更なる需
• 取引先のニーズに応え得る万全な生産体制を整えるとともに、
要増加に十分に応えられていない状況
新規取引先の開拓を強化し、更なる成長を目指す
・当社の持続的な成長のためには、増産体制を整え、主要取引先か
絶え間ない商品開発力の追求 らの増産要請に応えるとともに、多様化する軟包装パッケージ市場
Vision
の需要を見極め、新たに開拓していくことが必要不可欠
2 • 主要取引先との食品パッケージの共同開発の経験から、薄さや
耐久性に対する技術・ノウハウを保有 環境負荷低減に向けた意識の高まり
• 更なる環境負荷低減に向け、薄さの追求とリサイクル可能なモ
・持続可能な社会の実現に向けた取組みが広がっており、パッケー
ノマテリアル軟包材の研究開発を進め、市場競争力を高める
ジ市場においても、省エネ・省資源の推進や、フィルムのリサイクル対
応、環境に配慮した製品など技術的な対応が求められている
地域雇用のモデル企業としての進化
Vision
3 • 当社の従業員は全て正社員での雇用 内発的動機
• 最新鋭の設備導入により省人化・省力化を進め、休日の増加や
労働時間の短縮と従業員の賃上げ実施を計画 従業員の就労環境を改善したい！
• 今後も「職場環境の魅力化」につなげ、「従業員が誇りをもって
・社長就任後、工場移転時や困難な場面等、さまざまな経験を通じ
働ける職場」を作っていく
て、最後に会社を支えてくれるのは「人」だと痛感
目 標 ・次の世代へと会社を成長させるのは、従業員の力だと認識してお
り、従業員が安心して働くことができて、安定した収入を得て、それを
会社全体の売上成長目標(2023～2030年度)
地域の消費につなげていく好循環に寄与することが、会社の存続意
売上高成長率：282.8％ (CAGR：16.0％)
義だと感じている
売上高増加額：71.3億円
・従業員の業務負荷の軽減と働きがいの向上、ダイバーシティの推進
会社全体の賃上げ目標(2023～2030年度) による従業員の多様化、福利厚生の充実による定着率向上やワー
クエンゲージメントの向上を図ることで、従業員の力を会社の将来を
1.95%（直近事業年度～基準年度）
創っていく成長ドライバーとしていきたい
8.14%（基準年度～事業化報告3年目）</t>
  </si>
  <si>
    <t>.補助事業の概要 瀬戸内海印刷株式会社
2
・既存工場隣地に第二工場を建設。最新のグラビア印刷用機械装置等を導入し、増産・生産性向上を図る
・併せて、環境負荷の低い製品や付加価値の高い製品の研究・開発に注力し、当社の総合力を高める
【背景】 (1) 取引先からの増産要請への対応と当社の持続的成長に向けた投資の必要性
(2) 環境規制や原材料価格などの外部環境変化
補助事業の 事業費 4,3 百万円
【目的】 (1) 増産体制の整備と技術・生産性向上：増産体制による取引先の成長戦略の確実な下支え 80
背景・目的 （補助額）（1, 百万円）
と、最新鋭の自動化設備による技術力と生産性向上 360
(2) 付加価値の高い商品開発：環境負荷を低減する機能性フィルムや多機能ラミネート開発に
よる、既存商品の付加価値向上及び新規取引先開拓
【実施内容】 印刷工場の新設 ＜外観イメージ図＞
【実施場所】 広島県広島市佐伯区石内北（敷地面積 4,455㎡）
【設備内訳】 【建物概要】
・建物 2,118百万円 用途：印刷工場
・機械 2,253百万円 規模：地上4階建
設備投資の
計 4,371百万円 面積：延べ床面積 5,280㎡
内容
【投資効果】
 生産能力の飛躍的な向上(既存設備と併せて現行の約2.5倍)
 最新鋭の自動化設備等の導入による省力化・省人化、人材再配置
及び製造スピード・柔軟性の向上
 開発力向上により唯一無二の商品を提供、取引先の成長戦略へ寄与
項目 基準年度 事業化報告3年目
労働生産性 44,423
18,038
（単位：千円/人） （年平均上昇率＋35.0％）
従業員1人あたり給与支給総額 7,758
目標値 5,967
（単位：千円/人） （年平均上昇率＋9.1％）
役員１人あたり給与支給総額 -
（単位：千円/人） - （年平均上昇率＋7.0％）
補助事業に係る従業員数
60 7
（単位：人） 6</t>
  </si>
  <si>
    <t>株式会社光洋
1.⾧期成⾧ビジョン
創意、熱意、奉仕の精神をモットーに、医療・健康・福祉に関わる総合企業として一人ひとりの気持ちに寄り添っ
た、モノづくりやサービスの提供を通して社会に貢献する
⾧期成⾧ビジョン（目指す姿・ビジネスモデル） 外発的動機
• 日本は世界でも類を見ない超高齢社会へ突入し、2050年には高
介護・医療の現場のお役に立ち続けるオンリーワン企業へ 齢者人口がピークを迎えると予測されている
• 超高齢社会においては、介護人材不足・地域医療体制の限界・
介護人材から選ばれる企業 在宅介護の重圧など、医療・福祉の現場にはかつてない構造課題
 幅広いサービス提供により、超高齢社会到来における介護現場の が顕在化
重い業務負担といった社会課題への解決手段を提供 • 特に現場における排泄介助や物品管理の負担は深刻であり、単な
るモノの提供ではなく、「業務を減らす」「人を助ける」製品・サービ
在宅・地域ケアの支援
スが求められている
 在宅介護市場への製品・サービスを強化し、介護対象者の生活
• 病院から在宅への移行や地域包括ケアの推進により、家庭や地域
の質改善はもちろん、介護人材の負担軽減まで配慮したサービス
を支える製品・仕組みへのニーズが急速に高まっている
提供により、地域包括ケアシステムを支える
高付加価値化の推進
内発的動機
 センサー付き紙おむつ等の科学的排泄ケア推進により、高付加価
値化を推進し、世界中で高齢社会を支える基盤となる
• 当社は創業以来、「排泄で悩まない社会をつくる」ことを使命とし、
病院や施設の現場で日々働く医療・介護従事者や、患者・利用
会社全体の売上成⾧目標（～2031年2月期） 者・その家族の声に真正面から向き合ってきた
• 売上高年平均成⾧率8.6％
• 院内売店等を通じて病院業務の裏側まで支えてきた経験から、「モ
• 売上高増加額246億円
ノを売る」だけでなく、現場課題を解決するサービスの重要性を痛
会社全体の賃上げ目標
感
• 2.4%（直近事業年度～基準年度）
• 現場起点で開発してきた数々の製品（前後どちらでも履けるおむ
• 6.5%（基準年度～事業化報告3年目）
つ等）やサービス（リネンレンタル等）を通じ、「社会課題に本質的
に寄与できる企業でありたい」という強い意思を持つ</t>
  </si>
  <si>
    <t>株式会社光洋
2.補助事業の概要
新関東工場建設により生産能力を大幅に増強すると共に、新設備による30％の生産性向上や倉庫自動化、
国内物流効率の向上などにより、労働生産性の大幅向上を実現する
補助事業の • 既存工場は製造キャパシティが限界に近づきつつあり、需要に対して生産が追いつかない状況 事業費 5,191百万円
背景・目的 • 人手不足や一部設備老朽化から生産効率が低く、物流コストも利益を圧迫 （補助額） (1,134百万円)
新関東工場建設による生産能力強化・生産性大幅向上と中⾧期成⾧基盤の確立
【具体的な投資内容】
① 新工場建屋建設（18.8億円）
埼玉に新設する新工場を東日本の生産・物流拠点とすると共に、センサー付き
紙おむつ量産体制確立と研究開発ラボ併設による次世代製品開発推進
② 効率化設備導入（30億円）
設備投資の 従来マシンの1.3倍のスピードで稼働可能な高速マシンの導入と、資材・製品搬
内容 送の自動化設備導入、センサー付き紙おむつ量産体制確立
【補助事業により見込まれる効果】
• 生産拠点新設による生産キャパシティの大幅増
• 高速マシンの導入による生産性の従来比30％向上
• 搬送自動化による倉庫部門の生産性33％向上
• 最大マーケットである関東圏内に生産拠点を設けることによる物流効率化
項目 基準年度 事業化報告3年目
労働生産性 28,579千円/人
14,658千円/人
（単位:千円/人） （年平均上昇率＋24.9％）
従業員1人あたり給与支給総額 6,418千円/人
目標値 5,313千円/人
（単位:千円/人） （年平均上昇率＋6.5％）
役員１人あたり給与支給総額 -
-
（単位:千円/人） （年平均上昇率＋5.0％）
補助事業に係る従業員数
176人 214人
（単位:人）</t>
  </si>
  <si>
    <t>株式会社群馬コイケ
1.長期成長ビジョン
・ 大手依存から脱却すべく、成長市場への販売強化および海外展開を推進し、独自の価値創造を目指す。
・ 価格ではなく品質・対応力で選ばれるポジションを確立し、安定的な収益構造を構築する。
・ 現場・営業・経営の連携を強化し、環境変化に適応しながら持続的な成長を実現する。
長期成長ビジョン（目指す姿・ビジネスモデル） 外発的動機
・客先製品の競争力向上に貢献するため、品質管理と原価低減の徹底
が強く求められている。
メガトレンド
・プラズマ切断機の受注急増に対応し、生産対応力の強化が
・造船業界の活況により、切断機のニーズが急増。 急務となっている。
・受注拡大によるプラズマ切断機の需要が加速。 ・顧客と連携した開発体制のもと、マーケットインの新製品開発を
・自動化、省力化、無人化の流れを受けて、新製品開発が活性化。 主体的に推進したい。
・環境負荷や労働環境への配慮が重視されている。
新工場により生産性と供給力を高め、競争力ある部品供給体制を
目指す姿とビジネスモデル 確立する。
伸長する造船業界向け部品の安定供給と、原価の最適化を同時に
・切断機関連部品の需要増に対応するため、生産能力と生産性
実現する。
を高めた新工場を建設する。
小池酸素工業との共同開発を深化させ、海外拡販を加速する。
省力化、デジタル化した新工場で生産能力を拡大。
客先（小池酸素工業）に隣接した立地により、新製品開発に
即応できる体制を整え、マーケットイン型の製品開発へシフト。 内発的動機
小池酸素工業と連携し、造船業界など成長分野での販路拡大 ・客先である小池酸素工業の部品製造部門として、さらなる品質向上と原
とグループ全体の競争力強化を図る。 価低減を行う。
・切断機部品の独立メーカーとしての自負を持つ一方、価格競争での
淘汰リスクを認識。
・活況を呈するプラズマ切断機部品の需要の高まりに対応し、部品供給の
会社全体の売上成長目標（直近決算～2030年度） 体制を整備。
2024年度 2226百万円➨2030年度 5196百万円 ・マーケットインの視点で新製品開発を強化し、切断機の交換部品の分野に
• 売上高増加額2970百万円 おける「KOIKE」ブランド（グループのブランド）の強みを活用。
• 売上高成長率15.2％ ・イミテーション品との価格競争に埋もれないために、付加価値創出に
注力する。</t>
  </si>
  <si>
    <t>株式会社群馬コイケ
.補助事業の概要
2
・溶断機・切断機の要となるノズル火口の生産拡大へ対応。工程集約技術を活用し、クリーンで効率的な溶断
機・切断機部品の生産設備への大規模な投資を行う。
補助事業の • 溶断機、切断機部品事業に特化した新工場の設置 事業費 1612百万円
背景・目的 • 販売連携及び生産効率化のため、従来設備と比較して大型の生産設備の導入 （補助額） （ 百万円）
403
• 補助事業で導入する建物・設備等建物及び建物附属設備
経費項目 名称 投資額 労働生産性
・新規工場設立・小池酸素工業（完成
品）の隣接に建設により、サイクル短縮
新規プラント建設 10.8
と開発効率化。
建物費 （千葉県土気工 億円
・従業員の再配置、レイアウト最適化、
場）
設備投資の
作業環境改善により労働生産性を向上
土気新工場 機械設備 ノズル・火口拡大
内容
を実現する。
自動旋盤 ・省力化設備導入に伴う工程集約実施
自動盤バーマシン 5.3 ・生産工程の自動化により労働生産性
機械装置 洗浄機 億円 を向上
費 （環境対応） リース ・製品の高付加価値化
共同 ・時間あたり出来高増加し労働生産性
自動検査機
を向上
項目 基準年度 事業化報告3年目
労働生産性 13,782
5,511
（単位：千円/人） （年平均上昇率＋35.7％）
目標値 従業員1人あたり給与支給総額 5,938
4,848
（単位：千円/人） （年平均上昇率＋7.0％）
役員１人あたり給与支給総額 ー
ー
（単位：千円/人） （年平均上昇率＋ー％）
補助事業に係る従業員数
67 103
（単位：人）</t>
  </si>
  <si>
    <t>株式会社クボテック
1.長期成長ビジョン
• 拡大する半導体製造装置需要に対応すべく岩手県奥州市に新工場を建設する
• 積極的な賃上げにより奥州市での雇用を創出し、地域の発展に貢献する
長期成長ビジョン（目指す姿・ビジネスモデル） 外発的動機
• 「半導体製造装置」「社会インフラ用装置」「一般産業用装置」の • 当社の主要製品である半導体製造装置向け制御盤が大きく影響
を受ける半導体の市場は、年平均成長率5～11％で成長すると
3分野で事業を展開してきた当社は、世界的な半導体市場の拡
言われている。主要取引先各社が半導体市場におけるシェアを維
大に伴って更なる成長を実現する。
持するのであれば、当社への要求も同じ成長率で増加すると言える。
• 岩手県奥州市に新工場を建設し、製造キャパシティを2倍に拡大
する。奥州市の新工場建設を機に既存の神奈川県の工場を含め • 半導体業界ではサプライチェーンの最下流にGAFAMがいることなど
からも、ゼロカーボンや多様性に対する要求が高い。
た製造体制を整理し、半導体製造装置事業に偏った状況を見直
して社会インフラ用装置、一般産業用装置事業の売上も成長さ
せることを目指す。
• 半導体という新しい時代を象徴する技術を支える、新しい時代の
内発的動機
企業として、ゼロカーボンなどのサステナブルな製造体制の実現、生
産性向上、多様な人材に活躍してもらうためのLGBTQ+の取り組 • 代表取締役の窪嶋は1997年に当社に入社、新たに半導体製造
みを推進し、取引先に信頼を得ながら、技術革新と環境変化に 装置向け制御盤の受注を実現させ、当時従業員約50名だった当
対応できる企業体質を確立して着実に成長する。 社を3倍以上の規模に成長させてきた。半導体製造装置の市場規
模の成長はまだまだ続くと確信している。
会社全体の売上成長目標（～2029年）
• 2012年の社長就任後にビジョン策定と人事制度見直しを行い、
• 売上高増加額4,691百万円
従業員の内発的動機によってより良い会社になるよう努めてきた。
• 売上高成長率17.8％
従業員主導のプロジェクトから環境保護やSDGsの取り組みが実現
されている。</t>
  </si>
  <si>
    <t>株式会社クボテック
.補助事業の概要
2
• 岩手県奥州市に半導体製造装置事業向けの新工場を建設する
• 半導体製造装置向け制御盤の売上を伸ばすことで、賃上げを実現する
• 半導体製造装置市場の拡大に伴って半導体製造装置向け制御盤の引き合いが増加してい
補助事業の 事業費 1, 百万円
る。現在の神奈川県伊勢原市を中心とした当社の工場ではこの需要にしっかりと応えることが 387
背景・目的 （補助額） （ 百万円）
できない。 338
• 2020年度に「いわて半導体関連産業振興ビジョン」を策定し、半導体関連産業の 【工場内部のイメージ】
企業誘致に積極的な、岩手県奥州市の広表工業団地に半導体製造事業向け
の新工場を建設する。
• 制御盤製造では広いスペースに制御盤の躯体となる箱を置き、内部にケーブルなど
設備投資の の部品を組み上げていく。このため、大掛かりな工作機械などは必要としない。
内容
• 2018年、2021年、2024年と神奈川県伊勢原市で工場を増設してきたノウハウ
を活かし、最適な製造環境を整える。
項目 基準年度 事業化報告3年目
労働生産性 46,613千円/人
9,727千円/人
（単位：千円/人） （年平均上昇率＋68.6％）
目標値 従業員1人あたり給与支給総額 4,944千円/人
3,818千円/人
（単位：千円/人） （年平均上昇率＋9.0％）
役員１人あたり給与支給総額 -
-
（単位：千円/人） （年平均上昇率-%）
補助事業に係る従業員数
11人 39人
（単位：人）</t>
  </si>
  <si>
    <t>株式会社ヤマキ食品
1.長期成長ビジョン
漬物製造業界で先駆的な役割を担ってきた当社は、今後ICTや自動化設備の導入により、地域資源を活かした高付加価値商品の多品種少量
生産に対応していく。これにより農業の担い手育成やフードロス削減といった社会課題の解決と、事業収益性の向上の両立を実現し、持続可能な
ビジネスモデルとして業界全体のロールモデルとなることを目指す。
長期成長ビジョン（目指す姿・ビジネスモデル） 外発的動機
・少子高齢化に伴う国内農業人口の減少により、漬物業界全体で安
当社は、地域農業と連携した高効率・高品質な製造体制の構築
定的な原料調達が年々困難になってきている。また、同業他社の撤
を通じて、健康志向や簡便志向など多様化する消費者ニーズに応え
退・廃業が相次ぐ中、需要が一部の特定事業者に集中する構造が
る商品を安定的に供給してきた。
加速している。
今後は、ICTや自動化の導入、地域資源の活用、独自技術による
・一方で、消費者の間では健康志向や簡便志向の高まりが続いており、
高付加価値化をさらに推進し、持続可能なビジネスモデルのもと、業
減塩・無添加・小分けパック製品といった高付加価値商品のニーズが
界のロールモデルとなることを目指す。
拡大している。
・こうした社会的変化は、地域農業と連携した持続可能な食品製造
【重点方針】
モデルの構築を目指す当社にとって、今後の成長を加速させる絶好の
• 非加熱カップ詰め漬物のパイオニアとして、全国へ高品質商品を安
機会であると捉えている。
定供給
• ICT・自動化導入による省人化・多品種少量生産の体制を確立
• 地域農業と連携した原料調達力と、地域資源活用による独自商
品開発力 内発的動機
• ISO22000取得・独自技術による高付加価値商品の差別化
・代表者自身が当地域で生まれ育ち、農業の衰退と人口減少が密
• 農業の担い手育成・フードロス削減等、社会課題の解決と事業収
接に結びついている現実を、長年にわたり目の当たりにしてきた。「農業
益性の両立
を持続可能な産業として成り立たせることで、地域の未来を支えたい」
という強い思いこそが、当社のビジネスモデルの原点である。
会社全体の売上成長目標
・加えて、地元農家との信頼関係を築く中で、収穫機の貸与による省
(直近決算2023～2030年度)
力化支援や、若手農家の育成といった取り組みを実践してきた。こうし
• 売上高増加額2,439百万円 た経験を通じて、「ものづくり」と「地域共生」を両立できる経営の可能
• 売上高成長率12.7% (CAGR) 性を確信しており、これを次世代につなぐ長期ビジョンとして描いている。</t>
  </si>
  <si>
    <t>株式会社ヤマキ食品
.補助事業の概要
2
本事業では、既存工場の生産能力では対応しきれなかった需要に対応すべく、最新の自動化設備を備えた新工場を建設し、工程全体の最適化
を図ることで生産能力の大幅な向上と省人化を実現する。生産能力の強化と合わせて契約農家との連携も強化することで、地域雇用の創出と持
続的な事業成長を目指す。
漬物業界は市場縮小や中小事業者の撤退が進み、安定した供給体制の維持が一層難しくなっている。当社でも、
既存工場の生産能力では増加する需要に十分対応できず、持続的成長の阻害要因となっていた。こうした課題に
補助事業の 対応するため、本事業では新工場の建設と最新設備の導入によって生産体制を抜本的に刷新し、供給力の強化、 事業費 2,9 百万円
94
背景・目的 省人化、高効率化を一体的に実現する。あわせて、小ロット・短納期など多様化する顧客ニーズにも柔軟に対応でき （補助額） （ 百万円）
736
る体制を構築し、契約農家との連携強化やPB商品の展開による販路拡大を通じて、地域雇用の創出と持続的な
事業成長を目指す。
■新工場
・設計費・監理費 2,800,000千円 ※設備投資金額については、3社から見積提案を
・設置一式 153,970千円 いただき、価格面、スペック面を検討した結果から
計画している。
2,953,970千円
■設備投資の内容
設備投資の 本事業では、既存工場の老朽化や非効率な生産体制を抜本的に刷新すべく、最新の自動化設備を備
内容 えた新工場を建設し、生産能力の大幅な向上と工程全体の最適化を図る。特に、加工・包装・仕分け・出
荷の各工程における自動化を徹底し、省人化と高効率化を同時に実現する。また、カップ詰めや個包装な
ど少量多品種への柔軟な対応が可能な設備構成とすることで、短納期・小ロットなど多様な取引ニーズに
応える体制を確立する。これにより、限られた人員でも生産量・納品量の大幅な拡大が可能となり、労働生
産性と安定供給体制の一層の強化が期待できる。さらに、契約農家との連携拡大にも柔軟に対応できる 新工場イメージ図
生産キャパシティを確保し、持続的成長の基盤を構築する。
項目 基準年度 事業化報告3年目
労働生産性
6,886 14,22 （年平均上昇率＋27. ％）
（単位：千円/人） 7 4
目標値 従業員1人あたり給与支給総額 3,670 4,433（年平均上昇率＋6.5％）
（単位：千円/人）
役員１人あたり給与支給総額
（年平均上昇率＋6.5％）
- -
（単位：千円/人）
補助事業に係る従業員数
105 120
（単位：人）</t>
  </si>
  <si>
    <t>杉プラスチック工業株式会社
1.長期成長ビジョン
・市場トレンドを敏感に察知し、飲料・食品向けプラスチック容器の新たな価値を創造する製品開発に注力していく
・当社の成長を通じ、従業員の賃上げ・雇用促進・地域経済の活性化・サーキュラーエコノミーへの貢献を実現する
長期成長ビジョン（目指す姿・ビジネスモデル）
〈基本方針〉
プラスチック容器の成形メーカーとして、さらなる多様化や高性能化への対応に加え、プラスチック製品の環境問題に対応した
「サステナビリティ×品質」の両立を掲げ、プラスチック容器の価値創造を通じて循環経済(サーキュラーエコノミー)へ貢献する。
〈重点戦略〉
1. 今までにない価値を創造する製品開発 2. 生産体制の大幅強化によるシェア拡大
当社の強みは大手メーカーが参入しにくいプラスチック容器の多品種少量 清涼飲料水の生産量は増加しており、そのうちペットボトル容器は79%を
生産であるが、更なる価値創造に向けて、他企業や異業種との共同開 占め年々シェアを高めている。容器素材がガラスや缶からペットボトルに変化
発を積極的に進め、他社が追随できない新たな製品開発を目指す。 している現状を好機ととらえ、生産体制の強化によるシェア拡大を実現する。
3. 環境に配慮したプラスチック容器製品の推進 4. 生産工場のスマートファクトリー化による付加価値の向上
ペットボトルは、食料品や飲料物など品質を守る容器包装として、重要 第一工場の一部と第三工場の機能を集約した新工場にてプラスチック容
な役割を担う一方、製造から廃棄に至るまで多くの資源エネルギーを消 器・プリフォーム製造のスマートファクトリー化を行い、従業員の負担を削減し、
費する。当社はSDGs等に対応した製造工程・製品の浸透を目指す。 ワクワクする労働環境を整え、さらなる付加価値を生みだす。
〈売上成長目標〉
■2030年度の会社全体の売上高成長率268.6%増 ■2030年度に会社全体の売上高増加額42.42億円
外発的動機 内発的動機
1. 差別化に向けた生産要望の多様化・高性能化が続く顧客ニーズ 1. 次の50年に向けて顧客から選ばれる価値ある製品を創造し続けたい
2. 容器素材のガラス製や缶製からペットボトルやフィルム製への変化 2. 生産体制の強化を進め、取引先からの発注量増加要請に応えたい
3. プラスチック資源循環促進法や大阪ブルー・オーシャン・ビジョンの実現 3. 持続可能なビジネスモデルを追求し、地域社会に貢献したい
4. 今後の労働人口減少の懸念による省力化・省人化の高まり 4. ワクワクする製造業を目指し、従業員の満足度向上と賃上げを実現</t>
  </si>
  <si>
    <t>杉プラスチック工業株式会社
.補助事業の概要/補助事業内容と投資内容
2
・総額14.7億円の設備投資により、マーケット状況にあったプラスチック容器・プリフォームの製造を可能とする
・本事業により、労働生産性は年平均26.3%、一人当たり給与支給総額は6.6%の上昇を見込む
■背景・目的：①プラスチック容器・プリフォームの生産量拡大 ②環境配慮型製品の開発強化 ③自動化による生産性向上
補助事業の
■課題：①工場内のスペースが足りず、生産量を拡大すると保管スペースがひっ迫し稼働が停止する
背景・目的 事業費 20 億円
②環境に配慮した製造体制で進めたいが、築50年以上の建物かつ所有する旧式設備では難しい
③今後の労働人口減への対策が挙げられるなか、設備が古く目視作業が多いため効率性が低い (補助額) (4.9億円)
新工場 製造設備 検査装置
IPS射出成形機 リークテスター×3台
(キュービクル・コンプレッサー等含む)
投資内容
課題①～③に対応 課題②～③に対応 課題③に対応
プラスチック容器とプリフォームを PETプリフォームの製造に特化し これまで目視検査による手間や検
設備投資
製造する新工場を建設する。 た設備。従来、人の手が掛かっ 査の数値化の困難さから非効率
による主な
保管スペースを広く確保すること ていた取り出し、組立、検査の だった検査工程を、リークテスターに
解決方法
ができるため、生産量を拡大し 自動化を可能とし、省力化・省 よる高感度差圧センサーにより検査
ても理想的な稼働が可能となる。 人化による生産性向上に寄与。 の数値化・自動化を可能とする。
項目 2027年度（基準年度） 2030年度（事業化報告3年目）
（単
労
位
働
：
生
千
産
円
性
/人）
7,397
（年平均上
1
昇
4,8
率
9
＋
9
26.3％）
目標値 従業員1人あたり給与支給総額
4,704
5,699
（単位：千円/人） （年平均上昇率＋6.6％）
役員１人あたり給与支給総額
-
（単位：千円/人） - （年平均上昇率＋6.6％）
補助事業に係る従業員数
106 112
（単位：人）</t>
  </si>
  <si>
    <t>株式会社タンケンシールセーコウ
1.長期成長ビジョン
・創業以来約70年に渡りカーボン技術を活かした製品を製造している当社は、生産能力および付加価値向上
を通じて、ニッチトップメーカーとしての確固たる地位を確立し、2031年3月期に売上高128億円を達成する
当社の概要 外発的動機
• 半導体やペロブスカイト太陽電池等の高機能フィルム等の分野
• 世界で唯一、メカニカルシールメーカーとしてカーボン部品を内製
• 創業以来約70年に渡りカーボンの加工技術やノウハウを蓄積 では、歩留まり・生産性向上等を目的とし、高性能かつ信頼性
①メカニカルシール事業…流体漏れを防ぐメカニカルシールを製造 の高いカーボン製品が求められている
②PCP事業…無数の孔をもつ多孔質カーボン製品を製造
③カーボン事業…カーボンリング等の各種カーボン製品を製造 • 石油等の産業プラントで使用されるメカニカルシールは、稼働安
定性に直結する重要部品であり、更なる付加価値向上が期待
長期成長ビジョン（目指す姿・ビジネスモデル）
されている
• カーボン技術を通じて培った知見と信頼を活かし、社会
• 脱炭素・環境配慮型社会の進展に伴い、ペロブスカイト太陽
課題の解決に資する事業展開を推進する
電池等の新領域が注目されており、このような社会的要請に応
える企業姿勢が期待されている
• シールメーカーとして、カーボン技術を駆使したメカニカル
シール製品の高度化と、保守・運用等のアフターサービス
内発的動機
の更なる強化を通じて新たな価値を創造する
• 創業者の「技術は兵器ではなく、人々の安全と安心のために
活かすべき」との理念のもと、社会に貢献する技術開発を使命
• ペロブスカイト太陽電池をはじめとする高機能フィルム分
としてきた
野において、生産技術に革新をもたらす多孔質カーボン
の供給体制強化を通じ、国内先端分野の技術革新を
• 石油等の産業プラントにおける流体漏れが重大事故に繋がるこ
支えるニッチトップとしての地位を確立する
とに強い危機感を抱き、カーボン技術を活用したメカニカルシー
ルの開発・普及を通じて安全運転連続操業のサポートに取り組
会社全体の売上成長目標（2025/3～2031/3）
んできた
• 売上高増加額：6,443百万円 （6,379→12,822百万円）
• 売上高の年平均成長率（CAGR）：12.3％ • 半導体や太陽電池等の先端分野でのカーボン製品需要が急
増しており、供給体制強化に向けた設備投資が必要であると
の認識に至った</t>
  </si>
  <si>
    <t>株式会社タンケンシールセーコウ
.補助事業の概要
2
半導体・フラットパネルディスプレイ・ペロブスカイト太陽電池等、成長が著しい各種分野におけるカーボン製品の
需要拡大に対応すべく、大規模投資を通じて当社のカーボン材の生産能力を飛躍的に向上させる
補助事業の • 主力のシール製品向け摺動材に加え、成長市場向けカーボン製品の受注増加に対応するため 事業費 4, 百万円
181
背景・目的 生産能力の増加と省力化を兼ね備えた生産体制を確立する （補助額） （1, 百万円）
269
①伊那新工場の建設（投資額：3,644百万円） ②カーボン材の各種生産設備の導入（投資額：628百万円）
• 当社は国内に３か所の生産拠点を有するものの、生産能力 • 設備導入により、カーボン材の生産能力を倍増する（従来比）
は既に限界を迎えている • これまで手動で行っていたカーボン材製造工程の自動化・省力化
• 長野県伊那市に新工場を建設することで、生産能力を増強 を通じて、労働生産性の向上に繋げる
させる
＜伊那新工場の完成イメージ（予定）＞ ＜WET CIP装置＞ ＜乾式CIP装置＞
設備投資の
内容
基準年度 事業化報告3年目
項目
(2028年3月期） （2031年3月期）
労働生産性 23,050
11,873
（単位：千円/人） （年平均上昇率＋24.7％）
目標値 従業員1人あたり給与支給総額
7,292
8,735
（単位：千円/人） （年平均上昇率＋6.2％）
役員１人あたり給与支給総額
-
（単位：千円/人） - （年平均上昇率＋6.2％）
補助事業に係る従業員数
250 272
（単位：人）</t>
  </si>
  <si>
    <t>株式会社キィポーション
1.長期成長ビジョン
国内地方菓子製造業との機能分化・連携強化での「総合ODM流通加工業者」への事業高度化にて揖斐郡池田
町を中心とした岐阜県西濃地区での年商10,000百万円企業へのステップアップを実現する。
○岐阜県における交通インフラ網を活用した国内、特に後継者難、人手不足で悩む地方菓子製造業者と国内大手流通業者との機能分化・連携を強化す
ることでの国内外菓子市場への流通網拡大により、全国菓子製造業の全国展開、及び海外進出を支援する。
○当社自身も包装加工業者から流通加工業者へのステップアップ、製品安定供給に向けた生産・物流拠点の整備、独自技術として磨き上げてきた包装
機改造ノウハウを活用した生産設備充実化にて、岐阜県揖斐郡池田町内・西濃地区内での女性中心の雇用創出への貢献を当社自身の成長に繋げる。
長期成長ビジョン（目指す姿・ビジネスモデル） 外発的動機 （詳細はスライド8参照）
• 国内菓子製造業者における製品マッチング機能のみでなく、当社内でのロースト、味付 ○成長のために捉えていく事業機会
けなどの追加加工実施による川下流通業者（菓子問屋、小売業等）における商品差別化 • 食品加工業者である当社・地域菓子製造業者にとっての経済産業
ニーズを捉えたプライベートブランド製品提供能力を強化 省「グリーン成長戦略」、農林水産省「みどりの食料システム戦
 単なるOEM包装加工業者から「製品企画・設計、包装、保管・流通」までをワンストッ 略」でのサプライチェーン各段階での食品産業支援の充実化。
プで対応する新たな「総合ODM（Original Design Manufacturing）流通加工業者」へス • 国内市場での多品種小ロット化進行での問題解決に繋がる農林水
テップアップすることで競合他社との差別化要因を強化 産物・食品の輸出額拡大、2024年、過去最高1兆5,073億円記録等、
日本製食品への高い信頼性を背景とした世界的需要の高まり。
• 過去の包装加工業進出時より当社独自に包装機メーカーとノウハウを蓄積してきた最新
包装技術を用いた製造能力強化と岐阜県内・東海エリアにおける交通インフラを活用し • 成長に不可欠となる人材確保における年収の壁段階的撤廃気運の
高まりでの働きたい女性増加を受けた当社の拠点でる池田町にお
た流通機能強化による国内外製品流通網の整備。
ける雇用促進活動の活発化。
 川上業者である国内、特に地方中小・小規模菓子製造業者における市場拡大・安定供
○成長のために回避していく脅威
給網提供による地方中小・小規模菓子製造業者のサステナビリティの強化支援。
• 当社の収益性・生産性低下の要因となる国内人口減少での国内菓
• 地元揖斐郡池田町内、西濃地区にて「製品企画・設計、包装、保管・流通」といった多 子市場縮小、一般消費者のトレンド、製品ライフサイクル短縮化。
様な仕事を女性に提供することで人手不足といった外部環境に依存しない組織力の強化。
• 地方菓子製造業者での製品ライフサイクル短縮化への対応のため
 大規模成長投資と池田町と連携した地域女性雇用促進と人材育成にて安定した生産・事 の設備投資負担拡大、後継者不足による事業縮小、撤退の加速化。
業運営での安定成長を目指す。
内発的動機 （詳細はスライド10参照）
○売上成長目標 ○強みの更なる強化による成長に繋がる受注の獲得
【2030年6月期（事業化報告3年目）における会社全体の売上目標】 • 国内A社からのナッツ類ロースト加工受注、及び国内B社、C社か
会社全体の売上目標：9,603,625,177円 らの海外輸出事業本格参入要請など、「製品企画・設計、製造、
（基準年度である2027年6月期よりCAGR32.84％成長、＋5,507百万円増加） 保管・流通」までを一貫して対応する当社サービス機能でのこれ
 2025年6月期（決算試算）までに3,841百万円へ伸長させた売上高を、川下業者へのプ までに無い市場拡大・加工技術拡大での課題解決機会の獲得。
ライベートブランド製品企画・開発・提案力・製造能力強化にて成長する海外市場へ ○成長に向けて解決する弱みの顕在化
の規模の経済性発揮による総合流通加工サービス拡大での売上拡大を目指す。 • 9工場体制での工場分散化による移動のムダ、高コスト化にて包
○会社全体の1人当たり賃上げ目標 装機改造ノウハウを生かし切れていないことでの売上成長の鈍化
【直前事業年度（2024年6月期）～基準年度（2027年6月期）：CAGR5.43％】 を中心とした売上持続性・生産性・健全性・効率性・安全性での
【基準年度（2027年6月期）～事業化報告3年目（2030年6月期）：CAGR5.73％】 弱みの顕在化。
 基準年度まで人員増加17人（2025年6月期6人増）にて給与支給総額CAGR10.31％成長を • 作業員時給段階的引き上げも年収の壁を意識した勤務時間短縮化、
図るとともに、補助事業必要人員として追加雇用35人での合計165人体制とすることで、 これによる人手不足による生産能力強化の限界、人材の確保難で
基準年度から事業化報告3年目までに給与支給総額CAGR14.28％成長を実現する。 の企画・開発・生産管理人材など成長に必要となる人材の不足。
4</t>
  </si>
  <si>
    <t>株式会社キィポーション
2.補助事業の概要
包装加工から流通加工へ、国内市場から海外市場へのシフトによる国内菓子製造業との機能分化・連携強化に
よる年商10,000百万円企業へのステップアップの実現へ向けた生産体制整備事業
○国内菓子製造業者製品のマッチング、当社内での追加加工による川下流通業者（菓子問屋、小売業等）へのプライベートブランド製品提供能力強
補補補助助助事事事業業業ののの 化、海外市場への本格参入、製品供給能力強化での受注量拡大・高収益化による売上持続性・生産性・効率性の改善
概概概要要要  既存5工場の集約化、海外進出には必須となるFSSC（※）取得新工場建設、高効率包装ライン整備を中心とした大規模投資の実施と、揖斐郡池田町と
連携した池田町を中心とした西濃地域からの新製品開発、生産管理、海外展開人材採用・育成による地域を22世紀に向けて牽引していく企業となる。
○海外市場での日本ブランドの菓子需要拡大、川下業者におけるプライベートブランド開発ニーズ拡大を捉えた受注
量拡大・高収益化による売上持続性・生産性・効率性の改善が、10,000百万円企業を目指すうえでの当社全体での 事事業業費費 37億円
補補補助助助事事事業業業ののの 経営課題 （（補補助助額額）） （9.1億円）
背背背景景景・・・目目目的的的  工場集約化でのムダ排除、国内市場での多品種小ロット化進行に対応しながら、海外市場向け製品の大ロット生産によ
る高効率化にて製品1単位製造当りトータルコスト低減化により、収益性の高い国内外市場向け製品加工サービス事業
の主力事業化に取り組む。
【課題解決手段・労働生産性向上策】
本事業にて集中するミック
• 生産性低下の一因となっている工場分散化解決のため5工場を集約化した集中管理体制のもとで、コンプライアン ス品など製品加工サービス
ス体制強化、情報セキュリティ管理体制強化に取り組むことで10,000百万円企業を目指すうえでの組織力を強化。 の一例
• 総合ODM流通加工業者としての国内外への製品提供能力拡大、規模の経済性発揮での生産性・収益性改善のための
設設設備備備投投投資資資ののの 高効率ラインでの集中生産体制の整備、製造能力強化
内内内容容容 • 旧工場を個別受注先への定温倉庫としての貸出による災害が少なく交通インフラが充実した岐阜県の強みを活か
した物流拠点機能の強化
• 揖斐郡池田町との連携人材採用・育成モデルをロールモデルとする継続的地域人材確保・人材育成の実行
【設備投資の内容】 ①ムダ排除・管理能力強化のための5工場を集約化したFSSC取得新大型工場の取得
②国内外流通網拡大と収益性・生産性向上のための高効率生産化に向けた専用ラインの整備
2026年度 2029年度
項目
（基準年度） （基準年度＋３年後）
労働生産性 15,331,462円
6,025,906円
（単位：円/人） （年平均上昇率＋36.5%）
目目標標値値 従業員1人あたり給与支給総額
3,740,890円
4,518,969円
（単位：円/人） （年平均上昇率＋6.5%）
役員１人あたり給与支給総額 -
-
（単位：円/人） （年平均上昇率＋4.5%）
補助事業に係る従業員数 146人
90人
（単位：人） （年平均上昇率＋17.5%）
（※）FSSC（Food Safety System Certification） ：食品安全システム認証であり、食品の安全性を確保するための国際規格を指す。</t>
  </si>
  <si>
    <t>株式会社ピカソナチュラルズ
1.長期成長ビジョン
当社はピカソ美化学研究所グループの一員として、世界に「Made In Japan」の高品質な化粧品を安定供給
可能な体制を構築し、「グループ内の海外事業の中核、世界と日本を繋ぐ架け橋となる」ことを目指す。
長期成長ビジョン（目指す姿・ビジネスモデル）
外発的動機
【目指す姿】 ◼ 化粧品需要の拡大
◼ グループ全体： メンズコスメ、ジェンダーレス市場などが新市場として顕在化。化粧品の
⚫
⚫ 「Made In Japan」の高品質な化粧品を世界に届ける ニーズが多様化している
◼ ピカソナチュラルズ： 中国・ASEAN諸国では、人口が多いかつ化粧品の購買力が急伸
⚫
⚫ グループ内の海外事業の中核、世界と日本を繋ぐ架け橋となる ⚫ 韓国では大韓貿易投資振興公社(KOTRA)が、化粧品の輸出を推奨
支援し、輸出量が急伸している
【ビジネスモデル】 高品質な日本製化粧品を求め、当社に海外からの引き合いが増加。生
⚫
◼ 事業領域の拡大 産キャパシティ拡大が求められている
当社に製造機能を拡充し、ピカソ美化学研究所グループの海外事業
⚫
の中核を目指す ◼ 自然災害増加への対応
- 長野県（駒ヶ根市）に工場を建設し、山間部の自然環境を活か 近年地震や豪雨などの自然災害が発生しており、安定供給のためのリスク
⚫
した「Made In Japan」の高品質な化粧品を製造。駒ヶ根市の ヘッジが必要（客先からの要求も発生）
立地を活かし、主に需要が増加している海外販売の拠点にする ⚫ 足元稼働している神戸工場、横浜工場は沿岸部に位置し、老朽化して
- 駒ヶ根工場では特に海外需要の高い化粧品バルク製造を主とする いるため、災害時の供給リスクが高い
見込み
内発的動機（経営者の動機）
◼ 商品の安定供給体制の構築
新工場の設立により、グループ全体で生産性向上及びBCP強化を図り、 ◼ 世界に高品質な「Made In Japan」商品を展開する
⚫
今後の人手不足や自然災害へ対応。予期せぬ問題が発生しても、安 ⚫ 当社グループは創立90年の歴史より、長年で培われた技術力及び開発
定した供給を実施することが可能な体制を構築する 営業・研究開発・生産・品質保証の一貫体制を強みとして保有
ピカソナチュラルズとしては、今後、営業・企画、販売に加え、製造機能を
⚫
会社全体の売上成長目標（2030年6月期 売上目標：160億円） 保持し、事業効率をあげるかつ顧客ニーズを取り入れた高品質な
◼ ピカソナチュラルズ 「Made In JAPAN」商品をもって、世界で勝負したい
⚫ 売上高成長率：55％ ⚫ 将来的には、アジア各国の企業で自社商品が使われる状態を目指す
売上高増加額：149億円
⚫
◼ 商品の安定供給体制の強化
グループの売上目標（2030年6月期 売上目標：371億円） 人手不足は業界内の共通課題である中、省力化に取り組み、グループに
⚫
◼ グループ全体 長年で培われた技術を活用することで、顧客が求める商品の安定的な供
売上高成長率：20％ 給を実現する
⚫
⚫ 売上高増加額：213億円 ⚫ バルク製造は災害罹災時の復旧難度が高く、グローバルの化粧品市場へ
の展開にあたっては、BCP強化を行うことは社会責務となる</t>
  </si>
  <si>
    <t>株式会社ピカソナチュラルズ
.補助事業の概要
2
今後の需要拡大、将来的な人手不足に対応するため、長野県駒ヶ根市に最新設備を備えた新工場を建設する。
これにより、労働生産性+27%/年 、従業員の労働負荷軽減、賃上げ（7.6%/年）を図る。
（2027年6月期～2030年6月期）
◼ 国内のみならず、海外市場からも「Made In Japan」の高品質な化粧品の需要が高まり、当社への引き 事業費 59 億円
合いが増加しているが、自社グループの生産設備が不足。補助事業を通し、海外市場向けの量産化体制 （補助額） （ 億円）
補助事業の背 19
を構築する他、グループ全体のBCP強化（安定供給）を図る
景・目的
◼ 将来的な人手不足が懸念されるため、製造プロセスにおいては最新設備の導入により省人・省力化を図り、
長期的に労働者が不足しても持続的に事業を行える体制の構築を行う
◼ 設備投資の内容
工場建設費 41億円：長野県駒ヶ根市に工場を建設
機械設備費 23億円：大型の化粧品バルク釜、原料投入機械、自動倉庫、自動搬送ロボット等
◼ 期待効果
生産量増加
⚫
- 大型の化粧品バルク釜を設置し、 新たに約27,000L分の化粧品バルクの仕込みを可能
設備投資の にする
内容 ⚫ 労働生産性の向上
- 原料投入機械、自動倉庫、自動搬送ロボットの導入により、従来必要としていた作業人
数から1/3に削減可能
⇒ 将来の労働人口の減少対策として省力化を実現。
労働負荷軽減により、快適な作業環境を構築することで人材定着につなげる
海外市場への販売強化
⚫
- R&amp;D施設を設置し、アジア市場にむけた製品の処方開発と販売機能の強化を図る
2027年6月期 2030年6月期
項目
（基準年度） （基準年度＋３年後）
労働生産性 7,360
3,568
（単位：万円/人） （年平均上昇率＋27.3％）
従業員1人あたり給与支給総額 920
目標値 738
（単位：万円/人） （年平均上昇率＋7.6％）
役員１人あたり給与支給総額
-
（単位：万円/人） - （年平均上昇率＋7.5％）
補助事業に係る従業員数 62
11
（単位：人） (+51人)</t>
  </si>
  <si>
    <t>株式会社中村畜産
1.長期成長ビジョン
大規模成長投資により、地域経済活性化への貢献と食肉加工卸売分野でのポジション強化を実現する。
内発的・外発的の成長動機を明確化し、 CAGR18.3%成長による208億円の売上増加を目標としている。
外発的動機
長期成長ビジョン（目指す姿・ビジネスモデル） • 少子高齢化等による労働力不足が深刻化し、食品製造業全体
で労働生産性向上のための自動化・省力化の必要性が高い
• 食肉加工分野でのリーディングカンパニーへ：
自動化設備の導入と倉庫兼牛肉2次加工専門の工場の新設
• 食品スーパーなど最終納品先の中食需要増加や人手不足により、
により、多様な食肉加工に対応できる生産能力と品質の両面で
調理工程簡略化ができる食肉のニーズが拡大している
業界をリードする企業へと成長
• 消費者の食の安全・安心への関心や食品ロス削減の高まりに対応
• バリューチェーン全体の最適化を実現： するため、トレーサビリティ確保と品質管理の強化が求められている
調達から加工、物流までの各段階を最新のテクノロジーで効率
化し、コスト削減と品質向上を両立させる食肉サプライチェーンの
• サプライチェーン全体の強靭化が国の政策として推進されている
モデル企業へ
• 地域経済・雇用への貢献を果たす： 内発的動機
設備投資による収益力強化を通じて従業員の賃金向上を実現
• 広く世の中に自社の品質の良い食肉を供給したい。供給力向上の
し、地域経済の活性化と雇用の安定に貢献する企業市民として
ためには加工数量増加に向けた加工体制の再構築が必要
の役割を果たす
• 食肉加工における多様化や加工の専門性を高め、作業効率の
会社全体の売上成長目標（～2030年度）
向上と経費抑制による労働生産性向上を実現したい
• 売上高増加額：20,836百万円(最新決算期比)
• 枝肉の保管能力強化によって、調達から加工、販売までの一貫管
• 売上高成長率(CAGR)：18.3％
理体制を強固に構築し、サプライチェーン断絶リスクを軽減したい
• 高い賃上げ等によって従業員の満足度を向上させ、当社で長く
活躍できる機会を創出し、地域や社会との繋がりを強化したい</t>
  </si>
  <si>
    <t>株式会社中村畜産
.補助事業の概要
2
食肉2次加工ニーズ増に対応する新倉庫兼工場と自動化設備等への30億円投資を実行。労働生産性59%
向上と賃上げ7.5%を実現する成長基盤を構築。物流アクセス良好な立地で効率的な加工体制を確立する。
• 近年、食品スーパーの総菜製造簡便化や加工担当の人手不足を背景に、食肉(特に牛
肉)の2次加工の引合いが増加している。しかし、現在の加工体制では仕入の食肉保管ス
補助事業の ペースの都合や加工能力不足により、引合いへ十分に対応できていない。 事業費 2 , 138 百万円
背景・目的 • 補助事業にて、食肉加工に必要な自動化設備等導入と2次加工専用の倉庫兼工場を （補助額） （ 712 百万円）
建設し、食肉加工の増産体制を構築する。補助事業による増産体制構築によって売上拡
大を図り、上澄みした収益を元手に従業員の賃金上昇や地域経済活性化に貢献する。
１．食肉倉庫兼工場の建設 ※投資金額：26.8億円(冷凍機・冷蔵機の設置含む)
・SRC造3階建て ・建物延床面積：約2,436㎡(737坪)
・倉庫スペース：1階（仕入の牛肉枝肉と牛肉製品の保管)、2階（牛肉製品の保管）
・作業スペース：1階（牛肉の2次加工専用スペース）
設備投資の ・管理スペース：3階（食肉加工における生産管理や在庫管理等の管理業務実施）
内容
２．食肉加工の自動化設備等とトレーサビリティシステム導入 ※投資金額：3.2億円
枝肉懸垂レール、カットコンベア・搬送コンベア、シュリンカー、真空包装機、
金属探知機、製函機・梱包機、エアーコンプレッサー、フォークリフト、保管ラック、
牛個体識別管理ソフト（固体識別、仕入出荷管理、請求書管理等）等
▲新倉庫兼工場の1階平面図
①保管スペースの拡充により戦略的な仕入・在庫管理が可能になる • 補助事業実施場所は国道4号線に面しており、車で10分の
設備投資の 距離に浦和ICがあるため、物流アクセスにも優れている。
②食肉加工のボトルネック解消により、増産要請や取引拡大に対応できるようになる
効果 • また、本社工場とも車で6分の距離に位置しており、本社工場
③2次加工における全体工程の大部分を自動化・効率化により生産性が向上する との迅速な連携も可能である。
基準年度 事業化報告3年目
項目
(2027年度) (2030年度)
労働生産性 45,711
11,314
（単位：千円/人） （年平均上昇率＋59.3％）
目標値 従業員1人あたり給与支給総額 5,264
（単位：千円/人）
4,238
（年平均上昇率＋7.5％）
役員１人あたり給与支給総額
-
（単位：千円/人） - （年平均上昇率＋6.0％）
補助事業に係る従業員数
48 62
（単位：人）</t>
  </si>
  <si>
    <t>1.長期成長ビジョン/当社が目指すべき長期成長ビジョンと重点戦略 株式会社コハラ
機械商社事業とのシナジー効果を見込むロボットシステムインテグレーション事業を中核としたビジネスモデルへ変化
ロボット等自動化設備導入を促進するNKラボにより集客・営業面で差別化を図る
長期成長ビジョン（目指す姿・ビジネスモデル）
機械商社からロボットシステムインテグレーション事業を中核とした自動化・省力化・省エネソリューション提供企業へと変革し、地
場の食品工場をはじめとした基幹産業の労働生産性向上と高付加価値化を支援するパートナーとして、地域とともに共存共栄
する企業を目指す。
〈重点戦略〉
• 検証拠点「NKラボ」を核とした顧客体験価値の最大化 • ロボットSIer事業による事業ポートフォリオの転換
展示会による集客から検証・実証・技術講習までを一貫して提供できる 既存の機械商社事業とのシナジー効果を最大化しながら、高付加価
体制を構築し、顧客の投資リスクを最小化しながらロボット導入の効果 値事業であるロボットSIer事業を中核事業に育成し、2035年までに売
を最大化する独自の顧客体験価値を創出する。 上高100億円以上を達成する事業ポートフォリオへの転換を実現する。
• スモールスタート導入支援による地域製造業のDX推進 • システム開発部の強化による技術資産の蓄積と形式知化
地域の食品工場など従来自動化が難しかった製造現場に対し、AIやロ 熟練エンジニアの知見やノウハウを形式知化し、組織的に活用できる仕
ボット技術を活用したスモールスタートの導入支援を行い、職人技の継 組みを構築するとともに、DX人材の採用・育成を強化し、変化の激しい
承や労働力不足に悩む地域産業の持続的発展に貢献する。 技術環境に適応できる組織基盤を確立する。
〈売上成長目標〉
■2030年度の会社全体の売上高136.8億円 うち ロボットSIer事業27億円規模に成長
外発的動機 内発的動機
深刻化する人手不足 創業100年の継承と挑戦
産業用ロボット市場の拡大 焼津商工会議所会頭の使命感
食品工場の自動化ニーズの高まり 熟練技術者の知見継承
政府によるDX推進政策 子会社実証による手応え</t>
  </si>
  <si>
    <t>株式会社コハラ
2.補助事業の概要
太陽光発電システムを設置するモデル社屋により新しいエネルギー循環を提案する
社屋内にロボット等展示会場、ロボット等の実証拠点（NKラボ）、研修スペースを完備する
集客から実証、商談まできめ細かな対応が行えるため顧客満足度の高い投資を実現する
【背景】深刻化する人手不足に直面する地域製造業・食品工場に対して、単なる機器販売では
なく根本的な課題解決のためのロボットSIer事業を強化する必要がある
補助事業の 事業費 1, 618 百万円
【目的】展示会、検証拠点等の整備により、ロボットシステムインテグレータ事業を強化し、機械商
背景・目的 （補助額） （488百万円）
社事業とのシナジー効果を創出することで売上高100億円を実現し、地域産業の生産性向上に
貢献する
【投資内容：モデル社屋の本社建設】
• 太陽光発電システムを設置した本社
• NKラボ、展示会場、セミナールーム、商談スペース、本社機能を集約
• 顧客の集客・実証・商談・教育を一貫して行える拠点として機能
【投資内容：実証用ロボット設備類】
• 大型ワーク搬送や重量物に対応するAMRやロボット類の設置
設備投資の
• 搬送や検査システムなどの生産設備の前後工程を含めた検証環境
内容
• カメラ、画像処理、センサー、協働ロボット、グリッパなど多様な検証機器
【労働生産性の向上：営業プロセスの効率化】
「専門テーマ展示会→NKラボ検証→商談→成約」の一貫した営業サイク
ル構築。1拠点集約による移動時間削減と顧客対応の効率化
実機検証による成約率向上で営業コスト削減
設備写真はイメージ
項目 基準年度 事業化報告3年目
（単
労
位
働
：
生
千
産
円
性
/人）
12,426
（年平均上
2
昇
6,1
率
0
＋
5
28.1％）
目標値 従業員
（
1
単
人
位
あ
：
た
千
り給
円
与
/人
支
）
給総額 5,675
（年平均上
6
昇
,95
率
3
＋7.0％）
役員１人あたり給与支給総額
-
（単位：千円/人） - （年平均上昇率＋7.0％）
補助事業に係る従業員数
（単位：人） 74 86</t>
  </si>
  <si>
    <t>株式会社ユタカ
.補助事業の概要
2
・既存の南吉田工場の隣地に新工場を新設し、『旋盤』加工の大幅な増産体制の構築と技術革新を実現
・ドッグイヤーの速さで技術革新が進む顧客の市場の中で、最新鋭設備の導入で幅広いニーズ変化に応える
【背景】 ・ 半導体業界を中心に産業用機械部品需要の飛躍的な拡大と多様化が見込まれる
なか、サプライヤーには高い旋盤加工技術が求められている
・ 一方で、求められる加工精度等に対応できるサプライヤーは全国的に数少なく、当社へ
補助事業の 事業費 1,61 百万円
3
の引き合いが増加しているが、ニーズに対して現在の工場設備では生産余力はない
背景・目的 （補助額） （53 6 百万円）
【目的】 ・ 旋盤設備集約と複合機導入により生産効率・能力の向上と新規受注拡大を目指す
・ DX認定事業者として、最新鋭設備のﾃﾞｼﾞﾀﾙ技術を用いた人材育成・技術承継
・ 生産効率の向上による働き方改革および人材の確保・定着の推進
■『旋盤』工場の新設と設備導入、既存ラインの集約
・以下の事業戦略のもと、既存の南吉田工場の隣地に新工場を新設 ＜新工場イメージ図＞
(1)生産能力の飛躍的な向上
• 最新鋭設備の導入を行い製造ラインを拡充 【新工場】
• 既存工場の旋盤加工ラインを集約し、無駄を排除、生産能力を飛躍的に向上 ※イメージ
南吉田工場
設備投資の (2)省人化と効率化
(既存)
内容 • 複合加工機を導入し、多台持ち生産体制を整備することで省人化を実現、
生産性向上と従業員のウェルビーイングを高め、人材の確保・定着を促進
• デジタル技術を利用した設備の稼働管理(故障防止)による効率化
(3)最新鋭設備と技術革新・開発の強化によるビジネス拡大
• 大型部品をミクロン単位で加工可能な複合旋盤設備を導入し、製品・技術の枠
の拡大ときめ細かい対応を通じて、最先端の産業での市場競争力を拡大
項目 基準年度 事業化報告3年目
労働生産性 23,668
10,686
(単位：千円/人) （年平均上昇率＋30. 4 ％）
従業員1人あたり給与支給総額 5,734
4,681
目標値 (単位：千円/人) （年平均上昇率＋7.0％）
役員１人あたり給与支給総額
-
(単位：千円/人) - （年平均上昇率＋7.0％）
補助事業に係る従業員数
197 207
(単位：人)</t>
  </si>
  <si>
    <t>池田薬品工業株式会社
1.長期成長ビジョン
組織の若返りと基盤技術の更なる高度化での超高齢化社会に向けた医療用皮膚炎向け軟膏・クリーム、高薬理
活性ステロイド製造への特化による「薬都とやま」での22世紀を目指した安定成長・安定雇用創出を実現する。
○超高齢化社会での高齢皮膚炎症患者数増加に対応した付加価値の高い医療用皮膚炎向け軟膏・クリーム、高薬理活性ステロイド製造への選択と集中に
より、低迷してきた売上持続性、収益性、生産性、効率性を改善しながら年商5,000百万円突破を目指していく。
○生産自動化・生産プロセスDX化推進、及び多能工化による多工程持ち化の推進での人材内部育成・富山県中新川郡での安定雇用の創出・給与支給総額
の拡大に繋げていき、22世紀を目指した地域とともに成長する企業となる。
長期成長ビジョン（目指す姿・ビジネスモデル） 外発的動機 （詳細はスライド8参照）
○成長のために捉えていく事業機会
○超高齢化社会での高齢者皮膚炎患者増加の中で、近年続いてきた薬価下落に伴う外用剤製造業
者減少を事業機会とした選択と集中での安定した受注量確保、売上増加率向上 • 弱みである収益力改善に向けた高齢化社会進展に伴う高齢者
皮膚炎患者の増加に対して製造業者が数少ないことでの主力
→基盤技術の更なる高度化での主力受託先依存体質から脱却するため、医療用皮膚炎向け軟膏・クリー
花形製品における基礎的医薬品への指定での高単価化。
ム、及び高薬理活性ステロイドなど競合が少なく付加価値の高い医薬品分野へシフトし、現状、28.0％
と良化した売上増加率を更に向上することでの安定した成長を目指していく。 • A社依存での売上持続性伸び悩みの中、皮膚炎患者増加に伴
う保湿性の高いB社向け分散・乳化型医療用皮膚炎向けクリー
○外用剤製造における基盤技術である温度・粘度管理技術力を利用した薬物溶解型、分散・乳化型
ム需要量拡大に伴う増産要請の獲得、分散・乳化型製剤製造
製剤の製品製造能力・工程管理能力強化による基盤技術・製品QCDの更なる高度化
技術といった未活用技術再活用機会の獲得。
→競合他社に負けない製造環境、機械メーカーと連携した製造機器委託開発での製造能力のほか、DX化
○成長のために回避していく脅威
による工程管理能力強化での製品1単位製造に必要となる生産コスト低減化での現状、営業利益率
3.4％の収益面での弱みを克服する高収益化を達成。 • 高齢化社会も総人口減少見込みによる国内医薬品市場の将来
のシュリンク化、医療費高騰を受けた将来的な更なる薬価下落
○地域医薬品製造人材不足の中でも、業界団体、ITベンダー等との連携強化によるUターン、Jター
リスク減少予測による経営改善に向けた専門人材不足の拡大。
ン人材確保と内部人材育成での人手不足といった外部環境に左右されない生産体制・会社全体の
組織力強化 内発的動機 （詳細はスライド10参照）
→人材育成と働きやすい職場環境整備による特に女性が「働きたい職場づくり」の推進により、Uターン、J ○強みの更なる強化による成長に繋がる受注の獲得
ターンを希望する「薬都とやま」での医薬品製造を目指す若手人材、大手薬品メーカー等OB人材の積 • 薬物溶解型、分散・乳化型製剤の複数の外用剤製造に対応し
極的雇用による開発・製造人材、品質管理人材、経営管理人材の確保での強固な経営体制を構築。 た基盤技術である温度・粘度管理技術の保有。
○会社全体の売上成長目標 • 自己資本比率61.7％。EBITDA有利子負債倍率△0.3倍で
【2030年9月期（事業化報告3年目）における会社全体売上目標：5,070,996,321円 の財務面での高い長期安定性と低い金融借入依存度による大
（基準年度よりCAGR54.60%、＋3,699百万円増加） 規模成長投資に伴う投資余力の保有。
 競合他社が少なく薬価向上が期待できる薬物溶解型、分散・乳化型製剤での国内市場の更なる開拓 ○成長に向けて解決する弱みの顕在化
による補助事業売上高380.6%UPにて会社全体売上高のCAGR54.60%での成長を目指す。
• 受託元A社・B社の両者要請に対応しきれない既存保有設備で
○会社全体の1人当たり賃上げ目標
の製造能力の不足・製造環境における低い封じ込め性能。
【直前事業年度（2024年9月期）～基準年度（2027年9月期） ：CAGR2.71%】
【基準年度（2027年9月期）～事業化報告3年目（2030年9月期）：CAGR5.68%】 • 富山県、中新川郡における地域人口減少、深刻な人員確保難
 現状、3人増とした人員数を新工場立ち上げに合せ更に製品製造・品質管理・経営管理人材を中心 の拡大の恐れの中での従来型有人作業に依存した生産体制、
に8人の地域雇用を創出し、工場立ち上げ後、追加雇用9人、合計69人体制による高付加価値製品 管理面でのIT化、DX化の遅れにより顕在化してきた業界平均
提供での収益力強化により事業化報告3年目での給与支給総額CAGR10.28%成長を実現。 並みの労働生産性889千円での低い生産性。</t>
  </si>
  <si>
    <t>池田薬品工業株式会社
2.補助事業の概要
高齢化社会への医療用皮膚炎向け軟膏・クリーム安定供給に向けた大規模成長投資での製造能力強化と専門
人材確保・育成での組織力強化事業
• 医療用皮膚炎向け軟膏・クリーム製造能力強化に向けた外用剤製造における基盤技術である温度・粘度管理技術力を利用した薬物溶解型、分
補補助助事事業業のの 散・乳化型製剤の製品製造能力・工程管理能力強化での基盤技術・製品QCDの更なる高度化
概概要要 • 「薬都とやま」での医薬品製造を目指す若手人材、大手薬品メーカー等OB人材の積極的雇用による開発・製造人材、品質管理人材、経営管理人
材の確保での強固な経営体制を構築しながら、会社全体での与支給総額拡大・賃金ベースアップを実現
• 薬物溶解型、分散・乳化型製剤製造に必要となる基盤技術である温度・粘度管理技術の保有も薬価下落の中で、
事業費 30億円
長く売上増加率、収益率、生産性の低迷に苦しんできた。
補補助助事事業業のの • 高齢化社会を迎えた我が国における高齢者皮膚炎患者の増加を受けた主力花形製品の基礎的医薬品への指定 （補助額） （7.5億円）
背背景景・・目目的的 での高単価化、製造技術を有しながらも利用できていなかった分散・乳化型製剤における増産要請の獲得といっ
た事業機会を捉えることで永年の経営課題である売上増加率、収益率、生産性の改善に取組むことで、22世紀を 本事業にて製造能力を強化
目指した安定成長・安定雇用創出を実現する。 する製品
【課題解決手段・労働生産性向上策】
• 清浄度を高めた最新封じ込み技術でのクリーン化・管理面でのDX化に対応した最新自動化化設備を備えた大型専
用工場の取得での薬物溶解型、分散・乳化型製剤製造能力強化、製造品目の拡大
• 各作業工程における自動ライン化と温室管理のデジタル化・リアルタイム化などのDX推進による省人化・省力化
大量生産ラインでの収益性・労働生産性の改善
設設備備投投資資のの
• 人材育成と働きやすい職場環境整備による特に女性が「働きたい職場づくり」の推進での開発・製造人材、品質
内内容容
管理人材、経営管理人材の確保での強固な経営体制の整備。
【設備投資の内容】
①医療用皮膚炎向け軟膏・クリーム製造専用大型工場の取得
 盤石な「封じ込め性能」を有する最新クリーンルームの整備・工場内レイアウト最適化での作業性向上
薬物溶解型、分散・乳化型製
②医療用皮膚炎向け軟膏・クリーム製造ラインの追加設置
剤、高薬理活性ステロイド
 主力重要受注先2社からの増産要請と高付加価値製品製造能力強化、管理面でのDX化での生産性向上
2026年度 2029年度
項目
（基準年度） （基準年度＋３年後）
労働生産性 22,368,578円
5,246,825円
（単位：円/人） （年平均上昇率＋62.1%）
目標値 従業員1人あたり給与支給総額 4,694,730円
3,998,288円
（単位：円/人） （年平均上昇率＋5.5%）
役員１人あたり給与支給総額 -
-
（単位：円/人） （年平均上昇率＋4.5%）
補助事業に係る従業員数 63人
32人
（単位：人） （年平均上昇率＋25.3%）
（※）労働生産性の算出における労働量は「従業員数＋役員数」を使用。</t>
  </si>
  <si>
    <t>株式会社リバイト
1.長期成長ビジョン
45億円の大規模設備投資により当社オリジナルのリゾート型宿泊施設「ホテル＆ヴィラ」を建築。淡路島で他に例を見ない
高付加価値型の観光宿泊施設網を展開。同時に地域住民108名を雇用、高時給で働き甲斐のある職場を提供する。
当社の概要 外発的動機
・ 当社はライフワングループの１社として「住宅用設備機器※１のインターネット通販事業」（既 ・ 既存事業の創業期～成長期は競合他社が存在せず急
成長を果たすことができたが、現在は新規参入者との熾
存事業）、2022年からは淡路島での観光宿泊業（以下、リゾート事業）に進出。
烈な価格競争が生じている。
単位：億円、人 年商 うち住設通販 営業利益 従業員数
ライフワン 当社 11.2 8.0 0.8 73 ・ 少子高齢化の影響により、住設機器通販事業の市場は
グループ ㈱ライフワン 151.1 146.3 3.2 73 2030年をピークに成長期から緩やかな成長期に移行。
その他４社 13.2 2.8 0.8 6 ・ 賃上、調達コスト上昇は今後も続く。
・ 政府観光立国宣言以降、インバウンド需要の拡大等に
長期成長ビジョン（目指す姿・ビジネスモデル）
より観光産業の成長が期待される。
・ コロナ禍を契機とした旅行客の行動変容（団体→マイクロツーリズム）を的確にと
らえ、大規模(投資額45億円）でプライベート感と機能性で差別化した高収益の新業態 ・ 兵庫県「淡路島総合観光戦略」も観光産業の高付加
「ホテル＆ヴィラ」を建設する。これにより淡路島における高収益型の観光宿泊業のモデ 価値化を推進
ルケースとなりたい。
内発的動機
・ 淡路島において、高時給かつ農業や子育てと両立可能で働き甲斐のある職場を提供する。
・ 住設機器通販事業はグループ全体で一定の市場シェア
これにより少子高齢化や過疎化に悩む淡路島における子育て支援や高齢者の働き甲斐、
を有しており、引き続き拡大をめざす。
生き甲斐の創出に貢献したい。
・ 同時に高収益のリゾート事業部門を強力に拡大していく。
・ 上記のビジョン実現のため108名の新規雇用と本社労務管理機能を淡路島に移転する。
既に南あわじ市に6億円の大規模ヴィラを建築、3年目
ライフワン (年商151億） 当社売上増加目標 直近期 計画3年目 増減額 伸率
で売上3.3億円を達成。ノウハウ、人脈、地域社会との
当 社 ( 11億） 単位：億円 2025/2期 2031/2期 CAGR
持
信頼関係を構築済みであり、大胆な設備投資により飛
株 ｱｽﾀｰﾜﾝ ( 10億） 住設機器通販事業 8.0 9.0 1.0 2.0%
会 社 ﾈｲﾋﾞｰﾌﾞﾙｰ ( 2億） リゾート事業 3.3 18.9 15.6 33.9% 躍的な拡大を図る準備が整っている。
家電ｴｺｽﾀｲﾙ ( 0億） ※１：住宅用設備機器：ガス給湯器、冷蔵庫、クッキン
合計 11.2 27.8 16.6 16.3%
ｱｽﾀｰｺｰﾎﾟ ( 1億） グヒータ、ガスコンロ、ウォシュレット、浴室テレビ、クー
ラー等、住宅や店舗内で使用される設備機器
グループ全社が中小企業者に該当</t>
  </si>
  <si>
    <t>株式会社リバイト
2.補助事業の概要
総工費 45億円の大規模投資。他に例のない当社独自の宿泊施設（ホテル＆ヴィラ）を新規開業。多角化を加速して
利益率を劇的に向上させる。加えて雇用増により地域社会の発展に寄与する。
・既存事業の成長鈍化が見込まれる中、事業ポートフォリオの思い切った改革が必要。成長が見込まれ、既存事業の経営資源やノウハウ、強
背 補 事業費
みを活かせる事業分野として観光宿泊業を選定。2022年8月リゾート事業部を新設し、先行投資として兵庫県の淡路島南部（南あわじ
景 助
（補助額）
と 事 市）にて 15棟の大規模ヴィラを新規開業。想定を超える成功（売上3.3億円、営業利益率25%）。
目 業
的 の ・本件補助事業は、規模を更に大規模化・多機能化することによる規模のメリットを追求。木造建築化や省人化対応によりコストダウンを図
４9億円
り、更に高い営業利益率(37%）を実現する。現地スタッフ108名（時間調整前）を新規雇用し地域社会の発展に寄与する。 (1４億円)
費目 投資内容 億円 ・客室棟 47 棟＋フロントラウンジ棟１を建築。
建物費 客室棟(木造１~２階建、48～196㎡) 47棟 22億円、フロントラウンジ棟 総工費45億円。
３３
（建物） （木造２階建（一部RC造）約1,200㎡)１棟 11億円
設
備 ・客室棟は独立平屋ﾀｲﾌﾟ(別荘形式)23棟
建物費 電気、ガス、給排水、建付家具、照明、空調、調理台、昇降機、ポンプ、キュー
投 ９
（付属設備） ビクル、防犯・入退室管理装置、ネット回線設備等の建物付属設備 ＋隣接2階建ﾀｲﾌﾟ(ﾎﾃﾙ形式)24棟
資
の
補助対象合計 ４２ ・フロントラウンジ棟の屋内には、当社が採掘に
内
容 器具備品 室内装飾品、食器、寝具等の100万円未満の少額什器 ２ 成功した天然温泉の湯を利用した温泉大
補助対象外
構築物 来客用青空駐車場、車道整備、植栽、外構工事費 １ 浴場とプール（25× 5.5ｍ）を設置。
総合計 ４５ 総 工 費 45 億円
うち補助対象経費 42 億円
項目（単位：千円,人） 2028/2期 2031/2期 年平均
基準年度 報告3年目 上昇率 CAGR ・計画3年目の営業利益率は既存事業に比
目
標 労働生産性 11,947 22,602 23.7% べて圧倒的に高く、生産性を劇的に改善。
値
従業員1人あたり給与支給総額 5,067 6,223 7.1% 住設機器通販事業の営業利益率 1.1%
役員１人あたり給与支給総額 - - 51.1% リゾート事業の営業利益率 36.6%
補助事業に係る従業員数(※） 27 57 28.2%
次頁へ続く
※ 従業員数：時間調整後</t>
  </si>
  <si>
    <t>木本製菓株式会社
1.長期成長ビジョン
(cid:18313)(cid:2902)(cid:13597)(cid:18174)(cid:7363)(cid:18168)(cid:2905)(cid:5816)(cid:7909)(cid:18171)(cid:4438)(cid:18190)(cid:18204)(cid:18159)(cid:18277)(cid:18295)(cid:18226)(cid:18279)(cid:18314)(cid:18262)(cid:18281)(cid:18260)(cid:18297)(cid:18116)(cid:2902)(cid:13597)(cid:2905)(cid:5816)(cid:18117)(cid:14052)(cid:7447)
(cid:18313)(cid:6786)(cid:18151)(cid:18132)(cid:18273)(cid:18246)(cid:18267)(cid:18247)(cid:18288)(cid:18261)(cid:18297)(cid:18210)(cid:7102)(cid:3007)(cid:18139)(cid:18201)(cid:4485)(cid:6793)(cid:18184)(cid:5262)(cid:14052)(cid:18105)(cid:18114)(cid:4485)(cid:6793)(cid:3696)(cid:9173)(cid:18115)(cid:18171)(cid:5156)(cid:2906)
(cid:18118)(cid:3067)(cid:7447)(cid:9006)(cid:5845)(cid:18119) (cid:18118)(cid:4773)(cid:9422)(cid:9431)(cid:3767)(cid:7605)(cid:18119)
1) (cid:7052)(cid:7055)(cid:18238)(cid:18297)(cid:18314)(cid:18277)(cid:18174)(cid:3067)(cid:7447)(cid:9006)(cid:5845)(cid:18175) (cid:18116)(cid:18170)(cid:18132)(cid:18194)(cid:18174)(cid:18210)(cid:18164)(cid:18143)(cid:18203)(cid:18117) : (cid:18436)(cid:18445)(cid:18437)(cid:18277)(cid:18295)(cid:18226)(cid:18279)(cid:18314)(cid:18262)(cid:18170)(cid:10037)(cid:14059)(cid:18210)(cid:5106)(cid:18202)(cid:18170)(cid:18140)(cid:18201)(cid:9397)(cid:18151)(cid:18168)(cid:5107)(cid:18201)(cid:18142)(cid:18210)(cid:4000)(cid:6892)(cid:18171)(cid:3119)(cid:14722)(cid:18167)(cid:18141)(cid:18203)(cid:18281)(cid:18260)(cid:18297)(cid:18140)
(cid:18313) (cid:18281)(cid:18260)(cid:18297)(cid:7447)(cid:9210)(cid:18171)(cid:18104)(cid:6786)(cid:18151)(cid:18132)(cid:18273)(cid:18246)(cid:18267)(cid:18247)(cid:18288)(cid:18261)(cid:18297)(cid:18210)(cid:3696)(cid:18203)(cid:18105)(cid:18436)(cid:18457)(cid:18281)(cid:18260)(cid:18297)(cid:2902)(cid:13597)(cid:2905)(cid:5816)(cid:18437) (cid:7891)(cid:18193)(cid:18201)(cid:18204)(cid:18166)(cid:18132)(cid:18203)(cid:18105)(cid:18436)(cid:18295)(cid:18238)(cid:18246)(cid:18291)(cid:18224)(cid:18296)(cid:18314)(cid:18139)(cid:18201)(cid:18296)(cid:18295)(cid:18237)(cid:18250)(cid:18314)(cid:18245)(cid:18293)(cid:18305)(cid:18184)(cid:18437)
(cid:18313) (cid:4000)(cid:2982)(cid:7447)(cid:18174)(cid:6210)(cid:3724)(cid:18139)(cid:18201)(cid:12836)(cid:2902)(cid:18146)(cid:8929)7.5(cid:18434)(cid:18210)(cid:5127)(cid:8999)(cid:18105)(cid:5777)(cid:7447)(cid:4136)(cid:18174)(cid:18230)(cid:18305)(cid:18240)(cid:18314)(cid:18246)(cid:18287)(cid:18305)(cid:18262)(cid:18210)(cid:4005)(cid:2902)(cid:18149)(cid:18155)(cid:18203)(cid:18105)
(cid:18436)(cid:18446)(cid:18437)(cid:18277)(cid:18295)(cid:18226)(cid:18279)(cid:18314)(cid:18262)(cid:18277)(cid:18314)(cid:18297)/(cid:18243)(cid:18228)(cid:18264)/(cid:5310)(cid:9497)(cid:8078)/(cid:14306)(cid:4787)(cid:14524)(cid:4037)/(cid:7880)(cid:14524)(cid:4037)/(cid:3526)(cid:14524)(cid:4037)(cid:18210)(cid:2893)(cid:18164)(cid:18174)
2) (cid:4485)(cid:6793)(cid:18184)(cid:18174)(cid:5262)(cid:14052)/(cid:6353)(cid:4785)(cid:18454)
(cid:13450)(cid:5255)(cid:18171)(cid:3355)(cid:18136)(cid:18159)(cid:18281)(cid:18260)(cid:18297)(cid:18140)(cid:18170)(cid:18132)(cid:18105)(cid:18436)(cid:5808)(cid:13087)(cid:18174)(cid:18296)(cid:18275)(cid:18298)(cid:18257)(cid:18245)(cid:18291)(cid:18105)(cid:18116)(cid:6746)(cid:18132)(cid:18117)(cid:18174)(cid:3119)(cid:14722)(cid:18437)
(cid:18313)(cid:18281)(cid:18260)(cid:18297)(cid:2902)(cid:13597)(cid:2905)(cid:5816)(cid:18174)(cid:13344)(cid:4256)(cid:18210)(cid:18273)(cid:18246)(cid:18267)(cid:18247)(cid:18288)(cid:18261)(cid:18297)(cid:3820)(cid:18151)(cid:18166)(cid:18104)(cid:4485)(cid:6793)(cid:5262)(cid:14052)(cid:18153)(cid:18203)(cid:18105)
(cid:17147) (cid:4485)(cid:3478)(cid:18174)(cid:14240)(cid:9181)(cid:3201)(cid:13325)(cid:18313)(cid:10514)(cid:8173)(cid:8049)(cid:5878)(cid:3820)(cid:18171)(cid:12809)(cid:8873)(cid:18151)(cid:18166)(cid:18104)(cid:18114)(cid:4485)(cid:6793)(cid:3696)(cid:9173)(cid:18115)(cid:18174)(cid:6353)(cid:4785)(cid:18210)(cid:18194)(cid:18159)(cid:18201)(cid:18153)(cid:18105)
(cid:18436)(cid:18447)(cid:18437)(cid:2902)(cid:13597)(cid:18174)(cid:7363)(cid:18168)(cid:2905)(cid:5816)(cid:7909)(cid:18171)(cid:4438)(cid:18190)(cid:18204)(cid:18104)(cid:7260)(cid:18196)(cid:11656)(cid:18170)(cid:18169)(cid:18174)(cid:4420)(cid:5080)(cid:6305)(cid:18107)(cid:18174)(cid:11180)(cid:8603)(cid:18174)(cid:14524)(cid:6930)(cid:18210)
(cid:8246)(cid:4250)(cid:18167)(cid:18141)(cid:18203)(cid:18105)(cid:18190)(cid:18159)(cid:18104)(cid:7102)(cid:3007)(cid:18247)(cid:18233)(cid:18226)(cid:18258)(cid:18296)(cid:18314)(cid:18194)(cid:2893)(cid:7043)(cid:18105)(cid:18436)(cid:7102)(cid:3007)(cid:18295)(cid:18305)(cid:18263)(cid:18284)(cid:18314)(cid:18237)(cid:18210)(cid:10037)(cid:2928)(cid:6739)(cid:7756)(cid:18437)
(cid:18118)(cid:9918)(cid:18159)(cid:18161)(cid:18104)(cid:7052)(cid:7055)(cid:18238)(cid:18297)(cid:18314)(cid:18277)(cid:18174)(cid:5705)(cid:18191)(cid:18119)
(cid:18436)(cid:18448)(cid:18437)(cid:3002)(cid:13307)(cid:18174)(cid:3644)(cid:3197)(cid:5878)(cid:18105)
1) (cid:5107)(cid:5123)(cid:18151)(cid:18159)(cid:3952)(cid:9480)(cid:4598)(cid:9497)(cid:18454)
(cid:18313)(cid:10037)(cid:8199)(cid:18139)(cid:18201)(cid:18174)(cid:18224)(cid:18237)(cid:18249)(cid:18247)(cid:18436)(cid:10842)(cid:9187)(cid:18104)(cid:6210)(cid:9187)(cid:18139)(cid:18201)(cid:10457)(cid:18448)0(cid:3624)(cid:18437)
(cid:7052)(cid:7055)(cid:18238)(cid:18297)(cid:18314)(cid:18277)(cid:18175)(cid:18104)(cid:18114)(cid:12295)(cid:11499)(cid:18115)(cid:18114)(cid:18281)(cid:18260)(cid:18297)(cid:18115)(cid:18114)(cid:14676)(cid:13108)(cid:4633)(cid:10514)(cid:4256)(cid:18115)(cid:18170)(cid:18169)(cid:18174)(cid:4776)(cid:12421)(cid:9431)(cid:18170)(cid:2982)(cid:7447)(cid:5262)(cid:14052)(cid:18171)(cid:18200)(cid:18203)(cid:5107)(cid:5123)(cid:18151)(cid:18159)
(cid:18313)(cid:4444)(cid:3526)(cid:12411)(cid:3484)(cid:4485)(cid:18184)(cid:18174)(cid:9955)(cid:3767)
(cid:3952)(cid:9480)(cid:18140)(cid:18130)(cid:18203)(cid:18105)
(cid:18313)MICE(cid:3085)(cid:4633)(cid:18184)(cid:18174)(cid:18224)(cid:18237)(cid:18249)(cid:18247)
2) (cid:4485)(cid:4582)(cid:10514)(cid:8173)(cid:18184)(cid:18174)(cid:12809)(cid:8873)(cid:18454)
(cid:18313) (cid:10828)(cid:14655)(cid:9524)(cid:18104)(cid:5304)(cid:5283)(cid:9524)(cid:18167)(cid:18175)(cid:18238)(cid:18297)(cid:18314)(cid:18277)(cid:3506)(cid:3119)(cid:18167)(cid:8999)(cid:4478)1,500(cid:3015)(cid:18210)(cid:12920)(cid:18136)(cid:18203)(cid:14240)(cid:9181)(cid:5127)(cid:10684)(cid:18210)(cid:18194)(cid:18164)(cid:18105) (cid:18118)(cid:3526)(cid:9422)(cid:9431)(cid:3767)(cid:7605)(cid:18119)
(cid:18313) 2024(cid:5562)(cid:18451)(cid:7030)(cid:14807)(cid:5358)(cid:5495)(cid:18171)100(cid:3432)(cid:3527)(cid:18210)(cid:6302)(cid:18152)(cid:12295)(cid:11499)(cid:5476)(cid:4633)(cid:18210)(cid:6786)(cid:12479)(cid:18105)350(cid:4001)(cid:18174)(cid:6786)(cid:12388)(cid:14240)(cid:9181)(cid:18210)(cid:5127)(cid:8999)(cid:18105)
(cid:18313) (cid:5207)(cid:7094)(cid:18104)(cid:14807)(cid:5358)(cid:5495)(cid:18171)(cid:6786)(cid:18151)(cid:18132)(cid:18281)(cid:18260)(cid:18297)/(cid:18301)(cid:18226)(cid:18264)(cid:18296)(cid:18314)/(cid:4785)(cid:4538)(cid:18224)(cid:18228)(cid:18262)(cid:18298)(cid:18257)(cid:18262)/(cid:4785)(cid:4538)(cid:14676)(cid:13108)(cid:4633)(cid:10172)(cid:18107)
(cid:18436)(cid:18445)(cid:18437)(cid:6786)(cid:18151)(cid:18132)(cid:2982)(cid:7447)(cid:18184)(cid:18174)(cid:6382)(cid:6227)
(cid:18174)(cid:14052)(cid:7447)(cid:18210)(cid:2979)(cid:5123)(cid:18105)(cid:4485)(cid:4582)(cid:10514)(cid:8173)(cid:8049)(cid:5878)(cid:3820)(cid:18174)(cid:18159)(cid:18193)(cid:18171)(cid:18104)(cid:7014)(cid:18170)(cid:18203)(cid:12809)(cid:8873)(cid:18210)(cid:9504)(cid:6374)(cid:18153)(cid:18105)
(cid:3026)(cid:18190)(cid:18167)(cid:18171)(cid:18170)(cid:18132)(cid:18138)(cid:5128)(cid:7517)(cid:18171)(cid:4240)(cid:18176)(cid:18204)(cid:18203)(cid:4175)(cid:2893)(cid:8595)(cid:2983)(cid:18174)(cid:18281)(cid:18260)(cid:18297)(cid:18210)(cid:3696)(cid:18202)(cid:18159)(cid:18132)(cid:18105)
3) (cid:18281)(cid:18260)(cid:18297)(cid:13344)(cid:4256)/(cid:10514)(cid:4256)(cid:18454)
(cid:18436)(cid:18446)(cid:18437)(cid:18114)(cid:4485)(cid:6793)(cid:3696)(cid:9173)(cid:18174)(cid:6038)(cid:5823)(cid:18454) (cid:7055)(cid:9835)(cid:18210)(cid:14807)(cid:5358)(cid:5495)(cid:18171)(cid:9955)(cid:13119)(cid:18115)
(cid:18313) (cid:7102)(cid:3007)(cid:18104)(cid:10828)(cid:14655)(cid:18104)(cid:3007)(cid:13460)(cid:18171)(cid:12451)5(cid:18164)(cid:18174)(cid:18281)(cid:18260)(cid:18297)(cid:18210)(cid:3222)(cid:7031)(cid:18105)(cid:4444)(cid:3526)(cid:2893)(cid:11233)(cid:5128)(cid:18139)(cid:18201)(cid:18226)(cid:18305)(cid:18270)(cid:18228)(cid:18305)(cid:18263)(cid:18190)(cid:18167)(cid:5532)(cid:5576)
(cid:18313)(cid:7052)(cid:7055)(cid:18238)(cid:18297)(cid:18314)(cid:18277)(cid:18174)(cid:10514)(cid:4256)(cid:4598)(cid:9497)(cid:18175)(cid:14807)(cid:5358)(cid:5495)(cid:18105)(cid:18436)(cid:18281)(cid:18260)(cid:18297)(cid:18104)(cid:12295)(cid:11499)(cid:5476)(cid:4633)(cid:18104)(cid:14676)(cid:13108)(cid:4633)(cid:3034)(cid:18437)
(cid:18132)(cid:14515)(cid:5128)(cid:18171)(cid:5200)(cid:5826)(cid:18153)(cid:18203)(cid:13344)(cid:4256)(cid:18168)(cid:10514)(cid:4256)(cid:18174)(cid:18268)(cid:18228)(cid:18269)(cid:18228)(cid:18210)(cid:18194)(cid:18164)(cid:18105)
(cid:18313)2027(cid:5562)(cid:7054)(cid:18190)(cid:18167)(cid:18171)(cid:7052)(cid:7055)(cid:12295)(cid:11499)(cid:18175)(cid:7055)(cid:9835)(cid:18210)(cid:7102)(cid:3007)(cid:18139)(cid:18201)(cid:14807)(cid:5358)(cid:5495)(cid:18184)(cid:9955)(cid:13119)(cid:18151)(cid:18166)(cid:18104)(cid:10514)(cid:4256)(cid:18174)(cid:18247)(cid:18274)(cid:18314)(cid:18263)
((cid:6820)(cid:5073)(cid:18281)(cid:18260)(cid:18297)(cid:18175)(cid:3506)(cid:18166)80(cid:18522)90(cid:18434)(cid:18174)(cid:5561)(cid:4498)(cid:9996)(cid:3390)(cid:8929)(cid:18210)(cid:18187)(cid:18147)(cid:18203))
(cid:18224)(cid:18257)(cid:18277)(cid:18210)(cid:4439)(cid:18203)(cid:18160)(cid:18145)(cid:18167)(cid:18170)(cid:18143)(cid:18104)(cid:4485)(cid:4582)(cid:10514)(cid:8173)(cid:18174)(cid:8049)(cid:5878)(cid:3820)(cid:18171)(cid:5156)(cid:2906)(cid:18151)(cid:18159)(cid:18132)(cid:18105)
(cid:18436)(cid:18447)(cid:18437)(cid:6795)(cid:12479)(cid:18174)(cid:5107)(cid:3506)(cid:5705)(cid:3820)(cid:18174)(cid:18159)(cid:18193)(cid:18171)
(cid:4750)(cid:2902)(cid:6210)(cid:14039)(cid:9504)(cid:7558)(cid:18436)(cid:2085)2030(cid:5562)(cid:5592)(cid:18456)2031(cid:5562)4(cid:7030)(cid:7047)(cid:18458)(cid:18437)
(cid:18313)(cid:8999)(cid:12188)(cid:18281)(cid:18260)(cid:18297)(cid:18175)(cid:5651)(cid:10255)(cid:5771)50(cid:5562)(cid:18140)(cid:10514)(cid:13347)(cid:18105)(cid:10895)(cid:14280)(cid:12487)(cid:6783)(cid:12586)(cid:7197)(cid:18174)(cid:10518)(cid:7133)(cid:18210)(cid:3959)(cid:18145)(cid:18166)(cid:12430)(cid:3119)(cid:18210)(cid:7924)(cid:5123)(cid:18105)
• (cid:5562)(cid:5561)(cid:4498)(cid:6210)(cid:14039)(cid:8929)(cid:18436)(cid:5200)(cid:4598)(cid:8253)(cid:5562)(cid:5592)(cid:18437)(cid:18454)+1(cid:18451)(cid:18442)(cid:18450)(cid:18452)(cid:18434)/(cid:5562)
(cid:18313)(cid:12430)(cid:3119)(cid:5771)(cid:18174)(cid:4469)(cid:4485)(cid:3644)(cid:9181)(cid:18210)(cid:7400)(cid:12454)(cid:18151)(cid:18159)(cid:10518)(cid:7133)(cid:18104)(cid:4469)(cid:4485)(cid:18210)(cid:6244)(cid:7031)(cid:18153)(cid:18203)(cid:3644)(cid:8556)(cid:18210)(cid:9173)(cid:18139)(cid:18155)(cid:18176)(cid:10610)(cid:6302)(cid:12840)(cid:14496)
• (cid:4689)(cid:3725)(cid:14496)(cid:18436)(cid:5200)(cid:4598)(cid:8253)(cid:5562)(cid:5592)(cid:18437) (cid:18454)+1(cid:18445)(cid:18442)(cid:18447)(cid:18451)(cid:3432)(cid:3527)(cid:18456)+163(cid:18434)(cid:18458)
(cid:18194)(cid:6298)(cid:18136)(cid:18201)(cid:18204)(cid:18203)(cid:18159)(cid:18193)(cid:18104)(cid:18281)(cid:18260)(cid:18297)(cid:18174)(cid:6786)(cid:10255)(cid:18210)(cid:7924)(cid:6783)(cid:18105)
(cid:12836)(cid:2902)(cid:18146)(cid:9504)(cid:7558)(cid:18436)(cid:2085)2030(cid:5562)(cid:5592)(cid:18456)2031(cid:5562)4(cid:7030)(cid:7047)(cid:18458)(cid:18437)
• (cid:5562)(cid:5561)(cid:4498)(cid:5777)(cid:7447)(cid:4136)(cid:9504)(cid:7558)(cid:12836)(cid:2902)(cid:18146)(cid:8929) (cid:18454)+(cid:18451)(cid:18442)(cid:18449)(cid:18434)/(cid:5562)</t>
  </si>
  <si>
    <t>木本製菓株式会社
補助事業の概要
2.
１.癒しをコンセプトにしたプライベートホテルを拠点として地方創生に寄与。
２.新しいホテルブランドの確立を目指す。
補助事業の 非日常を求める国内外のお客様に対して、ワンフロアー・ワンルーム １５０㎡の 事業費 49 億円
背景・目的 プライベート型ホテル『上野不忍』を立ち上げる。 （補助額） （ 7.5 億円）
・プライベートプール/サウナ/岩盤浴/露天風呂/水風呂/内風呂を一つの部屋に備えた13階建ての新しいホテルを建設。
・立地は京成上野駅池の端口正面。成田空港からも至便で京成上野駅前から０分の超利便性。
・デジタルチェックイン／AI通訳／顧客データベースを活用したCRM（顧客関係管理)）導入。
・１Fには和洋菓子店を設けて楽しさを演出する。
・２Fには約500人分の災害用品を備蓄して災害時に地域に提供する。（台東区危機・災害対策課）
・台東区の災害時の一時避難場所として登録。
・ZEBレベルの省エネ性能の高いホテルを目指す。
（AI空調システム、超高効率アモルファス変圧器、高効率温水器等）
設備投資の
【フロア概要】 上野不忍
内容
13階 エグゼクティブラウンジ 東京都不忍池の夜景を一望できる最上級フロアー
10階～12階 ゲストルーム 不忍池ビュー×都市の美しさを感じる癒しの空間
7階～9階 ゲストルーム 池と緑のコントラストを望む上質空間
駅入口
5階～6階 ゲストルーム 緑に包まれる静寂のリトリート空間
3階～4階 ゲストルーム 下界の喧騒と切り離された非日常空間
2階 スタッフエリア スタッフの休憩スペース、備蓄倉庫
1階 和洋菓子店 上質な和洋菓子の提供
項目 基準年度 事業化報告3年目
労働生産性 15,912
9,860
（単位：千円/人） （年平均上昇率＋17.3％）
目標値 従業員1人あたり給与支給総額 5,991
4,828
（単位：千円/人） （年平均上昇率＋7.5％）
役員１人あたり給与支給総額
-
（単位：千円/人） - （年平均上昇率＋4.９％）
補助事業に係る従業員数
70 93
（単位：人）</t>
  </si>
  <si>
    <t>株式会社博多屋
1.⾧期成⾧ビジョン
昭和2年創業・会社設立昭和28年以来、健全経営を続ける弊社は、今回の投資をきっかけに中小企業から中堅企業への発展・成
⾧を目指す。新しく大浴場併設型佐世保駅前ホテル新館（仮称:ニューブランドホテル）を新築することにより、地域の課題であるハ
ウステンボスから西海国立公園までの広域観光圏のハブ的な役割を担い、佐世保中心街に賑わいをもたらす。今回得た知見を活かし
ホテルの全国多店舗展開につなげていく。
⾧期成⾧ビジョン（目指す姿・ビジネスモデル） 外発的動機
• 佐世保市は観光庁の高付加価値化事業エリアに採択され、市内各所で
• 観光立県⾧崎のなかでも佐世保市は、ハウステンボスや西海国立公園をか
観光施設の高付加価値化が進んでいる。
かえ観光市としても有数の中核都市である。宿泊者数も佐世保市観光統
計によると152.8万人がコロナ前の184.5万人に戻りつつあり、佐世保市と • 市内にハウステンボス・西海国立公園を抱える中核都市であり、世界遺
して226万人を目指している 産や日本遺産など将来にわたって多くの観光客を受け入れるコンテンツが
• 現在弊社は佐世保市に2ホテル282室を運営しているが、隣接地に新しい 揃っている。
コンセプトを加えた形で新規建築することにより現在のマーケットニーズに呼 • 現在国としてインバウンド政策を進めており、佐世保市においても観光に注
応し、自分たちの中にも新しい運営ノウハウや知見を蓄積し、さらなる宿泊 力し延べ宿泊者数226万人を目指している。
事業の拡大を図っていきたい • ⾧崎新幹線開業により今まで以上のインバウンドを含めた観光客の増大が
• 具体的には弊社が経営・運営するホテルに隣接した弊社が所有する土地に 予測される。
ニューブランドホテルを建設し、新しく宿泊者用大浴場を備えた上で98室
を新築する。 内発的動機
• 和モダンな大浴場併設型ホテルを新規建築することにより、これから増える
• 昭和28年以来宿泊業を継続しているが、宿の形態を旅館からビジネスホ
であろう日本文化を求めているインバウンド観光客をも広く集客していく。
テルに変化させながら時代の要望に応えてきた。
• 佐世保市中心街に増築することによりハウステンボス 中心市街地 西海
• 昨年、高付加価値化事業により弊社グリーンホテルの大規模改修が済み、
国立公園のハブ的な役割を果たす。
ホテルとしての新しいチャレンジを計画している。
• 弊社の⾧期ビジョンを見据える中で、本事業を佐世保にとどまらず他地域へ
• 現在はお客様のウォンツも多岐にわたり、それに対応する多目的多機能ホ
の展開も視野に入れた大きなステップと捉え、中堅企業へと成⾧する。
テルが求められている。
• 佐世保コンベンション協会副理事⾧、ホテル組合理事⾧に就任したことに
売上成⾧目標（対2025年2月期） より、地域を巻き込んだ観光施策に取り組んでいける。
• 後継者育成も順調に進んでおり、事業承継の課題もクリアしている。
・2029年２月期までの会社全体の売上高 13.4億円
148.1％ • 新館建設並びに省力化・DX化を図ることにより従業員一人当たりの生産
・2029年２月期までの会社全体の売上高成⾧率
性を向上させ、従業員・役員一人毎の賃金をアップさせることができる。
・2029年２月期までの会社全体の売上高増加額 4.35億円
ニューブランドホテル （ 98室 売上高 2.4億円）
佐世保ワシントンホテル （190室 売上高 7.8億円）
ニューブランドホテル
佐世保グリーンホテル （ 92室 売上高 3.2億円）
㈱博多屋
佐世保ワシントンホテル
会社全体の賃上げ目標
7.0%
• 年平均 （基準年度～事業化報告3年目）
佐世保グリーンホテル</t>
  </si>
  <si>
    <t>株式会社博多屋
2. 補助事業の概要
中核都市佐世保市JR佐世保駅前に立地している当社ホテルの隣接地に新しくニューブランドホテルを建築する。３ホテル合わせた宿泊室数が380
ルームと佐世保市街地最大室数となることにより、観光客・ビジネス客に加えてインバウンド客層を大きく取り込めるようになる。新規ホテルに和モダンな
大浴場を併設することによりお客様満足度を高めることができ、宿泊施設としての魅力向上を図りADR9,500円を獲得する。中心市街地に位置する
ことでハウステンボスと西海国立公園を結ぶ観光の拠点となる。
• 佐世保市はハウステンボス・西海国立公園・陸海自衛隊・米海軍基地があり宿泊客層も観光・ビ
ジネスと多種多様である。
事業費 12億円
（補助額） （4.0億円）
• 昨年、地域一体となった観光地・高付加価値化事業に採択され、地域としてもインバウンド需要
補助事業の の増大とさらなる観光振興を予定している。
背景・目的 • ハウステンボス・西海国立公園・世界遺産・日本遺産など、将来にわたって多くの観光客を受け入
れるコンテンツが揃っている。
• 東西に広い観光エリアの中心地に新しいコンセプトのホテルを建築し観光拠点となる。
• 多様化する宿泊需要と深刻化する人手不足に対応し、省力化DX化を図り稼げる事業体となる。
• 自社保有の既存ホテルに加えて新規ホテルを建設し、佐世保市街地に今ま
でにない和モダンな大浴場併設型ホテルとする
• 新規ホテル:ニューブランドホテルの建設・RC造10階建
• 敷地面積431.39㎡・延床面積2,625.00㎡
設備投資の • 客室総占有面積1,405.10㎡・客室平均専有面積15.00㎡
内容 • 総客室数98室・駐車場台数マイクロバス3台
• 工期:着工2026年2月14 竣工2027年10月29日（20か月）
• 3ホテル併せて380ルームとなり、中心市街地最大の客室数となる。
• DX化によりどのホテルからでもチェックインチェックアウト・ルームコントロールがで
きるようになる。
2028年度 2031年度
項目
（基準年度） （基準年度＋３年後）
労働生産性 1,078万円
780万円
（単位:万円/人） （年平均上昇率＋11.4％）
従業員1人あたり給与支給総額 321万円
目標値 262万円
（単位:万円/人） （年平均上昇率＋7.0％）
役員１人あたり給与支給総額 1,066万円
870万円
（単位:万円/人） （年平均上昇率＋7.0％）
補助事業に係る従業員数
57人 63人
（単位:人）</t>
  </si>
  <si>
    <t>株式会社ジーケーエス
1.長期成長ビジョン
・創業から78年の業務用食品卸として培った信頼を基盤に、医療市場・高齢者介護市場の食のインフラを強化
・「安心・安全」な食材提供という理念を、より高度な品質管理体制で実現したい
長期成長ビジョン（目指す姿・ビジネスモデル） 外発的動機
・女性の就労支援政策を背景に長時間保育や認定こども園の数が
■食を通じた地域社会との共存共栄と挑戦による
増加
持続的成長
・高齢者の長期療養に対応する回復期・慢性期病床が増加
・アレルギー対応食、ソフト食、栄養強化食、各種治療食（糖尿病、 ・高齢化を背景に高齢者介護施設の増加
・少子高齢化を背景に施設内での給食提供の労働力が不足してい
腎臓病等）のラインナップを拡充し食のソリューションを提供
る
・顧客要望のキャッチ、食品・献立開発に注力
→地域の食のインフラを支える当社の役割が重要となる
・カーボンニュートラル対応の環境配慮型物流
・労働環境改善による作業効率向上 内発的動機
• メーカーは配送を外注していることも多く、2024年問題により入庫
・地域の食のインフラを守る体制を防衛・攻勢・成長戦略により構築
スピードが遅くなっている。発注翌日には入庫していたが、現状では
■長期成長ビジョンの実現に向けた事業戦略
翌々日となっているため卸先要望に応えるためには在庫を豊富に
①自動倉庫による24時間365日の稼働体制 抱える必要がある。
• 手作業依存の物流体制により作業効率が悪い。高い場所への積
②入庫・保管・出庫までを一元管理し在庫量を増大し在庫型物流セン
上げ・下げ作業が発生し、また入庫・保管・出庫においてヒューマン
ターとなる（在庫回転率の適正化および高精度・多品種少量物流の
エラーが発生している。
実現）
• 先進的なデジタル化が遅れており戦略的な在庫管理ができておら
③売上の増大及び収益の確保により従業員確保賃上げを実施
ず倉庫容量も限界を迎えている（在庫回転率の著しい増加）
④開発・提案力の強化 • 倉庫内作業が従業員の負担となっている
⑤デジタル人材の育成 （冷凍庫（‐25℃）、常温倉庫（夏は40℃以上）での作業負
担）
会社全体の売上成長目標
（2024年6月期～2031年6月期） • 原状では加速的な成長が見込めず賃上げが横ばいとなる可能性
• 売上高増加額23,283百万円 がある
• 売上高成長率15.9％ • 岐阜市と「柳津市・ものづくり産業等集積地」立地協定締結</t>
  </si>
  <si>
    <t>株式会社ジーケーエス
1.長期成長ビジョン/当社が目指すべき長期成長ビジョンと重点戦略
・長期成長ビジョンでは社会課題や変化などのメガトレンドに対応及び解決していく取り組みを考案した。
・地元を牽引し当社を取り巻く業界の課題解決及び地域の食のインフラを守る体制を構築することで、当社の持続的な成長を目指していく。
外発的動機の詳細
・小学校・中学校・従来の幼稚園などは将来的に減少するが
メガトレンド
外発的
女性就労の増加により保育園・認定こども園は増加
・人口動態の変化
動機の
・回復期・慢性期病院及び高齢者介護施設の増加
・少子高齢化の進行
詳細
→ヘルスケア・介護食品の台頭
・働き方の多様化
・少子高齢化により労働力が不足し、卸先の調理の省力化が
今後、ますます必要になる
内発的動機の詳細
■在庫回転率の増加 ・手作業依存
当社の在庫回転率は従来高値であるが2022年～2024年にかけて 高所作業などもあり高い場所への
56.7回から62.4回と著しく増加しており欠品リスクが発生している。 保管などが困難
現倉庫の容量が限界となっており、建設当初は在庫型物流センター 力仕事でもあるため、高齢者・
であったが現状では通過型物流センターに近く欠品リスクが生じており、 女性・障碍者などを配置するのは
アレルギー対応食、ソフト食などの今後増大する製品のラインナップ 困難。
を増やすことができず安定供給の強化が必要。
内発的
動機の
詳細
・ヒューマンエラーの発生
先端的なデジタル化が遅れているため在庫管理等においてヒュー
マンエラーが発生し、検品作業が長時間化している。
従来、受注・発注・即納品の体制をとってきたが、戦略的な在
庫管理を実現できていないため商品の過不足が起き始めている。
当社戦略を遂行する上での高精度・多品種少量物流の実現
が困難。</t>
  </si>
  <si>
    <t>株式会社ジーケーエス
.補助事業の概要
2
少子高齢化を背景とし医療市場、高齢者介護市場では専門食が求められている。地域の食のインフラを支えている当社が自動
ラック型冷凍庫の在庫保有量を2倍、総在庫4倍となる物流倉庫を建設し地域包括ヘルスケアフード・サプライチェーンを構築する。
• 女性就労率の向上、労働力不足、高齢化を背景として簡単調理食品、専門食のニーズが増加している。 事業費 2, 百万円
補助事業の 495
• 豊富に在庫をかかえラインナップを増加する必要があるが倉庫容量及び手作業による生産性の低さから安定 （補助額） （ 百万円）
背景・目的 832
供給に懸念があり、成長戦略をとることができない。
■建物建設費：27.3億円
・自動ラック型冷凍庫300パレット→600パレットと容量が2倍となる
・総在庫を約4倍に増強することで学校給食、病院食等、介護食への安定供給を実現
・搬出入口を断熱性・気密性が高い断熱ドックシェルターとし、温度負荷の影響の少ない自動ラック
倉庫で商品保管する事で、省エネ化を目指す
・太陽光発電パネルを設置し事業開始後にパネル増設を計画
・厨房を備え試食会のプレゼンを積極的に行い、地産地消メニューやアレンジ献立をアピール
・外壁に国産木材や木材チップを混入した窯業系デザインを採用することでCO2の固定化
に貢献（およそ950㎏を達成予定）
設備投資の ・車いす対応のスロープ・エレベーター、身障者WCを設けサスティナブルな建物とする
内容 ・補助事業終了後の事業拡大を視野に入れ増築可能な敷地を確保（約17,000㎡）
■自動ラック・自動倉庫システム：1億円
・24時間稼働が可能となり生産性が飛躍的に向上
・冷凍庫内は‐25℃になるが自動化で対応、常温倉庫は夏は40℃になるが最新空調を完備
・賞味期限管理を自動化しヒューマンエラーの削減によるフードロス減少
■ソーティングロボットシステム：5,000万円
・仕分け業務の自動化を図る小型AGV（無人搬送車）を導入し倉庫内で物品を搬送
・力作業が不要となり搬送時間も短縮される
基準年度 事業化報告3年目
項目
2028年6月期 2031年6月期
労働生産性
6,539
21,814
（単位：千円/人） （年平均上昇率＋49.4％）
目標値 従業員1人あたり給与支給総額 5,735
（単位：千円/人）
4,682
（年平均上昇率＋7.0％）
役員
（
１
単
人
位
あた
：
り
千
給
円
与
/
支
人
給
）
総額
17,310
（年平均上
20
昇
,2
率
11
＋5.3％）
補助事業に係る従業員数
270 294
（単位：人）</t>
  </si>
  <si>
    <t>株式会社ジーケーエス
.補助事業の概要/設計図・自動倉庫システム
2
・ドライ倉庫・異なる温度帯のチルド室・固定ラック型冷凍庫・1階～2階までの自動ラック型冷凍庫を備えた建物を建設する。
・課題である手作業を解消。上部空間を有効活用できるため保管効率がアップする。
ロボット制御用のPVCシート上を走行し、予め
バケット単位の荷物の入庫・保管・出庫までの
設定されたシステムに基づき搬送・仕分けする自
一連の作業を一元管理できる自動倉庫。
動仕分けロボット。当社は、顧客要望に合わせ
フリーサイズ対応の移載装置やフリーロケーション
た小分けでの納入も行うため搬送・仕分け作業
機能を搭載したタイプ。システムによる受発注の
が省力化できる。また、力作業が不要となるため
管理が可能となる。
女性・高齢者・障がい者でも従事できる。
現在の人員 補助事業後の人員
冷凍倉庫 13人 6人
チルド室 2人 2人
ドライ倉庫 12人 6人
翌日の配送品は前日に仕分けしチェックを行っている。当日は、配
送前に営業職がもう一度検品を行い、間違いのないようにしている。
省力化により倉庫人員は13名削減し、配送前の検品作業に配
置転換を行う。
この配置転換により営業職が営業活動に注力できるようになる。</t>
  </si>
  <si>
    <t>株式会社エルス
1.長期成長ビジョン
• 当社は、環境とサステナビリティを経営の軸に据え、保管・物流から製造支援までを一体化した総合ソリュー
ションを通じて物流業界に革新をもたらす企業へと進化する
• 2029年度には売上高10,884百万円、営業利益2,367百万円という高い目標の達成を目指す
長期成長ビジョン（目指す姿・ビジネスモデル）
〈基本方針〉
環境保護やサステナビリティ・法令遵守を意識した事業展開により物流業界にイノベーションをもたらし、単なる物流企業から製造支
援機能等の多角的な総合ソリューションを提案可能な企業へと成長する。
〈重点戦略〉
• 製造業直結型物流モデルの全国展開 • サテライトセンター網による革新的配送体制構築
製造工場に直結した冷凍冷蔵倉庫を展開し、解凍工程や仕分け業務 物流の中継地点となるサテライトセンターを戦略的に配置し、多様な働き
など製造支援機能を付加。プリマハム鹿児島工場での成功事例をもとに 手を活用した効率的な配送網を実現。小型車両とパートタイム人材の活
三重工場など全国へ展開し、製造業との一体型物流を確立する。 用により、持続可能な物流網を構築する。
• 物流×販売融合による新ビジネスモデル創造 • 持続的な賃上げによる人材確保・定着強化
サテライトセンターによる広域運送網を活かし、メーカーが手の届かないエリ 継続的な賃上げ（年平均7.0%）と投資により、高度専門人材を確
アに対する卸売販売モデルを構築。混載方式と末端までの配送網を活 保・育成。新倉庫建設やサテライトセンター展開による多様な雇用形態
用した新たな収益機会を創出し、物流の枠を超えた総合サービスを展開。 の創出により働きがいのある組織風土を醸成する。
〈売上成長目標〉 ※CAGRは2025年度~2029年度の数字
■2029年度の会社全体の売上高10,884百万円（CAGR※26％）・営業利益2,367百万円（CAGR※85%）
外発的動機 内発的動機
取引先からの要請増加 社名に込めた使命感
物流人材の確保難 共存共栄の精神
2024年問題の顕在化 グリーン物流への先駆的取組
環境・サステナビリティへの意識高まり 地域雇用創出への責任</t>
  </si>
  <si>
    <t>株式会社エルス
.補助事業の概要
2
• 成長へのシナリオとして、現状の課題と設備投資による効果を記載
• 補助事業の成果により、労働生産性はCAGR33.0％、1人あたり給与支給総額はCAGR7.0％の実現を
目指す
• 2024年問題や少子高齢化による労働人口減少が進む中、取引先工場から生産数量増加
補助事業の 事業費 2 , 151 百万円
に伴う2棟目倉庫建設の要請を受けている。これを商機と捉え、効率的で持続可能な次世代
背景・目的 （補助額） （6 40 百万円）
物流モデルを構築する必要がある。
■現状課題
• 取引先工場の生産拡大に伴い、当社の倉庫容量が完全に不
足しており、対応しきれない貨物が発生して売上機会の損失に
直結している。
• 倉庫増設には19億円超規模の投資が必要であり、当社の事業
規模からすると財務的に大きな負担となるため、慎重な資金計
現状課題・ 画とリスク管理が求められる。
投資内容 • 人口減少を想定した省力化仕様の倉庫とする必要がある。
■投資内容
• 取引先工場直結の鹿児島西薩D･C新棟建設
• 冷凍冷蔵設備・空調冷熱総合管理ｼｽﾃﾑ、冷凍監視ｼｽﾃﾑ工事
• 省力化効果の高い移動・固定ラックを導入 移動・固定ラック イメージ
項目 基準年度 事業化報告3年目
労働生産性 15,637
（単位：千円/人）
6,647
（年平均上昇率＋33.0％）
目標値 従業員1人あたり給与支給総額 4,746
3,874
（単位：千円/人） （年平均上昇率＋7.0％）
役員１人あたり給与支給総額
-
（単位：千円/人） - （年平均上昇率＋7.0％）
補助事業に係る従業員数
252 274
（単位：人）</t>
  </si>
  <si>
    <t>古川電気工業株式会社
1.長期成長ビジョン
「世間良し」、「買い手良し」、「売りて良し」の三方良しの精神をもって成長を続け、自社の強みと外部環境の
ニーズを掛け合わせ、革新的な取組みを基に、2032年3月期にコンソーシアム合計売上200億円を目指す
長期成長ビジョン（目指す姿・ビジネスモデル）
外発的動機
◼ 目指す姿 ◼ 当社は、今後もグループ一貫となる生産体制・オーダーメイド設計
「世間良し」、「買い手良し」、「売りて良し」の三方良しの精神 技術を基に、下記のメガトレンドを捉えていくことに注力
⚫
をもって弊社の製品で街を活性化させ、カーボンニュートラルな ⚫ 配電盤類世界市場CAGR（2024年-2030年)
社会に向けて、高い顧客満足度で社会に貢献していく - 5.2%
◼ ビジネスモデル ⚫ データセンター用配電盤世界市場CAGR(2024年-2030年)
- 6.5%
主要事業である配電盤類の製造・販売事業を、近未来型の
⚫
【市場の拡大】
製造システム構築（マザー工場の確立の第一歩）、AIや
◼ 首都圏の再開発による建設投資の増加・AI投資の増加による
DXを活用した営業～設計の革新的な業務高度化を踏まえ
データセンター建設投資の拡大が確実視され、配電盤類の市場
た顧客開拓によってさらに伸長
が拡大する見込み
- 新規エリア・新規ターゲットの開拓推進
【市場の変化】
（西日本エリア・データセンター）
◼ 国内の労働人口が減少していくことを踏まえ、労働生産性の向上
- 海外販売展開の検討
に対する取組みが急務
主要事業の依存度低下に向けて新規事業の実施を検討
⚫
◼ また、持続可能な社会の実現のために、製造メーカー各社の課題と
- 足許では、省エネ製品の製造・販売を検討中
して、製造プロセス・製品における環境負荷低減が挙げられる
（テストマーケティングを実施中であり、結果に応じて本格的
に事業へ参入するか否かを決定していく）
内発的動機
会社全体の売上成長目標
◼ 近年の建築物構造の複雑化、脱炭素化の進展により、顧客から
（2025年3月期～2032年3月期）
の配電盤類に対するニーズが多様化
【コンソーシアム合計】
省スペース化・高機能化
⚫
◼ 売上高増加額12,252百万円（目標：20,000百万円） カスタマイズ性の担保
⚫
◼ 売上高年平均成長率14.5％
環境認証・規格対応
⚫
【古川電気工業単体】
◼ 当社としては、オーダーメイド設計によって顧客の要望に応え続け
◼ 売上高増加額9,982百万円 （目標：16,500百万円）
てきており、顧客に寄り添う姿勢によって顧客から高い評価を獲得
◼ 売上高年平均成長率14.2％
し続けている
【古川工業単体】
◼ 今後の上記の姿勢を継続し、顧客、引いては地域、環境にも波及
◼ 売上高増加額2,270百万円 （目標：3,500百万円）
効果を与えるような企業となっていきたい
◼ 売上高年平均成長率16.1％
（出所） 株式会社グローバルインフォメーション「配電盤の市場規模、シェア、動向分析レポート」より
QYRESERCH「データセンター用配電盤（PDU)―グローバル市場シェアとランキング、全体の売上と需要予測、2024～2030」より</t>
  </si>
  <si>
    <t>古川電気工業株式会社
.補助事業の概要
2
増築・最新設備の導入を古川工業工場（船岡工場）に対して実施することで、生産能力を飛躍的に向上し、
労働生産性の向上を背景に賃上げを実現
古川電気工業
◼ 西日本へのエリア拡大・データセンター向け販売の注力、今後の海外展開を見据えた事業
株式会社
補助事業の 拡大のために生産能力の向上が急務 事業費 , 百万円
2 131
背景・目的 ◼ また、工場の増築によって古川工業工場の立会検査用スペースを確保することで、製品輸 （補助額） （596百万円）
送が必要になることに起因する輸送の非効率性の解消を企図
【設備投資の内容】
工場レイアウトのイメージ
◼ 最新設備（ロボット・AI）の導入（7.87億円）
古川工業工場（船岡工場）で加工・塗装に関する自動化設備を導入
⚫
◼ 古川工業工場（船岡工場）の増築（10億円）
最新設備
古川工業工場（船岡工場）を増築し、生産能力を2倍以上に引き上げ
⚫ 導入
【設備投資による効果】
◼ 売上高・利益の増加
自動化設備の例
新規顧客の開拓・既存顧客からの引合を漏らすことなく対応可能になるこ
⚫
設備投資の
とで売上高・利益が増加
増築
内容 ◼ 生産効率・生産キャパシティの向上
最新設備導入による効率化、工場増築による生産キャパシティ拡大により、
⚫
全社の生産能力を現在の2倍以上に引き上げ
◼ 品質の安定化・対応可能工程の拡大
ロボットを活用し属人的な特殊技能を承継することで作業の平準化・品
⚫
質の安定化を実現。併せて現在外注している一部業務を内製化
◼ 労働環境改善・環境負荷低減 （出所） IKOMAロボテック株式会社HPより
危険工程の省人化による従業員の負担軽減、製品輸送の効率化による
⚫
環境負荷低減を実現
項目 基準年度 事業化報告3年目
労働生産性 28,886千円/人
12,519千円/人
（単位：千円/人） （年平均上昇率＋32.1％）
従業員1人あたり給与支給総額 7,001千円/人
5,651千円/人
目標値 （単位：千円/人） （年平均上昇率＋7.4％）
役員１人あたり給与支給総額
-
（単位：千円/人） - （年平均上昇率＋6.6％）
補助事業に係る従業員数
209人 213人
（単位：人）</t>
  </si>
  <si>
    <t>古川電気工業株式会社
.補助事業の概要
2
古川電気工業の投資と並行し、古川工業でも作業の効率化に向けた設備・治具を導入することで、生産効率
を向上し、労働生産性の向上を背景に賃上げを実現
古川工業
◼ 現在、古川工業の生産キャパシティが不足しており、事業拡大に応じた古川電気工業から
株式会社
補助事業の の製造要請に十分に対応しきれていない 事業費 1 百万円
4
背景・目的 ◼ 上記に加え、製造工程の各業務にて、非効率的な手法が採用されている一面があり、設 （補助額） （4.3百万円）
備・治具の入れ替えによる作業効率化が急務
【設備投資の内容】
◼ 作業負担軽減・効率化に向けた設備・治具の導入（0.13億円） 設備のイメージ
これまで対応に手間がかかっていた業務の効率化のために、溶接用設備・
⚫
仕上げ用の治具を導入
前述の自動化設備導入とは異なり、「作業そのものの効率化」に重点を
⚫
置いた投資
【設備投資による効果】
◼ 売上高・利益の増加
設備投資の 前頁の通り、古川電気工業の売上高増加に伴い、製造受託を請け負っ
⚫
内容 ている当社の売上高・利益が増加
◼ 生産効率・生産キャパシティの向上
これまで全て人の手で実施していた溶接、仕上げの工程に設備・治具を
⚫
導入することで生産効率を向上
併せて、人的リソースの置き換えが可能になることから生産キャパシティが
⚫
向上 溶接用設備 仕上げ用治具
◼ 労働環境改善 （ファイバーレーザー溶接機） （バリ取り機）
手作業で実施していた工程の作業負担が軽減するため、従業員の身体
⚫
的負担を大幅に軽減可能
項目 基準年度 事業化報告3年目
労働生産性 9,968千円/人
4,760千円/人
（単位：千円/人） （年平均上昇率＋27.9％）
従業員1人あたり給与支給総額 4,754千円/人
3,838千円/人
目標値 （単位：千円/人） （年平均上昇率＋7.4％）
役員１人あたり給与支給総額
-
（単位：千円/人） - （年平均上昇率＋6.6％）
補助事業に係る従業員数
98人 100人
（単位：人）</t>
  </si>
  <si>
    <t>株式会社ライズクリエイション
1.長期成長ビジョン
・直近決算と事業化報告3年目比較で、売上高年平均成長率を21.8％目指す。
・重点戦略としては、物流拠点の集約と自動化による出荷効率の向上、新製品の開発および新規事業分野へ進出することで、
多角的な事業ポートフォリオを構築し、高付加価値業務に人的リソースを優先的に配置することなどであり、長期成長を実現する。
長期成長ビジョン（目指す姿・ビジネスモデル） 外発的動機
• EC市場の持続的拡大
【目指す姿】
2030年にはEC市場が20兆円以上の規模へ拡大すると予測されて
・物流基盤の革新的再構築と高単価商品への本格参入による
おり、特に高品質・独自性を重視する消費者層の増加が顕著である。
収益体制の拡大
・地域連携型事業への進出により、D2Cビジネスモデルを進化させ、高収益
• 物流2024・2030年問題
企業として地域経済と共に持続的な成長を実現
労働人口の減少による物流業界の人手不足が深刻化しており、特
に2024年と2030年に大きな転換点を迎える。
【重点戦略】
・物流拠点集約と自動化による出荷効率の飛躍的向上 • 地域経済活性化の社会的要請
地方創生が国家的課題となる中、地域の特産品や産業を活かした
5拠点に分散した物流機能を新倉庫に集約し、自動梱包機導入により年
間225万件の出荷能力を確保。顧客満足度向上と利益率改善の両立を 経済循環の創出が求められている。
実現する。
・高付加価値商品開発による客単価向上と差別化強化
内発的動機
小型家電市場への本格参入により平均購入単価を引上げる。独自性のあ
• 三方良しの理念の追求
る高品質商品を開発し、40%超のリピート率をさらに向上させる。
「クリエイティブな三方良しが実現できる会社を創る」という企業理念
・地域連携型事業による多角的な事業ポートフォリオ構築
のもと、顧客・従業員・社会すべてに価値を提供するビジネスモデルの
新倉庫スペースを活用した3PL事業展開と、奈良県産品を活用したふるさ
進化を追求したい。
と納税返礼品の開発で事業多角化を推進。地域経済活性化に貢献する
新たな収益源を確立する。
• 一貫体制による差別化追求
・人的資本への戦略的投資による組織力向上
企画から販売・発送まで全工程を内製化する当社の強みをさらに強
物流DXにより余剰となる人材リソースを高付加価値業務へ配置転換。労
化し、他社が模倣困難な事業モデルを確立したい。
働生産性向上により年平均6.8%の給与引上げを実現し、優秀人材の確
保と定着を促進する。
• 地域貢献への強い意志
奈良県に拠点を置く企業として、地域経済との共存共栄を実現した
会社全体の売上成長目標（～2030年度）
い。ふるさと納税事業や3PL事業を通じて地域の中小企業や生産者
• 売上高増加額11,400百万円
と連携し、地域の雇用創出と経済活性化に寄与する企業として発展
• 売上高成長率21.8％
することを目指している。</t>
  </si>
  <si>
    <t>株式会社ライズクリエイション
.補助事業の概要
2
・基準年度から３年後までの売上高における年平均成長率は29.1％を目指す。
・本補助金を活用した投資額は2,578百万円を予定している。
・事業戦略としては、物流拠点の集約と面積の拡大による新製品の開発および新事業への進出である。
• EC市場は堅調に拡大し、2030年までに20兆円以上の規模へ成長すると予測される
補助事業の 事業費 2, 百万円
• 売上拡大に向け、物流拠点の分散による非効率性の解消とコスト負担の軽減、 630
背景・目的 （補助額） （859百万円）
作業品質向上による出荷能力の確保が急務となっている
◆新規物流倉庫建設
• 概要：5拠点に分散している物流拠点を集約することで作業効率の大幅向上を図り、
老朽化した既存倉庫での労働安全リスクを解消し、年間225万件以上の
出荷能力を確保する。
• 効果：拠点間移動の解消で作業効率が30％改善。加えて、床面積を1.6倍拡張
することで保管能力増強と3PL事業進出による収益の確保が可能
設備投資の
内容 ◆自動梱包機２台（ネコポス・ゆうパック対応）
・概要：手作業依存による非効率と日雇いアルバイトへの依存による作業品質のムラを解消するために自動梱包機を含めた自動
化ラインを構築する。これにより、225万件/年の出荷に対応する処理能力を確保する。
・効果：本設備導入により20名以上必要だった出荷作業が4名程度で対応が可能となる。
加えて作業時間も30％以上短縮できる見込みとなる。作業員の省人化から品質の安定化や出荷ミスの抑制も期待する。
省人化による人件費削減効果化は36,897千円/年を見込み、給与支払総額6.8％引き上げ実現の財源とする。
項目 基準年度（2026年度） 事業化報告3年目（2029年度）
（単
労
位
働
：
生
千
産
円
性
/人）
9,669
（年平均上
1
昇
7,2
率
5
＋
9
21.3％）
目標値 従業員
（
1
単
人
位
あ
：
た
千
り給
円
与
/人
支
）
給総額 2,329
（年平均上
2
昇
,83
率
7
＋6.8％）
役員１人あたり給与支給総額
-
（単位：千円/人） - （年平均上昇率＋6.8％）
補助事業に係る従業員数
175 192
（単位：人）</t>
  </si>
  <si>
    <t>株式会社シー・エス・ケイ
1.長期成長ビジョン
本事業では外部環境の強力な追い風を得ながら、建設中の新工場に自動化の設備を投入します。新設備によるスマート工場化で生産効
率を上げ、職場環境を整備し、余剰人材をリスキリングして適正な再配置を行うことで、生産性の向上、品質管理の強化、採用力の強化、
新商品・新分野展開など、様々な取り組みを行います。
長期成長ビジョン（目指す姿・ビジネスモデル） 自動クレーン等
外発的動機
①自動化設備によるスマート工場化 • 社会インフラの老朽化
ボトルネックとなっていた仕掛品の移動やバリ取り等の 建設後50年超の道路や橋などが老朽化。建替や補強工
自動化に取り組み、生産性が高いスマート工場を実 事の需要は増加傾向。
現させます。経験の少ない外国人労働者や派遣社 • 物流2024年問題による生産拠点の移転
員の教育コストを下げ、製品コストに反映させます。 大手企業が地方に新拠点を設ける動きが活発化。
• 円安・トランプ関税による製造拠点の国内回帰
②採用力強化、働きやすい職場環境整備 大手による国内の新工場や物流拠点建設の需要が増加。
スマート工場を求職者に積極的にアピールすることで、地元からの採用力を強
化します。自動クレーン等で安全で働きやすい職場環境を構築します。
内発的動機
③組織の再構築
• 積極的な設備投資とM&amp;Aによる成長精神
スマート工場による省力化と工場集約による勤務地の統一で、余剰人員の
• 二次加工までワンストップで対応する加工体制。
柔軟な活躍が可能になります。リスキリングにより、生産管理や品質管理、営
業力のさらなる強化を行います。 • 製鉄会社の資本が入っておらず営業のフットワークが軽い。
• 大量加工から多品種少量加工まで受けられるため、顧
④新商品・新分野展開 客にとって競合他社より利便性が高い。
新しい設備で、長尺のビルドH鋼を高効率かつ安全に生産できるようになりま • 生産能力の限界。売上90億円で頭打ちの見込み。
す。また、再生エネルギー関連の製罐の大型案件の受注も可能になります。 • 少子化で人手不足。人件費高騰で新規採用の困難化。
• 外国人労働者、派遣社員への教育コスト。
会社全体の売上成長目標（～2030年）
・売上高増加額：10,900百万円 ・売上高成長率：30.0%
Point
スマート工場化の実現のために、先行投資として3工場と2倉庫を集約する新工場を建設中です。（補助対象外）
本事業では最新の加工設備や各種自動化の設備を導入予定です。自動クレーン、自動搬送台車、自動ピッキング、無人搬送フォークリフト、自動収納
ラック等の設備を連動して稼働させることで、入荷から加工・出荷までの主要工程を自動化し、スマート工場を完成させる画期的な試みです。</t>
  </si>
  <si>
    <t>株式会社シー・エス・ケイ
.補助事業の概要
2
当社はこれまでに積極的な設備投資やM&amp;Aで売上を拡大してきましたが、生産性の問題で成長の加速が弱まってきていました。
本事業では革新的な自動化に取り組み、鋼板加工のスマート工場として世界的なモデルケースを目指します。この大改革により2030年ま
でに売上200億円を目指します。
補助事業の • 外部環境が追い風の状況に対して、工場は生産能力の限界で売上が停滞。 事業費 1, 百万円
769
背景・目的 • 各種自動化の設備で工場をスマート化し、生産性と生産能力を大改革する。 （補助額） （ 百万円）
590
• 導入する自動化設備例
• 運搬工程の自動化
自動クレーン、自動搬送台車、自動ピッキング、無人搬送フォークリフト等で 自動クレーン 無人搬送フォークリフト
搬送工程の自動化に取り組みます。これらの自動化を実現するためのスケ
ジューラー・入出庫管理システムを導入します。スマート工場化で生産性を
向上し、働きやすく安全な職場環境を実現します。
設備投資の • 加工工程の改善
内容
高出力の新型ファイバーレーザ切断機で加工工程を革新します 。従来、複
数の工程で加工していたものを1工程に集約することが可能になるだけではな 自動搬送台車 自動ピッキング
く、加工スピードも向上し、生産能力を拡大させます。
• 新分野への挑戦
40mmまでの厚板の高精度加工が可能になり、橋梁用の部品やビルドH鋼
の加工、自然エネルギー関連の製罐・板金分野への進出を行います。
項目 基準年度 事業化報告3年目
労働生産性 10,990 22,26 8
（単位：千円/人） （年平均上昇率＋26.5％）
目標値 従業員1人あたり給与支給総額 5,810
4,74
3
（単位：千円/人） （年平均上昇率＋7.0％）
役員１人あたり給与支給総額 -
-
（単位：千円/人） （年平均上昇率＋7.0％）
補助事業に係る従業員数
123 168
（単位：人）</t>
  </si>
  <si>
    <t>株式会社シャノワール
1.長期成長ビジョン
◼ 大阪を中心としたドミナント出店戦略を加速し、地域一番の洋菓子チェーン店としての地位を確立
◼ パティシエが店舗で仕上げる鮮度の高いケーキを低価格で提供するビジネスモデルが最大の強み
外発的動機
当社のビジョン：美味しいお菓子を気軽に
■拡大するターゲット市場
「Make Our Guest Happy」
• 国内の和洋菓子・スイーツ市場は、2兆2,000億円規模で推移
デパ地下やコンビニスイーツの人気もあり、大きな市場を形成
長期成長ビジョン
• 少子高齢化で将来的に市場縮小につながるものの、インバウンド
①パティシエ品質のケーキ屋として地域に愛されるNo.1ブランドを確立 を含めた旺盛なスイーツ需要は今後も継続する見込み
②ドミナント戦略を基本に商圏を関西・名古屋へ拡大 ■競合他社の動向
③新工場設立による効率化を進め、事業成長に向けた生産能力を確保 • シャトレーゼが独自の商品ラインナップを強みに市場を牽引
• コンビニ業界やデパ地下も人気スイーツ店とのコラボを加速
目指す姿・ビジネスモデル
■市場ニーズ、事業環境の変化
①既存のドミナント戦略（ロードサイド出店）を加速し、地域に愛される • 光熱費や原材料高騰が進み、手作りケーキ屋の値打ち感が薄れ、
「シャノワール」ブランドを高め、優位性あるビジネスモデルを築く 大量生産の冷凍ケーキが売上を伸ばしている
• 冷凍ケーキでは対応できない商品を手頃な価格で提供するには、
②新たな成長エンジンは、集客性が高い駅・商業施設への出店とグループ
より効率化できる生産体制が必要
企業を通じた販売網の拡大 長年培ったブランド力を生かし集客
内発的動機
③自動化による労働生産性向上、コスト競争力の強化を進め、手作業中
■地域に根差した洋菓子ブランドの強み
心の古い洋菓子業界の働き方から脱却、従業員の待遇改善を図る
• パティシエが目の前でケーキを作ることで、子供たちへ夢を与えるブ
ランドを作りたい（将来、パティシエになるという夢を描いてもらう）
売上成長目標
■従業員満足の向上
【直近：2025年3月期】 【事業化３年目：2031年3月期】
• 賃金上昇による従業員の生活水準の維持・向上は社会的責任、
売上高 1,686百万円 売上高 5,091百万円
その原資を獲得するための売上・利益の確保が必要
営業利益 167百万円 営業利益 1,033百万円
■成長に向けた布石
売上高増加額 3,405百万円
• 生洋菓子の「鮮度」と「価格」は当社の最大の強み。商圏拡大に
売上高成長率 301.9％
よる更なる成長に向け、生産体制の増強が不可欠</t>
  </si>
  <si>
    <t>株式会社シャノワール
補助事業の概要
2.
◼ 商業施設（ららぽーと）出店を含めたドミナント戦略にでファンは拡大、黒ねこブランドは順調に浸透
◼ 一方で、セントラルキッチン(既存工場)の生産能力が不足し販売機会ロスが発生、新規出店に制限、成長への足かせとなる
◼ セントラルキッチンからセントラル工場への進化を図り、大胆な自動化・省力化を進め、成長路線へ転換
既存工場の供給力不足により、 既存工場は建屋が狭く、 焼き菓子は製造委託に依存
売上増に転換できず成長が鈍化 生産設備が旧式で労働集約型 既存工場は、拡張が困難
補助事業の 事業費 31 億円
★生産能力倍増 ★顧客接点強化
背景・目的 （補助額）（9.8億円）
供給能力拡大により 労働生産性の大幅向上による 焼き菓子の内製化による
販売機会ロスを回避 コスト競争力あるモノづくり 付加価値の取り込み
生産拠点の刷新 ＝ セントラルキッチンから『セントラル工場』への進化 新工場の概要
生産能力拡大・生産性向上 工場用地購入済：
一人当たり生産性
①手作業の徹底した削減 パティシェ作業とスタッフ作業を分離
大阪市鶴見区焼野3丁目202番1 204番
自動化設備による省力化推進 240%向上
設備投資の
１階：新店舗、出荷エリア
②製造装置の大型・高速化、ライン化による大胆な生産性向上 ・生産能力：3倍
内容
２階：焼き菓子製造
・製造人員：25％増
付加価値の向上 （現状60名→75名） ３階：焼き菓子製造、冷凍庫
①新クーリング方式(瞬間冷凍) フルーツの鮮度保持向上 ４階：ケーキ製造、冷凍冷蔵庫
１階：アンテナショップ併設
②当社初の新焼き菓子開発 ２色フィナンシェ製造プロセス ５階：工場管理・商談エリア
項目 基準年度 事業化報告3年目
労働生産性 5,843
2,872
（単位：千円/人） （年平均上昇率＋26.7％）
目標値 従業員1人あたり給与支給総額 2,099
1,723
（単位：千円/人） （年平均上昇率＋6.8％）
役員１人あたり給与支給総額 8,415
7,166
（単位：千円/人） （年平均上昇率＋5.5％）
補助事業に係る従業員数
345（本社＋製造＋店舗の総人員） 370（増員の要因：製造体制強化＋新店舗出店)
（単位：人）</t>
  </si>
  <si>
    <t>セーレンアドバンストマテリアルズ株式会社
1.長期成長ビジョン
AI、電気自動車(EV)、ロボットなどに必要な半導体部品の材料基板となる特殊な仕様のシリコンウェーハ
を生産し、ニッチ市場におけるトップ企業となる
外発的動機
長期成長ビジョン（目指す姿・ビジネスモデル）
• 当社の酸化厚膜は光ファイバ通信に欠かせない光合分波器(PLC)を製
造するための基板として用いられてきたが、近年、AIデータセンタでも用い
事業内容 シリコンウェーハ事業
られるようになっており、需要が急増している
・シリコンウェーハ加工事業：酸化膜付与やSOI加工 • また、光変調器やLiDAR(光による検知と測距離)などの用途の拡大が
見込まれている
・シリコンウェーハ仕入販売事業：仕入品を商社として販売
• 当社のSOIは速度センサや小型ミラーなどのMEMS製品を製造するため
の基板として用いられてきたが、近年、圧力センサや超音波センサなどの
補助事業の対象：シリコンウェーハ事業 用途が拡大しており、また電気自動車用のパワー半導体の基板としても
・酸化厚膜 現行品の増産(6,8inch) 開発が進められている
新製品の量産化(12inch) • これらの製品はAI、電気自動車(EV)、ロボット用センサとして用いられ、
今後広く普及していくことが想定できる
・SOI 現行品の増産
• 国としてもすべての産業の基盤として必要不可欠な半導体産業を支援し
新製品の量産化(精密SOI)
ているため、成長していくと考えられる
期待される新たな用途 内発的動機
• 当社の現工場は既にフル稼働の状態であるものの、空きスペースが無く、
・酸化厚膜：光合分波器(AIデータセンタ用)、光変調器
増産対応ができない状態であるため、新工場を建設して、市場や顧客の
(光ファイバ通信用)、LiDAR(EV用)など
需要に応えられる生産体制を築きたい
・SOI：圧力センサ,LiDAR,超音波センサ(EV用) • 酸化厚膜とSOI共に新製品の開発を行っており、量産化したいものの、
専用設備が必要で現工場では設置場所が無く、量産化できない。新工
振動子(スマートフォン用）など
場に新製品用の設備を導入して、量産化したい
• 現工場は順次設備を増設しており、設備レイアウトが作業性を考慮でき
ておらず、動線が長いだけでなく、製品加工における仕掛品のハンドリング
今後の目指す姿
や管理などに人員が必要となり、非効率な工場になっている。新工場を
顧客の研究開発段階から酸化厚膜とSOIを供給し、顧客と 建設して、動線や仕掛品管理を考慮した工場レイアウトを実現したい
共に新規半導体製品を実用化することで、ニッチ市場におけ • 現在は倉庫が10㎞ほどの遠隔地にあり、運搬等に時間がかかるため工
るトップ企業となる 場内に倉庫を確保したい
SOI：「Silicon on Insulator」の略
会社全体の売上成長目標（～2030年）
MEMS:「Micro Electro Mechanical Systems」の略
• 売上高増加額46億円（2024年比）
シリコンウェーハなどの上に、電子回路とセンサやアクチュエーターなどの機械要素
• 売上高年平均成長率19％
を立体構造で作りこんだ部品</t>
  </si>
  <si>
    <t>セーレンアドバンストマテリアルズ株式会社
.補助事業の概要
2
酸化厚膜とSOIの増産、新製品量産化、作業効率改善を目的とした
①工場建設、②生産設備の導入、③倉庫新設を行う
• 酸化厚膜とSOIの需要増に対応した増産のために工場建設および設備を導入する
補助事業の • 新製品生産用の設備も導入し、販売単価と売上をアップさせる 事業費 4,3 53 百万円
背景・目的 • 新工場では設備レイアウトを最適化し、作業効率を改善させる （補助額） （1,4 11 百万円）
• 工場内に倉庫を設けることで、運送や仕分けなどの作業時間を削減する
内容 効果 投資額
新規設備の設置場所が確保され
建屋建築 増産が可能となる
工場建設 3,000百万円
クリーンルーム設置 作業性が改善され、労働生産性
が高まる
設備投資の
酸化厚膜生産設備一式 厚膜生産量 1.6倍 660百万円
内容 生産設備
の導入
SOI生産設備一式 SOI生産量 2.2倍 720百万円
工場イメージ図
現倉庫は遠隔地にあるため、 －
倉庫新設 工場内倉庫新設
移動や管理が効率化される (工場に含む)
項目 基準年度 事業化報告3年目
労働生産性 42,499千円/人
16,588千円/人
（単位：千円/人） （年平均上昇率＋36.8％）
目標値 従業員1人あたり給与支給総額 6,992千円/人
5,660千円/人
（単位：千円/人） （年平均上昇率＋7.3％）
役員１人あたり給与支給総額
-
（単位：千円/人） - （年平均上昇率＋7.3％）
補助事業に係る従業員数
58人 69人
（単位：人）</t>
  </si>
  <si>
    <t>株式会社進和
1.長期成長ビジョン
スマートファクトリーイノベーション分野、航空・宇宙分野事業をさらに伸長し、グローバル事業を推進。持続可
能な社会に貢献し、未来価値を創造する企業を目指す
中期経営計画 長期経営計画
長期成長ビジョン（進和の企業使命） 外発的動機
• 産業競争力強化
• 金属接合を事業の核とし製造部門を持つエンジニアリング商社と
国際情勢の変化を背景に、わが国においても航空宇宙技術の重
して、産業界のニーズを的確にとらえ、高度なソリューション提供に
要性は増大している
より人、モノ、社会をつなぎ、未来へ続く付加価値創造を実践す
• 経済成長およびグローバル化の進展
ることで世界中のお客様から期待される企業となることを目指す
各国における経済発展および中間層の拡大により、航空運輸への
• 気候変動、ダイバーシティ、地域共生などの社会課題に真摯に向
需要は増大している
き合い「持続可能な社会の実現」と「事業の持続的な成長」に取
• 製造業の人手不足・DX化
り組む
スマートファクトリー構築支援やロボット・AMR導入による省人
• これまで培ってきた「強み」をさらに磨き上げることで、持続可能な事
化・自動化ニーズが増加
業成長を実現する
• グローバル市場の変化
経営目標 生産効率および柔軟性向上の必要性や、生産工程における品質
管理の重要性はグローバル市場で戦う上で重要となっている
※最終年度（2031年8月期）単体業績目標
全社の売上成長目標（基準年度前年～事業化3年目）
内発的動機
売上高成長率 10.３ % • 技術への誇りと挑戦心
創業以来培った接合技術を深化させ、非鉄金属や異種金属の加
売上高増加額 335 億円 工など次世代技術への挑戦を継続
• 顧客への課題解決による価値創造
会社全体の賃上げ目標（直近事業年度～基準年度）
単なる販売ではなく、新たな価値を生み出すために顧客課題を解
決することで当社も顧客と共に成長
給与支給総額増加額 7.3 億円
• 社会貢献
年平均賃上げ率 4.4 %以上 社会課題を解決するための新しい価値を提供し続けることが、当
社および社員の持続的成長や企業使命の達成に繋がる
※給与支給総額ベース</t>
  </si>
  <si>
    <t>株式会社進和
.補助事業の概要
2
春日井第2事業所プロジェクトは、スマートファクトリーイノベーション事業、航空・宇宙事業の伸長を通じ、地
域産業の高度化と持続的な賃上げを実現する大規模成長投資である
補助事業の • 国内製造業のスマートファクトリー化、航空・宇宙事業への需要増に対して自社事業所の 事業費 ,47 百万円
3 3
背景・目的 キャパシティがボトルネック。今回春日井第2事業所を立ち上げ、大規模成長を目指す （補助額） （ 百万円）
699
• 投資内容（合計：5,478百万円）
• うち補助対象経費
• 建物費（工場兼事業所）：2,885百万円
春日井第2事業所
• 機械装置費 ：60百万円
（自律搬送ロボット、ヒューマノイドロボット）
• ソフトウェア費 ：40百万円
（ネットワーク、ソフトウェア等）
• 実施事業（補助対象事業）
設備投資の
• スマートファクトリーイノベーション事業
内容
（顧客のスマートファクトリー化・FA化を推進）
• 航空・宇宙機器事業（航空・宇宙関係機器部品の設計～製作～メン
テナンス等を実施）
• 製造キャパシティを拡大することにより、顧客の需要増に対応。さらに、航空・宇宙
機器事業といった高付加価値の事業を伸長させることにより、創出付加価値の増
加ならびに生産性の向上を図る
• 域内企業との連携を強化し、地場の産業競争力の向上に寄与
• 賃上げおよび雇用増に取り組み、地域への貢献および持続的な成長を目指す
基準年度 事業化報告3年目
項目
（2028年8月期） （2031年8月期）
24,64
労働生産性 3
14,191
（単位：千円/人） （年平均上昇率＋20.2％）
目標値 従業員1人あたり給与支給総額 8,111
6,710
（単位：千円/人） （年平均上昇率＋6.5％）
役員1人あたり給与支給総額
（単位：千円/人） - -
補助事業に係る従業員数
154 210
（単位：人）</t>
  </si>
  <si>
    <t>丹羽鋳造株式会社
1.長期成長ビジョン
長期的成長ビジョン
：鋳造業を牽引する技術革新を図るため、最新技術への挑戦につなぐ！
長期成長ビジョン（目指す姿・ビジネスモデル） 外発的動機
• 近年発展及び開発のスピードが目まぐるしい３DやAI、IoTに代表さ
• 当社のような鋳造や油圧といった古くから積み重ねられた技術が、3D
れるようなDX化技術の進歩と、参入障壁の低下
モデリング、デジタルツイン、AIといった最新技術をどのように活用して
いくか、かつて主軸だった産業、すたれつつある産業という印象から、コ • 長く続いた日本のデフレ経済からの脱却の機運と設備投資に対する追
スト面でも技術面でも、今後も基盤産業の一つとされるような進化を、 い風
業界だけでなく社会にも示していけるような道を示していきます。
• 地政学的または環境的変動に起因する近年の不安定な世界情勢と、
• その手始めとして、装置産業が目指すべき姿として、デジタルツインの
それに伴う社会経済の再構築を巡る機会到来の予測
有効活用のあり方を示します（＝BIM再編計画）。
• 社会ニーズとして多品種少量といった、従来のライン生産では難しい
課題に対して、真正面から向き合っていきます。
• 究極の自動化を目指し、そのロードマップの在り方を模索していきます。
内発的動機
会社全体の売上成長目標（2030年度4月期:5年後） • 技術的な難題を乗り越えてきた経験を次なる挑戦につなげていく、挑
戦しつづける企業文化
• 売上高成長率 121.5％（基準年度比）で年平均40.5%up
• 安定した経営基盤を背景に、後発からでも先進的な変革を推進する
• 売上高増加額 99億円（売上高180億円突破）
経営層の意思と実行力
会社全体の賃上げ目標（1人当たり年平均賃上率）
• 若年層を中心とした柔軟な組織体制と、“きれいな鋳物工場”の実現、
• 6.3%（基準年度以降、事業化報告3年目までの年率） 冷暖房完備の職場環境、全数検査体制など、他社に先駆けた現場
改革に基づく独自性、そして確かな成功体験
※対象期間において増員計画としているため賃上げ目標を総支給額目標で
換算すると、年率は7.5%となります。
【BIM再編について】BIMはその名が示すとおり、主に建築業界で使われているモデリングソフト群の総称ですが、その中身は3Dモデリングデータ
に合わせて情報を管理するものです。当社は更地に工場を建設するという段階は終わり、今後既存の設備・建物をいかに効率よく改善していくかと
いう段階に来ています。それを踏まえてのBIM再編であり、今回の物流BIM再編はその皮切りです。今後は在庫管理や、保全などの定常管理業
務への活用、設備改築や新生産ラインの創造など、今後様々なプロジェクトの中心に置くのがBIM再編計画です。</t>
  </si>
  <si>
    <t>丹羽鋳造株式会社
.補助事業の概要
2
物流基地の建設により、在庫保管量の増加と物流自動化を実現し出荷能力を大幅に改善し、更なる飛躍を目指す
続く最新技術との融合を図ることで、デジタル技術と職人技を融合。次世代鋳造企業へと進化する
• 当社は長期的な視野に立った工場の再編計画に当たりBIMを活用した3Dモデルで考える事
補助事業の 業改革を進めています。補助事業はその第1段階として、売上の頭打ちの原因となっている出 事業費 1, 300 百万円
背景・目的 荷能力の向上を目的として、物流基地の建設を進めます。これは、それに連なる自働化、省 （補助額） （372百万円）
力化、生産能力向上の第2段階の計画に繋げていきます。
物流拠点の建設
① 屋内作業可能なトラックヤードの設置
鋳物など重量物の出荷・在庫作業が屋外で行われているため、天候によ
り作業効率が大きく低下している。120㎡超の屋内化により安定した作
業が可能となり、労働生産性は25％以上向上する見込み。
② 自働化、省力化を進めた自動倉庫の設置による在庫・出荷管理
設備投資の
人手とリフト作業に頼る在庫管理を自動化、在庫量そのものを大きく増
内容
やす(現状対比約3倍)。工数削減＝特に2名分のリフト作業が不要に。
③ 社内の生産流動と社外の配送業者をつなぐコントロールタワーの設置
社内の生産と社外の配送をつなぐ指令拠点として、情報を集約・管理す
る事務所を設置。物流全体の可視化と効率化を図る。
※ 安全を確保した上で生産性向上を、会社全体での取組みとして展開す
るために、安全道場、品質道場等の従業員の学びの場を設けます。 屋内ﾄﾗｯｸﾔｰﾄﾞ 立体自動倉庫 物流ｺﾝﾄﾛｰﾙﾀﾜｰ
項目 基準年度 事業化報告3年目
労働生産性 16,350
9,492
（単位：千円/人） （年平均上昇率＋19.9％）
従業員1人あたり給与支給総額 5,94
目標値 4,941 8
（単位：千円/人） （年平均上昇率＋6.4％）
役員１人あたり給与支給総額 23,642
19,726
（単位：千円/人） （年平均上昇率＋6.2％）
補助事業に係る従業員数
177 183
（単位：人）</t>
  </si>
  <si>
    <t>株式会社サン海苔
1.長期成長ビジョン
佐賀海苔ブランドの新たな価値を創出。
伝統×技術の生産体制で、高品質かつ安定価格の供給を実現する企業を目指す。
長期成長ビジョン（目指す姿・ビジネスモデル） 外発的動機
「佐賀海苔」の普及と価格の安定を基本思想に設立した • 物価高騰で海苔の価格が全国的に上昇。海苔は嗜好品のため、一般
当社の意義を再認識し、「佐賀海苔ブランド」の新たな提 家庭での買い控えや、コンビニ・スーパー等のおにぎりでも“のりを巻かない
商品”が登場する等、食品メーカー、消費者の海苔離れが懸念
供価値を創造する。
• 海苔の食料自給率は減少し、韓国・中国産の安価な海外産海苔の国
佐賀海苔生産者の想いを受け、海苔の製造から販売を一貫する加
内流入が起きている
工業者として人と社会の健康を目指し、国内外へ佐賀海苔の美味し
• SNSでの情報発信や訪日観光客の増加から、世界各地で日本食ブー
さを提供する
ムや健康志向で食材としての「海苔」が注目され、海外需要が高まってい
①佐賀海苔の普及・新たな提供価値の創造 る
• 国内におけるBtoBビジネスの新たな成長ストーリーを構築、海外
進出を本格化する
• 既存商品カテゴリ、取引先を整理し、国内外販路拡大に向け、 内発的動機
「佐賀海苔」の新たな提供価値を見出す新商品開発に取り組む
• 佐賀県沖の有明海は全国有数の養殖のりの産地であり、生産量・販売
②価格の安定
額ともに19年連続日本一を誇っていたが、2023年以降、雨不足とプラン
• 工程自動化等の先進技術を活用し、経営理念を具体化した高 クトンの増殖で栄養塩が不足。有明海の海苔は記録的な不作になり、
３期連続で兵庫県に日本一を奪われ、大差で２位に沈んだ。当社は佐
い安全性と生産性、伝統技術を反映した生産体制を構築、物価
賀海苔生産者たちの出資で設立した経緯があり、不作で苦境に立たされ
高騰の中でも、安定した価格での供給を実現する。
ている今こそ、生産者や地域を盛り上げていきたい
• 「佐賀海苔」は、九州では一定の知名度を獲得しているが、関東の展示
会に出展した際、来場者の反応から認知度の低さを実感した。悔しい思
会社全体の売上成長目標（2025年9月期～2030年9月期）
いから、佐賀海苔の美味しさを日本全国に伝えたいと強く感じた
• 売上高増加額 ＋3,139百万円
• 会社としてダイバーシティを実現し、全ての社員と会社がともに成長できる
• 売上高年平均成長率 14.0％
環境を目指し、生産性向上、労働環境改善に取り組みたいと感じた</t>
  </si>
  <si>
    <t>株式会社サン海苔
2.補助事業の概要
本事業は、生産能力不足による成長制約を最重要課題と位置付け、これに加えて生産性低下・品質リスク、
人手依存の解消、海外販路拡大を一体的に解決することを目的に大規模な設備投資を行う。
• 売上拡大の潜在性はあるが、現状の製造能力が不足しており事業拡大を阻害している。
• また、人材採用の難易度が年々高まっており、労働力に依存する人為プロセスが多く残り、現行体制では将 事業費 1,388百万円
来的に現状の生産量の維持も困難となる。 （補助額） （426百万円）
• 本補助事業を通じ、深刻化する人手不足の課題を抜本的に解決し、生産性向上を実現。持続的な事業
補助事業の 拡大の基盤を構築する。
背景・目的
製造面における問題点 事業目的（解決すべき課題）
製造能力不足が営業機会を損失。成長の制約となっている ①増産体制構築による製造能力増加
人員確保難・社員高齢化で人手作業工程の生産性低下、品質リスク増 ②自動化・省人化に資する設備投資で原価低減・品質安定
HACCP認定基準未対応のため海外販路拡大に制限 ③海外の本格展開を見据え、HACCP認証を受け販路拡大
補助事業による投資内容② 高効率装置、自動化ラインの導入
補助事業による投資内容① 新工場の建設工事
省人化した新生産プロセスに必要な自動化設備を導入
販路拡大に向けた生産能力の増加を図るため、 HACCP認証に対応
した設計で新工場建設を行う 投資効果
設備投資の
投資効果 高効率装置・工程自動化により生産速度が上がり、製造能力向上（課題①）
内容
HACCP認証基準に適合した製造環境を整備することで、衛生面の課 人手作業の機械化・省人化で生産性向上による原価低減と品質安定を実現
題（課題③）を解決。 （課題②）
自動化設備を配置しやすい内部構造とすることで、省人化・生産性向
上といった課題①・②の解決にも寄与する。 ※投資内容①②の詳細は次頁に補足
項目 基準年度 事業化報告3年目
労働生産性 11,494
4,211
（単位：千円/人） （年平均上昇率＋39.8％）
従業員1人あたり給与支給総額 3,845
目標値 3,229
（単位：千円/人） （年平均上昇率＋6.0％）
役員１人あたり給与支給総額 -
-
（単位：千円/人） （年平均上昇率＋5.0％）
補助事業に係る従業員数
72 72
（単位：人）</t>
  </si>
  <si>
    <t>株式会社玉子屋
1.長期成長ビジョン
本補助事業を通じた設備投資により生産力を増強することで、学童保育・私立学校を始めとする新たなマーケッ
トを開拓し、当社の中長期的な成長と「食のインフラ企業」としての社会貢献を果たす
長期成長ビジョン（目指す姿・ビジネスモデル） 外発的動機
 社会構造の変化によるお弁当ニーズの増加
【目指す姿】
 共働き家庭、一人親家庭の増加によって、保護者が子供のお弁当を
 「人々の健康を支える食のインフラ企業」としての役割を果たし、より多
準備するという従来の在り方が難しくなっている。これによって、働く人々
くの方へ美味しくて安心できる食を提供する
のお弁当ニーズだけでなく、子供たちのお弁当ニーズも増加
 お弁当という日本ならではの食文化を振興・継承していく
 私立学校では給食の実施率が低く、当社の商圏である東京では特に
上記のような傾向が顕著
【ビジネスモデル】
主にオフィス向けの仕出し弁当を製造・販売
 給食から弁当への移行
 毎日日替わり弁当一種類を製造。一種類製造に特化することにより、
 公立の小学校の場合は学校の建て替えが順次計画されている。建て
安価でありながら十分な利益を確保することが可能
替え中は給食室の用意がないため弁当の需要が増し、当社が受け皿
 当日注文・当日配送により、廃棄ロス0.1%以下を実現
となっている
 自社配送によるエリア別の効率的配達方式を構築
 公立学校で給食としてデリバリー方式（配送弁当）を採用する自治
体も現れるように。校舎の建替えに伴い、こうした需要が増加する機運
【更なる成長に向けた事業戦略】
となっている
設備投資により生産力を強化し、新しいマーケットを開拓する
 学生向けの弁当販売
-
共働き、一人親家庭の増加により、給食の無い日や学童保育等
内発的動機
での食事準備の負担が課題
 食のインフラ企業
⇒給食を実施していない私立学校やデリバリー方式のニーズの
 当社は「安全・安心で美味しく、健康的な商品を適正価格でお届け
ある公立学校、学童保育向けの弁当事業を新たに展開
する」ことを理念とし、創業以来50年間、法人向け仕出し弁当の提
 設備投資による工場の増設、既存工場の省力化・環境整備
- 供を通じて、企業で働く人々の健康を支えてきた
現在の生産力を2倍以上に
-  共働き家庭の増加等の社会構造が変化する中、次世代を担う子供
工場の環境を快適にし、従業員がより気持ちよく安心して働くこと
たちにも健康で安心できる食事を届けたい
のできるように⇒最新設備の導入と併せて、生産性の向上・人材
 お弁当という日本の食文化を振興・継承することで社会貢献したい
確保を目指す
 持続的な成長の実現
会社全体の売上成長目標（～2030年度）
 販路を増やすことでオフィス向け以外にも新たな収益の柱を構築し、中
• 売上高増加額＋8,212百万円
長期的に高い成長を目指していく
• 売上高成長率＋155％
 工場を増設することで生産力を強化するとともに、1日に2種類の弁当
製造を可能とする</t>
  </si>
  <si>
    <t>株式会社玉子屋
2.補助事業の概要
需要拡大する新マーケットを開拓するため、設備投資により新工場を増設し生産力を強化。さらに、機械設備の
導入による省力化により生産性・収益性を向上させ、従業員の賃上げ・就業環境の向上を企図
 新マーケットを開拓し新たな収益の柱を構築するに当たり、生産能力を増強する
 2年前より学校・学童向けの弁当販売を開始。現在では複数校で導入されるに至り、需要も多いことを確認。
補助事業の 事業費 34億円
本格参入するに当たり、生産力の増強及びオフィス向けとは異なる子供向けメニューの専用工場が必要となる
背景・目的  手作業に依存する工程が多く、生産効率に改善余地がある。人材の確保や安価な商品提供の継続のため、 （補助額） （10億円）
工程の省力化等による従業員の負担軽減や、利益率の向上と賃上げの両立が求められる
 設備投資の内容 新工場イメージ
 工場の新設及び既存工場の改装・最新機械設備の導入
 設備投資による課題の解消について
【省力化・生産効率向上】
 手作業で行っていた工程を最新機械の導入により自動化。現在機械で行われてい
る工程についても、工程の短縮と作業従事者の削減が可能となる
設備投資の
【売上・利益の増加】
内容  工場の新設や機械設備導入による生産効率向上により、生産能力は現在の1日
最大4.5万食→12万食超まで増加。弁当も1日2種類以上製造可能に 機械設備（一部）
 上記の労働生産性向上の他、利益率の高い学校・学童向けの販売を強化するこ
とで全体の利益率も向上
【人材の確保】
 自動化や動線最適化により作業員の負荷も軽減。工場環境も整備しより快適に
 加えて大幅な賃上げの実施により、離職率低下・雇用促進が期待される
2027年5月期 2030年5月期
項目
（基準年度） （事業化報告3年目）
労働生産性 9,610
4,234
（単位：千円/人） （年平均上昇率＋31.4％）
従業員1人あたり給与支給総額 4,270
目標値 3,585
（単位：千円/人） （年平均上昇率＋6.0％）
役員１人あたり給与支給総額 -
-
（単位：千円/人） （年平均上昇率＋6.0％）
補助事業に係る従業員数
200 270
（単位：人）</t>
  </si>
  <si>
    <t>株式会社大熊製作所
1.長期成長ビジョン
当社の強みである板金から塗装までの一貫体制のグレードアップを図り、トラック・建機業界のTier1内で板金・
塗装サプライヤーとしてのNo1のポジションを確保。会社の成長とともに、「働きやすい会社への変革」を成す。
長期成長ビジョン（目指す姿・ビジネスモデル） 外発的動機
1. トラック・建機業界のTier1内で板金・塗装サプライヤーとしての ◼ 社会課題
No1のポジションを確保する。(2030年に売上増加額8,094百万円) トラック・建機業界の社会課題としては、後継者問題・人手不足・技術革新への
対応等が挙げられる。なかでも、後継者問題は深刻な状況であり、廃業を選択
i. 当社の強みである板金から塗装までの一貫体制のグレードアップを図り、生産余力、
する企業や予備軍も増えてきている。また、比較的小規模企業が多い業界でも
コスト削減を提示できるサプライヤーとして当社の存在意義を更に強固なものにする。
あるため、技術革新のための大規模な設備投資を行うことができる企業も限ら
ii.現在はトラック・建機業界における板金・塗装企業の1社であるが、本投資でTier1 れている現状にある。
内でNo1のシェアを確保することを目指す。
◼ 顧客ニーズ
2. デジタルに対応した工場を新設し、日本のトラック・建機業界のリー トラック、建機の大手メーカーは、品質に加え、安定供給が可能な規模の大きい
ディングカンパニーとなり、メーカー・協力企業の成長を牽引する企 サプライヤーを求めている。また、塗装コスト削減や品質強化のため、生産性の
業を目指す。(2030年に工場稼働率80％) 高い塗装設備を有する企業へ部品製造を集約する傾向が強まっている。
i. DX化、自動化、省力化、省人化、省エネ化などの最先端技術を投入し、板金
→当社としては、社会課題や顧客ニーズに対応すべく、省力化と自動化を融合
・塗装サプライヤーとして一番進んだ自動化工場を新設する。
した次世代型スマート工場を建設することを立案した。
ii.製品の安定供給、品質保証、コストメリットを提示しメーカーから一番信頼される
企業を目指す。
3. 業界平均を大幅に超える給料を支給し、かつ自動化が困難であり
内発的動機
付加価値の高い業務へ人材を集約させることで、スキルの高く、市
場価値の高い人材を育成する。(2030年に平均年収597万円)
◼ 当社は創業以来80年以上にわたり、トラックや建機用部品を製造する企業と
i. 従業員が自ら考え、互いに成長できる明るい職場をつくる。会社として積極的な して自動車関連産業とともに歩んできた会社である。
設備投資で成長を遂げることで、業界平均を大幅に超える給料で還元する。 ◼ 近年、当社を取り巻く主として板金サプライヤーは引継ぎ手のいない後継者問題
や労働力不足の問題もあり廃業を選択が増えている状況に危惧を感じている。
ii.自動化設備を多用することで残業時間の削減と有給休暇取得に繋げるとともに
付加価値の高い業務に人手作業を集約することで、スキルの高い人材を育成する。 ◼ そういった状況下もあり顧客から更なる受注要請を受けており、顧客からの安定
供給の期待に応えるべく、本社である川口工場では住居専用地域にあり増改築
iii.2030年度までに平均年収597万円を達成し、地域No1の待遇を構築する。
できないことから、栃木工場への製造移管を進めてきた。
◼ 今回、DX化・自動化・省力化・省人化・省エネ化を備えた最先端技術を備え
会社全体の売上成長目標（～2030年）
た大型設備投資を実行することで、受けきれない受注への対応→仕事量を増や
• 売上高増加額8,094百万円 ※基準年度(2027年)比
すことでの収益力向上→獲得した利益を原資とした持続的な賃上げの実行と
• 売上高成長率298.1％ ※基準年度(2027年)比
いった好循環、そして従業員が「働きやすい会社への変革」を成す。</t>
  </si>
  <si>
    <t>株式会社大熊製作所
.補助事業の概要
2
各工程を建屋内で一貫して完結させ、自動化・自動搬送・高性能塗装設備・自動倉庫などを導入することで、
24時間稼働を可能とする省力化と自動化を融合した次世代型スマート工場を構築する。
◼ トラック・建機メーカーは、海外メーカーとの競争・業界の変革期等、環境が大きく変化している中で、今後部品の安定供給を受け
るために生産余力や競争力のあるサプライヤーの選択と集中に着手している。また、コスト削減のためにメーカーの要求を満たす塗
補助事業の 装設備を有するサプライヤーに部品を発注する傾向が強まっており、より広い部品群において板金から塗装までの一貫生産ができ 事業費 4 ,7 75 百万円
るサプライヤーの存在価値が高くなってきている。 （補助額）（1, 百万円）
背景・目的 533
◼ より製造コストを下げるために、DX化・自動化・省力化・省人化・省エネ化を兼ね備えた新工場を建設し、顧客の要求に応える。
新工場は24時間稼働を可能にしたスマート工場となり、既存工場では収益性の異なる部品の製造を行うことで労働生産性も
飛躍的に向上させ持続的な賃上げを実現させる。
本件に対する主な設備投資は以下の4つ
新工場イメージ図
A) 工場建屋)板金~塗装~出荷までが一つの建屋内で完結する生産性を追求した工場
・板金~塗装~出荷まで一貫生産に対応し、自動化設備を備えた省エネスマート工場を新設し、工場建屋、板金
ライン、塗装ライン、自動搬送、自動倉庫、CPS対応システムの投資を行う
B) 板金ライン)材料入庫⇒切断⇒曲げ⇒溶接の行程の7割を自動化する、仕掛品も自動搬送（AGV）
設備投資の 工程)切断工程・曲げ工程に自動化機械を設置し、多台持ちを可能とする
自動搬送)フォークリフトで行っていた搬送を自動搬送（AGV）に置き換え
内容
C) 塗装ライン)高性能塗装設備を導入し、競合他社との差別化を実現
・競合他社が導入していない長物製品にも対応した高耐候性カチオン設備を導入し、コスト削減を実現 板金棟(工程) 塗装棟(工程) 倉庫棟(入出荷)
・競合他社が導入していない酸化被膜除去装置を導入し、コスト削減に寄与
板金部品
D) 自動倉庫)入出荷・保管業務の自動化 切 断 曲 げ 溶 接 切 削 検 査 入庫 左 工 記 の 程 図 出荷
・ポリボックス（小型部品）対応の自動倉庫と、その他部品対応の汎用自動倉庫を導入し、省人化・省力化を 塗装部品 塗装 検査
図る
本スマート工場で、多くの工程の自動化が可能になり、生産性が飛躍的に改善
項目 基準年度 事業化報告3年目
労働生産性 20,505千円/人
7,087千円/人
（単位：千円/人） （年平均上昇率＋42.5％）
目標値 従業員1人あたり給与支給総額 5,973千円/人
4,979千円/人
（単位：千円/人） （年平均上昇率＋6.3％）
役員１人あたり給与支給総額 23, 483千円/人
19,721千円/人
（単位：千円/人） （年平均上昇率＋6.0％）
補助事業に係る従業員数
128人 193人
（単位：人）</t>
  </si>
  <si>
    <t>コモライフ株式会社
1.長期成長ビジョン
◼ 国内物流の自動化・省力化と、海外市場への販路拡大による日本製品のグローバル展開を牽引。
◼ 社会課題の解決を背景に、高効率かつ持続可能な次世代物流モデルを構築し日本経済の成長に貢献。
外発的動機
長期成長ビジョン（目指す姿・ビジネスモデル）
• 円安を背景とした成長機会、日本企業の海外販路不足
• ① 国内物流の自動化・省力化と規模拡大 世界市場では近年、日本製品に対する評価は高く、特に昨今の
深刻な労働人口減少を背景に、倉庫業務の省力化と自動化を
歴史的な円安環境が追い風となり、価格競争力という点でも日本
本事業で推進。最新の自動搬送システム、ロボティクス、AI在庫 製品に絶好の機会が到来している。
管理を取り入れ、物流業務の生産性を飛躍的に向上させる。 しかし、海外市場での販売ノウハウや物流ネットワークを持たない企
物流処理能力を現状比8倍以上に拡張し、国内の取引先に対し 業が多く国内市場に販路が限定され、グローバル市場での成長機
てより迅速で正確な物流サービスを提供。 会を逃し続けている現状。
• 国内物流業界における人手不足の深刻化と物流革新の必要性
• ② 国内1000社以上の仕入先が持つ商品を世界市場へ展開 国内の物流業界では、深刻な人手不足が恒常化し、少子高齢化
日本全国の仕入先各社は、優れた商品を生み出す高度な製造
による労働人口の減少がさらに状況が悪化していく。この課題に対
力を持つものの、海外販路を有していない企業が多い。 し、日本企業が競争力を維持し持続的な成長を遂げるためには、
この状況を打開するため、大規模自動化倉庫をハブとして海外市 省人化や自動化といった物流革新が不可欠となっている。
場への商品展開を推進。2030年までに既存仕入先の海外展開
数500社を目標に国際競争力強化へ取り組む。
内発的動機
• ③ 地域企業との共存共栄を実現するプラットフォームの構築 • 日本各地の魅力ある仕入先が生み出す商品を世界へ
物流ネットワークの強化と自動化倉庫の稼働により、地域の中小 創業以来、日本企業が生み出す高品質で繊細な商品が、販路
企業が自力ではアクセスできない新規販路を提供、仕入先企業と 構築や物流面の課題により海外市場への進出が阻まれている現状
のパートナーシップを強化。物流基盤の革新を通じて地域経済の を目の当たりにしてきた。
活性化を促進し、地域の雇用創出・持続的な発展に貢献する。 そのため「自社の物流基盤と企画力を駆使し、日本の商品を世界
の人々に届け、国内中小企業が持つ無限の可能性を切り拓きた
い」という強い使命感を抱いている。
会社全体の売上成長目標（2030年度） • 労働人口減少を乗り越える超高効率組織・物流の実現
• 売上高増加額＋22,542百万円（2023年度比） 私たち自身が物流の自動化・効率化をリードし、少子高齢化による
• 売上高成長率＋302.2％（2023年度比） 社会課題を解決することで、持続可能で安定的な国内物流を築
き上げ、日本企業や地域社会の将来を支える役割を担っていく所
存である。</t>
  </si>
  <si>
    <t>コモライフ株式会社
.補助事業の概要
2
◼ 大規模な自動物流倉庫の整備により、国内物流の効率化と海外展開を両立し、持続的な成長を実現。
◼ 省人化・迅速化を通じて国内外EC市場の拡大に対応し、日本商品のグローバル競争力を一層強化する。
補助事業の • 大規模な自動物流倉庫を整備し、国内における効率的な物流体制の強化による利益改善 事業費 3 , 200 百万円
とともに、仕入先企業の商品を海外市場へ積極的に展開する。
背景・目的 （補助額） (1, 060 百万円)
• 輸出増を図ることで日本の経済成長を牽引し、持続的な成長を実現する。
• 設備投資の概要
① 建物：超大型倉庫の建設 35億円
② 設備：生産性向上・省力化を実現する自動化設備 10億円
• 設備投資による効果
① AI管理システムにより、多品種・大量商品の高精度かつリアルタイムな在
設備投資の
庫管理を実現し、国内外の大規模な受発注を支える。
内容
② 自律搬送ロボットや自動ピッキングシステムなど先端設備により、物流作 次世代物流倉庫建屋(上)と自動化設備(下)
業の迅速化・省人化、物流業界が抱える人手不足の課題を解決。
③ 海外向け商品配送リードタイムを大幅に短縮し、海外顧客の満足度向
上と海外市場での競争力を生み出していく。
④ 国内仕入先企業の商品を物流拠点に集約・一元管理し、物流の効率
性を飛躍的に向上させ、国内企業の商品展開を強力に支援。
項目 基準年度 事業化報告3年目
労働生産性 29,954千円
14,378千円
（単位：千円/人） （年平均上昇率＋27.7％）
目標値 従業員1人あたり給与支給総額 6,41 千円 7,96 9 千円
（単位：千円/人） 3 （年平均上昇率＋7.5％）
役員１人あたり給与支給総額
-
（単位：千円/人） - （年平均上昇率＋5.5％）
補助事業に係る従業員数
63人 115人
（単位：人）</t>
  </si>
  <si>
    <t>アルフレッド株式会社
1.⾧期成⾧ビジョン
当社概要及びアスベスト分析についての補足資料
奇跡の物質から一転、静かなる時限爆弾へ
2006年に全面禁止されるまで建築材料に広く使われていた
アスベストは繊維状の天然鉱物。製造コストが安く、 耐火・防火・吸音
など様々な目的で使い勝手が良く、奇跡の物質と称され建築材料に⾧
年使用されてきた。しかし、アスベスト繊維を⾧年吸い込み続けると、中
皮腫や肺がんの要因となる事が分かり、近年世界中で規制が強化され
ている。2018年には、１年あたりの中皮腫による死亡者数は1500人
を超え、解体やリフォーム時に飛散するアスベストについて社会問題と
なっている。
2022年の大規模な法規制強化
アスベスト健康被害の増大に伴い、2022年に大気汚染防止法等が
大幅改正された。いままでの大型の商業施設や工業用施設に加え、
・80㎡以上の解体工事
・100万円以上の改修工事
等を行う場合には、事前にアスベストが含まれているか調査し報告及び
対策をすることが義務つけられた。これには木造・戸建住宅を含めるため、
その対象となる建物は法改正を機に従来の280万棟から、3300万棟
に拡大された。
アスベストの調査・分析事業の市場拡大
法改正以降、解体・リフォームに伴うアスベスト事前調査が年間60万件
が報告されている。1件あたりの分析数は1.7検体（アルフレッド調べ）
であり、市場規模は約100万検体/年と予測されている。
アスベスト調査は現地にて含有可能性建材を目視にて確認し、分析会
社が顕微鏡等を用いてアスベストの有無を分析する。当社はこの分析受
託事業を実施するため2021年に創業した。</t>
  </si>
  <si>
    <t>アルフレッド株式会社
1.⾧期成⾧ビジョン
当社概要及びアスベスト分析についての補足資料
沿革
2021年 7 月 ～ 仙台ラボ
第1期
 静岡県浜松市浜北区にて創業開始
2026年開設予定
2022年 福岡ラボ
 中小企業基盤整備機構（中小機構）の支援の下、
浜松市の浜松イノベーションキューブ（現住所）
に本社移転
第2期
 分析機器メーカーとタイアップにより
コンサルティング事業開始
 浜松市新産業創出事業費補助事業に開発事業が採択
浜松第1工場、浜松第2工場
2023年
 偏光顕微鏡15台、SEM１台、XRD1台に増台
当社の生産の80％を担う浜松第1第2工場は、東京/大阪圏の
第3期  ラボスペース220㎡に拡張
 独自システム完成、Lean生産方式を採用 検体を受け入れている。2028年にはキャパシティを超えることから、
 国立大学と新技術開発研究を開始 新工場設立を計画している。
当社の要件を満たす土地の購入目途がたったため、
2024年 ～
以下の順序で工場再編し、日本最大のアスベスト分析工場
 海外分析事業及び新事業の着手
 偏光顕微鏡50台、SEM3台、XRD4台に増台 を設立する
第4期  福岡ラボ設立
 浜松第二ラボ設立
1. 新工場の設立 2027年9月
 浜松ラボにてISO/IEC17025（試験所および校正
2. 浜松第1工場の分析ライン移設 2027年10月
機関の能力に関する国際規格）を取得
 特許2案出願 3. 浜松第2工場の分析ライン移設 2027年11月
 2025年版・静岡県の従業員数増加率ランキング 4. 日本最大新工場での量産開始 2027年12月
第2位（出典：SalesNow DB 調べ）</t>
  </si>
  <si>
    <t>アルフレッド株式会社
1.⾧期成⾧ビジョン
2022年の住宅等アスベストの事前調査が義務化を契機に創業
ベンチャー企業から2028年に中堅企業へ成⾧目指す 2030年には新技術で国内シェア40％を目指す
⾧期成⾧ビジョン（目指す姿・ビジネスモデル） 外発的動機
• 2022年以降、アスベスト分析事業に新規参入する会社が増えて
2030年までに国内シェア40％、そしてインド進出へ
いる。現在は先行者として国内シェア1位となっているが、価格競争
• 国内事業 が激化する前に競合より早く、市場シェアを勝ち取る。
日本における解体・リフォーム業者向けサービスとして、精度が高いア • 静岡大学等と共同研究によるAIを使った新技術（特許出願）
スベスト分析結果を、より早くリーズナブルに提供できる技術を開発し により、更に他社との差別化を図る事が出来る。
経営してきた。2025年内に国内シェア１位（12%）、年間10万 • 現在本社がある浜松イノベーションキューブは独立行政法人中小
検体を超える分析体制を構築しているが、更に安定したシェアを獲得 企業基盤整備機構のスタートアップ支援施設であり、2028年には
する為に国内２拠点の工場を統合し、新しい工場を設立する。 ミドルステージを迎え退去する計画。
• インド事業（インド） • 日本においては国内アスベスト分析需要の伸び率は2030年頃を
日本におけるアスベスト分析技術とノウハウをもとに、新たにアスベスト ピークに減少していくと予想され、海外市場を含め事業展開を検討
の規制が始まるインドに参入する。2025年にインド駐在所設立予 する。
定（JETROハンズオン支援事業採択済）であり、デリーでの設立に
向けて準備が進む。2030年以降のビジネス軸として計画している。
内発的動機
会社全体の売上成⾧目標（～2030年）
• 代表者は、 20年にわたって分析受託事業に携わってきた。また世
界最大の分析受託企業（Eurofinsグループ）において、技術、
管理及び経営手法を学んできた経験を活かし、早期に事業を拡大
することが出来る。
• 現在の事業所は入居して5年間のサポートを受けることが出来るが、
2028年でこの期限を迎える。これを期にベンチャー企業から中堅企
業へと成⾧し、自走できる体制を構築する為に本事業の補助事業
を活用し新工場を設立する。
• アスベストは健康被害に関連する物質であり、当社がより良いサー
ビスを広げられることで日本及び国際社会に貢献できる。</t>
  </si>
  <si>
    <t>アルフレッド株式会社
2.補助事業の概要
新工場の設立により、国内最大のアスベスト工場となり2028年35億円の売上を達成する
同時に労働生産性21,402千円、従業員１人あたりの給与総支給額7,511千円を2028年に達成
• 2025年分析実施数が13万検体（2024年比200％増）を超える見込みで、すでに浜松に
補助事業の 第二工場を増設したが、第二工場も2027年にはキャパシティを超える見込み。2028年には増
背景・目的 設した工場も面積限界を迎えるため、新工場を設立し、浜松２か所の工場を統合し、国内最 事業費 1,635百万円
大のアスベスト工場を設立する。 （補助額）（516百万円）
• 新工場設置
新工場設立により、浜松第１工場と浜松第２工場を全移転する。
現在は浜松第１・２工場間のサンプルを輸送しているため作業効率が ←アスベスト分析用
悪い。新工場に集約することで物流ロスを軽減し生産性向上に寄与 偏光顕微鏡
することができる。
設備投資の
• 新ラインの設置 写真等
内容
創業当初から部分的に拡張し、継ぎ足しになっていた工場では、レイアウ
トが悪く作業効率が高められない。新工場ではレイアウトを最適化し、新
ラインを設立する事でロボット化等による改善をすることが出来る。これ
工場分析室 →
により、面積あたりの生産量を増やす事ができる。
風景
項目 基準年度 事業化報告3年目
労働生産性 33,275千円
21,403千円
（単位:千円/人） （年平均上昇率＋15.8％）
目標値 従業員1人あたり給与支給総額 10,029千円
7,512千円
（単位:千円/人） （年平均上昇率＋10.1％）
役員１人あたり給与支給総額 31,566千円
23,716千円
（単位:千円/人） （年平均上昇率＋10.0％）
補助事業に係る従業員数
104 140
（単位:人）</t>
  </si>
  <si>
    <t>信和化工株式会社
1.長期成長ビジョン
人類の発展に必要不可欠なクロマトグラフィー分析の根幹をなすカラムは、高性能品が求められてきており、その
ニーズを満たすため製造キャパシティの拡大と業種に特化した製品ラインナップの拡充により売上向上を目指す。
長期成長ビジョン（目指す姿・ビジネスモデル）
外発的動機
• 先進国のバイオ産業や途上国での環境水等、人類の発展に重要
な要素がクロマトグラフィー分析により成り立っており、今後急速に成
創業66年の歴史を持ち、クロマトグラフィーのカラム製造 長していくことが見込まれている。
では日本屈指の技術力を誇る当社が、技術の革新を支 • 先進国を中心に食の安全、環境の整備等が重要視されてきており、
える成分分析の分野でより高性能な分析を提供すること それらはクロマトグラフィー分析により危険な成分が入っていないか確
認されているため、引き続き市場の成長が見込まれる。
で人類の発展に貢献する。
• クロマトグラフィー分析に利用されるカラムで高性能製品は製造でき
る会社が限定されており、その中でも当社は分野によっては当社し
か作れない製品等が存在しており、重要なポジションを担っている。
• より高性能品のニーズが高いバイオ産業分野に応じた製
品ラインナップの拡充
• インフラが未発達な国に対して環境水の分析が可能とな 内発的動機
るように、環境水用のラインナップの拡充 • 技術力で評価されている当社が高性能品を必要としているバイオ
産業に進出することで、分離が困難であったタンパク質等の分離精
度を向上させることで、バイオ産業に新たな可能性を示すことが可
• 新技術の開発により、分離が困難なタンパク質等の分離
能。
の実現
• 当社は高付加価値製品に注力をし、高水準の利益率を維持し、
「人・もの」に投資をしてきたが、さらなる投資と成長のために成長市
場である、バイオ・環境水分野に適した高付加価値製品の開発製
会社全体の売上成長目標（～2030年） 造に取り組む必要がある。
• 売上高増加額908百万円 • インド等ではいまだ水質検査が義務化されていないが、中国が義務
• 売上高成長率15％ 化されているように近い将来様々な国で、水質検査は義務化され
る見込みであり、その時に当社の高性能カラムを普及させることで大
きな成長を見込む。</t>
  </si>
  <si>
    <t>信和化工株式会社
.補助事業の概要
2
世界的にニーズが高いバイオ産業や環境水向けの高品質な製品ラインナップを製造できる体制を構築し、バイオ
産業の研究開発スピードを加速し、世界規模での衛生環境の改善を手助けする。
補助事業の • バイオ産業や環境水の市場が急成長、高品質製品のニーズが急拡大 事業費 1, 百万円
510
背景・目的 • 原料製造によるバイオ産業、環境水向けラインナップの拡充 （補助額） （4 9百万円）
2
新工場建設による製造能力、及び付加価値強化と、製品ラインナップ
の拡充
【具体的な投資内容】
• 工場建設（1,288百万円）
製造能力強化のための製造ラインの新設及び原料製造のための製造ラ
インの新設が可能な広さの新工場を建設
• 原料製造のための機械装置（91百万円）
設備投資の
製造ラインの新設による生産能力強化、及び、原料製造のための製造
内容
ラインの新設
【補助事業により見込まれる効果】
• 製品の品質を向上させることで、売上・利益率拡大、労働生産性向上
• 高品質で高速な分析を提供することでバイオ産業の研究開発スピード
向上
• 途上国における水質検査が義務化することを見越して、水質検査向け
の製品を揃えておくことで、世界規模での衛生環境の改善の手助け
項目 基準年度 事業化報告3年目
労働生産性 24,779
12,516
（単位：千円/人） （年平均上昇率＋25.6％）
目標値 従業員1人あたり給与支給総額 7,136
（単位：千円/人）
5,613
（年平均上昇率＋8.3％）
役員１人あたり給与支給総額
-
（単位：千円/人） - （年平均上昇率＋5.7％）
補助事業に係る従業員数
40 49
（単位：人）</t>
  </si>
  <si>
    <t>信和化工株式会社
.補助事業の概要
2
新工場は十分な広さを確保できており、原料の製造ラインや新製品の製造ラインはもちろん、創業から66年積
み重ねた知見に基づく最適な導線が整備できている。
１F
２F
３F
【導線改善】
【キャパシティの拡大】
頻繁に利用するエリアを中心にすることで 【環境省エネ配慮】
既存製品の生産能力拡張だけでなく、
効率的な導線を確保 屋上にはソーラーパネルを設置し、
原料の製造や新製品の製造も可能な広
その他にも別階層での行き来が最低限に 環境への配慮も設計
さを確保
抑えられるよう製造工程を分析し設計</t>
  </si>
  <si>
    <t>上野ロジケム株式会社
1.⾧期成⾧ビジョン
上野グループでのシナジー効果を最大限発揮し、社会を支えるインフラとして、ケミカル物流のワンストップサービス
を実現することで2030年度に150億円以上の売上高を達成する
上野グループミッション 外発的動機
「エネルギー」の次へ、「運ぶ」の先へ、環境の未来へ、 • 近年、スペシャリティケミカルの取扱量増加や Eコマース市場の拡大
先んじて挑み、社会を支えるエネルギーであり続ける により、危険物倉庫には多品種・小ロット貨物を安全・迅速にハンド
リングできる高度な機能が求められている
• トラックドライバーの残業上限規制強化や化学物質規制の更新を
上野ロジケム 2030年あり姿
背景に、メーカー・商社は自前物流を手放し、専門事業者へ委託
ケミカルグループの中心となり、グループ収益の両輪となっ する動きが加速している
ているケミカル物流のワンストップサービスが実現している • ワンストップで危険物物流を担えるインフラは地域も荷姿も限定的
で、市場には「専門性の高い危険物物流プラットフォーム」が不足
⾧期成⾧ビジョン（目指す姿・ビジネスモデル）
【ワンストップ物流の更なる実践】
• 当社が強みをもつタンカー/ローリー輸送だけでなく、ドライコンテナや
内発的動機
ISOタンクなど様々な荷姿でのワンストップ物流を実現
【グループシナジーの最大限の発揮】 • 当社は創業1869 年の上野グループの一員として、物流に関する
• 関東エリアだけでなく中部エリアでもグループシナジーを発揮すること 専門知識と安全文化を150年以上培っており、継続的な安全教
で事業の拡大を図る 育やグループ横断の知見共有を行っている
【サービスの高付加価値化】
• 2018年の会社設立後、グループ各社の内航汎用ケミカル事業を
• 多品種・小ロットの貨物への対応や出庫前スペック検査業務など
集約し、売上を56 億円から70 億円超へ拡大させました
危険物倉庫事業の高付加価値化を実現
• エリア戦略としては、現在は、関東圏に集中しており、本事業を通じ
• 物流管理業務の受託も行うことで更なる高付加価値化を目指す
て中部エリア（四日市・名古屋湾岸）へ拡大し、グループ企業と
※2023年度とは 2024年度 2027年度 2030年度 連携してワンストップ物流を実現する
2024年6月期決算 (直近年度) (基準年度) (最終年度)
• 将来的には関西エリア（阪神港湾圏）にも事業拠点を設け、東
売上高 75億円 91億円 152億円
名阪の三大経済圏をカバーする体制を視野に入れています。
付加価値額 9.4億円 12.5億円 30.2億円</t>
  </si>
  <si>
    <t>上野ロジケム株式会社
2.補助事業の概要
高付加価値な危険物倉庫を木曽岬に建設し、顧客ニーズへの対応とグループシナジーを活用したワンストップ物
流を実践することで、労働生産性の向上を期待しており、継続的な賃上げを通じて従業員への還元を行う
 化学品の物流業務の外部委託ニーズやスペシャリティケミカルなどの多品種・小ロット対応
補助事業の 事業費 3,541百万円
が求められている
背景 （補助額） 943百万円
 中部エリアではグループシナジーを発揮できておらず、ワンストップ物流が実現できていない
 名古屋港と四日市港の中間地点に位置する木曽岬新輪工業団
地に危険物倉庫を新たに建設する
設備投資の
事業実施場所
内容  マルチワークステーションを設置して液体化学品の詰め替え作業
を可能にすることで多様な顧客ニーズに対応する
名古屋港
 危険物倉庫をプラットフォームとして、グループ各社とも連携しながら
通関業務、陸運、販売まで幅広いサービスを提供
四日市港
 危険物倉庫は更に需要の高まりが見込まれており、優れた立地に
期待する
おいて操業する事で、 恒久的な貨物確保が見込まれる。 また、
効果
各企業のコンプライアンス意識が高まる中、サプライチェーン全体に
危険品を適正に取り扱う機運が高まっており、今後石油製品以外
の取り扱いの増加を図り、企業価値の向上に期待
項目 基準年度 事業化報告3年目
労働生産性 46,030
29,819
（単位:千円/人） （年平均上昇率＋15.6％）
従業員1人あたり給与支給総額 7,971
目標値 6,506
（単位:千円/人） （年平均上昇率＋7.0％）
役員1人あたり給与支給総額
- -
（単位:千円/人）
補助事業に係る従業員数
16 46
（単位:人）</t>
  </si>
  <si>
    <t>上野ロジケム株式会社
2.補助事業の概要
本事業を通じて中部エリアでドラム等のワンストップ物流を実現したのちには、対象となる荷姿やエリアを拡大する
とともに、物流管理業務といった上流工程への進出も計画している
現状(2025年度) 補助事業(2027~2028年度) さらなる拡大(2029年度~)
 ISOタンクコンテナでのアルコール輸送も開始
 中部エリアのタンカーでの輸送のみワンストッ  高付加価値な危険物倉庫を建設して中部
し幅広い荷姿でワンストップを実現
概 プが可能 エリアでもワンストップ物流を実現
 中部エリアの陸運事業を当社に集約
要
 中部エリアは自社倉庫を保有していないため  危険物倉庫事業の売上だけでなく、陸運事
 物流管理業務も受託し、バリューチェーンの
トラック輸送でのワンストップができていない 業やグループ会社の売上拡大にもつながる
上流に進出し、関西エリアでも営業を開始
当社 グループ会社 他社 当社 グループ会社 他社 当社 グループ会社 他社
関西へ展開
関東エリア 中部エリア 関東エリア 中部エリア 関東エリア 中部エリア
タンカー トラック ISO タンカー トラック ISO タンカー トラック ISO タンカー トラック ISO タンカー トラック ISO タンカー トラック ISO
荷主 荷主 荷主
物流管理業務も受託
バ
リ 通 通 通
ュ 関 関 関
ー
チ
ェ 輸 輸 輸
ー 送 送 送
ン
保 保 保
管 管 管
輸 輸 輸
送 送 送
ワンストップ 外部倉庫を利用 高付加価値倉庫でワンストップ ISOタンクコンテナのワンストップ 陸運を当社に集 約</t>
  </si>
  <si>
    <t>株式会社ワイズマート
1.長期成長ビジョン
地域を支える「お客様の身近な冷蔵庫」を体現し続けるため、駅前コンパクトストア拡大による利便性向上、
プロセスセンター＆AutoStoreによる商品の質・幅の向上、生産性向上による安心価格を実現、店舗数を拡大。
長期成長ビジョン（目指す姿・ビジネスモデル） 外発的動機
• 共働き・高齢者世帯の増加により、車で行く大型店舗より徒歩で
地域を支える「お客様の身近な冷蔵庫でありたい」という経営理念を
短時間に買い物できる「駅前コンパクトスーパー」のニーズが高まった
さらに追及し、プロセスセンター＆AutoStore設立・コンパクトストア
出店拡大を進め5年後62店舗、10年後100店舗規模に拡大 • 景気による節約志向が高まっており、食品購入で重視するポイント
の調査では1位が価格、2位が商品、3位がアクセスの良さとのこと
「お客様の身近な冷蔵庫」を体現し続けるための事業戦略 （※全国スーパーマーケット協会調べ）
お ①利便性 ②商品の質・幅 ③安心価格 • 一部の小売り大手に経営効率化を求める株主の意見などからスー
客 パーマーケット事業を縮小する動きもみられ、買い物難民の発生等
「駅前等、通いやす 「毎日買っても飽きない 「毎日の食費は抑え
様
い場所にある店」 バラエティ」 たい」 が社会課題となっており、地域密着型スーパーによる地域の食料イ
へ
の 「気軽に買い物しや 「日々の食卓が美味しく 「節約が要る時代に ンフラ支援が重要となっている
価 すい店内」 楽しくなる」 対応する必要」
値 ↑ ↑ ↑
提 駅前等中心に店舗 ・商品バラエティ向上 ・店舗のオペレーショ
内発的動機
供 数拡大、コンパクトス ・先進的な調理技術の ン効率向上
• 社長の吉野は、10年後の「ありたい姿」として、『①コンパクトストア
トア化 導入 ・物流・調理効率化
に磨きをかけ』お客様に「あって良かった、美味しい、楽しい」と言って
もらえる商品と価値を提供し、社員が『②物心両面の幸福実現』を
価 図り、社員自ら「小さな経営者」として商いを楽しみ自然と育つ「場」
貢 地域密着型プロセスセンター・Auto Store設立により、
効 値
献 を作ることを掲げている。
率 提 少量多品種の商品バラエティ向上・先進技術導入による質向上、
す
化 供 調理・物流効率の向上、新型の駅前コンパクトストア・
る
に 狭小店出店を可能とし、長期成長ビジョンを実現していく • 全国スーパーマーケット協会加盟270社の平均値比で店舗面積は
1/3ほどで月商は9割近くと、坪効率でみると2.5倍以上の生産性
の高い経営を磨いている。一方でプロセスセンター・AutoStoreがな
売上成長目標（27年2月期比較）
いため店舗ごとの調理により店舗運営の効率化余地がまだ大きい。
• 30年2月期までに会社全体の売上高成長率13％
• 30年2月期までに会社全体の売上高増加額259億円
• お客様によりワイズマートのファンになっていただきたいという思いから、
会社全体の賃上げ目標
23万人以上のワイズカード＆アプリのアクティブ会員様を対象に、産
• 4.4%（直近事業年度～基準年度）
地・工場視察や料理教室・お買物イベント・ワイン即売会を実施し
• 8.0%（基準年度～事業化報告3年目）
ている。また店舗所在地の自治体への寄付やフードロス・貧困対策
等の貢献も継続している。</t>
  </si>
  <si>
    <t>2.補助事業の概要
プロセスセンター＆AutoStore設立により、価値を維持・向上した狭小店出）・コストカット/省人・省力化を図り、
年間労働生産性12.1%、従業員・役員一人当たり給与支給総額8.0%の年平均成長率を実現。
• 好立地の狭小店舗出店戦略を、顧客価値を維持・向上したスタイルで実行することにハードル
• 店舗内調理が難しいことによる、生鮮品を中心とした魅力・品揃えの維持が難しい、他
補助事業の 事業費 5,818百万円
• 上記出店戦略のハードルを越えるために、一定の効率化・コストカットも必要な経営状況
背景・目的 （補助額） （1,917百万円）
• 省人化・効率化の要請（人員採用が難しい市場環境）、出店余地向上（必要
店舗スペースを削減する必要）、他
投資内容：プロセスセンター（セントラルキッチン）とAutoStore（自動倉庫）を設立、各種システム投資・DXも実施
• 建物：千葉県船橋市のベイエリアに6600平米のワンフロア型プロセスセンター（3階）＆AutoStore（2階）を設置。
大手チルド物流企業の建物内であり、日に4度の店舗搬送が可能で出来立て生鮮品やグロッサリーの提供に寄与
• 導入機械：
• プロセスセンター：高品質化・省人省力化をかなえる最新調理設備を導入
（（例）おむすび機：現行機械120個/時→2500個/時、
水産スライサー：手切150枚/時→機械2800枚/時 等）
設備投資の • AutoStore：グリッド上のロボットが高密度に収納されたグロッサリーの
内容 入出庫を実施、効率化（（例）他社では、1.8倍の省力化（人員55⇒30名）、
1/2以下の省スペース（同スペースの取扱アイテム5,000SKU⇒20,000SKU）
• システム：発注から調理工程指示、出荷まで通貫でシステム管理（生産管理システム 等）
効果：狭小店舗出店に関わる、「価値の維持・向上」・「効率化・コストカット」が各々
高い水準で実現可能
• 価値の維持・向上：魅力（おいしい・出来立ての生鮮品を顧客に提供）、
品揃え（豊富な生鮮品・欠品防止） 等
• 効率化・コストカット：省人化（投資により30年476名の省人化）、出店余地向上（調理場不要な省スペース狭小店舗）
2027年2月期 2030年2月期
項目
（基準年度） （基準年度＋３年後）
労働生産性 877
648
（単位：万円/人） （年平均上昇率＋10.6％）
目標値 従業員1人あたり給与支給総額 455 573
（単位：万円/人） （年平均上昇率＋8.0％）
役員１人あたり給与支給総額 2,396
1,902
（単位：万円/人） （年平均上昇率＋8.0％）
補助事業に係る従業員数
1,332 1,857
（単位：人）
↑
導
セ プ
入
ン ロ
設
タ セ
備
ー ス
例
AutoStore
↑
株式会社ワイズマート
導
入
設
備
例</t>
  </si>
  <si>
    <t>1.長期成長ビジョン 株式会社セントラルフード
• 食肉加工の更なる増産体制と省力化を実現し、2030年度に売上108億円を突破
• 加工人材の不足や加工コストの高騰等の社会的課題解決をけん引する企業へと成長し、地域・日本経済
に貢献
長期成長ビジョン（目指す姿・ビジネスモデル）
〈基本方針〉
製造量拡大と製造工程の省力化を実現させ、食肉加工業界における社会的な課題の解決を目指す。
業界の人手不足・原材料高騰という課題解決に貢献することで、食肉加工市場でのシェア拡大を目指す。
〈重点戦略〉
• 生産量拡大と省力化による利益率改善 • 地元の食肉卸売企業の開拓と安定的な仕入れ確保
製造工程において手作業で行う工程があり、生産量が頭打ちになってい 製造数増加に伴う原材料の確保が必要不可欠となる。北関東の食肉
る。そのため、新工場建設と自動化を可能とする新設備の導入により省 卸売企業の仕入れ開拓を行い、安定的な仕入れ数の確保とともに、流
力化での生産量の拡大や利益率の改善が図る。 通拡大による地域経済の活性化に寄与する。
• 事業多角化の推進 • 労働環境整備と人材への投資強化
中食市場の拡大に対応するため、既存の食肉加工技術と販売網を活用 自動化による生産性向上の成果を従業員に還元し、年平均6.5%の賃
した惣菜事業の拡大を推進。地元特産品を活用した商品開発や、食肉 上げを実現。また、託児所併設や時短勤務制度導入など働きやすい環
加工で培った生産技術を惣菜製造に応用し新たな収益の柱構築。 境を整備し、女性管理職比率向上と従業員の帰属意識強化を図る。
〈売上成長目標〉 ※CAGRは基準年度の前年と事業化3年目の期間で算出
■2030年度の会社全体の売上高10,842百万円（CAGR※15%）・営業利益700百万円（CAGR※70%）
外発的動機 内発的動機
食の外部化・中食需要の拡大 社会課題解決への貢献
労働人口減少の深刻化 安心・美味しさの追求
食の安全への意識高まり 従業員の成長と地域貢献
原材料・物流コストの高騰 技術革新による業界変革</t>
  </si>
  <si>
    <t>.補助事業の概要 株式会社セントラルフード
2
• 消費者行動の変化による惣菜・中食ニーズ拡大でコンビニ各社の「惣菜商品」における競争戦略が激化
• 惣菜商品向けの食肉加工増産要請に応えることで当社の売上を大幅に向上させる
• 省力化により労働生産性は年平均上昇率＋30.8％となる
• 共働き世代の増加や「タイパ」を求める消費者の趣向の変化による惣菜・中食ニーズの拡大。
補助事業の 事業費 , 百万円
3 023
• コンビニエンスストア各社のPB商品の「惣菜商品」における競争戦略の激化。
背景・目的 （補助額） （ 百万円）
625
• 市場の状況により取引先からの加工量の増加要請に応えるために生産力強化が必要となる。
■現状課題
• 現在の加工量では取引先の加工量の増産要請に応えることができず、
失注や機会ロスを招く。
• 製造工程にて最も人手を要する工程の自動化が未対応であり、昨今
の人材不足に拍車がかかる。
現状課題・ • 現状の食肉加工工程において、人的エラーによる誤作業のリスクが高い
▲ローラー搬送コンベア イメージ
設備投資の 状態である。
内容 ■設備投資の内容
• 新たな土地を活用してさらに工場拡張し、新古河工場を新設する。
• 生産能力を向上させるため、食肉の各加工工程間の移動と冷凍工程
を自動化仕様にする。（国内では初の試み）
• 自動化の実現により、業界の課題である労働人口の減少に対応する。
※投資内容の詳細は次スライド参照
▲食肉用コンベア イメージ
項目 基準年度 事業化報告3年目
労働生産性 11,248
（単位：千円/人）
5,031
（年平均上昇率＋30.8％）
目標値 従業員1人あたり給与支給総額 4,205
3,481
（単位：千円/人） （年平均上昇率＋6.5％）
役員１人あたり給与支給総額
-
（単位：千円/人） - （年平均上昇率＋6.5％）
補助事業に係る従業員数
123 132
（単位：人）</t>
  </si>
  <si>
    <t>.補助事業の概要 株式会社セントラルフード
2
• 新古河工場を建設し、自動化加工設備並びに工程移動間の自動コンベアライン等を導入する
• IQF製造ラインにおける年間製造量は200%が見込まれ、取引先の増産ニーズに応えることが可能となる
設備投資内容（建物）
◆新古河工場
・概要：取引先からの加工量の増加要請に応えるために生産力強化が必要のため、新工場を建設する
・効果：本建物による生産ライン構築により、 IQF製造ラインにおける年間製造数200％増加が見込まれる
投資内容
詳細
▲新古河工場の平面図 イメージ:色付部分が自動搬送ライン部分
設備投資内容（設備）
◆ローラー搬送コンベア ◆高周波解凍装置 ◆小袋軽量包装ライン
各工程間の移動において自動化を 冷凍された食材を 効 食材を正確に計量し、
実現し、省力化が可能となる 率的かつ均一に解凍 小袋を効率的に包装
▲ローラー搬送コンベア イメージ
◆食肉用コンベア ◆製品急速凍結ライン ◆その他
各工程間の移動において自動化を 食材の品質を保ち、 短 デュアルX線検査装置、
実現し、省力化が可能となる 時間で急速に凍結 金属検出器等、各設備
▲食肉用コンベア イメージ</t>
  </si>
  <si>
    <t>.補助事業の概要 株式会社セントラルフード
2
• 入荷から搬送まで、効率的かつ増産体制に重きを置いた製造ラインを構築する
• 国内食肉加工業界で「初」となる工程間の移動を手作業から自動化にすることで大幅な効率化を実現
• 従来22人工必要だった生産ラインを18人工(約18％削減）での対応が可能となる
〈現状〉 1日の稼働時間：8:30～22:00 〈補助事業後〉 1日の稼働時間：5:00～24:00
営業日数：255日 年間出荷量：3,000t 営業日数：255日 年間出荷量： ６,000 t
現状の課題 現状の工程 補助事業後の工程 課題の解決方法
入荷 入荷
入荷した原料 大型トラック対
解決方法①
の引き受けや 応、フォークリフ
課題① 入 検品 冷凍庫での 4人工 入 検品 ト使用、パレッ 2人工 ・加工工程間の食肉
加工工程間の食肉原 荷 荷 原料の移動の自動化
一時保管する ト管理を実施
料の移動並びに解凍作 冷凍保存 冷凍保存 を行うことにより省人
業を手作業で行っており、 化を実現
生産量に限界がある 工程間移動を手作業にて実施 工程間の移動を自動化で可能 ・解凍作業についても
高周波解凍 全自動にて行う
解凍 高周波解凍 解凍
装置により、
課題② 解 装置による解 解
補 に 助 よ 事 る 業 ・ で 加 最 工 も 前 人 後 手 の 作 移 業 動 が 工 必 程 要 凍 搬送 凍作業の実施 4人工 凍 搬送 当 実 日 現 の解凍を 6人工 解 ・各 決 加 方 工 法 設 ② 備への移
動を自動化することに
生産性向上 ・1日の出勤者のうち多 工程間移動を手作業にて実施 工程間の移動を自動化で可能
より省人化と生産性
く ・ の ら が 夜 難 人 当 間 し 件 該 い 稼 費 工 働 負 程 は 担 に 当 の 従 該 観 事 工 点 程 か 加 工 計 食 量 肉 ・包 加 装 工 食 で 形 要 肉 状 望 加 へ に 加 工 よ 工 機 る ８人工 加 工 計 食 量 肉 ・ 加 包 工 装 時 1 効 を . 実 5 率 間 倍 施 で 当 の の た 加 加 り 工 工 8人工 向 ・ 稼 省 働 上 人 を も 化 実 実 に 現 現 よ で り き 夜 る 間の
・人的エラーも削減可
・人的エラーによる誤作
工程間移動を手作業にて実施 工程間の移動を自動化で可能 能
業のリスクが高い
各検査機の
金属探知機と 解決方法③
高精度化によ
検 検品 目視で検品 検 検品 ・凍結を同時に行うこ
り、省人化を
課題③ 品 作業を実施 4人工 品 2人工 とができる搬送コンベア
実現
・凍結と搬送作業を手
3列を導入する
作業で行っており、多く 工程間移動を手作業にて実施 工程間の移動を自動化で可能
・凍結温度に合わせて
の人手が必要
移動と冷凍を同時に
搬送しながら
搬送しながら 行うことが可能であり、
搬 搬送・凍結 凍結や計量と 2人工 搬 搬送・凍結 0人工
凍結を実施 作業時間の大幅短縮
送 包装を実施 送
を実現
計22人工必要 計18人工必要</t>
  </si>
  <si>
    <t>株式会社ファーストライン
1.長期成長ビジョン
当社は、和歌山市に拠点を置く㈱フォワードホールディングス・グループ傘下の企業として現在、運用中の第１～第３センターに加えて
和歌山県初の5温度帯対応倉庫となる第4センターを新築し、今後の物流市場ニーズを捉えて事業規模を更に成長・発展させる。
長期成長ビジョン（目指す姿・ビジネスモデル） 外発的動機
2024年問題以降、長時間労働など規制強化が進む運送業界にお
■人口減少の加速による小ロット多頻度配送の増加など物流市場
いて、和歌山県の入り口に面した、和歌山市に拠点倉庫のある当社
の成長を視野に和歌山県初の５温度帯対応倉庫を建設、更なる
に物流に関する様々な要望が寄せられている。このような要望を受け、
共同配送の強化と新サービスを創出する。
縦に長い地形の和歌山県において、食品など要冷温輸送を必要とす
■また、これに伴う事業規模拡大に則した営業活動により、和歌山
る物流の重要な中継拠点としての役割を拡大・発展するために、既存
県に大手企業の事業誘致を実現する。
の3棟の冷凍冷蔵倉庫／1棟の常温倉庫に加え、当社が所属する
■このような本補助事業を契機としたフォワードホールディングス・グ
フォワードホールディングス・グループ初／和歌山県初の5温度帯対応
ループ全体の物流事業の成長を契機に、高齢化に伴う地域物流会
倉庫の新設・運用を掲げるに至った。
社の廃業に歯止めをかけるM＆Aの実施などにより、地域における雇
用創出を促しつつ、地域物流会社に対する新規物流業務を提供す
ることで当該地域経済の活性化に寄与する。
■基準年度～最終年度成果目標 内発的動機
和歌山県では人口減少や高齢化により、地域の物流会社の縮小や
売上高増加額 売上高成長率
雇用機会の損失が進んでいる。このような状況で、当社は、県内の物
流事業を維持・発展させる役割の一端を担うことが責務と考え、本補
ファーストライン 1,060百万円 18.0%
助事業による事業規模の拡大と、それに則した営業活動を展開して、
和歌山県へ大手企業の事業誘致を実現、これに併せて、M＆Aを実
施することで、今後、高齢化による地域の物流事業の縮小に歯止めを
会社全体の売上成長目標（27年～30年）
かけ、地域物流会社に対する新規物流業務の提供や、地域における
• 売上高増加額：1,060百万円
雇用の創出につなげることで当該地域経済の活性化に寄与したいとの
• 売上高成長率：18.0％(年率平均）
考えに至った。</t>
  </si>
  <si>
    <t>株式会社ファーストライン
.補助事業の概要
2
和歌山県初の５温度帯対応倉庫となる第4センター新設を機に、基準年度以降、当社が現在、引合を受け、契約に向けて
協議中の新規顧客と取引を開始することで、その波及効果も含め、最終年度に向けて物流事業の成長を加速する。
■温暖化の影響により、物流における更なる温度管理(品質管理)の厳格化を求める市場ニーズ
補助事業の
の拡大に対し、当社の強みである地の利や経験値を存分に活かせる5温度帯対応倉庫を導入す 事業費 1, 百万円
624
背景・目的
ることで、その需要を確実に捉え、物流事業の成長を目指す。医薬品関連配送サービス （補助額） ( 百万円）
397
事業および倉庫事業に大きな成果をもたらすと見込んでいる。
• 設備投資の内容：5温度帯対応倉庫となる第4センターの新設とその稼働に必要な移動ラックなど機械設備およびシステムを導入する。
• 第4センターの導入により、超低温(-50℃)、冷凍（-25℃）、冷蔵（0～10℃）、定温（15～20℃）常温という今後、物流に求
められる全ての温度帯に対応した保管・配送が可能となる。
• また、上記設備の温度管理に対応するシステム導入および、同設備の稼働に要する経費削減や脱炭素に寄与する太陽光発電設備
を導入することにより、新たな物流需要を取り込んで、新規雇用の増加、事業展開の更なる拡大による売上高増、付加価値額増によ
り労働生産性を向上させる。
倉庫建物（イメージ） 冷凍冷蔵設備 移動ラック
設備投資の
内容
項目 基準年度 事業化報告3年目
労働生産性
10,694千円/人 16,855千円/人（年平均上昇率＋16.4％）
（単位：千円/人）
目標値 従業員1人あたり給与支給総額
3,878千円/人 4,685千円/人（年平均上昇率＋6.5％）
（単位：千円/人）
役員１人あたり給与支給総額
11,109千円/人 12,970千円/人（年平均上昇率＋5.3％）
（単位：千円/人）
補助事業に係る従業員数
70人 75人
（単位：人）</t>
  </si>
  <si>
    <t>株式会社ファーストライン
.補助事業の概要
2
当社が導入する、和歌山県初の５温度帯対応倉庫となる第4センターは、温暖化に伴う品質基準の厳格化や消費者動向
の変化といった外部環境による物流サービスの多様化・取扱い量増加の動きに対応できるもので、具体的には以下のような差
別化の取組により、補助事業の事業化において受注の拡大・成長を実現する。
■差別化の取組・詳細
※本補助事業で導入する、国内でも非常に希少性が高い「超低温・冷凍・冷蔵・定温・常温」の5温度帯に対応した倉庫は、、
今後の事業展開において非常に大きな差別化の要素になると考えている。
＜差別化のポイント＞
1.各温度帯（特に超低温：-50℃以下など）を安定して維持するには、高度な冷却設備と断熱構造が必要。
・技術的・設備的なハードルが高い
・温度帯ごとに異なる管理システムが必要。
→当社には、これまで取り組んできた医薬品関連製品や温度管理が重要な食品配送で培ってきたノウハウや実績があり、
これらの技術的・設備的なハードルにも十分対応できる。
2. 対応できる商品が多岐にわたる
・食品（冷凍・冷蔵・常温）、医薬品関連（定温・冷蔵）、水産物（超低温）など、多様な業種のニーズに対応可能。
・そのため、一つの倉庫で多業種の荷主を受け入れられるという点で、競争優位性がある。
3. 国内でも導入事例は限られている。
設備投資の
※5温度帯すべてに対応している倉庫を保有ている企業は以下のように非常に限られており、いずれも多温度帯対応の先進企業
内容／
として注目されている。
差別化の
取組
企業名 特徴 備考
＜5温度帯倉庫保有企業＞
ニチレイロジグループ 国内最大手の冷蔵倉庫業者。IoTを活用した温度管理に強み。 設備能力157万トン、シェア8.4%
横浜冷凍（ヨコレイ） 水産物流に強く、冷凍・冷蔵に特化。 設備能力98万トン
C&amp;Fロジホールディングス 急成長中。冷凍・冷蔵・定温に対応。 成長率33.1%（2022-23年）
センコー×ランテック 常温＋低温のハイブリッド物流を展開。 グループ連携で三温度帯対応
キユーソー流通システム 食品物流に強く、定温・冷蔵・冷凍に対応。 医薬品にも対応可能な体制あり
4. 法規制や品質管理の厳格化
食品衛生法やGDP（医薬品の適正流通基準）などにより、温度管理の厳格化が進むことで今後、5温度帯対応倉庫は
さらにその価値が高まると見ている。</t>
  </si>
  <si>
    <t>株式会社ファーストライン
.補助事業の概要
2
当社が導入する、和歌山県初の５温度帯対応倉庫となる第4センターは、温暖化に伴う品質基準の厳格化や消費者動向
の変化といった外部環境による物流サービスの多様化・取扱い量増加の動きに対応できるもので、具体的には以下のような差
別化の取組により、補助事業の事業化において受注の拡大・成長を実現する。
■差別化の取組・詳細
※本補助事業で導入する「超低温・冷凍・冷蔵・定温・常温」の5温度帯に対応した倉庫について
＜温度帯対応の希少性と差別化要素＞
要素 内容
超低温（-50℃以下）まで対応する倉庫は非常に少なく、
希少性
和歌山県内で同設備を保有する物流事業者は現状存在しない。
・全温度帯を1施設で完結でき、効率的な運用が可能。温度帯ごとのゾーニングと動線設計
差別化
・多業種対応（食品・医薬品関連製品・化学品等）
ポイント
・様々な温度帯の商品を一括で手配可能（通常は顧客が保管・出荷等を個々に手配する必要があり手間）
導入障壁 初期投資が非常に高額（冷却設備、断熱構造、電力設備）→参入が難しい
設備投資の ＜今後の市場動向とチャンス＞
内容／ ■大手企業ニーズ：大手企業の生鮮品の冷凍保管基準を満たすには、超低温保管が必要で、需要拡大は確実。
差別化の ■食品ロス削減・品質保持ニーズ：温暖化の影響を受けて今後、常温下でも温度管理が必要になることで、定温帯～冷蔵帯配
取組 送の大きな需要増加を見込み、先んじて各温度帯対応の設備を整備、その需要を取り込む。
温度帯 保存温度 希少性・差別化要因 対象食品/商品
超低温帯 -50℃以下 和歌山県内で初 特殊な冷凍食品、試料、医薬品関連、マグロ等の水産物など
冷凍帯 -25℃以下 冷凍食品、アイスクリームなど
全温度帯を1施設で
完結。効率的運用可能
冷蔵帯 0℃～10℃ 乳製品、肉類、野菜など
定温帯 15℃～20℃ 県内では当社のみ導入 医薬品関連、および米・小麦・チョコレート・パンなど食品関連
常温帯 常温管理 缶詰、乾物、瓶詰食品など
当社は、本補助事業による5温度帯対応倉庫の導入により、これらのビジネスチャンスを確実に捉え事業の成長を加速する。</t>
  </si>
  <si>
    <t>株式会社ダイドー
1.長期成長ビジョン
現在の成長限界を突破して飛躍するために、生産能力増強と全社的な生産体制の再構築を図り会社全体の行動変容を図る。建材事業における事業拡大お
よび既存事業で培った技術を活用したアシストスーツ、アルミ等部材の加工技術を活かした新規分野、海外事業などの成長分野への進出を図り、住まい環境・
働く環境において独自の価値を提供する企業に飛躍する。
長期成長ビジョン（目指す姿・ビジネスモデル） 外発的動機
① BCPへの対応や廃業増加に起因する需要増への対応
建材分野で培った設計・加工技術を応用し、
• 災害の多発からBCPに取り組むお客様が増加。仕入先分散の観点からこれまで取引
住まい環境・働く環境において独自の価値を提供する企業に躍進する
の無いお客様から引き合いをいただくことが増えている。加えてサプライヤーの廃業増に
より新たな引き合いをいただくことも増加。新たなシェア拡大のチャンスとなっている。
①生産能力強化・東西生産拠点の確立による建材事業での新規シェア獲得 • 生産能力拡大、生産拠点分散化により、これらの需要を獲得。成長につなげたい。
➢ 主力事業である住宅建材事業において、全社的な生産体制再構築により生産 ② 少子高齢化による省人化・省力化需要拡大
能力拡大とコスト削減を図り、お客様のBCP対応に関する複数購買化や小規模 • 国内では少子高齢化の進展により労働者不足が深刻化し、企業の現場において省
サプライヤーの廃業による取引機会を獲得する。生産性改善により能力を強化す 人化・省力化需要が拡大している。
ることで、住宅関連企業への供給を拡大し、シェア基盤を拡大する。 • 高齢者や女性などの労働参加はさらに拡大が見込まれ、「働く環境」の負荷低減の
②「働く環境」分野への事業拡大を加速 設備の需要は今後も高くなることが予想される。
③ 海外市場の成長拡大
➢ 既存事業で培ってきた技術である“ばね”や“ダンパー”を活用した設計技術や,
アルミ等の金属加工技術を活かし、働く人の労働環境を改善する「機械設備 • 海外の住宅建設市場は今後も市場規模が拡大することが予想されている。
（アルミ切断機MACM）」や「アシストスーツ」事業の拡大を加速。人手不足 • 特に中国、東南アジアは今後の市場拡大が見込め、有望であり取引を拡大したい。
による省人化・省力化需要を取り込む。 内発的動機
③東日本および海外市場など拡大余地のある市場へ展開
①住宅建材事業においての地位を盤石にする
➢ 当社が取り込めていない東日本のシェアおよび中国・東南アジアなど今後の拡大余
国内における新規住宅着工件数は一定の規模を維持することが予想される。当社は現状
地の大きい市場への製品供給を強化し、飛躍的な成長につなげる。
既存のお客様への供給が精一杯の状態であり、東日本のお客様への供給や新規の取引
が実施できない状況である。今後の事業拡大には、生産性向上や能力拡大によりお客様
の要望に応じられる生産体制を再構築する必要がある。
働く環境を改善 住宅建材事業の ②新規分野・市場への進出の必要性
する製品分野へ 競争力強化とグ
当社のさらなる成長のためには成長分野への進出も不可欠である。当社は建材事業で長
展開を加速 ローバル展開
鹿沼工場新設に 年培った設計開発・生産のノウハウを保有。これらを活かした新分野への参入を企画し既に
よる生産体制再構築
アシストスーツ等一部商品化にも成功している。また、海外市場についても展開を開始して
会社全体の売上成長目標（2029年度） おり、今後の拡大には生産能力がボトルネックになっている。
③社員全員で高い目標を目指し、新たなステージに飛躍したい
• 売上高増加額(2023年度比）：7,407百万円
これまでは住宅建材分野でお客様から高いご評価をいただいてきたが、そこから会社を新た
• 売上高成長率：23.1％（CAGR）
なステージに飛躍させたいと考えている。大規模な投資を行い、高い目標を社員全員で共
• 給与支給総額：6.5％（CAGR）
有して達成を目指す中で、行動変容を促し、ステークホルダーの皆様により貢献できる会社
にしたいと考えている。
当社の方針
当社はこれまで住宅建材事業で、技術を蓄積しお客様の要望に適した製品を供給しつづけてきました。今回の大規模投資により全社的な生産体制の再構築を実施し、これま
でのお客様により多くの製品を供給できるようにするとともに、新たに「働く環境」分野への進出により、今後の日本社会の課題解決にも貢献します。</t>
  </si>
  <si>
    <t>株式会社ダイドー
.補助事業の概要
2
補助事業として栃木県鹿沼市に新工場を建設。アシストスーツとアルミ切断機（MACM）の専用ラインを設けるとともに本社（大阪）工場他既存工場
にも部品加工設備を導入する。新規事業向けの生産能力を拡張することで、事業展開を加速化しするとともに、既存工場の住宅建材向け部材などの
生産余力を生み出すことで全社的な生産体制の再構築を行い成長余力を伸長させる。
栃木県鹿沼市に新工場を建設しアシストスーツおよびアルミ切断機等の機械装置の専用製造ラインを設ける
とともに本社工場等にも部品加工設備を導入する。当社は住宅建材事業で長年培ってきた開発力や加工技
補助事業の 事業費 1, 百万円
術により、様々な分野への進出を図り、事業化を推進してきたが、生産能力の不足がボトルネックとなり、新分野・ 569
背景・目的 新市場への事業拡大は加速化していない。本事業で生産能力を拡張するとともに会社全体の生産体制の再 （補助額） （ 371 百万円）
構築を行い、アシストスーツや機械装置だけでなく、住宅建材等のシェア拡大、海外展開も実現する計画。
【課題】
① 現状は住宅建材とアシストスーツ、アルミ切断機等の機械設備の製造は本社工場（大阪）の製造ラインを共有しており、特に
マシニングセンターについて受注が重なった際には負荷が集中し、ボトルネックとなっている。住宅建材については既存顧客以外へ
の取引を拡大する十分な余力がなく、アシストスーツについても在庫が持てず、拡販が行えない状態である。
② 旋削設備が無く、すべて複合機で加工しているため、生産性が低い。また加工寸法の制約があり部材の外部購入が多くなって
いる。
③ 本社工場の負荷が大きく、ここでしか生産できない部品もありBCPの観点から懸念がある。
④ 西日本に加工拠点が集中しており、東日本のシェア拡大において不利な状況である。
【設備投資の内容】
① 栃木県鹿沼市に新工場建設。マシニングセンタやCNC旋盤等を導入し、アシストスーツ等機械設備の専用生産ラインを設ける。
設備投資の
② 本社工場他に建材等部品加工設備を導入。生産能力の拡大を図る。
内容 ③ 長期的には鹿沼新工場にも既存の住宅建材の生産ラインも設けることを想定している。
【設備投資による効果】 工場完成予想図
① アシストスーツおよび機械設備については専用ライン化により、生産能力が飛躍的に向上し多品種少量生産も可能となる。在
庫の保有により製品の安定供給が可能となることで、今後より多くの受注を獲得することが可能となる。加工設備の充実により
外作していた部品の内作も可能となり、納期とコストダウンが見込める。
② 本社工場の製造ラインに余裕がでることで、住宅建材事業についても生産性が改善。新規取引先の拡大などシェア拡大に向け
た営業活動が可能となる。海外輸出用の機構製品の製造にも余力が発生。
③ 外注加工の削減により、コスト競争力も向上
④ 鹿沼工場を東日本の拠点とすることで、東日本のシェア拡大に向けた事業拠点とし、新規取引を拡大。
⑤ 東西複数の製造拠点を設けることで災害等に対するレジリエンスも強化する。
項目 基準年度 事業化報告3年目
労働生産性 13,621
7,920
（単位：千円/人） （年平均上昇率＋19.8％）
従業員1人あたり給与支給総額 6,678
目標値 5,527
（単位：千円/人） （年平均上昇率＋6.5％）
役員１人あたり給与支給総額
-
（単位：千円/人） - （年平均上昇率＋6.5％）
補助事業に係る従業員数
275 284
（単位：人）</t>
  </si>
  <si>
    <t>株式会社デイリーエッグ
1.長期成長ビジョン
大規模な設備投資の実施により、成長が期待される液卵市場に注力する。強みである全国３位の鶏卵生産
能力を背景に、用途別液卵に注力し、競合他社との差別化を図る
長期成長ビジョン（目指す姿・ビジネスモデル） 外発的動機
■国内鶏卵市場の不安定化
液卵の生産能力拡大、用途別液卵の安定供給により、鶏卵価格の安定化、  大規模な鳥インフルエンザ発生による鶏の殺処分、ウクライナ危機に端を
中食・外食産業の作業の効率化に貢献、食のインフラを支えていく 発した世界的な穀物価格上昇は、鶏卵の供給不足を招き、鶏卵価格の
高騰をもたらしている。鶏卵価格の安定化のため、長期保存ができる液
卵の活用が期待されている。
■鶏卵価格の高騰を抑え、中食・外食産業の人手不足の課題に対応
液卵は単なる規格外たまごの使い道だけでなく、最長2年間の冷凍保存が可能
■顧客ニーズ（生産性の向上）
であり、鶏卵の供給減少、価格高騰に対処して、凍結液卵を供給することで鶏
 スーパー惣菜などの中食産業、飲食店などの外食産業での調理場におい
卵価格の安定化に貢献、国民生活の負担を軽減することができる。
ては、人手不足の課題に対応しながら、狭いスペースで作業の効率化が
また、人手不足の課題を抱えるスーパー惣菜などの中食産業、飲食店などの外
求められている。調理場では一般的に卵が多く使用されるが、液卵を活
食産業において、狭いスペースで作業が求められる調理場でも使いやすい個包
用することで、卵を割って撹拌する作業を減らすことができ、生産性の向上
装パックの液卵を供給することで、作業の効率化に貢献、食のインフラ全体を支
を図ることができる。
えていくことができる。
 当社の既存取引先からも、液卵の販売拡大の引き合いが続いている。
■補助事業の内容
現在、堺市にある液卵製造の工場を、近隣に新設・移転させることで、従来の
内発的動機
液卵製造能力の３倍の製造能力を獲得することができる。生産能力の向上だ
けでなく、最新の工場設備の導入、及び工場ラインの見直しによって、販売先の ■用途別液卵製造のノウハウの蓄積
ニーズに応じた用途別液卵の製造・販売を高い生産性で実現する。  セパレート、ブランド卵液卵、調味液卵など、販売先のニーズに応じた細や
かな対応を続けることで、高品質な液卵製造のノウハウが蓄積されている。
 液卵事業は液卵製造のための専用設備が必要であり、工場運営のノウ
ハウが必要なことから、鶏卵事業と液卵製造を同時に手掛ける会社は少
ない。当社では難易度の高い事業に挑戦することで新たな市場を開拓し
■会社全体の売上成長目標 てきた。
• 2029年度売上高：290億円
• 2029年度までの売上高増加額：101億円 ■液卵事業を支える鶏卵事業の展開
• 2029年度までの売上高成長率：7.4％  関西・中部・中国地方を中心にグループ全体で総数700万羽の鶏を飼
育、全国第3位の規模であり、自社農場での生産力を背景に、液卵の原
料を確保可能である。</t>
  </si>
  <si>
    <t>株式会社デイリーエッグ
2.補助事業の概要
液卵工場を新設・移転させることで生産能力・生産性の向上を図り、用途別液卵により市場の様々なニーズに
対応し、高品質で安全な液卵を安定供給する
・液卵は最長2年間の冷凍保存が可能であり、凍結液卵の販売により鶏卵価格の安定化に貢献する。
・人手不足の課題を抱えるスーパー惣菜などの中食産業、飲食店などの外食産業において、調理場でも
補助事業の 事業費 3,042百万円
使いやすい個包装パックの液卵を供給することで、作業の効率化に貢献する。
背景・目的 （補助額） （974百万円）
・大阪府堺市の現工場の近郊に新液卵製造工場を新設・移転させることによって、液卵事業の生産能力
及び生産性の向上を図り、高品質で安全な液卵を安定供給する。
設備投資の主な内訳 概要 投資額 うち補助対象額
① 工場建設 27/5までに工場完工 1,950 1,950
② 割卵機、ローダー、卵殻搬送スクリューコンベア 割卵工程の自動化を図る設備 218 218
③ CIP対応濾過フィルター ろ過工程の生産性向上を図る設備 20 20
④ 殺菌機 殺菌工程の生産性向上を図る設備 130 130
⑤ 自動ピロー充填機 充填工程の自動化を図る設備 45 45
設備投資の
⑥ 自動ラック押出機、パレタイジングロボット、
原卵入庫・保管の自動化を図る設備 117 117
内容 原料保管自動倉庫、原料自動計量装置
⑦ 容器洗浄機 容器洗浄工程の自動化を図る設備 30 30
液卵製造から設備の洗浄までを自動化・生産
⑧ 液卵製造・CIP制御装置 350 350
性向上を図る設備
装置稼動の安定化、動力源となり、機械稼働
⑨ 低温循環型冷水装置、ボイラー、コンプレッサー 62 62
のため生産活動に不可欠な設備
⑩ 構築物 その他構築物 120 0
計 単位：百万円(税抜） 3,042 2,922
項目 基準年度 事業化報告3年目
労働生産性 57,002千円/人
16,910千円/人
（単位：千円/人） （年平均上昇率＋49.9％）
目標値 従業員1人あたり給与支給総額 5,820千円/人
4,738千円/人
（単位：千円/人） （年平均上昇率＋7.1％）
役員１人あたり給与支給総額 -
-
（単位：千円/人） （年平均上昇率＋5.5％）
補助事業に係る従業員数
25人 35人（＋10人）
（単位：人）</t>
  </si>
  <si>
    <t>三恵株式会社
1.⻑期成⻑ビジョン
「無から有を⽣み出す。⾼度な技術と創造性で合成樹脂の無限の可能性に挑む。」という理念のもと、⼤きく変貌
する⾃動⾞産業界において、合成樹脂の新たな可能性を求めて挑戦し続ける
⻑期成⻑ビジョン（⽬指す姿・ビジネスモデル） 外発的動機
• ⾃動⾞業界における電動化・軽量化・意匠性⾼度化の進展により、
無から有を⽣み出す。⾼度な技術と創造性で合成樹脂 部品サプライヤーにも⾼付加価値化・技術⾰新が求められている。
の無限の可能性に挑む。 • CO₂削減・VOC規制強化など環境規制の厳格化により、塗装・乾燥
・電⼒使⽤等における省エネ・脱炭素対応が不可避となっている。
フルサービスサプライヤーへの進化
• スズキをはじめとするOEM各社が、サプライヤーに設計・開発段階か
■ 開発・設計から成形・塗装・めっき・組⽴まで、⼀貫対応により顧 らの関与（FSS機能）を求めるようになっている。
客に対して⼀層の価値提供を⾏うビジネスモデルへの進化
• スズキ国内外⼯場の⽣産能⼒増強に伴い、⼀貫供給体制の再構
築と⼤型樹脂成形品の対応⼒強化が求められている。
環境と⼈に優しい次世代型モノづくり体制の構築
■ FA・IoT・再エネ・省エネ対応を進め、⽣産性と持続可能性を両 • 外注先の⽣産余⼒・品質⼒の限界から、安定供給体制の内製
⽴するスマートファクトリーを⽬指す 化・強化が不可⽋となっている。
EV・グローバル対応⼒の強化
内発的動機
■ 次世代⾞両に不可⽋な軽量・⾼機能部品を開発し、国内外の
多様なニーズに応える体制を構築 • 「成形・塗装・めっきの全⼯程を⾃社で完結」できる強みをさらに進
化させ、業界でも稀有な⼀貫供給体制を確⽴したいという想い
• 創業以来⽀えてきたスズキとの⻑年の信頼関係を深化させるべく、
会社全体の売上成⻑⽬標（〜31年3⽉期） より上流から関与できるフルサービス型企業（FSS）を⽬指す
• 売上⾼年平均成⻑率8.9％
• スズキ依存からの脱却と新たな市場開拓により、企業としての持続
• 売上⾼増加額120億円
可能性を⾼めると共に成⻑市場への挑戦を推進
会社全体の賃上げ⽬標
• 2.5%（直近事業年度〜基準年度） • 社員・協⼒会社の⾼齢化や⼈⼿不⾜に対応するため、省⼈化・
⾃動化による次世代⽣産モデルへの転換が急務
• 7.0%（基準年度〜事業化報告3年⽬）
• 会社の成⻑と従業員への利益還元（賃上げ）を両⽴させ、地域
と社員がともに恵みを分かち合う企業であり続けたいという理念</t>
  </si>
  <si>
    <t>三恵株式会社
2.補助事業の概要
4募⽤
既存⼯場隣接地に新建屋を建設すると共に、⼤型成形設備や最新鋭の塗装専⽤設備、⾃動搬送機・⾃動
⾦型交換台等の省⼈化設備導⼊のための投資約46.8億円を実⾏する
補助事業の • 既存⼯場の⽣産量限界により、機会損失が発⽣しており、⽣産能⼒増強が必須 事業費 4,764百万円
背景・⽬的 • EV時代を⾒据えた中⻑期的な向上のためには⽣産性改善と⾼付加価値化が必須 （補助額） (1,170百万円)
新⼯場建設と⼤型製品対応設備・省⼈化設備導⼊による競争⼒強化と中⻑期成⻑基盤確⽴
【具体的な投資内容】
① 新⼯場建屋建設（23.8億円）
増産のための⽣産⼯場を既存⼯場隣接地に建設し、顧客からの増産要
請・新規取引開拓を実現可能な製造体制整備
② ⼤型成形対応設備・⾃動搬送機等導⼊（23.0億円）
⼤型成形設備導⼊や塗着率の⾼い専⽤設備導⼊による⾼付加価値
設備投資の
化・効率化と、⾃動搬送機・⾃動⾦型交換台等の省⼈化設備導⼊
内容
【補助事業により⾒込まれる効果】
• ⽣産⼯場新設による⽣産キャパシティの約1.5倍化
• ⼤型成形品の内製化による原価率15％改善
• 塗着率向上（40%→60%）による塗料使⽤量24％削減
• 搬送⾃動化による搬送⼯程⼈員50%削減（30名→15名）
項⽬ 基準年度 事業化報告3年⽬
労働⽣産性 16,783千円/⼈
10,225千円/⼈
（単位︓千円/⼈） （年平均上昇率＋18.0％）
従業員1⼈あたり給与⽀給総額 5,026千円/⼈
⽬標値 （単位︓千円/⼈） 4,103千円/⼈ （年平均上昇率＋7.0％）
役員１⼈あたり給与⽀給総額 -
-
（単位︓千円/⼈） （年平均上昇率＋5.0％）
補助事業に係る従業員数
327⼈ 350⼈
（単位︓⼈）</t>
  </si>
  <si>
    <t>MHT株式会社
1.長期成長ビジョン
マグロ需要の拡大やアジアでの新造船需要増を背景に、大中型まき網漁船向け油圧システムで国内シェア95％の技術力の強
みを活かし、海外の最新鋭の漁船に搭載される油圧システムのグローバルニッチトップを目指す。
外発的動機
長期成長ビジョン（目指す姿・ビジネスモデル）
• 当社の油圧システムが主に搭載されている漁船で行うカツオ、マグロ等の
◆目指す姿
まき網漁についてのメガトレンドは以下である。
海外まき網漁船(特にアジア)を始めとした最新鋭の漁船に搭載される
①国内：海外まき網漁船の隻数枠が決まっており、当社のシェアが高い。
油圧システムのグローバルニッチトップを目指す。
漁師の人手不足により漁獲量も年々減っている。
②海外：1975年頃は約50万トンであったが、2020年には
◆長期的なビジネスモデル（当社の社会的価値）
約500万トンまで増加しており、その後も伸び続けている。
• 大中型まき網漁船用の油圧システムは、シェアNo1(95%)であり、国 • マグロ需要が高まっている。ツナ缶は世界中で大変好まれている食材であ
内に水揚げされるカツオ、マグロ等のマグロ類は当社の油圧システムを
る。また、缶詰のため常温で長期保存が可能で物流コストも安く、東南ア
用いて漁獲されており、当社なしには日本水産業は成り立たない。日
ジアや、インドでも需要が伸びている。
本の魚のある食卓を守るために売上を維持し供給責任を果たしていく。
• 海外の海外まき網漁船の需要が高まっている。東南アジア地域では、漁
• 一方、国内漁業は衰退するため、国内シェアNo1(95％)の強みを活 が高度化されておらず、経済発展に伴い、最新型の海外まき網漁船の需
かし、アジアを中心として輸出新船・輸出単品・メンテナンス事業を強
要が増加すると考えられる。
化し、事業の拡大を図る。
具体的には、すでに開始している中国、台湾、韓国の売上を伸ばし、
内発的動機
引き合いの来ているフィリピンの販路拡大をし、さらにはインドネシア、
ベトナム、タイ等の新興国の経済成長とともに販売を強化し、 • 当社は、台湾に現地法人を立ち上げ、海外事業部と連携しアジア圏の
国々へ営業を行っている。この海外展開が功を奏し、コロナ禍でも安定し
グローバルニッチトップを目指す。
た受注を得てきた。2023年9月に韓国に現地法人を設立しさらに海外
展開を進めている。
会社全体の売上成長目標（～2030年）
• 海外では漁船の近代化が遅れ、漁業の安全性が低いことを実体験として
現状（直近決算期の実績） 感じ取り、当社製品が貢献できると考え営業を推進してきた。
• 2024年12月期の会社全体の売上高75億円 • この海外営業網の情報から、今後アジアでの新船需要増加は確度が高
いこと。また、実際に輸出船に納品した油圧システムが好評であり、かつ
計画の最終年の目標（2030年12月期） 「販売よりもメンテナンスを最優先」の大方針に沿ったきめ細やかなメンテナ
• 会社全体の売上高150億円 ンスサービスが支持されている。
• 会社全体の売上高成長率100％ • これにより国内の大中型まき網漁船油圧システム国内シェアNo1(95％)
• 会社全体の売上高増加額75億円 の技術力に間違いはないと確信し、海外事業をさらに強化し、「海外まき
網漁船を始めとした最新鋭の漁船に搭載される油圧システムのグローバル
ニッチトップ」を5年後の目指す姿として掲げ、挑戦することとした。</t>
  </si>
  <si>
    <t>MHT株式会社
.補助事業の概要
2
本事業では、アジア輸出向けに大型油圧システムを製造するための製造体制及び倉庫、メンテナンス拠点を整備・強化する。製
造面では、大型化を推進するための設備、保管面では、ボトルネックとなっている本社倉庫の新設、メンテナンス面では、整備機
械の拡充を実施する。収益性、労働生産性を向上することで、雇用の増大、高い賃上げ目標を達成する。
本事業では、海外巻き漁船用油圧システムのアジア輸出の拡大を目的としている。当社の輸出展開はすでに開始しており、 事業費 1,5 24 百万円
先行投資も進んでいる。具体的には、営業面では、台湾、韓国、中国に現地法人及び、営業拠点を設けており、展示会 （補助額） （ 百万円）
375
出展、テストマーケティングを実施した。製造面では、人員を拡充しており、海外人材採用のため寮の建設を実施した。
すでに、売上が拡大しており、2024年12月期は、売上高75億円(対前年29.3%増)となっている。
展示会出展、テスト―マーケティングで、顧客ニーズを調査したところ、漁業の大規模化により、国内向けよりも大型化の
補助事業の
ニーズが強いことが判明した。そこで、今後の輸出事業の更なる成長のため、以下の課題がある。
背景・目的
■製造面：輸出向け大型化対応するための設備の未整備
■保管面：輸出向けの増加に伴い、購入品在庫、製品在庫等の保管容量が増加する。
現状の倉庫では、手狭であり、効率的な在庫管理ができない。
■メンテナンス面：当社はメンテナンス面を重視しているが、輸出向けに大型対応した
メンテナンス設備が未整備である。
■製造面：輸出向け大型化対応のための製造体制強化
• 部品加工の大型化のため、複合加工機、電炉、組立用の定盤、横中ぐり盤等を導入する。
• 大型部品は熱膨張精度低下を引き起こすため、精緻な温度管理をするため屋根改修を実施する。
• 製品大型化に伴い、工場内ホイストクレーンの重量対応が必要である。
設備投資の ■保管面：輸出向け在庫倉庫の整備
内容 • 倉庫の新設により、スペースの確保をすることで、輸出在庫の最適化、入出庫の効率化を推進する。
• 効率的な入出庫を推進するため、マテハン設備（フォークリフト、ラクサー）を新規導入する。
■メンテナンス面：輸出向け大型メンテナンス拠点の整備
• 大型設備のメンテナンスが行えるサイズのショットブラストマシン、塗装ブースを導入する。
• 大型化に対応する国内最大級の検査装置(テストスタンド)を導入する。
項目 基準年度 事業化報告3年目
労働生産性 24,654
8,056
（単位：千円/人） （年平均上昇率＋45. ％）
2
目標値 従業員1人あたり給与支給総額 5,22 6,28 2
（単位：千円/人） 1 （年平均上昇率＋6. ％）
4
役員１人あたり給与支給総額 -
（単位：千円/人） - （年平均上昇率＋6.0％）
補助事業に係る従業員数
136 142
（単位：人）</t>
  </si>
  <si>
    <t>MHT株式会社
.補助事業の概要
2
本事業では、全社売上150億円、補助事業である輸出新船、輸出単品、メンテナンス事業売上93億円を目
指して各拠点に投資を実施する。これらの詳細は以下の通りある。
製造面 輸出向け大型化対応のための製造体制強化
設備 目的 投資額(円)
オークマ製複合加工機 5m級の大物旋盤加工が可能な複合加工機を導入し、生産性を向上する。 200,526,068
トウネツ製電気炉 大物に対応可能で、クリーンで高出力な電炉を導入し、生産性を向上する。 42,820,000
ニデック製横中ぐり盤 大物に対応可能な横中ぐり盤を導入し、生産性を向上する。 148,000,000
導入複合機 イメージ写真
大和重工製定盤 大物組立に対応可能な定盤を導入する。 20,420,000
日本ホイスト製5tクレーン 大物対応が可能な5トン級のホイストクレーンを導入する 13,670,000
今回導入予定の複合機、電炉、横中ぐり盤等追加により増加した電力量をまかなえる
中原電気製キュービクル 49,900,000
キュービクルを導入する
設
屋根改修工事 部品の熱膨張防止のため温度管理徹底を可能にするため、建屋の屋根の改修を実施する。 56,500,000
備
投 保管面 輸出向け在庫倉庫の整備
資 設備 目的 投資額(円)
詳 倉庫兼整備工場イメージパース
倉庫兼整備工場建設 輸出向け材料、購入品、製品在庫をするためのスペース確保と適正在庫の保管をする。 889,012,532
細
トヨタ製フォークリフト 新倉庫の入出荷の効率化を実施し、生産性を向上する。 4,639,400
ニチュ製ラクサー ユニット単位の大物の運搬が可能なサイズの設備を導入し、生産性を向上する。 250,000
メンテンナンス面
輸出向け大型メンテナンス拠点の整備
設備 目的 投資額(円)
国内最大級５０㌧クラスの大物対応可能なテストスタンドを導入し、メンテナンス力を強
テストスタンド 50,000,000
化する。
ニッチュー製
大物でもサビ取り、表面処理可能なサイズの設備を導入し、生産性を向上する。 15,152,000
ショットブラストマシン
三井精機製コンプレッサー 上記、ショットブラストマシンで使用するために必要な設備である。 2,000,000
テストスタンド
イメージ写真
栗田工業製塗装ブース 大物でも内部で塗装作業可能なサイズの設備を導入し、生産性を向上する。 7,110,000</t>
  </si>
  <si>
    <t>株式会社東豊精工
1.長期成長ビジョン
国内のトップメーカーと直接取引し、高い技術開発力を持つ当社は、豊岡市から世界を見据え、この地で夢を
持って働くことができる魅力ある企業の実現と成長を通じて、地域の持続的発展を牽引する
長期成長ビジ 目指す 外発的動機
(cid:23887)(cid:23899)(cid:1602) (cid:3013)(cid:23907)(cid:23867)(cid:23840)(cid:23861)(cid:23841)(cid:23882)(cid:23855)(cid:23891)(cid:1603)
• 1957年の創業時から1980年代前半まではカメラ向け精密ばねを主力製品としてきたが、以
(cid:891) 豊岡発「精密ばねの専門メーカー」として、線ばね・板ばね・プレス 降は事務機はじめ他の業界へもリスク分散し取引の幅を広げていった。その中で進出した自動
成形品（金型による加工品）を取扱い、自動車・医療機器・デ 車及び医療機器向けの精密ばね製造はリーマンショック後に大きく増加し、現在では自動車
向けが主力製品、医療機器向けが準主力製品となっている
ジタル機器・事務機・住宅機器に加えてレジャーやホビーに至るま
• 近年では、釣り具等のレジャー用品やホビー用品向けにも製品群が広がっている
で、産業用から個人用までの様々なばねを、当社の高い技術力を
• 当社の手掛けるばねは、時代の変化・顧客の業界の変化とともに「多様化・大型化」してきて
活かして製造し世界中のユーザーに供給する いるが、当社が受注するばねは安価な汎用品ではなく、顧客たる製造メーカーが求める高機
能部品としての「オーダーメイド」品が中心であることは変わっていない
• 少子高齢化と人口減少が進む豊岡市において、当社が明確な長
• 社長が豊岡商工会議所会頭や豊岡市ワークイノベーション推進会議共同代表をはじめ地域
期ビジョン策定と大規模成長投資を行うことにより、地域の雇用の
の様々な公的な役割を通じて学んだことの一つには、少子高齢化・人口減少の本質には、高
受け皿となるとともに、U・Iターンを促進させる一助になればと考え 卒後に一旦流出する若者、特に女性の回復率が著しく低く、生産年齢人口の減少に直結し
ていることがある。それらの課題解決のためには企業が自ら選ばれる魅力ある企業に変革しな
る。また、この投資によって労働環境の改善を始めとするワークイノ
ければならず、地元企業が地域経済や諸問題解決に行政とも一体になり取り組んでいくこと
ベーションの推進と賃金上昇を図り、「働きやすく働きがいのある会
は不可欠であり、当社も自ら先頭を切って取り組んでいく必要性を強く考えるようになった
社」への変革を進めていきたいと考える。そのことにより、社員一人
一人が未来に向けて夢を持ち働くことが出来る魅力ある企業の実
内発的動機
現とその成長を通じて、地域社会、国家そして世界の発展に貢献
• 2010年までには、現工場のスペースが限界に達し、以後は新たな受注のための設備を導入
し続ける好循環を生んでいく
するために、既存の経年設備を撤去して新たな設備に入れ替えるということが起こり始めた
• 当社は、地元で創業し成長してきた歴史も踏まえ、地域でも有数 • 将来の本社全面建替えを見越した用地取得も行っていたものの、リーマンショックや、自動車
の雇用を抱える企業として、率先して地域経済の発展に対する責 業界の海外展開などの経営環境の変化や不透明さにより、大規模投資に踏み切れない状
況が続いた。新型コロナウイルス感染症を経て、当社の投資余力と経営環境のバランスを考え
任を果たしていきたいと考える
る中で、成長のための大規模投資を行うべき時が来たと認識している
• 置場のない材料や仕掛品・完成品が通路や食堂にも置かれるようになり、効率的な工場内
のレイアウトも制約され、生産性の向上を図ることが困難になっている。また、新規設備投資が
必要な製品の受注に際しても、躊躇したり後手に回り、受注機会を逃すこともおきている。
• 当社には元々、国内ばね業界で初めて「トーションマシン」を自社開発し、当時業界トップ企
業が視察に来るほどの高い研究開発力がある。当社はこの強みを活かし、将来に繋ぐとともに
進化させていく必要がある
会社全体の売上成長目標（～2030年）
• 新工場を建設して製造ラインを増設・再構築し設備やシステムを導入することによって、生産
• 売上高増加額21.4億円 性を向上させるとともに、食堂などの福利厚生施設も整備し、社員が働きやすい環境を整える。
これにより当社及び地域の将来を担う人材を確保し、業績を拡大させる。当社が社員や地
• 売上高成長率14.8％
域・取引先とともに成長していくためにも、大規模成長投資の必要性を強く認識した</t>
  </si>
  <si>
    <t>株式会社東豊精工
.補助事業の概要
2
既存工場と新工場を一体とした生産体制の再編、自動化・高速化・高品質化・デジタル化設備や大型設備の
導入による省人化をはかり、生産性・収益性を向上し、地域を牽引する持続的な成長と賃上げを実現
• 設備投資を積み重ねてきた結果、機能別レイアウトの手狭な工場となり動線も悪く、大型設備導入も困難
• 業績は上向いているが設備・人員不足によって思い切った受注ができず、売上増加の商機を掴めていない
補助事業の • 補助事業により新工場を建築し、自動化・省人化効果の高い機械装置を導入して工場レイアウトも見直す 事業費 2, 331 百万円
• 自社開発機械・金型等との組み合わせによって、省人・省スペースでの大量生産と高付加価値製品生産の双方を大幅に増強
背景・目的 し、営業力・開発力・生産力を高次元で組み合わせることでの労働生産性向上を実現 （補助額） （ 550 百万円）
• 労働環境整備により人材確保にプラス効果が生まれ、強みや技術の伝承と継続的な賃上げを目指す
• 2004年台風23号により工場1階の一部が浸水したので、主要NCマシンを新工場２階にレイアウトし水害対策とする
• 既存工場の隣接地に新工場を建設し、既存工場・新工場を一体とした生産体制の再編
• 新工場は、製品別レイアウトに機能別レイアウトのメリットを合わせたハイブリッド型
• 線ばねの生産能力・生産性を向上するための、製造工程の自動化設備・生産リードタイム
短縮に資する熱処理・検査・研磨の自動化・省人化設備を導入及び高品質化
• 板ばねの生産能力・生産性を向上するための、金型製作及びプレス工程の自動化設備・
リードタイム短縮に資する三次元CAD・CAMの省人化機器の導入及び高品質化
• 移動式在庫棚の導入による、在庫保管スペースと管理の効率化と省人化
設備投資の
写真等
内容
項目 基準年度 事業化報告3年目
労働生産性
６，４８３
１３，９５3
（単位：千円/人） （年平均上昇率＋２９．１％）
目標値 従業員1人あたり給与支給総額
４，５００
５，３60
（単位：千円/人） （年平均上昇率＋６．０％）
役員１人あたり給与支給総額
-
（単位：千円/人） - （年平均上昇率＋６．０％）
補助事業に係る従業員数
９７ １２７
（単位：人）</t>
  </si>
  <si>
    <t>株式会社南鐵建
1.長期成長ビジョン
今後も続く「再開発計画」に代表されるような超高層ビルなど「Sグレード」が求められる建設市場へ新規参入。
鉄骨の製造・建設技術の高度化によって、サプライチェーンの国内回帰や我が国の国土強靭化に貢献。
長期成長ビジョン（目指す姿・ビジネスモデル） 外発的動機
【目指す姿】 • 都市部を中心に、多くの再開発事業が計画されており、超高層ビ
ルの建設も毎年何棟も竣工している。当社の受注先大手ゼネコン
• ビジョンは「上空に広がる快適空間の創造を目指して」。
等からの情報によると、今後も再開発計画は続くとのことである。
• コアコンピタンスである、設計に関する「鉄骨部材の製造・施工に特
化した専門性」および「次代を見据えた海外含めたM&amp;A等による • 一方、こうした大型物件を手掛ける際は、「鉄骨製作工場認定制
度」における最高位「Sグレード」認定を受ける必要がある。
豊富な設計生産能力」を活かして、高品質な鉄骨建物の製造・
施工を通じて、我が国のインフラ事業を支えるとともに、災害等に対 • 現在当社が認定を受けている「Hグレード」が全国で344工場認定
する強靭化に貢献する。 されているのに対し、「Sグレード」は22工場と、非常にハードルの高
い認定となっている。
【ビジネスモデル】
• 上記ビジョンに向けて、今後、当社は「鉄骨製作工場認定制度」 • こうした状況から、一部の大手ゼネコンは、「Sグレード」の鉄骨部材
を、まとまった物量を提供できるタイから輸入している。しかし、震災
の最高位となる「Sグレード」の認定を取得し、高さ60mを超える超
や感染症、政治的リスクなどによってサプライチェーンが寸断される可
高層ビルの鉄骨部材の製造・施工に参入していく。
能性も残されている。
• 併せて、建築物用の鉄骨部材に関する継続的な研究開発に取り
組むことで、我が国の鉄骨建築業界における「技術発展」や「産業
内発的動機
競争力の強化」の一翼を担う。
• 「Hグレード」の認定を取得する事業者が、近年増加してきたことから、
• 「Sグレード」認定取得と並行して、本社工場の移転を予定してい
鉄骨製造業者の「Hグレード」クラスの価値が、相対的に低下してき
る。その意図としては、「三河港田原公共ふ頭2号」の増深に向け
た。当社としても、受注の際、競合他社が増加し、簡単には受注で
た岸壁整備によって、大型船の入港が可能となることを見据え、よ
きなくなってきた感覚がある。
り臨海部へ立地することで、海外の協力会社からの輸入部材の運
搬や製品保管の効率化を図り、経営効率を高めるものとなる。 • そこで、質・量ともに高水準にある設計力を活かして、さらに今よりワ
ンランク上の鉄骨部材を製造できるようになり、当社の事業領域を
拡大したい（最高位「Sグレード」が受注しているの案件を手掛けた
◆会社全体の売上成長目標
い）と考えた。
（基準：2024年9月期 目標年度：2031年9月期）
• 売上高増加額 20,651百万円（同成長率 106％） • また、2021年から始まった日本大学との共同研究によって、新たに
◆会社全体の賃上目標 「制震ブレース」が誕生。その開発段階において、「鉄骨製造技術を
高め、日本の鉄骨業界の産業競争力を高めることが、まだまだ可能
• 1.43％（直近事業年度～基準年度）
である」と考え、鉄骨建築物の高度化に取り組む必要がある。
• 6.44％（基準年度～事業化後3年目）</t>
  </si>
  <si>
    <t>株式会社南鐵建
.補助事業の概要
2
高い設計力を持つ豊富な人材を擁した設計部門の強みを活かして、都市部を中心に今後もしばらくは続く“再開発
計画”と“超高層ビルの建設計画”（ニーズ）を捉え、新たにSグレード取得可能な工場と設備の設置をおこなう。
①都市部でまだまだ計画されている再開発と超高層ビルの建設需要
補助事業の 事業費 , 百万円
②当社の対売上高外注比率は28％と利益率の向上に伸びしろを残す構造 2 214
背景・目的 （補助額） （64 百万円）
③近年多発している地震に対応した、新たな制震建物の研究開発 8
（単位：百万円）
【本事業で設定した課題】
①「Sグレード」に適合した鉄骨製品の製造環境の整備 設備投資の名称 金額
②「一次加工」から求められる鉄骨部材に対する高い品質管理への対応 １．新本社工場 (1,548)
③イノベーションを創出し得る研究・開発環境の整備
① 新本社工場の建設、空調設置 673
【課題に対する解決策】
② 溶接ロボット 77
①「Sグレード」認定に必要な工場の建設と専用機器の導入
③ 天井クレーン、外部用門型クレーン 384
②「一次加工」の内製化とそれに必要なドリルほか専用機械の導入
設備投資の
④ 柱大組み立て機 102
③研究開発室の設置（※旧本社工場の有効活用）
内容
⑤ 輸入材取り出し機 48
【労働生産性向上などの効果】
従前より当社が手掛けてきた「Hグレード」の受注は1棟あたり平均5億円であ ⑥ 太陽光発電装置・フォークリフトほか 264
るのに対し、「Sグレード」の受注は同30億円となり、大きく売上高が向上。加 ２．旧本社工場 (395)
えて、鉄骨部材の一次加工を内製化することから、当社の営業利益率は格
⑦ ドリルほか一次加工機 293
段に向上することが期待できる。導入する設備も「ロボット溶接」などを活用した、
⑧ エレスラサブマージ溶接機ほか 102
自動化・省力化された製造方法を採用する。以上より、労働生産性の向上
が期待できる。 合計 1,943
項目 基準年度 事業化報告3年目
労働生産性
24,686
60,676
（単位：千円/人） （年平均上昇率＋35.0％）
目標値 従業員1人あたり給与支給総額 8,676
（単位：千円/人）
7,187
（年平均上昇率6.5％）
役員１人あたり給与支給総額
-
（単位：千円/人） - （年平均上昇率6.4％）
補助事業に係る従業員数
117 134
（単位：人）</t>
  </si>
  <si>
    <t>株式会社新潟食品運輸
1.長期成長ビジョン
食品物流に特化した高品質オペレーションと地域密着ネットワークを武器に、社会課題と顧客ニーズに対応した「3PLハブ拡張」と
「労働環境改革による人材確保」を両輪とした成長戦略を展開。31年売上高240億円を目指す。
長期成長ビジョン（目指す姿・ビジネスモデル） 外発的動機
• （ 長期 会 ビ 社 ジョ （ ン 又はグループ全体）が長期的（５～10年後）に目指 • 物流業界は3PL (サード・パーティー・ロジスティクス)市場を中心に、荷主企
す姿として、社会に対しどのような価値を提供するか等のビジョンに
業に代わる物流システム構築・実行需要が高まりを受けて、過去5年間の
ついてご記載ください） CAGRは+5.3%となる、24.6兆円の市場規模へ成長
戦略の方向性 • 物流業界における「2024年問題」到来により、荷主単独での輸配送能力の
「広域3PLハブ×物流ソリューション×労働改革」で、 制約が顕在化し、共同配送や中継拠点の分散化ニーズが急拡大
地域物流の限界突破 • 地震・水害などの自然災害リスク増加を背景に、サプライチェーンのBCP対策
3PL拡張戦略 労働環境改善による雇用強化戦略 として「広域分散型物流拠点」への移行が加速
需要側（荷主）からの要請と社会構造変化に応 • 大手小売・食品メーカーから「高品質・温度帯管理・トレーサビリティ対応」を
「物流は人が創る現場産業」──人への投資によ
える、広域ハブ型3PLへの転換と拡張 備えた高度物流の要求水準が上昇
る“攻めの経営”への転換
1. 冷凍冷蔵倉庫の大規模増設と多温度帯イン
フラの整備 1. 省人化・自動化設備の導入で、肉体労働負 • 冷凍・冷蔵食品の需要増加に伴い、低温物流インフラの逼迫と拠点整備の
担を軽減
2. 共同配送・中継拠点機能の強化による、非 必要性が顧客側から高まっている。実際、複数取引先から「保管容量の拡
2. 次世代人材の安定雇用と教育体制の強化
効率な単独配送からの脱却
3. 業務効率改善による生産性向上と賃上げ原 張」の要請が相次いでおり、喫緊の対策が求められる
3. トレーサビリティ・温度管理等の付加価値サー
資の創出
ビスの高度化
企業理念
内発的動機
「安全・確実・丁寧・親切な輸送で、お客様との信頼関係を築く」
• 1981年に設立以来、「物流は人が創る現場産業」と捉え、「安全・確実・丁寧・
親切な輸送で、お客様との信頼関係を築く」という企業理念に基づき、食品物流
に特化し、常温・冷蔵・冷凍輸送技術の向上に努めてきた
• しかし、近年は業界全体の「労働力不足」「燃料・電力等コスト高騰」「2024年
問題」に起因して、①荷主単独での物流構築が困難、②同業の倒廃業が相次
ぎ、当社への貨物委託量は増加傾向にある
会社全体の売上成長目標（～2031年）
• 当社としても20年にNCL第2センター、23年に長岡センターを新築し、受入余力
• 2031年までに会社全体の売上高240億円 を高めてきたが、倉庫の逼迫状況が続き、現状のままでは物理的キャパシティによ
• 売上高増加額99.1億円(直近期比) り売上高160億円が天井。成長限界点が迫ってきている
• 売上高成長率9.3%(25.3期～31.3期) • 新たな倉庫整備を前提にした保管量拡大要請が既存及び新規顧客から相次
会社全体の賃上げ目標 いでおり、従前の「守りの経営」ではなく、「攻めの経営」によるボトルネック解消が
• 補助事業取組前は3.49%（直近決算期～基準年度）に留まる 喫緊の課題と認識し、強い信念を持ち変革へ取り組む組織土壌が整ってきた
• 補助事業取組後は6.50%（基準年度～事業化報告3年目） • 本補助事業を単なる増設ではなく、「人を主役とした次世代物流モデル」としての
ハブとして機能させ、物流の未来を見据えた世代交代の布石とする
• 給与支給総額の年平均成長率8.8％</t>
  </si>
  <si>
    <t>株式会社新潟食品運輸
.補助事業の概要
2
地域食品物流の次世代拠点を構築し、共同配送や温度帯対応への急増するニーズに対応。
入出庫効率や車両回転率を向上させ、労働生産性は年10.3%成長。1人当たり給与支給総額年6.5%を実現する原資を創出。
冷凍・冷蔵に関する3PL需要の拡大により、共同配送・広域拠点分散・温度帯対応型倉庫へのニーズが急増。
補助事業の しかし、当社の既存施設の稼働率も逼迫し、新規需要への対応が困難。 事業費 3, 109 百万円
背景・目的 本補助事業により、新拠点(冷蔵冷凍倉庫+高度仕分け機能)を整備し、既存拠点の小口業務を分離。 （補助額） （1, 百万円）
015
全社的に入出荷・配送体制を高効率化させ、地域全体の食品物流を新たな成長フェーズへ昇華する。
設備投資一覧
項目 内容(必要理由) 金額(補助対象のみ) 新潟市江南区丸山ノ内善之丞組1148番地
予定地
(NCL第2センター敷地内)
建築工事・冷凍冷蔵設備工事など
建物費 3,177,000千円
(冷凍冷蔵倉庫の中核施設建設に必要) 延床面積 6,840㎡
マテハン設備・ラック設備など
機械装置費 122,000千円
(高効率な入出荷業務の遂行に必要) 新倉庫(NCL第3センター)イメージ
物流倉庫システム
設備投資の ソフトウェア費 1,000千円
(高効率な入出荷・輸送業務・車両管理に必要)
内容
合計 3,300,000千円
【課題解決/労働生産性向上について】
• 新倉庫の整備により、既存倉庫の逼迫を解消。入出庫・仕分け業務の分担を最適化
• 個別ピックが必要な小口商品には自動倉庫は適さないため、敢えて移動式ラック・固定
ラックを組み合わせる当社オリジナルの庫内オペレーションで省力化・高度化
• WMS(物流倉庫システム)は、GPS配車システムと連動したオーダーメイド版を活用
• 庫内動線を整理し、作業時間あたりの処理件数を1.2倍に向上
※NCL第2センター敷地内に新規併設
• 車両回転率を月間10%以上改善し、配送効率を向上
項目 基準年度 事業化報告3年目
労働生産性 8,567千円
6,383千円
（単位：千円/人） （年平均上昇率＋10.3％）
目標値 従業員1人あたり給与支給総額 5,479千円
4,536千円
（単位：千円/人） （年平均上昇率＋6.5％）
役員１人あたり給与支給総額
-
（単位：千円/人） - （年平均上昇率＋6.5％）
補助事業に係る従業員数
697人 750人
（単位：人）</t>
  </si>
  <si>
    <t>株式会社カネヒロ
1.長期成長ビジョン
当社は、アルミニウム加工・販売事業を成長戦略の柱と位置付けています。本補助事業を通じ、加工と生産能
力を増強することで、外部環境以上の成長実現および、「お客様の喜び」に貢献します。
長期成長ビジョン（目指す姿・ビジネスモデル） 外発的動機
①自動二輪車の軽量化ニーズへの対応
・当社は『お客様に少しでもお役に立てる仕事をする事に
EVシフトなどを背景に、車体の軽量化ニーズが高まっており、車体に用いるアル
よってお客様に喜ばれたい。』という願いのもと、『終わりなき ミ部品の開発・供給の需要が高まっている。一方で生産の拠点は海外に移っ
品質の向上』を掲げ、社会貢献・ステークホルダーへの価 ており、国内向けの供給については将来的に逼迫する可能性がある。国内サプ
ライチェーンの安定化のためにも生産体制を強化する必要がある。
値創出・当社の持続的な成長を実現する。
②半導体製造領域への参入
&lt;上記ビジョンを達成するための具体的行動&gt;
当社の製造拠点である熊本県菊池市周辺では、いまや国内有数の半導体
• アルミニウム部品の引き合い件数増加に対し、当社の生産能力の
製造工場立地地域となり、台湾TSMC、Sonyや東京エレクトロン等の大企業
制約から、機会損失していた案件に対応すべく、工場を移転・拡張。
が大規模な投資を実施している。一方で部品等の現地調達については対応で
生産能力が格段に増加することでお客様からの需要に対応、さら きる企業が少なく、今まで取扱いのない当社にも引き合いが来るほどに参入
に関連する卸売部材への波及等、全社売上高の向上にも貢献。 余地が存在している。
• 導線改善および、全自動外観検査機といった最新機器を導入。省 ③トラック架装、鉄道、事務機など他分野での受注機会の増加
力化及び生産性向上を実現し、試作・開発・設計といった付加価 「トラック架装」では市場の供給状況が改善し、「鉄道」では車体の入れ替え
値の高い業務に注力することが可能となる。 やリニア新幹線の開通に伴う需要が見込まれている。「事務機」ではモバイル
ワークブース向け製品の需要が増加しており、各分野で新たな受注機会が発
生している。
• 上記により、既存の延長線上にない分野への進出を図る。具体的
には、半導体製造装置領域をはじめとする成長分野を積極的に開
内発的動機
拓。各分野での国内サプライチェーンの安定化にも貢献していく。
①品質第一を貫く生産体制の強化
現状、工場が手狭かつ、工程ごと（保管倉庫・出荷検査が離れている）の導
線が悪く、引き合いに対し受注を受けることができない状態である。それらを集
約・拡大することで、更なる需要への対応と効率化を目指す。やむを得ず外注
していた案件を内製化し、収益改善を図る。
会社全体の売上成長目標（～2030年） ②競争力の高い領域を強化
• 売上高増加額52億円 工場面積を拡大し新たな加工設備を導入することで、現在取り扱うことができ
• 売上高成長率（年平均成長率）10.8% ない技術力の高い領域（半導体製造装置向けの部品等）へリソースを投
入していく。</t>
  </si>
  <si>
    <t>.補助事業の概要
2
熊本工場の生産能力を向上させ、更なる需要増加に対応すると共に、これまでニーズに応えきれず外注対応していたものを内製化。
設計段階から関与する案件数と試作の受け入れを拡大し、新規領域への参入・案件獲得による売上拡大を目指す。
• 現在、当社では既存の分野・製品に関する製造・販売を安定的に実施している一方、新販路の開拓・ 事業費
補助事業の 製品展開は十分に着手出来ていない。 （補助額）
背景・目的 • 熊本工場への投資を通じ、生産能力の向上・製造部品の拡充や試作品の受注強化を図る。熊本工場
の売上高増はもちろん、卸売販売の販路拡大・提案強化に繋げる目的である。
• 事業費1,684百万円のうち、建物1,562百万円 、機械設備109百万円、ソフトウェア13百万円へ投資を行う。
• アルミ加工製品の需要増加に対し、手狭となった工場を移転し、新たに工場を新設することで生産能力および生産性を格段に向上させる計画。
• (生産能力)新規設備としてマシニングセンタを導入することで生産能力が最大で2倍向上、新規製品の受注や新規領域へ参入を目指す。設計・開発
や試作にかかる機械設備も導入することで、より川上から関与できる体制を強化。開発試作から量産案件の獲得に繋げていく。
• (生産性)現在、製造や設計開発と、検査でフロアが分かれており、更に資材倉庫、出荷場所については工場外と導線が複雑である。本事業への投資に
より同工場内で生産効率が大幅に向上、さらに外観検査機器や生産管理システムの導入も行うことで、大幅に生産性が向上する。
→上記により合計6名の省人化を実現することができ、更に製造課に配置転換することで高まる需要に対応する。(新規採用合わせて製造課+11名)
• 新工場の環境対応として、遮熱塗装で太陽光による温度上昇の影響を抑制。また、屋上にソーラーパネルを設置予定。
設備投資の
内容
保
管
倉
庫
納
品
目標値
(
現
状
別
棟
)
検
査
( 現
状
別
フ
ロ
ア
)
出
荷 設
計
試
・
作
開
発
(
現
状
工
場
外
)
株式会社カネヒロ
1, 百万円 243
（ 百万円） 309
◆完成イメージ図
※赤枠内が本事業で取り組むことにより改善が図れる工程
(例)検査：現状別フロアが同一フロアに改善
原
料 製
受 造
入
項目 基準年度 事業化報告3年目
労働生産性 26,440千円
9,544千円
（単位：千円/人） （年平均上昇率＋40.4％）
従業員1人あたり給与支給総額 7,375千円
6,106千円
（単位：千円/人） （年平均上昇率＋6.5％）
役員１人あたり給与支給総額
-
（単位：千円/人） - （年平均上昇率＋6.5％）
補助事業に係る従業員数
82人 88人
（単位：人）</t>
  </si>
  <si>
    <t>明和工業株式会社
1.長期成長ビジョン
溶接と機械加工技術の効率的な組合せにより、国内で製造を完結する工場（プラント）向けの「産業用設備
ユニットの総合エンジニアリング企業」へと脱皮を行う
・明和工業のエンジニアリング事業への投資（新工場の建設および機械設備の導入）で、省人化による効率的なモノづくりを行い、持続的な賃上げを行う
・子会社のヨシカワ機械の新工場（第一工場・第二工場）の建設を行い、明和工業グループとしての生産力を拡大
・地方での採用競争に勝ち抜くために、明和工業グループとして数十年の新人採用と育成計画の中心となる社員寮の建設投資を行う
長期成長ビジョン（目指す姿・ビジネスモデル）
外発的動機
高度な溶接と精密機械加工技術の融合で、総合エンジニアリング企業を目指す
• 明和工業の主力の水道事業は、自治体の予算は頭打ちで、
• 明和工業が長年の水道事業で培った高度な溶接技術 市場規模も今後変化しない。既存の利益確保はできるものの、
に、子会社のヨシカワ機械等の精密機械加工技術を組 会社の将来的な売上を伸ばす要因とならない。
み合わせ、産業用設備の部品や配管、処理ユニットを国
• 民間の製造業では、省人化や効率化を目的に、生産設備への
内で垂直統合型生産を行い、全国エリアで展開する
投資を増やしており、設備の改修・更新のタイミングに入っている。
• 明和工業は化学・医療・半導体分野を対象に工場・プ
• 地政学・為替リスクの増大で、完全国内製造のメリットが高い
ラントの高精度な水処理などプラント・ユニット製造等エン
→企業成長のためには、民間投資をターゲットにした生産設備
ジニアリング事業を拡大。ヨシカワ機械は、既存顧客の産
向けのエンジニアリング事業がカギとなる
業用ロボットメーカー等への部品供給を拡大し、明和工
業のエンジニアリング事業に必要な基幹部品の供給を拡
大し、グループ全体の生産能力を最大化
内発的動機
→上記ビジョンを実現のため、①設備投資による開発・生
• 水道事業で培った溶接技術をもとに、既存事業の利益を守り、
産能力向上（工場新設と設備更新および開発オフィスの
新分野で2030年にグループとして全体売上を3倍以上にする
新設）②キーファクターである「人材の雇用と育成」を充
実させるための投資（社員寮および管理棟改修）を行う • ターゲットとしている溶接技術と部品加工技術を組み合わせたエ
ンジニアリング事業は顧客からのニーズがすでに顕在化しており、
会社全体の売上成長目標（2025年3月期～2031年3月期） 明和工業エンジニアリング部門としても売上が伸長している
【明和工業】
• ヨシカワ機械をM&amp;Aしたように、事業承継ができず、廃業リスク
・売上増加額 約168.4億円（2030年目標値247.5億円）
のある小規模企業のM&amp;Aを行い、日本のモノづくりを守り、グ
・年平均売上高成長率CAGR＝20.9％
ループ会社としての「モノづくり集団」を目指す
【ヨシカワ機械】
→すでにニーズが顕在化しているエンジニアリング事業へ、当社と
・売上増加額 約35.6億円（2030年目標値39.4億円）
して積極的な投資を行い、生産能力の拡大が必要不可欠
・年平均売上高成長率CAGR＝47.6％</t>
  </si>
  <si>
    <t>明和工業株式会社
.補助事業の概要
2
明和工業株式会社（コンソーシアム幹事社）における補助事業概要
総合エンジニアリング企業に向けたエンジニアリング工場の新設と建築プラント事業工場拡大、および社員寮投資
, 百万円
• 売上を２～３倍と成長させていくうえで、①新たに成長の柱となっているエンジニアリング事業の 2 195
（ 百万円）
新工場が必要②労働生産性を上げるために、機械加工棟へ複合加工ができる機械設備の導 事業費 712
補助事業の 以下明和工業分
入が必須③また、今後コンソーシアム企業や当社グループ企業で人材採用（高卒新卒）の確 （補助額）
背景・目的 , 百万
1 718
保が一番の課題となることから、これを解決するための設備投資（社員寮）が必要となる
（ 百万）
555
• 【投資計画内容】成長の柱となっているエンジニアリング事業の工場（Ｈ棟
1,447㎡）の建設と、機械加工を行うB棟（2,399㎡）へ複合加工がで
きるNC旋盤の導入と、５軸マシニングセンタの導入、新卒者の確保を行う
ための社員寮の建設に加え、プラント向けの配管製造を行う建築プラント事
業の専用工場を別の敷地に確保し、生産能力の拡充を行う
社員寮イメージ
• 【課題】機械が老朽化しており、単一機能のNC旋盤は作業効率が悪く労
設備投資の 働生産性が低い。また、将来的な事業の柱となる可能性の高いエンジニアリ
写真等
内容 ング事業専門の大型工場がないため、既存の事業の生産設備のあるスペー エンジニアリ
ング新工場
スを材料が回るため、生産効率が悪い。明和工業およびグループ会社では、
H棟
機械加工や溶接工等の職種で、拠点や子会社のある場所で高校卒業の
新卒採用を強化する必要があるが、採用の競争が激しく採用が困難
B棟 A棟
• 【課題の解決】エンジニアリング専門工場の新設および５軸マシニングセンタ
機械加工 水道事業
や複合NC旋盤の導入による生産性の向上、また、社員寮建設による新卒
社員の確保と、人員増による生産能力の安定化
基準年度(2027年度ー2028年3月期）
項目 事業化報告3年目
小数点以下切り捨て
労働生産性 21,274
14,783
（単位：千円/人） （年平均上昇率＋12.9％）
目標値 従業員1人あたり給与支給総額
4,692
5,515
（単位：千円/人） （年平均上昇率＋5.5％）
役員１人あたり給与支給総額
-
（単位：千円/人） - （年平均上昇率＋0％）
補助事業に係る従業員数
（単位：人） 54 84</t>
  </si>
  <si>
    <t>明和工業株式会社
.補助事業の概要
2
株式会社ヨシカワ機械における補助事業概要
明和工業のグループとして、機械加工部門の生産性向上と、将来的な製缶工程を見据えた工場の新設
, 百万円
2 195
• 顧客の受注増に応じる生産能力が限界に達しているのに加え、より生産効率と労働生産性を
（ 百万円）
712
補助事業の 上げる課題の解決が成長に必須となる。また、明和工業の子会社としてのグループ内の生産能 事業費
以下ヨシカワ機械分
背景・目的 力を上げていくために、今後は単なる機械加工だけでなく、親会社の明和工業の技術を使った （補助額） 百万円
477
部品と部品を組み合わせる「製缶」工程への脱皮も目標 （ 百万円）
157
• 【設備投資内容】工場の新設（第一工場は1,100㎡、第二工場は ヨシカワ機械
700㎡）と現在主力のNC旋盤13機のうち、1992年～97年に製造 現在の工場内
された7機の設備入れ替えを実施。
• 【課題】現在の工場は受注増により、面積、生産能力ともに上限に達し
ており、NC旋盤なども単機能なため、生産効率も悪い。
• 【設備投資による課題の解決】工場の隣接地を買収し、今の約３倍の
設備投資の
床面積の新工場建設をすることで、生産能力が向上するだけでなく、こ 写真等
内容
れまでヨシカワ機械でできなかった溶接作業（製缶作業）も明和工業
の技術指導のもと可能となり、付加価値の向上につながる。また、新規
機械設備の導入（複合加工ができるNC旋盤）により、生産能力が 用地取得を行った
２倍となり、それまでNC旋盤とマシニングにそれぞれ配置していた人材が 新工場建設地 ボーリング調査中
１名でよくなるため、作業効率も上がり、労働生産性の向上につながる 調査は補助対象経費外
基準年度(2027年度ー2028年3月期）
項目 事業化報告3年目
小数点以下切り捨て
（単
労
位
働
：
生
千
産
円
性
/人）
14,812
（年平均上
3
昇
0,9
率
5
＋
9
27.9％）
目標値 従業員1人あたり給与支給総額 4,475
3,705
（単位：千円/人） （年平均上昇率＋6.5％）
役員１人あたり給与支給総額
-
（単位：千円/人） - （年平均上昇率＋6.5％）
補助事業に係る従業員数
33 48
（単位：人）</t>
  </si>
  <si>
    <t>鈴木鉄工株式会社
1.長期成長ビジョン
⚫ メガトレンドである「電動化の進展」を踏まえ、可動部品製造の自動化・省力化により、社会課題に当社の技術で貢献
⚫ 2035年までに「自動車シート・ドア自動部品の世界的ニッチトップ企業」となることが目標
⚫ 可動部品組付の自動化により生産能力を拡大し、売上152億円増加を目指す
長期成長ビジョン（目指す姿・ビジネスモデル） 外発的動機
メガトレンド • 可動組付部品の引き合いが強く、新工場がなければ生産要求
に対応できない。
• 電動車普及で電動シートやスライドドアの標準装備化が進む • 中国などアジア諸国の技術力向上により、競争が激しくなる。
• 北米欧州で高級車のSUV、東南アジアでミニバン需要増 • 物価・賃金の上昇傾向により、製品の高付加価値化（組付など
• 静音・小型化で高精度スクリュー、ウォーム部品が必要 技術が要求されるもの）が必要。
• 人手不足で省力化・多様な人材活用進む • 国内需要の長期的な伸びが見込めず、海外売上比率の向上
目指す姿とビジネスモデル が求められる。
• 就労人口の減少・高齢化により、人手不足対策が急務。
自動車シート・ドアなど自動可動部品の世界的ニッチトップ企業を目
可動部品組付の自動化ラインを整備し、生産能力と品質を向上
指す
多様な人材が働ける省力ラインの導入で人手不足に対応
・ 可動部品組付工程の自動化による生産能力の拡大
海外営業体制を強化し販路を拡大
・ 可動部品組付工程の省力化により女性、シニアの活躍を促進
・ 生産能力の拡大により海外向け販売を強化
※可動組付部品：スクリューやギヤの部品から構成される、
シートやドアを動かす部品
内発的動機
• 量産向け組付部品の製造を拡大し過去7年で売上が2.5倍にな
た。この流れを止めず、加速したい。
• 組付部品製造を自動化し、競争優位性を確立したい。
• 今まで培ってきた自動化技術を早く具現化したい。
• 従業員が「働いて幸せ」と思える会社にしたい。女性やシニア
が加工工程でも活躍できる職場にしたい。
• 顧客層・業種を拡大し、経営基盤をさらに強化したい。
会社全体の売上成長目標（直近決算～2031年）
• 付加価値をさらに高めるため、研究開発活動を強化したい。
• 売上高成長率：年平均成長率 12.5%
• 売上高増加額：152億円</t>
  </si>
  <si>
    <t>鈴木鉄工株式会社
.補助事業の概要
2
⚫ 生産能力と付加価値向上を両立するため、難しい部品組付に対応した自動化工場を新設
⚫ 自動組付ラインやIoT、研究設備の導入で、省力化・高効率化・人手不足対策を実現
⚫ 女性やシニアも活躍できる体制とし、海外競争力と継続的成長を見据えた基盤を強化
背景：シート、ドア向け電動部品の引合い増加で生産能力が不足。人手不足も懸念
補助事業の 事業費
2, 百万円
目的：難しい組付作業の自動工場を新設。生産能力高めると同時に人手不足に対応 535
背景・目的 （補助額）
（ 百万円）
方法：①新工場の建設、 ②自動組付ライン開発導入、③研究所設備、付帯部品製造効率化 843
①新工場の建設
• 新工場建設工事
• ボンデ処理装置、排水装置、敷設工事
• コンプレッサー、ミストコレクターなど、製造ライン付帯設備工事
②自動組付ライン開発導入
設備投資の
• パワーシート、パワーバック・スライドドアなどの部品組付自動化設備
内容
• パワーシート、パワーバック・スライドドアなどの部品製造設備
• 夜間運転のための稼働管理システム※
• IoT予兆保守システム※
③研究所設備、付帯部品製造効率化
• 自動化、技術開発のための研究設備導入※ ※自己経費予定
①生産数増強 新工場、組付ラインの増設、部品製造設備強化で生産数増加が可能となり、顧客の増産要求満たせる
②生産性向上 難しい組付工程で自動化で、サイクルタイム減、省人化、品質向上となる。海外競合に対して優位性築ける
課題解決
③採用強化・技術伝承 自動組付工場により、細かい手作業、労働負荷の低減で未経験者・女性・シニアがより活躍できる
④継続的競争力 研究所（建設済み）に設備拡充で、さらなる自動化、特殊転造などの新工法、刃具・ダイスの革新に挑戦
①組付作業の手作業工程を自動化することで画期的な省力化となる。熟練者以外でも作業可能
労働生産性 ②単価の高い（難しい）部品組付業務を増やせる
向上 ③IoT予兆保守システムで設備の停止を未然に防ぎ、ダウンタイム減、稼働率向上で生産性向上
項目 基準年度 事業化報告３年目
労働生産性（単位：千円/人） 66,170 125,750（年平均上昇率＋23.9％）
目標値 従業員1人あたり給与支給総額（単位：千円/人） 5,067 6,383（年平均上昇率＋8.0％）
役員１人あたり給与支給総額（単位：千円/人） - -（年平均上昇率＋6.50％）
補助事業に係る従業員数（単位：人） 38 40</t>
  </si>
  <si>
    <t>オギハラ食品株式会社
1.長期成長ビジョン
世界一、高菜愛のあふれる人々がつくる、最高においしい高菜トップメーカーを目指す。
外発的動機
長期成長ビジョン（目指す姿・ビジネスモデル） • 国内の農業従事者人口の減少に伴い、三池高菜生産者において
も高齢化や採算性の低さから、生産量の減少に歯止めが掛からな
• 対社会では、地元大牟田発祥である三池高菜の食文
い状況 →顧客に対し、より高菜の魅力を存分に発揮し、更なる
化継承者として、生産者と顧客を繋ぐ中核的な役割を 価値を創造できる生産体制を整えることで、高付加価値商品を供
担うため、顧客に高品質で高い付加価値の商品を提 給し、生産者に利益を還元していく体制が急務
供し、その利益を生産者に還元しながら持続可能な共 • 高菜漬メーカーは量産化や省力化が立ち遅れており、市場開拓の
余地があるにも関わらずチャンスロスが発生している
存共栄を図ることで、社会的になくてはならない存在を
→主な原因として高菜漬原料の特性でもある異物除去の困難
目指します
さがあり、その対策にはより高度な設備や目視確認を行う人的
• 対顧客においては国内トップシェア実績の高品質・おい
要素が重要。そのためにも製造工員が作業しやすいだけに留まら
しさ・安定生産能力を更に増強し、更なるニーズに応え ず、将来を見据えた魅力ある職場環境を整えることが急務
得るため新製品・新用途の開発を通じて新たな高菜の
可能性を探求する存在になります
• 対社員については、個人の人生の生きがいと仕事のや 内発的動機
りがいが会社の目指す理念と一致する、人生を掛ける • 当社は大正5年創業より、長らく同族家業として高菜漬製造に従
事してきたが、平成13年に食品衛生７Ｓ活動を切っ掛けに、家業
に値する企業体を目指します
から企業へと舵を切り現在に至っている
• この間、同族外の社員を大いに採用し、そして成長してくれた。その
結果、品質と生産能力の向上に多大な貢献を果たしてくれた
会社全体の売上成長目標（基準年度～2030年度）
• 経営者として感謝すると共に、当社の理念追求をすることで、人財
• 売上高増加額3,143百万円
である従業員が将来持続可能な豊かさを享受できる企業及び組
• 売上高成長率49.4％
織体制にしておくことが4代目経営者としての使命と責任であると考
えている。</t>
  </si>
  <si>
    <t>オギハラ食品株式会社
2.補助事業の概要
本事業の目的「生産量アップ」「労働生産性向上」「品質向上」「就労環境改善」の達成のため、
工場の新築により工場面積を拡張するとともに、最新設備の導入により生産性・品質を向上させる
• 生産能力を大幅に拡充し、長期的な成長が可能な体制を構築する
全社
• 省人化による労働生産性向上と、従業員の作業負荷軽減
事業費 4,192百万円
外食チェーン • 取引先の新規出店に伴う増産要求への対応
（補助額） （1,171百万円）
補助事業の • より高品質・高付加価値で安全な製品の提供
店舗販売
背景・目的 • 販路拡大（取扱い店舗増加）に向けた増産
業務用 • 供給制限の解除と販路拡大
数値確定後記入
海外展開 • 輸出に必要な認証（FSSC22000）の取得
〈工場の新築〉
• 現在2か所に分散している工場を集約、仕掛品の運搬に係るリソースを削減
• 温度管理が徹底できる設計とし、品質向上と就労環境の改善を図る
• FSSC22000取得条件である工程間のゾーニングが徹底できる設計とする
• 本補助事業実施後もラインの増設が可能なスペースを確保する
設備投資の
〈省力化設備の導入〉
内容
• 処理能力の高い最新式の設備を導入し、生産量を飛躍的に増加させる
• 特に人的負荷の高い充填・包装工程を半自動化し、生産性を向上させる
〈品質向上に資する設備投資〉
• 検査機を最新式へ更新、菌検査施設を新設して内製化し品質管理体制を強化
• テストキッチンを現在よりも拡充し、製品開発体制を整備
項目 基準年度 事業化報告3年目
労働生産性 16,506
5,866
（単位：千円/人） （年平均上昇率＋41.2％）
従業員1人あたり給与支給総額 4,148
目標値 3,463
（単位：千円/人） （年平均上昇率＋6.2％）
役員１人あたり給与支給総額 -
-
（単位：千円/人） （年平均上昇率＋6.2％）
補助事業に係る従業員数
58 91
（単位：人）</t>
  </si>
  <si>
    <t>株式会社環境整備産業
1.長期成長ビジョン
◼ 循環型社会の実現をビジョンとし、廃棄物処理業を通じて地域社会のインフラ整備・資源循環に注力している
◼ 特別管理産業廃棄物処理に資する大規模投資を行うことで地域課題解決に貢献するとともに労働生産性改善を図り飛躍的な成長を遂げる
長期成長ビジョン（目指す姿・ビジネスモデル） 外発的動機
• TSMC進出に伴う半導体関連廃液排出量の増加
• 当社は、地球環境を守るため、廃棄物収集運搬および処理業を通
半導体製造は有害性の薬品を用いる工程が多くあり、廃酸・廃アル
じ、地域社会における公衆衛生の社会水準を維持するとともに「ご
カリとして排出され、液状での埋立処理もできないため中間処理
みをごみとして終わらせない」循環型社会の実現をビジョンとして掲
（中和）の必要性が高い 。熊本への
（水質汚濁防止法・廃棄物処理法）
げ、サーキュラーエコノミーへの貢献を追求している。
TSMC進出に伴い、廃液処理施設不足が表面化。隣県である
• 一般廃棄物/産業廃棄物の収集運搬-中間処理（リサイクル）ま
大分の処理施設にもTSMCが視察に来るほどインフラ整備が課題。
でワンストップで可能な体制を構築しており、例えば食品残さの堆肥
• 特別管理産業廃棄物の県外処理依存
化など廃棄物の品目に応じた専門リサイクル工場を複数運営。 感染性廃棄物の中間処理（焼却）施設が不足しているため、大
• 処理に高度な専門知識・設備を要する「特別管理産業廃棄物 分県内の産業廃棄物収集運搬業者は医療機関から排出された廃
（感染性廃棄物・廃液・薬品類）」のノウハウ不足が当社課題で 棄物を北九州市（福岡県）・熊本県の処理施設まで運搬している。
あったが、本課題解決に向け2023年に特別管理廃棄物の中間処 2024年問題に起因したドライバー不足が深刻化する中で長距離
理を強みとする㈱エスプレス大分をM&amp;Aによりグループ化。 輸送による非効率・機会損失は当社のみならず、地域の産業廃棄
• 大分県内に特別管理産業廃棄物の中間処理が可能な施設は僅 物収集業者の大きな課題となっている。
少で、県内で発生する感染性廃棄物の65.8％、廃酸・廃アルカリ
内発的動機
の61.3％が県外処理されている。
（令和6年版大分県環境白書「資料編」）
• 新型コロナウイルス感染症の流行時、検査キット・注射器など感染
• 本補助事業では、有害性の高い特別管理産業廃棄物の県外流
性廃棄物の排出量が急増。これに伴い、感染性廃棄物の中間処理
出に伴う漏洩リスク及び長距離輸送による排出事業者の物流コス
（焼却）で大分県最大のシェアを誇るグループ会社㈱エスプレス大
ト削減を図る目的で、県内最大規模の特別管理産業廃棄物焼
分に処理依頼が大幅増加。しかし処理施設の能力不足で断らざる
却・中和処理施設を新設する。これにより、危険廃棄物の漏洩リス
を得ない受注が頻発。結果、これらの廃棄物は県外処理施設に持
クおよび搬入業者の輸送にかかるCO2排出量、燃料費の削減に貢
ち込まれ、排出事業者の物流コスト/管理コスト増加・長距離運搬
献するとともに、工場新設により新たな雇用の創出、投入作業を自
による漏洩・二次感染リスク増加など地域の大きな課題と認識。
動化することで労働生産性の向上を図る。
• 大分県内における廃棄物処理業界のリーディングカンパニーとして、
地域の持続可能性向上を目指す当社にとって、本補助事業の構想
会社全体の売上成長目標(2024年9月期-2030年9月期)
に至る大きな契機となった。
• 売上高増加額：+22.8億円 • 更には、特別管理産業廃棄物の処理環境は過酷なもので、新施設
により省人化を実現することで労働集約型の処理工程から脱却し、
• 売上高成長率：年平均成長率+12.0％
労働環境改善・労働生産性の向上を図り、飛躍的な成長を遂げる。</t>
  </si>
  <si>
    <t>株式会社環境整備産業
.補助事業の概要
2
◼ 県内最大規模の廃棄物焼却・中和処理施設を新設。県内排出事業者のコスト・リスクの低減、資源循環型社会の形成に貢献する
◼ 省力化設備導入を行い、従業員の労働環境改善を図るとともに、労働生産性年平均成長率+24.7％の成長を目指す
• 大分県内において特別管理産業廃棄物・重工業関連有害物質の「焼却」「中和」が可能な事業者が極めて
少なく、令和6年版大分県環境白書による公表値では、県内で発生する感染性廃棄物の65.8％、廃酸・廃
補助事業の アルカリの61.3％が県外で処理されている。 事業費 1,7 百万円
77
• 県外処理に伴い排出事業者の処理・管理コスト増加、運搬時の漏洩リスク増加、不法投棄リスク増加など、
背景・目的 （補助額） （5 百万円）
地域において深刻な課題となっている（自治体としても課題認識）。 57
• 本補助事業により県内最大規模の廃棄物焼却・中和処理施設を新設することで上記課題を解決
するとともに、リサイクルによる再資源化の推進及び持続的な賃上げに向けた飛躍的な成長を図る。
《設備投資の内容》
◎廃棄物焼却設備イメージ
① 焼却・中和施設建設工事（延床面積2,234.88㎡） 7.6億円
② 廃棄物焼却設備 7.0億円
③ 廃液処理除外設備 1.8億円
④ 有機汚泥処理設備 0.8億円
⑤ 発光分光分析装置 0.2億円
• 大分県大分市豊海に保有する遊休地（総敷地面積7,060㎡）に県内最
設備投資の 大規模の焼却・中和処理施設を建設する。
• 工業団地内の最奥に位置しており、周辺環境への影響が少ない中間処理施
内容
設として最適な立地。センサー・IoT・ロボットなど先端デジタル技術を活用し
◎中和処理設備イメージ（一部）
た設備導入により、大分市内唯一の焼却施設を有するグループ会社㈱エスプ
レス大分の2倍以上の処理能力を見込む。
• 県外へ流出していた医療系廃棄物・化学工業系廃棄物の処理を受託するこ
とで、県内排出事業者の処理コスト低減を図るとともに、資源循環型社会の
形成に貢献する。
• 省力化設備導入による廃棄物処理業の3K（きつい・汚い・危険）イメージ
脱却を通じて、従業員の労働環境改善、労働生産性の向上を目指す。
項目 基準年度 事業化報告3年目
労働生産性 20,065
（単位：千円/人）
10,345
（年平均上昇率＋24.7％）
目標値 従業員1人あたり給与支給総額 4,674
3,869
（単位：千円/人） （年平均上昇率＋6.5％）
役員１人あたり給与支給総額
-
（単位：千円/人） - （年平均上昇率＋5.8％）
補助事業に係る従業員数
（単位：人） 55 65</t>
  </si>
  <si>
    <t>ナカネ新建材株式会社
1.長期成長ビジョン
建材卸売業としての更なる成長と、建材3PL事業への本格参入を両立するため、地域最大級の倉庫新設を起
点に物流の抜本的改革と事業構造の多角化を実現。2030年に向けて飛躍的な売上拡大を目指す。
長期成長ビジョン（目指す姿・ビジネスモデル） 外発的動機
• 運送・建設業界の働き方改革における2024年問題への対応
• 本事業の概要
時間外労働の上限規制により、運送・建設業では従来の作業体
地域最大クラスの建材・住設専用倉庫を新設
制が困難となる。物流効率や倉庫作業の省力化が急務であり、対
業界史上初となる建材3PL事業の実現と
応が企業成長の鍵を握る。
建材・住設卸事業の更なる飛躍的成長を目指す
• 空き家対策・リフォーム市場の伸張
空き家の増加に伴い、リフォーム市場が拡大している。水廻り建材
本事業は建材・住設卸売事業の再構築と新規3PL事業への参入を目的と
の需要が増す中、迅速な供給体制の構築が重要な課題となってい
した戦略的投資である。
る。
老朽化・狭隘化した既存倉庫の課題を解消し、建材流通の効率性を高め
• 労働人口の減少に伴う省人化・効率化ニーズ
るとともに、建材卸業者の在庫・配送管理を担う3PL拠点としても機能する
人手不足が深刻化する中、建設・物流業界では省人化と効率化
新倉庫を建設する。
が急務である。WMSや自動ラックの導入が対応策として注目されて
いる。
• 目指す姿
・建材卸売業の持続的成長
既存の取引基盤と商圏を活かしつつ、新倉庫による供給力の強化と物 内発的動機
流効率化を通じて、建材卸売事業の持続的な売上成長と収益性向上
• 倉庫容量不足による業務ボトルネックの解消
を図る。
既存倉庫の収容力不足が、建材配送や在庫管理の制約となって
・建材業界初の3PL事業への挑戦
いた。新倉庫の建設により、キャパシティの拡張と業務効率の向上
新倉庫を活用し、建材に特化した在庫・配送管理のアウトソーシングを展
を図る。
開。業界初の3PLモデル構築により、新たな収益源を創出する。
• 荷役作業の非効率性とトラック渋滞の解消
・物流DXによる働き方改革
狭隘な現倉庫前道路により荷積み・荷下ろしが非効率で、渋滞が
移動ラックやWMSの導入により、属人的だった倉庫業務をデジタルで最
常態化していた。広い敷地への移転により、この課題の抜本的な解
適化。労働生産性の向上と働きやすい職場環境の実現を目指す。
消を目指す。
• 属人的な在庫管理からの脱却
会社全体の売上成長目標（～2030年）
現場では入庫者以外が在庫場所を把握できず、検索や確認に時
• 売上高171億円
間を要していた。新倉庫ではWMSを導入し、在庫情報の共有・見
• 売上高増加額106億円
える化を実現する。
• 売上高成長率163％（直近期末→30年10月期）</t>
  </si>
  <si>
    <t>ナカネ新建材株式会社
.補助事業の概要
2
新倉庫を建設と物流効率化により、当社物流の在り方を大きく進化。3PL事業への本格参入と新たな成長軸
の創出を見据えた、未来を見据えた戦略的な大規模投資である。
背景：現有倉庫は狭小で収容力不足。市街地の狭路でトラックの積卸渋滞が発生。属人的な
補助事業の ロケーション管理が生産性を低下させている 事業費 2, 百万円
268
背景・目的 目的：新倉庫を建設し、移動ラックシステムと基幹システムを導入して収納力と管理精度を向上。 （補助額） （ 百万円）
709
広大敷地で積卸効率化を図り、3PL事業も開始して新規収益源を創出する。
• 設備投資の概要と狙い
延床面積8,813㎡（A棟5,580㎡、B棟3,233㎡）の新倉庫を建設し、物流
インフラの再構築と新規3PL事業の立ち上げを図る。現状の倉庫が手狭で非効
率で、収容量・作業導線・在庫管理において改善が急務という課題を解決する。
• 投資内容
新倉庫の建設
設備投資の 新倉庫を新たに建設する。本投資により保管・配送のキャパシティを大幅に拡張し、
内容 ヤード内での積み下ろし作業も円滑に行える環境を整える。
移動ラックの導入
移動ラックシステムを導入し、限られた面積内でも効率的な高密度保管を実現す
る。収納効率を向上させることで、物量の増加に対応可能。
基幹システムの導入
基幹ソフトを導入し、各種管理をシステム化する。在庫状況の可視化や誤出荷の
防止が可能。
項目 基準年度 事業化報告3年目
労働生産性 28,294
9,956
（単位：千円/人） （年平均上昇率＋41.6％）
目標値 従業員1人あたり給与支給総額 7,305
6,046
（単位：千円/人） （年平均上昇率＋6.5％）
役員１人あたり給与支給総額
-
（単位：千円/人） - （年平均上昇率＋6.5％）
補助事業に係る従業員数
75 90
（単位：人）</t>
  </si>
  <si>
    <t>化成工業株式会社
1.長期成長ビジョン
製造・物流の要所としての重要度を増す長野を拠点として、地域の企業をまとめながら、高い技術力で
プラスチック部品を製造・安定供給し、日本のモノづくりを支えつつ地方創生の柱となる企業を目指す
外発的動機
長期成長ビジョン（目指す姿・ビジネスモデル）
◼ プラスチック需要の増加
長野から日本のモノづくりを支えていくプラスチック射出成形企業として、 • 軽量化・コストダウン・量産性等のための金属部品からプラスチック部品へのシ
地域をまとめながら製造・物流の安定供給の要・地方創生の柱となる フトや、部品の大型化（複数部品の一体化等）により新規需要が増加
• ハイブリッド車・EV車の普及やスマートメーターの検満等も追い風
• 日本のモノづくりに必要かつ重要性を増していくプラスチック部品を高い技術で支える。三遠
南信自動車道やリニア中央新幹線の開通による立地の強み、自社の技術力、自社及び ◼ 飯田地区の物流拠点としての発展性
地域の協力会社を巻き込んだネットワーク型の供給力を活かし、地方創生の柱となる • 三遠南信自動車道が全線開通した場合、飯田市-浜松市間の所要時間は
4時間から2時間に短縮される。また飯田市にはリニア長野県駅（仮称）の
設置も予定されており、交通・物流の重要拠点となる
中期目標
◼ 人口減少
全国屈指の技術力への信頼や立地コストの安さを強みに、
• 交通利便性の向上により一定の人口増加効果はあるものの、全国的な労働
大きく増えるプラスチック需要に対応できる供給能力を増強することで成長していく
人口減少は避けられず、事業拡大においては省力化が重要である
◼ 協力会社
• 金属部品からのシフトやEV・ハイブリッド車の普及等に伴い年々増えるプラスチック需要及
• 長野県北部・東部にプラスチック成形会社が多く存在しているが、立地的な不
び受注（特に大型部品）に対応可能な供給力の向上・物流体制の構築を図る
利により、受注増加や物流改善のハードルが高い
• 協力会社ネットワークの拡大を行い、立地的に不利な協力会社の受注・物流も当社が担
いながら、自社の供給力の柔軟性向上と地域への還元を同時に達成し、成長に繋げる
内発的動機
◼ コスト競争力
• 旧倉庫跡地は新たに事務所を設置し、間接部門を集約して効率化を図る
• 中京地区・浜松地区へ近いながら、土地が安く、コスト競争力が高い
◼ 技術力
本補助事業
• 1次部品メーカーから指定仕入先に認定されることが難しい中、当社は精密な
• 需要の増える大型部品等に対応できる大型のプラスチック射出成形機及び自動倉庫を含 金型設計や射出成形・加工技術で指定先に認定され、かつ長野県でも数少
めた高効率生産建屋の導入により、供給力の限界を克服し、労働生産性の向上を図りな ない350t以上の大型成形機を保有する強みがある。また、大手自動車メー
がら事業規模拡大を図る カーの某安全部品を任されており（全国で2社程度）、全国屈指の高い技
• 自動倉庫の導入をもとに、長野県内の協力会社の物流を当社が担えるようにすることで地 術力を有しているという自負がある
域への波及効果と同時に自社の供給力の柔軟性を向上し、営業力強化にもつなげる ◼ 成長への手ごたえ
• 大型部品の受注が大きく伸びている一方、供給力の不足及び物流面でのボ
2025年3月期 2031年3月期 売上高成長率
トルネックを解消しないと成長が頭打ちになる。また、大型部品の新規参入は
（直近年度） （6年後）
難しいものの、当社が対応できない場合は新たな競合が育ってしまう恐れがあ
売上高 58.6億円 114.7億円 CAGR11.8％ る⇒今後の大型部品の受注に応えられるかに社運がかかっている
増加額：＋56.1億円
• 協力会社に一部製造を委託する試みが成功。当社の物流面での課題を改
善できれば、大きな成長が見込めるとともに地方創生への貢献となる</t>
  </si>
  <si>
    <t>化成工業株式会社
.補助事業の概要
2
全国屈指の技術力をもとに、プラスチック部品の需要に応えるための労働生産性を向上しながら供給力を増強し、
地域経済そして日本経済を支える中堅企業として、長期成長ビジョンの達成に向けて大規模な成長を遂げていく
• 金属部品からのシフトやEV・ハイブリッド車の普及、スマートメーター更新等に伴いプラスチック需要が年々増加している。 事業費 , 百万円
1 702
当社の高い技術力やコスト競争力が市場ニーズと合致し、受注が大幅に拡大しているが、現状の供給能力が不足している
（補助額） （ 百万円）
398
• 大型部品分野の需要増加に対応するには、大型成形機の増設が不可欠だが、既存工場内に余剰スペースがなく、大型
成形機の導入と同時に新建屋の建設が必要となる
• 現状では倉庫不足が供給力のボトルネックとなっていることに加え、保管場所も工場内に分散しているため、入庫・出庫及
補助事業の
び管理上の非効率も発生している
背景・
目的 • 新建屋に大型成形機と自動倉庫を導入することで、新建屋で高効率な生産体制を実現するだけでなく、省力化しながら
物流キャパシティを向上するにより、既存の工場の供給力の天井を解消することで全社の労働生産性が向上する
大型成形機 大容量の自動倉庫
• また、地域の他企業と生産協力をした部品の物流・販売を行う余地も生まれ、さらに発注を受けることができるようになる
• 省力化を図りつつ売上を増加させ、労働生産性の向上や賃上げ・優秀な人材確保を継続し、地域経済への
波及効果をもたらす大規模成長のため、以下の補助投資を行う
うち補助
投資内容 概要 投資額
対象額
大型部品の
大型成形機及び自動倉庫を設置した高効率の生産建屋。将来
新建屋 的にさらに大型成形機等を導入することも想定 1,550 517 効率生産 新高効率建屋
設備投資の
350t×4台の大型成形機を導入。自動車関連の大型部品やス 供給力の天井の解消
内容 大型成形機等 160 53 既存工場
マートメーター等の部品に対応可能なサイズ 物流効率化
現在の供給力だけではなく、将来投資や協力会社への委託生
自動倉庫等 375 125
産分まで格納でき、倉庫業務に必要な人工を約60%以上削減 協力会社の営業・物流を当社が一部 協力会社
実施⇒当社の供給力拡張
計 単位：百万円(税抜） 2,085 695
項目 基準年度 事業化報告3年目
労働生産性（単位：千円/人） 9,341 16,690（年平均上昇率＋21.3％）
目標値
(全社＝ 従業員1人あたり給与支給総額（単位：千円/人） 4,136 5,067（年平均上昇率＋7.0％）
補助事業）
役員１人あたり給与支給総額（単位：千円/人） - -（年平均上昇率＋5.3％）
補助事業に係る従業員数（単位：人） 190 199</t>
  </si>
  <si>
    <t>北アルプス飲料株式会社
1.⾧期成⾧ビジョン
「サステナブルな未来を、共に創る。」
革新的な紙容器技術を用いて、松川村の貴重なアルプス水脈を活用した新たな地域産業を創出する
⾧期成⾧ビジョン（目指す姿・ビジネスモデル） 外発的動機
■地方創生の機運の高まりと政策動向
■目指す姿:脱ペットボトル型飲料事業のパイオニア
• 人口減少や東京一極集中を背景とし、付加価値創出型の新しい
地方経済の創生が注目されている
■ビジネスモデル
• デジタル・革新的技術の活用により人手不足を解消しつつ、地域の
✔紙パック容器を用いた飲料事業の展開
魅力を活かした産業創出により、地方で誰もが安心して暮らせる生
• ペットボトル製品が主流となっている飲料事業において、環境負荷
活基盤の確立が求められている（内閣府「地方創生2.0」）
の低い紙容器での代替生産技術を確立
• 商社等との連携により、飲料メーカーのOEM事業を主力としつつ
■脱プラスチックの機運の高まり
企画から販売までの出口戦略まで一貫した伴走支援を構築
• 環境問題などを背景に、プラスチック資源循環促進法の施工等で
脱プラスチック対応の飲料容器ニーズが拡大
✔地域特産物を活かした商品開発と新たな地場産業の創出
• 世界的にもごみの排出を抑制しようという動きが活発化
• ⾧野県安曇群松川村の特産物である米を活かし、ライスミルク等
の商品開発を行う
• 酒米を吟醸用に研磨した際に発生する残渣物を活用した商品も
研究開発することで、フードロス削減に貢献
内発的動機
• 地場産業を新たに創出することで雇用に伴う地域人口が増加
■地方自治体からの要請に応える
• ⾧野県安曇野市松川村より、10年以上遊休地となっていたエリア
✔労働生産性・収益性の確保
の開発要請があり、これに応需すべく当社を設立した経緯あり。
• 補助事業により飲料充填機（SIG社製）を国内で初導入し、生
• 北アルプス山脈からの流れる豊富な水資源を活用した飲料製造事
産環境の確立と安定した利益率の確保を実現する
業を通じ、地域活性化に資する事業に発展させたい
会社全体の売上成⾧目標（2030年）
■飲料メーカーからの要請に応える
 売上高増加額6,382百万円
• 当社代表の辻村は、複数の大手外食企業や商社の顧問等を務
 売上高成⾧率480％
めており、ペットボトル飲料事業が転換期にあることを認識
会社全体の賃上げ目標
• 価格競争に囚われない付加価値の高いサービスを提供したい
 従業員:8.0％（基準年度～事業化報告3年目）</t>
  </si>
  <si>
    <t>北アルプス飲料株式会社
2.補助事業の概要
補助事業により紙パック容器での飲料製品製造事業を展開。OEM事業に加え、特産品の米を使った自社製
品の開発まで生産体制を自社で確立し、売上増進と安定した利益率の向上、継続的な賃上げを目指す。
• 本補助事業では、国内導入事例初となる紙容器（センターキャップ対応）の充填機導入及び製造工場新 事業費
設を実施。脱ペットボトルの関係配慮型商材として市場優位性を高め、業容拡大を目指す計画。 （補助額）
• 紙容器且つ厳格な滅菌管理により固形物の充填も可能とし、OEM受注で幅広いメーカーからの要望に応え
補助事業の
られる生産体制を確立。
背景・目的 132億円
• 加えて、補助事業実施場所となる⾧野県の松川村と協力し、地域特産の米を活用した植物性飲料（ライス
（40億円）
ミルク）や地産果実を使用した無添加ジュース等を、北アルプスの豊富な水資源を活用して生産することで、
地域共創の一環として、持続可能な地域経済の構築に貢献する。
■概算費用の内訳
• 充填機（SIG社製）:３５億円
• 関連設備（包装・検査・保管）:３５億円
• 建屋建設（工場・倉庫・事務所）:３５億円
• その他（インフラ関連・予備費）:１５億円
設備投資の ■設備投資の内容
内容 • ペットボトル型（センターキャップ）の紙容器を使用した飲料品の生産
体制を構築
• アルミレスでレンジアップが図られ、固形物の充填も可能となる
■その他、見込める効果等
• 作業自動化による労働者の負担軽減と生産性の向上
• 収益性の向上
項目 基準年度 事業化報告3年目
労働生産性 162,123
51,556
（単位:千円/人） （年平均上昇率＋46.5％）
目標値 従業員1人あたり給与支給総額 4,630
2,640
（単位:千円/人） （年平均上昇率＋20.6％）
役員１人あたり給与支給総額 60,000
18,000
（単位:千円/人） （年平均上昇率＋49.4％）
補助事業に係る従業員数
16 33
（単位:人）</t>
  </si>
  <si>
    <t>八光エルアール株式会社
1.長期成長ビジョン
高級車販売企業から、富裕層の人生全体を豊かにする「トータルサービス企業」に転換し、企業としての持続的
な成長と社会への貢献を目指す
長期成長ビジョン（目指す姿・ビジネスモデル） 外発的動機
• ライフスタイルが多様化し、高級車販売だけでは満たせない、より多角的
これまでの高級輸入車ディーラー事業で培った実績と信頼を基盤に、
なライフスタイル支援サービスへの需要が増加している。
富裕層向けのトータルサービス企業へと事業領域を拡大する。高級
輸入車販売事業を軸に、顧客のライフスタイル全般を豊かにする多様 • 富裕層は子供の教育に熱心であり、グローバルに活躍できる次世代の育
なサービスを提供し、企業としての持続的な成長と社会への貢献を目 成ニーズが高まっている。
指す。 • 共通の価値観を持つ人々が集い、交流できる上質な社交の場が求めら
れている。
具体的には、以下の事業を統合的に展開する。
• 単なる自己の豊かさだけでなく、社会課題の解決や次世代の未来に貢献
1.高級輸入車事業のさらなる成長
したいという意識が高まっている。
高品質な車両とサービスを提供し、業界内での確固たる地位を維
• 富裕層の消費行動の変化し、物質的な「モノ消費」から、体験やライフス
持する。
タイルを重視する「コト消費」へと価値観が変化している。
2.教育事業への参入
富裕層のニーズが高いインターナショナルスクールの経営を開始し、
次世代を担うグローバルリーダーの育成に貢献する。 内発的動機
• 長年培ってきた海外自動車のディーラー業を通じて、海外発の製品・サー
3.富裕層の生活の質を高めるための多彩なサービスを提供
ビスを日本人の特性に合わせながら取り入れる「フランチャイズビジネス」を
顧客の期待を上回る体験を創出するため、衣・食・住・遊すべての
面で高品質かつ個別最適なサービス提供を行い、唯一無二のライ 得意としている。
フスタイル価値を提供。 • 富裕層のお客様に寄り添い、その潜在的なニーズを深く理解してきた。こ
の経験から、お客様の人生を豊かにするトータルサービスを提供したいとい
会社全体の売上成長目標（～2030年12月期）
う強い想いが生まれた。
• 売上高成長率7.9％
• 売上高増加額12,709百万円 • 当社の強みである「富裕層との強固な信頼関係」を活かし、高級車販売
に留まらない新たな価値を創出することが、企業のさらなる発展に繋がると
会社全体の賃上げ目標
確信している。
• 7.20%（2027～2030年12月期）
• 長年の事業で蓄積した資産を、地域社会・次世代に還元したい。</t>
  </si>
  <si>
    <t>八光エルアール株式会社
.補助事業の概要
2
• 当社は「富裕層向けトータルサービス企業」への転換を実現するため、国際基準（国際バカロレア:IB)に準拠したインターナショナ
ルスクールを開校する
• 教育事業の発展に必要不可欠な中学校・高等学校用の校舎および、遠方在住の生徒用の寄宿舎を建設する
• 当社は長期成長ビジョンに掲げる「富裕層向けトータルサービス企業」への転換を実現するため、国際基準
事業費 , 百万円
9 544
（国際バカロレア:IB)に準拠し、英国トップクラスの評価を得るNLCSと提携したインターナショナルス
補助事業の （補助額）（2,333百万円）
クールを開校する。
背景・目的
• 2025年9月開校予定の小学校については校舎を確保済みであるが、教育事業の本格展開と生徒への
一貫した教育機会の提供には、中学校・高等学校の教育施設の整備が不可欠である。
【設備投資により解決しうる課題】
教育事業の本格展開 本補助事業により中学校・高等学校の校舎が整備されることで、小学
校から一貫した国際バカロレア（IB）準拠の教育を提供できる体制が整い、事業の本格展開
が可能となる。また、寄宿舎の建設によって、全国の生徒を受け入れ可能になり、入学希望者
の増加につながるため、本事業は安定した学校経営を実現に不可欠である。
労働生産性向上への貢献 教育事業は自動車販売業に比べ利益率が高く、投入する労働
設備投資の 量に比べた付加価値が高い。学校運営には、教員や事務職員など多数の人材が必要であるた
内容 め、本事業は地域に質の高い新たな雇用を生み出す。これにより、地域全体の所得向上と経
済の活性化を力強く牽引する。
【補助事業で整備する設備】
学校建造物一式
• 中学校・高等学校用の校舎
• 寄宿舎
• 体育館グラウンド整備等
2027年度 2030年度
項目
（基準年度） （基準年度＋３年後）
労働生産性
-1,881 25,21
（単位：千円/人） 2
目標値 従業員1人あたり給与支給総額 8,089 9,89 （年平均＋6.9%）
3
（単位：千円/人）
役員１人あたり給与支給総額
（年平均＋5.8%）
- -
（単位：千円/人）
補助事業に係る従業員数
47 138（年平均＋43.2%）
（単位：人）</t>
  </si>
  <si>
    <t>株式会社メタルテック
1.長期成長ビジョン
「技術と信頼で未来を拓く」という理念のもと、提案型サプライヤーへと進化し、高効率・高品質生産モデルを構
築することで、自動車産業の発展に貢献する
長期成長ビジョン（目指す姿・ビジネスモデル） 外発的動機
技術と信頼で未来を拓く • 自動車業界におけるEV化・軽量化・車体構造の変化により、高
強度かつ複雑形状のプレス部品ニーズが急増している
提案型サプライヤーへの進化 • 三菱・トヨタなどの大手完成車メーカーがBCP対応・調達多様化の
◼ 設計段階から参画可能な提案型サプライヤーへと進化し、QCD 観点から国内中堅部品メーカーの活用を拡大
（品質・コスト・納期）に優れた部品供給力とソリューション提案 • 顧客ニーズの多様化により、短納期・多品種・少量生産に柔軟対
力を併せ持つパートナーとしての地位を確立 応できるサプライヤーへの評価が上昇
高効率・高品質生産モデルの構築 • 人手不足・技能継承難などにより、製造現場の自動化・省人化・
スマートファクトリー化が喫緊の課題となっている
◼ 省人化・スマートファクトリー化による高効率・高品質生産モデルの
構築を通じ、慢性的な人手不足や品質要求高度化に対応した • タイを中心とした東南アジア生産拠点の活用が再評価されており、
アジア分散供給に対応できる企業の戦略的重要性が高まっている
「持続可能なモノづくり企業」へと転換
グローバル対応力を備えた分散型サプライチェーンの中核
内発的動機
◼ アジアにおける供給体制を強化し、タイ拠点を核としたグローバル調
• 創業以来こだわり続けてきた「金型から組立加工までの一貫生産
達対応力を拡充
体制」を、より高精度・高効率に進化させたいという強い意志
• 顧客要求レベルの上昇や競争激化を現場で肌身で感じてきた経
会社全体の売上成長目標（～30年） 験から、技術力と対応力をさらに高める必要性を痛感
• 売上高成長率8.2％
• 人材難・技能伝承の壁に直面する中で、持続可能なモノづくり体
• 売上高増加額159億円
制を構築したいという経営者としての危機感と使命感
会社全体の賃上げ目標
• 2.5%（直近事業年度～基準年度） • 地域社会・取引先・従業員に支えられてきた企業として、今後は地
域産業の中核を担う存在へと成長したいという想い
• 5.5%（基準年度～事業化報告3年目）
• 海外顧客対応やタイ工場運営を通じた実体験を踏まえ、グローバ
ルサプライチェーンの中で存在感を高めたいという意欲</t>
  </si>
  <si>
    <t>株式会社メタルテック
.補助事業の概要
2
設備老朽化等により生産性が低下傾向にあり、生産性の大幅向上と冷間成形による超ハイテン材対応を可能
とするために、大型トランスファプレス・ブランキングプレスを導入する
補助事業の • 設備老朽化に伴う低生産性を改善することによりコスト競争力向上と生産能力強化 事業費 百万円
2,369
背景・目的 • 製造可能な高付加価値製品の対応幅を広げることによる競合との差別化 （補助額） ( 百万円)
581
大型トランスファプレス・ブランキングプレス導入によるコスト競争力向上と高付加価値製品強化
【具体的な投資内容】
大型トランスファプレス・ブランキングプレスの導入（30億円）
• 大型・複雑形状部品にも対応可能な大型トランスファプレス（35,000kN）
及び6,000kNブランキングプレス導入
• 当該設備により、冷間成形による1.5GPa級の超ハイテン材対応が可能とな
設備投資の
り、対応製品幅を拡充する
内容
【補助事業により見込まれる効果】
• 1時間あたり加工量の大幅増と1日当たり稼働時間2倍化による生産性向上
• コスト競争力向上かつ軽量・高強度等の高付加価値化による競争力強化
• 既存顧客との取引深耕＋新規開拓への対応力向上による売上・利益増
項目 基準年度 事業化報告3年目
労働生産性 14,366千円/人
9,008千円/人
（単位：千円/人） （年平均上昇率＋16.8％）
従業員1人あたり給与支給総額 7,089千円/人
目標値 6,037千円/人
（単位：千円/人） （年平均上昇率＋5.5％）
役員１人あたり給与支給総額
-
（単位：千円/人） - （年平均上昇率＋5.0％）
補助事業に係る従業員数
442人 451人
（単位：人）</t>
  </si>
  <si>
    <t>株式会社メタルテック
.補助事業の概要
2
補助事業によって大型トランスファプレス・ブランキングプレスを導入することで、1時間当たり生産量が約30％増・
1日あたり稼働時間が2倍化するのみならず、冷間成形による超ハイテン材成形加工が可能となる
大型トランスファプレス・ブランキングプレス導入による2つのメリット 生産性大幅向上
1時間当たり生産量 1日当たり稼働時間
1 生産性の大幅な向上
現状 660個 8時間
+127% 2倍
2 高付加価値製品への対応幅向上
導入後 1500個 16時間
コスト競争力向上
1.5GPa級の超ハイテン材対応力強化
熱間成形 冷間成形
現状 ホットスタンプ
6,000KNブランキングプレス 継続 導入
新トランスファプレス
導入後 ホットスタンプ
新ブランキングプレス
高強度・軽量化対応幅の強化
35,000kNトランスファプレス</t>
  </si>
  <si>
    <t>株式会社クラスコ
1.長期成長ビジョン
当社は、暮らしの未来をデザインし、社会課題の解決と新たな価値創造を両立する企業として、
社員の挑戦と成長を軸に、地域や業界全体の進化を牽引していく
このページは、補助金に採択され
た場合公表されますのでその点も 長期成長ビジョン（目指す姿・ビジネスモデル） 外発的動機
含めてご確認ください 1. 社会課題の変化
I. 「暮らしの未来をデザインする企業」として、社会課題の解決と
少子高齢化や地方都市の人口減少に伴い、既存の不動産市場
新しい価値創造を両立する
は縮小傾向にある。空室問題や資産価値の低下も懸念され、持
人口減少や空き家問題、地域活性化といった課題に対し、テク
続可能な住環境の提供や地域活性化が求められている
ノロジーとデザインの力で持続可能な住まいと滞在の形を提案す
2. 顧客ニーズと価値観の多様化
る
働き方改革やリモートワーク普及、インバウンド需要の増加により、
II. 「人生楽しい人（GO FUN）」を世界中に増やし、共感の輪
住まいや働く場所、滞在に対する価値観が大きく変化した。「自分
を広げる
らしい暮らし」「楽しく働く」といったライフスタイル志向が高まり、従来
住まいやホテルでの滞在、働き方、学び、遊びといったライフシーン
の不動産ビジネスでは十分に応えられないニーズが増えている
全体でポジティブな体験を提供し、自然と「GO FAN」を増やして
3. テクノロジー進化による市場機会
いく
AIやDXの進展により、不動産業界でも効率化や付加価値創出
III.不動産業界を超えた新しいライフスタイル・プラットフォームを
が加速している。こうした技術革新を取り入れることで、新たなサー
構築する
ビスやビジネスモデルを展開できる可能性が広がってる
住まい・宿泊・地域交流・教育・働き方支援などを一体化させた
「暮らしのエコシステム」を形成する
内発的動機
IV. 地域と共に成長し、全国・世界へ事業を展開する
地域資源を活かした事業を展開し、雇用の創出を通じて地域 4. 創業以来の挑戦と進化のDNA
経済の活性化に貢献する クラスコは創業当初から「暮らしを再発明する企業」として、新しい
V. 「DO IDEA」を基盤に、社員一人ひとりが挑戦し続ける組織 価値を創造する姿勢を貫いてきた。「DO IDEA（アイデアをカタチ
をつくる に）」という文化を軸に、自ら課題を見つけ、行動して解決する企
社員の成長を会社や業界の進化につなげ、未来を切り拓く人材 業風土が根付いている
を輩出する企業であり続ける 5. 社員の成長を会社の進化につなげる仕組み
「TATSUJIN」人材育成プログラムや、挑戦を評価する文化（DO
会社全体の売上成長目標（～2030年度）
IDEA AWARDなど）によって、社員一人ひとりの成長が会社の
• 売上高増加額 1,580百万円（最新決算期比較）
進化を支える構造ができている
• 売上高成長率 40.1％（基準年度～2030年度）
6. 業界全体をアップデートする使命感
会社全体の賃上げ目標（～2030年度）
全国の不動産会社と連携し、ノウハウや仕組みを共有する取組を
• 3.0% （直近事業年度～基準年度） 通じて、業界全体の成長と変革を牽引するという強い想いがある
• 8.1% （基準年度＝事業化報告3年目）</t>
  </si>
  <si>
    <t>株式会社クラスコ
.補助事業の概要
2
金沢市で地域資源やネットワークを活かし、観光客・ビジネス客向けの“暮らすように滞在できる”自社ブランドの
「GO HOTEL」を新設し、地域活性化を図る。将来的には自社ネットワークを活用し全国展開も視野に入れる
このページは、補助金に採択され • 金沢市に関する知見や地域ネットワークを活かし、観光客・ビジネス向けに“暮らすように滞在で
た場合公表されますのでその点も きる”オンリーワンのホテル（自社ブランドホテル「GO HOTEL」）を新設する
含めてご確認ください
• ホテル運営を通じて地域の魅力を発信し、観光需要の拡大とエリア活性化に貢献する
（役員給与は様式2で非公表を 補助事業の 事業費 2, 499 百万円
• 不動産事業で培ったネットワークも活用して集客を行うと共に、ホテル宿泊客に対して不動産の
希望するようにします） 背景・目的 （補助額） （ 590 百万円）
提案を行うなど、クロスセルによる既存不動産事業の収益拡大も図る
8/4 背景・目的の4つ目に全国 • 将来的には、当社が築いた全国531社の不動産会社のネットワークを活用し、GO HOTELの
展開について追記しました フランチャイズによる全国展開を行う
項目 本町1丁目GO HOTELプロジェクト 本町2丁目GO HOTELプロジェクト
石川県金沢市本町1丁目2-17 石川県金沢市本町2丁目5-1
所在地
（JR金沢駅徒歩8分） （JR金沢駅徒歩8分）
客室数等 49室/地上9階建て/延床面積 815.81坪 40室/地上9階建て/延床面積 523.93坪
ターゲット 外国人グループ旅行客、日本人観光客、ビジネス客
設備投資の
• 災害時には地域住民の避難場所としての利用を想定
内容 備考
• 運営省力化のため、AIを活用したホテル運営管理システムの構築を想定
（イメージ）
項目 基準年度 事業化報告3年目
労働生産性 23,175
9,985
（単位：千円/人） （年平均上昇率＋32.4％）
目標値 従業員1人あたり給与支給総額 5,998
4,748
（単位：千円/人） （年平均上昇率＋8.1％）
役員１人あたり給与支給総額
-
（単位：千円/人） - （年平均上昇率＋5.5％）
補助事業に係る従業員数
83 94
（単位：人）</t>
  </si>
  <si>
    <t>株式会社森田あられ
1.長期成長ビジョン
前窪
企業アイデンティティである「餅を愛し、餅一筋に生きる」 のもと、これまで培ってきたプレミアム米菓展開のノウハウ
を活かし、国内外に加速度的に展開していく（持続的成長を通じたお客様・社会へのニーズ対応）
国内外土産市場（とくにインバウ
長期成長ビジョン（目指す姿・ビジネスモデル） 外発的動機
① 国内外におけるグルテンフリー需要への対応（アレルギー対応） ンド注力＝都市型店舗での強化
• 企業アイデンティティである「餅を愛し、餅一筋に生きる」 （長年培って
※とくに市場と認知が伸長している米国グルテンフリー市場 顧客層）を注力する
きたもち吉の製造・販売・商品開発の一気通貫したSPAモデル）を通
② 国内農家・米価の不安定化（農政の変化と商流の変化） 商品開発としても、相撲協会コラ
じて持続的成長を実現し、国産米の付加価値向上を図る。
長期成長ビジョン（目指す姿・ビジネスモデル）
③ 首都圏への人口集中、インバウンド需要の爆発的増加を踏まえた都
ボの決まり手せんべい（俗称：力
市部への本格対応の必要性
• （会社（又はグループ全体）が長期的（５～10年後）に目指 老朽化・点在している工場を、新工場のもと集約し、持続的成長のボトル 缶）※写真付ける
④ 2050年まで続く高齢者（当社主要顧客層）の増加／人口縮小
す姿として、社会に対しどのような価値を提供するか等のビジョンに ネックとなっていた製造部門における抜本的改善（以下）を図る。
（https://yamada-
が続く地方の小商圏での米菓需要
ついてご記載ください） ①生産性改善（製造力増強） ②労働環境の良化（採用力向上）
cg.app.box.com/file/19332
• （本社機能の一部移転等に関する構想がある場合は、その狙い ③国際規格取得/継続の容易化 ☞国産米×付加価値×グルテンフリー の当社展開による上記社会課
76658182）
や移転する機能、それによる想定効果についても記載ください。） これらにより、国産米の付加価値（米本来がもつ自然の甘み、風味）を 題の解決・需要への対応
ANA機内食は写真素材もらう
国内外に加速度的に展開していく
内発的動機 （依頼済み）
① 製造、販売、商品開発、三位一体のビジネスモデル（自信と責任を
① 国内店舗網の拡充（出店余地がある地域への積極攻勢）
もって自分たちの手で販売する）を長年に渡って続け、全国200店
• 都市部（首都圏・大阪等）における新業態（ビルイン・小規模・
舗を超える店舗網を展開
高単価商品）の展開、国内土産・インバウンド需要の獲得/これら
② 「もち吉の中心はお客様」との社員共通の価値観・姿勢のもと、素材
を通じて、米国向け商品の開発を継続実施
へのこだわり、お客様からの直接の声、直販中心であることで培った供
• FC店の拡充による国内地方の空白地域（小商圏）への対応 給体制
② 海外（とくに米国）のグルテンフリー需要への対応、国産米の付加
③ これらをバックボーンとして、国産米×付加価値×グルテンフリー の当
価値認知の浸透へ（海外で戦える国産米商品）
社展開によって、社会課題の解決・需要への対応を図りたい
• プレミアム米菓でのSPA展開のノウハウを活かし、米国市場へ進出。 ④ 大相撲協会とのコラボ商品（高単価・インバウンド需要）、ゴディバ
米国での国産米の付加価値認知の浸透を通じて、国内米市場の への商品提供、全日空機内食への採用（今秋）等、高付加価値
活性化、海外で戦える国産米商品を実現させる。 商品の外部連携が進んでいる（当社への期待が高まっている）
修正予定
• 台湾（現在、現地パートナー企業にて1店舗運営）店舗網拡充 ※大相撲協会コラボ ※全日空機内食
☞老朽化・点在している工場を、
新工場のもと集約することで、
会社全体の売上成長目標（2024年度～2030年度）
これまでの制約が打破され、
• 売上高増加額＋7,376百万円
加速度的に展開できるもの
• 売上高成長率＋9.0％（2024年度から2030年度での年平均）
と考えている</t>
  </si>
  <si>
    <t>株式会社森田あられ
.補助事業の概要
2
塚原・吉田
販売会社であるもち吉での成長戦略（売上拡大・海外展開本格化）の実現に向け、長期的な労働人口の減少
及び海外展開へ対応しながら生産能力増強・労働生産性の向上を図り、従業員の更なる賃上げを実現する
• 労働人口の減少に対応しながら事業拡大（増産）・持続的成長を実現するためには、点在する老朽化工場の集約・自動 投資に一部重複あり
化による生産性向上、及び職場環境・待遇改善による人員確保が不可欠。また、海外での拡販（特にアメリカ）を軌道に乗 14M減少予定
補助事業の せるためには国際規格JFS-Cへの準拠が必要だが、既存工場及び既存設備では現実的に対応が困難という課題がある 事業費 5, 315 百万円
背景・目的 • 補助計画では、自動化による省人化・生産性向上に加え、現在人員確保の上で課題となっている作業・職場環境の改善に （補助額）(1, 271 百万円)
より増産体制を構築すると共に、新工場にてJFS-C規格取得を目指すことで海外展開へも繋げていく。これらの取組を通し競争
力を高め、九州を代表とする老舗菓子メーカーとして雇用の維持創出・海外でも日本ブランドとして認知度向上の実現を目的とする
掲載上、問題のある内容が
新工場 あるか確認必要
①点在している老朽化工場の集約に向けた新工場の建設
• 新工場として、延べ床面積約7,500m2(工場棟)、約1,600m2(オフィス棟)の工場を建築予定。補助
計画では、3工場（頓野・タテピロ・新堅焼）及び本社一部工程を集約し生産性向上を図り、補助計
画期間以降で更なる集約を想定
• 作業環境改善により、現在焼成工程にて発生している夏場の離職防止を図る。また、現在派遣応募者
の職場見学後の入社率が50~80%程度と低くなっている課題に対し、職場環境改善・新設リフレッシュ
ルームへも見学時に案内することで入社率向上・人員確保し、一部工程の二直化により増産を図る
• 国際規格（JFS-C）への対応を想定した工場の設計としており（部屋毎に温度管理可能、化粧室の
設備投資の
前室設置による衛生管理等）、海外展開本格化に向けた生産面での課題解決が可能
リフレッシュルーム
内容 • ライン毎のエネルギー消費のデータ化等、DX技術を活用した新型工場であり、環境対応とコスト削減
（太陽光発電による電力代削減等）の実現と共に、データに基づいた改善活動推進体制を構築
厚生棟のパースに入替
②生産キャパシティ拡大・生産性向上に向けた設備導入
• 分散していた個包装ラインの新工場への集約・焼成ライン変更による段取り替え時間の大幅削減、大型
横ピロー包装機導入による省人化・生産性向上を実現
③海外展開に向けた完全密封個包装対応・高効率設備の導入
• ボックスモーション設備導入による完全密封個包装（アルミ蒸着袋）対応によって、海外展開本格化に
必要な賞味期限の延長が可能（100日⇒180日程度）。通常包装にも対応可能であり、既存設備と
比較して生産性も高く、労働生産性向上にも寄与する 要更新
項目 2027年度（基準年度） 2030年度（事業化報告3年目）
労働生産性 10,024
5,804
（単位：千円/人） （年平均上昇率＋20.0％）
従業員1人あたり給与支給総額 4,619
3,942
目標値 （単位：千円/人） （年平均上昇率＋5.4％）
全般的に文字多い・・・（審査官泣かせだ
役員１人あたり給与支給総額
-
（単位：千円/人） - （年平均上昇率＋7.0％） が・・・やむなしか）
補助事業に係る従業員数
554 599
（単位：人）
・外国人採用（特定技能実習生26名）
・派遣会社（）：
人事部が、まとめて工場を案内し、工場の作業内容を説明している。
おおよそ見学に来てもらい。
来た人がどれくらい
昼休み
・食堂：冷食の会社半額負担、ファミマ商品の自動販売機、うどん
★新工場で、どれだけ人を集めやすくなるか</t>
  </si>
  <si>
    <t>株式会社手原産業倉庫
1.長期成長ビジョン
在庫共有モデルによる在庫最適化と物流高度化で次世代成長モデルを構築
長期成長ビジョン（目指す姿・ビジネスモデル） 外発的動機
• 当社は「物流の枠を超え、在庫価値を最大化するパートナーへ」と • 物流業界は、人口減少による労働者不足、EC市場拡大に伴う短
納期・多頻度配送への対応、サステナビリティ重視の高まりといった
いう理念のもと、2030年までに売上高120億円体制を確立しま
環境変化に直面している
す。
• 在庫共有型WMSの導入とマテハン設備の積極的な活用、共同 • また、荷主各社では在庫過不足に起因する問題が顕在化しており、
欠品による販売機会損失（売上の約10％相当）過剰在庫によ
倉庫機能の整備を通じて、複数荷主間で在庫を横断的に共有・
る商品廃棄と保管リスクの増大が業績を圧迫している
最適化し、欠品による販売機会損失や過剰在庫による廃棄を削
減します。これにより、物流業務を単なる作業請負から、需給リス • これら社会的・顧客的課題の解決は、企業価値向上と同時に社
会的責任を果たす取り組みであり、当社が次世代型の物流プラット
クを解決する「次世代物流プラットフォーム」へと進化させ、消費者
フォームを構築する大きな動機である
起点での在庫最適化と価値創造を実現します。
• この取組により、物流業界の構造課題解決に貢献し、持続的に
付加価値を創出する企業となることを目指します。
内発的動機
• 創業以来、当社は事業運営で発生する欠品・廃棄といった課題を
常に目の当たりにしており、荷主の単独最適の限界を感じている
会社全体の売上成長目標（～2030年） • 複数荷主間で在庫情報を共有し横断的に管理する仕組みでリス
• 売上高増加額3,631百万円 ク分散できる可能性がある
• 売上高成長率9.01％ • 「物流の枠を超え、在庫価値を最大化するパートナーへ」というビジョ
ンは、そうした現場経験と課題意識からうまれたものであり、荷主と
共創しながら需給リスクを分散し、社会全体の物流価値を高めたい
という強い想いが背景にある</t>
  </si>
  <si>
    <t>株式会社手原産業倉庫
.補助事業の概要
2
在庫共有型WMSとマテハン導入、共同倉庫機能を通じて、在庫最適化・労働力不足への対応・荷
主連携強化を図る。
1, 百万円
• 国内物流市場は緩やかな成長が続く一方、2024年問題による労働力不足や配送多頻度 事業費 789
補助事業の （ 百万円）
化、環境配慮の要請に対応するため、テクノロジーによる効率化と人海戦術の簡素化を （補助額） 418
背景・目的
目指し、持続可能な物流体制を構築する。
１、在庫共有型WMS（倉庫管理システム）導入
・ 荷主在庫とセンター在庫の可視化と共同管理モデルの構築
・ 仕入れ、調達機能の追加
・ 欠品・在庫ロス削減
２、マテハン設備（自動倉庫、DAS（デジタルアソートシステム）、
設備投資の ピースソーター（自動仕分け機）、 自動フォークリフト等）の導入
内容
・ 出荷処理能力の向上（最大20％向上目標）
・ 作業者の負担軽減と労働力不足への対応
３、共同倉庫機能の拡充
・ 共有在庫の同ロケ管理による保管スペース効率化
・ マテハン設備（自動倉庫）により保管スペース25％(3000㎡相当)削減の保管効率向上
項目 基準年度 事業化報告3年目
労働生産性
5,394千円/人
8,492千円/人
（単位：千円/人） （年平均上昇率＋16.3％）
目標値 従業員
（
1
単
人
位
あ
：
た
千
り給
円
与
/人
支
）
給総額
2,625千円/人
（年平
3
均
,3
上
29
昇
千
率
円
＋
/人
8.2％）
役員１人あたり給与支給総額
（単位：千円/人） - -
補助事業に係る従業員数
329人 359人
（単位：人）</t>
  </si>
  <si>
    <t>株式会社北十
1.長期成長ビジョン
地域社会・顧客・従業員すべての成長に貢献する“選ばれる物流企業”へ進化する
長期成長ビジョン（目指す姿・ビジネスモデル）
外発的動機
【目指す姿・ビジネスモデル】
・保管用倉庫の需要拡大（コールドチェーン市場）
当社は、地域社会の基幹インフラを担う物流企業として、単なる運送・保
・EC需要や冷凍冷蔵配送需要の高まり
管サービスの提供にとどまらず、地域経済や暮らしを根底から支える「唯一
・製造業・食品業界など企業間輸送への影響
無二の存在」を目指している。冷凍冷蔵倉庫の建設と共同配送ネットワー
・輸送トン数減少に伴う滞留品の増加
クの構築を通じて、地元企業や自治体との連携を強化し、災害時も含めて
・物流の2024年問題の影響
安定した流通インフラを提供することで、地域とともに持続的な成長を実現
する。今後も、社会的責任を果たすとともに、地域の未来を支える存在とし ・トラックドライバー不足
て進化を続けていく。 ・法規制による長距離輸送の運行回数減少
【今後の企業戦略】 ・原油高騰・円安により軽油価格が大幅上昇
EC市場や冷凍需要の成長を機会と捉え、運送事業のノウハウと販路を
活用、そして冷凍冷蔵専用の倉庫建築という大規模投資により、コールド 内発的動機
チェーン市場へ参入する。売上高は直近の2.45倍である42億円を目標と
・冷凍/チルド/ドライ製品の輸送ノウハウを活用したい
して第2の収益柱の構築を目指す。
・海運や陸運の大手企業との取引がある
【命綱】 ・空トラックの運送、荷待ち時間などの有効活用
物流業界は「2024年問題」を契機に、今なおドライバー不足や人件費 ・物流の2024年問題への対策のため
の高騰、GXへの対応、物流コストの増大といった構造的な課題が一層深
・荷下ろしや積み込みの効率化を図りたい
刻化している。このような状況下で持続的な成長を実現するためには、中
・運送事業の収益が少しずつ低下していきている
距離輸送の地場化推進や長距離輸送依存の脱却、自社による中間倉
・ドライバーの高齢化と若手の雇用が困難である
庫機能の確立は、まさに“企業存続の命綱”となる取り組みであると考えて
いる。これらの取り組みを長期ビジョンの中核に据え、事業環境の変化に左 ・適正運賃を授受できていない
右されない「持続可能なビジネスモデル」の構築を目指していく。
会社全体の売上成長目標（基準年度～30年） 会社全体の賃上げ目標
• 売上高成長率 23.8％ • 1.09%（直近事業年度～基準年度）
• 売上高増加額 2,077百万円 • 7.77%（基準年度～事業化報告3年目）</t>
  </si>
  <si>
    <t>株式会社北十
.補助事業の概要
2
補助事業による冷凍冷蔵倉庫建設と地域物流最適化の取組
補助事業の • 冷凍冷蔵倉庫を建築して倉庫事業の「仕組み化」を構築 事業費 1 億円
0
背景・目的 • 物流センターとしての役割をもたせることで運送業の輸送原価を低減させる （補助額） （ . 億円）
2 5
【投資設備】
• 冷凍冷蔵倉庫（683坪 約1,983㎡）
【課題】
①地場中心に荷物を集約出来る施設の建設
②物価高騰による適正運賃及び保管料の価格転嫁
③運送事業の空トラック、ドライバーの荷待ち時間の解消
④従業員の作業環境への配慮
設備投資の
内容
【解決し得ること】
①物流センターを新築することで荷物の集約化が行える
②運送事業に加え倉庫事業を行う事で自社に強みが持てる
③拠点から倉庫への配送を帰りに行う事で空トラックを30％削減
③物流センターで荷物を保管することで荷待ち時間を無くす
④休憩所など設けて従業員が働きやすい環境を整備できる
④定期的なジョブローテーションで気持ちの負担を軽減
2027年度 2030年度
項目
（基準年度） （基準年度＋３年後）
労働生産性 2,821万円/人
1,074万円/人
（単位：万円/人） （年平均上昇率＋38.0％）
目標値 従業員1人あたり給与支給総額 568万円/人
（単位：万円/人）
445万円/人
（年平均上昇率＋8.5％）
役員１人あたり給与支給総額
-
（単位：万円/人） - （年平均上昇率＋7.0％）
補助事業に係る従業員数
12人 18人
（単位：人）</t>
  </si>
  <si>
    <t>ナカシマヘルスフォース株式会社
1.長期成長ビジョン
整形外科インプラント（人工関節及び骨接合材料、脊椎固定具）に関する最先端工場を建設し、運動器障
害に苦しむ日本、アジアのあらゆる患者の「からだが動く。こころが動く。」豊かな社会を実現する
長期成長ビジョン（目指す姿・ビジネスモデル） 外発的動機
• 高齢化に伴う整形外科インプラントの需要の高まり
• 『からだが動く、こころが動く』をスローガンに、こころが踊る豊かな社会の実現
• 2045年までは、日本国内の65歳以上人口は断続的に増加
を目指す
• 「健康寿命の延伸」が国家課題であり、運動機能の改善・再建がはか
• 他社では対応していない少数疾患や原形をとどめないような重度の運
られる人工関節、骨接合材料、脊椎固定具への需要は今後も高まる
動器疾患に対してフルラインアップしからだを自由に動かすために必要な
• 日本に限らずアジア諸国においても高齢化は進行していく
製品・サービスを通じて活動的に生きる喜びを一人ひとりに提供する
• 輸入販売品の価格高騰
• 共同研究や独自の開発ノウハウを生かして、未来に向けて革新的な製
• 円安や人件費、輸送費の上昇などの影響で輸入販売される整形外
品を生み出し、企業とそこで働く従業員の成長を推進する
科インプラントは価格が高騰している
• 最先端工場の建設により会社の生産性・創造性を高め、さらなる新規事
• 外資企業の撤退傾向
業に挑戦できる土壌を作り受注増加につなげる
• 脊椎を中心に、外資系企業が中国や欧米などの、より大きなマーケット
• 最先端工場の建設にあたっては、当社のコアコンピタンスである金属積
に注力するため撤退する方向にあり、それを埋めることが急務である
層造形技術と、アナトミカルデザイン（解剖学に基づいた人体構造や動
• 製品の高機能化及び、生産性を向上を実現するための各種技術の進展
きに沿ったデザイン）等の高い設計技術をさらに追求すべく、高付加価
• ３Ｄプリンタ技術の進展などにより、生体に適合しかつ複雑な金属造
値製品製造のための設備の導入と、基礎研究・製品開発を促進すると
形が可能となり、さらに少量多品種製品の自動化が可能となった。
ともに、自動化による生産性の向上を図る
• 自動制御ロボット技術の進展により、省力化設備導入が容易になった
• 自由度の高いオフィス設計とすることで、女性・若手も活躍する次世代
に向けた多様な働き方への対応をはかる
内発的動機
• 工場内の自動化・効率化を推し進めコア業務に充てる時間を増やすと
• 日本の医療機器産業を発展させたい
ともに、研究機能を集約し、生産性・創造性を高める
• 創業時において国内では人工関節に係る医療機器メーカーは極めて
• 地域や日本を支え、ひいてはアジアの高齢化を支える1社になる
少なく、ほとんど外国製品に頼るしかなかった。（現在も日本シェア1位
• 雇用創出や地元企業・大学との連携によって、地域社会の活性化に
から4位までが外資系、市場シェアトップ10社中7社）国内の経済安
貢献していく
全保障のためにも、祖業であるプロペラの設計・鋳造・加工技術を基に
• 高齢化が進み、運動器障害が増加している日本、ひいてはアジアのあら
した整形外科インプラントを通じて社会に貢献したい
ゆる運動器疾患から患者を救う
• 地域における成長と分配の好循環を生み出したい
会社全体の売上成長目標（～2030年度） • 付加価値の増大により、利益創出と賃上げを継続的に行っていくととも
に、継続的に雇用を創出し、地元企業・大学との連携を深めて地域
• 売上高増加額18,598百万円
活性化に貢献したい
• 売上高成長率18.4％（CAGR）</t>
  </si>
  <si>
    <t>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外発的動機
• 生産拡大によって起こった研究・開発・
製造・管理・物流に関する物理的制約 • 高齢化に伴い整形外科インプラントの需
の問題を解消し、生産性を向上させる 要の高まりを見せる一方、外資系の撤退
• 安全性と精巧さを両立させた３Ｄプリン もあり強い増産ニーズがある
タなど最先端設備を導入し、金属積層 • 生産性を向上するための各種要素技術
造形製品の拡大及び、当該技術を前 の進展がある
提とした高機能製品の開発により、生産 内発的動機
補助事業の 目 背 事業費 9,8 04 百万円
性を向上させ、増産をはかるとともに、利
背景・目的 的 景 • 2025年度推定生産個数は2018年度 （補助額） （2,68 0 百万円）
益率を高めていく
比で約3.6倍となり製造キャパシティーの
• 日本中、アジア中のお客様のニーズによ
限界を迎えている。
りいっそう応えられる会社に成長するとと
• 取り扱いアイテム数増加に伴い物流倉庫
もに、今まで以上のシェア拡大をはかり、
も限界を迎えている
継続的に利益を確保し、さらなる賃上げ
• 実績拡大に伴い、社員数も増加し、研
や設備投資を積極的に行う企業に転換
究・開発・製造・管理・物流の各機能集
する
約による連携迅速化が必要になっている
最先端整形外科インプラント工場の基盤整備に掛かる投資：81.2億円（税抜き）
• 継続的な利益確保・賃上げ・設備投資を実現する基盤を整備するため、新工場を建設する。
目 • 整形外科インプラントの効率的な製造環境を整備する（次頁参照）
的 • 研究・開発・製造・管理・物流の集約による効率化により生産性を向上する（次頁参照）
• 生産性向上・開発力向上が可能となる設備を導入できる環境を整える
設備投資
（個別）の 新
• 住所 • 赤磐市河本岩田地区
目的と内容 工
場
に • 敷地面積 • 約 37,000㎡
つ
い • 状況 • 基本設計完了済み
て</t>
  </si>
  <si>
    <t>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 生産体制の効率化をはかるため、確保したスペースを生かし、前工程(機械加工工程)の内製化を行うとともに、内製化が必須
となる後工程(洗浄包装)の増強を図る。金属造形装置(３Ｄプリンタ)や横型マシニングセンター、搬送ロボットなどの広いスペー
スを必要とする自動化設備を設置する環境を整える。
• 工場に加えて研究開発のための場所や倉庫、管理部門のスペースを集約することで、生産性・効率性を高める。
• さらに、次ページで説明する新設備と連携し、研究開発を推進し、さらなる商品の上市とシェア拡大をはかる。
製
造
環
境
設備投資
（個別）の
目的と内容
最先端工場の高度化（生産性向上・自動制御・金属造形装置(３Ｄプリンタ)）に係る投資：10.5億円（税抜）
• 生産性の高い最先端設備導入により、自動化・効率化をはかり、高い需要に応えるとともに、人件費の高騰や診療報酬の改定
に伴う価格下落圧力に対抗する。(日勤8時間有人、夜間16時間+休日を無人稼働を目的とする自動化設備を導入)
目
• 特に大きな成長が見込まれる金属積層造形製品のコスト競争力を高めるため、機械加工時における材料脱着の自動化や製品
的
の自動計測を行うとともに、少量多品種にも対応した設備を導入する。
• 工場レイアウトの最適化と工程間自動搬送による生産性の向上
粉塵爆発圧力拡散型集塵機ダクト1式、ミストコレクター、エアー搬送ファ
導 ン、簡易貫流蒸気ボイラ、乾燥機、コンプレッサー、排水処理装置、純水
入 製造装置、クリーンエアシステム、超音波洗浄機、スチーム洗浄機、ドラフ
設 ター、混錬自動化装置、フォークリフト、CNC旋盤、縦型マシニングセン
備 ター、陽極酸化装置、ロボドリル、ロボカット、ホーニング盤、ロボットバレル、
真空熱処理炉、大型遠心バレル、基幹システムサーバー、通信・NET</t>
  </si>
  <si>
    <t>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 金属造形装置
• 電子ビームまたはファイバーレーザーにより必要な部分の
金属粉末を溶解し、凝固させて金属部品を製作する
技術
• 複雑な形状や強度の高い金属などの難しい成形を可
能にし、緻密な3D形状を造形する
• 本補助事業の最重要技術であり、金属積層造形技
術による製品の増加が成長の大きな部分を占めると想
多品種少量品が可能 カスタム製品可能 骨梁構造再現可能
定している
• 複合旋盤+協働ロボット
• 旋回機能付きミル主軸を搭載した旋盤
• 旋削機能と５軸マシニングセンターの機能を有した設
備により、多様な加工手法を1台でまかなうことができる
設備投資 導 • 協働ロボットと併用することで材料の自動脱着が可能
入 となり夜間休日の無人化が可能となる。 攪拌機 成型機
（個別）の
目的と内容 設 • 成型機+攪拌脱泡装置
備 ・ 人工関節の摺動面に使用する、耐摩耗性ビタミンE混 内径加工 材料 外形加工 ポリ材料製造
錬超高分子量ポリエチレン材料の量産化
自動旋盤
• 自動旋盤（or自動盤？） 脊椎用インプラントの
・ 脊椎用インプラント・骨接合用スクリューの自動生産 自動生産
夜間、休日も稼働するため自動消火装置搭載
• 工場レイアウトの最適化と自動搬送ロボット
• 複数の工作機械を使用して製品となるため、工作機
械間の部品搬送を自動化することで生産効率が向上
• 各工程間の距離が長いため、工程エリア間の搬送も
自動化を図る。
• 搬送の効率化自動化を図る上で、工場全体のレイア
ウトが重要となる。平面搬送だけでなく立体的に搬送
が可能となるような建築設計とする。</t>
  </si>
  <si>
    <t>ナカシマヘルスフォース株式会社
.補助事業の概要
2
最先端工場を構築し、研究開発設備の拡充・機械加工等の内製化・洗浄包装の増強等を実現。併せて、物流等の物
理的制約の問題を解消し生産性向上を図り、シェアを拡大して継続的な利益確保・賃上げ・設備投資を実現する
よりよい整形外科インプラントを作るための研究開発にかかる投資：7.1億円（税抜き）
• マルチスライスCT
• X線CTの一種で、複数のX線検出器を使って一度の撮影で複数の断層画
像を同時に取得する技術。非破壊にて材料の密度や組成などを評価する
• 当社では、模擬手術で設置した人工関節の設計検証用に使用する
• 手術台・無影灯カメラ1式
• 臨床現場に即した環境で、開発ドクターを招いて模擬手術を実施。開発要
設計検証
求事項の検証やリスクマネジメントを実施する
• 当社の製品を用いて、ドクター向けに手術トレーニングを実施する。
設備投資の 導 • 医師を招いて、臨床現場を想定した営業向けの手術手技研修を実施。
内容 入 • X線回析装置
設 • 物質の結晶構造や原子配列を分析するための装置
備 • 金属の材料分析は勿論、骨の成長方向を分析し製品開発に繋げる。
トレーニング 模擬手術室
• 走査電子顕微鏡(SEM)
・ 試料から放出される二次電子などを検出し、試料表面の形態や組成の
違いを観察。新材料の開発などに使用する
その他、製造用物質実験台、器具除染用洗浄器、自動洗浄器、電動移動棚、自動比重計、冷凍
機付衝撃試験機、画像寸法測定器、試験片寸法測定器、ノッチ加工機、DSC、力学試験機、レー
ザーラマン、共焦点レーザー顕微鏡、デジタルマイクロスコープ、化学発光ゲル撮影装置、粒子画像分
析装置、疲労試験機、材料試験システム、圧縮試験機、ピンオンディスク試験機、マイクロスコープ、 X線回析装置 FE-SEM
非接触３次元計測器、３D測定レーザー顕微鏡、QMS/文書管理システムの導入を予定。
2027年度 2030年度
項目
（基準年度） （基準年度＋３年後）
労働生産性 22,484
（単位：千円/人）
15,758
（年平均上昇率＋12.6％）
目標値 従業員1人あたり給与支給総額 7,445
（単位：千円/人）
6,164
（年平均上昇率＋6.5％）
役員１人あたり給与支給総額
-
（単位：千円/人） - （年平均上昇率＋6.5％）
補助事業に係る従業員数
425 613
（単位：人）</t>
  </si>
  <si>
    <t>日電精密工業株式会社
1.長期成長ビジョン
精密金属プレス技術の深化とGeO₂次世代パワー半導体ウエハーの量産化にリソースを再分配し、
中長期的な収益力向上に取り組み、30.9期に24.9期の1.85倍の売上高を達成する。
【24.9期7,087百万円⇒30.9期13,108百万円、CAGR+10.8%】
■長期成長ビジョン（目指す姿・ビジネスモデル） 外発的動機
【精密金属プレス（リードフレーム類）：パワー半導体分野の成長】
〇目指す姿
• リードフレーム市場全体では、パワー半導体分野が成長市場として見込まれる。
コア技術である精密金属プレス技術をさらに深化させ、 ※流通数：2029年までCAGR6-10%の成長が見込まれている。
生活様式の多様化やエコ・省電力社会の実現に際して直面する 【精密金属プレス（電機部品）：モーターコアの成長】
様々な課題に応える企業となる。 • 当社の主要製品であるリードフレーム（従来型）の市場成長が限定的であるため、
電子・電機部品の成長領域へ多角化を志向する。
〇実現すること
• モーターコアの業界課題を解決する特性を有する極薄金属素材「鉄系アモルファス金
得意先・最終消費者への貢献：環境負荷の低減と快適な暮らしの 属」に着目。得意とする精密金属プレスの知見を活かし、小型化・高効率化を実現す
両立を実現し、世界中の人々の生活の質の向上に貢献する。 る高付加価値製品を製造する。
【精密金属プレス（電子部品）：エコ・省電力社会の需要拡大】
従業員への貢献：上記を通じて、売上高を倍増させ、その成果を
• LEDや各種センサー、エコ・省電力社会の普及に伴い、需要拡大を見込む。
従業員の賃上げとして還元することで、従業員の生活を安定を図
• 代替技術であるエッチング加工は廃液処理が困難であるのに対して、プレス加工は
るとともに、積極的な人材採用により地域雇用を拡大する。
端材の再利用が可能であるため、サステナブル需要に応えられる。
地域企業への貢献：地域企業との協業による技術力向上と経済活
• 特にLED市場は2033年までCAGR7.4%と高成長が期待される。
性化を通じて、地域社会との持続的な共栄を実現する。
〇補助事業（※補助対象事業：全事業）における取組事項
内発的動機
➢ 事業ポートフォリオの再編：既存事業である精密金属プレス事 【精密金属プレス技術をさらに深化させ、社会の発展に貢献したい】
業は高成長市場へターゲットをシフトする。加えて、高い成長 • 当社は精密プレス金型技術を中核とした金属プレス部品の製造を継続的に
ポテンシャルと収益性がある半導体ウエハー関連事業に取り組 行い、自動車、鉄道、家電などの身近な製品から社会インフラ機器まで、
み、中長期的な収益力向上に取り組む。 広範な分野で生活を支える重要な役割を果たしてきた。
➢ 工場再編による経営基盤の強化：工場再編により、①増産体制 • リードフレーム（従来型）が当社の業績を牽引してきたが半導体産業の潮流の変化
が当社の業況にも影響を与えている。
の構築②新規事業開発のリソース確保③コスト効率の向上を実
現。経営基盤を強化する。 • このような状況下で、当社が持続的成長を実現するためには競争優位のある独自の
新技術で地域・国内の経済発展に貢献するため、大掛かりな設備投資を行い、早期
会社全体の売上高成長目標（～2030年） の事業化を目指したいと考えた。
• 売上高増加額6,021百万円 【内部構造を見直し、持続的成長を実現したい】
（24.9期7,087百万円→30.9期13,108百万円） • リードフレーム（従来型）を主とする精密金属プレス事業において、市場動向を鑑み
事業ポートフォリオの見直しが必要と考え、新事業を計画。電子・電気部品領域の強
• 成長率（CAGR）+10.8％、30.9期に24.9期比1.85倍を計画
化や半導体ウエハー領域への進出を目指す。
会社全体の賃上げ目標（補助事業実施後～2030年） • 人材獲得・長期就労の観点でも、事業・製品の高付加価値化や工場再編による非
• 賃上げ目標7.0% 効率の解消は効果的。従業員が健康的かつモチベｰション高く働ける会社としたい。</t>
  </si>
  <si>
    <t>日電精密工業株式会社
.補助事業の概要
2
成長領域の拡大・進出を目指し、工場再編を通じて大胆に既存リソースを再分配する。
増産体制の構築や生産性向上により、収益性を飛躍的に上昇させる。総事業費は4,044百万円を予定。
補助事業の 成長領域の拡大・進出を目指し、工場再編を通じて大胆に既存リソースを再分配する。 事業費 , 百万円
3 717
背景・目的 増産体制の構築や生産性向上により、収益性を飛躍的に上昇させる。 （補助額） （補助額1,1 百万円）
84
総投資額
場所 投資内容 備考 設備投資の目的
（税抜）
新工場 設立費用 土地代 諸手続き料を含む総額 ※補助対象外 450
各工場で行っているプレス加工を新工場に集約し、製造工程の合理化を図る。
（池田工場） 土地造成費 造成工事、その他手数料 310
現在：オイルプレス、オイルレスプレスともに４工場で行っている。
建築費 池田工場（約7,000㎡） 2,200
設備投資の 2,960 計画：オイルプレスは新工場、オイルレスプレスは安八工場へ集約する。
内容 DX用設備 省力化設備 自動ラック倉庫、自動搬送ロボット、協働ロボット 300 労働生産性を向上させ人員配置を見直すため、ロボットや省力設備を導入する。
生産稼働監視 稼働監視システム(AIカメラ) 50 生産設備の稼働率向上のため、稼働監視システムを導入する。
350
単位：百万円 生産設備 生産財設備 プレス、洗浄機、平面研削盤 394 補助事業の実施により新品種の量産が予定されるため、生産設備を新たに導入する。
アモルファス加工用設備 10 アモルファスモーターコアの事業化を推進するため専用設備を導入する。
3,714
安八工場 粗化鍍金用設備 シート鍍金装置4条等（うち260百万円はリース） 290 粗化鍍金ラインを増強し、量産対応を行う。
神戸工場 GeO₂成膜事業用設備 40 GeO₂成膜事業の事業化を推進するため専用設備を導入する。
計 4,044 百万円
項目 単位 基準年度 事業化報告 3年目 年平均上昇率
労働生産性 千円/人 6,972 14,561 27.8%
従業員1人あたり
目標値 千円/人 5,031 6,163 7.0%
給与支給総額
役員１人あたり
千円/人 - - 7.0%
給与支給総額
補助事業に係る
人 240 261 2.8%
従業員数
新工場イメージ/
レイアウト（図面）</t>
  </si>
  <si>
    <t>石坂産業株式会社
1.長期成長ビジョン
循環型社会、環境構築のビジョンの下、「資源循環リサイクラーから、製造、リジェネラティブインフラストラクチャー移行」という
戦略を掲げ、本事業で新工場設立、先端分別設備導入、処理設備のDX化を図ることで、画期的な省力化を達成する。
長期成長ビジョン（目指す姿・ビジネスモデル） 外発的動機
① 再生樹脂のほとんどが輸出される
ビジョン（実現したい未来像）
国内ユーザーの求める高品質・低価格なマテリアルリサイクルが必須
物:循環と共生が機能する物・品質、コストプロセス
② 国内スクラップは将来、需要に対して不足
・HSE（健康、安全、環境）の企業価値向上、競争力強化
・再生資源のブルーカーボン、グリーンカーボン社会実装(製品高付加価値化) 高品位スクラップが不足しており、金属再資源化の対策が必要
・自己発電、自己循環するプロダクト
場所:自然と循環が共存できる場所 万t 200 万t 5,000
・共創による技術、人的能力開発、ESGの実施とともに収益構造確立 不足量
4,000
事:環境価値を生む仕事行動 150
土壌、水、森の再生を行う事業(リジェネラティブビジネスの加速) 3,000
100 輸出
2,000 製造量
成長戦略（メガトレンドへの対応）
50
循環型経済の中核を担う価値創造産業へ進化する 1,000
国内活用
物、事、場所への総合的ハード面ソフト面の大規模転換を図る
0 0
＊中期計画(5年) （本事業）
再生樹脂の消費※1 スクラップの将来需要※2
資源循環リサイクラーから製造、リジェネラティブインフラストラクチャーに移行
＊長期計画 ※1 動静脈物流解剖図（2023年9月 経産省） ※2 鉄鋼資源循環戦略と課題（2023年12月 日本鉄鋼連盟）
地域と地球の未来デザインをするエッセンシャル産業へ
内発的動機
成長手段（本事業）
①搬入量が工場処理能力を越え、顧客ニーズに応えきれていない
■新工場設立・省力化設備・システム導入による処理能力向上 これ以上の成長には工場増設が不可欠
・新工場設立により受入れ処理能力拡大
・AI光学システムで、現在手作業での廃棄物仕分けを、自動化、省力化する。
②新規採用者、特に若手の教育環境を充実させたい
・MES(製造実行システム)により、処理設備の稼働状況を基幹システムに統合し、
省力化による余剰時間を若手教育に充てる。自動化、AI活用で熟練者で
省人化、品質、生産能力向上
ないと実施できない作業を減らし、若手が活躍しやすい環境をつくる
■混合物の自動選別ライン新設により、プラスチック、金属等の再資源化
（資源循環国家戦略に貢献）
③「資源循環リサイクラーから、製造、リジェネラティブインフラストラクチャー移行」
老朽化設備の集約とライン再配置により、処理能力・再資源化能力の両面で大幅な
日本のサーキュラーエコノミーを支える静脈産業のリーディングカンパニーとなるべく、廃プ
拡張を図る。中長期的な搬入量の増加に備える
ラスチック・金属のマテリアルリサイクルを強化し、動脈産業への再生材供給に進出する
会社全体の売上成長目標（直近決算～2030年度） 更に、「再資源化100% 廃棄物の埋め立てがない日本をつくる！」を達成すべく、廃
• 売上高増加額8,536百万円（6,716百万円➨15,252百万円） 棄物を無害化・減容化・資源化する事業への大規模投資やM＆Aを活用し、再生資源
• 売上高成長率12.4％ 製造業、収集運搬、解体事業等への進出を実施したい
4</t>
  </si>
  <si>
    <t>石坂産業株式会社
.補助事業の概要
2
補助事業実施による付加価値向上により、労働生産性を年平均28.5％向上し、基準の年平均上昇率
4.5%を大幅に上回る８.0％の賃上げ目標を確実に達成する。
• ［背景］環境規制強化に伴う再資源化需要の拡大、廃棄物処理能力・処理精度の限界 事業費 4,922百万円
• ［目的］持続的成長とサーキュラーエコノミー推進の実現 （補助額）（1,641百万円）
補助事業の
• ➨廃棄物受入量の拡大
背景・目的
• ➨混合物処理高度化による新規再生リサイクル品製造・販売強化（再生プラスチック、金属、再生砂、固形燃料）
• ［課題］生産規模拡大、処理能力（効率・精度・新規分別技術）向上、製品高付加価値化、安定稼働
経費項目 名称 投資額 効果 労働生産性向上
RPF製造/可燃混合選別 ・本社工場隣接地に新工場建設➨生産 ・既存施設を含めた各プラントの役割再編、
建物費 /有価物（金属） 18.4億円 規模拡大 従業員再配置、レイアウト最適化、作業
統合プラントほか ・本社既存工場への改修・改善工事 環境改善
選別機・破砕機 ・分別工程：手作業の自動化によ
成形機 る生産効率向上、製造コスト削減 ・省力化設備導入に伴う生産工程自動化
設備投資の 機械装置費 モニタリング設備他 30.1億円 ・AI・センサー技術活用による分別 ➨省人化・サイクルタイム大幅削減
内容 分級精度向上 ・製品の高付加価値化により付加価値額増加
その他設備
・本社既存工場効率化
生産統括管理システム ・生産管理情報の見える化による業 ・生産情報や機械設備の稼働状況がシステム
プラント3Dデータ化他 務効率の向上、安定稼働の実現 に自動入力
ソフトウェア費 0.73億円
・廃棄物持込時の待ち時間短縮によ ・廃棄物持込車両の場内整理や待ち時間問
廃棄物持込待機場管理システム
る処理業務効率化、顧客満足向上 合せのための人員削減
項目 基準年度 事業化報告3年目
労働生産性 32,134
15,160
（単位：千円/人） (年平均上昇率+28.5%）
目標値 従業員1人あたり給与支給総額 7,891
6,264
（単位：千円/人） （年平均上昇率＋8.0％）
役員１人あたり給与支給総額
-
（単位：千円/人） - （年平均上昇率＋6.0％）
補助事業に係る従業員数
145 180
（単位：人）</t>
  </si>
  <si>
    <t>吉田海運ロジソリューションズ株式会社
1.長期成長ビジョン
• JR九州との拠点の共同開発等の施策により、九州地方における物流倉庫のリーディングカンパニーを目指す
• 物流の効率化等を推進し、物流業界の課題解決に向けて挑戦・成長し続ける企業を目指す
長期成長ビジョン（目指す姿・ビジネスモデル）
外発的動機
＜基本方針＞ • 共働き世帯の増加等による冷凍・冷蔵食品の需要拡大
• 冷食の輸入割合の増加に伴う港湾型倉庫需要の拡大
九州地方における低温倉庫のリーディングカンパニーを目指す
九州の物流インフラを支え、アジアとの低温食品サプライチェーンを強靭 • 冷凍・冷蔵倉庫の老朽化による不測の懸念
化するリーディングカンパニーを目指し、地域経済の発展に貢献する
• 地球温暖化の進行や環境意識の高まり
物流業界全体の輸送の効率化・省人化を推進
• 少子高齢化による労働力人口の減少
物流拠点の整備や自動化、配送の集約などの輸送の合理化をすす
• 物流関連2法により、荷主・物流事業者間の商慣行を見
め、物流業務の省力化および効率化を実現する。蓄積したノウハウを
物流業界に展開し、業界全体の課題解決に貢献する。 直し、荷待ち・荷役時間の削減や積載率の向上等の対
策が必要
＜重点戦略＞
• 市場環境の需要を捉え、 JR九州との協業スキーム等を活用した
物流拠点の開発・運営
• 自社管理倉庫の自動化を推進
内発的動機
• 独立系3PLの強みを活かした幹線輸送や共同輸送等の輸送効率
向上に向けた取組みの推進 • 「事業を通じて地域社会に貢献する」の使命の実現
• 三温度帯倉庫や自動化等のノウハウを活かした、不動産開発事 • 物流業界の2024年問題によるドライバーの労働時間を
業・オペレーション事業の全国展開
考慮した、中継拠点へのニーズの高まり
• 新規・既存倉庫の自動化による人手不足への対応
会社全体の売上成長目標（2030年度）
• 2030年度の会社全体の売上高：157億円 • 大型冷凍倉庫の要望
• 売上高増加額：93億円※ • 従業員の負担抑制及び若手の成長支援
• 売上高成長率： CAGR25％※
※2026年度~2030年度の数字</t>
  </si>
  <si>
    <t>吉田海運ロジソリューションズ株式会社
.補助事業の概要
2
• 物流の効率化や省人化といった物流業界の課題解決に向けて、自動倉庫システムを導入する
• 庫内作業の自動化により、パレットの出荷能力は約8倍となり省人化が可能
国内冷凍食品市場は、消費者のライフスタイルの変化や冷凍食品の多様化・品質向上等を理由に拡大しており、
国内で消費される冷凍食品の輸入品の割合が増加傾向にあることから、港湾での通関・検疫が可能な冷凍倉庫
補助事業の の需要が拡大している。また、物流の2024年問題やEC販売の普及による物流需要の拡大に伴い、物流業界で 事業費
2, 百万円
284
背景・目的 は輸送の効率化や省人化への対応が課題となっている。 （補助額）
（ 百万円）
761
上記の背景から、日本屈指の貿易拠点である博多港で、通関・検疫に対応が可能な港湾型倉庫をJR九州と
共同で開発し、自動倉庫システムによる省人化を図り、物流サービスを通して社会課題の解決に取り組む。
パレット立体自動倉庫 移動ラック 冷却設備一式
設備投資の
内容
設備投資 ①自動で搬入・搬出が可能 ①ラックが移動することで、リフトの搬入路 ①冷凍装置の運営に必要な冷却装置
②システムによる出荷指示で自動搬出 を最小限に抑え、保管効率を高める ②エネルギー効率が高く、高い省エネ効果
による効果
③高層ラックによる保管容量の向上 ②高層ラックによる保管容量の向上 を実現
2027年度 2030年度
項目
（基準年度） （基準年度＋３年後）
労働生産性 9,03
4,60 9
（千円/人） 2 （年平均上昇率＋25.2%）
目標値 従業員1人あたり 4,040
3,298
給与支給総額（千円/人） （年平均上昇率＋7.0%）
役員1人あたり 12,250
10,000
給与支給総額（千円/人） （年平均上昇率＋7.0%）
補助事業に係る
68 72
従業員数（人） 7 4</t>
  </si>
  <si>
    <t>株式会社ビクトリー
1.長期成長ビジョン
⚫ 国内のミネラルウォーター市場の拡大、普及により、ミネラルウォーターがライフウォーターとして身近になっている
⚫ ミネラルウォーターは災害時にも重要な役割を果たす
⚫ 当社は安く品質の良い安全なミネラルウォーターを、安定して世の中に供給する
長期成長ビジョン（目指す姿・ビジネスモデル） 外発的動機
• 国内のミネラルウォーター市場の年々拡大
メガトレンド
• インバウンドによるホテル向けの需要の拡大
• 国内のミネラルウォーター市場は年々拡大しており、直近 【２リットル ペットボトルに需要増】
20年で4倍に伸長。それでも1人当たりの年間消費量は • 大手は利幅の小さい２Lペットボトルは作りたがらない
価格競争力のある当社に需要が集まる
欧米比1/3程度であり、さらなる国内市場の拡大が見込
• 小売業者からの引き合いが強く、需要に供給が追いつかない状
まれる
況が続いている
• 災害時において飲料水は1番必要なモノとなっている。防災
• 災害時においても飲料水２Lボトルは1番必要なモノとなっている。
備蓄のためにミネラルウォーターは重宝されている。
目指す姿とビジネスモデル
• ライフウォーターとして、安く品質の良い安全なミネラルウォー 内発的動機
ターを世の中に供給する。 • 事業を始めるきっかけとなったのは東日本大震災で被災者が
• 粗利が小さく大手が嫌う２Lを積極的に販売 飲み水を求めている声を聞いたことがきっかけ
家庭の普段使いのおいしい水を提供 • 災害大国日本において、水を必要としているお客様に、当社商
品をいち早く提供する事が経営基本方針かつ最重要の動機で
• 防災時に貢献する。
ある
• メーカーの多くは山梨県（富士山周辺）で採水。地域
• 弊社はグループ会社で薬品、健康食品を販売し、販売網は全
が被災した場合、関東への供給量は半減する。
国にある。全国の国民に安心・安全・美味しく・安価な水を提供
当社は群馬で採水
する事で、社会貢献は当社の使命である事を達成していく。
会社全体の売上成長目標 • 競合の水源は富士山麓に集中しており、リスク低減のために、当
（2025年3月期～2031年3月期） 社は他社と異なる水源をもつことで災害時に関東の水を確保で
• 売上高増加額:18661百万円 きる。
• 売上高年平均成長率24.6％ • 家庭用の２Lペットボトル水は大手競合が手を出しにくい分野、
関東市場で人気ベスト５の製品となる 当社の生産ノウハウで関東市場の需要を取り込める</t>
  </si>
  <si>
    <t>株式会社ビクトリー
.補助事業の概要
2
●既存工場（岐阜工場）はフル生産である。関東は中部の約10倍の需要があり、既に引き合いが来ている
●旺盛な需要に対応するために既に完成済の群馬工場に加えて、群馬新工場（建設・先端設備導入）を本事業投資で実施
●売上向上・利益率向上を図り、労働生産性を向上させるとともに、賃上げを実現する
• 既存工場（岐阜工場）がフル生産。関東からの引き合い拡大に伴い群馬工場設立済。
補助事業の
• 供給不足である２Lペットボトルの生産サイクルアップと能増対応に向けて本事業で群馬新工場設立。
背景・目的 • 関東生産・物流効率化による得意先へのCO2排出低減。 事業費 1 6 , 5 00百万円
（補助額） （ , 百万円）
4 999
●環境負荷低減や生産性向上を目的とした新工場 ①・ボトリング 充填
（新規PET成型装置と 成型・充填一体型新規設備
充填機の一体設備導入）
・プリフォーム生産
（新規PET原料内製/
補助事業外）
設備投資の +
内容 ②製品検査箱詰め
（自動箱詰め装置化）
+ 自動出荷倉庫 RFIDパレット PET原料・ブロー成型
③輸送出荷体制構築
（自動出荷倉庫と
RFIDパレットの
活用による省人化）
項目 基準年度 事業化報告3年目
労働生産性 66,038
36,767
（単位：千円/人） （年平均上昇率＋21.6％）
目標値 従業員1人あたり給与支給総額 5,470
4.342
（単位：千円/人） （年平均上昇率＋8.0％）
役員１人あたり給与支給総額
-
（単位：千円/人） - （年平均上昇率＋8.0％）
補助事業に係る従業員数(役員含まず）
35 100
（単位：人）</t>
  </si>
  <si>
    <t>フクビ岡山株式会社
1.⾧期成⾧ビジョン
フクビ化学グループの成⾧を牽引する高性能断熱材「フェノバボード」の製造拠点として、生産能力の強化と技術
革新を通じて社会課題解決に貢献し、変化する建設業界のニーズを捉え、持続的な成⾧を遂げる
企業理念 中⾧期ビジョン
化学に立脚し、新たな価値を創造、提案する。 × 新たな技術開発と市場創造に絶え間なく挑戦し、快適な社会の実現
企業経営を通じて、地域に貢献し、環境共生型社会形成に寄与する。 に貢献する。一人一人の成⾧と企業の成⾧が一体になることで、喜び
を実現できるフクビグループを目指す。
⾧期成⾧ビジョン（目指す姿・ビジネスモデル） 外発的動機
成⾧のために捉えていく事業機会
新たな住まい オフィス＆ファクトリー
• 2025年4月からの断熱基準義務化による、住宅・建築物の省エ
・高性能建築物/新築 ・非住宅建築物
ネ性能の向上の要求より高性能断熱材の需要が拡大
・リフォーム/リノベーション （オフィス,工場,文教施設）
• 環境配慮型製品・低環境負荷性能に対するニーズをキャッチアップ
し、 フェノバボードの製造・開発を通じて貢献していく
成⾧牽引分野 • 輸送・原材料・エネルギーコストの高騰に対応し、サプライチェーンの
再構築と先端技術の活用により、コスト最適化と業務改善を図る
当社が持つフェノール樹脂成型技術で、社会課題の解決に貢献で
きる領域にこそ成⾧の機会があると考えている。特に、フクビ化学グ • 市場が変化する中、当社はフクビ化学グループと連携し、新たな市
場の開拓に必要な高性能フェノバボードの生産体制を構築し、需
ループが成⾧けん引分野と定めた「新たな住まい」「オフィス＆ファクト
要の変化に柔軟に対応する
リー」分野において、カーボンニュートラル実現をうけて、省エネ性能
向上が求められる高性能建材のニーズが伸びており、当社は、この
内発的動機
需要に応えるための技術・製品を提供していく
• フクビ化学グループの戦略として建設業界全体が断熱性能を重視
した設計・施工にシフトする中、当社はフェノバボードの製造・開発を
会社全体の売上成⾧目標（2030年度）
通じて断熱事業の成⾧に貢献し、高性能断熱材の安定供給と技
• 売上高成⾧率230.8％（基準年度2025年3月期）
術革新を追求する。
• 売上高増加額35.4億円
• 現在の生産能力の限界や、技術革新への迅速な対応の必要性
会社全体の賃上げ目標 が顕在化しているが、本投資によりスピード感を持って課題解決
• CAGR3.1%（直近事業年度～基準年度） に取り組み、市場の変化に柔軟に対応した成⾧を遂げていく
• CAGR6.2%（基準年度～事業化報告3年目）</t>
  </si>
  <si>
    <t>フクビ岡山株式会社
2.補助事業の概要
高性能フェノールフォーム断熱材「フェノバボード」の第2生産拠点を建設し、生産体制を強化することで、フクビ化学グループの
成⾧に貢献する。省エネ基準適合義務化を背景に、独自の不燃性・平滑性を備えたフェノバボードの製造能力を拡大する
補助事業の 省エネ基準適合義務化を背景に、当社は独自の不燃性・平滑性を備えた高性能断熱材 事業費 3,652百万円
背景・目的 製造を開始し、非住宅分野や未開拓市場で持続的な売上成⾧を実現 （補助額） （900百万円）
補助事業計画費の内訳
① 新工場建設費 16億9300万円
② 生産装置設備 24億6000万円
③ 省人省力設備 1億3600万円
・高品質な断熱材製造を実現するため、独自開発した製法の製造設備
を導入し、原料配合から完成梱包出荷まで一連の工程を集約化し、同
設備投資の
時に、物流と人員配置の効率化を確立する
内容
・搬送工程にロボットを導入して省人化と連続作業の労働負荷を低減し、
シフト生産を実現し生産性を向上する
・新工場は作業者の周辺の換気空調を強化することで、労働環境改善
を図り、加えてエネルギー面においてはソーラー発電およびグリーンエネル
イメージ図
ギーを率先利用し、地域協定で掲げられるカーボンフリーの実現に貢献
する次世代の環境先進モデル工場を目指す
項目 基準年度 事業化報告3年目
労働生産性 32,752千円/人
17,445千円/人
（単位:千円/人） （年平均上昇率＋23.4％）
従業員1人あたり給与支給総額 6,279千円/人
目標値 5,242千円/人
（単位:千円/人） （年平均上昇率＋6.2％）
役員１人あたり給与支給総額 -
-
（単位:千円/人） （年平均上昇率＋6.2％）
補助事業に係る従業員数
40名 60名（＋20名）
（単位:人）</t>
  </si>
  <si>
    <t>ソントン食品株式会社
1.長期成長ビジョン
世界の人々がより豊かで健康的な食生活を楽しんでいただけるように、新しい価値のある商品を提案し続けるこ
とで、お客さまの生活の充実、ひいては社会の発展に寄与する
長期成長ビジョン（目指す姿・ビジネスモデル） 外発的動機
• パン・外食・冷菓・中食市場の拡大に伴い、機能性・省力化・品質
人と技術の力で世界の人々の健康と豊かな食文化の発 安定性を備えたフィリング需要が高まっている
展に貢献する • 労働人口の減少に伴い、現場調理を要さない加工食品（既製
フィリング等）の導入ニーズが食品業界で顕著に拡大している
技術力強化を元にイノベーションを起こす
• 消費者ニーズの多様化に伴い、低糖質・アレルゲンフリー・機能性な
◼ 新しい世界の市場、新しいニーズに向け、新しい商品を生み出して ど、より付加価値の高いフィリング開発が求められている
いくことで、今一度メーカーの原点に立ち戻る
• 世界的な「日本食・和スイーツ」需要の高まりを受け、冷凍流通を
活用した輸出・間接輸出のフィリング供給が拡大
アジア圏をはじめとした海外市場への進出
◼ 海外市場への展開に本格的に取り組み、日本品質を海外の人々 • アジアを中心とした人口成長圏において、日本品質の菓子・パン素
材への関心が高まっており、現地での展開ニーズが顕在化
にも届けることで、中長期的な成長基盤を確立する
お客さまの生活の充実、ひいては社会の発展に寄与
内発的動機
◼ 国内パン市場はもちろん、外食・中食・冷菓分野等、新しい価値
のある商品の提供範囲を拡大する • 「詰めるもの・塗るもの」という食品インフラ的存在として、80年にわ
たり食卓と業界を支えてきた自負と使命
• 創業以来、常に“ない商品をつくる”開発姿勢で新市場を切り拓い
会社全体の売上成長目標（～31年3月期）
てきた歴史があり、再びイノベーション起点に立ち返る決意
• 売上高年平均成長率9.8％
• 業界トップシェアに甘んじず、新カテゴリ・新用途（冷菓・喫茶・輸
• 売上高増加額248億円
出など）へ挑戦し続けることで組織の進化を目指す
会社全体の賃上げ目標
• グループ再編によって機動力のある組織体制が整い、「全社一丸で
• 2.5%（直近事業年度～基準年度）
の次の成長」を実現するべきタイミングを迎えている
• 6.5%（基準年度～事業化報告3年目）
• 「人と技術の力で世界の人々の健康と食文化に貢献する」という企
業理念を、グローバル視点で具現化するフェーズにある</t>
  </si>
  <si>
    <t>ソントン食品株式会社
.補助事業の概要
2
3つのラインを有する茨城中央工場を設立し、製品搬送設備や自動箱詰め機、自動倉庫などの自動化・省人
化設備導入により、高度に自動化された生産ラインを構築する
補助事業の • 今後見込まれる需要拡大に対して製造キャパシティが不十分 事業費 1 , 百万円
3 005
背景・目的 • 市場におけるシェア拡大のためには老朽化設備の改善とコスト競争力向上が必須 （補助額） ( , 百万円)
3 909
製造能力・顧客対応力強化によるフィリング市場における圧倒的ポジション確立
【具体的な投資内容】
① 茨城中央工場建設（86億円）
新工場を新設し、現工場よりもラインを3ライン増設す
ることによる製造能力の大幅向上
② 自動化・省人化設備の導入（35.6億円）
製品搬送設備や自動箱詰め機、自動倉庫を含む自
設備投資の
動化・省人化設備導入による高度に自動化された
内容
生産ラインの構築
【補助事業により見込まれる効果】
• 製造能力の1.5倍化による各市場における需要増への対応強化
• 自動化や歩留り改善による生産性向上とコスト競争力の向上
• デポ機能を持つ倉庫内製化による外注費・物流コストの削減
• 多品種少量生産対応力強化によるベーカリー・中食・外食業界向け取引拡大
項目 基準年度 事業化報告3年目
労働生産性 19,298千円/人
10,270千円/人
（単位：千円/人） （年平均上昇率＋23.4％）
従業員1人あたり給与支給総額 6,640千円/人
目標値 5,497千円/人
（単位：千円/人） （年平均上昇率＋6.5％）
役員１人あたり給与支給総額
-
（単位：千円/人） - （年平均上昇率＋5.0％）
補助事業に係る従業員数
595人 631人
（単位：人）</t>
  </si>
  <si>
    <t>リバードコーポレーション株式会社
1.⾧期成⾧ビジョン
「ヒューマニゼーション(人化)」による高付加価値化が進むペットフードをコア事業とし、ヒューマングレードの商品アソートメントを拡充するととも
に、EC中心の時代に合わせた、低在庫と適時配荷を叶えるDtoCバリューチェーンを構築して、着実に市場シェアを獲得して成⾧する。
ヒューマングレードの商品拡充 適時配荷のDtoCバリューチェーン構築 着実な市場シェア獲得
⾧期成⾧ビジョン（目指す姿・ビジネスモデル） 外発的動機
• ペットフード市場は、ペット飼育数こそ横ばいであるものの、ペットの
• 「モノ創りの力で 鳥取の潜在価値を解き放ち すべての生命へ 幸
「ヒューマニゼーション(人化)」が進むことで、年率2.9%の市場成⾧
福と感動を届ける」というパーパスのもと、ペットフード市場においても
が見込まれており、当社の成⾧余地は広がっている。
ミッション「愛する家族にいいモノを 地球の仲間にいいコトを」を実践
し、ペットフード市場への後発参入および地方企業の利点を活かし
• ペットの健康志向は高まっており、人間同様に添加物を使用しない
た新規提案型ビジネスで市場シェア獲得を加速させる。
無添加商品などがトレンドに。また、猫では腎臓病予防の観点から、
水分を多く含む液状商品（レトルト型ウェットフード）の市場が拡
• 市場ニーズを汲み取りながら、新機軸の提案型商品をタイムリーに
大中。今後も人間同様に健康にこだわったヒューマングレードのペット
提供するために、企画開発から製造・販売までを一貫して手掛け
フードが拡大していくと予想される。
る垂直統合型のペットフード製造におけるDtoCバリューチェーンモデ
ルを構築する。新たに拡充する商品群を立ち上げてから量産体制
• 当社が所在する鳥取市における2030年の労働人口は8.3万人に
に入るまでを自動化とDXで効率化をさせながらも、在庫最適と適
まで縮小する予想であり、事業継続には自動化やDXが必達となる。
時配荷を両立する次世代工場を実現する。
内発的動機
• バリューチェーンを支えるために、事業基幹システムの整備や、生産
管理・製造技術・管理部門によるバックオフィスの強化にて、包括 • 地域未来牽引企業認定を受け、2020年に工場を新築した当社
的な体制な運営体制を構築し、成⾧基盤を盤石にする。 は、健康志向ペットフードの波に乗り、年率23.3%と市場成⾧率
を上回る成⾧を実現してきた。一方で工場生産能力の頭打ちが近
会社全体(ペットフード事業) 売上成⾧目標（～30
づいており、工場拡張が喫緊の課題となっている。
年）
• 売上高成⾧率 +272.0％ • より幅の広い健康志向の提案型商品を製造する設備と、タイムリー
• 売上高増加額 +27.8億円 かつシームレスな生産供給が可能な製造流通網を構築するために
会社全体の賃上げ目標 自動化とDX化は急務となっている。
• 3.1%（直近事業年度～基準年度）
• 6.8%（基準年度～事業化報告3年目） • 年々、労働力確保が難しくなってきており、それに伴って賃金も向上
してきている。省力化と賃金を向上する体制の両立が急がれる。</t>
  </si>
  <si>
    <t>リバードコーポレーション株式会社
2.補助事業の概要
さらに広がりをみせるECビジネスおよび省在庫時代に適合したビジネスモデルへ再構築するために、新工場を核とした次世代型商
品群とDtoCサプライチェーンを構築。横断的に事業を推し進めるオペレーションズマネジメントとの掛け合わせにより、ハードウェア
(工場)とソフトウェア(オペレーション)を包含した新しい垂直統合型ビジネスモデルを実現する。
• 単なる工場投資に留めず、オペレーション部分から刷新した、DtoCバリューチェーンを実現する次
補助事業の 事業費 5,918百万円
世代型工場を建築。将来競争力を備えた次世代型製造設備を導入し、バリューチェーン以降
背景・目的 （補助額） （1,860百万円）
の需要創造までを組み込んだ、垂直統合型のビジネスモデルを再構築する。
工程や考え方自体に手を入れて、製品やサプライチェーンを再構築。それを
叶えるため、以下の設備投資に取り組んでいく。
• 既存工場(4,594㎡)横に、製造エリアを増築。増築エリアでは、新規製
品用設備を導入し、既存の商品でカバーしていないカテゴリでも売上成⾧
を目指す。
• 既存製品のキャパシティの上限も近く、既存工場のレイアウトを変更し、生
産設備を増強することにより、現状の15バッチ/日から、22バッチ/日の生
設備投資の
産が可能な体制へ。これに合わせて、ボトルネックである包装工程の自動
内容
化を進める。
• 主な設備投資内容
加熱撹拌機1台、充填機2台、Ⅹ線・ウエイトチェッカー各2台、レトルト殺菌
機1台、ローダー4台、アンローダー2台、除水機2台、袋タイプ自動包装機1
台、箱タイプ半自動包装機1台、フレーカーミキサー1台、クッキングミキサー2
台、テトラパックセミオートライン1式、マイクロウエーブ真空乾燥機1台
• 自動化に伴い、8名分の作業工数の削減、新製品ラインで、20名の新
規雇用を見込む。
項目 基準年度 事業化報告3年目
労働生産性 13,174
10,647
（単位:千円/人） （年平均上昇率＋7.4％）
目標値 従業員1人あたり給与支給総額 4,609
3,728
（単位:千円/人） （年平均上昇率＋7.3％）
役員１人あたり給与支給総額 -
-
（単位:千円/人） （年平均上昇率＋6.0％）
補助事業に係る従業員数
120 135
（単位:人）</t>
  </si>
  <si>
    <t>株式会社レクザム
1.長期成長ビジョン
エレクトロニクスを核として、お客様の立場で果敢に挑戦する「開発好奇心集団」として更なる飛躍を目指す。
ものづくりの現場でお客様とともに成長し、お客様や地域社会にとってかけがえのないパートナーであり続けたい。
長期成長ビジョン（目指す姿・ビジネスモデル） 外発的動機
• レクザム西条工場を電子回路実装基板の自動生産モデル工場に • 米国の関税政策への対応が必要。
変革して、生産コストを削減することで受注量を増加。自社生産 • 人手不足、部品価格や輸送費の値上がりなどへの対応が必要。
拠点に技術展開し、電子回路実装基板の生産・販売を増加する。 • 中国経済の混乱・減速、地政学的対立や危機管理対応が必要。
• レクザム綾歌工場の自動車用板金部品生産拡大事業で、メタル • インド・北米等のエアコン需要拡大で基板生産の安定成長が継続。
ワーキングBUの生産・販売を増加して労働生産性向上を実現。 • 自動車産業の拡大などで自動車用板金部品生産が順調に拡大。
• パッチ式脳波計「HARU-３」の病院・介護施設での活用を推進、 • 我が国の半導体戦略の推進が日本復活の成長産業になって行く。
世界最小最軽量ECMOやアイケア製品の生産・販売を増加する。 • 環境・社会・ガバナンス（ESG）課題への対応要求が強くなる。
• 超臨界流体や自然冷媒技術など半導体製造のESG課題への • サプライチェーン全体のグリーンファクトリー化の要求が強くなる。
戦略的技術を磨き、半導体製造装置の生産・販売を増加する。
• 基板外観検査装置、スキーブーツ、工業用乾燥剤、地ビールなど
自社製品の技術力・優位性を向上して生産・販売を増加する。
内発的動機
• 株主配当・役員報酬ゼロで財務強化・拡大生産の伝統を継続。
• 電子回路実装基板の自動化生産推進によるコスト低減が重要。
• 祖業ながら売上比率の低いメタルワーキングBUの生産拡大を実現、
会社全体の売上成長目標（～2030年）
事業の柱を構築して、雇用拡大を通じた地域貢献を果たしたい。
• 売上高成長率11.5％
• お客様や地域社会にとってかけがえのないパートナーであり続けたい。
• 売上高増加額100億円
• ものづくり現場の知恵を開発に反映して、お客様とともに成長したい。
会社全体の賃上げ目標
• パッチ式脳波計・世界最小最軽量ECMO等の開発生産をしている。
• 7.1%（直近事業年度～基準年度） • 次世代半導体プロセス対応の超臨界乾燥装置などを開発している。
• 11.0%（基準年度～事業化報告3年目） • もったいない精神から地ビールの麦芽滓で工業用乾燥剤を製品化。
• 自家消費型太陽光発電の設置推進で再エネ率を向上する。</t>
  </si>
  <si>
    <t>株式会社レクザム
.補助事業の概要
2
レクザム西条工場（愛媛県西条市）で「電子回路実装基板の自動生産モデル工場への変革」を実現。
自動生産（倉庫・ピッキング・搬送・実装・検査など）と生産拡大で労働生産性向上と賃上げを実現する。
補助事業の • レクザム西条工場が、電子回路実装基板の自動生産モデル工場への変革をする。 事業費 19億円
背景・目的 • 電子回路実装基板を自動一貫生産して労働生産性の向上と賃上げを実現する。 （補助額） （ . 億円）
4 5
• 自動倉庫装置、最新SMT実装ライン、後工程自動一貫生産等で
省人化を追求して、労働者不足の対応と生産拡大を実現する。
・ レクザム西条工場の３棟と電子棟に大規模設備投資を実施。
設備投資の
内容
レクザム西条工場 インバータ電子回路実装基板
2026年度 2029年度
項目
（基準年度） （基準年度＋３年後）
労働生産性 795
410
（単位：万円/人） （年平均上昇率＋24.7％）
目標値 従業員1人あたり給与支給総額 397
331
（単位：万円/人） （年平均上昇率＋6.2％）
役員１人あたり給与支給総額
（単位：万円/人） - -
補助事業に係る従業員数
102 108
（単位：人）</t>
  </si>
  <si>
    <t>岩手雪運株式会社
1.長期成長ビジョン
「小口共同配送のパイオニアとして築き上げた知見」×「北東北最大級の食品物流拠点の設置」により、
いわて花巻から地方における持続可能な食品物流モデルを全国、そして世界へ発信する。
長期成長ビジョン（目指す姿・ビジネスモデル） 外発的動機
1. 地域コールドチェーンの問題
冷凍食品市場の拡大と地方における人口減少を背景に、これまで以上
• 社会的に冷凍食品の需要が高まっている中、東北エリアの冷蔵・冷凍
に小ロット配送ニーズの高まりが見込まれ、小口共同配送に強みを持つ
倉庫が不足、老朽化も進んでおり、当社も引き受けが出来ない状況
当社が果たすべき役割は増すものと想定される。今後も食生活を支える
である。
重要なインフラであり続け、成長を続けるべく、以下の取組を推進し、
• 大手企業専用の倉庫はあるものの、当社のような複数の企業が同じ
地方における食品物流モデルを創造し、全国・世界へ発信したい。
建物内で物流スペースを共有することを前提とした倉庫がないため、
地場の中小企業が恩恵を受けられない。
1×A×B
2. 2024年問題および物流効率化法施行への対応
• 大手から小規模事業者まで利用可能な大規模冷蔵・冷凍物流セン
• 長距離輸送が前提となる東北エリアの運送会社は、物流品質の
ター（以下新センター）の建設により、地域の雇用創出と産業創出に
維持が困難となることが予想される。
貢献し、顧客と共存共栄を図る。
• 積載効率の向上、荷待ち・荷役時間の短縮が荷主と物流事業者の
2×3×A
共通で取り組むべき課題であり、対応が急務である。
• 規模の拡大により取扱量を増加させることで、小口共同配送のメリット
3. 燃料費および車両価格の高騰
を最大化させ、積載率の向上による1台当たり売上高の向上（＝投
• 軽油価格の高止まり状態が続く中、年々車両価格の値上げも続い
資の費用対効果向上）とドライバー不足解消の両軸に取り組んでいく。
ており、運送会社の収支は悪化傾向にあるため、新たな設備投資等
2×B
を控えざるを得ない環境化となっている。
• 関東・仙台・盛岡方面へのアクセスが良好な中継輸送に適した立地で
ある花巻市に新センターを設けることで、業界全体の課題である長時 内発的動機
間運行の改善に寄与する。
A) 物流業への進化⇒付加価値の提供⇒安定経営
1×A
• 単なる“モノを運ぶ”だけでなく、お客様にとって価値のあるサービスを
• 保税蔵置場の申請により荷主のコスト削減や貿易活動支援に貢献す 提供するために、運送業から物流業へ進化し、価格競争に左右され
るほか、好立地の優位性を生かし、モーダルシフトへの対応も推し進め
ず、安定した利益を確保できる企業を目指したい。これにより、将来
ることで、顧客の物流課題を解決する提案型物流業を目指す。
必要となる設備投資や人材育成にも対応できる持続可能な体制を
築いていきたい。
B) 業界イメージの向上
会社全体の売上成長目標（基準年度～31年）
• 運送業は人々の暮らしや企業活動を支える重要なインフラである一方
• 売上高成長率25.79％
で、長時間労働や人手不足といった課題も多く、ネガティブな印象を
• 売上高増加額+48億円
持たれる業界である。地域を代表する企業体へと成長し、業界イメー
ジの向上を図り、従業員・顧客満足度の高い企業を目指したい。</t>
  </si>
  <si>
    <t>岩手雪運株式会社
.補助事業の概要
2
北東北における食品物流の最適化と自社の強みである小口共同配送を最大限発揮するため、大規模冷蔵・
冷凍食品物流施設（中継拠点）を整備し、付加価値額・労働生産性の大幅な向上を図る。
• 背景・現在抱えている課題感：2024年問題を背景に、長距離輸送が前提となる東北エリアの運送 事業費 8, 百万円
569
会社は、配送ルートの根本的な見直しが必要となる中で、特に北東北エリアでは冷蔵・冷凍倉庫が （補助額）（ , 百万円）
1 975
補助事業の 不足しており、当社も同様の課題を抱えている。
背景・目的 • 目的：本センターに食品物流機能を集約化させ、小口共同配送に強みを持つ当社がリードタイムの
決定権を持つことで、同業他社を含めた配送ルートの再構築と、食品メーカーの3PL受託を拡大する。
• 設備投資の内容
1. 計画場所：岩手県花巻市山の神地区 花南産業団地B工区
2. 敷地面積：32,371㎡（9,809坪）
3. 建築面積：7,945.12㎡（2,403.40坪）
4. 容積対象床面積：15,260.84㎡（4,616.41坪）
5. 温度帯別面積：冷蔵約2,000坪、冷凍約1,500坪）
設備投資の
6. 階層・高さ：地上2階、基準階高さ8ｍ
内容
7. 駐車台数：バース接車17台、トラック66台、乗用車120台
• 設備投資の効果
1. 基準階高さ8ｍ、容積対象床面積4,616坪により、現在の花巻3セ
ンター合計面積の2倍以上の取扱量を実現できる。
2. 取扱量増加により積載率が大幅に改善することで増車・増員を現状
より抑えた上で一台当たり売上高の引き上げ（＝付加価値額・労働
生産性の向上）を行うことが可能となる。
項目 基準年度 事業化報告3年目
労働生産性 10,804千円/人
4,766千円/人
（単位：千円/人） （年平均上昇率＋31.4％）
目標値 従業員1人あたり給与支給総額 4,694千円/人
4,007千円/人
（単位：千円/人） （年平均上昇率＋5.4％）
役員１人あたり給与支給総額
-
（単位：千円/人） - （年平均上昇率＋4.6％）
補助事業に係る従業員数
306人 393人
（単位：人）</t>
  </si>
  <si>
    <t>日本毛織株式会社
1.長期成長ビジョン
日本毛織は、国内の毛織物産業が中国に依存しているトップメイキングの技術を現在でも保持している唯一の
国内企業であり、糸・毛織物の品質を左右するトップメイキング工程を構築することでグローバル競争力を強化し、
事業成長をはかる。また、羊毛トップの国内他社への供給により国内毛織物産業全体の成長に寄与する。
長期成長ビジョン（目指す姿・ビジネスモデル） 外発的動機
• 地球環境配慮・人権配慮への意識が高まっており、CO2排出量の
• 2024年11月期は、グループ全体で売上高1,154億円、営業利
削減のためにエネルギーや水資源の使用料削減が求められている。
益116億円であるが、2036年度には売上高2,000億円の企業
• 衣料繊維事業においては、衣料の50％以上が廃棄されているとの
グループを目指している。
調査結果があり、3R（Reduce, Reuse, Recycle)の取り組みに
• 衣料繊維事業では、紡績～毛織物までの一貫工程に糸・毛織
より、サステナビリティ推進が求められている。
物の品質を左右する工程であるトップメイキング工程を上流に加え
• 国内毛織物産業は、世界レベルでの競争力がない現状であるが、
ることで世界トップレベルの一貫サプライチェーンを構築し、ラグジュア
品質の高い羊毛トップを使用することで世界トップレベルの品質であ
リーブランドが求める「高いクオリティ・トレーサビリティ・人権配慮・環
る「日本品質」を武器にグローバル市場で戦えるようになる。
境配慮」に応えることで海外売上の成長を実現する。
• 国内毛織物産業は、過去には多企業により一つの製造全工程を
• また、当社がトップメイキング工程を持つことで、高品質のトップ・
を形成することで国際競争力を持っていたが、現在は上流工程の
糸・織物を尾州産地に供給することにより、ラグジュアリーブランドか
トップメイキングを100％海外に依存しており、競争力を失っている。
らの要求である高品質・サステナビリティ・トレーサビリティを満たし、
• 国内毛織物産業の維持は、当社においても重要課題である。
御幸毛織をはじめとした国内の毛織物産業、特に尾州産地の海
• 羊毛トップはその殆どを中国および台湾に依存しており、有事の際に
外競争力の増強に寄与していく。
は毛織物の国内生産ができなくなってしまう。
• 地球環境への配慮が重要となっており、CO2負荷の少ないモノづく
りと、ウール衣料の「服から服へ」の取り組みを進め、サーキュラーエ
内発的動機
コノミーの実現に取り組んでいく。
• これらを進めていくために、顧客開発、省エネ・省人化・自動化等 • 国内衣料市場が拡大しない中で事業拡大を継続していくためには
の合理化、人的資本強化への投資を積極的に進めていく。 海外での販売拡大が必須である。
• 当社の強みは国内一貫生産体制を持っていることであり、更に糸・
毛織物の品質を左右するトップメイキング工程を持つことで世界レベ
会社全体の売上成長目標（～2036年度）
ルの品質で競争力を強化することができる。
• 売上高成長率73％（CAGR5.6％）
• 当社は自社でトップメイキングを行ってきたがコストダウンのために海
• 売上高増加額846億円
外調達に切り替えた。今後成長する高品質衣料向けに「日本品
会社全体の賃上げ目標
質」復活を目指す。しかし、トップメイキング工程を構築できる人財
• 11.0%（年平均3.6%）（2024年度～2027年度） ならびに能力が今を逃すと消滅してしまう。
• 16.0%（年平均5.1%） （2027年度～2030年度） • 当社は毛織物を祖業とし、毛織物産業における第一人者であり、
国内の毛織物産業を維持・発展させていく使命がある。</t>
  </si>
  <si>
    <t>日本毛織株式会社
.補助事業の概要
2
トップメイキング工程を自社工場内に構築することにより、国内毛織物産業を世界トップクラスの品質に向上させ、海外（欧州アパ
レル等）への販売を拡大して経済成長に資する。また、年々高まるサプライチェーンのトレーサビリティ保証の要求に対応する
• 日本の毛織物業は原料のほぼすべて中国に依存しており、輸入時に原料の劣化による品質
追求への限界、トレーサビリティに限界がある。また、有事の際には原料調達ができなくなるため、
補助事業の 事業費 2 億円
自社も含め国内毛織物産業の継続のためにトップメイキング工程を構築。 6
背景・目的 （補助額） （ . 億円）
• コストダウンのために自社生産を海外調達に切り替えたトップメイキング工程を、高品質製造を 4 8
目的に再構築し、「日本品質」を武器にしたグローバル成長を実現する。
• 洗ってきれいになった羊毛を、糸にする前の準備として、毛をそろえる工
程（トップメイキング工程）を自社工場内に構築する。
• 投資：建屋640百万円、インフラ756百万円、機械1,180百万円
• 現在、日本には全くない梳毛工程を構築することで、
①輸入では輸送時のカビ対策により原料にダメージが発生するが、国内
供給によりダメージはなく原料の品質が向上し、後工程である糸製 羊を育てる 羊の毛を刈る ごみを取る
造・織物製造での歩留が向上し生産性が向上する。
設備投資の
②トップメイキング工程構築のノウハウは国内ではニッケにしかなく、非常
内容
事態が発生しても国内の毛織物産業の継続が可能なように国内競
合他社への販売を行っていく。
③品質が向上することで日本の毛織物の海外での競争力を強化できる。
④中国関係の有事やコロナ禍のような非常時においても、自社で製造
工程を保有することで事業を継続できる。 毛を洗う 毛の方向を揃える 一定の太さにして巻く
• 2013年まで自社保有のトップメイキング工程を運営・管理していた技 トップメイキング工程
術者も高齢化しており、今を逃すとこの技術が消滅してしまう。
項目 基準年度 事業化報告3年目
労働生産性 23,446
（単位：千円/人）
14,945
（年平均上昇率＋16.2％）
目標値 従業員1人あたり給与支給総額 8,424
7,029
（単位：千円/人） （年平均上昇率＋6.2％）
役員１人あたり給与支給総額
-
（単位：千円/人） - （年平均上昇率＋5.0％）
補助事業に係る従業員数
340 330
（単位：人）</t>
  </si>
  <si>
    <t>有限会社ワンプラスワン
1.長期成長ビジョン
長期成長ビジョンは物流サービスの効率化・担い手の多様化により自動車部品をはじめとした国内産業発展や
国民生活を支える。2030年度の売上高増加額3,555百万円、売上高成長率（CAGR）17％を目指す
長期成長ビジョン（目指す姿・ビジネスモデル）
外発的動機
• 物流サービスの効率化・担い手の多様化により、自動車部 • ドライバー不足：時間外労働の上限規制、ドライバーの長時
品をはじめとした国内産業発展や国民生活を支える 間拘束、過酷な作業により、ドライバーが不足している
• 原価高騰：燃料価格や人件費、営業トラックの高騰により収
⑴物流の技術革新の推進 益が圧迫されている。
・積極的な設備投資による効率化で作業環境を改善しホワ • 環境対応：取引先の指導や社会的要請からCO2排出量削
イト物流の実現、物流業界の地位向上を図る 減への対応が求められている
・デジタル技術やロボットなど先進技術を活用した省力化によ • トヨタ調達物流への対応：上記の物流を取り巻く社会的状
り、環境対応やコスト低減を図る 況から、当社の主要顧客であるトヨタグループでは物流問題解
決に向けた新たな仕組み「トヨタ調達物流」を展開しており、対
⑵トヨタグループにおけるシェア拡大 応が求めれている
・主要顧客のトヨタグループにおける当社のシェアを拡大する
・運送事業に限らず事業領域の拡大、ビジネスモデルの転換
内発的動機
により、売上、利益の成長を追求する
• ホワイト物流の実現：ドライバー不足を解消するために作業
効率化や労働時間の適正化、賃金アップを進める必要がある
⑶一般貨物の販路拡大
（※「ホワイト物流」について次ページ参照）
自動車部品への過度な依存を回避するため、一般貨物の売
• 自動車部品物流による事業発展：地域の主要産業である
上シェア確保に向けた販路を拡大する。
自動車産業において、物流サービスの受注拡大を図り、自社
の成長や地域への貢献を目指す
会社全体の売上成長目標（～2030年度）
• 売上高増加額3,555百万円（直近事業年度～事業化報告 • 経営リスク管理：過去当社は、自動車部品の依存度が高く
3年目） リーマンショックや震災による業績低迷で1業界への売上依存
• 売上高成長率 17％ （直近事業年度～事業化報告3年目 によるリスクを経験した。経営リスク分散のため一般貨物の受
のCAGR(年平均成長率)） 注により売上のバランスをとり、経営リスクを低減する</t>
  </si>
  <si>
    <t>有限会社ワンプラスワン
.補助事業の概要
2
トヨタグループの新しい物流システム「トヨタ調達物流」を担う大規模物流センターを当社が新設し賃貸、荷役や
輸送を行う新事業を開始する。それに伴う輸送事業の拡大により大規模成長を実現する
• 物流業界はドライバー不足、燃料の高騰、CO2削減などの対応を迫られている。本事業はトヨタグループ
補助事業の が新たに取り組む「トヨタ調達物流」において、当社が大規模物流センターを新設しティア1である愛知陸 事業費 3,831百万円
背景・目的 運（株）と連携し効率化に取り組むことで、物流の課題解決を実現し、自社の事業成長に繋げる （補助額）（1, 百万円）
112
• 補助事業により当社は、従来の輸送のみから物流センターの賃貸、荷役と事業領域を広げ、売上・利
益の向上により、一段上の成長を目指す。
物流センター（イメージ）
• トヨタグループの生産工場が集中する中京地区の中心であり高速道路
へのアクセスも近い愛知県みよし市に、大規模物流センターを新設する。
【設備投資の概要】
名称：みよし物流センター
建設予定地：愛知県みよし市
設備投資の
概算面積：敷地39,945㎡ 延床面積16,792㎡
内容
• 中京地区の各部品サプライヤーから部品を集荷し当物流センターで車
両生産に応じた積み替えを行いトヨタの生産工場に輸送する。
• 従来のサプライヤーが個別で輸送する仕組みから1台のトラックが集荷す
ることで輸送ルートや積載率の向上を図ることができる。
2027年度 2030年度
項目
（基準年度） （基準年度＋３年後）
（単
労
位
働
：
生
千
産
円
性
/人）
8,512千円/人
（年平
1
均
2,
上
83
昇
3
率
千
＋
円
1
/人
4.7％）
目標値 従業員
（
1
単
人
位
あ
：
た
千
り給
円
与
/人
支
）
給総額 5,629千円/人
（年平
6
均
,8
上
98
昇
千
率
円
＋
/人
7.0％）
役員１人あたり給与支給総額
-
（単位：千円/人） - （年平均上昇率＋5.0％）
補助事業に係る従業員数
150人 212人
（単位：人）</t>
  </si>
  <si>
    <t>ハムリー株式会社
1.⻑期成⻑ビジョン
■社会課題や顧客ニーズを踏まえた、⻑期的な社会への価値提供の⻑期ビジョンと売上成⻑⽬標
■⻑期ビジョン策定に⾄るまでの外発的動機、内発的動機を踏まえた、当社の持続的な成⻑への思い
⻑期成⻑ビジョン（⽬指す姿・ビジネスモデル） ■外発的動機
【社会課題からの動機】（マクロ視点）
【当社が⽬指す姿】
コロナ渦のワクチン開発において、各研究機関から試験依頼を多数受け、当社事業は社
■企業理念︓新薬開発のサポートを通じて、⼈類・社会の発展に貢献する 会資本としての役割を担うと再認識した。当社の企業理念に沿って、有事への対応が可
能な体制を整える必要性があると考えた。
■事業⽬標︓「新薬開発にかかわる分野」において、技術の研鑽に努め、
ノウハウを蓄積しつづけ、広範で⾼度な顧客ニーズに応える
【技術トレンドからの動機】（技術⾰新視点）
【当社ビジネスと補助事業遂⾏による⻑期ビジョンの概要】 現在の医薬品では治療困難な疾患に対し、「遺伝⼦治療の研究」が世界的に活発化
しており、国内の⾮臨床試験においても年率10.3%の成⻑で市場規模も1兆円に迫って
当社は医薬品分野で、開発品の安全性試験・薬理試験・動態試験、感染試験、
いる。よって当社も最新設備と⼗分な受託キャパシティを準備する必要に迫られている。
制癌試験など、「⾮臨床試験」の受託を主事業としている。それに合わせて動物販
売、飼育機器販売、他社試験施設の管理業務受託などの業務も⾏っている。 【顧客ニーズからの動機】（ミクロ視点）
医薬品の研究開発費に関して、武⽥薬品は2019年4,263億円から2023年7,299
「⾮臨床試験」また「実験⽤動物」は医療分野の技術⾰新によって需要が拡⼤し
億円へ増加し、⼩野薬品は2017年575億円から2023年度に1,122億円へ増加する
ており、当社の既存設備では⾼まる需要に対応できないため、本補助事業にて⼤規
など、開発が近年拡⼤傾向にある中、当社への委託数も年々増加しているが、当社設備
模な設備投資を⾏うと共に、各種検査・測定技術の⾼度化を実現することで、中⻑
のキャパシティの課題により現在６か⽉〜１２か⽉待っていただいている状態となっている。
期的に顧客ニーズへの対応と収益⼒強化を同時に達成し、新規雇⽤と⼤幅な賃上
げを実現する。
■内発的動機
本取り組みにより、５年後の2030年に売上⾼8,606百万円、43名の新規雇
【社会的責任】
⽤、年平均賃上げ率6.5%を⽬指す。
当社は、企業理念である「新薬開発のサポートを通じて、⼈類・社会の発展に貢献する」
事業セグメント 内容 主要顧客 構成⽐ を軸に、継続的な設備投資と⼈材教育によって、社会課題の解決に資する体制を整えて
受託試験 ⾮臨床試験の受託 国⽴研究所、学術機関、⼤⼿製薬会社 53% おく使命があると考えている。
⽣体販売 動物の販売 各研究機関 29% 本補助事業で新たな体制が整えば、ひっ迫している国内試験市場のニーズを補完すると
同時に、新規採⽤と教育で医薬品研究における未来を創ることに貢献出来ると考えている。
業務受託 他社施設管理の受託 各研究機関 11%
機器販売 動物飼育機器の販売 各研究機関 7%
【事業性の認識】
当社事業セグメントの中でも、「⾮臨床試験」を受託する受託試験の事業分野は、動物
会社全体の売上成⻑⽬標（2025年〜2030年）
⽣体を扱うことと、細菌やウイルスを扱う事業のため、参⼊障壁が極めて⾼く、また利益率も
• 売上⾼成⻑率２８２％（CＡＧＲ︓２７.６%）
⾼い。さらに上述の通り市場拡⼤も⾒込めるため、当該事業の拡⼤は当社経営基盤の強
• 売上⾼増加額５,５５８百万円
化に直結するものであると認識している。
しかしながら現状では、施設規模の課題によって年間の試験数が限られているため、⼤規
会社全体の賃上げ⽬標
模な投資によって試験数キャパシティを拡⼤する必要性に迫られている。
• 3.7%（直近事業年度〜基準年度）
よって当該分野への⼤規模投資は、投資回収の可能性が極めて⾼く、⼗分に事業性が
• 6.5%（基準年度〜事業化報告3年⽬）
⾒込める分野であると考えている。</t>
  </si>
  <si>
    <t>ハムリー株式会社
1.⻑期成⻑ビジョン
■社会課題や顧客ニーズを踏まえた、⻑期的な社会への価値提供の⻑期ビジョンと売上成⻑⽬標
■⻑期ビジョン策定に⾄るまでの外発的動機、内発的動機を踏まえた、当社の持続的な成⻑への思い
当社事業 （本事業での投資） あるべき姿 当社の価値提供 顧客ニーズ 社会ニーズ
・ 飼育施設増強 （実需） （メガトレンド）
成長（副次効果）
により、動物飼育可能数が拡
⽣体販売 武⽥薬品⼯業(株) 遺伝⼦治療への期待
⼤するため、事業規模拡⼤ ■受託試験
（動物の販売）
⾮臨床試験の提供
肝疾患研究
単⼀遺伝⼦疾患
機器販売 ※受託試験事業を （感染試験）
（飼育機器販売）
下⽀え （⾮感染試験） 中枢神経系疾患研究
⾎液疾患
■⽣体販売
⾎液系疾患研究
⾃社で新たな設
当社飼育の動物販売 眼科疾患
備を導⼊しモデル
あるべき姿 消化器系疾患研究
ケースとなることで、 ■業務委託
神経変性疾患
顧客への訴求⼒強 他社施設管理の受託
化が可能となり、飼 成長 ⼩野薬品⼯業(株)
育機器販売の販 ■機器販売 mRNA・RNAへの期待
結腸・直腸がん研究
売拡⼤が⾒込める 動物飼育機器の販売
受託試験 ⾮⼩細胞肺がん研究 がん
（⾮臨床試験受託） [百万円]
感染症
⽇本医療研究開発機構
売上 2023年 2030年
（基軸事業）
受託試験 2,262 4,980 感染症研究 その他ワクチン
（本事業での投資） ⽣体販売 1,265 2,155
・ 試験施設増強 遺伝⼦治療研究 再⽣医療
業務委託 484 895
・ ⾼度検査機導⼊
機器販売 291 575 iPS細胞由来
国内市場規模
により、顧客ニーズに応えることで
規模拡⼤と付加価値増⼤ 全体 4,302 8,606 GAGR 約10.2% 間葉系幹細胞
(2030年市場︓1兆300億)
CAR-NK
最新設備の感染実験施設
の運⽤実績によって、施設管
業務委託
理業務の熟練度が上昇し、 遺伝⼦治療を軸とする各種疾患薬の開発、mRNAワクチン、再⽣医療など、世界的な医薬
（施設管理業）
より⾼度な施設管理業務の
業界の技術イノベーションによって期待される新薬開発トレンドにおいて、国営研究機関も含めた
受託拡⼤が⾒込める。
⽇本国内事業者の研究ニーズ（試験需要・動物需要）が⾼まっている。
当社は本補助事業を通じて、中⻑期トレンドの需要に応え、⾃社の成⻑のみならず、当社企
■企業理念︓新薬開発のサポートを通じて、⼈類・社会の発展に貢献する 業理念の達成、社会貢献を⽬指す。</t>
  </si>
  <si>
    <t>ハムリー株式会社
2.補助事業の概要
■補助事業の⽬的、補助額、設備投資内容、解決する課題、労働⽣産性向上への効果
■補助事業における労働⽣産性・賃上げの⽬標値
• 市場の拡⼤によってウイルスや細菌の⾮臨床試験の依頼は増加し続けているが、当社設備の
補助事業の
キャパシティによってこれ以上の受注が困難な状況であるため、試験施設及び⽣体育成施設を
背景・⽬的
事業費 2,367百万円
増設し、顧客要求に対応する。
（補助額） （729百万円）
【動物実験・飼育施設 新築⼯事】︓約16.9億円
・ 当社敷地内に新たに実験・飼育施設を新築する
敷地⾯積（旧施設 390㎡ ⇒ 新施設 780㎡）
試験室数（旧施設 ５室 ⇒ 新施設 １５室）
飼育室数（旧施設 ６室 ⇒ 新施設 １４室）
【試験機器⼀式の導⼊】︓約4.8億円
設備投資の
・ ⾼度試験に対応可能な新試験設備を導⼊する
内容
SCV、イメージング装置、FACSレーザー解析機、IVC など
【課題解決と労働⽣産性向上の根拠】
（課題解決） ︓ 本投資によって現在当社で抱えている受注キャパシ
ティの課題を解決するため、事業拡⼤が⾒込める
（労働⽣産性）: ⾼度試験対応の機器を導⼊するため、より利益率の
⾼い試験の受注が可能となり、労働⽣産性が向上する
2027年度 2030年度
項⽬
（基準年度） （基準年度＋３年後）
労働⽣産性 1,608
811
（単位︓万円/⼈） (年平均上昇率︓25.6%
⽬標値 従業員1⼈あたり給与⽀給総額 552
457
（単位︓万円/⼈） (年平均上昇率︓6.5%
役員１⼈あたり給与⽀給総額 -
-
（単位︓万円/⼈） (年平均上昇率︓5.0%
補助事業に係る従業員数
205 227
（単位︓⼈）</t>
  </si>
  <si>
    <t>ハムリー株式会社
2.補助事業の概要
■導⼊する最新の試験機器（⼀部抜粋）
• 以下最新検査機器の導⼊によって、試験の⾼度化を⾏い、売上単価を20〜30%上昇させる。特に、需要拡⼤が⾒込める遺伝⼦治療に関連する分
野において、⾼い収益を⾒込める。これにより、労働⽣産性の向上が⾒込め、賃上げ原資とすることが可能となる。</t>
  </si>
  <si>
    <t>東海デキストリン株式会社
1.長期成長ビジョン
◼ 食品に対する嗜好の広がりに対して、加工でん粉に期待される役割は大きい
◼ 当社は国内大手でん粉事業者として、でん粉を通した食品のダイバーシティ化に貢献する
長期成長ビジョン（目指す姿・ビジネスモデル） 外発的動機
◼ 訪日・在留外国人の増加や個人の嗜好の多様化が進行するため、
◼ 食品のタイバーシティ化の実現
加工食品のバリエーションは拡大する見込み
国内における食品消費者の構造変化により、食に対
⚫
食感の好みが出身国や年齢によって異なるため、例えばホテルで
する嗜好も多様化していく ⚫
提供される食事について、客層に応じ細かな調整を加えた種類
当社は、加工でん粉が持つポテンシャルを最大限に引
⚫ を増やすことが求められる
き出し、嗜好の多様化に合わせた様々な特性をもつ
ホテルや飲食店での食事を通して、観光客の土産物としての食
⚫
食品の開発に寄与することで、「食品のダイバーシティ
品ニーズも拡大。ただしお土産用に製造されたものは味や食感
化」の実現の一翼を担う が劣り、再現性の向上が課題
日本人の消費者向けでも、冷凍食品を生の食感に近づけたいと
⚫
ビジョン実現のための戦略
いったニーズがある
新製品開発 市場浸透
内発的動機
◼ 最終製品の多様化への対応 ◼ 内製化による原価の低減
◼ 国内大手事業者として、でんぷんの付加価値向上に寄与したい
◼ アイス、グミをはじめ、でん粉を ◼ 製造キャパシティ拡張による
馬鈴薯原料の酸化加工でん粉の製造ができるメーカーも、業界
使っていなかった最終製品向 シェア拡大 ⚫
で大手とされるのは当社を含め4社
けの製品開発
加工でん粉の市場は拡大している一方、既存メーカーは工場の
⚫
排水規制等の問題により製造量を拡大できず、国内馬鈴薯原
料の製造量減少も相まって、馬鈴薯原料でも海外での生産が
大規模な設備投資によって実現
増えている
また、上記国内4社のうち2社は撤退の可能性があり、当社への
会社全体の売上成長目標（～2031年） ⚫
製造委託の相談がある
• 売上高増加額 7,781百万円
⇒当社は環境規制をクリアした用地を確保済。工場を新設するこ
• 売上高成長率(CAGR) 10.6％
とにより、国内最大手の酸化加工でん粉製造メーカーとして供給
を担う</t>
  </si>
  <si>
    <t>東海デキストリン株式会社
.補助事業の概要
2
◼ 本補助事業では、戦略の実行に必要な設備投資を行うことを想定
◼ 設備投資の実行により内製化や生産性の改善が実現され、新製品の開発余力の創出にも寄与
◼ 既存の2拠点体制では、効率性の問題もあり生産キャパシティが上限に達している。今後の事
業戦略遂行上必要である増産への対応が困難であるほか、新製品開発にむけた試験品製造
補助事業の の余裕も小さい 事業費 , 百万円
2 744
背景・目的 ◼ 本事業は、2拠点の機能を統合した新工場の新設を行うもの。生産キャパシティ・生産効率の （補助額） （ 百万円）
431
向上・外注品の内製化による収益力の強化を企図。新製品の開発リソースも確保すること
で、サプライチェーン上の事業者への貢献も実現する
中川工場
◼ 内容 中村工場
※倉庫機能が主
既存の中村工場・中川工場を統合・拡張した、新工場の建設
⚫
- 2拠点の統合により、材料や半製品の拠点間往復の無駄がゼロに。また工場
に適した立地のため、稼働時間も延長可
- 過去の設備投資の積み重ねで工場内動線にも無駄があったが、敷地の拡張
に伴う効率的なラインレイアウトを実現
設備投資の
- 上記の効果により、人的工数はそのままに、製造量を1.5倍以上に拡大可
内容
新工場
生産性向上のための機械設備投資を同時に実施
⚫ ※内部3Dイメージ
- 手作業に頼ってきた工程を自動化
- 前工程の作業待ちの原因となっていた乾燥工程について、大型乾燥機を導入
しボトルネックを解消。製造工程全体を整流化
- ヒューマンエラーの防止も同時に実現するため、品質の安定にも貢献
項目 基準年度 事業化報告3年目
労働生産性 48,228
11,134
（単位：千円/人） （年平均上昇率＋63.0％）
目標値 従業員1人あたり給与支給総額 5,838
4,833
（単位：千円/人） （年平均上昇率＋6.5％）
役員１人あたり給与支給総額
-
（単位：千円/人） - （年平均上昇率＋6.5％）
補助事業に係る従業員数
11 23
（単位：人）</t>
  </si>
  <si>
    <t>新日本電工株式会社
1.長期成長ビジョン
当社は創業100周年を機に、素材・環境分野で持続可能なソリューションを提供する企業へと進化を目指しています。
事業ポートフォリオの高度化を目指し500億円規模の成長投資を通じて、2030年に売上高1,100億円、営業利益率12.5％の達成を
目標としています。
〜 未来への挑戦 100年企業から次の100年へ 〜
2025年10月に創業100周年を迎える当社は、これまで培った技術力と信頼を基盤に、次の100年に向けて新たな価値創造に取
り組んでいます。事業の多角化や脱炭素・資源循環への対応を加速し、社会的責任と収益性の両立を図ってまいります。
長期成長ビジョン 外発的動機
• ＜資源循環型社会実現への社会的要請＞国内では埋立処分場の
• ＜社会と共に成長する企業へ＞当社は「素材と環境で人々の
(cid:7783)迫が進んでおり、焼却灰の再資源化による埋立処分回避や有
暮らしを支え、より良い未来に向かって挑戦し続ける会社」を
価金属回収など、資源循環型社会への移行が求められています。
2030年の“あるべき姿”として掲げています。社会課題の解決
自治体などからは、有害物質を完全無害化し、環境配慮とリサ
と企業価値の向上を両立することを基本方針とし、環境、資源、
イクル率向上を両立する技術への期待が高まっています。
エネルギー分野で持続可能なソリューションを提供し、安定か
• ＜脱炭素対応への圧力強化＞カーボンニュートラルの潮流の中、
つ高収益な成長を目指します。
合金鉄などエネルギー多消費型素材には、製造工程の脱炭素化
• ＜非合金鉄分野へのシフトと成長基盤の構築＞合金鉄、機能
と再エネ活用が求められ、素材サプライヤーにも環境対応力が
材料、焼却灰資源化、アクアソリューション、電力の5事業の
問われています。
領域において事業ポートフォリオの高度化を目指し、2027年
• ＜高機能素材への需要拡大＞EV普及や自動車電装化に伴い、機
には目標経常利益100億円としています。その中で、焼却灰資
能材料に対する品質・環境性・供給安定性への要求が高まって
源化事業をはじめとして、環境・機能材料分野に経営資源を投
おり、当社の非合金鉄事業の成長余地が広がっています。
入していきます。これらを2030年までに全社成長の中核事業
として確立する方針です。
• ＜実現に向けた投資計画＞2030年までに総額500億円規模の 内発的動機
成長投資を計画し、売上高1,100億円超、経常利益130億円超
• ＜創業100年企業としての責任＞2025年に創業100周年を迎え
を達成、持続的な賃上げと株主還元の拡充を目指します。
る企業として、これまで培ってきた技術を次の世代につなげ、
• ＜焼却灰資源化事業の戦略的位置づけ＞焼却灰資源化事業は、 社会に持続的な価値を提供したいという責任感があります。
当社が掲げる「循環型社会の実現」を体現する重要事業の一つ
• ＜現場実感と課題意識＞現場における人手不足や老朽設備、複
であり、補助事業による第5号電気溶融炉の建設は処理能力拡
雑化する処理ニーズなどに直面しており、既存ビジネスの限界
張の起点として社会インフラとしての役割強化につながります。
と抜本的な構造転換の必要性があります。
会社全体の成長目標（2024年〜2030年） • ＜経営判断と将来展望＞合金鉄事業に依存する体制において、
収益の不安定性や将来成長の限界を認識し、事業構造の見直し
売上高 1,100億円
が必要と判断しました。こうした課題意識のもと、変化に強い
売上高年平均成長率（CAGR） 7.2％
事業体制への転換を進めるにあたり、焼却灰資源化などの非合
売上高の増加額 376億円 金鉄分野は、社会的ニーズと収益性を兼ね備えた成長領域とし
2030年の営業利益率 12.5％ て位置づけ、中長期的な収益基盤として強化していきます。</t>
  </si>
  <si>
    <t>新日本電工株式会社
2.補助事業の概要
本補助事業では、第5号電気溶融炉および前処理プラントを新設し、処理能力と運転最適化を図ることで、2030年までに7基体
制・年間処理能力22万トンの構築を目指します。焼却灰資源化事業を全社成長の中核と位置づけ、経営利益の着実な積み上げとと
もに、2027年比で年平均賃上げ上昇率＋6.5％を実現し、持続的な給与水準向上にもつなげていきます。
＜社会・環境＞全国的に埋立処分場の(cid:7783)迫や自治体の電気溶融炉停止が進む中、本計画の「焼却灰の溶融資源化」は環
背景 境負荷低減と資源循環を両立する手法として、これらの課題を解決し循環型社会の実現に貢献することが責務である。 事業費 10,951百万円
目的 ＜成長基盤＞合金鉄事業の外部環境依存リスクを補完し、安定した複合収益構造を持つ補助事業は当社の経営資源や技 (補助額) (3,381百万円)
術を最大限に活用できる領域であり、全社の成長率・利益率を大きく押し上げる「ドライバー」となる。
※イメージ画像
＜設備投資の概要＞
鹿島工場において既存の焼却灰電気溶融炉(1号〜4号)に加え、新たに「第5号電気溶
融炉(EM5)」および「前処理プラント」を建設し処理能力拡充と運転の最適化を図る。
＜第5号電気溶融炉(EM5)の内容＞
電気溶融炉付帯設備の改良により資源化効率向上を図ると共に、既存炉との連携に
よる統合運転体制を構築し、年間処理能力を約3.2万トン増強する。あわせてDX技
EM4外観 ：炉体
術を活用し省人化と操業安定性を高めることで、将来的なスマートファクトリー化
の基盤を整える。 炉蓋部 炉底部
設備投資の ＜前処理プラントの内容＞
内容
乾燥・選別・磁選などの工程を通じて原料灰の性状を安定化させ、処理効率と装置
EM4外観 ： 炉体
寿命を向上させる。また、既存設備の改良・改善により重金属や異物除去効率を向
上させ、焼却灰処理歩留と収益性の改善を図る。 炉蓋部 炉底部
＜2030年目標に向けた本事業の戦略的位置づけと賃上げ効果＞
© 2023NipponDenkoCo., Ltd. 24
本取組は、焼却灰資源化事業において2030年までに7基体制・年間処理能力22万ト
ンの実現を目指す中長期計画の第一フェーズを担うものであり、2030年に売上高
1,100億円以上、経常利益130億円以上という全社目標の達成に向けた成長エンジン
として重要な役割を果たす。また経常利益の着実な積み上げにより、2027年比で
「+6.5％」の水準を見込む従業員賃金の持続的な引き上げにもつなげていく。
項目 2027年度（基準年度） 2030年度（基準年度＋３年後）
© 2023NipponDenkoCo., Ltd. 24
労働生産性（万円/人） 1,997 万円/人 3,167 万円（年平均上昇率 +16.6％）
目標値 従業員1人あたり給与支給総額（万円/人） 780 万円/人 942 万円（年平均上昇率 +6.5％）
役員1人あたり給与支給総額（万円/人） - -
補助事業に係る従業員数（人） 801 人 890 人</t>
  </si>
  <si>
    <t>能勢酒造株式会社
1.長期成長ビジョン
当社の成長を牽引しているリターナブル瓶ビジネスと瓶入り付加価値型炭酸飲料（OEM、アルコール飲料を含
む）のビジネスをさらに強化し、独自のビジネスモデルを進化させる。
外発的動機
長期成長ビジョン（目指す姿・ビジネスモデル） • 環境問題の中で脱プラは日本が欧州に比べて大きく遅れてい
る。マイクロプラスチックの問題等で、世界のガラス瓶の需要は
• 当社の強みであるリターナブル瓶飲料の製造販売と地域資源を活
欧州を中心に拡大中、今後もさらに拡大していく見通である。
用した地サイダー・リキュールの開発、製造事業をさらに強化し、他
にない飲料ビジネスモデルを確立させる。 その中、日本は大手飲料メーカーのリターナブル飲料の撤退な
• 今春、新しいリターナブル瓶のモデルとして、栓抜きを必要としないプ ど、海外の取組と大きく乖離している。
ルトップ型のリターナブル瓶を日本で初めて商品化した。このビジネ • その中でも、ミネラルウォーターマーケットでは、ガラス瓶入りの需
スを拡大し、ミネラルウォーターだけでなく、緑茶などの他の飲料にも
要は増えており、今後さらに拡大していくと思われる。
広げて、日本にリターナブル瓶ビジネスをリードしていく会社になる。
• 当社の取引先である良品計画（無印良品）様は、脱プラに
• 地域資源を活用した飲料ビジネスにおいても、現在約10社の取り
対する意識が高い。現在、約３０店舗で当社ブランドの商品
組み先を有しており、この10社との取り組みを強化しながら、事業
を拡大させていき、このビジネスを大きな柱に育てていく。 を取り扱っている。認証を取得することで、取り組みを深め、大
• 新工場建設により、ISO等の国際認証を取得し、現在取引中の 幅に取引を拡大できる見込みがある。
良品計画様や日本ビール、生協様との取引を大きく拡大。認証
内発的動機
取得により、環境問題に高い意識を持つ取引先を大幅に増やして、
事業を拡大させる。 地域社会への貢献に対する使命
• 当社は江戸中期創業の老舗企業であり、厳しい社会環境を
会社全体の売上成長目標（～2030年）
乗り越え、次世代に引き継いでいくことは重要な使命である。
• 売上高成長率414％
• そのため、環境負荷が低いガラス瓶を使用した飲料の販売に
• 売上高増加額23.5億円
取り組んでいる
会社全体の賃上げ目標
他社と差別化されたビジネスモデルの深化
• 0.1%（直近事業年度～基準年度）
• 21.0%（基準年度～事業化報告3年目） • 当社は炭酸飲料の製造において、独自の製法を採用しており、
看板商品である能勢ソーダはG20でも採用され、高級バーを
はじめ多くの飲食店で利用されている。瓶入り飲料ならではの
高級感、非日常的要素が、当社の商品の価値を向上し、価
格競争が中心のペットボトルとは一線を画する</t>
  </si>
  <si>
    <t>能勢酒造株式会社
.補助事業の概要
2
今後、食品衛生の意識はさらに高まることを見据えて、工場をリニューアル。同時に生産性の向上と商材の拡大
を図る。地域資源を活用した瓶入り炭酸飲料とリターナブル瓶飲料において、地域で圧倒的な企業を目指す。
補助事業の • 生産能力と衛生レベルを大幅に向上させ、関西地域で突出したリターナブル瓶ビジネスと、地域 事業費 1 5百万円
88
背景・目的 資源を活用した炭酸飲料ビジネスを確立させ、関西地域で唯一無二の飲料メーカーになる。 （補助額） （50 百万円）
7
現行の倉庫を工場に建て替えて、調合設備、充填設備を移設。一部設
備をそのままの場所で使うことで、移設期間、移設費用を抑える。
• 新工場建設（6億円、令和9年7月）
• 老朽化し不十分な衛生環境の調合室、充填室を衛生的な環境にし、
衛生認証を取得する。（JFS-B以上）
• 新規設備導入、旧設備移設一式（10.55億円）
設備投資の
• 充填ラインを増やし、新設ラインは現行の1.５倍の能力にする。
内容
• タンクの大型化、配管を更新し、衛生面の向上と省力化を実現する。
茶飲料の設備を強化し、リターナブル瓶の緑茶ビジネスを強化し、新市
場開拓に備える。
• 現行のラインもレイアウト変更し、設備を入れることで1.5倍の能力に引
き上げる。現行ライン２ラインと新ライン１ラインを合わせて２.2倍の生
産能力にひきあげる。
項目 基準年度 事業化報告3年目
労働生産性 19550
9529
（単位：千円/人） （年平均上昇率＋27.1％）
目標値 従業員1人あたり給与支給総額 4687
3873
（単位：千円/人） （年平均上昇率＋6.6％）
役員１人あたり給与支給総額
-
（単位：千円/人） - （年平均上昇率＋8.6％）
補助事業に係る従業員数
31 54
（単位：人）</t>
  </si>
  <si>
    <t>ロートニッテン株式会社
1.長期成長ビジョン
「すこやかな視界への挑戦」 という理念のもと、医薬品のみならず医療機器、コンタクトレンズ、受託事業など事業領域を広げ、
海外にも展開することで患者様や医療機関の皆様のより広い期待に応える。社会に新たな価値をもたらす社会貢献によって
持続的な発展を目指す。
長期成長ビジョン（目指す姿・ビジネスモデル） 外発的動機
「すこやかな視界への挑戦」
• 若年層からの近視の増加や高齢化により、近視の視力矯正から緑内障・ド
 当社にかかわるすべての人々の「Well-Being」を実現するため
ライアイなどの慢性眼疾患まで、眼科医療の質と量が求められている
に、事業領域を広げることで、患者様や医療機関の皆様のより広
• 医療費抑制政策や選定療養制度導入を背景に後発医薬品の需要が拡
い期待にお応えし社会に貢献
大する一方で、「安定供給」のできる企業への社会的評価が高まっている
 社会の公器として事業を通じて社会に新たな価値をもたらし、社
• 眼科疾患へは医薬品のみならず医療機器・眼科手術などでの治療も増加
会貢献によって持続的な発展を目指す
し、眼科治療方法はその選択肢が増え対応を求められている。
• 海外市場でも点眼薬や医療機器・コンタクトレンズ市場の拡大が続いて
【目指す姿】
おり、グローバル基準に適合した品質と生産体制が求められている
 ロート製薬の医療用眼科事業を担い、社会に提供する付加価
• 人々のQOL向上や「Well-Being」への社会的関心の高まりを受け、より安
値の最大化による事業拡大を目指す
全・高機能な医薬品・医療機器の提供が重要視されている
 容器技術・製剤化技術を高め、Globalでも企業価値を高めるこ
とで、医薬品・医療機器のトータルアイケアカンパニーを目指す
 医薬品事業・医療機器事業・コンタクトレンズ事業・受託事業の 内発的動機
4つの事業領域を確立し、海外展開をはかる • 1961年の創業以来、「すこやかな視界への挑戦」を理念に掲げ、眼科医
療を通じて社会に貢献することを使命としてきた
• 防腐剤無添加容器「PFデラミ®」など、患者本位の製品開発を続けてきた
会社全体の売上成長目標（～2031年3月期） 当社の技術と想いを、より多くの人に届けたい
• 売上高成長率10.2％ • ロート製薬グループの一員として、グループの眼科事業を牽引し、医療用
• 売上高増加額98億円 医薬品や医療機器の領域での社会的存在意義を高めたい
会社全体の賃上げ目標 • 自社技術（医薬品開発・容器開発・医療機器開発）を活かして、医薬
• 2.5%（直近事業年度～基準年度） 品から医療機器まで一体的する“トータルアイケアカンパニー”を目指す
• 6.2%（基準年度～事業化報告3年目）
• 利益の追求だけでなく、社員・顧客・取引先とともに社会に還元していく企
業文化を大切にしていきたい</t>
  </si>
  <si>
    <t>ロートニッテン株式会社
2.補助事業の概要
医療用点眼医薬品は最新鋭製造設備や既存ラインへの新設備導入、生産・販売管理システム入替による製造能力増強と
生産性向上を目指す。医療機器は他社製造から自社内製化による競争力の向上とコストダウンを図る。
補助事業の • 設備老朽化・キャパシティ不足を改善することによるコスト競争力向上と生産能力強化 事業費 3,304百万円
背景・目的 • より高付加価値な先発医薬品の製造可能なライン導入による利益率改善 （補助額） (809百万円)
後発医薬品の安定供給及び新事業・新市場への進出に向けた製造力強化と医療機器 長野工場
やコンタクトレンズの内製化による品質向上と競争力向上
【具体的な投資内容】
 長野工場への新製造ライン導入（26.5億円）
先発医薬品製造も対応可能な医療用点眼医薬品の最新鋭製造設備導入による新製造ラインの構築
 名古屋工場のリノベーションと新ラインの導入等（5.9億円）
• 名古屋工場は医療機器製造も対応可能な工場としての内装変更と空調設備の変更新調による医療
機器新製造ラインの構築および医療機器製造に必要な機器新規導入
設備投資の
• 在庫管理、配送業務の効率化を目指した生産・販売管理システムの入替 名古屋工場
内容
【補助事業により見込まれる効果】
• 新製造ライン構築による製造能力の倍増と生産効率化によるコスト競争力向上
• 先発医薬品製造可能化に伴う高付加価値事業領域への拡張と、より高付加価値の医療機器の製造
可能なライン導入による利益率改善
• 新システムへの入れ替えに伴うピッキング作業効率化による生産性向上
• 新たな設備投資による仕事の創出と雇用の維持、拡大
項目 基準年度 事業化報告3年目
労働生産性 17,343千円/人
8,985千円/人
（単位：千円/人） （年平均上昇率＋24.5％）
従業員1人あたり給与支給総額 7,342千円/人
目標値 6,130千円/人
（単位：千円/人） （年平均上昇率＋6.2％）
役員１人あたり給与支給総額 12,899千円/人
11,143千円/人
（単位：千円/人） （年平均上昇率＋5.0％）
補助事業に係る従業員数
280人 300人
（単位：人）</t>
  </si>
  <si>
    <t>NICHIRO株式会社
1.長期成長ビジョン
日本最古のフィルターメーカーとしてのこれまでの信用実績、開発力、技術力を基盤として、今後の環境規制と顧客ニーズ
高度化に対応する開発力、生産能力を大幅に強化し、高性能、高機能、大型高寿命フィルターのトップメーカーへ成長し、
更なる社会貢献、地域貢献を実現する。
長期成長ビジョン（目指す姿・ビジネスモデル） 外発的動機
• ユーロ6や新規規制による高性能/高効率フィルターの
• 大型フィルター製造の工場実現による、高利益率・労働
ニーズ拡大
生産性日本トップのフィルターメーカーへ
• 車体メーカーの保全技術者不足による、フィルターの高寿
• 環境規制に対応した高性能/高効率/高寿命フィルター
命化とユーザーによる交換作業＝交換作業の簡素化
の研究開発
• 生成AIビジネスによるデータセンター拡大に伴い、非常用
• 製造工程の自動化や作業環境改善により、生産性を
発電に使用されるディーゼルエンジン市場急成長
向上させると共に初心者や女性・高齢者も働きやすい工
• 電気・ガスなどエネルギー価格の高騰
場にすることにより労働人口減少に対応
• 労働人口減少による地元求人倍率の増加
• 日本最古のフィルターメーカーとして強みであるプレス加工
• 三遠南信道トンネル/リニア開通予定、長野・静岡・愛知
技術を活用した、他社が真似できない大型フィルターを
の巨大経済圏化による地域活性とビジネスチャンス
軸とした商品開発
内発的動機
• 社員の夢/目標の実現と支援
• 労働人口の減少による人財不足
• 技術者不足による自動化によるアシスト
• 温暖化による工場内労働環境の悪化
• 既存工場エリアにおける新規設備導入スペース不足
会社全体の売上成長目標
• 2030年までの会社全体の売上高増加額57億円
• 2030年までの会社全体の売上高成長率174％
2023年 2024年</t>
  </si>
  <si>
    <t>NICHIRO株式会社
.補助事業の概要
2
新工場の建設と設備投資により、大型フィルターの生産を主とした量産体制を確立
自動化・省力化による生産性/付加価値を向上させ、大幅な賃上げと働きやすい環境を実現する
■当社がさらに成長するためには、中大型エンジン分野のシェアを拡大する事が必
要不可欠だが、現在保有している生産エリア・設備では生産キャパシティ不足や効
33億円
補助事業の 率的な生産方式の整備遅れといった課題がある。 事業費
背景・目的 ■本事業を通じて、新規に生産スペースを確保するとともに他社が真似できない （補助額） (11億円)
生産体制を構築する。事業拡大を通じて継続的な賃上げと地域経済の発展に
貢献し、地域のモデル企業となる。
■大型フィルターのプレス×塗装×組立の一貫ライン
大型フィルターの増産に目的とした新工場
①従来工法に比べて生産性30％UP、生産能力
200％UP、他社が真似できない厚板(1.2㎜)
深絞りを実現、高耐久・高性能フィルターの大量
設備投資の 生産を実現
内容 ②大型フィルター用の塗装ラインを導入、自動化ライン
にすることにより高い付加価値を生み出す
③自動搬送機や自動検査装置の導入により、人的
工数の削減と生産効率向上により労働生産性を
新工場完成予定図
+35.4％に向上
項目 基準年度 事業化報告3年目
労働生産性 23,183
9,331
（単位：千円/人） （年平均上昇率＋35.4％）
目標値 従業員1人あたり給与支給総額 5,611
4,581
（単位：千円/人） （年平均上昇率＋7.0％）
役員１人あたり給与支給総額 ー
ー
（単位：千円/人） （年平均上昇率ー％）
補助事業に係る従業員数
91 118
（単位：人）</t>
  </si>
  <si>
    <t>南島酒販株式会社
1.長期成長ビジョン
沖縄に根ざした酒販業者として、沖縄県産のお酒流通の促進、社員の生活を豊かにすること、幅広いお酒の安
定供給で沖縄県民の心を満たすことで、沖縄の発展に貢献する
長期成長ビジョン（目指す姿・ビジネスモデル） 外発的動機
• 観光回復・インバウンド需要拡大により「沖縄らしさ」を体現する酒
沖縄に根差した酒販業者として沖縄の発展に貢献 類への関心が高まっている
• SDGsや地産地消志向の高まりにより、沖縄産米を活用した地域
沖縄県産のお酒流通により沖縄県経済に利益をもたらす 内製造が評価される流れ
◼ 酒類製造業は沖縄の貴重なものづくり業であり、沖縄製造業の維 • 日本酒輸出額は過去最高水準を継続し、プレミアム清酒への世
持・発展に貢献し、引いては沖縄の豊かな経済発展に貢献 界的需要が拡大
• 若年層・観光客の嗜好変化により、ストーリー性ある高付加価値
社員・その家族が豊かに健やかに暮らすことで沖縄社会に貢献
酒類の市場が拡大中
◼ 沖縄社会の一部そのものである社員とその家族が豊かに健やかに
• 沖縄県内での製造業空洞化が進む中、地場産業の維持・雇用
暮らすことで、沖縄社会を豊かに、健やかに
創出が地域経済の重要課題
消費者のニーズに応え沖縄県民の心を満たす
◼ お酒を幅広く安定的に供給することで、沖縄県民の心を満たす会 内発的動機
社であり続ける
• 「沖縄県産のお酒を流通させ、沖縄経済に利益をもたらす」という創
業理念を深化させたい
• 「社員とその家族が豊かに暮らすことが、沖縄社会全体の豊かさに
会社全体の売上成長目標（～31年3月期） つながる」との信念
• 売上高年平均成長率10.8％
• 「消費者のニーズに応え、沖縄県民の心を満たす」存在であり続け
• 売上高増加額75億円
たいという原点意識
会社全体の賃上げ目標
• 3.0%（直近事業年度～基準年度） • 「酒類製造は沖縄の数少ないものづくり産業」であり、その灯を守
り、未来へつなぎたいという責任感
• 6.5%（基準年度～事業化報告3年目）
• お酒は「人生の華」──その喜びや文化を自ら創出し、広げることで
地域と社会に貢献したい</t>
  </si>
  <si>
    <t>南島酒販株式会社
.補助事業の概要
2
沖縄県唯一かつ日本最南端で製造される日本酒の高付加価値化と量産体制整備を目的として、石垣島に日
本酒蔵を建設する
補助事業の • 沖縄県製造業の維持・発展と高付加価値領域への事業拡張による成長基盤確立 事業費 1, 百万円
071
背景・目的 • 新たに取得した日本酒製造事業の製造体制整備による高付加価値化 （補助額） (3 百万円)
57
日本酒蔵建設による沖縄唯一・日本最南端の日本酒ブランド化と沖縄産業の活性化
【具体的な投資内容】
① 酒蔵建屋建設（約5億円）
蔵内温度を一定に保つことができる冷蔵機能や徹底的に無駄を排除
した製造ライン構築が可能な日本酒蔵を石垣島に建設
② 日本酒製造設備導入（約6.5億円）
設備投資の
自動米洗機や、四季醸造用冷蔵タンク、精米所一式等を含む効率
内容
性・省人化に配慮した設備の導入
【補助事業により見込まれる効果】
• 最先端の製造方法・設備導入による日本酒の高付加価値化
新日本酒蔵のイメージ
• 高付加価値領域への事業拡張による利益率向上
• 沖縄県産日本酒のブランド化による県内消費・観光消費活性化
• 地場産業の維持・発展と沖縄における雇用創出
項目 基準年度 事業化報告3年目
労働生産性 8,839千円/人
4,733千円/人
（単位：千円/人） （年平均上昇率＋23.1％）
従業員1人あたり給与支給総額 5,318千円/人
目標値 4,402千円/人
（単位：千円/人） （年平均上昇率＋6.5％）
役員１人あたり給与支給総額
-
（単位：千円/人） - （年平均上昇率＋5.0％）
補助事業に係る従業員数
114人 128人
（単位：人）</t>
  </si>
  <si>
    <t>アサヒプリテック株式会社
1.長期成長ビジョン
貴金属リサイクルのトップ企業として循環経済の担い手となるべく、既存の事業基盤を強化するとともに新分野の
開拓と一層のグローバリゼーションを推進し、企業価値をさらに向上させることで環境課題の解決に貢献していく。
長期成長ビジョン（目指す姿・ビジネスモデル） 外発的動機
 目指す姿:環境と社会をつなぐ循環経済の担い手 • 地球温暖化や気候変動の問題等、地球規模での環境課題が叫
ばれているところであり、特にCO2削減はグローバルレベルで最重要
当社の事業領域は、現代社会が直面する二大課題「循環経済
課題とされている。当社技術を用いた貴金属リサイクルの方法によ
の構築」と「カーボンニュートラルの実現」に正面から取り組むもので
れば、鉱山探鉱による方法と比較してCO2排出量は90%以上削
ある。当社事業の発展を通じて、社会課題の解決に貢献していく。
減することが可能であり、当社事業の発展は、地球規模の環境課
題の解決に直接貢献するものである。
1. 戦略主題①:収益性を高める事業基盤強化
• 貴金属はあらゆる分野の製造工程で不可欠な材料として使用され
既存事業の収益性向上を図り、持続的成長を実現する。設備
ており、成長市場である半導体市場や水素エネルギー市場の伸長
投資を通じて新技術の導入、デジタル化を積極的に推進し、生
に伴って需要量も拡大していくことが確実視される。
産性を向上させ事業基盤を強化する。
• 一方で、こうした貴金属は産出量が少なく、希少性を有するもので
2. 戦略主題②:貴金属事業の新分野開拓
ある。また、ロシアや南アフリカ等、地政学的リスクの高い国が主要
半導体や水素エネルギー市場の伸長に伴い、今後需要の増加
産地となっているものもあり、供給が不安定にもなり得る。当社は、
が予想される白金族元素(PGM(※))分野を開拓し、成長分野
貴金属リサイクルの立場から安定供給の一翼を担い、科学技術の
に焦点を当てた事業の展開を強化する。
発展にも寄与し得る立場である。
(※)PGM: Platinum Group Metalsの略で白金族元素の総称。
3. 戦略主題③:一層のグローバリゼーション推進
アジア・北米の海外拠点の事業推進を一層強化することに加え、 内発的動機
東南アジアでの貴金属リサイクル事業の強化、新たな国・地域で
• 当社のパーパス(存在目的)として「この手で守る自然と資源」を掲
の事業展開を模索する。
げており、創業以来70年以上にわたって一貫して貴金属リサイクル
事業を手掛け、環境問題に向き合ってきた歴史がある。
• 東証プライム市場に上場している立場から、社会の公器として企業
価値を継続して向上させ続ける責務を果たす必要がある。
会社全体の売上成長目標（～2031年3月期）
• 創業以来、貴金属リサイクルというテーマは一貫しながらも、時代の
• 売上高成長率+0.8％（2025年3月期比、年平均） 変化に合わせて扱う分野・事業のスクラップ&amp;ビルドを繰り返して成
• 売上高増加額+237億円（2025年3月期比） 長を続けており、「挑戦しよう」の歴史を今後も紡いでいくことが企業
価値の向上、社会課題の解決につながると考えている。</t>
  </si>
  <si>
    <t>アサヒプリテック株式会社
2.補助事業の概要
既存工場の設備増強により需要拡大に対応するとともに、新元素への対応設備を新設することにより生産性向
上と新市場への進出を図り、資源循環の立場から安定した資源を供給することを通じて世界の発展に寄与する。
• 特に今後の需要の伸長が見込まれる白金族元素(PGM)についてケイパビリティの拡張を行うべく、基
幹工場である茨城県坂東工場にPGM精製棟を建設する。
補助事業の 事業費 6,167百万円
• PGM精製棟建設に伴い、処理能力の増強が求められる中間精製を担う各工場や試験分析機能を
背景・目的 （補助額） (1,911百万円)
担うテクノセンターの設備を増強するとともに、各拠点に生産性向上効果をもたらすシステム関連投資
を積極化し、製造工程全体で生産能力の増強と生産性向上を図る。
拠点 投資額 投資概要 投資目的
設備増強
茨城県坂東工場 4,855百万円 最終精製機能の強化 茨城県坂東工場_イメージ
PGM精製棟建設
兵庫県テクノセンター 441百万円 設備増強 試験分析機能の強化
PGM精製棟
第2期(済)
兵庫県尼崎工場 300百万円 設備増強 中間精製機能の強化 (第3期)
長野工場 150百万円 設備増強 中間精製機能の強化
設備投資の
内容 福岡工場 450百万円 設備増強 中間精製機能の強化
設備増強に応じた 業務効率化・ 第1期(済)
各拠点 1,837百万円
システム構築 生産性向上
【投資の狙い・効果】
• 希少金属のリサイクル能力増強により、世界の発展に必要な資源を提供し続ける。
• PGMを国内工場でリサイクルすることにより、資源の輸入依存を解消する。
• 環境に優しい水素エネルギーの利用促進を資源循環の立場から支える。
2028年3月期 2031年3月期
項目
（基準年度） （事業化報告3年目）
労働生産性 3,736万円/人
3,059万円/人
（単位：万円/人） （年平均上昇率＋6.9％）
従業員1人あたり給与支給総額 787万円/人
目標値 652万円/人
（単位：万円/人） （年平均上昇率＋6.5％）
役員１人あたり給与支給総額 -
-
（単位：万円/人） （年平均上昇率＋6.5％）
補助事業に係る従業員数
548人 542人
（単位：人）</t>
  </si>
  <si>
    <t>ファインプラス株式会社
1.長期成長ビジョン
車両CASE時代を支えるものづくりで、自動車産業の進化に不可欠な存在へ。日本発・世界基準の製造力で
グローバルに価値を創出する。
長期成長ビジョン（目指す姿・ビジネスモデル） 外発的動機
EV社会を支える日本の製造力で • 車両CASE化（※）によるモビリティの進展により、車載電子部
品の搭載量の増加、通信やエネルギーなどを伝える電装部品が
次世代モビリティの進化に応える
増加する
長年の自動車部品製造のノウハウを活かし
変革する次世代モビリティを支える社会的役割を果たす • 主要顧客の住友電装㈱は、『2030ビジョン戦略』として、車両ワ
イヤーハーネスの生産量の増加、コネクタやエレクトロニクス部品と
次世代モビリティを支える存在へ して電装部品の売上拡大を計画中、当社へも生産能力の拡大
を求められている
電装向けコネクタやバッテリー向け電子部品など、次世代モビリティを支
• 生産量の増加、高い付加価値を目指す為にも、自動化や自社
える製品を国内で安定供給。地政学リスク、国際競争力といった要請
のノウハウを活かした生産工程の増強が不可欠
にも応え、顧客サプライチェーンに不可欠な存在を目指す。
• 地政学リスクなどが高まる中、日本での調達による調達安定性、
製品品質への信頼からグローバル市場でも安定した需要が続く
住友電装との長期的な信頼関係を軸に成長
顧客要求、QCD提案を継続し、住友電装よりMVP評価を受賞。要
内発的動機
求に対応する製品生産を実行できる技術面や品質管理面で、“任せ
られる企業”としての信頼を築く。 • 従来の外注や手作業を主体とした体制では、車両CASE
対応製品などの高精度・複雑な成形要求に応じきれず、開
地域製造業としての価値創出と企業風土の進化 発・量産対応での機会損失が発生しつつある
関係メーカーとの協業を通じて域内での技術継承を進め、地域企業と • 属人性・検査負荷・搬送作業などがボトルネックとなり、量
の連携を深めながら、産業競争力の強化と外需の獲得を図るとともに、 産時の品質安定や利益確保が困難
国産のものづくりに誇りを持てる企業風土の醸成を目指す。
• 将来の競争力を確保するには、設備導入だけでなく、設計・
製造・検査を統合的に担える体制へと転換し、複合製品の
会社全体の売上成長目標(～2031年3月期)
一貫した内製化を実現する必要がある
• 売上高増加額 5,226百万円
• 売上高成長率 7.8％
※CASEとは、自動車業界の次世代トレンドである「Connected（接続）」
「Autonomous（自動運転）」「Shared（共有）」「Electric（電動化）」を指す総称</t>
  </si>
  <si>
    <t>ファインプラス株式会社
.補助事業の概要
2
既存敷地内に新工場を段階的に整備し、生産効率と品質を向上。本事業を第一フェーズと位置づけ、次段階
として第二フェーズへと整備を進め、新たなコネクタ部品生産とエレクトロニクス部品生産の体制構築を行う。
• 自動車業界の構造変化や人手不足の進行を受け、生産拠点を段階的に再 事業費 2 , 804 百万円
補助事業の
構築し、生産効率と品質を両立する体制を構築する。新工場を起点に、工程 （補助額） （ 697 百万円）
背景・目的
を集約した一体型の生産体制へと転換を図る。
① 補助事業全体に要する経費 3,410百万円
建設予定地
⑴新工場建設費
⑵機械、設備：成型機設備一式／自動台車(AGV等)／
生産監視システム／CTスキャン測定機／金型メンテナンス装置
※詳細は下図を参照
② 所在地：富山県滑川市追分3545番地
③ 面積：6,000㎡
設備投資の • 事業内容：
内容 本補助事業は、当社中長期計画の第一フェーズとして位置づけ、主力
拠点である滑川工場に新工場を整備する。既存の倉庫（右写真・赤
い四角の部分）を解体し、収益性の高い成形自動化ラインを導入した
省人・省力型の新棟を整備。同構成を第二（右写真、青い四角の部
第一フェーズ 第二フェーズ
分）へと水平展開し、既存工程を順次新工法に移行。将来的には他
新工場建設予定 新工場建設予定
の既存工場においてもエレクトロニクス事業向けに転用し、全社の成長 ※2027年度操業開始 ※2028年度着工予定
に寄与する拠点へと進化させる。また、成形加工工程の自動化に向け
6,000㎡の敷地に生産拠点を段階的に再構築
た機械装置やシステムの投資も同時に行う。
項目 基準年度：2028年3月期（2027年度） 事業化報告3年目：2031年3月期
労働生産性 15,439
6,499
（単位：千円/人） （年平均上昇率＋33.4％）
目標値 従業員1人あたり給与支給総額 4,483
3,743
（単位：千円/人） （年平均上昇率＋6.2％）
役員１人あたり給与支給総額
-
（単位：千円/人） - （年平均上昇率＋5.3％）
補助事業に係る従業員数
180 232
（単位：人）</t>
  </si>
  <si>
    <t>院庄林業株式会社
1.長期成長ビジョン
国産材の普及を通じて、自社の経営課題の解決と社会的な環境課題の解決を両立するとともに、次世代に
「木」という再生可能資源の価値を伝えていくことを長期的なビジョンとしている。
長期成長ビジョン（目指す姿・ビジネスモデル） 外発的動機
• 経済産業省が中心となって策定した「2050年カーボンニュートラル
1.集成材ラミナ(※)、ツーバイ材の国産化推進 に伴うグリーン成長戦略」においては、高層木造建築の技術確立や、
－本事業により、集成材ラミナの国産化（ヒノキ）を推進するとともに、 非住宅・中高層建築物の木造化促進が明記されている。このよう
国産スギのツーバイ材生産への進出を図る。これにより、国内森林 に、カーボンニュートラルの実現に向けて、木材の持つ可能性が改め
資源の有効活用とカーボンニュートラルの実現に貢献するとともに、 て注目されている状況である。
住宅品質向上に対する市場のニーズにも応えるものである。 • 放置された森林が引き起こす土砂災害や洪水などの自然災害リス
※ラミナとは、集成材を構成する挽き板または小角材のピースを指し、 クに対する社会的認識が高まっており、森林の適切な伐採および資
現在は海外からの輸入が中心である。 源としての有効活用に対して、一定の理解と支持が得られる状況と
なっている。
• 現在、集成材の原料は約80％を海外からの輸入に依存している
2.国産材を活用した新市場への進出
が、円安の進行や物流費の高騰の影響により、輸入価格は高止ま
－新市場として、国内の木造非住宅分野（主に保育園や老人ホー
りの状況が続いている。
ム）および米国を中心とした海外住宅市場への進出を図る。これ
により、長期的に縮小が見込まれる国内住宅市場への依存を低
減しつつ、新たな販路を確保することで、当社の持続的な成長と 内発的動機
国内森林資源の有効活用の両立を実現するものである。 • 当社は、創業以来一貫して木を取り扱っており、「都市に森を、森
に息吹を。」を経営理念としている。
• 世界有数の森林資源国である我が国において、伐採後の再植林
が進まず、放置された山林が増加していることを憂慮しており、「木を
会社全体の売上成長目標（～2030年12月期）
植える・育てる」事業の拡充にも注力してきた経緯がある。
• 売上高増加額 11,807百万円 (2024年12月期比)
• 国内の森林資源を有効に活用するとともに、伐採後の植林を通じ
• 売上高成長率 8.0％ (2024年12月期比、年平均)
て未来の資源を創出し、山林環境を保全すること、さらに、「木」と
いう再生可能資源の価値を次世代に伝えていくことは、木材産業に
携わる企業の重要な責務であると認識している。</t>
  </si>
  <si>
    <t>院庄林業株式会社
2.補助事業の概要
集成材ラミナの国産化推進と国産スギを用いたツーバイ材による新市場進出に向けた製造ラインを新規導入し、
同時に歩留まり率の改善と生産性の向上を図る。
【背景・課題】
• 現有設備では効率的な稼働が困難であり、歩留まり率も低いため、生産量の確保に課題がある。 事業費 4,191百万円
• 国産ヒノキラミナや国産スギを用いた製品を生産するための専用設備を保有しておらず、新たな製品展 （補助額） （1,397百万円）
補助事業の 開が制限されている。
背景・目的 【目的】
• 最新設備の導入により、生産性の向上および歩留まり率の改善を図り、生産能力の増強を実現する。
• 集成材ラミナの国産化と国産スギを用いたツーバイ材の生産を通じて、非住宅市場を中心とした新たな
市場開拓を推進する。
【投資内容】
• 撤去工事等：24百万円（申請対象外）
• 1期工事：1,795百万円（申請対象外）
－小径木製造ラインを中心とした新ライン導入。
• 2期工事：4,191百万円
設備投資の －中径木製造ラインを中心とした新ライン導入。
内容 【投資効果】
• 最新の製材設備を導入することで、最適寸での加工が可能になり、生産性の
向上が見込めるのみならず、国産材ラミナの増産、新製品の国産スギのツーバ
イ材生産が可能になる。
• 生産性に関しては、自動化・省力化機能の導入、生産品目の2拠点分業化
により、現状の工場人員よりも少ない人数でおよそ2.7倍の生産量アップを見
込んでいる。
項目 基準年度 事業化報告3年目
労働生産性 18,400千円/人
9,759千円/人
（単位：千円/人） （年平均上昇率＋23.5％）
目標値 従業員1人あたり給与支給総額 5,054千円/人 6,054千円/人
（単位：千円/人） （年平均上昇率＋6.2％）
役員１人あたり給与支給総額 37,160千円/人
31,024千円/人
（単位：千円/人） （年平均上昇率＋6.2％）
補助事業に係る従業員数
287 297
（単位：人）</t>
  </si>
  <si>
    <t>株式会社エム・ケー・ケー
1.長期成長ビジョン
旧百貨店跡を商業＋松本初の外資系カジュアルホテルへ：地域経済と観光産業の成長を支えるホ
テルとなり、松本駅前の商業・経済の再活性化を担うランドマークとなる
長期成長ビジョン（目指す姿・ビジネスモデル）
外発的動機
• 地域の衰退傾向への危機感：松本市内では駅前およびロードサイ
【外資系ホテル誘致による地域貢献】
ドの大型商業施設の閉館が相次ぎ、特に当該申請物件である旧井
松本市中心部は大型商業施設（イトーヨーカドー、松本パルコ、井上百貨店）
上百貨店の閉館は地域経済に大きな象徴的打撃を与えた
の相次ぐ閉館により、賑わいを失いつつあり、地域経済における再生が急務と
✔ イトーヨーカドー南松本店 2025年1月13日 閉店
なっている。また、都市部との賃金格差を背景に若年層の域外流出が進行して
✔ 松本パルコ 2025年2月28日 閉店
おり、地域で働き、暮らし、誇りを持てる新たな雇用環境の創出が課題となっ
✔ 井上百貨店 2025年3月31日 閉店
ている。こうした社会背景を踏まえ、当社は松本駅前の象徴的物件である旧井
• 人材流出の構造的課題：賃金水準の低さから若年層の県外流出が
上百貨店跡地において、外資系ホテルブランド「Marriott（Moxy）」を中核と
続いており、魅力ある雇用創出と人材還流、次世代を担う若手人
した新たな複合施設を開発・運営する。これは、単なる宿泊機能の提供にとど
材の確保が必要である
まらず、以下のような社会的価値の創出を目的としている。
• インバウンド市場拡大という機会：全国的にもインバウンドによ
●●松松本本市市のの国国際際的的認認知知度度向向上上、、持持続続的的ななイインンババウウンンドド観観光光のの基基盤盤形形成成 るる観観光光・・宿宿泊泊需需要要のの恩恩恵恵をを受受けけるる中中ににおおいいてて、、松松本本市市もも「「松松本本市市
●●若年層を中心とした雇用創出と地元定着を促す良質な職場環境の提供 観光ビジョン（令和6年3月版）」においてインバウンドの受け入
●飲食・小売・観光体験との融合による「回遊型観光・滞在価値の向上」 れ促進をキーワードの１つに掲げており、訪日外国人の年間宿泊
●地元企業・事業者との連携を通じた地域経済への持続的波及効果 者数においても増加の目標値を設定している
長期成長ビジョンとして中小企業庁に対して当社が掲げた100億宣言に記載の 内発的動機
とおり、2035年に全社売上100億円（年平均成長率19.66％）を目標としてい
• 自社所有の駅側真向いにある「コングロエム」においては、自社
る。今後の売上増加のメインドライバーとなるのはホテル事業（本事業）でこ
で取得後、テナント誘致に加え、自社グループでのホテル運営の
れを皮切りにホテル棟数を増やすことで売上拡大を図る。既存事業においても
実績があり、当該物件においてもホテルを核とした建物再生が可
ホテル事業とのシナジーを期待するとともに、それぞれ事業拡大を目指す。
能である
【自社ビル「コングロエム」との連動】 • ホテル業においては自社で所有、グループ会社が建物管理、清掃、
運営等のすべての経営を一気通貫で実施しており、その実績を基
駅側真向いコングロエムに入る商業テナント及びホテルエムとの融和を目指
にホテル経営の土台を新たなステージへと押し上げる
し、ホテル1Fのエキゾチックで斬新なデザインのオープンバーを有効活用し、
観光客に加えて地域住民にとっても気軽に集い、交流できる新しいコミュニテ • ホテルコンサル事業だけではなく、飲食事業やゴルフ場・ゴルフ
ィ空間の創出を目指す。また、当該物件B1にテナントの誘致を行い、当該物 練習場の運営を行っており、サービス業における知見とノウハウ
件周辺エリアへの回遊性向上を図り、一帯での経済発展を促す。 を有している
• 人材の確保においては従業員の賃上げや労働環境改善が必要と感
会社全体の売上成長目標（2025/5月期～2031/5月期） じている。当社においては人材の高齢化も進んでおり、若手人材
売上高増加額 2,325百万円（2025/5期 1,661百万円→2031/5期3,986百万円） の確保と共に業務効率化/省人化に取り組む必要がある
売上高成長率 140%（年平均成長率19.12％）</t>
  </si>
  <si>
    <t>株式会社エム・ケー・ケー
1.長期成長ビジョン 【参考資料①】名称の補足
【参考資料①】：駅側真向いに自社で保有するビルやそこで営業している施設等が本資料に登場
するため、以下資料中に登場する施設名称①～③について補足を入れた
①当該物件 ③ホテルエム
～申請する補助事業を実施する建物を指す。閉館となった旧井上百貨店の跡地を指す。松本駅から徒歩約5分程の好立地。 （上：フロント 下：客室例）
②コングロエム
～当該物件の駅側真向いに位置する当社所有の建物。当社が取得する以前の2010年までは旧井上百貨店別館であったが、2011年
に当社が建物を取得。現在はB1～2Fまでの3フロア「丸善松本店」（書店、約1,000坪）を核テナントとし、１階「代ゼミサテラ
イン予備校」、１階「Why_? 松本」（カフェ）3階「駿河屋 松本店」（ホビー関連リユース店、約300坪）、4階「ダイソー」
（100円ショップ、約300坪）、5階一部「アートネイチャー」（150坪）、5階一部および6階は自社グループで「ホテルエム」を
運営。コングロエムは現在年間約1.3億の賃料収入であり、申請時時点で建物は満室状態である。
③ホテルエム
～②コングロエム5階6階延148室（床）を持つホテル。客室タイプ（右写真）に加え、松本市初で唯一のカプセルホテルも備える
②コングロエム （外観）
①当該物件
松本駅
② ①
②コングロエム
【テナント誘致による収益期待について】
本プロジェクトは当該物件における地下1階のテナント誘致による売上期待があるが、本事業の申請時点においては、複数候補と交渉中で具体的なテナント誘致が
定まっていない。補助事業として本物件のオーナー工事は計画。ただし、当社の商業スペースリニューアルも本プロジェクトの重要案件であるため、本資料におい
ても補足的に説明を入れている。地下1階のテナント賃料で概ね年間2,500万円の売上増（賃料の性質上、ほぼ100%利益）を見込んでいる。</t>
  </si>
  <si>
    <t>株式会社エム・ケー・ケー
2.補助事業の概要
米系最大手ホテルチェーン マリオットが展開するホテルブランド「Moxy」を自社で運営し、松本
とその周辺地域の観光産業を牽引する施設へとリニューアルする
松本市内において駅前及びロードサイドの大型商業施設が相次いで閉店となる中、井上百貨店
も同様に閉店となった。長年松本市民に愛されたデパートとして地域のランドマークとなって
補助事業の 事業費 2,310百万円
いた跡地に松本市の活性化に向けてマリオットブランド「Moxy」を誘致し、外資系ホテルを自
背景・目的 （補助額） （563百万円）
社で運営。観光需要の下支えとなるだけではなく当該物件に隣接する弊社保有の商業ビル「コ
ングロエム」と一体となって地域に根付いたコミュニティーを形成していく。
■ 当該物件の建物および土地の取得
■ 建物を旧百貨店売場からホテルへと用途変更を行い、内装工事を経て客室250室の
ホテルへとコンバージョンする
■ 築年数に伴う既存設備の劣化が進んでおり、電気設備・空調設備の入替を行う
■ ホテル客室備品：マリオットブランドに即した客室内設備の取り付け
■■ レレスストトラランン・・厨厨房房・・フフロロンントト・・フフィィッットトネネススジジムム等等、、客客室室以以外外のの各各種種設設備備のの導導入入
設備投資の ■ ホテルシステム（PMS・カードキーシステムの導入・マリオット独自のシステム
内容 等 の導入）
■ 清掃ロボットやスタッフ間コミュニケーション、スタッフ育成、人手不足解消や
生産性向上につながるシステムの導入
■ ホテル開業に伴う各種設備・備品類の購入
■ マリオットとのフランチャイズ契約締結や開業のための費用
⇒本設備投資により、周辺観光産業を牽引する施設へとリニューアル。自社の事業全
体や本事業に携わるスタッフの生産性向上にも寄与する事業となる。
項目 基準年度 事業化報告3年目
労働生産性 17,774
12,537
（単位：千円/人） （年平均上昇率＋12.3％）
目標値 従業員1人あたり給与支給総額 4,914
4,000
（単位：千円/人） （年平均上昇率＋7.1％）
役員１人あたり給与支給総額 7,187
6,000
（単位：千円/人） （年平均上昇率＋6.2％）
補助事業に係る従業員数
20 46
（単位：人）</t>
  </si>
  <si>
    <t>株式会社エム・ケー・ケー
2.補助事業の概要 【参考資料②】Moxy（モクシー）についての補足
【参考資料②】当該物件に誘致するマリオットブランド「Moxy（モクシー）」について補足
● Moxyとは
今回誘致予定の”Moxy”はMarriott Group内において“Distinctive”、”Upper Midscale” と位置付けられており、”大胆で刺激的” “独自性” “遊び心溢れる”“ミド
ルラグジュアリー” といったテーマ性が設けられている。高級路線のイメージが強いマリオットブランドの中では比較的節約志向のトラベラー向けブテ
ィックホテルというコンセプトのもと、スタイリッシュなデザインとリーズナブルな価格、本格的なサービスを組み合わせた革新的なブランドして注
目を集めている。現在Moxyは京都に１店舗、大阪２店舗、東京に１店舗の4店舗を日本国内に展開。松本で国内5店舗目となる。初の地方進出としての
希少性も高い。
（本事業が成就すればマリオットブランドとしても松本市初の出店となる）
施設はカジュアルチックな内装ながらもデザイン性があり、若者やファミリー層まで幅広くカバーができる。インバウンド顧客が施設内設備として重
要視する傾向にあるフィットネスジムも松本市内で唯一完備し、外国人宿泊客の需要も取り込むことのできる施設である。また、特徴的なのがバーと
フロントを一体化することにより、ウェルカムドリンクを飲みながらチェックインをする外資系ならではのユニークなサービス。トラディショナルな
厳格な佇まいではないため、バーだけの利用ではなく、ランチや喫茶店、会議や待ち合わせなど様々な用途での利用が検討される。宿泊者だけはなく
市市民民にに対対ししててもも集集客客効効果果もも期期待待ががででききるる。。
● Marriott Bonvoyとは
Marriott Internationalが運営するMarriott会員制プログラム。全世界に2億2800万人、日本国内では430万人の会員数を誇る。宿泊数に応じて会員ステー
ジが付与され、各種無料サービスを受けることが出来る。Bonvoy会員は旅先のマリオット系列ホテルの有無を重視する傾向もあり、これまで未開拓の
マーケットからの集客を見込むことが出来る。Marriott Group自社予約サイトでは、会員価格で宿泊予約が可能。
▲マリオットブランド内における
「Moxy」のブランドポジション
▲ 客室一例（Moxy大阪新梅田）
▲Moxy大阪新梅田の外観</t>
  </si>
  <si>
    <t>株式会社ナリコマフード
1.長期成長ビジョン
高齢者向け給食サービスの需要高まりに対して、セントラルキッチン（以降CK）稼働が逼迫しているのが大きな
経営課題そこで、本事業を活用し、7拠点目となる新たなCKを立上げ、更なる需要取り込みを図っていく
長期成長ビジョン（目指す姿・ビジネスモデル） 外発的動機
• 社会的課題 ※2
• 弊社のターゲット顧客である介護食、高齢者食、病者食の調理
2024年10月1日時点において、日本の総人口1億2,380万人
品（給食・配食サービス）の市場規模は年々増加傾向にあり、
のうち、65歳以上人口は3,624万人となり、割合（高齢化率）は
2023年度において1兆5,555億円、2028年度には1兆
29.3%を占めている
7,232億円（※1）になることが見込まれる
また、少子化および医療技術の発展により、今後も高齢化率は高
まることが見込まれる（2070年における高齢化率は38.7%）
• ナリコマグループ創業当時は、各施設毎に栄養士さんが献立をつく
• 顧客ニーズ
り、パートさんが調理していましたが、味も見た目もバラつきが出てし
高齢化率の上昇による課題の１つとして、医療・介護人材の不足
まうという課題認識から、業界に先駆けて「CK」方式を導入し、現
が挙げられる。身体的負担が重いことと給料水準が低いことから不人
在は全国6拠点体制で北海道・沖縄を除く全国の施設へお食事
気職種となっている
を提供できる体制を構築
• ありがたいことに、お客様からご評価をいただき、ご契約施設数は
年々増加傾向ですが、CK稼働率が80～90%に逼迫してきてお 内発的動機
り、営業活動をセーブせざるを得ない状況 • ナリコマグループ創業者であり、竹内克成の父でもある竹内美夫が
家族で経営していた大衆食堂である日、日ごろからお弁当を届けて
• そこで、ナリコマグループのお食事をもっと多くの高齢者の方々へお いた幼稚園の理事長より、運営している福祉施設の食事提供につ
届けするために、本事業を活用し、7拠点目のCKを岡山県で立 いて相談を受けた。しかし、当時の人員体制では対応できる状況に
上げることを考えている（土地は2025年7月31日に取得済み、 無かったため、何度もお断りをしていた
現在は残置建物解体を開始） • そんなある日、その福祉施設に伺うと、施設の行事の日に、お年寄
• また、岡山CKは生産性向上を意識した設備投資を実施予定で りの方々が本当に楽しそうに食事されていて、『戦後の大変な時代
あり、生産性改善効果が確認できた後には、他CKへの横展開を に、自分を愛情深く育ててくれたおじいちゃんおばあちゃんには、苦
実施予定 労をかけっぱなしだったこんな笑顔、おじいちゃんおばあちゃんにも
させたかった…』と複雑な想いになった
会社全体の売上成長目標（～2031年）
• しかし、そこで目にしたのは、料理は全部ミキサーにかけられたドロドロ
• 売上高増加額40,088百万円
な見た目の介護食であり、
• 売上高成長率11.9％
• 『この方々は、戦後の日本の復興を支えてきた人たち、もっと目に
も舌にもおいしい、食事らしい食事を届けたい！』
※1 ㈱矢野経済研究所「介護食、高齢者食、病者食の市場実態と展望」 それがナリコマの挑戦の始まりである
※2 内閣府「令和7年版高齢社会白書」</t>
  </si>
  <si>
    <t>株式会社ナリコマフード
.補助事業の概要
2
顧客需要の急増により、全国6拠点に展開しているセントラルキッチン（以降CK)がいずれも数年以内にキャパ
オーバーとなることが見込まれるため、7拠点目となるCKを建設することで、市場シェアと利益の増大を図る
• 医療・介護施設の経営改善施策の1つとして、調理業務のアウトソースニーズが高まっている
補助事業の • ニーズ高まりにより、弊社売上は増加傾向にあるが、製造キャパが限界を迎えつつある 事業費 15, 百万円
078
背景・目的 • 岡山CKを開設し①単体CKによる生産性向上②取組の他CKへの水平展開による生産性向上 （補助額） （ , 百万円）
3 737
③CK間の生産品目組み換えによる生産性向上を見込み、溢れる需要に応えていく
【岡山CKの建設・立上げ】
• 建屋建設（11,893百万円）
4階建て延べ床面積約17,000㎡
• 生産設備（3,117百万円
生産性向上を意識した製造ラインの構築
（他CKにも順次横展開）
-入荷工程（94百万円）、仕分工程（635百万円）
設備投資の
-洗浄工程（140百万円）、調理工程（934百万円）
内容
-包装工程（505百万円）、カップ工程（809百万円）
• ソフトウェア（51百万円）・外注費（55百万円）
• メイン拠点の大阪CKで生産可能な最大食数を生産するためには、月
で約65,000時間の工数が必要となるが、
製造ラインを踏まえた工場設計及び上記生産設備を導入することで、
同一食数を月で約48,000時間の工数に短縮が可能
⇒生産性向上によるコストダウンを価格維持という形で顧客還元する
項目 基準年度 事業化報告3年目
労働生産性 12,314
7,720
（単位：千円/人） （年平均上昇率＋16.8％）
目標値 従業員1人あたり給与支給総額 6,813
5,640
（単位：千円/人） （年平均上昇率＋6.5％）
役員１人あたり給与支給総額 0
0
（単位：千円/人） （年平均上昇率＋0％）
補助事業に係る従業員数
60 178
（単位：人）</t>
  </si>
  <si>
    <t>富田薬品株式会社
1.長期成長ビジョン
熊本をけん引する企業として、九州地域に安定的に医薬品を供給することに加え、賃上げ・新規雇用を促進す
ることで、九州の医療産業・雇用創出に貢献する
長期成長ビジョン（目指す姿・ビジネスモデル） 外発的動機
物流・情報・人のネットワークで付加価値を創出し
• 高齢化社会に伴う医薬品需要の増大、後発医薬品のＧＭＰ
選ばれるヘルスケア企業になる
（適正製造規範）違反等により、供給不足問題が生じ、
安定した医薬品供給の必要性が高まっている
• 地域の医療機関・介護施設のニーズが強い医療（ス
• 高度な流通管理が必要なスペシャリティ医薬品の増加
ペシャリティ等）を提供し、地域医療連携の核となる
• 社会保障費抑制を背景とした、毎年の薬価改定により
• 医療インフラを支える一員として、医薬品を滞りなくお届 薬剤費が抑制される傾向
けできるよう物流機能の向上を図る
• 在宅医療・遠隔医療が進展する中、患者視点に立っ
た機能・システムの開発・導入を推進する
• 働き方改革を進めるとともに、研修等を通じ人材育成
内発的動機
を強化し、社員のレベルアップを図る
• 平時・有事問わず安定的に医薬品（特に今後伸長するスペシャリ
九州の医療産業・雇用創出に貢献 ティ医薬品）を供給することで地域医療連携における主要プレイ
ヤーとなり、「健康づくりに奉仕する」という経営理念を実現
• 熊本地震の際、他県への医療提供が遅れ、九州他拠点の体制整
備が必要
会社全体の売上成長目標（24～30年度）
• アルフレッサから九州におけるスペシャリティ担当を託されている。
• 売上高増加額621億円
加え、スペシャリティ専門卸 エスエムディに共同出資
• 売上高成長率5.9％
• 物流機能強化による労働生産性の向上
従業員賃上げ目標：6.5%
（基準年度～事業化報告3年目） • 熊本県第一位の売上を誇る当社が賃上げや新規雇用を促進する
ことで、地域社会をけん引する</t>
  </si>
  <si>
    <t>富田薬品株式会社
.補助事業の概要
2
物流2024年問題・薬価改定等の収益悪化リスクに備え、物流センターの増強・九州全域における物流ネット
ワーク再構築を通じて、売上高の増加・労働生産性向上による収益改善を目指す
• 物流2024年問題に伴う物流コストや薬価改定による薬剤費抑制による収益性悪化
補助事業の • シェア2位（23%）の鹿児島にて、建物の老朽化が進み、医薬品安定供給に課題 事業費 4, 199 百万円
背景・目的 （補助額） （1,3 27 百万円）
• 上記を踏まえ、物流センターの増強・九州全域における物流ネットワーク再構築が必要
【投資内容】
①1 鹿児島支店の建替、熊本八代物流センター自動倉庫用の建屋建設、
その他設備（自動入庫ライン、検品ゾーン、自家発電機）増設
（右記イメージ）：33.3億円
②2 全事業所共通システム刷新のソフトウェア費・計画策定の外注費も想定
設備投資の • 現場運用の抜本改善を目的とした管理システム（WMS）刷新：
内容 14.2億円 自動倉庫 自動入庫ライン
• 地域医療圏のPF構築を見据えた新物流ネットワーク計画※を策定：
0.5億円 ※在庫の最適化により事業拠点を絞り込む計画
物流機能を強化し、高齢化・人材確保難を見据えた省人化を図る
なお、既に発注済みのため補助対象外であるが、コンベヤ・
マテハン制御システム等の増設を実施し、労働生産性の向上に取り組んでいる
検品ゾーン 自家発電機
項目 基準年度 事業化報告3年目
労働生産性 9,005
6,833
（単位：千円/人） （年平均上昇率＋9.6％）
目標値 従業員1人あたり給与支給総額 4,842
（単位：千円/人）
4,009
（年平均上昇率＋6.5％）
役員１人あたり給与支給総額
-
（単位：千円/人） - （年平均上昇率＋6.5％）
補助事業に係る従業員数
1,269 1,269
（単位：人）</t>
  </si>
  <si>
    <t>株式会社ニシムタ
1.長期成長ビジョン
鹿児島県を主体とする南九州に営業基盤を持ち、地元の物産を主体とする地域密着型の経営を行っています。今後１０年を
展望する時、地域の少子高齢化や就労人口の減少を乗り越え、事業の拡大を図るためには営業地域を九州全域に拡大するこ
とが必要です。
営業地域の拡大に先立ち、地元南九州での事業の効率化による付加価値額の向上により、従業員に対する処遇の改善を行
います。付加価値向上策として、利益率の高い惣菜部門の生産拡充と売上向上のため、大型投資を行います。
長期成長ビジョン（目指す姿・ビジネスモデル）
• 生鮮部門における惣菜売り上げは過去５年間で1.28倍の増加 外発的動機
となっています。
• 継続する円安に伴う燃料費の高騰等や物価上昇によるコスト増に
• 惣菜協会発表による全国ベースでの売上推移を見ても惣菜市場
対応する為に、業務の効率化は最優先課題です。
は順調に成長しています。（2023年は2014年比118.6％の成
• 女性活躍時代となり、家事に割ける時間の減少傾向は今後さらに
長）。
強まると予想され、中食の利用増に伴う惣菜の需要は継続します。
• これは女性活躍社会の到来を反映したもので、この傾向は今後継
• 少子高齢化による労働人口の減少は必要人材の不足を助長する
続すると思われます。
と考えられ、設備投資による生産性向上は避けて通れません。
• この需要増に対応するためには、従来型の個別店舗ごとの惣菜製
• 人件費や材料費の高騰を販売価格へ転嫁により吸収するには他
造では付加価値向上は望めません。
社との競争上無理があり、自助努力が必要です。
• 今回計画しているセントラルキッチン工場は14店舗分を賄える生
産能力を有しており、現在の鹿児島県から南九州に展開する営
業店舗網を九州一円に拡大することを前提とした戦略的に極めて
重要な位置づけとなっています。 内発的動機
• さらにこの惣菜セントラルキッチンではＨＡＣＣＰに基づく衛生管 • 現在の店舗内作業場は売り場主体であるため狭く、製造できる品
理を取り入れます。
種も限られます。
• セントラルキッチン工場ではこれまで対応できなかった、豆腐、パンを
使った惣菜や、スイーツ等製造し高付加価値商品を製造します。
会社全体の売上成長目標 • また、個別店ごとの惣菜製造は天候によって売上げが左右され、食
（基準年度～事業化報告3年目）
品ロスが発生します。セントラルキッチン工場内に冷凍庫を設置し、
• 売上高増加額14,670百万円（863.3億円⇒1010.0億
真空冷凍による保管で食品ロスは激減します。
円）
• 個別店舗での製造で避けられない、ムダ、ムリ、ムラをなくします。
• 売上高成長率5.3％（CAGR）</t>
  </si>
  <si>
    <t>株式会社ニシムタ
.補助事業の概要
2
補助事業は、従来の小売業務から食品製造業務に進出する礎となる、付加価値を生み出す「高効率セントラルキッチン工場（仮称：日置Ｎデリカ
センターＡＮＮＥＸ）」とセントラルキッチン工場の稼働率を確保する「明和店」「吉田店」の新店舗建設です。投資額は139.9億円の大規模投資と
なります。
• セントラルキッチン工場の建設による新惣菜の提供が、高齢化、女性活躍時代に合致し、売上拡大、付加価値向上に直結します。
• さらに新設店舗の建設により、工場稼働率の向上が確保され、新事業の事業目標の達成が確実となります。
• 地元密着経営のスーパーとホームセンターを合体し、「スーパーセンター」を経営し、事業基盤
補助事業の
は確立していますが、仕入れ価格、人件費、光熱費他資材の高騰に対応する為には更なる 事業費 13, 439 百万円
背景・目的
規模の拡大が必要です。 （補助額）（ 3 , 263 百万円）
セントラルキッチン工場
金額（億円）
投資内訳 （仮称：日置ＮデリカセンターＡＮＥＸ）
合計 建物 設備 造成費用他 備考
セントラルキッチン工場 51.2 39.1 9.00 3.1 6,574.18㎡
明和スーパーセンター 38.3 34.3 4.00
Ａ棟 23.5 20.0 3.50 4,578.20㎡
明和スーパーセンター Ａ・Ｂ・Ｃ棟
設備投資の Ｂ棟 8.1 7.8 0.28 2,977.88㎡
内容 Ｃ棟 6.7 6.5 0.22 2,426.96㎡
吉田スーパーセンター 50.4 46.7 3.72
Ａ棟 31.8 28.4 3.37 9,935.00㎡
Ｂ棟 18.6 18.3 0.35 6,805.78㎡ 吉田スーパーセンター Ａ棟 吉田スーパーセンター Ｂ棟
投資合計 139.9 120.1 16.7 3.1
項目 基準年度 事業化報告3年目
労働生産性 9,837
（単位：千円/人）
3,213
（年平均上昇率＋45.2％）
目標値 従業員1人あたり給与支給総額
3,120
3,716
（単位：千円/人） （年平均上昇率＋6.0％）
役員１人あたり給与支給総額 14,360
（単位：千円/人）
12,580
（年平均上昇率＋4.5％）
補助事業に係る従業員数
106 116
（単位：人）</t>
  </si>
  <si>
    <t>株式会社日本橋冷凍手島商店
1.長期成長ビジョン
当社は、製氷会社、冷凍倉庫を含め、一気通貫して食品小売業様への「暑い世界で命を守る氷」の供給責任を全う。ライフラ
インとして必要不可欠の機能を有するサプライチェーンを全国に構築して、販売数量1億パックの安定供給を実現します。
長期成長ビジョン（目指す姿・ビジネスモデル） 外発的動機
• 「パッケージ氷」は、飲料の冷却だけでなく様々な料理提供シーン、競技・イベン
• 大手小売事業者のプライベートブランドから、飲食店利用の業務用氷まで、
トでのアイスプール等多岐にわたる使用用途があり、その市場は3.75％の伸び
お客様の「生活・食シーン」に役立つ氷で社会に貢献する。
率があり、2030年には1500億円規模に達すると予測されている。特にそのうち
• 製氷から冷凍倉庫、顧客への供給まで、当社で供給責任を果たしていく体 「袋詰め氷」カテゴリー、CVSのアイスコーヒーグラス氷については2桁成長で成長
制を強固にしながら、売上100億円企業を実現。パッケージ氷の安定供給 している。
を達成する。 • 2010年頃から記録的な猛暑がトレンドとなり、2025年には7月の日最高気温
• お客様のニーズに合わせた、飲食・飲酒シーンに使用するロックタイプ氷、水 平均が左下表のとおり、3～4℃上昇。35～36℃と生命に危険を及ぼす水準
筒・マイボトルに最適なクラッシュ氷、コンビニエンスストア(CVS)のアイスコー の暑さとなっている。40℃以上の気温が複数地域で観測され、冷却のための
ヒーグラス氷、食品保存に便利なプレートタイプ氷、現在インバウンド需要、 「命の氷」が必需品となっている。
もあり供給が逼迫し、航空会社から供給要請が来ている旅客機用氷等、 • 後継者難、資金調達余力がない中小事業者は、設備投資を行えずに淘汰さ
様々な用途、場所、時間で使用され、かつ過去に例を見ない高温な日本 れていき、緩やかな寡占化がコロナ以降急速に加速している。特に全国的に食
全国において「命を守る氷」を必需品として購入する消費行動が定着したこ 用氷の供給が可能な大手事業者としては、当社グループ以外では、２社しかな
とに対応する最適な氷を提供する。 い。
• 現在、海外コンビニエンス氷を受託生産している。その派生効果として「くま
モン氷」2万ケースのテスト販売を2024年末から開始したところ、輸出の引 内発的動機
き合いが具体的にあり、これを機にグローバル進出を目指していく。 • ㈱日本橋冷凍手島商店は1892年(明治25年)機械製氷の日本での開始と
同時に日本橋にて創業、その後法人設立等を経て、業歴133年を経過する。
• 現在は、消費者の「食シーン」を把握しながら、東日本エリアを中心に製氷子会
会社全体の売上成長目標（2027年2月期～ 社及び冷凍倉庫会社とグループを形成し、川上から川下へ一気通貫で、全国
の大手中小小売店からスターバックス社コーヒー原料氷、ハロハロ氷、空港・旅
2031年2月期）
客機搭載飲料氷、都内の飲食店に至るまで供給責任を果たしている。
• 売上高増加額 5,200百万円
• 小売業の再編が進む中、大手小売事業者からの供給量の数量増加と供給エリ
• 売上高成長率 19.5％(年平均)
アの中部・関西圏拡大及び安定供給の要請をいただいている。※別紙「参考資
料①」参照願います。
• 約20年の製氷業としてのグループ3工場の新設・増設の社内ノウハウの蓄積を
踏まえ、新たに省力化等による労働生産性を抜本的に向上し、より働きやすい
労働環境整備、雇用拡大を実現する大規模設備投資を行う機が熟している。</t>
  </si>
  <si>
    <t>株式会社日本橋冷凍手島商店
2.補助事業の概要
西日本の「命の氷」の安定的な供給体制を堅持すべく、冷凍倉庫を併設した新関西工場を新設。最新の生産ラインとして効率化を追求
し、自動化機械設備を導入、労働生産性も向上させる。
• 関西圏において中小製氷工場の廃業等により供給能力が大幅に不足していて、納入要請が多く来て
いる。顧客商品要望に対応可能な高品質でコスト競争力のある地産地消型製氷工場建設を行う。 事業費 3,435百万円
補助事業の
• 今回当社が直接投資して、前3工場でノウハウ蓄積した、環境対応型最新・最適な生産ラインを導入
背景・目的 した新関西工場を新設。需要に応えていくとともに、冷凍倉庫も新設して物流の効率化を図る。 （補助額） （1,117百万円）
• 補助事業により雇用を創出し、労働生産性を向上させ、賃上げも実現する。
• 新関西工場を新設し、西日本の供給基幹とすべく計画している。
• 今回の設備投資により新関西工場でパッケージ氷の増産が可能となる。
• 既に関東圏においては、グループ会社㈱ピュアフードサービス(埼玉県蕨市及び
東京都大田区京浜島工場)での生産で取引先への納品要望に対応し、カ
バーしてきたが、今回の工場新設により、西日本エリアにおいて、生活防衛型
消費行動のお客様にご満足いただける「EDLP氷」の地産地消型供給体制を
構築する。
設備投資の
写真等
内容
工場完成イメージ図
項目 基準年度 事業化報告3年目
労働生産性 46,797千円/人
21,000千円/人
（単位：千円/人） （年平均上昇率＋30.6％）
従業員1人あたり給与支給総額 5,185千円/人
目標値 4,000千円/人
（単位：千円/人） （年平均上昇率＋9.0％）
役員１人あたり給与支給総額 ー
ー
（単位：千円/人） （年平均上昇率－％）
補助事業に係る従業員数
2人 58人
（単位：人）</t>
  </si>
  <si>
    <t>三ッ和商事株式会社
1.長期成長ビジョン
「カカオに関わるすべての人々が幸せになるように、それをつなぐ存在でありたい」という理念のもと、高付加価値×
持続可能性」で業務用チョコレート市場の革新を牽引し、2030年までに売上高65億円を目指します。
長期成長ビジョン（目指す姿・ビジネスモデル） 外発的動機
• チョコレート製造・卸売業界においては、少子高齢化に伴う労働人口の減
カカオに関わる全ての人々が幸せになる、 少、厳しい労働環境や賃金水準、業界イメージの課題、製造工程におけ
それを繋げる会社へ る自動化の難しさなどを背景に、深刻な人手不足が続いています。
• 特に生産現場の熟練技術者や作業員、物流ドライバーの確保が困難と
• 自社の従業員だけでなく、取引先やカカオ農家を含むサ
なっており、生産能力の制約、コスト増加、従業員一人あたりの負担増加
プライチェーン全体に対し、持続可能かつ健康的な生
といった影響が顕在化しています。
活の実現に貢献することを目指します。
• カカオ生産国では、劣悪な労働環境下での不正な児童労働が国際的
• 従業員一人ひとりが楽しく充実した人生を送れるよう、残 な問題となっており、調達段階からの倫理的配慮が強く求められています。
業ゼロの職場環境づくりに取り組みます。 • このような背景のもと、当社においても持続可能なサプライチェーンの構
築、および企業としての社会的責任を果たすことが、信用維持と中長期
• 適正な賃金と労働時間の確保を実現するため、大規模
的な競争力の確保に不可欠であると考えています。
な設備投資により生産能力を拡充し、利益率と利益総
額の向上を図ります。 内発的動機
• 当社のロゴには、「カカオに関わるすべての人々が幸せになるように、それ
• 今回の工場新棟の建設および製造設備の導入により、
をつなぐ存在でありたい」という理念が込められています。カカオビーンズ型
矢板市における新たな雇用創出に貢献するとともに、直
の4つのマークは、「製造・物流・販売・消費」の4業態を表し、それらを循
売店を併設することで、地域住民がチョコレートを通じ 環的に結びつけることを当社の使命としています。
て幸せを実感できる事業展開を目指します。
• この理念は、当社の代表がカカオ農園を訪れ、児童労働や教育機会の
欠如といった課題に直面した体験に基づいています。チョコレートが生産
会社全体の売上成長目標（～2030年度） 者の犠牲の上に成り立つのではなく、すべての関係者が健やかに生活で
きる産業であるべきとの想いが出発点です。
• 売上高目標6,526百万円（最新決算期2,427百万円）
• また、代表自身が前職で長時間労働を経験したことから、従業員が安心
• 売上高増加額4,099百万円 して働ける職場づくりを重視し、残業ゼロを目指しています。
• 売上高成長率17.9％ • 加えて、シャープ矢板工場閉鎖に伴う雇用減少を受け、地域との共生を
図る新たな事業展開に取り組む決意を固めています。</t>
  </si>
  <si>
    <t>三ッ和商事株式会社
.補助事業の概要
2
高効率生産ラインと生産管理システムの導入により、省力化と生産能力の飛躍的拡大を実現。従業員をより付
加価値の高い業務に再配置することで、労働生産性と1人当たり給与支給総額の大幅向上を目指します。
受注増加により生産能力が限界に達し、柔軟な対応や新規案件への対応に支障が生じています。
補助事業の 事業費 2, 686 百万円
加えて、チョコレート市場成長の追い風を受け、安定供給と品質向上が急務です。新工場の建設
背景・目的 （補助額） （766百万円）
を通じて、供給能力と生産性を強化し、持続的な事業成長と地域貢献を実現します。
• 矢板第1工場に隣接する敷地に、新たに延床面積約1,000坪の矢板
第2工場を建設し、大規模なチョコレート製造設備を導入します。
• 生地製造（白・黒）・成型（レイヤーライン・チョコチップライン）・包装
までの一連ラインを対象に、新規設備を順次導入します。
• 黒生地製造では、主要設備を従来のリファイナーコンチェからロールリ
ファイナーに更新し、生産能力（日産2t⇒8t）と品質（生地の微 工場完成イメージ（第1工場の写真です）
設備投資の 細化・均質化）を大幅に向上させます。
内容 • 整列機能を備えた新型レイヤーラインの導入により、後工程の箱詰め
要員を6名から2名に削減し、省力化と生産性を両立させます。
• チョコチップやキューブチョコ製品についても、充填・冷却・包装までを一貫
で処理する自動計量機能付きの新型包装機を導入し、少量多品種
対応、品質安定化、納期短縮を実現します。
• 工場の生産工程全体を統合する生産管理ソリューションを導入し、原
料・生産・在庫・指示・実績の一元管理体制を構築します。 ロールリファイナー レイヤーライン 自動包装機
項目 基準年度 事業化報告3年目
労働生産性 14,093
6,537
（単位：千円/人） （年平均上昇率＋29.2％）
目標値 従業員1人あたり給与支給総額 3,986 5,022
（単位：千円/人） （年平均上昇率＋8.0％）
役員１人あたり給与支給総額 -
-
（単位：千円/人） （年平均上昇率＋6.0％）
補助事業に係る従業員数
60 120
（単位：人）</t>
  </si>
  <si>
    <t>株式会社山本製作所
1.長期成長ビジョン
• 日本の業務用洗濯機メーカーとして「Made in ONOMICHI」の技術と品質を活かし、世界市場で競争力の
ある製品を製造・提供することで売上を拡大し、ステークホルダーに貢献することで愛される企業を目指す
長期成長ビジョン（目指す姿・ビジネスモデル） 外発的動機
【目指す姿・ビジネスモデル】 「持続可能な社会」の達成に向けて
• 世界中において、SDGsの達成が最重要課題として認知されつつ
『喜びにあふれた未来の創造をめざして』
ある。商品の廃棄をなくし、「持続可能な社会」達成に向けて、
尾道から世界的な洗濯機メーカーとなることで、地域の発展
「壊れにくい」「壊れても部品を交換することで永久に使える」当社の
に貢献し、長年の夢である「尾道を洗濯機の街に」を実現 製品に対する評価がより高まっている
世界的な需要の高まり
【ビジョン(指針)】
• コロナ禍を経て、世界的に衛生意識が飛躍的に高まっている。特に
お客様の信頼に応える、“FOREVER MACHINE”の
1 医療や介護分野では厳格な衛生基準の遵守が求められ、業務用
モノづくり精神
洗濯機への投資が増加している
最大の特長は、98%を誇る純正部品の驚異的な内製化率 • また、都市化やライフスタイルの変化による時短ニーズの高まり等
堅牢かつ高品質への妥協のないこだわりと、純正部品の半永久的な から洗濯のアウトソーシング需要が拡大している
供給により、長い期間、高い性能で使える製品を提供する
内発的動機
クリエイティブな製品と、圧倒的な品質を究め、お客様に
2
尾道市での製造のこだわり
寄り添ったサービスの提供で世界へ！
世界中の多様な文化や習慣を持つお客様のニーズ対応し、唯一無二 • 尾道に集うことで従業員間の密なコミュニケーションが生まれ、スピー
の製品・サービスを提供することで、メーカーとしての本分を遂行し、求め ド感のある開発や品質向上に寄与する他、「人本経営」 の経営
られる企業を目指す 理念にも繋がる
• また、競合他社の多くが外国資本参加となる中、当社が地元尾道
3 「ライフタイムコスト」でリーズナブルな製品提供
から、『Made in ONOMICHI』で日本のモノづくりを貫き続けること
高い内製化率を強みに、部品を安価に安定供給し続けることで、長期
が使命と感じている
使用による更新を含めたコスト削減と環境負荷の低減を実現する
海外市場における成長戦略
会社全体の売上成長目標(2024～2030年度)
• 現社長は就任直後より、国内はもとより海外での事業拡大こそが
売上高増加額：93.74億円 持続的成長に繋がると考え、積極的に海外の製品販売に注力
売上高成長率：CAGR（年平均成長率）16.7％ • 当社製品に対する評価や認知度の高まりを最高の契機と捉え、
海外向け製品の生産能力を強化し、更なる成長を目指す</t>
  </si>
  <si>
    <t>株式会社山本製作所
.補助事業の概要
2
• 製造設備の導入により、①大型機種対応 ②労働生産性向上 ③海外向け製品開発の強化を実現
• 『Forever Machine』という国際的な評価のもと、成長スパイラルを築きあげ、更なるグローバル展開を加速させる
【背景】 (1) グローバルで持続的な成長を目指す中、既存工場では生産能力の限界が近づいている
(2) 海外市場での成長戦略の実現に向け、各国の規格等に応じた製品開発が必要不可欠
, 百万円
補助事業の 事業費 1 962
【目的】 (1) 大型機種対応・労働生産性向上：高い内製化率と一貫生産体制を継続し、 （6 百万円）
背景・目的 （補助額） 40
「競争力のあるリーズナブルな価格」を大前提とした増産体制
(2) 開発力の強化：海外の規格やニーズ等に、お客様に寄り添った製品開発体制を整備
【設備投資内容】 尾道市内の本社工場（西工場・東工場）及び山波工場へ、最新の製造設備等を導入
主な機械装置 取組内容
機械装置(ターニングセンター他) 国内外向け、大型機種対応と生産量増加に対応
製造部 生産効率向上・適正在庫管理・生産量増加への対応に向け、
ソフトウェア
ネスティング時間削減
設備投資の 機械装置(設計試験場他) 海外向け試験場、EMC試験場
設計部
内容
ソフトウェア 部品注文対応の効率化を実現
①大型機種対応 ②労働生産性向上 / 本社東工場・西工場
• ターニングセンター等を導入し、増産体制の構築と大型機種への製造に取り組む
• 自動化設備の導入により、労働生産性を向上させる
③海外向け製品開発の強化 / 山波工場
• 海外向け製品の試験場を設け、各国の規格等に応じた製品開発を加速させる 【本社東工場・西工場】 【山波工場】
項目 基準年度 事業化報告3年目
労働生産性 17,566
6,739
（単位：千円/人） （年平均上昇率＋37.6％）
従業員1人あたり給与支給総額 5,808
4,808
目標値 （単位：千円/人） （年平均上昇率＋6.5％）
役員１人あたり給与支給総額
-
（単位：千円/人） - （年平均上昇率＋6.0％）
補助事業に係る従業員数
245 270
（単位：人）</t>
  </si>
  <si>
    <t>1.長期成長ビジョン
鉛の二次精錬業に従事してきた日本海精錬。廃バッテリーのリサイクル率90%以上を目指し、当社は本事
業をもって新たな素材のリサイクルに着手する。循環社会の実現に貢献するとともに生産余力を拡大し売上
を倍以上に拡大、環境面からも経済面からも地域と日本の未来を創っていく。
長期成長ビジョン（目指す姿・ビジネスモデル）
外発的動機
鉛バッテリーリサイクル率90％以上
循環社会への貢献 制度・政策による再資源化の義務化
2022年施行の「プラスチック資源循環促進法」やバーゼル法対応を背景に、企業
当社は、鉛バッテリーに含まれる鉛・ポリプロピレン（PP）・電解液などを可能
には法的責任として再生材の活用・廃棄物削減が求められている。加えて、経済
な限り再資源化し、リサイクル率90％以上を目指す。主力の鉛精錬事業に
産業省のグリーン成長戦略でも、再資源化やサーキュラーエコノミーへの対応は、
加え、PPの再生ペレット化にも着手し、廃棄物ゼロ・収益多層型の循環体制
今後の企業成長に不可欠なテーマとなっている。
を構築。これにより、資源循環と収益の両立を実現し、2030年までに売上高
100億円規模の達成と、地域社会・環境に貢献する持続可能な企業への
鉛バッテリー・PPの再利用化としてのニーズ拡大
成長を目指す。
鉛蓄電池市場はEV・再エネ需要を背景に安定成長を続けており、一方で再生
社会・地域への波及効果 PP市場は高グレード化・トレーサビリティ重視が進んでいる。こうした流れの中で、
再生材としての再利用化が求められている。
鉛・PP・バッテリー液を一体で再資源化することで、従来廃棄されていた資源
を再活用し、循環型社会の実現に貢献。再生素材は自動車や物流など環
境配慮型産業に供給され、ESG調達にも対応する。処理能力の拡大により
地域での新規雇用も創出し、環境・経済の両立による持続可能な地域産業 内発的動機
モデルの確立に寄与する。リサイクル拠点として地域内外からの資源受け入れ
体制も強化される。
既存事業の限界と収益構造の見直し
当社は鉛精錬事業に特化し成長してきたが、原料価格の高騰や仕入競争の激
今後のターゲット市場・展開
化によって、鉛単体では収益安定が難しくなりつつある。当社の主力事業である鉛
今後は、再生PPを高機能素材として自動車部品・物流資材市場へ供給し、 精錬をさらに強化し、長期的な競争力と生産余力を維持させる必要性を強く認
高単価帯の製品として販売拡大を図る。また、既存の鉛精錬設備を増設・ 識している。
自動化し、精錬能力を250トン/日まで拡大。中期的にはポリエチレン
（PE）や電解液の再生にも取り組み、将来的にはバッテリー構成素材の 未活用資源（PP）の存在と構造転換への意志
90％以上の再資源化の実現を目指す。
長年、廃バッテリー由来のPPを外部委託処理してきたが、一貫体制を持つ当社こ
そがこの未利用資源を活用すべきとの認識に至った。内部資源を活かした収益化
会社全体の売上成長目標（～2029年6月期）
と、循環型事業モデルへの転換が今こそ必要だという会社としての強い危機感と意
• 売上高増加額8,600百万円 ※対基準年度 志がある。さらに精錬能力を増強し、現行の2.5倍を目標に生産余力を持つ意志
• 売上高成長率223％ ※対基準年度 がある。</t>
  </si>
  <si>
    <t>日本海精錬株式会社
.補助事業の概要
2
本補助事業は、鉛精錬を主力とする当社が、原材料価格高騰や仕入競争激化に直面する中、安定的かつ持続可能な経営基盤を構築することを目的とした成長投資です。
廃バッテリーから排出されるPPを自社内で再生・販売可能とするリサイクル体制の新設と、鉛処理能力を2倍に高めるキュポラ増設を柱に、処理体制と収益構造を抜本的に強化
します。これにより、最大売上140億円、資源循環・CO2削減などの社会的貢献も見込まれます。
当社は、鉛精錬を主力とするリサイクル企業として、近年の原材料価格の高騰や仕入競争の激化といった経営環境
の変化に直面しています。特に、鉛原料となる廃バッテリーの調達においては、価格上昇に加え他社との買付競争が
補助事業の 激しく、安定的な仕入れと処理能力の強化が急務となっています。また、持続可能な事業運営と循環型社会への貢 事業費 1 , 515 百万円
背景・目的 献を両立するには、鉛以外の収益源を創出し、全体の経営基盤を強化する必要があります。そこで本補助事業では、 （補助額） ( 499 百万円)
未利用資源であるポリプロピレン（PP）の再資源化と、鉛処理能力の倍増という2つの投資を軸に、成長のため
の基盤整備を進めるものです。
＜事業の概要＞
本事業では、大きく2つの投資を柱とします。第1に、廃バッテリーから排出されるPPを自社
内で再生ペレット化する体制を構築します。具体的には、洗浄・乾燥ラインや造粒機、異
物除去設備などを導入し、選別から加工までを一貫して行える生産体制を整備します。
第2に、現在の鉛精錬処理能力（120t/日）を倍増させるべく、新たにキュポラ（立
炉）を1基増設し、関連する排ガス処理装置（2次燃焼炉・脱硫塔・集塵機等）もあ
設備投資の わせて導入します。さらに、これらの投資を計画的に推進するため、PDCAサイクルに基づく
内容 KPI管理体制と、製造・営業・保全部門を横断するプロジェクトチームも編成し、設備の
円滑な導入と早期の安定稼働を目指します。
＜効果＞
本補助事業の実施により、当社の年間売上は現状の約60億円から、最大で140億円規模への拡大が期待されます。PPリサイクルによる新たな
年間収益（約1.5億円想定）は、鉛原料の仕入資金として再投資され、原材料調達の安定化に寄与します。これにより、鉛精錬の稼働率も向
上し、全体の生産性と利益率が改善されます。また、これまで廃棄せざるを得なかった資源の有効活用が可能となることで、CO₂排出の削減やプラ
スチック循環の実現など、環境・社会面においても高い付加価値をもたらす事業となります。
項目 基準年度 事業化報告3年目
労働生産性
18,619
61,917
（単位：千円/人） （年平均上昇率＋49.3％）
目標値 従業員1人あたり給与支給総額 6,370
（単位：千円/人）
5,353
（年平均上昇率＋6.0％）
役員１人あたり給与支給総額
-
（単位：千円/人） - （年平均上昇率＋6.3％）
補助事業に係る従業員数
31 37
（単位：人）</t>
  </si>
  <si>
    <t>日本海精錬株式会社
.補助事業の概要
2
当社は廃バッテリー解体時に発生するポリプロピレン（PP）を未利用のまま廃棄していたが、再生プラスチック市場の拡大と高単価化を受け、新たな収益源とし
て再資源化に取り組む。補助事業では①再資源化設備の導入、②解体から製品化までの一貫処理、③PP収益を活用した鉛原料の仕入強化を柱とし、1.5
億円の売上増と8,000万円の再投資を見込む。これにより、循環資源の活用と調達力強化の両立を図る。
再生PP設備導入による調達力と収益性の強化
当社では、廃バッテリーの解体工程において発生するポリプロピレン（PP）を、これまで有効活用できずに廃棄してきました。しかし、近年は再生プラス
補助事業の チックへの需要が高まり、特に中～高グレードの再生PPは、自動車・物流分野を中心に高単価で流通しており、未利用資源としての価値が大きくなって
背景・目的 います。本事業では、こうしたPPを再生・販売可能な状態に加工し、事業化することで新たな収益源を確保します。これにより、鉛事業単独に依存する
経営構造から脱却し、原料価格の変動リスクを緩和するとともに、循環資源の有効活用による社会的要請にも応える体制を構築します。
① 再資源化ラインの設備導入 ② 解体から製品化までの一貫処理 ③ PP収益による買付力の強化
廃棄BT買取価格推移（弊社実績）
120
100
80
60
40
設備投資の 20
0
内容
PPリサイクルの実現に向けて、PP造粒機、洗 廃バッテリーの解体工程からPP原料の選別・回 再生PPペレットによって得られる収益の一部を、
浄ライン、乾燥設備、異物除去装置など、再 収・洗浄・再成形までを、すべて自社内で一貫し 鉛事業における廃バッテリーの買付資金へ再
資源化に必要な設備一式を導入します。これ て処理できる体制を構築します。社外委託を排 投資します。これにより、価格競争が激しい原
により、廃バッテリーから排出されるPPを高品質 除し、製品品質の安定化、歩留まり向上、ト 料市場でも、柔軟な買付対応が可能となり、
な再生ペレットとして製品化するための物理的 レーサビリティ確保につなげます。 安定的な仕入体制の維持に貢献します。
インフラを整備します。
本投資により、再生PPペレットの年間生産・販売によって約1.5億円の新たな収益を見込んでいます。そのうち約8,000万円を、鉛事業における原料調
見込まれる 達資金として再投資し、仕入競争力の強化に直接活用します。また、従来は廃棄されていた資源を再利用することにより、プラスチック資源循環促進法
効果 への対応を強化し、環境配慮型の事業運営を具体化することができます。これらにより、収益基盤の拡充と環境価値の創出を同時に達成する構造が
構築されます。</t>
  </si>
  <si>
    <t>日本海精錬株式会社
.補助事業の概要
2
現在の鉛精錬処理能力（120トン/日）では、今後の仕入量拡大に対応しきれないため、本事業では新たにキュポラ1基を増設し、処理能力を250トン/日へと
倍増させる。加えて、排ガス処理装置として2次燃焼炉・脱硫塔・集塵機などの環境対応設備を導入し、環境規制や地域住民への配慮にも対応する。さらに、
PPリサイクルによる収益を原資に安定的な仕入を実現し、精錬能力と調達力の両面から生産基盤を強化する。
新キュポラ導入による鉛処理能力の強化
現在、当社の鉛精錬工場では1日あたり最大120トンの処理が可能ですが、今後の仕入量拡大や事業成長を見据えると処理能力がボトルネックとな
補助事業の りつつあります。廃バッテリーの安定調達に加え、既存精錬能力の限界を突破し、より効率的に鉛製品を生産するためには、設備増強による処理体制
背景・目的 の再構築が不可欠です。本事業では、1日250トン体制の確立を目指してキュポラ（立炉）の増設を実施し、売上・収益の最大化と生産基盤の強
化を同時に実現することを目的としています。
① キュポラ増設による処理能力の強化 ② 環境対応型設備の導入による脱炭素化 ③ 処理能力の向上
設備投資の
内容
鉛処理能力の倍増を実現するため、新たに1 増設にあわせて、排ガス処理設備として、2次燃 新たなキュポラの導入により、鉛の精錬処理
基のキュポラ（立型立炉）を増設します。これ 焼炉、脱硫塔、環境対応型の集塵機を導入し 能力は従来の120t/日から250t/日へと大
により、現状120トン/日の精錬処理能力を、 ます。これは大気汚染防止法や自治体の環境 幅に向上し、仕入拡大にも対応可能な生産
250トン/日規模へと大幅に拡張します。処理 規制への適合を図ると同時に、CO₂排出量削 体制を確立します。また、稼働初期には仮運
量の限界を突破し、仕入量の拡大に対応でき 減・地域住民への配慮といった社会的責任にも 転期間を設定し、現場オペレーターの訓練や
る生産基盤を構築します。 応えます。 不具合の事前検証を通じて、設備の早期安
定化と生産効率の最大化を図ります。
キュポラ増設により、鉛精錬の処理能力は従来の約2倍となる1日250トンへと拡大します。これにより、増加する仕入量に対しても滞留なく処理が可能
見込まれる となり、売上規模も最大140億円規模まで成長が見込まれます。さらに、運転効率の向上により、人員あたりの付加価値額が上昇し、生産性の大幅な
効果 改善が期待されます。また、処理能力に余裕が生まれることで、廃バッテリーの仕入判断に柔軟性が増し、リードタイムの短縮や在庫の適正化といったサ
プライチェーン全体への波及効果も見込まれます。</t>
  </si>
  <si>
    <t>株式会社トノックス
1.長期成長ビジョン
未来の移動を支える、信頼の車体製造・車両架装技術で社会に貢献
長期成長ビジョン（目指す姿・ビジネスモデル）
外発的動機
1. 「未来のモビリティインフラを支える架装技術パートナー」へ進化 1．高齢化社会と過疎化
トノックスは「架装の技術と信頼」において国内外で確固たる地位を築いてい 高齢化と過疎化が進む中、移動手段の提供が重要な課題となっています。地
域MaaSの需要が増加しており、地域社会に適したモビリティソリューションが求め
ます。今後は、EV・自動運転車両など設計・製造から法的適合・整備まで
られています。
の最適な架装ソリューションを提供する“モビリティの縁の下の力持ち”として、
2．災害の頻発 自然災害が頻発し、迅速な対応が求められています。
モビリティ社会の基盤を担います。
災害支援用車両や防災拠点となる架装ユニットの需要が高まっており、トノックス
の技術が社会的に重要な役割を果たすことが期待されています。
2. 「自社ブランド製品の創出と拡大」
３．カーボンニュートラルと環境意識の高まり
OEM向け受託製造に加え、自社ブランドによる特装車やモビリティ関連機
環境への配慮がますます重要視されており、電動化や再生可能エネルギー対応
器の開発・販売を強化し、収益の多角化を図ります。例：小型EVモビリ
車両の需要が高まっています。これに伴い、EVや環境に優しいモビリティ関連機
ティ、災害支援用車両など。
器の開発が急務となっています。
3. 「地域・社会課題を解決するパートナー企業」へ
内発的動機
高齢化・過疎化・災害・カーボンニュートラルといった社会課題に対し、架
装・移動・電動化の技術を活かしてソリューションを提供。例：地域MaaS • これまでの特装車製造を通じた社会貢献の経験に基づいています。
への車両提供、防災拠点となる架装ユニット、再生可能エネルギー対応の 安心・安全の提供を重視し、特に緊急車両や災害支援車両で
車載システム。 培った技術を活かし、EVや自動運転車両を使った社会課題への対
応を目指しています。受託生産だけでなく、自社ブランドの製品を強
会社全体の売上成長目標（2035年） 化し、社会のニーズに応じたソリューションを提供することで、企業とし
ての影響力を拡大し、お客様からの受注生産型から自社で発信す
• 2035年目標売上高 20,000百万円
る企業へと進化し、社会的責任を果たしながら成長したいと考えて
• 最新決算からの増加額 ＋11,668百万円
います。
• 売上高年平均成長率 ９．８％</t>
  </si>
  <si>
    <t>株式会社トノックス
.補助事業の概要
2
設備投資① 工場建屋
・工場建物建設 自走運転車両架装ラインと超小型モビリティ製造ラインを設置
補助事業の • 現状の工場設備はフル稼働であり、新規の自動運転架装業務、超小型モビリティ製造を行うス 事業費 1, 百万円
641
背景・目的 ペースがなく新工場の建設により業務拡大可能 （補助額） （473 万円）
百
・新工場建設予定地（2025年3月取得）
新工場 鉄筋スレート平屋建て 1,500坪
神奈川県伊勢原市鈴川31番（伊勢原工業団地内）
・敷地面積 11314.82㎡
設備投資の
・建屋面積 1,500坪
内容
自動運転車両架装ライン、超小型モビリティ製造ラインを設置する
項目 基準年度 事業化報告3年目
労働生産性 20,656
13,936
（単位：千円/人） （年平均上昇率＋14.0%）
目標値 従業員1人あたり給与支給総額 6,338
5,169
（単位：千円/人） （年平均上昇率＋7.0%）
役員１人あたり給与支給総額 -
-
（単位：千円/人） （年平均上昇率＋5.7％）
補助事業に係る従業員数
195 210
（単位：人）</t>
  </si>
  <si>
    <t>株式会社トノックス
.補助事業の概要
2
設備投資② 主な機械設備類
補助事業の • 特装車製造は工員の手作業による労働集約型の作業が多く、自動化への取組が出来る範囲は限られている。
背景・目的 しかしながら、部品作り、作業方法等の改善活動により生産性を高めている。
車両リフター 高所作業車
設備投資の
内容
レーザーマシン ベンダー</t>
  </si>
  <si>
    <t>株式会社ベネフル
.補助事業の概要
2
奈良県内での再生車両販売・整備拠点整備や観光誘客型ショールーム構築、再生工程の内製化、AI診断装置・低VOC塗装などの設備導入を
通じて、生産性向上と脱炭素化を推進する。顧客対応もCRM等で一体化し、労働生産性は3年後9,761千円/人（9.2％%向上）を目指す。
補助事業の 廃車再生モビリティの需要拡大と、若手整備士不足・設備老朽化・属人作業の課題解決を目的 事業費 1, 百万円
885
背景・目的 に、再生工程の標準化・効率化・脱炭素化を図る新拠点を整備する。 （補助額） （3 3百万円）
3
以下に箇条書きでまとめる。
①奈良県内に再生車両販売・整備対応型の新店舗を2店舗出店し、広
域エリアでの対応力・供給力を強化
②観光・インバウンド・富裕層向けタワー型ショールームを整備、再生車の
魅力を体験型で伝える販促拠点とする（高級車・輸入車・コンセプト車を
展示）
設備投資の
③廃車再生の全工程（分解〜再塗装〜EV化）を内製化する一体型
内容
リビルドライン設備を導入し、生産性と作業平準化を実現
④低VOC対応再塗装ブースや自動化組立・外観診断装置（AI搭
載）を導入し、工程の省人化と脱炭素を両立
⑤CRM・予約管理連携システムにより、タワーショールーム・2店舗・本社
の連携体制を整備し、顧客対応と販促を一体化
項目 基準年度 事業化報告3年目
労働生産性
7,496千円／人
9,762千円／人
（単位：千円/人） （年平均上昇率＋9.2％）
目標値 従業員1人あたり給与支給総額 4,700千円／人
（単位：千円/人）
3,830千円／人
（年平均上昇率＋7.1％）
役員１人あたり給与支給総額
-
（単位：千円/人） - （年平均上昇率＋5.0％）
補助事業に係る従業員数
47人 100人
（単位：人）</t>
  </si>
  <si>
    <t>株式会社アイ・グラン・ソリューション
1.長期成長ビジョン
サウナ利用の圧倒的顧客ニーズによる【サウナ×フィットネス】
ウェルネス事業を通して健康寿命の延伸に貢献する
長期成長ビジョン（目指す姿・ビジネスモデル)
外発的動機
＜現状＞
日本人の健康寿命を伸ばすことで未来に貢献したい。いつでも・どこでも・気軽に運動ができる ■全国の当社運営フィットネス会員様へアンケートを実施。
環境を提供することで、運動習慣がつき、国民の健康寿命の延伸に貢献し、最終的に 6,381名からのアンケート回答の結果、 「フィットネスの近隣に
国の医療費の削減にも寄与したいという想いでフィットネス事業(エニタイムのフランチャイズ)を あったら嬉しい設備・サービスは何ですか？」という質問に対する回答
展開しています。そのためにも、当社のサービスの本質である「相手の立場に立って思いやる心」
の第1位は「サウナ施設」、また「利用しているフィットネス施設の近隣
に基づき、「自分が会費を払ってでも会員になりたいと心から思えるか」という視点で独自のサー
にサウナ施設があったら利用してみたいですか？」という質問に対して、
ビスを取り入れ、フィットネスを運営しています。
85%の方が「利用してみたい」という圧倒的な回答がありました。
＜ビジネスモデル＞
■今後、圧倒的顧客ニーズにより、新たにサウナ事業を立ち上げ科学的根拠に基づき、 ■コロナ禍を経て免疫力や基礎体力を付けることの大切さを改めて実感
フィットネス事業を掛け合わせた“ウェルネス事業”を展開いたします。 した人や、テレワークの普及で運動不足に陥り、健康維持に努めようと
■ウェルネス事業は、従来の 「鍛える」や「整える」にとどまらず、「リカバリー」や「メンタルケア」
考える人が増えております。
まで含む包括的なウェルネス体験を提供する新しい業態。単体施設では満たせない
「トータルケア」の提供が可能になります。
■ライフスタイルの変化や、“ウェルネス”（心身の健康）に対する関心が
■競合他社には無い、ただ来るだけで、全身のケアが完了する」ワンストップ設計となり、
高まっていることで、身体だけでなく、リラクゼーションや精神的健康のた
「身体と心を整える施設」として代替の無いサービスとなります。
めにも、フィットネス施設だけでなく、サウナ施設を連携させることで、トー
■広島大学との産学連携により、サウナとフィットネスの相乗効果が、血行促進・筋肉疲労
回復・熱中症対策、予防へ貢献できる科学的根拠を研究。 タルボディケアを可能とするウェルネス事業が社会に必要と考えます。
＜成長戦略＞
■顧客ニーズによりサブスクリプションサービスを導入します。安定したキャッシュフローと、
高利益率を生む事が出来ます。 内発的動機
■自社FCエニタイムフィットネス会員に新設サウナを優遇価格で提供する事で、サウナ、フィット ■当グループは、『未来に貢献できる企業でありたい』という企業理
ネスの二重での収益化が見込めます。
念を掲げており、その理念に基づく事業しかしないと決めています。
■強い集客力・収益力を持つ当社がその会員数や独自のサービス力を活かし、このウェルネス
事業を展開するからこそ、収益構造の改善が想定され、多店舗展開を加速させることが可
■50年後の未来に貢献できる事業として新事業であるウェルネス事業を
能となり、お客様の健康寿命の延伸、雇用の創出、賃上げなどの日本の社会題の解決に
展開し、健康寿命を伸ばすことに貢献したいと思っています。
繋がるビジネスとなっております。
■当グループ代表が数年前に大病を患い、その時に健康の大切さを身
会社全体の売上成長目標（直近決算期2024年～2030年）
売上高成長率528％、売上高増加額107億円 をもって実感したこともあり、より思いは強くなっております。さらに今ある
事業だけでなく、シナジー効果を生み出せる新たな事業も加えることで、
会社全体の賃上げ目標
より事業成長を図っていきたいと考えております。
• 8.58%（直近事業年度～基準年度）
• 10.77%（基準年度～事業化報告3年目）</t>
  </si>
  <si>
    <t>株式会社アイ・グラン・ソリューション
.補助事業の概要
2
社会課題の解決と顧客ニーズに応えるために
新たにウェルネス事業を展開する事で事業規模の拡大を図る
補助事業の 顧客ニーズの高まりにより、サウナとフィットネスを連携させた事業を再構築 事業費 億円
58
背景・目的 新たにウェルネス事業を立ち上げ、新規出店により、売上拡大・健康寿命の延伸に貢献する。 （補助額） （19億円）
【新規出店への投資】
■新規でのサウナとフィットネスを融合させた施設を展開いたします。
■当社運営中のフィットネス施設に併設、もしくは近隣に新たにサウナ施設を出店します。
■NEWYORKのBATHHOUSEをはじめとした最先端のサウナと同レベルの施設を日本で展開いたします。
■2027年12月までに27施設開店予定(サウナ14施設・フィットネス13施設)
設
【サウナ設備投資内容】
備 ■最新チラー導入により、温度帯の異なる複数の水風呂を設置。オゾン濾過システム導入で清潔且つ管理手間の軽減、
投 運用効率による省人化に繋げます。 ■高付加価値を生むオートロウリュシステム導入で運用効率向上による省人化に
■サウナ施設イメージ
資 繋げます。■高品質のサウナチェアを導入。究極のととのいを提供します。■極上の癒しの最新マッサージチェア(あんま王)
を導入します。■美容と、リラックス。保湿効果のある高品質なミストサウナを導入します。
の
【フィットネス設備投資】
内
■他社には無い圧倒的なマシンラインナップ。
容 【DX化による省人化効果】
■AGC株式会社と連携した新システムの開発⇒ミラリア（AGCオリジナルのミラー型サイネージ）と体組成AIを
組み合わせた新たな体組成計を設置し、AIによる現状分析や、目標設定、トレーニングメニューの提案などを
行える事で、省人化や・スタッフ不在時でのサービスの維持向上に繋げます。
■ポストシステムズの無人レジカウンターシステムの導入⇒無人レジカウンター設置により、有人受付サービスの削減。
顧客管理システムによる、顧客管理業務の削減。販促システム活用による、販促活動業務の削減が実現可能です。 ■AI診断ミラーイメージ
2027年度 2030年度
項目
（基準年度） （基準年度＋３年後）
労働生産性 67,145千円/人
41,258千円/人
（単位：万円/人） （年平均上昇率＋17.6％）
目標値 従業員1人あたり給与支給総額 4,925千円/人
3,819千円/人
（単位：万円/人） （年平均上昇率＋8.8％）
役員１人あたり給与支給総額 -
-
（単位：万円/人） （年平均上昇率0％）
補助事業に係る従業員数
54人 120人
（単位：人）
※賃上げ要件の通り、各事業年度において全月分（決算月後から決算期までの12か月分）の給与等の支給を受けた従業員のみにて算出</t>
  </si>
  <si>
    <t>創建ホーム株式会社
.補助事業の概要
2
・補助事業である①大型施設の建築、②住宅展示場の建築、③テナント等ビルの建築を通じて、すべてのサービ
スの高いクオリティを実現させ、お客様・社員・取引先の満足度向上に挑戦する。
・ライフスタイルの変化に応じてお客様のニーズも多様化している。お客様から選ばれるためには、
信頼や品質の確保、新しい価値ある商品のご提供は言うまでもなく、総合住宅建築メーカーと 事業費 1,560百万円
補助事業の
しての事業多角化、ブランド力の更なる強化、DX・デジタル化の推進など対応していかなけれ （補助額） （520百万円）
背景・目的
ばならない。補助事業により経営理念である「すべてのサービスの高いクオリティを実現させ、お
客様・社員・取引先の満足度向上に挑戦する」を実現する
新たなフラグシップである大型施設
・集客や営業の役割を担う重要施策として一線を画した最新のモデルハウスやショー
ルーム等を建築していく。
・特に新たなフラグシップ（重要拠点）として当社東広島本部隣地に建築する大型施
設にはモデルハウスやショールームのほか、テナントやオフィスが加わり、全長65ｍの
空間をイチョウ並木と複数の建物群が際立たせ、人々が集う新しい風景を生む
設備投資の 項目 場所 投資額（百万円）
内容
①新たなフラグシップである大型施設の建築 東広島市 936
東広島本部（LIFE/CULTURE MARKET L/C）
②集客や営業の役割を担う住宅展示場の建築 広島市 102
③事業多角化に向けたテナント等ビルの建築 福山市 522
①には東広島本部（LIFE/CULTURE MARKET L/C：注文住宅、リフォーム、外構、エクステリアから家具、インテリア、イベントなど住まいから
暮らしまでトータルにプロデュースする施設）の改修を含む
項目 基準年度（2027年度） 事業化報告3年目（2030年度）
労働生産性（単位：千円/人） 7,287 22,699（年平均上昇率＋46.0%）
目標値 従業員1人あたり給与支給総額（単位：千円/人） 5,025 6,070（年平均上昇率＋6.5%）
役員１人あたり給与支給総額（単位：千円/人） （年平均上昇率＋5.7%）
- -
補助事業に係る従業員数（単位：人） 156 196</t>
  </si>
  <si>
    <t>確認ログ・要確認一覧</t>
  </si>
  <si>
    <t>抽出不能・複数社・曖昧な値を案件単位で確認する台帳。全頁画像へのローカルパスを付けています。</t>
  </si>
  <si>
    <t>主要指標high数</t>
  </si>
  <si>
    <t>主要指標ambiguous数</t>
  </si>
  <si>
    <t>multi_entity数</t>
  </si>
  <si>
    <t>事業費原文</t>
  </si>
  <si>
    <t>売上原文行数</t>
  </si>
  <si>
    <t>動機欄未分離 / 目標表未検出 / 売上目標未抽出</t>
  </si>
  <si>
    <t>主要3指標＋役員給与 - 全1,524項目検証</t>
  </si>
  <si>
    <t>381案件×4指標。PDF表セル、記載された年平均率、再計算CAGR、目視補正を突合。『原本内不整合』は抽出誤りではなく、公開PDF内の値同士が一致しないことを示します。</t>
  </si>
  <si>
    <t>基準値</t>
  </si>
  <si>
    <t>目標値</t>
  </si>
  <si>
    <t>PDF記載年平均率(%)</t>
  </si>
  <si>
    <t>再計算年平均率(%)</t>
  </si>
  <si>
    <t>差(pt)</t>
  </si>
  <si>
    <t>年度検証</t>
  </si>
  <si>
    <t>検証事項</t>
  </si>
  <si>
    <t>PDF表原文</t>
  </si>
  <si>
    <t>暦年確認</t>
  </si>
  <si>
    <t>table_cells</t>
  </si>
  <si>
    <t>rate_only_from_officer_row</t>
  </si>
  <si>
    <t>年平均率との不整合</t>
  </si>
  <si>
    <t>年なし</t>
  </si>
  <si>
    <t>数値2点なし</t>
  </si>
  <si>
    <t>case_representative_from_multi_entity</t>
  </si>
  <si>
    <t>PDFに暦年なし・未取得</t>
  </si>
  <si>
    <t>PDFに暦年なし又は未取得</t>
  </si>
  <si>
    <t>単位未取得</t>
  </si>
  <si>
    <t>case_representative_from_first_table</t>
  </si>
  <si>
    <t>数値欠損</t>
  </si>
  <si>
    <t>大規模成長投資補助金 1次～4次 PDF全381件確認版</t>
  </si>
  <si>
    <t>381件・887ページ。PDF原文を基礎に、位置復元した主要数値と、曖昧値を分離した再構築版です。</t>
  </si>
  <si>
    <t>収録内容</t>
  </si>
  <si>
    <t>案件: 381件／ページ: 887頁／ページBox: 1995件／売上Box: 381件
・文章_全件原文: 長期ビジョン・外発的動機・内発的動機をBox内だけに限定
・Box_全ページ縦持ち: 座標、分類、タイトル、Box原文
・その他Box_全件: 当社概要、上段要旨、売上目標、補助事業関連等
・案件_全381件: 売上Boxの構造化値＋主要4指標
・売上目標Box_全381件／売上目標_年次縦持ち
・ページ原文_887頁: 比較・検索用の従来の全頁原文</t>
  </si>
  <si>
    <t>値の扱い</t>
  </si>
  <si>
    <t>high: PDF上の年度列を横位置で復元し、各列に数値が1つずつ対応した値。案件横持ちへ採用。
ambiguous: 桁・列・空欄・率のみ記載など、機械的な一意化を避けた値。
multi_entity: 複数社・複数対象を同じ表で併記。単一企業値に集約せず縦持ちと原文に保持。
売上は『増加額』『最終売上高』『累積成長率』『CAGR』『倍率』が混在するため、全記載行をまず縦持ち化しています。案件横持ちには候補一覧と原文を載せ、意味の決め打ちをしていません。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</si>
</sst>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9">
    <font>
      <sz val="11"/>
      <name val="Carlito"/>
    </font>
    <font>
      <b/>
      <sz val="16"/>
      <color rgb="FFFFFFFF"/>
      <name val="Carlito"/>
    </font>
    <font>
      <sz val="10"/>
      <color rgb="FF344054"/>
      <name val="Carlito"/>
    </font>
    <font>
      <b/>
      <sz val="10"/>
      <color rgb="FFFFFFFF"/>
      <name val="Carlito"/>
    </font>
    <font>
      <sz val="9"/>
      <color rgb="FF344054"/>
      <name val="Carlito"/>
    </font>
    <font>
      <b/>
      <sz val="11"/>
      <color rgb="FFFFFFFF"/>
      <name val="Carlito"/>
    </font>
    <font>
      <sz val="11"/>
      <color rgb="FF344054"/>
      <name val="Carlito"/>
    </font>
    <font>
      <sz val="11"/>
      <name val="Carlito"/>
    </font>
    <font>
      <sz val="6"/>
      <name val="ＭＳ Ｐゴシック"/>
      <family val="3"/>
      <charset val="128"/>
    </font>
  </fonts>
  <fills count="9">
    <fill>
      <patternFill patternType="none"/>
    </fill>
    <fill>
      <patternFill patternType="gray125"/>
    </fill>
    <fill>
      <patternFill patternType="solid">
        <fgColor rgb="FF20364F"/>
      </patternFill>
    </fill>
    <fill>
      <patternFill patternType="solid">
        <fgColor rgb="FFF2F4F7"/>
      </patternFill>
    </fill>
    <fill>
      <patternFill patternType="solid">
        <fgColor rgb="FFE67E22"/>
      </patternFill>
    </fill>
    <fill>
      <patternFill patternType="solid">
        <fgColor rgb="FFD9EAF7"/>
      </patternFill>
    </fill>
    <fill>
      <patternFill patternType="solid">
        <fgColor rgb="FFFFF2CC"/>
      </patternFill>
    </fill>
    <fill>
      <patternFill patternType="solid">
        <fgColor rgb="FF2F5597"/>
      </patternFill>
    </fill>
    <fill>
      <patternFill patternType="solid">
        <fgColor rgb="FFFCE4D6"/>
      </patternFill>
    </fill>
  </fills>
  <borders count="12">
    <border>
      <left/>
      <right/>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D0D5DD"/>
      </left>
      <right/>
      <top style="thin">
        <color rgb="FFD0D5DD"/>
      </top>
      <bottom/>
      <diagonal/>
    </border>
    <border>
      <left/>
      <right/>
      <top style="thin">
        <color rgb="FFD0D5DD"/>
      </top>
      <bottom/>
      <diagonal/>
    </border>
    <border>
      <left/>
      <right style="thin">
        <color rgb="FFD0D5DD"/>
      </right>
      <top style="thin">
        <color rgb="FFD0D5DD"/>
      </top>
      <bottom/>
      <diagonal/>
    </border>
    <border>
      <left style="thin">
        <color rgb="FFD0D5DD"/>
      </left>
      <right/>
      <top/>
      <bottom/>
      <diagonal/>
    </border>
    <border>
      <left/>
      <right style="thin">
        <color rgb="FFD0D5DD"/>
      </right>
      <top/>
      <bottom/>
      <diagonal/>
    </border>
    <border>
      <left style="thin">
        <color rgb="FFD0D5DD"/>
      </left>
      <right/>
      <top/>
      <bottom style="thin">
        <color rgb="FFD0D5DD"/>
      </bottom>
      <diagonal/>
    </border>
    <border>
      <left/>
      <right/>
      <top/>
      <bottom style="thin">
        <color rgb="FFD0D5DD"/>
      </bottom>
      <diagonal/>
    </border>
    <border>
      <left/>
      <right style="thin">
        <color rgb="FFD0D5DD"/>
      </right>
      <top/>
      <bottom style="thin">
        <color rgb="FFD0D5DD"/>
      </bottom>
      <diagonal/>
    </border>
  </borders>
  <cellStyleXfs count="2">
    <xf numFmtId="0" fontId="0" fillId="0" borderId="0"/>
    <xf numFmtId="0" fontId="7" fillId="0" borderId="0"/>
  </cellStyleXfs>
  <cellXfs count="46">
    <xf numFmtId="0" fontId="0" fillId="0" borderId="0" xfId="0"/>
    <xf numFmtId="0" fontId="3" fillId="4" borderId="0" xfId="1" applyFont="1" applyFill="1" applyAlignment="1">
      <alignment horizontal="center" vertical="center" wrapText="1"/>
    </xf>
    <xf numFmtId="0" fontId="4" fillId="0" borderId="2" xfId="1" applyFont="1" applyBorder="1" applyAlignment="1">
      <alignment vertical="top"/>
    </xf>
    <xf numFmtId="0" fontId="4" fillId="0" borderId="3" xfId="1" applyFont="1" applyBorder="1" applyAlignment="1">
      <alignment vertical="top"/>
    </xf>
    <xf numFmtId="0" fontId="4" fillId="5" borderId="1" xfId="1" applyFont="1" applyFill="1" applyBorder="1" applyAlignment="1">
      <alignment vertical="top"/>
    </xf>
    <xf numFmtId="0" fontId="4" fillId="5" borderId="2" xfId="1" applyFont="1" applyFill="1" applyBorder="1" applyAlignment="1">
      <alignment vertical="top"/>
    </xf>
    <xf numFmtId="0" fontId="4" fillId="5" borderId="3" xfId="1" applyFont="1" applyFill="1" applyBorder="1" applyAlignment="1">
      <alignment vertical="top"/>
    </xf>
    <xf numFmtId="0" fontId="4" fillId="5" borderId="1" xfId="1" applyFont="1" applyFill="1" applyBorder="1" applyAlignment="1">
      <alignment vertical="top" wrapText="1"/>
    </xf>
    <xf numFmtId="0" fontId="4" fillId="0" borderId="2" xfId="1" applyFont="1" applyBorder="1" applyAlignment="1">
      <alignment vertical="top" wrapText="1"/>
    </xf>
    <xf numFmtId="0" fontId="4" fillId="5" borderId="2" xfId="1" applyFont="1" applyFill="1" applyBorder="1" applyAlignment="1">
      <alignment vertical="top" wrapText="1"/>
    </xf>
    <xf numFmtId="0" fontId="4" fillId="5" borderId="3" xfId="1" applyFont="1" applyFill="1" applyBorder="1" applyAlignment="1">
      <alignment vertical="top" wrapText="1"/>
    </xf>
    <xf numFmtId="176" fontId="4" fillId="5" borderId="1" xfId="1" applyNumberFormat="1" applyFont="1" applyFill="1" applyBorder="1" applyAlignment="1">
      <alignment vertical="top"/>
    </xf>
    <xf numFmtId="176" fontId="4" fillId="0" borderId="2" xfId="1" applyNumberFormat="1" applyFont="1" applyBorder="1" applyAlignment="1">
      <alignment vertical="top"/>
    </xf>
    <xf numFmtId="176" fontId="4" fillId="5" borderId="2" xfId="1" applyNumberFormat="1" applyFont="1" applyFill="1" applyBorder="1" applyAlignment="1">
      <alignment vertical="top"/>
    </xf>
    <xf numFmtId="176" fontId="4" fillId="5" borderId="3" xfId="1" applyNumberFormat="1" applyFont="1" applyFill="1" applyBorder="1" applyAlignment="1">
      <alignment vertical="top"/>
    </xf>
    <xf numFmtId="177" fontId="4" fillId="5" borderId="1" xfId="1" applyNumberFormat="1" applyFont="1" applyFill="1" applyBorder="1" applyAlignment="1">
      <alignment vertical="top"/>
    </xf>
    <xf numFmtId="177" fontId="4" fillId="0" borderId="2" xfId="1" applyNumberFormat="1" applyFont="1" applyBorder="1" applyAlignment="1">
      <alignment vertical="top"/>
    </xf>
    <xf numFmtId="177" fontId="4" fillId="5" borderId="2" xfId="1" applyNumberFormat="1" applyFont="1" applyFill="1" applyBorder="1" applyAlignment="1">
      <alignment vertical="top"/>
    </xf>
    <xf numFmtId="177" fontId="4" fillId="5" borderId="3" xfId="1" applyNumberFormat="1" applyFont="1" applyFill="1" applyBorder="1" applyAlignment="1">
      <alignment vertical="top"/>
    </xf>
    <xf numFmtId="0" fontId="4" fillId="6" borderId="2" xfId="1" applyFont="1" applyFill="1" applyBorder="1" applyAlignment="1">
      <alignment vertical="top"/>
    </xf>
    <xf numFmtId="0" fontId="4" fillId="0" borderId="3" xfId="1" applyFont="1" applyBorder="1" applyAlignment="1">
      <alignment vertical="top" wrapText="1"/>
    </xf>
    <xf numFmtId="177" fontId="4" fillId="0" borderId="3" xfId="1" applyNumberFormat="1" applyFont="1" applyBorder="1" applyAlignment="1">
      <alignment vertical="top"/>
    </xf>
    <xf numFmtId="0" fontId="4" fillId="6" borderId="2" xfId="1" applyFont="1" applyFill="1" applyBorder="1" applyAlignment="1">
      <alignment vertical="top" wrapText="1"/>
    </xf>
    <xf numFmtId="0" fontId="4" fillId="6" borderId="3" xfId="1" applyFont="1" applyFill="1" applyBorder="1" applyAlignment="1">
      <alignment vertical="top" wrapText="1"/>
    </xf>
    <xf numFmtId="0" fontId="1" fillId="2" borderId="0" xfId="1" applyFont="1" applyFill="1"/>
    <xf numFmtId="0" fontId="2" fillId="3" borderId="0" xfId="1" applyFont="1" applyFill="1" applyAlignment="1">
      <alignment wrapText="1"/>
    </xf>
    <xf numFmtId="0" fontId="5" fillId="4" borderId="0" xfId="1" applyFont="1" applyFill="1"/>
    <xf numFmtId="0" fontId="6" fillId="5" borderId="4" xfId="1" applyFont="1" applyFill="1" applyBorder="1" applyAlignment="1">
      <alignment vertical="top" wrapText="1"/>
    </xf>
    <xf numFmtId="0" fontId="6" fillId="5" borderId="5" xfId="1" applyFont="1" applyFill="1" applyBorder="1" applyAlignment="1">
      <alignment vertical="top" wrapText="1"/>
    </xf>
    <xf numFmtId="0" fontId="6" fillId="5" borderId="6" xfId="1" applyFont="1" applyFill="1" applyBorder="1" applyAlignment="1">
      <alignment vertical="top" wrapText="1"/>
    </xf>
    <xf numFmtId="0" fontId="6" fillId="5" borderId="7" xfId="1" applyFont="1" applyFill="1" applyBorder="1" applyAlignment="1">
      <alignment vertical="top" wrapText="1"/>
    </xf>
    <xf numFmtId="0" fontId="6" fillId="5" borderId="0" xfId="1" applyFont="1" applyFill="1" applyAlignment="1">
      <alignment vertical="top" wrapText="1"/>
    </xf>
    <xf numFmtId="0" fontId="6" fillId="5" borderId="8" xfId="1" applyFont="1" applyFill="1" applyBorder="1" applyAlignment="1">
      <alignment vertical="top" wrapText="1"/>
    </xf>
    <xf numFmtId="0" fontId="6" fillId="5" borderId="9" xfId="1" applyFont="1" applyFill="1" applyBorder="1" applyAlignment="1">
      <alignment vertical="top" wrapText="1"/>
    </xf>
    <xf numFmtId="0" fontId="6" fillId="5" borderId="10" xfId="1" applyFont="1" applyFill="1" applyBorder="1" applyAlignment="1">
      <alignment vertical="top" wrapText="1"/>
    </xf>
    <xf numFmtId="0" fontId="6" fillId="5" borderId="11" xfId="1" applyFont="1" applyFill="1" applyBorder="1" applyAlignment="1">
      <alignment vertical="top" wrapText="1"/>
    </xf>
    <xf numFmtId="0" fontId="5" fillId="7" borderId="0" xfId="1" applyFont="1" applyFill="1"/>
    <xf numFmtId="0" fontId="6" fillId="8" borderId="4" xfId="1" applyFont="1" applyFill="1" applyBorder="1" applyAlignment="1">
      <alignment vertical="top" wrapText="1"/>
    </xf>
    <xf numFmtId="0" fontId="6" fillId="8" borderId="5" xfId="1" applyFont="1" applyFill="1" applyBorder="1" applyAlignment="1">
      <alignment vertical="top" wrapText="1"/>
    </xf>
    <xf numFmtId="0" fontId="6" fillId="8" borderId="6" xfId="1" applyFont="1" applyFill="1" applyBorder="1" applyAlignment="1">
      <alignment vertical="top" wrapText="1"/>
    </xf>
    <xf numFmtId="0" fontId="6" fillId="8" borderId="7" xfId="1" applyFont="1" applyFill="1" applyBorder="1" applyAlignment="1">
      <alignment vertical="top" wrapText="1"/>
    </xf>
    <xf numFmtId="0" fontId="6" fillId="8" borderId="0" xfId="1" applyFont="1" applyFill="1" applyAlignment="1">
      <alignment vertical="top" wrapText="1"/>
    </xf>
    <xf numFmtId="0" fontId="6" fillId="8" borderId="8" xfId="1" applyFont="1" applyFill="1" applyBorder="1" applyAlignment="1">
      <alignment vertical="top" wrapText="1"/>
    </xf>
    <xf numFmtId="0" fontId="6" fillId="8" borderId="9" xfId="1" applyFont="1" applyFill="1" applyBorder="1" applyAlignment="1">
      <alignment vertical="top" wrapText="1"/>
    </xf>
    <xf numFmtId="0" fontId="6" fillId="8" borderId="10" xfId="1" applyFont="1" applyFill="1" applyBorder="1" applyAlignment="1">
      <alignment vertical="top" wrapText="1"/>
    </xf>
    <xf numFmtId="0" fontId="6" fillId="8" borderId="11" xfId="1" applyFont="1" applyFill="1" applyBorder="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Cases" displayName="AllCases" ref="A4:BR385" totalsRowShown="0">
  <tableColumns count="70">
    <tableColumn id="1" xr3:uid="{00000000-0010-0000-0000-000001000000}" name="案件ID"/>
    <tableColumn id="2" xr3:uid="{00000000-0010-0000-0000-000002000000}" name="公募回"/>
    <tableColumn id="3" xr3:uid="{00000000-0010-0000-0000-000003000000}" name="申請企業"/>
    <tableColumn id="4" xr3:uid="{00000000-0010-0000-0000-000004000000}" name="数値対象企業"/>
    <tableColumn id="5" xr3:uid="{00000000-0010-0000-0000-000005000000}" name="数値対象範囲"/>
    <tableColumn id="6" xr3:uid="{00000000-0010-0000-0000-000006000000}" name="他の参加企業"/>
    <tableColumn id="7" xr3:uid="{00000000-0010-0000-0000-000007000000}" name="総頁"/>
    <tableColumn id="8" xr3:uid="{00000000-0010-0000-0000-000008000000}" name="企業紹介頁"/>
    <tableColumn id="9" xr3:uid="{00000000-0010-0000-0000-000009000000}" name="長期ビジョン頁"/>
    <tableColumn id="10" xr3:uid="{00000000-0010-0000-0000-00000A000000}" name="補助事業頁"/>
    <tableColumn id="11" xr3:uid="{00000000-0010-0000-0000-00000B000000}" name="追加頁"/>
    <tableColumn id="12" xr3:uid="{00000000-0010-0000-0000-00000C000000}" name="事業費(百万円)"/>
    <tableColumn id="13" xr3:uid="{00000000-0010-0000-0000-00000D000000}" name="補助額(百万円)"/>
    <tableColumn id="14" xr3:uid="{00000000-0010-0000-0000-00000E000000}" name="事業費・補助額原文（Box転記）"/>
    <tableColumn id="15" xr3:uid="{00000000-0010-0000-0000-00000F000000}" name="補助率(%)"/>
    <tableColumn id="16" xr3:uid="{00000000-0010-0000-0000-000010000000}" name="事業費・補助額Box頁"/>
    <tableColumn id="17" xr3:uid="{00000000-0010-0000-0000-000011000000}" name="事業費・補助額抽出方法"/>
    <tableColumn id="18" xr3:uid="{00000000-0010-0000-0000-000012000000}" name="事業費・補助額Box座標原文"/>
    <tableColumn id="19" xr3:uid="{00000000-0010-0000-0000-000013000000}" name="事業費・補助額旧横読み原文"/>
    <tableColumn id="20" xr3:uid="{00000000-0010-0000-0000-000014000000}" name="事業費・補助額検証"/>
    <tableColumn id="21" xr3:uid="{00000000-0010-0000-0000-000015000000}" name="売上対象範囲"/>
    <tableColumn id="22" xr3:uid="{00000000-0010-0000-0000-000016000000}" name="売上基準年"/>
    <tableColumn id="23" xr3:uid="{00000000-0010-0000-0000-000017000000}" name="売上基準値(億円)"/>
    <tableColumn id="24" xr3:uid="{00000000-0010-0000-0000-000018000000}" name="売上目標年"/>
    <tableColumn id="25" xr3:uid="{00000000-0010-0000-0000-000019000000}" name="売上目標値(億円)"/>
    <tableColumn id="26" xr3:uid="{00000000-0010-0000-0000-00001A000000}" name="売上増加額(億円)"/>
    <tableColumn id="27" xr3:uid="{00000000-0010-0000-0000-00001B000000}" name="増加額対応年"/>
    <tableColumn id="28" xr3:uid="{00000000-0010-0000-0000-00001C000000}" name="PDF記載成長率(%)"/>
    <tableColumn id="29" xr3:uid="{00000000-0010-0000-0000-00001D000000}" name="成長率対応年"/>
    <tableColumn id="30" xr3:uid="{00000000-0010-0000-0000-00001E000000}" name="成長率定義"/>
    <tableColumn id="31" xr3:uid="{00000000-0010-0000-0000-00001F000000}" name="PDF記載累積成長率(%)"/>
    <tableColumn id="32" xr3:uid="{00000000-0010-0000-0000-000020000000}" name="PDF記載CAGR(%)"/>
    <tableColumn id="33" xr3:uid="{00000000-0010-0000-0000-000021000000}" name="再計算CAGR(%)"/>
    <tableColumn id="34" xr3:uid="{00000000-0010-0000-0000-000022000000}" name="売上倍率"/>
    <tableColumn id="35" xr3:uid="{00000000-0010-0000-0000-000023000000}" name="売上Box検証"/>
    <tableColumn id="36" xr3:uid="{00000000-0010-0000-0000-000024000000}" name="売上Box抽出方法"/>
    <tableColumn id="37" xr3:uid="{00000000-0010-0000-0000-000025000000}" name="売上Box頁"/>
    <tableColumn id="38" xr3:uid="{00000000-0010-0000-0000-000026000000}" name="売上Box原文"/>
    <tableColumn id="39" xr3:uid="{00000000-0010-0000-0000-000027000000}" name="年次売上一覧"/>
    <tableColumn id="40" xr3:uid="{00000000-0010-0000-0000-000028000000}" name="労働基準年"/>
    <tableColumn id="41" xr3:uid="{00000000-0010-0000-0000-000029000000}" name="労働基準値"/>
    <tableColumn id="42" xr3:uid="{00000000-0010-0000-0000-00002A000000}" name="労働目標年"/>
    <tableColumn id="43" xr3:uid="{00000000-0010-0000-0000-00002B000000}" name="労働目標値"/>
    <tableColumn id="44" xr3:uid="{00000000-0010-0000-0000-00002C000000}" name="労働単位"/>
    <tableColumn id="45" xr3:uid="{00000000-0010-0000-0000-00002D000000}" name="労働年平均率(%)"/>
    <tableColumn id="46" xr3:uid="{00000000-0010-0000-0000-00002E000000}" name="給与基準年"/>
    <tableColumn id="47" xr3:uid="{00000000-0010-0000-0000-00002F000000}" name="給与基準値"/>
    <tableColumn id="48" xr3:uid="{00000000-0010-0000-0000-000030000000}" name="給与目標年"/>
    <tableColumn id="49" xr3:uid="{00000000-0010-0000-0000-000031000000}" name="給与目標値"/>
    <tableColumn id="50" xr3:uid="{00000000-0010-0000-0000-000032000000}" name="給与単位"/>
    <tableColumn id="51" xr3:uid="{00000000-0010-0000-0000-000033000000}" name="給与年平均率(%)"/>
    <tableColumn id="52" xr3:uid="{00000000-0010-0000-0000-000034000000}" name="役員給与基準年"/>
    <tableColumn id="53" xr3:uid="{00000000-0010-0000-0000-000035000000}" name="役員給与基準値"/>
    <tableColumn id="54" xr3:uid="{00000000-0010-0000-0000-000036000000}" name="役員給与目標年"/>
    <tableColumn id="55" xr3:uid="{00000000-0010-0000-0000-000037000000}" name="役員給与目標値"/>
    <tableColumn id="56" xr3:uid="{00000000-0010-0000-0000-000038000000}" name="役員給与単位"/>
    <tableColumn id="57" xr3:uid="{00000000-0010-0000-0000-000039000000}" name="役員給与年平均率(%)"/>
    <tableColumn id="58" xr3:uid="{00000000-0010-0000-0000-00003A000000}" name="従業員基準年"/>
    <tableColumn id="59" xr3:uid="{00000000-0010-0000-0000-00003B000000}" name="従業員基準値"/>
    <tableColumn id="60" xr3:uid="{00000000-0010-0000-0000-00003C000000}" name="従業員目標年"/>
    <tableColumn id="61" xr3:uid="{00000000-0010-0000-0000-00003D000000}" name="従業員目標値"/>
    <tableColumn id="62" xr3:uid="{00000000-0010-0000-0000-00003E000000}" name="主要指標確度"/>
    <tableColumn id="63" xr3:uid="{00000000-0010-0000-0000-00003F000000}" name="QAフラグ"/>
    <tableColumn id="64" xr3:uid="{00000000-0010-0000-0000-000040000000}" name="PDF URL"/>
    <tableColumn id="65" xr3:uid="{00000000-0010-0000-0000-000041000000}" name="ローカルPDF"/>
    <tableColumn id="66" xr3:uid="{00000000-0010-0000-0000-000042000000}" name="全頁画像"/>
    <tableColumn id="67" xr3:uid="{00000000-0010-0000-0000-000043000000}" name="労働検証"/>
    <tableColumn id="68" xr3:uid="{00000000-0010-0000-0000-000044000000}" name="給与検証"/>
    <tableColumn id="69" xr3:uid="{00000000-0010-0000-0000-000045000000}" name="役員給与検証"/>
    <tableColumn id="70" xr3:uid="{00000000-0010-0000-0000-000046000000}" name="従業員検証"/>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lMetrics" displayName="AllMetrics" ref="A4:P3935" totalsRowShown="0">
  <tableColumns count="16">
    <tableColumn id="1" xr3:uid="{00000000-0010-0000-0100-000001000000}" name="案件ID"/>
    <tableColumn id="2" xr3:uid="{00000000-0010-0000-0100-000002000000}" name="公募回"/>
    <tableColumn id="3" xr3:uid="{00000000-0010-0000-0100-000003000000}" name="申請企業"/>
    <tableColumn id="4" xr3:uid="{00000000-0010-0000-0100-000004000000}" name="ページ"/>
    <tableColumn id="5" xr3:uid="{00000000-0010-0000-0100-000005000000}" name="指標"/>
    <tableColumn id="6" xr3:uid="{00000000-0010-0000-0100-000006000000}" name="単位"/>
    <tableColumn id="7" xr3:uid="{00000000-0010-0000-0100-000007000000}" name="確度"/>
    <tableColumn id="8" xr3:uid="{00000000-0010-0000-0100-000008000000}" name="分割数字再結合"/>
    <tableColumn id="9" xr3:uid="{00000000-0010-0000-0100-000009000000}" name="列見出し"/>
    <tableColumn id="10" xr3:uid="{00000000-0010-0000-0100-00000A000000}" name="年度"/>
    <tableColumn id="11" xr3:uid="{00000000-0010-0000-0100-00000B000000}" name="値"/>
    <tableColumn id="12" xr3:uid="{00000000-0010-0000-0100-00000C000000}" name="PDF値原文"/>
    <tableColumn id="13" xr3:uid="{00000000-0010-0000-0100-00000D000000}" name="記載年平均率(%)"/>
    <tableColumn id="14" xr3:uid="{00000000-0010-0000-0100-00000E000000}" name="行原文"/>
    <tableColumn id="15" xr3:uid="{00000000-0010-0000-0100-00000F000000}" name="PDF URL"/>
    <tableColumn id="16" xr3:uid="{00000000-0010-0000-0100-000010000000}" name="全頁画像"/>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lesBoxes" displayName="SalesBoxes" ref="A4:U385" totalsRowShown="0">
  <tableColumns count="21">
    <tableColumn id="1" xr3:uid="{00000000-0010-0000-0200-000001000000}" name="案件ID"/>
    <tableColumn id="2" xr3:uid="{00000000-0010-0000-0200-000002000000}" name="公募回"/>
    <tableColumn id="3" xr3:uid="{00000000-0010-0000-0200-000003000000}" name="申請企業"/>
    <tableColumn id="4" xr3:uid="{00000000-0010-0000-0200-000004000000}" name="対象範囲"/>
    <tableColumn id="5" xr3:uid="{00000000-0010-0000-0200-000005000000}" name="基準年"/>
    <tableColumn id="6" xr3:uid="{00000000-0010-0000-0200-000006000000}" name="基準売上(億円)"/>
    <tableColumn id="7" xr3:uid="{00000000-0010-0000-0200-000007000000}" name="目標年"/>
    <tableColumn id="8" xr3:uid="{00000000-0010-0000-0200-000008000000}" name="目標売上(億円)"/>
    <tableColumn id="9" xr3:uid="{00000000-0010-0000-0200-000009000000}" name="増加額(億円)"/>
    <tableColumn id="10" xr3:uid="{00000000-0010-0000-0200-00000A000000}" name="PDF記載成長率(%)"/>
    <tableColumn id="11" xr3:uid="{00000000-0010-0000-0200-00000B000000}" name="成長率定義"/>
    <tableColumn id="12" xr3:uid="{00000000-0010-0000-0200-00000C000000}" name="PDF記載CAGR(%)"/>
    <tableColumn id="13" xr3:uid="{00000000-0010-0000-0200-00000D000000}" name="再計算CAGR(%)"/>
    <tableColumn id="14" xr3:uid="{00000000-0010-0000-0200-00000E000000}" name="倍率"/>
    <tableColumn id="15" xr3:uid="{00000000-0010-0000-0200-00000F000000}" name="検証状態"/>
    <tableColumn id="16" xr3:uid="{00000000-0010-0000-0200-000010000000}" name="抽出方法"/>
    <tableColumn id="17" xr3:uid="{00000000-0010-0000-0200-000011000000}" name="頁"/>
    <tableColumn id="18" xr3:uid="{00000000-0010-0000-0200-000012000000}" name="Box原文"/>
    <tableColumn id="19" xr3:uid="{00000000-0010-0000-0200-000013000000}" name="年次売上一覧"/>
    <tableColumn id="20" xr3:uid="{00000000-0010-0000-0200-000014000000}" name="PDF URL"/>
    <tableColumn id="21" xr3:uid="{00000000-0010-0000-0200-000015000000}" name="全頁画像"/>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nnualSales" displayName="AnnualSales" ref="A4:J236" totalsRowShown="0">
  <tableColumns count="10">
    <tableColumn id="1" xr3:uid="{00000000-0010-0000-0300-000001000000}" name="案件ID"/>
    <tableColumn id="2" xr3:uid="{00000000-0010-0000-0300-000002000000}" name="公募回"/>
    <tableColumn id="3" xr3:uid="{00000000-0010-0000-0300-000003000000}" name="申請企業"/>
    <tableColumn id="4" xr3:uid="{00000000-0010-0000-0300-000004000000}" name="対象範囲"/>
    <tableColumn id="5" xr3:uid="{00000000-0010-0000-0300-000005000000}" name="年度"/>
    <tableColumn id="6" xr3:uid="{00000000-0010-0000-0300-000006000000}" name="売上高(億円)"/>
    <tableColumn id="7" xr3:uid="{00000000-0010-0000-0300-000007000000}" name="値の出所"/>
    <tableColumn id="8" xr3:uid="{00000000-0010-0000-0300-000008000000}" name="Box頁"/>
    <tableColumn id="9" xr3:uid="{00000000-0010-0000-0300-000009000000}" name="PDF URL"/>
    <tableColumn id="10" xr3:uid="{00000000-0010-0000-0300-00000A000000}" name="全頁画像"/>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llTexts" displayName="AllTexts" ref="A4:O385" totalsRowShown="0">
  <tableColumns count="15">
    <tableColumn id="1" xr3:uid="{00000000-0010-0000-0400-000001000000}" name="案件ID"/>
    <tableColumn id="2" xr3:uid="{00000000-0010-0000-0400-000002000000}" name="公募回"/>
    <tableColumn id="3" xr3:uid="{00000000-0010-0000-0400-000003000000}" name="申請企業"/>
    <tableColumn id="4" xr3:uid="{00000000-0010-0000-0400-000004000000}" name="上段タイトル・要旨原文"/>
    <tableColumn id="5" xr3:uid="{00000000-0010-0000-0400-000005000000}" name="上段要旨Box"/>
    <tableColumn id="6" xr3:uid="{00000000-0010-0000-0400-000006000000}" name="長期成長ビジョンBox原文"/>
    <tableColumn id="7" xr3:uid="{00000000-0010-0000-0400-000007000000}" name="外発的動機Box原文"/>
    <tableColumn id="8" xr3:uid="{00000000-0010-0000-0400-000008000000}" name="内発的動機Box原文"/>
    <tableColumn id="9" xr3:uid="{00000000-0010-0000-0400-000009000000}" name="当社・会社概要Box原文"/>
    <tableColumn id="10" xr3:uid="{00000000-0010-0000-0400-00000A000000}" name="売上成長目標Box原文"/>
    <tableColumn id="11" xr3:uid="{00000000-0010-0000-0400-00000B000000}" name="その他Box一覧"/>
    <tableColumn id="12" xr3:uid="{00000000-0010-0000-0400-00000C000000}" name="ビジョン全頁原文"/>
    <tableColumn id="13" xr3:uid="{00000000-0010-0000-0400-00000D000000}" name="補助事業全頁原文"/>
    <tableColumn id="14" xr3:uid="{00000000-0010-0000-0400-00000E000000}" name="PDF URL"/>
    <tableColumn id="15" xr3:uid="{00000000-0010-0000-0400-00000F000000}" name="全頁画像"/>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llPageBoxes" displayName="AllPageBoxes" ref="A4:Q1999" totalsRowShown="0">
  <tableColumns count="17">
    <tableColumn id="1" xr3:uid="{00000000-0010-0000-0500-000001000000}" name="案件ID"/>
    <tableColumn id="2" xr3:uid="{00000000-0010-0000-0500-000002000000}" name="公募回"/>
    <tableColumn id="3" xr3:uid="{00000000-0010-0000-0500-000003000000}" name="申請企業"/>
    <tableColumn id="4" xr3:uid="{00000000-0010-0000-0500-000004000000}" name="ページ"/>
    <tableColumn id="5" xr3:uid="{00000000-0010-0000-0500-000005000000}" name="ページ種別"/>
    <tableColumn id="6" xr3:uid="{00000000-0010-0000-0500-000006000000}" name="Box番号"/>
    <tableColumn id="7" xr3:uid="{00000000-0010-0000-0500-000007000000}" name="Box分類"/>
    <tableColumn id="8" xr3:uid="{00000000-0010-0000-0500-000008000000}" name="Boxタイトル"/>
    <tableColumn id="9" xr3:uid="{00000000-0010-0000-0500-000009000000}" name="X0"/>
    <tableColumn id="10" xr3:uid="{00000000-0010-0000-0500-00000A000000}" name="Y0"/>
    <tableColumn id="11" xr3:uid="{00000000-0010-0000-0500-00000B000000}" name="X1"/>
    <tableColumn id="12" xr3:uid="{00000000-0010-0000-0500-00000C000000}" name="Y1"/>
    <tableColumn id="13" xr3:uid="{00000000-0010-0000-0500-00000D000000}" name="会社名ヘッダー除外"/>
    <tableColumn id="14" xr3:uid="{00000000-0010-0000-0500-00000E000000}" name="抽出方法"/>
    <tableColumn id="15" xr3:uid="{00000000-0010-0000-0500-00000F000000}" name="Box原文"/>
    <tableColumn id="16" xr3:uid="{00000000-0010-0000-0500-000010000000}" name="PDF URL"/>
    <tableColumn id="17" xr3:uid="{00000000-0010-0000-0500-000011000000}" name="全頁画像"/>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OtherPageBoxes" displayName="OtherPageBoxes" ref="A4:M835" totalsRowShown="0">
  <tableColumns count="13">
    <tableColumn id="1" xr3:uid="{00000000-0010-0000-0600-000001000000}" name="案件ID"/>
    <tableColumn id="2" xr3:uid="{00000000-0010-0000-0600-000002000000}" name="公募回"/>
    <tableColumn id="3" xr3:uid="{00000000-0010-0000-0600-000003000000}" name="申請企業"/>
    <tableColumn id="4" xr3:uid="{00000000-0010-0000-0600-000004000000}" name="ページ"/>
    <tableColumn id="5" xr3:uid="{00000000-0010-0000-0600-000005000000}" name="ページ種別"/>
    <tableColumn id="6" xr3:uid="{00000000-0010-0000-0600-000006000000}" name="Box番号"/>
    <tableColumn id="7" xr3:uid="{00000000-0010-0000-0600-000007000000}" name="Box分類"/>
    <tableColumn id="8" xr3:uid="{00000000-0010-0000-0600-000008000000}" name="Boxタイトル"/>
    <tableColumn id="9" xr3:uid="{00000000-0010-0000-0600-000009000000}" name="会社名ヘッダー除外"/>
    <tableColumn id="10" xr3:uid="{00000000-0010-0000-0600-00000A000000}" name="抽出方法"/>
    <tableColumn id="11" xr3:uid="{00000000-0010-0000-0600-00000B000000}" name="Box原文"/>
    <tableColumn id="12" xr3:uid="{00000000-0010-0000-0600-00000C000000}" name="PDF URL"/>
    <tableColumn id="13" xr3:uid="{00000000-0010-0000-0600-00000D000000}" name="全頁画像"/>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llPages" displayName="AllPages" ref="A4:G891" totalsRowShown="0">
  <tableColumns count="7">
    <tableColumn id="1" xr3:uid="{00000000-0010-0000-0700-000001000000}" name="案件ID"/>
    <tableColumn id="2" xr3:uid="{00000000-0010-0000-0700-000002000000}" name="公募回"/>
    <tableColumn id="3" xr3:uid="{00000000-0010-0000-0700-000003000000}" name="申請企業"/>
    <tableColumn id="4" xr3:uid="{00000000-0010-0000-0700-000004000000}" name="ページ"/>
    <tableColumn id="5" xr3:uid="{00000000-0010-0000-0700-000005000000}" name="ページ種別"/>
    <tableColumn id="6" xr3:uid="{00000000-0010-0000-0700-000006000000}" name="ページ原文"/>
    <tableColumn id="7" xr3:uid="{00000000-0010-0000-0700-000007000000}" name="PDF UR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llQA" displayName="AllQA" ref="A4:L385" totalsRowShown="0">
  <tableColumns count="12">
    <tableColumn id="1" xr3:uid="{00000000-0010-0000-0800-000001000000}" name="案件ID"/>
    <tableColumn id="2" xr3:uid="{00000000-0010-0000-0800-000002000000}" name="公募回"/>
    <tableColumn id="3" xr3:uid="{00000000-0010-0000-0800-000003000000}" name="申請企業"/>
    <tableColumn id="4" xr3:uid="{00000000-0010-0000-0800-000004000000}" name="QAフラグ"/>
    <tableColumn id="5" xr3:uid="{00000000-0010-0000-0800-000005000000}" name="主要指標high数"/>
    <tableColumn id="6" xr3:uid="{00000000-0010-0000-0800-000006000000}" name="主要指標ambiguous数"/>
    <tableColumn id="7" xr3:uid="{00000000-0010-0000-0800-000007000000}" name="multi_entity数"/>
    <tableColumn id="8" xr3:uid="{00000000-0010-0000-0800-000008000000}" name="事業費原文"/>
    <tableColumn id="9" xr3:uid="{00000000-0010-0000-0800-000009000000}" name="売上原文行数"/>
    <tableColumn id="10" xr3:uid="{00000000-0010-0000-0800-00000A000000}" name="総頁"/>
    <tableColumn id="11" xr3:uid="{00000000-0010-0000-0800-00000B000000}" name="ローカルPDF"/>
    <tableColumn id="12" xr3:uid="{00000000-0010-0000-0800-00000C000000}" name="全頁画像"/>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MetricValidation" displayName="MetricValidation" ref="A4:U1528" totalsRowShown="0">
  <tableColumns count="21">
    <tableColumn id="1" xr3:uid="{00000000-0010-0000-0900-000001000000}" name="案件ID"/>
    <tableColumn id="2" xr3:uid="{00000000-0010-0000-0900-000002000000}" name="公募回"/>
    <tableColumn id="3" xr3:uid="{00000000-0010-0000-0900-000003000000}" name="申請企業"/>
    <tableColumn id="4" xr3:uid="{00000000-0010-0000-0900-000004000000}" name="指標"/>
    <tableColumn id="5" xr3:uid="{00000000-0010-0000-0900-000005000000}" name="検証状態"/>
    <tableColumn id="6" xr3:uid="{00000000-0010-0000-0900-000006000000}" name="基準年"/>
    <tableColumn id="7" xr3:uid="{00000000-0010-0000-0900-000007000000}" name="基準値"/>
    <tableColumn id="8" xr3:uid="{00000000-0010-0000-0900-000008000000}" name="目標年"/>
    <tableColumn id="9" xr3:uid="{00000000-0010-0000-0900-000009000000}" name="目標値"/>
    <tableColumn id="10" xr3:uid="{00000000-0010-0000-0900-00000A000000}" name="単位"/>
    <tableColumn id="11" xr3:uid="{00000000-0010-0000-0900-00000B000000}" name="PDF記載年平均率(%)"/>
    <tableColumn id="12" xr3:uid="{00000000-0010-0000-0900-00000C000000}" name="再計算年平均率(%)"/>
    <tableColumn id="13" xr3:uid="{00000000-0010-0000-0900-00000D000000}" name="差(pt)"/>
    <tableColumn id="14" xr3:uid="{00000000-0010-0000-0900-00000E000000}" name="年度検証"/>
    <tableColumn id="15" xr3:uid="{00000000-0010-0000-0900-00000F000000}" name="抽出方法"/>
    <tableColumn id="16" xr3:uid="{00000000-0010-0000-0900-000010000000}" name="頁"/>
    <tableColumn id="17" xr3:uid="{00000000-0010-0000-0900-000011000000}" name="検証事項"/>
    <tableColumn id="18" xr3:uid="{00000000-0010-0000-0900-000012000000}" name="PDF表原文"/>
    <tableColumn id="19" xr3:uid="{00000000-0010-0000-0900-000013000000}" name="PDF URL"/>
    <tableColumn id="20" xr3:uid="{00000000-0010-0000-0900-000014000000}" name="ローカルPDF"/>
    <tableColumn id="21" xr3:uid="{00000000-0010-0000-0900-000015000000}" name="全頁画像"/>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385"/>
  <sheetViews>
    <sheetView showGridLines="0" tabSelected="1" workbookViewId="0">
      <selection sqref="A1:BR1"/>
    </sheetView>
  </sheetViews>
  <sheetFormatPr defaultRowHeight="14.25"/>
  <cols>
    <col min="1" max="2" width="14" customWidth="1"/>
    <col min="3" max="3" width="25" customWidth="1"/>
    <col min="4" max="13" width="14" customWidth="1"/>
    <col min="14" max="14" width="72" customWidth="1"/>
    <col min="15" max="17" width="14" customWidth="1"/>
    <col min="18" max="19" width="72" customWidth="1"/>
    <col min="20" max="20" width="28" customWidth="1"/>
    <col min="21" max="34" width="14" customWidth="1"/>
    <col min="35" max="35" width="28" customWidth="1"/>
    <col min="36" max="37" width="14" customWidth="1"/>
    <col min="38" max="38" width="72" customWidth="1"/>
    <col min="39" max="39" width="55" customWidth="1"/>
    <col min="40" max="62" width="14" customWidth="1"/>
    <col min="63" max="63" width="55" customWidth="1"/>
    <col min="64" max="64" width="48" customWidth="1"/>
    <col min="65" max="66" width="65" customWidth="1"/>
    <col min="67" max="70" width="28" customWidth="1"/>
  </cols>
  <sheetData>
    <row r="1" spans="1:70" ht="30"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row>
    <row r="2" spans="1:70" ht="38.1" customHeight="1">
      <c r="A2" s="25" t="s">
        <v>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row>
    <row r="4" spans="1:70" ht="45.95" customHeight="1">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c r="AO4" s="1" t="s">
        <v>42</v>
      </c>
      <c r="AP4" s="1" t="s">
        <v>43</v>
      </c>
      <c r="AQ4" s="1" t="s">
        <v>44</v>
      </c>
      <c r="AR4" s="1" t="s">
        <v>45</v>
      </c>
      <c r="AS4" s="1" t="s">
        <v>46</v>
      </c>
      <c r="AT4" s="1" t="s">
        <v>47</v>
      </c>
      <c r="AU4" s="1" t="s">
        <v>48</v>
      </c>
      <c r="AV4" s="1" t="s">
        <v>49</v>
      </c>
      <c r="AW4" s="1" t="s">
        <v>50</v>
      </c>
      <c r="AX4" s="1" t="s">
        <v>51</v>
      </c>
      <c r="AY4" s="1" t="s">
        <v>52</v>
      </c>
      <c r="AZ4" s="1" t="s">
        <v>53</v>
      </c>
      <c r="BA4" s="1" t="s">
        <v>54</v>
      </c>
      <c r="BB4" s="1" t="s">
        <v>55</v>
      </c>
      <c r="BC4" s="1" t="s">
        <v>56</v>
      </c>
      <c r="BD4" s="1" t="s">
        <v>57</v>
      </c>
      <c r="BE4" s="1" t="s">
        <v>58</v>
      </c>
      <c r="BF4" s="1" t="s">
        <v>59</v>
      </c>
      <c r="BG4" s="1" t="s">
        <v>60</v>
      </c>
      <c r="BH4" s="1" t="s">
        <v>61</v>
      </c>
      <c r="BI4" s="1" t="s">
        <v>62</v>
      </c>
      <c r="BJ4" s="1" t="s">
        <v>63</v>
      </c>
      <c r="BK4" s="1" t="s">
        <v>64</v>
      </c>
      <c r="BL4" s="1" t="s">
        <v>65</v>
      </c>
      <c r="BM4" s="1" t="s">
        <v>66</v>
      </c>
      <c r="BN4" s="1" t="s">
        <v>67</v>
      </c>
      <c r="BO4" s="1" t="s">
        <v>68</v>
      </c>
      <c r="BP4" s="1" t="s">
        <v>69</v>
      </c>
      <c r="BQ4" s="1" t="s">
        <v>70</v>
      </c>
      <c r="BR4" s="1" t="s">
        <v>71</v>
      </c>
    </row>
    <row r="5" spans="1:70" ht="45.95" customHeight="1">
      <c r="A5" s="4" t="s">
        <v>72</v>
      </c>
      <c r="B5" s="4" t="s">
        <v>73</v>
      </c>
      <c r="C5" s="4" t="s">
        <v>74</v>
      </c>
      <c r="D5" s="4" t="s">
        <v>74</v>
      </c>
      <c r="E5" s="4" t="s">
        <v>75</v>
      </c>
      <c r="F5" s="4"/>
      <c r="G5" s="4">
        <v>2</v>
      </c>
      <c r="H5" s="4">
        <v>0</v>
      </c>
      <c r="I5" s="4">
        <v>1</v>
      </c>
      <c r="J5" s="4">
        <v>1</v>
      </c>
      <c r="K5" s="4">
        <v>0</v>
      </c>
      <c r="L5" s="15">
        <v>2400</v>
      </c>
      <c r="M5" s="15">
        <v>760</v>
      </c>
      <c r="N5" s="7" t="s">
        <v>76</v>
      </c>
      <c r="O5" s="11">
        <f t="shared" ref="O5:O68" si="0">IFERROR(M5/L5*100,"")</f>
        <v>31.666666666666664</v>
      </c>
      <c r="P5" s="4">
        <v>2</v>
      </c>
      <c r="Q5" s="4" t="s">
        <v>77</v>
      </c>
      <c r="R5" s="7" t="s">
        <v>78</v>
      </c>
      <c r="S5" s="7" t="s">
        <v>79</v>
      </c>
      <c r="T5" s="7" t="s">
        <v>80</v>
      </c>
      <c r="U5" s="4" t="s">
        <v>81</v>
      </c>
      <c r="V5" s="4"/>
      <c r="W5" s="15"/>
      <c r="X5" s="4">
        <v>2029</v>
      </c>
      <c r="Y5" s="15"/>
      <c r="Z5" s="15">
        <v>92</v>
      </c>
      <c r="AA5" s="4">
        <v>2029</v>
      </c>
      <c r="AB5" s="15">
        <v>55</v>
      </c>
      <c r="AC5" s="4">
        <v>2029</v>
      </c>
      <c r="AD5" s="4" t="s">
        <v>82</v>
      </c>
      <c r="AE5" s="15"/>
      <c r="AF5" s="15"/>
      <c r="AG5" s="15"/>
      <c r="AH5" s="15"/>
      <c r="AI5" s="7" t="s">
        <v>83</v>
      </c>
      <c r="AJ5" s="4" t="s">
        <v>84</v>
      </c>
      <c r="AK5" s="4">
        <v>1</v>
      </c>
      <c r="AL5" s="7" t="s">
        <v>85</v>
      </c>
      <c r="AM5" s="7"/>
      <c r="AN5" s="4">
        <v>2026</v>
      </c>
      <c r="AO5" s="15">
        <v>862</v>
      </c>
      <c r="AP5" s="4">
        <v>2029</v>
      </c>
      <c r="AQ5" s="15">
        <v>1168</v>
      </c>
      <c r="AR5" s="4" t="s">
        <v>86</v>
      </c>
      <c r="AS5" s="15">
        <v>10.67</v>
      </c>
      <c r="AT5" s="4">
        <v>2026</v>
      </c>
      <c r="AU5" s="15">
        <v>439</v>
      </c>
      <c r="AV5" s="4">
        <v>2029</v>
      </c>
      <c r="AW5" s="15">
        <v>509</v>
      </c>
      <c r="AX5" s="4" t="s">
        <v>86</v>
      </c>
      <c r="AY5" s="15">
        <v>5</v>
      </c>
      <c r="AZ5" s="4">
        <v>2026</v>
      </c>
      <c r="BA5" s="15"/>
      <c r="BB5" s="4">
        <v>2029</v>
      </c>
      <c r="BC5" s="15"/>
      <c r="BD5" s="4" t="s">
        <v>86</v>
      </c>
      <c r="BE5" s="15">
        <v>5</v>
      </c>
      <c r="BF5" s="4">
        <v>2026</v>
      </c>
      <c r="BG5" s="15">
        <v>270</v>
      </c>
      <c r="BH5" s="4">
        <v>2029</v>
      </c>
      <c r="BI5" s="15">
        <v>290</v>
      </c>
      <c r="BJ5" s="4" t="s">
        <v>87</v>
      </c>
      <c r="BK5" s="7"/>
      <c r="BL5" s="7" t="str">
        <f>HYPERLINK("https://seichotoushi-hojo.jp/assets/pdf/koufu/outline_1.pdf","PDFを開く")</f>
        <v>PDFを開く</v>
      </c>
      <c r="BM5" s="7" t="s">
        <v>88</v>
      </c>
      <c r="BN5" s="7" t="s">
        <v>89</v>
      </c>
      <c r="BO5" s="7" t="s">
        <v>90</v>
      </c>
      <c r="BP5" s="7" t="s">
        <v>90</v>
      </c>
      <c r="BQ5" s="7" t="s">
        <v>91</v>
      </c>
      <c r="BR5" s="7" t="s">
        <v>92</v>
      </c>
    </row>
    <row r="6" spans="1:70" ht="45.95" customHeight="1">
      <c r="A6" s="2" t="s">
        <v>93</v>
      </c>
      <c r="B6" s="2" t="s">
        <v>73</v>
      </c>
      <c r="C6" s="2" t="s">
        <v>94</v>
      </c>
      <c r="D6" s="2" t="s">
        <v>94</v>
      </c>
      <c r="E6" s="2" t="s">
        <v>95</v>
      </c>
      <c r="F6" s="2"/>
      <c r="G6" s="2">
        <v>2</v>
      </c>
      <c r="H6" s="2">
        <v>0</v>
      </c>
      <c r="I6" s="2">
        <v>1</v>
      </c>
      <c r="J6" s="2">
        <v>1</v>
      </c>
      <c r="K6" s="2">
        <v>0</v>
      </c>
      <c r="L6" s="16">
        <v>8000</v>
      </c>
      <c r="M6" s="16">
        <v>2500</v>
      </c>
      <c r="N6" s="8" t="s">
        <v>96</v>
      </c>
      <c r="O6" s="12">
        <f t="shared" si="0"/>
        <v>31.25</v>
      </c>
      <c r="P6" s="2">
        <v>2</v>
      </c>
      <c r="Q6" s="2" t="s">
        <v>77</v>
      </c>
      <c r="R6" s="8" t="s">
        <v>97</v>
      </c>
      <c r="S6" s="8" t="s">
        <v>98</v>
      </c>
      <c r="T6" s="8" t="s">
        <v>80</v>
      </c>
      <c r="U6" s="2" t="s">
        <v>81</v>
      </c>
      <c r="V6" s="2">
        <v>2023</v>
      </c>
      <c r="W6" s="16">
        <v>223</v>
      </c>
      <c r="X6" s="2">
        <v>2029</v>
      </c>
      <c r="Y6" s="16">
        <v>800</v>
      </c>
      <c r="Z6" s="16">
        <v>577</v>
      </c>
      <c r="AA6" s="2">
        <v>2029</v>
      </c>
      <c r="AB6" s="16">
        <v>258.7</v>
      </c>
      <c r="AC6" s="2">
        <v>2029</v>
      </c>
      <c r="AD6" s="2" t="s">
        <v>99</v>
      </c>
      <c r="AE6" s="16"/>
      <c r="AF6" s="16"/>
      <c r="AG6" s="16">
        <v>23.726915836835992</v>
      </c>
      <c r="AH6" s="16"/>
      <c r="AI6" s="8" t="s">
        <v>100</v>
      </c>
      <c r="AJ6" s="2" t="s">
        <v>84</v>
      </c>
      <c r="AK6" s="2">
        <v>1</v>
      </c>
      <c r="AL6" s="8" t="s">
        <v>101</v>
      </c>
      <c r="AM6" s="8" t="s">
        <v>102</v>
      </c>
      <c r="AN6" s="2">
        <v>2026</v>
      </c>
      <c r="AO6" s="16">
        <v>1236</v>
      </c>
      <c r="AP6" s="2">
        <v>2029</v>
      </c>
      <c r="AQ6" s="16">
        <v>1870</v>
      </c>
      <c r="AR6" s="2" t="s">
        <v>86</v>
      </c>
      <c r="AS6" s="16">
        <v>14.8</v>
      </c>
      <c r="AT6" s="2">
        <v>2026</v>
      </c>
      <c r="AU6" s="16">
        <v>336</v>
      </c>
      <c r="AV6" s="2">
        <v>2029</v>
      </c>
      <c r="AW6" s="16">
        <v>369</v>
      </c>
      <c r="AX6" s="2" t="s">
        <v>86</v>
      </c>
      <c r="AY6" s="16">
        <v>3</v>
      </c>
      <c r="AZ6" s="2">
        <v>2026</v>
      </c>
      <c r="BA6" s="16"/>
      <c r="BB6" s="2">
        <v>2029</v>
      </c>
      <c r="BC6" s="16"/>
      <c r="BD6" s="2" t="s">
        <v>86</v>
      </c>
      <c r="BE6" s="16">
        <v>11.1</v>
      </c>
      <c r="BF6" s="2">
        <v>2026</v>
      </c>
      <c r="BG6" s="16">
        <v>840</v>
      </c>
      <c r="BH6" s="2">
        <v>2029</v>
      </c>
      <c r="BI6" s="16">
        <v>1132</v>
      </c>
      <c r="BJ6" s="2" t="s">
        <v>87</v>
      </c>
      <c r="BK6" s="8"/>
      <c r="BL6" s="8" t="str">
        <f>HYPERLINK("https://seichotoushi-hojo.jp/assets/pdf/koufu/outline_10.pdf","PDFを開く")</f>
        <v>PDFを開く</v>
      </c>
      <c r="BM6" s="8" t="s">
        <v>103</v>
      </c>
      <c r="BN6" s="8" t="s">
        <v>104</v>
      </c>
      <c r="BO6" s="8" t="s">
        <v>90</v>
      </c>
      <c r="BP6" s="8" t="s">
        <v>90</v>
      </c>
      <c r="BQ6" s="8" t="s">
        <v>91</v>
      </c>
      <c r="BR6" s="8" t="s">
        <v>92</v>
      </c>
    </row>
    <row r="7" spans="1:70" ht="45.95" customHeight="1">
      <c r="A7" s="5" t="s">
        <v>105</v>
      </c>
      <c r="B7" s="5" t="s">
        <v>73</v>
      </c>
      <c r="C7" s="5" t="s">
        <v>106</v>
      </c>
      <c r="D7" s="5" t="s">
        <v>106</v>
      </c>
      <c r="E7" s="5" t="s">
        <v>107</v>
      </c>
      <c r="F7" s="5"/>
      <c r="G7" s="5">
        <v>2</v>
      </c>
      <c r="H7" s="5">
        <v>0</v>
      </c>
      <c r="I7" s="5">
        <v>1</v>
      </c>
      <c r="J7" s="5">
        <v>1</v>
      </c>
      <c r="K7" s="5">
        <v>0</v>
      </c>
      <c r="L7" s="17">
        <v>4600</v>
      </c>
      <c r="M7" s="17">
        <v>1400</v>
      </c>
      <c r="N7" s="9" t="s">
        <v>108</v>
      </c>
      <c r="O7" s="13">
        <f t="shared" si="0"/>
        <v>30.434782608695656</v>
      </c>
      <c r="P7" s="5">
        <v>2</v>
      </c>
      <c r="Q7" s="5" t="s">
        <v>77</v>
      </c>
      <c r="R7" s="9" t="s">
        <v>108</v>
      </c>
      <c r="S7" s="9" t="s">
        <v>109</v>
      </c>
      <c r="T7" s="9" t="s">
        <v>80</v>
      </c>
      <c r="U7" s="5" t="s">
        <v>81</v>
      </c>
      <c r="V7" s="5">
        <v>2023</v>
      </c>
      <c r="W7" s="17"/>
      <c r="X7" s="5">
        <v>2038</v>
      </c>
      <c r="Y7" s="17"/>
      <c r="Z7" s="17">
        <v>638</v>
      </c>
      <c r="AA7" s="5">
        <v>2038</v>
      </c>
      <c r="AB7" s="17">
        <v>276</v>
      </c>
      <c r="AC7" s="5">
        <v>2038</v>
      </c>
      <c r="AD7" s="5" t="s">
        <v>82</v>
      </c>
      <c r="AE7" s="17"/>
      <c r="AF7" s="17"/>
      <c r="AG7" s="17"/>
      <c r="AH7" s="17"/>
      <c r="AI7" s="9" t="s">
        <v>83</v>
      </c>
      <c r="AJ7" s="5" t="s">
        <v>84</v>
      </c>
      <c r="AK7" s="5">
        <v>1</v>
      </c>
      <c r="AL7" s="9" t="s">
        <v>110</v>
      </c>
      <c r="AM7" s="9"/>
      <c r="AN7" s="5">
        <v>2026</v>
      </c>
      <c r="AO7" s="17">
        <v>1776</v>
      </c>
      <c r="AP7" s="5">
        <v>2029</v>
      </c>
      <c r="AQ7" s="17">
        <v>1973</v>
      </c>
      <c r="AR7" s="5" t="s">
        <v>86</v>
      </c>
      <c r="AS7" s="17">
        <v>9.1</v>
      </c>
      <c r="AT7" s="5">
        <v>2026</v>
      </c>
      <c r="AU7" s="17">
        <v>450</v>
      </c>
      <c r="AV7" s="5">
        <v>2029</v>
      </c>
      <c r="AW7" s="17">
        <v>507</v>
      </c>
      <c r="AX7" s="5" t="s">
        <v>86</v>
      </c>
      <c r="AY7" s="17">
        <v>4.0599999999999996</v>
      </c>
      <c r="AZ7" s="5">
        <v>2026</v>
      </c>
      <c r="BA7" s="17">
        <v>3069</v>
      </c>
      <c r="BB7" s="5">
        <v>2029</v>
      </c>
      <c r="BC7" s="17">
        <v>3453</v>
      </c>
      <c r="BD7" s="5" t="s">
        <v>86</v>
      </c>
      <c r="BE7" s="17">
        <v>4</v>
      </c>
      <c r="BF7" s="5">
        <v>2026</v>
      </c>
      <c r="BG7" s="17">
        <v>225</v>
      </c>
      <c r="BH7" s="5">
        <v>2029</v>
      </c>
      <c r="BI7" s="17">
        <v>298</v>
      </c>
      <c r="BJ7" s="5" t="s">
        <v>87</v>
      </c>
      <c r="BK7" s="9"/>
      <c r="BL7" s="9" t="str">
        <f>HYPERLINK("https://seichotoushi-hojo.jp/assets/pdf/koufu/outline_100.pdf","PDFを開く")</f>
        <v>PDFを開く</v>
      </c>
      <c r="BM7" s="9" t="s">
        <v>111</v>
      </c>
      <c r="BN7" s="9" t="s">
        <v>112</v>
      </c>
      <c r="BO7" s="9" t="s">
        <v>113</v>
      </c>
      <c r="BP7" s="9" t="s">
        <v>90</v>
      </c>
      <c r="BQ7" s="9" t="s">
        <v>90</v>
      </c>
      <c r="BR7" s="9" t="s">
        <v>92</v>
      </c>
    </row>
    <row r="8" spans="1:70" ht="45.95" customHeight="1">
      <c r="A8" s="2" t="s">
        <v>114</v>
      </c>
      <c r="B8" s="2" t="s">
        <v>73</v>
      </c>
      <c r="C8" s="2" t="s">
        <v>115</v>
      </c>
      <c r="D8" s="2" t="s">
        <v>115</v>
      </c>
      <c r="E8" s="2" t="s">
        <v>116</v>
      </c>
      <c r="F8" s="2"/>
      <c r="G8" s="2">
        <v>5</v>
      </c>
      <c r="H8" s="2">
        <v>0</v>
      </c>
      <c r="I8" s="2">
        <v>1</v>
      </c>
      <c r="J8" s="2">
        <v>4</v>
      </c>
      <c r="K8" s="2">
        <v>0</v>
      </c>
      <c r="L8" s="16">
        <v>3900</v>
      </c>
      <c r="M8" s="16">
        <v>1200</v>
      </c>
      <c r="N8" s="8" t="s">
        <v>117</v>
      </c>
      <c r="O8" s="12">
        <f t="shared" si="0"/>
        <v>30.76923076923077</v>
      </c>
      <c r="P8" s="2">
        <v>2</v>
      </c>
      <c r="Q8" s="2" t="s">
        <v>77</v>
      </c>
      <c r="R8" s="8" t="s">
        <v>118</v>
      </c>
      <c r="S8" s="8" t="s">
        <v>119</v>
      </c>
      <c r="T8" s="8" t="s">
        <v>80</v>
      </c>
      <c r="U8" s="2" t="s">
        <v>81</v>
      </c>
      <c r="V8" s="2">
        <v>2026</v>
      </c>
      <c r="W8" s="16">
        <v>400</v>
      </c>
      <c r="X8" s="2">
        <v>2041</v>
      </c>
      <c r="Y8" s="16">
        <v>1000</v>
      </c>
      <c r="Z8" s="16">
        <v>729</v>
      </c>
      <c r="AA8" s="2">
        <v>2041</v>
      </c>
      <c r="AB8" s="16"/>
      <c r="AC8" s="2"/>
      <c r="AD8" s="2"/>
      <c r="AE8" s="16"/>
      <c r="AF8" s="16"/>
      <c r="AG8" s="16">
        <v>6.2990379289539433</v>
      </c>
      <c r="AH8" s="16"/>
      <c r="AI8" s="8" t="s">
        <v>120</v>
      </c>
      <c r="AJ8" s="2" t="s">
        <v>84</v>
      </c>
      <c r="AK8" s="2">
        <v>1</v>
      </c>
      <c r="AL8" s="8" t="s">
        <v>121</v>
      </c>
      <c r="AM8" s="8" t="s">
        <v>122</v>
      </c>
      <c r="AN8" s="2">
        <v>2026</v>
      </c>
      <c r="AO8" s="16">
        <v>1027</v>
      </c>
      <c r="AP8" s="2">
        <v>2029</v>
      </c>
      <c r="AQ8" s="16">
        <v>1204</v>
      </c>
      <c r="AR8" s="2" t="s">
        <v>86</v>
      </c>
      <c r="AS8" s="16">
        <v>5.45</v>
      </c>
      <c r="AT8" s="2">
        <v>2026</v>
      </c>
      <c r="AU8" s="16">
        <v>631</v>
      </c>
      <c r="AV8" s="2">
        <v>2029</v>
      </c>
      <c r="AW8" s="16">
        <v>717</v>
      </c>
      <c r="AX8" s="2" t="s">
        <v>86</v>
      </c>
      <c r="AY8" s="16">
        <v>4.3499999999999996</v>
      </c>
      <c r="AZ8" s="2">
        <v>2026</v>
      </c>
      <c r="BA8" s="16">
        <v>1616</v>
      </c>
      <c r="BB8" s="2">
        <v>2029</v>
      </c>
      <c r="BC8" s="16">
        <v>1870</v>
      </c>
      <c r="BD8" s="2" t="s">
        <v>86</v>
      </c>
      <c r="BE8" s="16">
        <v>5</v>
      </c>
      <c r="BF8" s="2">
        <v>2026</v>
      </c>
      <c r="BG8" s="16">
        <v>795</v>
      </c>
      <c r="BH8" s="2">
        <v>2029</v>
      </c>
      <c r="BI8" s="16">
        <v>810</v>
      </c>
      <c r="BJ8" s="2" t="s">
        <v>87</v>
      </c>
      <c r="BK8" s="8"/>
      <c r="BL8" s="8" t="str">
        <f>HYPERLINK("https://seichotoushi-hojo.jp/assets/pdf/koufu/outline_101.pdf","PDFを開く")</f>
        <v>PDFを開く</v>
      </c>
      <c r="BM8" s="8" t="s">
        <v>123</v>
      </c>
      <c r="BN8" s="8" t="s">
        <v>124</v>
      </c>
      <c r="BO8" s="8" t="s">
        <v>90</v>
      </c>
      <c r="BP8" s="8" t="s">
        <v>90</v>
      </c>
      <c r="BQ8" s="8" t="s">
        <v>90</v>
      </c>
      <c r="BR8" s="8" t="s">
        <v>92</v>
      </c>
    </row>
    <row r="9" spans="1:70" ht="45.95" customHeight="1">
      <c r="A9" s="5" t="s">
        <v>125</v>
      </c>
      <c r="B9" s="5" t="s">
        <v>73</v>
      </c>
      <c r="C9" s="5" t="s">
        <v>126</v>
      </c>
      <c r="D9" s="5" t="s">
        <v>126</v>
      </c>
      <c r="E9" s="5" t="s">
        <v>75</v>
      </c>
      <c r="F9" s="5"/>
      <c r="G9" s="5">
        <v>2</v>
      </c>
      <c r="H9" s="5">
        <v>0</v>
      </c>
      <c r="I9" s="5">
        <v>1</v>
      </c>
      <c r="J9" s="5">
        <v>1</v>
      </c>
      <c r="K9" s="5">
        <v>0</v>
      </c>
      <c r="L9" s="17">
        <v>6900</v>
      </c>
      <c r="M9" s="17">
        <v>2200</v>
      </c>
      <c r="N9" s="9" t="s">
        <v>127</v>
      </c>
      <c r="O9" s="13">
        <f t="shared" si="0"/>
        <v>31.884057971014489</v>
      </c>
      <c r="P9" s="5">
        <v>2</v>
      </c>
      <c r="Q9" s="5" t="s">
        <v>77</v>
      </c>
      <c r="R9" s="9" t="s">
        <v>127</v>
      </c>
      <c r="S9" s="9" t="s">
        <v>128</v>
      </c>
      <c r="T9" s="9" t="s">
        <v>80</v>
      </c>
      <c r="U9" s="5" t="s">
        <v>81</v>
      </c>
      <c r="V9" s="5"/>
      <c r="W9" s="17"/>
      <c r="X9" s="5">
        <v>2029</v>
      </c>
      <c r="Y9" s="17"/>
      <c r="Z9" s="17">
        <v>65</v>
      </c>
      <c r="AA9" s="5">
        <v>2029</v>
      </c>
      <c r="AB9" s="17">
        <v>136</v>
      </c>
      <c r="AC9" s="5">
        <v>2029</v>
      </c>
      <c r="AD9" s="5" t="s">
        <v>82</v>
      </c>
      <c r="AE9" s="17"/>
      <c r="AF9" s="17"/>
      <c r="AG9" s="17"/>
      <c r="AH9" s="17"/>
      <c r="AI9" s="9" t="s">
        <v>83</v>
      </c>
      <c r="AJ9" s="5" t="s">
        <v>84</v>
      </c>
      <c r="AK9" s="5">
        <v>1</v>
      </c>
      <c r="AL9" s="9" t="s">
        <v>129</v>
      </c>
      <c r="AM9" s="9"/>
      <c r="AN9" s="5">
        <v>2026</v>
      </c>
      <c r="AO9" s="17">
        <v>912</v>
      </c>
      <c r="AP9" s="5">
        <v>2029</v>
      </c>
      <c r="AQ9" s="17">
        <v>1492</v>
      </c>
      <c r="AR9" s="5" t="s">
        <v>86</v>
      </c>
      <c r="AS9" s="17">
        <v>14.5</v>
      </c>
      <c r="AT9" s="5">
        <v>2026</v>
      </c>
      <c r="AU9" s="17">
        <v>471</v>
      </c>
      <c r="AV9" s="5">
        <v>2029</v>
      </c>
      <c r="AW9" s="17">
        <v>522.5</v>
      </c>
      <c r="AX9" s="5" t="s">
        <v>86</v>
      </c>
      <c r="AY9" s="17">
        <v>3.52</v>
      </c>
      <c r="AZ9" s="5">
        <v>2026</v>
      </c>
      <c r="BA9" s="17"/>
      <c r="BB9" s="5">
        <v>2029</v>
      </c>
      <c r="BC9" s="17"/>
      <c r="BD9" s="5" t="s">
        <v>86</v>
      </c>
      <c r="BE9" s="17">
        <v>3.03</v>
      </c>
      <c r="BF9" s="5">
        <v>2026</v>
      </c>
      <c r="BG9" s="17">
        <v>68</v>
      </c>
      <c r="BH9" s="5">
        <v>2029</v>
      </c>
      <c r="BI9" s="17">
        <v>80</v>
      </c>
      <c r="BJ9" s="5" t="s">
        <v>87</v>
      </c>
      <c r="BK9" s="9"/>
      <c r="BL9" s="9" t="str">
        <f>HYPERLINK("https://seichotoushi-hojo.jp/assets/pdf/koufu/outline_102.pdf","PDFを開く")</f>
        <v>PDFを開く</v>
      </c>
      <c r="BM9" s="9" t="s">
        <v>130</v>
      </c>
      <c r="BN9" s="9" t="s">
        <v>131</v>
      </c>
      <c r="BO9" s="9" t="s">
        <v>113</v>
      </c>
      <c r="BP9" s="9" t="s">
        <v>90</v>
      </c>
      <c r="BQ9" s="9" t="s">
        <v>91</v>
      </c>
      <c r="BR9" s="9" t="s">
        <v>92</v>
      </c>
    </row>
    <row r="10" spans="1:70" ht="45.95" customHeight="1">
      <c r="A10" s="2" t="s">
        <v>132</v>
      </c>
      <c r="B10" s="2" t="s">
        <v>73</v>
      </c>
      <c r="C10" s="2" t="s">
        <v>133</v>
      </c>
      <c r="D10" s="2" t="s">
        <v>133</v>
      </c>
      <c r="E10" s="2" t="s">
        <v>107</v>
      </c>
      <c r="F10" s="2"/>
      <c r="G10" s="2">
        <v>2</v>
      </c>
      <c r="H10" s="2">
        <v>0</v>
      </c>
      <c r="I10" s="2">
        <v>1</v>
      </c>
      <c r="J10" s="2">
        <v>1</v>
      </c>
      <c r="K10" s="2">
        <v>0</v>
      </c>
      <c r="L10" s="16">
        <v>2900</v>
      </c>
      <c r="M10" s="16">
        <v>960</v>
      </c>
      <c r="N10" s="8" t="s">
        <v>134</v>
      </c>
      <c r="O10" s="12">
        <f t="shared" si="0"/>
        <v>33.103448275862071</v>
      </c>
      <c r="P10" s="2">
        <v>2</v>
      </c>
      <c r="Q10" s="2" t="s">
        <v>77</v>
      </c>
      <c r="R10" s="8" t="s">
        <v>134</v>
      </c>
      <c r="S10" s="8" t="s">
        <v>135</v>
      </c>
      <c r="T10" s="8" t="s">
        <v>80</v>
      </c>
      <c r="U10" s="2" t="s">
        <v>81</v>
      </c>
      <c r="V10" s="2"/>
      <c r="W10" s="16"/>
      <c r="X10" s="2">
        <v>2030</v>
      </c>
      <c r="Y10" s="16"/>
      <c r="Z10" s="16">
        <v>44.7</v>
      </c>
      <c r="AA10" s="2">
        <v>2030</v>
      </c>
      <c r="AB10" s="16">
        <v>198</v>
      </c>
      <c r="AC10" s="2">
        <v>2030</v>
      </c>
      <c r="AD10" s="2" t="s">
        <v>82</v>
      </c>
      <c r="AE10" s="16"/>
      <c r="AF10" s="16"/>
      <c r="AG10" s="16"/>
      <c r="AH10" s="16"/>
      <c r="AI10" s="8" t="s">
        <v>83</v>
      </c>
      <c r="AJ10" s="2" t="s">
        <v>84</v>
      </c>
      <c r="AK10" s="2">
        <v>1</v>
      </c>
      <c r="AL10" s="8" t="s">
        <v>136</v>
      </c>
      <c r="AM10" s="8"/>
      <c r="AN10" s="2">
        <v>2027</v>
      </c>
      <c r="AO10" s="16">
        <v>1851</v>
      </c>
      <c r="AP10" s="2">
        <v>2030</v>
      </c>
      <c r="AQ10" s="16">
        <v>2592</v>
      </c>
      <c r="AR10" s="2" t="s">
        <v>86</v>
      </c>
      <c r="AS10" s="16">
        <v>11.9</v>
      </c>
      <c r="AT10" s="2">
        <v>2027</v>
      </c>
      <c r="AU10" s="16">
        <v>472</v>
      </c>
      <c r="AV10" s="2">
        <v>2030</v>
      </c>
      <c r="AW10" s="16">
        <v>551</v>
      </c>
      <c r="AX10" s="2" t="s">
        <v>86</v>
      </c>
      <c r="AY10" s="16">
        <v>5.3</v>
      </c>
      <c r="AZ10" s="2">
        <v>2027</v>
      </c>
      <c r="BA10" s="16">
        <v>0</v>
      </c>
      <c r="BB10" s="2">
        <v>2030</v>
      </c>
      <c r="BC10" s="16">
        <v>0</v>
      </c>
      <c r="BD10" s="2" t="s">
        <v>86</v>
      </c>
      <c r="BE10" s="16">
        <v>0</v>
      </c>
      <c r="BF10" s="2">
        <v>2027</v>
      </c>
      <c r="BG10" s="16">
        <v>35</v>
      </c>
      <c r="BH10" s="2">
        <v>2030</v>
      </c>
      <c r="BI10" s="16">
        <v>50</v>
      </c>
      <c r="BJ10" s="2" t="s">
        <v>87</v>
      </c>
      <c r="BK10" s="8"/>
      <c r="BL10" s="8" t="str">
        <f>HYPERLINK("https://seichotoushi-hojo.jp/assets/pdf/koufu/outline_103.pdf","PDFを開く")</f>
        <v>PDFを開く</v>
      </c>
      <c r="BM10" s="8" t="s">
        <v>137</v>
      </c>
      <c r="BN10" s="8" t="s">
        <v>138</v>
      </c>
      <c r="BO10" s="8" t="s">
        <v>90</v>
      </c>
      <c r="BP10" s="8" t="s">
        <v>90</v>
      </c>
      <c r="BQ10" s="8" t="s">
        <v>92</v>
      </c>
      <c r="BR10" s="8" t="s">
        <v>92</v>
      </c>
    </row>
    <row r="11" spans="1:70" ht="45.95" customHeight="1">
      <c r="A11" s="5" t="s">
        <v>139</v>
      </c>
      <c r="B11" s="5" t="s">
        <v>73</v>
      </c>
      <c r="C11" s="5" t="s">
        <v>140</v>
      </c>
      <c r="D11" s="5" t="s">
        <v>140</v>
      </c>
      <c r="E11" s="5" t="s">
        <v>95</v>
      </c>
      <c r="F11" s="5"/>
      <c r="G11" s="5">
        <v>2</v>
      </c>
      <c r="H11" s="5">
        <v>0</v>
      </c>
      <c r="I11" s="5">
        <v>1</v>
      </c>
      <c r="J11" s="5">
        <v>1</v>
      </c>
      <c r="K11" s="5">
        <v>0</v>
      </c>
      <c r="L11" s="17">
        <v>3400</v>
      </c>
      <c r="M11" s="17">
        <v>1100</v>
      </c>
      <c r="N11" s="9" t="s">
        <v>141</v>
      </c>
      <c r="O11" s="13">
        <f t="shared" si="0"/>
        <v>32.352941176470587</v>
      </c>
      <c r="P11" s="5">
        <v>2</v>
      </c>
      <c r="Q11" s="5" t="s">
        <v>77</v>
      </c>
      <c r="R11" s="9" t="s">
        <v>141</v>
      </c>
      <c r="S11" s="9" t="s">
        <v>142</v>
      </c>
      <c r="T11" s="9" t="s">
        <v>80</v>
      </c>
      <c r="U11" s="5" t="s">
        <v>81</v>
      </c>
      <c r="V11" s="5"/>
      <c r="W11" s="17"/>
      <c r="X11" s="5">
        <v>2030</v>
      </c>
      <c r="Y11" s="17"/>
      <c r="Z11" s="17">
        <v>47</v>
      </c>
      <c r="AA11" s="5">
        <v>2030</v>
      </c>
      <c r="AB11" s="17">
        <v>42</v>
      </c>
      <c r="AC11" s="5">
        <v>2030</v>
      </c>
      <c r="AD11" s="5" t="s">
        <v>82</v>
      </c>
      <c r="AE11" s="17"/>
      <c r="AF11" s="17"/>
      <c r="AG11" s="17"/>
      <c r="AH11" s="17"/>
      <c r="AI11" s="9" t="s">
        <v>83</v>
      </c>
      <c r="AJ11" s="5" t="s">
        <v>84</v>
      </c>
      <c r="AK11" s="5">
        <v>1</v>
      </c>
      <c r="AL11" s="9" t="s">
        <v>143</v>
      </c>
      <c r="AM11" s="9"/>
      <c r="AN11" s="5">
        <v>2026</v>
      </c>
      <c r="AO11" s="17">
        <v>1169</v>
      </c>
      <c r="AP11" s="5">
        <v>2029</v>
      </c>
      <c r="AQ11" s="17">
        <v>1489</v>
      </c>
      <c r="AR11" s="5" t="s">
        <v>86</v>
      </c>
      <c r="AS11" s="17">
        <v>8.4</v>
      </c>
      <c r="AT11" s="5">
        <v>2026</v>
      </c>
      <c r="AU11" s="17">
        <v>482</v>
      </c>
      <c r="AV11" s="5">
        <v>2029</v>
      </c>
      <c r="AW11" s="17">
        <v>550</v>
      </c>
      <c r="AX11" s="5" t="s">
        <v>86</v>
      </c>
      <c r="AY11" s="17">
        <v>4.5</v>
      </c>
      <c r="AZ11" s="5">
        <v>2026</v>
      </c>
      <c r="BA11" s="17"/>
      <c r="BB11" s="5">
        <v>2029</v>
      </c>
      <c r="BC11" s="17"/>
      <c r="BD11" s="5" t="s">
        <v>86</v>
      </c>
      <c r="BE11" s="17">
        <v>4.5</v>
      </c>
      <c r="BF11" s="5">
        <v>2026</v>
      </c>
      <c r="BG11" s="17">
        <v>215</v>
      </c>
      <c r="BH11" s="5">
        <v>2029</v>
      </c>
      <c r="BI11" s="17">
        <v>225</v>
      </c>
      <c r="BJ11" s="5" t="s">
        <v>87</v>
      </c>
      <c r="BK11" s="9"/>
      <c r="BL11" s="9" t="str">
        <f>HYPERLINK("https://seichotoushi-hojo.jp/assets/pdf/koufu/outline_104.pdf","PDFを開く")</f>
        <v>PDFを開く</v>
      </c>
      <c r="BM11" s="9" t="s">
        <v>144</v>
      </c>
      <c r="BN11" s="9" t="s">
        <v>145</v>
      </c>
      <c r="BO11" s="9" t="s">
        <v>90</v>
      </c>
      <c r="BP11" s="9" t="s">
        <v>90</v>
      </c>
      <c r="BQ11" s="9" t="s">
        <v>91</v>
      </c>
      <c r="BR11" s="9" t="s">
        <v>92</v>
      </c>
    </row>
    <row r="12" spans="1:70" ht="45.95" customHeight="1">
      <c r="A12" s="2" t="s">
        <v>146</v>
      </c>
      <c r="B12" s="2" t="s">
        <v>73</v>
      </c>
      <c r="C12" s="2" t="s">
        <v>147</v>
      </c>
      <c r="D12" s="2" t="s">
        <v>147</v>
      </c>
      <c r="E12" s="2"/>
      <c r="F12" s="2"/>
      <c r="G12" s="2">
        <v>2</v>
      </c>
      <c r="H12" s="2">
        <v>0</v>
      </c>
      <c r="I12" s="2">
        <v>1</v>
      </c>
      <c r="J12" s="2">
        <v>1</v>
      </c>
      <c r="K12" s="2">
        <v>0</v>
      </c>
      <c r="L12" s="16">
        <v>6500</v>
      </c>
      <c r="M12" s="16">
        <v>2000</v>
      </c>
      <c r="N12" s="8" t="s">
        <v>148</v>
      </c>
      <c r="O12" s="12">
        <f t="shared" si="0"/>
        <v>30.76923076923077</v>
      </c>
      <c r="P12" s="2">
        <v>2</v>
      </c>
      <c r="Q12" s="2" t="s">
        <v>77</v>
      </c>
      <c r="R12" s="8" t="s">
        <v>148</v>
      </c>
      <c r="S12" s="8" t="s">
        <v>149</v>
      </c>
      <c r="T12" s="8" t="s">
        <v>80</v>
      </c>
      <c r="U12" s="2" t="s">
        <v>81</v>
      </c>
      <c r="V12" s="2"/>
      <c r="W12" s="16"/>
      <c r="X12" s="2">
        <v>2030</v>
      </c>
      <c r="Y12" s="16">
        <v>120</v>
      </c>
      <c r="Z12" s="16"/>
      <c r="AA12" s="2"/>
      <c r="AB12" s="16">
        <v>170</v>
      </c>
      <c r="AC12" s="2">
        <v>2030</v>
      </c>
      <c r="AD12" s="2" t="s">
        <v>82</v>
      </c>
      <c r="AE12" s="16"/>
      <c r="AF12" s="16"/>
      <c r="AG12" s="16"/>
      <c r="AH12" s="16"/>
      <c r="AI12" s="8" t="s">
        <v>83</v>
      </c>
      <c r="AJ12" s="2" t="s">
        <v>84</v>
      </c>
      <c r="AK12" s="2">
        <v>1</v>
      </c>
      <c r="AL12" s="8" t="s">
        <v>150</v>
      </c>
      <c r="AM12" s="8" t="s">
        <v>151</v>
      </c>
      <c r="AN12" s="2">
        <v>2027</v>
      </c>
      <c r="AO12" s="16">
        <v>877</v>
      </c>
      <c r="AP12" s="2">
        <v>2030</v>
      </c>
      <c r="AQ12" s="16">
        <v>1020</v>
      </c>
      <c r="AR12" s="2" t="s">
        <v>86</v>
      </c>
      <c r="AS12" s="16">
        <v>5.2</v>
      </c>
      <c r="AT12" s="2">
        <v>2027</v>
      </c>
      <c r="AU12" s="16">
        <v>526</v>
      </c>
      <c r="AV12" s="2">
        <v>2030</v>
      </c>
      <c r="AW12" s="16">
        <v>618</v>
      </c>
      <c r="AX12" s="2" t="s">
        <v>86</v>
      </c>
      <c r="AY12" s="16">
        <v>5</v>
      </c>
      <c r="AZ12" s="2"/>
      <c r="BA12" s="16"/>
      <c r="BB12" s="2"/>
      <c r="BC12" s="16"/>
      <c r="BD12" s="2"/>
      <c r="BE12" s="16"/>
      <c r="BF12" s="2"/>
      <c r="BG12" s="16"/>
      <c r="BH12" s="2"/>
      <c r="BI12" s="16"/>
      <c r="BJ12" s="2" t="s">
        <v>152</v>
      </c>
      <c r="BK12" s="8" t="s">
        <v>153</v>
      </c>
      <c r="BL12" s="8" t="str">
        <f>HYPERLINK("https://seichotoushi-hojo.jp/assets/pdf/koufu/outline_105.pdf","PDFを開く")</f>
        <v>PDFを開く</v>
      </c>
      <c r="BM12" s="8" t="s">
        <v>154</v>
      </c>
      <c r="BN12" s="8" t="s">
        <v>155</v>
      </c>
      <c r="BO12" s="8" t="s">
        <v>90</v>
      </c>
      <c r="BP12" s="8" t="s">
        <v>90</v>
      </c>
      <c r="BQ12" s="8" t="s">
        <v>156</v>
      </c>
      <c r="BR12" s="8" t="s">
        <v>157</v>
      </c>
    </row>
    <row r="13" spans="1:70" ht="45.95" customHeight="1">
      <c r="A13" s="5" t="s">
        <v>158</v>
      </c>
      <c r="B13" s="5" t="s">
        <v>73</v>
      </c>
      <c r="C13" s="5" t="s">
        <v>159</v>
      </c>
      <c r="D13" s="5" t="s">
        <v>159</v>
      </c>
      <c r="E13" s="5" t="s">
        <v>160</v>
      </c>
      <c r="F13" s="5"/>
      <c r="G13" s="5">
        <v>2</v>
      </c>
      <c r="H13" s="5">
        <v>0</v>
      </c>
      <c r="I13" s="5">
        <v>1</v>
      </c>
      <c r="J13" s="5">
        <v>1</v>
      </c>
      <c r="K13" s="5">
        <v>0</v>
      </c>
      <c r="L13" s="17">
        <v>2100</v>
      </c>
      <c r="M13" s="17">
        <v>630</v>
      </c>
      <c r="N13" s="9" t="s">
        <v>161</v>
      </c>
      <c r="O13" s="13">
        <f t="shared" si="0"/>
        <v>30</v>
      </c>
      <c r="P13" s="5">
        <v>2</v>
      </c>
      <c r="Q13" s="5" t="s">
        <v>77</v>
      </c>
      <c r="R13" s="9" t="s">
        <v>161</v>
      </c>
      <c r="S13" s="9" t="s">
        <v>162</v>
      </c>
      <c r="T13" s="9" t="s">
        <v>80</v>
      </c>
      <c r="U13" s="5" t="s">
        <v>81</v>
      </c>
      <c r="V13" s="5">
        <v>2023</v>
      </c>
      <c r="W13" s="17"/>
      <c r="X13" s="5">
        <v>2029</v>
      </c>
      <c r="Y13" s="17"/>
      <c r="Z13" s="17">
        <v>76</v>
      </c>
      <c r="AA13" s="5">
        <v>2029</v>
      </c>
      <c r="AB13" s="17"/>
      <c r="AC13" s="5"/>
      <c r="AD13" s="5"/>
      <c r="AE13" s="17"/>
      <c r="AF13" s="17"/>
      <c r="AG13" s="17"/>
      <c r="AH13" s="17"/>
      <c r="AI13" s="9" t="s">
        <v>83</v>
      </c>
      <c r="AJ13" s="5" t="s">
        <v>84</v>
      </c>
      <c r="AK13" s="5">
        <v>1</v>
      </c>
      <c r="AL13" s="9" t="s">
        <v>163</v>
      </c>
      <c r="AM13" s="9"/>
      <c r="AN13" s="5">
        <v>2026</v>
      </c>
      <c r="AO13" s="17">
        <v>216</v>
      </c>
      <c r="AP13" s="5">
        <v>2029</v>
      </c>
      <c r="AQ13" s="17">
        <v>261</v>
      </c>
      <c r="AR13" s="5" t="s">
        <v>86</v>
      </c>
      <c r="AS13" s="17">
        <v>6.4</v>
      </c>
      <c r="AT13" s="5">
        <v>2026</v>
      </c>
      <c r="AU13" s="17">
        <v>128</v>
      </c>
      <c r="AV13" s="5">
        <v>2029</v>
      </c>
      <c r="AW13" s="17">
        <v>149</v>
      </c>
      <c r="AX13" s="5" t="s">
        <v>86</v>
      </c>
      <c r="AY13" s="17">
        <v>5.2</v>
      </c>
      <c r="AZ13" s="5"/>
      <c r="BA13" s="17"/>
      <c r="BB13" s="5"/>
      <c r="BC13" s="17"/>
      <c r="BD13" s="5"/>
      <c r="BE13" s="17"/>
      <c r="BF13" s="5">
        <v>2026</v>
      </c>
      <c r="BG13" s="17">
        <v>750</v>
      </c>
      <c r="BH13" s="5">
        <v>2029</v>
      </c>
      <c r="BI13" s="17">
        <v>900</v>
      </c>
      <c r="BJ13" s="5" t="s">
        <v>87</v>
      </c>
      <c r="BK13" s="9"/>
      <c r="BL13" s="9" t="str">
        <f>HYPERLINK("https://seichotoushi-hojo.jp/assets/pdf/koufu/outline_106.pdf","PDFを開く")</f>
        <v>PDFを開く</v>
      </c>
      <c r="BM13" s="9" t="s">
        <v>164</v>
      </c>
      <c r="BN13" s="9" t="s">
        <v>165</v>
      </c>
      <c r="BO13" s="9" t="s">
        <v>90</v>
      </c>
      <c r="BP13" s="9" t="s">
        <v>166</v>
      </c>
      <c r="BQ13" s="9" t="s">
        <v>157</v>
      </c>
      <c r="BR13" s="9" t="s">
        <v>92</v>
      </c>
    </row>
    <row r="14" spans="1:70" ht="45.95" customHeight="1">
      <c r="A14" s="2" t="s">
        <v>167</v>
      </c>
      <c r="B14" s="2" t="s">
        <v>73</v>
      </c>
      <c r="C14" s="2" t="s">
        <v>168</v>
      </c>
      <c r="D14" s="2" t="s">
        <v>168</v>
      </c>
      <c r="E14" s="2" t="s">
        <v>95</v>
      </c>
      <c r="F14" s="2"/>
      <c r="G14" s="2">
        <v>2</v>
      </c>
      <c r="H14" s="2">
        <v>0</v>
      </c>
      <c r="I14" s="2">
        <v>1</v>
      </c>
      <c r="J14" s="2">
        <v>1</v>
      </c>
      <c r="K14" s="2">
        <v>0</v>
      </c>
      <c r="L14" s="16">
        <v>3900</v>
      </c>
      <c r="M14" s="16">
        <v>1300</v>
      </c>
      <c r="N14" s="8" t="s">
        <v>169</v>
      </c>
      <c r="O14" s="12">
        <f t="shared" si="0"/>
        <v>33.333333333333329</v>
      </c>
      <c r="P14" s="2">
        <v>2</v>
      </c>
      <c r="Q14" s="2" t="s">
        <v>77</v>
      </c>
      <c r="R14" s="8" t="s">
        <v>170</v>
      </c>
      <c r="S14" s="8" t="s">
        <v>171</v>
      </c>
      <c r="T14" s="8" t="s">
        <v>80</v>
      </c>
      <c r="U14" s="2" t="s">
        <v>81</v>
      </c>
      <c r="V14" s="2">
        <v>2023</v>
      </c>
      <c r="W14" s="16"/>
      <c r="X14" s="2">
        <v>2030</v>
      </c>
      <c r="Y14" s="16"/>
      <c r="Z14" s="16">
        <v>70</v>
      </c>
      <c r="AA14" s="2">
        <v>2030</v>
      </c>
      <c r="AB14" s="16">
        <v>13</v>
      </c>
      <c r="AC14" s="2">
        <v>2030</v>
      </c>
      <c r="AD14" s="2" t="s">
        <v>82</v>
      </c>
      <c r="AE14" s="16"/>
      <c r="AF14" s="16"/>
      <c r="AG14" s="16"/>
      <c r="AH14" s="16"/>
      <c r="AI14" s="8" t="s">
        <v>83</v>
      </c>
      <c r="AJ14" s="2" t="s">
        <v>84</v>
      </c>
      <c r="AK14" s="2">
        <v>1</v>
      </c>
      <c r="AL14" s="8" t="s">
        <v>172</v>
      </c>
      <c r="AM14" s="8"/>
      <c r="AN14" s="2"/>
      <c r="AO14" s="16">
        <v>1375</v>
      </c>
      <c r="AP14" s="2"/>
      <c r="AQ14" s="16">
        <v>1431</v>
      </c>
      <c r="AR14" s="2" t="s">
        <v>86</v>
      </c>
      <c r="AS14" s="16">
        <v>1.3</v>
      </c>
      <c r="AT14" s="2"/>
      <c r="AU14" s="16">
        <v>312</v>
      </c>
      <c r="AV14" s="2"/>
      <c r="AW14" s="16">
        <v>356</v>
      </c>
      <c r="AX14" s="2" t="s">
        <v>86</v>
      </c>
      <c r="AY14" s="16">
        <v>4.5</v>
      </c>
      <c r="AZ14" s="2"/>
      <c r="BA14" s="16"/>
      <c r="BB14" s="2"/>
      <c r="BC14" s="16"/>
      <c r="BD14" s="2" t="s">
        <v>86</v>
      </c>
      <c r="BE14" s="16">
        <v>5.0999999999999996</v>
      </c>
      <c r="BF14" s="2"/>
      <c r="BG14" s="16">
        <v>54</v>
      </c>
      <c r="BH14" s="2"/>
      <c r="BI14" s="16">
        <v>95</v>
      </c>
      <c r="BJ14" s="2" t="s">
        <v>87</v>
      </c>
      <c r="BK14" s="8"/>
      <c r="BL14" s="8" t="str">
        <f>HYPERLINK("https://seichotoushi-hojo.jp/assets/pdf/koufu/outline_107.pdf","PDFを開く")</f>
        <v>PDFを開く</v>
      </c>
      <c r="BM14" s="8" t="s">
        <v>173</v>
      </c>
      <c r="BN14" s="8" t="s">
        <v>174</v>
      </c>
      <c r="BO14" s="8" t="s">
        <v>90</v>
      </c>
      <c r="BP14" s="8" t="s">
        <v>90</v>
      </c>
      <c r="BQ14" s="8" t="s">
        <v>91</v>
      </c>
      <c r="BR14" s="8" t="s">
        <v>92</v>
      </c>
    </row>
    <row r="15" spans="1:70" ht="45.95" customHeight="1">
      <c r="A15" s="5" t="s">
        <v>175</v>
      </c>
      <c r="B15" s="5" t="s">
        <v>73</v>
      </c>
      <c r="C15" s="5" t="s">
        <v>176</v>
      </c>
      <c r="D15" s="5" t="s">
        <v>176</v>
      </c>
      <c r="E15" s="5" t="s">
        <v>75</v>
      </c>
      <c r="F15" s="5"/>
      <c r="G15" s="5">
        <v>4</v>
      </c>
      <c r="H15" s="5">
        <v>0</v>
      </c>
      <c r="I15" s="5">
        <v>3</v>
      </c>
      <c r="J15" s="5">
        <v>1</v>
      </c>
      <c r="K15" s="5">
        <v>0</v>
      </c>
      <c r="L15" s="17">
        <v>1300</v>
      </c>
      <c r="M15" s="17">
        <v>440</v>
      </c>
      <c r="N15" s="9" t="s">
        <v>177</v>
      </c>
      <c r="O15" s="13">
        <f t="shared" si="0"/>
        <v>33.846153846153847</v>
      </c>
      <c r="P15" s="5">
        <v>4</v>
      </c>
      <c r="Q15" s="5" t="s">
        <v>77</v>
      </c>
      <c r="R15" s="9" t="s">
        <v>178</v>
      </c>
      <c r="S15" s="9" t="s">
        <v>179</v>
      </c>
      <c r="T15" s="9" t="s">
        <v>80</v>
      </c>
      <c r="U15" s="5" t="s">
        <v>81</v>
      </c>
      <c r="V15" s="5"/>
      <c r="W15" s="17"/>
      <c r="X15" s="5"/>
      <c r="Y15" s="17">
        <v>1000</v>
      </c>
      <c r="Z15" s="17"/>
      <c r="AA15" s="5"/>
      <c r="AB15" s="17"/>
      <c r="AC15" s="5"/>
      <c r="AD15" s="5"/>
      <c r="AE15" s="17"/>
      <c r="AF15" s="17"/>
      <c r="AG15" s="17"/>
      <c r="AH15" s="17"/>
      <c r="AI15" s="9" t="s">
        <v>83</v>
      </c>
      <c r="AJ15" s="5" t="s">
        <v>84</v>
      </c>
      <c r="AK15" s="5">
        <v>2</v>
      </c>
      <c r="AL15" s="9" t="s">
        <v>180</v>
      </c>
      <c r="AM15" s="9"/>
      <c r="AN15" s="5">
        <v>2024</v>
      </c>
      <c r="AO15" s="17">
        <v>926</v>
      </c>
      <c r="AP15" s="5">
        <v>2027</v>
      </c>
      <c r="AQ15" s="17">
        <v>1302</v>
      </c>
      <c r="AR15" s="5" t="s">
        <v>86</v>
      </c>
      <c r="AS15" s="17">
        <v>12</v>
      </c>
      <c r="AT15" s="5">
        <v>2024</v>
      </c>
      <c r="AU15" s="17">
        <v>449</v>
      </c>
      <c r="AV15" s="5">
        <v>2027</v>
      </c>
      <c r="AW15" s="17">
        <v>520</v>
      </c>
      <c r="AX15" s="5" t="s">
        <v>86</v>
      </c>
      <c r="AY15" s="17">
        <v>5</v>
      </c>
      <c r="AZ15" s="5">
        <v>2024</v>
      </c>
      <c r="BA15" s="17">
        <v>1182</v>
      </c>
      <c r="BB15" s="5">
        <v>2027</v>
      </c>
      <c r="BC15" s="17">
        <v>1368</v>
      </c>
      <c r="BD15" s="5" t="s">
        <v>86</v>
      </c>
      <c r="BE15" s="17">
        <v>5</v>
      </c>
      <c r="BF15" s="5">
        <v>2024</v>
      </c>
      <c r="BG15" s="17">
        <v>773</v>
      </c>
      <c r="BH15" s="5">
        <v>2027</v>
      </c>
      <c r="BI15" s="17">
        <v>901</v>
      </c>
      <c r="BJ15" s="5" t="s">
        <v>87</v>
      </c>
      <c r="BK15" s="9" t="s">
        <v>181</v>
      </c>
      <c r="BL15" s="9" t="str">
        <f>HYPERLINK("https://seichotoushi-hojo.jp/assets/pdf/koufu/outline_108.pdf","PDFを開く")</f>
        <v>PDFを開く</v>
      </c>
      <c r="BM15" s="9" t="s">
        <v>182</v>
      </c>
      <c r="BN15" s="9" t="s">
        <v>183</v>
      </c>
      <c r="BO15" s="9" t="s">
        <v>90</v>
      </c>
      <c r="BP15" s="9" t="s">
        <v>90</v>
      </c>
      <c r="BQ15" s="9" t="s">
        <v>90</v>
      </c>
      <c r="BR15" s="9" t="s">
        <v>92</v>
      </c>
    </row>
    <row r="16" spans="1:70" ht="45.95" customHeight="1">
      <c r="A16" s="2" t="s">
        <v>184</v>
      </c>
      <c r="B16" s="2" t="s">
        <v>73</v>
      </c>
      <c r="C16" s="2" t="s">
        <v>185</v>
      </c>
      <c r="D16" s="2" t="s">
        <v>185</v>
      </c>
      <c r="E16" s="2" t="s">
        <v>186</v>
      </c>
      <c r="F16" s="2"/>
      <c r="G16" s="2">
        <v>2</v>
      </c>
      <c r="H16" s="2">
        <v>0</v>
      </c>
      <c r="I16" s="2">
        <v>1</v>
      </c>
      <c r="J16" s="2">
        <v>1</v>
      </c>
      <c r="K16" s="2">
        <v>0</v>
      </c>
      <c r="L16" s="16">
        <v>1490</v>
      </c>
      <c r="M16" s="16">
        <v>490</v>
      </c>
      <c r="N16" s="8" t="s">
        <v>187</v>
      </c>
      <c r="O16" s="12">
        <f t="shared" si="0"/>
        <v>32.885906040268459</v>
      </c>
      <c r="P16" s="2">
        <v>2</v>
      </c>
      <c r="Q16" s="2" t="s">
        <v>77</v>
      </c>
      <c r="R16" s="8" t="s">
        <v>188</v>
      </c>
      <c r="S16" s="8" t="s">
        <v>189</v>
      </c>
      <c r="T16" s="8" t="s">
        <v>80</v>
      </c>
      <c r="U16" s="2" t="s">
        <v>81</v>
      </c>
      <c r="V16" s="2">
        <v>2023</v>
      </c>
      <c r="W16" s="16"/>
      <c r="X16" s="2">
        <v>2030</v>
      </c>
      <c r="Y16" s="16">
        <v>101</v>
      </c>
      <c r="Z16" s="16"/>
      <c r="AA16" s="2"/>
      <c r="AB16" s="16"/>
      <c r="AC16" s="2"/>
      <c r="AD16" s="2"/>
      <c r="AE16" s="16"/>
      <c r="AF16" s="16"/>
      <c r="AG16" s="16"/>
      <c r="AH16" s="16"/>
      <c r="AI16" s="8" t="s">
        <v>83</v>
      </c>
      <c r="AJ16" s="2" t="s">
        <v>84</v>
      </c>
      <c r="AK16" s="2">
        <v>1</v>
      </c>
      <c r="AL16" s="8" t="s">
        <v>190</v>
      </c>
      <c r="AM16" s="8" t="s">
        <v>191</v>
      </c>
      <c r="AN16" s="2">
        <v>2025</v>
      </c>
      <c r="AO16" s="16">
        <v>867</v>
      </c>
      <c r="AP16" s="2">
        <v>2028</v>
      </c>
      <c r="AQ16" s="16">
        <v>1384</v>
      </c>
      <c r="AR16" s="2" t="s">
        <v>86</v>
      </c>
      <c r="AS16" s="16">
        <v>17</v>
      </c>
      <c r="AT16" s="2">
        <v>2025</v>
      </c>
      <c r="AU16" s="16">
        <v>505</v>
      </c>
      <c r="AV16" s="2">
        <v>2028</v>
      </c>
      <c r="AW16" s="16">
        <v>601</v>
      </c>
      <c r="AX16" s="2" t="s">
        <v>86</v>
      </c>
      <c r="AY16" s="16">
        <v>6</v>
      </c>
      <c r="AZ16" s="2">
        <v>2025</v>
      </c>
      <c r="BA16" s="16">
        <v>2410</v>
      </c>
      <c r="BB16" s="2">
        <v>2028</v>
      </c>
      <c r="BC16" s="16">
        <v>2871</v>
      </c>
      <c r="BD16" s="2" t="s">
        <v>86</v>
      </c>
      <c r="BE16" s="16">
        <v>6</v>
      </c>
      <c r="BF16" s="2">
        <v>2025</v>
      </c>
      <c r="BG16" s="16">
        <v>260</v>
      </c>
      <c r="BH16" s="2">
        <v>2028</v>
      </c>
      <c r="BI16" s="16">
        <v>314</v>
      </c>
      <c r="BJ16" s="2" t="s">
        <v>87</v>
      </c>
      <c r="BK16" s="8" t="s">
        <v>192</v>
      </c>
      <c r="BL16" s="8" t="str">
        <f>HYPERLINK("https://seichotoushi-hojo.jp/assets/pdf/koufu/outline_109.pdf","PDFを開く")</f>
        <v>PDFを開く</v>
      </c>
      <c r="BM16" s="8" t="s">
        <v>193</v>
      </c>
      <c r="BN16" s="8" t="s">
        <v>194</v>
      </c>
      <c r="BO16" s="8" t="s">
        <v>90</v>
      </c>
      <c r="BP16" s="8" t="s">
        <v>90</v>
      </c>
      <c r="BQ16" s="8" t="s">
        <v>90</v>
      </c>
      <c r="BR16" s="8" t="s">
        <v>92</v>
      </c>
    </row>
    <row r="17" spans="1:70" ht="45.95" customHeight="1">
      <c r="A17" s="5" t="s">
        <v>195</v>
      </c>
      <c r="B17" s="5" t="s">
        <v>73</v>
      </c>
      <c r="C17" s="5" t="s">
        <v>196</v>
      </c>
      <c r="D17" s="5" t="s">
        <v>196</v>
      </c>
      <c r="E17" s="5" t="s">
        <v>75</v>
      </c>
      <c r="F17" s="5"/>
      <c r="G17" s="5">
        <v>2</v>
      </c>
      <c r="H17" s="5">
        <v>0</v>
      </c>
      <c r="I17" s="5">
        <v>1</v>
      </c>
      <c r="J17" s="5">
        <v>1</v>
      </c>
      <c r="K17" s="5">
        <v>0</v>
      </c>
      <c r="L17" s="17">
        <v>11300</v>
      </c>
      <c r="M17" s="17">
        <v>3600</v>
      </c>
      <c r="N17" s="9" t="s">
        <v>197</v>
      </c>
      <c r="O17" s="13">
        <f t="shared" si="0"/>
        <v>31.858407079646017</v>
      </c>
      <c r="P17" s="5">
        <v>2</v>
      </c>
      <c r="Q17" s="5" t="s">
        <v>77</v>
      </c>
      <c r="R17" s="9" t="s">
        <v>198</v>
      </c>
      <c r="S17" s="9" t="s">
        <v>199</v>
      </c>
      <c r="T17" s="9" t="s">
        <v>80</v>
      </c>
      <c r="U17" s="5" t="s">
        <v>81</v>
      </c>
      <c r="V17" s="5">
        <v>2030</v>
      </c>
      <c r="W17" s="17">
        <v>200</v>
      </c>
      <c r="X17" s="5">
        <v>2035</v>
      </c>
      <c r="Y17" s="17">
        <v>200</v>
      </c>
      <c r="Z17" s="17">
        <v>15</v>
      </c>
      <c r="AA17" s="5">
        <v>2035</v>
      </c>
      <c r="AB17" s="17">
        <v>155</v>
      </c>
      <c r="AC17" s="5">
        <v>2035</v>
      </c>
      <c r="AD17" s="5" t="s">
        <v>82</v>
      </c>
      <c r="AE17" s="17"/>
      <c r="AF17" s="17"/>
      <c r="AG17" s="17">
        <v>0</v>
      </c>
      <c r="AH17" s="17"/>
      <c r="AI17" s="9" t="s">
        <v>200</v>
      </c>
      <c r="AJ17" s="5" t="s">
        <v>84</v>
      </c>
      <c r="AK17" s="5">
        <v>1</v>
      </c>
      <c r="AL17" s="9" t="s">
        <v>201</v>
      </c>
      <c r="AM17" s="9" t="s">
        <v>202</v>
      </c>
      <c r="AN17" s="5">
        <v>2027</v>
      </c>
      <c r="AO17" s="17">
        <v>1210</v>
      </c>
      <c r="AP17" s="5">
        <v>2030</v>
      </c>
      <c r="AQ17" s="17">
        <v>1334</v>
      </c>
      <c r="AR17" s="5" t="s">
        <v>86</v>
      </c>
      <c r="AS17" s="17">
        <v>3.3</v>
      </c>
      <c r="AT17" s="5">
        <v>2027</v>
      </c>
      <c r="AU17" s="17">
        <v>519</v>
      </c>
      <c r="AV17" s="5">
        <v>2030</v>
      </c>
      <c r="AW17" s="17">
        <v>588</v>
      </c>
      <c r="AX17" s="5" t="s">
        <v>86</v>
      </c>
      <c r="AY17" s="17">
        <v>4.21</v>
      </c>
      <c r="AZ17" s="5">
        <v>2027</v>
      </c>
      <c r="BA17" s="17"/>
      <c r="BB17" s="5">
        <v>2030</v>
      </c>
      <c r="BC17" s="17"/>
      <c r="BD17" s="5" t="s">
        <v>86</v>
      </c>
      <c r="BE17" s="17">
        <v>4</v>
      </c>
      <c r="BF17" s="5">
        <v>2027</v>
      </c>
      <c r="BG17" s="17">
        <v>280</v>
      </c>
      <c r="BH17" s="5">
        <v>2030</v>
      </c>
      <c r="BI17" s="17">
        <v>308</v>
      </c>
      <c r="BJ17" s="5" t="s">
        <v>87</v>
      </c>
      <c r="BK17" s="9"/>
      <c r="BL17" s="9" t="str">
        <f>HYPERLINK("https://seichotoushi-hojo.jp/assets/pdf/koufu/outline_11.pdf","PDFを開く")</f>
        <v>PDFを開く</v>
      </c>
      <c r="BM17" s="9" t="s">
        <v>203</v>
      </c>
      <c r="BN17" s="9" t="s">
        <v>204</v>
      </c>
      <c r="BO17" s="9" t="s">
        <v>90</v>
      </c>
      <c r="BP17" s="9" t="s">
        <v>90</v>
      </c>
      <c r="BQ17" s="9" t="s">
        <v>91</v>
      </c>
      <c r="BR17" s="9" t="s">
        <v>92</v>
      </c>
    </row>
    <row r="18" spans="1:70" ht="45.95" customHeight="1">
      <c r="A18" s="2" t="s">
        <v>205</v>
      </c>
      <c r="B18" s="2" t="s">
        <v>73</v>
      </c>
      <c r="C18" s="2" t="s">
        <v>206</v>
      </c>
      <c r="D18" s="2" t="s">
        <v>206</v>
      </c>
      <c r="E18" s="2" t="s">
        <v>95</v>
      </c>
      <c r="F18" s="2"/>
      <c r="G18" s="2">
        <v>2</v>
      </c>
      <c r="H18" s="2">
        <v>0</v>
      </c>
      <c r="I18" s="2">
        <v>1</v>
      </c>
      <c r="J18" s="2">
        <v>1</v>
      </c>
      <c r="K18" s="2">
        <v>0</v>
      </c>
      <c r="L18" s="16">
        <v>1600</v>
      </c>
      <c r="M18" s="16">
        <v>510</v>
      </c>
      <c r="N18" s="8" t="s">
        <v>207</v>
      </c>
      <c r="O18" s="12">
        <f t="shared" si="0"/>
        <v>31.874999999999996</v>
      </c>
      <c r="P18" s="2">
        <v>2</v>
      </c>
      <c r="Q18" s="2" t="s">
        <v>77</v>
      </c>
      <c r="R18" s="8" t="s">
        <v>208</v>
      </c>
      <c r="S18" s="8" t="s">
        <v>209</v>
      </c>
      <c r="T18" s="8" t="s">
        <v>80</v>
      </c>
      <c r="U18" s="2" t="s">
        <v>81</v>
      </c>
      <c r="V18" s="2"/>
      <c r="W18" s="16"/>
      <c r="X18" s="2">
        <v>2028</v>
      </c>
      <c r="Y18" s="16"/>
      <c r="Z18" s="16">
        <v>82</v>
      </c>
      <c r="AA18" s="2">
        <v>2028</v>
      </c>
      <c r="AB18" s="16">
        <v>66</v>
      </c>
      <c r="AC18" s="2">
        <v>2028</v>
      </c>
      <c r="AD18" s="2" t="s">
        <v>210</v>
      </c>
      <c r="AE18" s="16"/>
      <c r="AF18" s="16"/>
      <c r="AG18" s="16"/>
      <c r="AH18" s="16"/>
      <c r="AI18" s="8" t="s">
        <v>83</v>
      </c>
      <c r="AJ18" s="2" t="s">
        <v>84</v>
      </c>
      <c r="AK18" s="2">
        <v>1</v>
      </c>
      <c r="AL18" s="8" t="s">
        <v>211</v>
      </c>
      <c r="AM18" s="8"/>
      <c r="AN18" s="2">
        <v>2025</v>
      </c>
      <c r="AO18" s="16">
        <v>1427</v>
      </c>
      <c r="AP18" s="2">
        <v>2028</v>
      </c>
      <c r="AQ18" s="16">
        <v>1962</v>
      </c>
      <c r="AR18" s="2" t="s">
        <v>86</v>
      </c>
      <c r="AS18" s="16">
        <v>11.2</v>
      </c>
      <c r="AT18" s="2">
        <v>2025</v>
      </c>
      <c r="AU18" s="16">
        <v>537</v>
      </c>
      <c r="AV18" s="2">
        <v>2028</v>
      </c>
      <c r="AW18" s="16">
        <v>659</v>
      </c>
      <c r="AX18" s="2" t="s">
        <v>86</v>
      </c>
      <c r="AY18" s="16">
        <v>7</v>
      </c>
      <c r="AZ18" s="2"/>
      <c r="BA18" s="16"/>
      <c r="BB18" s="2"/>
      <c r="BC18" s="16"/>
      <c r="BD18" s="2"/>
      <c r="BE18" s="16"/>
      <c r="BF18" s="2">
        <v>2025</v>
      </c>
      <c r="BG18" s="16">
        <v>201</v>
      </c>
      <c r="BH18" s="2">
        <v>2028</v>
      </c>
      <c r="BI18" s="16">
        <v>225</v>
      </c>
      <c r="BJ18" s="2" t="s">
        <v>87</v>
      </c>
      <c r="BK18" s="8" t="s">
        <v>212</v>
      </c>
      <c r="BL18" s="8" t="str">
        <f>HYPERLINK("https://seichotoushi-hojo.jp/assets/pdf/koufu/outline_110.pdf","PDFを開く")</f>
        <v>PDFを開く</v>
      </c>
      <c r="BM18" s="8" t="s">
        <v>213</v>
      </c>
      <c r="BN18" s="8" t="s">
        <v>214</v>
      </c>
      <c r="BO18" s="8" t="s">
        <v>90</v>
      </c>
      <c r="BP18" s="8" t="s">
        <v>90</v>
      </c>
      <c r="BQ18" s="8" t="s">
        <v>156</v>
      </c>
      <c r="BR18" s="8" t="s">
        <v>92</v>
      </c>
    </row>
    <row r="19" spans="1:70" ht="45.95" customHeight="1">
      <c r="A19" s="5" t="s">
        <v>215</v>
      </c>
      <c r="B19" s="5" t="s">
        <v>73</v>
      </c>
      <c r="C19" s="5" t="s">
        <v>216</v>
      </c>
      <c r="D19" s="5" t="s">
        <v>216</v>
      </c>
      <c r="E19" s="5" t="s">
        <v>75</v>
      </c>
      <c r="F19" s="5"/>
      <c r="G19" s="5">
        <v>2</v>
      </c>
      <c r="H19" s="5">
        <v>0</v>
      </c>
      <c r="I19" s="5">
        <v>1</v>
      </c>
      <c r="J19" s="5">
        <v>1</v>
      </c>
      <c r="K19" s="5">
        <v>0</v>
      </c>
      <c r="L19" s="17">
        <v>4000</v>
      </c>
      <c r="M19" s="17">
        <v>1300</v>
      </c>
      <c r="N19" s="9" t="s">
        <v>217</v>
      </c>
      <c r="O19" s="13">
        <f t="shared" si="0"/>
        <v>32.5</v>
      </c>
      <c r="P19" s="5">
        <v>2</v>
      </c>
      <c r="Q19" s="5" t="s">
        <v>77</v>
      </c>
      <c r="R19" s="9" t="s">
        <v>218</v>
      </c>
      <c r="S19" s="9" t="s">
        <v>219</v>
      </c>
      <c r="T19" s="9" t="s">
        <v>80</v>
      </c>
      <c r="U19" s="5" t="s">
        <v>81</v>
      </c>
      <c r="V19" s="5"/>
      <c r="W19" s="17"/>
      <c r="X19" s="5">
        <v>2030</v>
      </c>
      <c r="Y19" s="17"/>
      <c r="Z19" s="17">
        <v>146</v>
      </c>
      <c r="AA19" s="5">
        <v>2030</v>
      </c>
      <c r="AB19" s="17">
        <v>48</v>
      </c>
      <c r="AC19" s="5">
        <v>2030</v>
      </c>
      <c r="AD19" s="5" t="s">
        <v>82</v>
      </c>
      <c r="AE19" s="17"/>
      <c r="AF19" s="17"/>
      <c r="AG19" s="17"/>
      <c r="AH19" s="17"/>
      <c r="AI19" s="9" t="s">
        <v>83</v>
      </c>
      <c r="AJ19" s="5" t="s">
        <v>84</v>
      </c>
      <c r="AK19" s="5">
        <v>1</v>
      </c>
      <c r="AL19" s="9" t="s">
        <v>220</v>
      </c>
      <c r="AM19" s="9"/>
      <c r="AN19" s="5">
        <v>2026</v>
      </c>
      <c r="AO19" s="17">
        <v>3859</v>
      </c>
      <c r="AP19" s="5">
        <v>2029</v>
      </c>
      <c r="AQ19" s="17">
        <v>4618</v>
      </c>
      <c r="AR19" s="5" t="s">
        <v>86</v>
      </c>
      <c r="AS19" s="17">
        <v>6.2</v>
      </c>
      <c r="AT19" s="5">
        <v>2026</v>
      </c>
      <c r="AU19" s="17">
        <v>640</v>
      </c>
      <c r="AV19" s="5">
        <v>2029</v>
      </c>
      <c r="AW19" s="17">
        <v>741</v>
      </c>
      <c r="AX19" s="5" t="s">
        <v>86</v>
      </c>
      <c r="AY19" s="17">
        <v>5</v>
      </c>
      <c r="AZ19" s="5">
        <v>2026</v>
      </c>
      <c r="BA19" s="17"/>
      <c r="BB19" s="5">
        <v>2029</v>
      </c>
      <c r="BC19" s="17"/>
      <c r="BD19" s="5" t="s">
        <v>86</v>
      </c>
      <c r="BE19" s="17">
        <v>5</v>
      </c>
      <c r="BF19" s="5">
        <v>2026</v>
      </c>
      <c r="BG19" s="17">
        <v>169</v>
      </c>
      <c r="BH19" s="5">
        <v>2029</v>
      </c>
      <c r="BI19" s="17">
        <v>206</v>
      </c>
      <c r="BJ19" s="5" t="s">
        <v>87</v>
      </c>
      <c r="BK19" s="9"/>
      <c r="BL19" s="9" t="str">
        <f>HYPERLINK("https://seichotoushi-hojo.jp/assets/pdf/koufu/outline_111.pdf","PDFを開く")</f>
        <v>PDFを開く</v>
      </c>
      <c r="BM19" s="9" t="s">
        <v>221</v>
      </c>
      <c r="BN19" s="9" t="s">
        <v>222</v>
      </c>
      <c r="BO19" s="9" t="s">
        <v>90</v>
      </c>
      <c r="BP19" s="9" t="s">
        <v>90</v>
      </c>
      <c r="BQ19" s="9" t="s">
        <v>91</v>
      </c>
      <c r="BR19" s="9" t="s">
        <v>92</v>
      </c>
    </row>
    <row r="20" spans="1:70" ht="45.95" customHeight="1">
      <c r="A20" s="2" t="s">
        <v>223</v>
      </c>
      <c r="B20" s="2" t="s">
        <v>73</v>
      </c>
      <c r="C20" s="2" t="s">
        <v>224</v>
      </c>
      <c r="D20" s="2" t="s">
        <v>224</v>
      </c>
      <c r="E20" s="2" t="s">
        <v>186</v>
      </c>
      <c r="F20" s="2"/>
      <c r="G20" s="2">
        <v>2</v>
      </c>
      <c r="H20" s="2">
        <v>0</v>
      </c>
      <c r="I20" s="2">
        <v>1</v>
      </c>
      <c r="J20" s="2">
        <v>1</v>
      </c>
      <c r="K20" s="2">
        <v>0</v>
      </c>
      <c r="L20" s="16">
        <v>6800</v>
      </c>
      <c r="M20" s="16">
        <v>2000</v>
      </c>
      <c r="N20" s="8" t="s">
        <v>225</v>
      </c>
      <c r="O20" s="12">
        <f t="shared" si="0"/>
        <v>29.411764705882355</v>
      </c>
      <c r="P20" s="2">
        <v>2</v>
      </c>
      <c r="Q20" s="2" t="s">
        <v>77</v>
      </c>
      <c r="R20" s="8" t="s">
        <v>226</v>
      </c>
      <c r="S20" s="8" t="s">
        <v>227</v>
      </c>
      <c r="T20" s="8" t="s">
        <v>228</v>
      </c>
      <c r="U20" s="2" t="s">
        <v>81</v>
      </c>
      <c r="V20" s="2">
        <v>2023</v>
      </c>
      <c r="W20" s="16">
        <v>85.7</v>
      </c>
      <c r="X20" s="2">
        <v>2029</v>
      </c>
      <c r="Y20" s="16">
        <v>140</v>
      </c>
      <c r="Z20" s="16"/>
      <c r="AA20" s="2"/>
      <c r="AB20" s="16"/>
      <c r="AC20" s="2"/>
      <c r="AD20" s="2"/>
      <c r="AE20" s="16"/>
      <c r="AF20" s="16"/>
      <c r="AG20" s="16">
        <v>8.5236858754788258</v>
      </c>
      <c r="AH20" s="16"/>
      <c r="AI20" s="8" t="s">
        <v>100</v>
      </c>
      <c r="AJ20" s="2" t="s">
        <v>84</v>
      </c>
      <c r="AK20" s="2">
        <v>1</v>
      </c>
      <c r="AL20" s="8" t="s">
        <v>229</v>
      </c>
      <c r="AM20" s="8" t="s">
        <v>230</v>
      </c>
      <c r="AN20" s="2"/>
      <c r="AO20" s="16">
        <v>999</v>
      </c>
      <c r="AP20" s="2"/>
      <c r="AQ20" s="16">
        <v>1234</v>
      </c>
      <c r="AR20" s="2" t="s">
        <v>86</v>
      </c>
      <c r="AS20" s="16">
        <v>7.3</v>
      </c>
      <c r="AT20" s="2"/>
      <c r="AU20" s="16">
        <v>429</v>
      </c>
      <c r="AV20" s="2"/>
      <c r="AW20" s="16">
        <v>504</v>
      </c>
      <c r="AX20" s="2" t="s">
        <v>86</v>
      </c>
      <c r="AY20" s="16">
        <v>5.6</v>
      </c>
      <c r="AZ20" s="2"/>
      <c r="BA20" s="16">
        <v>1338</v>
      </c>
      <c r="BB20" s="2"/>
      <c r="BC20" s="16">
        <v>1510</v>
      </c>
      <c r="BD20" s="2" t="s">
        <v>86</v>
      </c>
      <c r="BE20" s="16">
        <v>4.0999999999999996</v>
      </c>
      <c r="BF20" s="2"/>
      <c r="BG20" s="16">
        <v>420</v>
      </c>
      <c r="BH20" s="2"/>
      <c r="BI20" s="16">
        <v>490</v>
      </c>
      <c r="BJ20" s="2" t="s">
        <v>87</v>
      </c>
      <c r="BK20" s="8"/>
      <c r="BL20" s="8" t="str">
        <f>HYPERLINK("https://seichotoushi-hojo.jp/assets/pdf/koufu/outline_112.pdf","PDFを開く")</f>
        <v>PDFを開く</v>
      </c>
      <c r="BM20" s="8" t="s">
        <v>231</v>
      </c>
      <c r="BN20" s="8" t="s">
        <v>232</v>
      </c>
      <c r="BO20" s="8" t="s">
        <v>90</v>
      </c>
      <c r="BP20" s="8" t="s">
        <v>90</v>
      </c>
      <c r="BQ20" s="8" t="s">
        <v>90</v>
      </c>
      <c r="BR20" s="8" t="s">
        <v>92</v>
      </c>
    </row>
    <row r="21" spans="1:70" ht="45.95" customHeight="1">
      <c r="A21" s="5" t="s">
        <v>233</v>
      </c>
      <c r="B21" s="5" t="s">
        <v>73</v>
      </c>
      <c r="C21" s="5" t="s">
        <v>234</v>
      </c>
      <c r="D21" s="5" t="s">
        <v>234</v>
      </c>
      <c r="E21" s="5" t="s">
        <v>95</v>
      </c>
      <c r="F21" s="5"/>
      <c r="G21" s="5">
        <v>2</v>
      </c>
      <c r="H21" s="5">
        <v>0</v>
      </c>
      <c r="I21" s="5">
        <v>1</v>
      </c>
      <c r="J21" s="5">
        <v>1</v>
      </c>
      <c r="K21" s="5">
        <v>0</v>
      </c>
      <c r="L21" s="17">
        <v>1400</v>
      </c>
      <c r="M21" s="17">
        <v>460</v>
      </c>
      <c r="N21" s="9" t="s">
        <v>235</v>
      </c>
      <c r="O21" s="13">
        <f t="shared" si="0"/>
        <v>32.857142857142854</v>
      </c>
      <c r="P21" s="5">
        <v>2</v>
      </c>
      <c r="Q21" s="5" t="s">
        <v>77</v>
      </c>
      <c r="R21" s="9" t="s">
        <v>235</v>
      </c>
      <c r="S21" s="9" t="s">
        <v>236</v>
      </c>
      <c r="T21" s="9" t="s">
        <v>80</v>
      </c>
      <c r="U21" s="5" t="s">
        <v>81</v>
      </c>
      <c r="V21" s="5">
        <v>2024</v>
      </c>
      <c r="W21" s="17"/>
      <c r="X21" s="5">
        <v>2028</v>
      </c>
      <c r="Y21" s="17"/>
      <c r="Z21" s="17">
        <v>84.28</v>
      </c>
      <c r="AA21" s="5">
        <v>2028</v>
      </c>
      <c r="AB21" s="17">
        <v>77.599999999999994</v>
      </c>
      <c r="AC21" s="5">
        <v>2028</v>
      </c>
      <c r="AD21" s="5" t="s">
        <v>82</v>
      </c>
      <c r="AE21" s="17"/>
      <c r="AF21" s="17"/>
      <c r="AG21" s="17"/>
      <c r="AH21" s="17"/>
      <c r="AI21" s="9" t="s">
        <v>83</v>
      </c>
      <c r="AJ21" s="5" t="s">
        <v>84</v>
      </c>
      <c r="AK21" s="5">
        <v>1</v>
      </c>
      <c r="AL21" s="9" t="s">
        <v>237</v>
      </c>
      <c r="AM21" s="9"/>
      <c r="AN21" s="5">
        <v>2024</v>
      </c>
      <c r="AO21" s="17">
        <v>541</v>
      </c>
      <c r="AP21" s="5">
        <v>2027</v>
      </c>
      <c r="AQ21" s="17">
        <v>1505</v>
      </c>
      <c r="AR21" s="5" t="s">
        <v>86</v>
      </c>
      <c r="AS21" s="17">
        <v>40.700000000000003</v>
      </c>
      <c r="AT21" s="5">
        <v>2024</v>
      </c>
      <c r="AU21" s="17">
        <v>400</v>
      </c>
      <c r="AV21" s="5">
        <v>2027</v>
      </c>
      <c r="AW21" s="17">
        <v>477</v>
      </c>
      <c r="AX21" s="5" t="s">
        <v>86</v>
      </c>
      <c r="AY21" s="17">
        <v>6.03</v>
      </c>
      <c r="AZ21" s="5"/>
      <c r="BA21" s="17"/>
      <c r="BB21" s="5"/>
      <c r="BC21" s="17"/>
      <c r="BD21" s="5"/>
      <c r="BE21" s="17"/>
      <c r="BF21" s="5">
        <v>2024</v>
      </c>
      <c r="BG21" s="17">
        <v>45</v>
      </c>
      <c r="BH21" s="5">
        <v>2027</v>
      </c>
      <c r="BI21" s="17">
        <v>60</v>
      </c>
      <c r="BJ21" s="5" t="s">
        <v>87</v>
      </c>
      <c r="BK21" s="9"/>
      <c r="BL21" s="9" t="str">
        <f>HYPERLINK("https://seichotoushi-hojo.jp/assets/pdf/koufu/outline_113.pdf","PDFを開く")</f>
        <v>PDFを開く</v>
      </c>
      <c r="BM21" s="9" t="s">
        <v>238</v>
      </c>
      <c r="BN21" s="9" t="s">
        <v>239</v>
      </c>
      <c r="BO21" s="9" t="s">
        <v>90</v>
      </c>
      <c r="BP21" s="9" t="s">
        <v>90</v>
      </c>
      <c r="BQ21" s="9" t="s">
        <v>157</v>
      </c>
      <c r="BR21" s="9" t="s">
        <v>92</v>
      </c>
    </row>
    <row r="22" spans="1:70" ht="45.95" customHeight="1">
      <c r="A22" s="2" t="s">
        <v>240</v>
      </c>
      <c r="B22" s="2" t="s">
        <v>73</v>
      </c>
      <c r="C22" s="2" t="s">
        <v>241</v>
      </c>
      <c r="D22" s="2" t="s">
        <v>241</v>
      </c>
      <c r="E22" s="2" t="s">
        <v>75</v>
      </c>
      <c r="F22" s="2"/>
      <c r="G22" s="2">
        <v>2</v>
      </c>
      <c r="H22" s="2">
        <v>0</v>
      </c>
      <c r="I22" s="2">
        <v>1</v>
      </c>
      <c r="J22" s="2">
        <v>1</v>
      </c>
      <c r="K22" s="2">
        <v>0</v>
      </c>
      <c r="L22" s="16">
        <v>3600</v>
      </c>
      <c r="M22" s="16">
        <v>540</v>
      </c>
      <c r="N22" s="8" t="s">
        <v>242</v>
      </c>
      <c r="O22" s="12">
        <f t="shared" si="0"/>
        <v>15</v>
      </c>
      <c r="P22" s="2">
        <v>2</v>
      </c>
      <c r="Q22" s="2" t="s">
        <v>77</v>
      </c>
      <c r="R22" s="8" t="s">
        <v>242</v>
      </c>
      <c r="S22" s="8" t="s">
        <v>243</v>
      </c>
      <c r="T22" s="8" t="s">
        <v>80</v>
      </c>
      <c r="U22" s="2" t="s">
        <v>81</v>
      </c>
      <c r="V22" s="2">
        <v>2024</v>
      </c>
      <c r="W22" s="16"/>
      <c r="X22" s="2">
        <v>2030</v>
      </c>
      <c r="Y22" s="16">
        <v>450</v>
      </c>
      <c r="Z22" s="16">
        <v>84</v>
      </c>
      <c r="AA22" s="2">
        <v>2030</v>
      </c>
      <c r="AB22" s="16">
        <v>23</v>
      </c>
      <c r="AC22" s="2">
        <v>2030</v>
      </c>
      <c r="AD22" s="2" t="s">
        <v>82</v>
      </c>
      <c r="AE22" s="16"/>
      <c r="AF22" s="16"/>
      <c r="AG22" s="16"/>
      <c r="AH22" s="16"/>
      <c r="AI22" s="8" t="s">
        <v>83</v>
      </c>
      <c r="AJ22" s="2" t="s">
        <v>84</v>
      </c>
      <c r="AK22" s="2">
        <v>1</v>
      </c>
      <c r="AL22" s="8" t="s">
        <v>244</v>
      </c>
      <c r="AM22" s="8" t="s">
        <v>245</v>
      </c>
      <c r="AN22" s="2">
        <v>2025</v>
      </c>
      <c r="AO22" s="16">
        <v>875</v>
      </c>
      <c r="AP22" s="2">
        <v>2028</v>
      </c>
      <c r="AQ22" s="16">
        <v>2071</v>
      </c>
      <c r="AR22" s="2" t="s">
        <v>86</v>
      </c>
      <c r="AS22" s="16">
        <v>33.299999999999997</v>
      </c>
      <c r="AT22" s="2">
        <v>2025</v>
      </c>
      <c r="AU22" s="16">
        <v>536</v>
      </c>
      <c r="AV22" s="2">
        <v>2028</v>
      </c>
      <c r="AW22" s="16">
        <v>621</v>
      </c>
      <c r="AX22" s="2" t="s">
        <v>86</v>
      </c>
      <c r="AY22" s="16">
        <v>5</v>
      </c>
      <c r="AZ22" s="2">
        <v>2025</v>
      </c>
      <c r="BA22" s="16">
        <v>0</v>
      </c>
      <c r="BB22" s="2">
        <v>2028</v>
      </c>
      <c r="BC22" s="16">
        <v>0</v>
      </c>
      <c r="BD22" s="2" t="s">
        <v>86</v>
      </c>
      <c r="BE22" s="16"/>
      <c r="BF22" s="2">
        <v>2025</v>
      </c>
      <c r="BG22" s="16">
        <v>61</v>
      </c>
      <c r="BH22" s="2">
        <v>2028</v>
      </c>
      <c r="BI22" s="16">
        <v>100</v>
      </c>
      <c r="BJ22" s="2" t="s">
        <v>87</v>
      </c>
      <c r="BK22" s="8"/>
      <c r="BL22" s="8" t="str">
        <f>HYPERLINK("https://seichotoushi-hojo.jp/assets/pdf/koufu/outline_114.pdf","PDFを開く")</f>
        <v>PDFを開く</v>
      </c>
      <c r="BM22" s="8" t="s">
        <v>246</v>
      </c>
      <c r="BN22" s="8" t="s">
        <v>247</v>
      </c>
      <c r="BO22" s="8" t="s">
        <v>90</v>
      </c>
      <c r="BP22" s="8" t="s">
        <v>90</v>
      </c>
      <c r="BQ22" s="8" t="s">
        <v>92</v>
      </c>
      <c r="BR22" s="8" t="s">
        <v>92</v>
      </c>
    </row>
    <row r="23" spans="1:70" ht="45.95" customHeight="1">
      <c r="A23" s="5" t="s">
        <v>248</v>
      </c>
      <c r="B23" s="5" t="s">
        <v>73</v>
      </c>
      <c r="C23" s="5" t="s">
        <v>249</v>
      </c>
      <c r="D23" s="5" t="s">
        <v>249</v>
      </c>
      <c r="E23" s="5" t="s">
        <v>186</v>
      </c>
      <c r="F23" s="5"/>
      <c r="G23" s="5">
        <v>4</v>
      </c>
      <c r="H23" s="5">
        <v>0</v>
      </c>
      <c r="I23" s="5">
        <v>1</v>
      </c>
      <c r="J23" s="5">
        <v>3</v>
      </c>
      <c r="K23" s="5">
        <v>0</v>
      </c>
      <c r="L23" s="17">
        <v>4700</v>
      </c>
      <c r="M23" s="17">
        <v>1600</v>
      </c>
      <c r="N23" s="9" t="s">
        <v>250</v>
      </c>
      <c r="O23" s="13">
        <f t="shared" si="0"/>
        <v>34.042553191489361</v>
      </c>
      <c r="P23" s="5">
        <v>2</v>
      </c>
      <c r="Q23" s="5" t="s">
        <v>77</v>
      </c>
      <c r="R23" s="9" t="s">
        <v>251</v>
      </c>
      <c r="S23" s="9" t="s">
        <v>252</v>
      </c>
      <c r="T23" s="9" t="s">
        <v>80</v>
      </c>
      <c r="U23" s="5" t="s">
        <v>81</v>
      </c>
      <c r="V23" s="5">
        <v>2030</v>
      </c>
      <c r="W23" s="17">
        <v>248.6</v>
      </c>
      <c r="X23" s="5">
        <v>2034</v>
      </c>
      <c r="Y23" s="17">
        <v>248.6</v>
      </c>
      <c r="Z23" s="17">
        <v>300</v>
      </c>
      <c r="AA23" s="5">
        <v>2034</v>
      </c>
      <c r="AB23" s="17">
        <v>239</v>
      </c>
      <c r="AC23" s="5">
        <v>2034</v>
      </c>
      <c r="AD23" s="5" t="s">
        <v>82</v>
      </c>
      <c r="AE23" s="17"/>
      <c r="AF23" s="17"/>
      <c r="AG23" s="17">
        <v>0</v>
      </c>
      <c r="AH23" s="17"/>
      <c r="AI23" s="9" t="s">
        <v>200</v>
      </c>
      <c r="AJ23" s="5" t="s">
        <v>84</v>
      </c>
      <c r="AK23" s="5">
        <v>1</v>
      </c>
      <c r="AL23" s="9" t="s">
        <v>253</v>
      </c>
      <c r="AM23" s="9" t="s">
        <v>254</v>
      </c>
      <c r="AN23" s="5">
        <v>2027</v>
      </c>
      <c r="AO23" s="17">
        <v>1155</v>
      </c>
      <c r="AP23" s="5">
        <v>2030</v>
      </c>
      <c r="AQ23" s="17">
        <v>1547</v>
      </c>
      <c r="AR23" s="5" t="s">
        <v>86</v>
      </c>
      <c r="AS23" s="17">
        <v>10.199999999999999</v>
      </c>
      <c r="AT23" s="5">
        <v>2027</v>
      </c>
      <c r="AU23" s="17">
        <v>531</v>
      </c>
      <c r="AV23" s="5">
        <v>2030</v>
      </c>
      <c r="AW23" s="17">
        <v>634</v>
      </c>
      <c r="AX23" s="5" t="s">
        <v>86</v>
      </c>
      <c r="AY23" s="17">
        <v>6.1</v>
      </c>
      <c r="AZ23" s="5">
        <v>2027</v>
      </c>
      <c r="BA23" s="17">
        <v>3075</v>
      </c>
      <c r="BB23" s="5">
        <v>2030</v>
      </c>
      <c r="BC23" s="17">
        <v>3625</v>
      </c>
      <c r="BD23" s="5" t="s">
        <v>86</v>
      </c>
      <c r="BE23" s="17">
        <v>5.6</v>
      </c>
      <c r="BF23" s="5">
        <v>2027</v>
      </c>
      <c r="BG23" s="17">
        <v>227</v>
      </c>
      <c r="BH23" s="5">
        <v>2030</v>
      </c>
      <c r="BI23" s="17">
        <v>281</v>
      </c>
      <c r="BJ23" s="5" t="s">
        <v>87</v>
      </c>
      <c r="BK23" s="9"/>
      <c r="BL23" s="9" t="str">
        <f>HYPERLINK("https://seichotoushi-hojo.jp/assets/pdf/koufu/outline_115.pdf","PDFを開く")</f>
        <v>PDFを開く</v>
      </c>
      <c r="BM23" s="9" t="s">
        <v>255</v>
      </c>
      <c r="BN23" s="9" t="s">
        <v>256</v>
      </c>
      <c r="BO23" s="9" t="s">
        <v>90</v>
      </c>
      <c r="BP23" s="9" t="s">
        <v>90</v>
      </c>
      <c r="BQ23" s="9" t="s">
        <v>90</v>
      </c>
      <c r="BR23" s="9" t="s">
        <v>92</v>
      </c>
    </row>
    <row r="24" spans="1:70" ht="45.95" customHeight="1">
      <c r="A24" s="2" t="s">
        <v>257</v>
      </c>
      <c r="B24" s="2" t="s">
        <v>73</v>
      </c>
      <c r="C24" s="2" t="s">
        <v>258</v>
      </c>
      <c r="D24" s="2" t="s">
        <v>258</v>
      </c>
      <c r="E24" s="2" t="s">
        <v>259</v>
      </c>
      <c r="F24" s="2"/>
      <c r="G24" s="2">
        <v>2</v>
      </c>
      <c r="H24" s="2">
        <v>0</v>
      </c>
      <c r="I24" s="2">
        <v>1</v>
      </c>
      <c r="J24" s="2">
        <v>1</v>
      </c>
      <c r="K24" s="2">
        <v>0</v>
      </c>
      <c r="L24" s="16">
        <v>1200</v>
      </c>
      <c r="M24" s="16">
        <v>140</v>
      </c>
      <c r="N24" s="8" t="s">
        <v>260</v>
      </c>
      <c r="O24" s="12">
        <f t="shared" si="0"/>
        <v>11.666666666666666</v>
      </c>
      <c r="P24" s="2">
        <v>2</v>
      </c>
      <c r="Q24" s="2" t="s">
        <v>77</v>
      </c>
      <c r="R24" s="8" t="s">
        <v>260</v>
      </c>
      <c r="S24" s="8" t="s">
        <v>261</v>
      </c>
      <c r="T24" s="8" t="s">
        <v>80</v>
      </c>
      <c r="U24" s="2" t="s">
        <v>81</v>
      </c>
      <c r="V24" s="2">
        <v>2023</v>
      </c>
      <c r="W24" s="16"/>
      <c r="X24" s="2">
        <v>2028</v>
      </c>
      <c r="Y24" s="16"/>
      <c r="Z24" s="16">
        <v>67</v>
      </c>
      <c r="AA24" s="2">
        <v>2028</v>
      </c>
      <c r="AB24" s="16">
        <v>128</v>
      </c>
      <c r="AC24" s="2">
        <v>2028</v>
      </c>
      <c r="AD24" s="2" t="s">
        <v>82</v>
      </c>
      <c r="AE24" s="16"/>
      <c r="AF24" s="16"/>
      <c r="AG24" s="16"/>
      <c r="AH24" s="16"/>
      <c r="AI24" s="8" t="s">
        <v>83</v>
      </c>
      <c r="AJ24" s="2" t="s">
        <v>84</v>
      </c>
      <c r="AK24" s="2">
        <v>1</v>
      </c>
      <c r="AL24" s="8" t="s">
        <v>262</v>
      </c>
      <c r="AM24" s="8"/>
      <c r="AN24" s="2">
        <v>2025</v>
      </c>
      <c r="AO24" s="16">
        <v>290</v>
      </c>
      <c r="AP24" s="2">
        <v>2028</v>
      </c>
      <c r="AQ24" s="16">
        <v>1143</v>
      </c>
      <c r="AR24" s="2" t="s">
        <v>86</v>
      </c>
      <c r="AS24" s="16">
        <v>57.9</v>
      </c>
      <c r="AT24" s="2">
        <v>2025</v>
      </c>
      <c r="AU24" s="16">
        <v>236</v>
      </c>
      <c r="AV24" s="2">
        <v>2028</v>
      </c>
      <c r="AW24" s="16">
        <v>272</v>
      </c>
      <c r="AX24" s="2" t="s">
        <v>86</v>
      </c>
      <c r="AY24" s="16">
        <v>4.8</v>
      </c>
      <c r="AZ24" s="2">
        <v>2025</v>
      </c>
      <c r="BA24" s="16">
        <v>1500</v>
      </c>
      <c r="BB24" s="2">
        <v>2028</v>
      </c>
      <c r="BC24" s="16">
        <v>1639</v>
      </c>
      <c r="BD24" s="2" t="s">
        <v>86</v>
      </c>
      <c r="BE24" s="16">
        <v>3</v>
      </c>
      <c r="BF24" s="2">
        <v>2025</v>
      </c>
      <c r="BG24" s="16">
        <v>63</v>
      </c>
      <c r="BH24" s="2">
        <v>2028</v>
      </c>
      <c r="BI24" s="16">
        <v>104</v>
      </c>
      <c r="BJ24" s="2" t="s">
        <v>87</v>
      </c>
      <c r="BK24" s="8"/>
      <c r="BL24" s="8" t="str">
        <f>HYPERLINK("https://seichotoushi-hojo.jp/assets/pdf/koufu/outline_116.pdf","PDFを開く")</f>
        <v>PDFを開く</v>
      </c>
      <c r="BM24" s="8" t="s">
        <v>263</v>
      </c>
      <c r="BN24" s="8" t="s">
        <v>264</v>
      </c>
      <c r="BO24" s="8" t="s">
        <v>90</v>
      </c>
      <c r="BP24" s="8" t="s">
        <v>90</v>
      </c>
      <c r="BQ24" s="8" t="s">
        <v>90</v>
      </c>
      <c r="BR24" s="8" t="s">
        <v>92</v>
      </c>
    </row>
    <row r="25" spans="1:70" ht="45.95" customHeight="1">
      <c r="A25" s="5" t="s">
        <v>265</v>
      </c>
      <c r="B25" s="5" t="s">
        <v>73</v>
      </c>
      <c r="C25" s="5" t="s">
        <v>266</v>
      </c>
      <c r="D25" s="5" t="s">
        <v>266</v>
      </c>
      <c r="E25" s="5" t="s">
        <v>75</v>
      </c>
      <c r="F25" s="5"/>
      <c r="G25" s="5">
        <v>4</v>
      </c>
      <c r="H25" s="5">
        <v>0</v>
      </c>
      <c r="I25" s="5">
        <v>1</v>
      </c>
      <c r="J25" s="5">
        <v>3</v>
      </c>
      <c r="K25" s="5">
        <v>0</v>
      </c>
      <c r="L25" s="17">
        <v>4400</v>
      </c>
      <c r="M25" s="17">
        <v>1200</v>
      </c>
      <c r="N25" s="9" t="s">
        <v>267</v>
      </c>
      <c r="O25" s="13">
        <f t="shared" si="0"/>
        <v>27.27272727272727</v>
      </c>
      <c r="P25" s="5">
        <v>2</v>
      </c>
      <c r="Q25" s="5" t="s">
        <v>77</v>
      </c>
      <c r="R25" s="9" t="s">
        <v>268</v>
      </c>
      <c r="S25" s="9" t="s">
        <v>269</v>
      </c>
      <c r="T25" s="9" t="s">
        <v>80</v>
      </c>
      <c r="U25" s="5" t="s">
        <v>81</v>
      </c>
      <c r="V25" s="5"/>
      <c r="W25" s="17"/>
      <c r="X25" s="5">
        <v>2029</v>
      </c>
      <c r="Y25" s="17"/>
      <c r="Z25" s="17">
        <v>71</v>
      </c>
      <c r="AA25" s="5">
        <v>2029</v>
      </c>
      <c r="AB25" s="17">
        <v>245</v>
      </c>
      <c r="AC25" s="5">
        <v>2029</v>
      </c>
      <c r="AD25" s="5" t="s">
        <v>82</v>
      </c>
      <c r="AE25" s="17"/>
      <c r="AF25" s="17"/>
      <c r="AG25" s="17"/>
      <c r="AH25" s="17"/>
      <c r="AI25" s="9" t="s">
        <v>83</v>
      </c>
      <c r="AJ25" s="5" t="s">
        <v>84</v>
      </c>
      <c r="AK25" s="5">
        <v>1</v>
      </c>
      <c r="AL25" s="9" t="s">
        <v>270</v>
      </c>
      <c r="AM25" s="9" t="s">
        <v>271</v>
      </c>
      <c r="AN25" s="5">
        <v>2026</v>
      </c>
      <c r="AO25" s="17">
        <v>873</v>
      </c>
      <c r="AP25" s="5">
        <v>2029</v>
      </c>
      <c r="AQ25" s="17">
        <v>1722</v>
      </c>
      <c r="AR25" s="5" t="s">
        <v>86</v>
      </c>
      <c r="AS25" s="17">
        <v>25.4</v>
      </c>
      <c r="AT25" s="5">
        <v>2026</v>
      </c>
      <c r="AU25" s="17">
        <v>504</v>
      </c>
      <c r="AV25" s="5">
        <v>2029</v>
      </c>
      <c r="AW25" s="17">
        <v>585</v>
      </c>
      <c r="AX25" s="5" t="s">
        <v>86</v>
      </c>
      <c r="AY25" s="17">
        <v>5.09</v>
      </c>
      <c r="AZ25" s="5">
        <v>2026</v>
      </c>
      <c r="BA25" s="17">
        <v>6500</v>
      </c>
      <c r="BB25" s="5">
        <v>2029</v>
      </c>
      <c r="BC25" s="17">
        <v>7600</v>
      </c>
      <c r="BD25" s="5" t="s">
        <v>86</v>
      </c>
      <c r="BE25" s="17">
        <v>5.35</v>
      </c>
      <c r="BF25" s="5">
        <v>2026</v>
      </c>
      <c r="BG25" s="17">
        <v>129</v>
      </c>
      <c r="BH25" s="5">
        <v>2029</v>
      </c>
      <c r="BI25" s="17">
        <v>145</v>
      </c>
      <c r="BJ25" s="5" t="s">
        <v>87</v>
      </c>
      <c r="BK25" s="9"/>
      <c r="BL25" s="9" t="str">
        <f>HYPERLINK("https://seichotoushi-hojo.jp/assets/pdf/koufu/outline_117.pdf","PDFを開く")</f>
        <v>PDFを開く</v>
      </c>
      <c r="BM25" s="9" t="s">
        <v>272</v>
      </c>
      <c r="BN25" s="9" t="s">
        <v>273</v>
      </c>
      <c r="BO25" s="9" t="s">
        <v>90</v>
      </c>
      <c r="BP25" s="9" t="s">
        <v>90</v>
      </c>
      <c r="BQ25" s="9" t="s">
        <v>90</v>
      </c>
      <c r="BR25" s="9" t="s">
        <v>92</v>
      </c>
    </row>
    <row r="26" spans="1:70" ht="45.95" customHeight="1">
      <c r="A26" s="2" t="s">
        <v>274</v>
      </c>
      <c r="B26" s="2" t="s">
        <v>73</v>
      </c>
      <c r="C26" s="2" t="s">
        <v>275</v>
      </c>
      <c r="D26" s="2" t="s">
        <v>275</v>
      </c>
      <c r="E26" s="2" t="s">
        <v>186</v>
      </c>
      <c r="F26" s="2"/>
      <c r="G26" s="2">
        <v>4</v>
      </c>
      <c r="H26" s="2">
        <v>0</v>
      </c>
      <c r="I26" s="2">
        <v>2</v>
      </c>
      <c r="J26" s="2">
        <v>2</v>
      </c>
      <c r="K26" s="2">
        <v>0</v>
      </c>
      <c r="L26" s="16">
        <v>1200</v>
      </c>
      <c r="M26" s="16">
        <v>74</v>
      </c>
      <c r="N26" s="8" t="s">
        <v>276</v>
      </c>
      <c r="O26" s="12">
        <f t="shared" si="0"/>
        <v>6.166666666666667</v>
      </c>
      <c r="P26" s="2">
        <v>3</v>
      </c>
      <c r="Q26" s="2" t="s">
        <v>77</v>
      </c>
      <c r="R26" s="8" t="s">
        <v>276</v>
      </c>
      <c r="S26" s="8" t="s">
        <v>276</v>
      </c>
      <c r="T26" s="8" t="s">
        <v>80</v>
      </c>
      <c r="U26" s="2" t="s">
        <v>81</v>
      </c>
      <c r="V26" s="2">
        <v>2025</v>
      </c>
      <c r="W26" s="16"/>
      <c r="X26" s="2">
        <v>2029</v>
      </c>
      <c r="Y26" s="16"/>
      <c r="Z26" s="16">
        <v>21</v>
      </c>
      <c r="AA26" s="2">
        <v>2029</v>
      </c>
      <c r="AB26" s="16">
        <v>220</v>
      </c>
      <c r="AC26" s="2">
        <v>2029</v>
      </c>
      <c r="AD26" s="2" t="s">
        <v>82</v>
      </c>
      <c r="AE26" s="16"/>
      <c r="AF26" s="16"/>
      <c r="AG26" s="16"/>
      <c r="AH26" s="16"/>
      <c r="AI26" s="8" t="s">
        <v>83</v>
      </c>
      <c r="AJ26" s="2" t="s">
        <v>84</v>
      </c>
      <c r="AK26" s="2">
        <v>1</v>
      </c>
      <c r="AL26" s="8" t="s">
        <v>277</v>
      </c>
      <c r="AM26" s="8"/>
      <c r="AN26" s="2">
        <v>2025</v>
      </c>
      <c r="AO26" s="16">
        <v>1135</v>
      </c>
      <c r="AP26" s="2">
        <v>2028</v>
      </c>
      <c r="AQ26" s="16">
        <v>2087</v>
      </c>
      <c r="AR26" s="2" t="s">
        <v>86</v>
      </c>
      <c r="AS26" s="16">
        <v>23</v>
      </c>
      <c r="AT26" s="2">
        <v>2025</v>
      </c>
      <c r="AU26" s="16">
        <v>558</v>
      </c>
      <c r="AV26" s="2">
        <v>2028</v>
      </c>
      <c r="AW26" s="16">
        <v>656</v>
      </c>
      <c r="AX26" s="2" t="s">
        <v>86</v>
      </c>
      <c r="AY26" s="16">
        <v>5.5</v>
      </c>
      <c r="AZ26" s="2"/>
      <c r="BA26" s="16"/>
      <c r="BB26" s="2"/>
      <c r="BC26" s="16"/>
      <c r="BD26" s="2"/>
      <c r="BE26" s="16"/>
      <c r="BF26" s="2">
        <v>2025</v>
      </c>
      <c r="BG26" s="16">
        <v>38</v>
      </c>
      <c r="BH26" s="2">
        <v>2028</v>
      </c>
      <c r="BI26" s="16">
        <v>51</v>
      </c>
      <c r="BJ26" s="2" t="s">
        <v>87</v>
      </c>
      <c r="BK26" s="8"/>
      <c r="BL26" s="8" t="str">
        <f>HYPERLINK("https://seichotoushi-hojo.jp/assets/pdf/koufu/outline_118.pdf","PDFを開く")</f>
        <v>PDFを開く</v>
      </c>
      <c r="BM26" s="8" t="s">
        <v>278</v>
      </c>
      <c r="BN26" s="8" t="s">
        <v>279</v>
      </c>
      <c r="BO26" s="8" t="s">
        <v>90</v>
      </c>
      <c r="BP26" s="8" t="s">
        <v>90</v>
      </c>
      <c r="BQ26" s="8" t="s">
        <v>157</v>
      </c>
      <c r="BR26" s="8" t="s">
        <v>92</v>
      </c>
    </row>
    <row r="27" spans="1:70" ht="45.95" customHeight="1">
      <c r="A27" s="5" t="s">
        <v>280</v>
      </c>
      <c r="B27" s="5" t="s">
        <v>73</v>
      </c>
      <c r="C27" s="5" t="s">
        <v>281</v>
      </c>
      <c r="D27" s="5" t="s">
        <v>281</v>
      </c>
      <c r="E27" s="5" t="s">
        <v>95</v>
      </c>
      <c r="F27" s="5"/>
      <c r="G27" s="5">
        <v>2</v>
      </c>
      <c r="H27" s="5">
        <v>0</v>
      </c>
      <c r="I27" s="5">
        <v>1</v>
      </c>
      <c r="J27" s="5">
        <v>1</v>
      </c>
      <c r="K27" s="5">
        <v>0</v>
      </c>
      <c r="L27" s="17">
        <v>4100</v>
      </c>
      <c r="M27" s="17">
        <v>1200</v>
      </c>
      <c r="N27" s="9" t="s">
        <v>282</v>
      </c>
      <c r="O27" s="13">
        <f t="shared" si="0"/>
        <v>29.268292682926827</v>
      </c>
      <c r="P27" s="5">
        <v>2</v>
      </c>
      <c r="Q27" s="5" t="s">
        <v>77</v>
      </c>
      <c r="R27" s="9" t="s">
        <v>283</v>
      </c>
      <c r="S27" s="9" t="s">
        <v>284</v>
      </c>
      <c r="T27" s="9" t="s">
        <v>80</v>
      </c>
      <c r="U27" s="5" t="s">
        <v>81</v>
      </c>
      <c r="V27" s="5"/>
      <c r="W27" s="17"/>
      <c r="X27" s="5">
        <v>2030</v>
      </c>
      <c r="Y27" s="17"/>
      <c r="Z27" s="17">
        <v>690</v>
      </c>
      <c r="AA27" s="5">
        <v>2030</v>
      </c>
      <c r="AB27" s="17">
        <v>243</v>
      </c>
      <c r="AC27" s="5">
        <v>2030</v>
      </c>
      <c r="AD27" s="5" t="s">
        <v>82</v>
      </c>
      <c r="AE27" s="17"/>
      <c r="AF27" s="17"/>
      <c r="AG27" s="17"/>
      <c r="AH27" s="17"/>
      <c r="AI27" s="9" t="s">
        <v>83</v>
      </c>
      <c r="AJ27" s="5" t="s">
        <v>84</v>
      </c>
      <c r="AK27" s="5">
        <v>1</v>
      </c>
      <c r="AL27" s="9" t="s">
        <v>285</v>
      </c>
      <c r="AM27" s="9"/>
      <c r="AN27" s="5">
        <v>2026</v>
      </c>
      <c r="AO27" s="17">
        <v>1158</v>
      </c>
      <c r="AP27" s="5">
        <v>2029</v>
      </c>
      <c r="AQ27" s="17">
        <v>1866</v>
      </c>
      <c r="AR27" s="5" t="s">
        <v>86</v>
      </c>
      <c r="AS27" s="17">
        <v>17</v>
      </c>
      <c r="AT27" s="5">
        <v>2026</v>
      </c>
      <c r="AU27" s="17">
        <v>663</v>
      </c>
      <c r="AV27" s="5">
        <v>2029</v>
      </c>
      <c r="AW27" s="17">
        <v>746</v>
      </c>
      <c r="AX27" s="5" t="s">
        <v>86</v>
      </c>
      <c r="AY27" s="17">
        <v>4</v>
      </c>
      <c r="AZ27" s="5">
        <v>2026</v>
      </c>
      <c r="BA27" s="17"/>
      <c r="BB27" s="5">
        <v>2029</v>
      </c>
      <c r="BC27" s="17"/>
      <c r="BD27" s="5" t="s">
        <v>86</v>
      </c>
      <c r="BE27" s="17">
        <v>4</v>
      </c>
      <c r="BF27" s="5">
        <v>2026</v>
      </c>
      <c r="BG27" s="17">
        <v>431</v>
      </c>
      <c r="BH27" s="5">
        <v>2029</v>
      </c>
      <c r="BI27" s="17">
        <v>456</v>
      </c>
      <c r="BJ27" s="5" t="s">
        <v>87</v>
      </c>
      <c r="BK27" s="9"/>
      <c r="BL27" s="9" t="str">
        <f>HYPERLINK("https://seichotoushi-hojo.jp/assets/pdf/koufu/outline_119.pdf","PDFを開く")</f>
        <v>PDFを開く</v>
      </c>
      <c r="BM27" s="9" t="s">
        <v>286</v>
      </c>
      <c r="BN27" s="9" t="s">
        <v>287</v>
      </c>
      <c r="BO27" s="9" t="s">
        <v>90</v>
      </c>
      <c r="BP27" s="9" t="s">
        <v>90</v>
      </c>
      <c r="BQ27" s="9" t="s">
        <v>91</v>
      </c>
      <c r="BR27" s="9" t="s">
        <v>92</v>
      </c>
    </row>
    <row r="28" spans="1:70" ht="45.95" customHeight="1">
      <c r="A28" s="2" t="s">
        <v>288</v>
      </c>
      <c r="B28" s="2" t="s">
        <v>73</v>
      </c>
      <c r="C28" s="2" t="s">
        <v>289</v>
      </c>
      <c r="D28" s="2" t="s">
        <v>289</v>
      </c>
      <c r="E28" s="2" t="s">
        <v>107</v>
      </c>
      <c r="F28" s="2"/>
      <c r="G28" s="2">
        <v>2</v>
      </c>
      <c r="H28" s="2">
        <v>0</v>
      </c>
      <c r="I28" s="2">
        <v>1</v>
      </c>
      <c r="J28" s="2">
        <v>1</v>
      </c>
      <c r="K28" s="2">
        <v>0</v>
      </c>
      <c r="L28" s="16">
        <v>13100</v>
      </c>
      <c r="M28" s="16">
        <v>4200</v>
      </c>
      <c r="N28" s="8" t="s">
        <v>290</v>
      </c>
      <c r="O28" s="12">
        <f t="shared" si="0"/>
        <v>32.061068702290072</v>
      </c>
      <c r="P28" s="2">
        <v>2</v>
      </c>
      <c r="Q28" s="2" t="s">
        <v>77</v>
      </c>
      <c r="R28" s="8" t="s">
        <v>290</v>
      </c>
      <c r="S28" s="8" t="s">
        <v>291</v>
      </c>
      <c r="T28" s="8" t="s">
        <v>80</v>
      </c>
      <c r="U28" s="2" t="s">
        <v>81</v>
      </c>
      <c r="V28" s="2">
        <v>2023</v>
      </c>
      <c r="W28" s="16">
        <v>600</v>
      </c>
      <c r="X28" s="2">
        <v>2029</v>
      </c>
      <c r="Y28" s="16">
        <v>948</v>
      </c>
      <c r="Z28" s="16">
        <v>348</v>
      </c>
      <c r="AA28" s="2">
        <v>2029</v>
      </c>
      <c r="AB28" s="16">
        <v>7.9</v>
      </c>
      <c r="AC28" s="2">
        <v>2029</v>
      </c>
      <c r="AD28" s="2" t="s">
        <v>210</v>
      </c>
      <c r="AE28" s="16">
        <v>58</v>
      </c>
      <c r="AF28" s="16">
        <v>7.9</v>
      </c>
      <c r="AG28" s="16"/>
      <c r="AH28" s="16"/>
      <c r="AI28" s="8" t="s">
        <v>166</v>
      </c>
      <c r="AJ28" s="2" t="s">
        <v>292</v>
      </c>
      <c r="AK28" s="2">
        <v>1</v>
      </c>
      <c r="AL28" s="8" t="s">
        <v>293</v>
      </c>
      <c r="AM28" s="8" t="s">
        <v>294</v>
      </c>
      <c r="AN28" s="2">
        <v>2026</v>
      </c>
      <c r="AO28" s="16">
        <v>1304</v>
      </c>
      <c r="AP28" s="2">
        <v>2029</v>
      </c>
      <c r="AQ28" s="16">
        <v>1550</v>
      </c>
      <c r="AR28" s="2" t="s">
        <v>86</v>
      </c>
      <c r="AS28" s="16">
        <v>6</v>
      </c>
      <c r="AT28" s="2">
        <v>2026</v>
      </c>
      <c r="AU28" s="16">
        <v>479</v>
      </c>
      <c r="AV28" s="2">
        <v>2029</v>
      </c>
      <c r="AW28" s="16">
        <v>587</v>
      </c>
      <c r="AX28" s="2" t="s">
        <v>86</v>
      </c>
      <c r="AY28" s="16">
        <v>7</v>
      </c>
      <c r="AZ28" s="2"/>
      <c r="BA28" s="16"/>
      <c r="BB28" s="2"/>
      <c r="BC28" s="16"/>
      <c r="BD28" s="2"/>
      <c r="BE28" s="16"/>
      <c r="BF28" s="2">
        <v>2026</v>
      </c>
      <c r="BG28" s="16">
        <v>505</v>
      </c>
      <c r="BH28" s="2">
        <v>2029</v>
      </c>
      <c r="BI28" s="16">
        <v>545</v>
      </c>
      <c r="BJ28" s="2" t="s">
        <v>87</v>
      </c>
      <c r="BK28" s="8"/>
      <c r="BL28" s="8" t="str">
        <f>HYPERLINK("https://seichotoushi-hojo.jp/assets/pdf/koufu/outline_12.pdf","PDFを開く")</f>
        <v>PDFを開く</v>
      </c>
      <c r="BM28" s="8" t="s">
        <v>295</v>
      </c>
      <c r="BN28" s="8" t="s">
        <v>296</v>
      </c>
      <c r="BO28" s="8" t="s">
        <v>90</v>
      </c>
      <c r="BP28" s="8" t="s">
        <v>90</v>
      </c>
      <c r="BQ28" s="8" t="s">
        <v>156</v>
      </c>
      <c r="BR28" s="8" t="s">
        <v>92</v>
      </c>
    </row>
    <row r="29" spans="1:70" ht="45.95" customHeight="1">
      <c r="A29" s="5" t="s">
        <v>297</v>
      </c>
      <c r="B29" s="5" t="s">
        <v>73</v>
      </c>
      <c r="C29" s="5" t="s">
        <v>298</v>
      </c>
      <c r="D29" s="5" t="s">
        <v>298</v>
      </c>
      <c r="E29" s="5" t="s">
        <v>75</v>
      </c>
      <c r="F29" s="5"/>
      <c r="G29" s="5">
        <v>2</v>
      </c>
      <c r="H29" s="5">
        <v>0</v>
      </c>
      <c r="I29" s="5">
        <v>1</v>
      </c>
      <c r="J29" s="5">
        <v>1</v>
      </c>
      <c r="K29" s="5">
        <v>0</v>
      </c>
      <c r="L29" s="17">
        <v>3100</v>
      </c>
      <c r="M29" s="17">
        <v>320</v>
      </c>
      <c r="N29" s="9" t="s">
        <v>299</v>
      </c>
      <c r="O29" s="13">
        <f t="shared" si="0"/>
        <v>10.32258064516129</v>
      </c>
      <c r="P29" s="5">
        <v>2</v>
      </c>
      <c r="Q29" s="5" t="s">
        <v>77</v>
      </c>
      <c r="R29" s="9" t="s">
        <v>299</v>
      </c>
      <c r="S29" s="9" t="s">
        <v>300</v>
      </c>
      <c r="T29" s="9" t="s">
        <v>80</v>
      </c>
      <c r="U29" s="5" t="s">
        <v>81</v>
      </c>
      <c r="V29" s="5">
        <v>2022</v>
      </c>
      <c r="W29" s="17">
        <v>140</v>
      </c>
      <c r="X29" s="5">
        <v>2029</v>
      </c>
      <c r="Y29" s="17">
        <v>140</v>
      </c>
      <c r="Z29" s="17">
        <v>9.4</v>
      </c>
      <c r="AA29" s="5">
        <v>2029</v>
      </c>
      <c r="AB29" s="17">
        <v>18</v>
      </c>
      <c r="AC29" s="5">
        <v>2029</v>
      </c>
      <c r="AD29" s="5" t="s">
        <v>210</v>
      </c>
      <c r="AE29" s="17"/>
      <c r="AF29" s="17"/>
      <c r="AG29" s="17">
        <v>0</v>
      </c>
      <c r="AH29" s="17"/>
      <c r="AI29" s="9" t="s">
        <v>120</v>
      </c>
      <c r="AJ29" s="5" t="s">
        <v>84</v>
      </c>
      <c r="AK29" s="5">
        <v>1</v>
      </c>
      <c r="AL29" s="9" t="s">
        <v>301</v>
      </c>
      <c r="AM29" s="9" t="s">
        <v>302</v>
      </c>
      <c r="AN29" s="5">
        <v>2025</v>
      </c>
      <c r="AO29" s="17">
        <v>653</v>
      </c>
      <c r="AP29" s="5">
        <v>2028</v>
      </c>
      <c r="AQ29" s="17">
        <v>1296</v>
      </c>
      <c r="AR29" s="5" t="s">
        <v>86</v>
      </c>
      <c r="AS29" s="17">
        <v>26</v>
      </c>
      <c r="AT29" s="5">
        <v>2025</v>
      </c>
      <c r="AU29" s="17">
        <v>384</v>
      </c>
      <c r="AV29" s="5">
        <v>2028</v>
      </c>
      <c r="AW29" s="17">
        <v>457</v>
      </c>
      <c r="AX29" s="5" t="s">
        <v>86</v>
      </c>
      <c r="AY29" s="17">
        <v>6</v>
      </c>
      <c r="AZ29" s="5"/>
      <c r="BA29" s="17"/>
      <c r="BB29" s="5"/>
      <c r="BC29" s="17"/>
      <c r="BD29" s="5"/>
      <c r="BE29" s="17"/>
      <c r="BF29" s="5">
        <v>2025</v>
      </c>
      <c r="BG29" s="17">
        <v>130</v>
      </c>
      <c r="BH29" s="5">
        <v>2028</v>
      </c>
      <c r="BI29" s="17">
        <v>160</v>
      </c>
      <c r="BJ29" s="5" t="s">
        <v>87</v>
      </c>
      <c r="BK29" s="9"/>
      <c r="BL29" s="9" t="str">
        <f>HYPERLINK("https://seichotoushi-hojo.jp/assets/pdf/koufu/outline_120.pdf","PDFを開く")</f>
        <v>PDFを開く</v>
      </c>
      <c r="BM29" s="9" t="s">
        <v>303</v>
      </c>
      <c r="BN29" s="9" t="s">
        <v>304</v>
      </c>
      <c r="BO29" s="9" t="s">
        <v>90</v>
      </c>
      <c r="BP29" s="9" t="s">
        <v>90</v>
      </c>
      <c r="BQ29" s="9" t="s">
        <v>157</v>
      </c>
      <c r="BR29" s="9" t="s">
        <v>92</v>
      </c>
    </row>
    <row r="30" spans="1:70" ht="45.95" customHeight="1">
      <c r="A30" s="2" t="s">
        <v>305</v>
      </c>
      <c r="B30" s="2" t="s">
        <v>73</v>
      </c>
      <c r="C30" s="2" t="s">
        <v>306</v>
      </c>
      <c r="D30" s="2" t="s">
        <v>306</v>
      </c>
      <c r="E30" s="2" t="s">
        <v>107</v>
      </c>
      <c r="F30" s="2"/>
      <c r="G30" s="2">
        <v>2</v>
      </c>
      <c r="H30" s="2">
        <v>0</v>
      </c>
      <c r="I30" s="2">
        <v>1</v>
      </c>
      <c r="J30" s="2">
        <v>1</v>
      </c>
      <c r="K30" s="2">
        <v>0</v>
      </c>
      <c r="L30" s="16">
        <v>1270</v>
      </c>
      <c r="M30" s="16">
        <v>370</v>
      </c>
      <c r="N30" s="8" t="s">
        <v>307</v>
      </c>
      <c r="O30" s="12">
        <f t="shared" si="0"/>
        <v>29.133858267716533</v>
      </c>
      <c r="P30" s="2">
        <v>2</v>
      </c>
      <c r="Q30" s="2" t="s">
        <v>308</v>
      </c>
      <c r="R30" s="8"/>
      <c r="S30" s="8" t="s">
        <v>309</v>
      </c>
      <c r="T30" s="8" t="s">
        <v>310</v>
      </c>
      <c r="U30" s="2" t="s">
        <v>81</v>
      </c>
      <c r="V30" s="2">
        <v>2024</v>
      </c>
      <c r="W30" s="16"/>
      <c r="X30" s="2">
        <v>2029</v>
      </c>
      <c r="Y30" s="16"/>
      <c r="Z30" s="16">
        <v>10</v>
      </c>
      <c r="AA30" s="2">
        <v>2029</v>
      </c>
      <c r="AB30" s="16">
        <v>189</v>
      </c>
      <c r="AC30" s="2">
        <v>2029</v>
      </c>
      <c r="AD30" s="2" t="s">
        <v>82</v>
      </c>
      <c r="AE30" s="16"/>
      <c r="AF30" s="16"/>
      <c r="AG30" s="16"/>
      <c r="AH30" s="16"/>
      <c r="AI30" s="8" t="s">
        <v>83</v>
      </c>
      <c r="AJ30" s="2" t="s">
        <v>84</v>
      </c>
      <c r="AK30" s="2">
        <v>1</v>
      </c>
      <c r="AL30" s="8" t="s">
        <v>311</v>
      </c>
      <c r="AM30" s="8"/>
      <c r="AN30" s="2">
        <v>2026</v>
      </c>
      <c r="AO30" s="16">
        <v>516</v>
      </c>
      <c r="AP30" s="2">
        <v>2029</v>
      </c>
      <c r="AQ30" s="16">
        <v>1005</v>
      </c>
      <c r="AR30" s="2"/>
      <c r="AS30" s="16">
        <v>24.9</v>
      </c>
      <c r="AT30" s="2">
        <v>2026</v>
      </c>
      <c r="AU30" s="16">
        <v>332</v>
      </c>
      <c r="AV30" s="2">
        <v>2029</v>
      </c>
      <c r="AW30" s="16">
        <v>385</v>
      </c>
      <c r="AX30" s="2"/>
      <c r="AY30" s="16">
        <v>5</v>
      </c>
      <c r="AZ30" s="2">
        <v>2026</v>
      </c>
      <c r="BA30" s="16">
        <v>623</v>
      </c>
      <c r="BB30" s="2">
        <v>2029</v>
      </c>
      <c r="BC30" s="16">
        <v>709</v>
      </c>
      <c r="BD30" s="2"/>
      <c r="BE30" s="16">
        <v>4.4000000000000004</v>
      </c>
      <c r="BF30" s="2">
        <v>2026</v>
      </c>
      <c r="BG30" s="16">
        <v>71</v>
      </c>
      <c r="BH30" s="2">
        <v>2029</v>
      </c>
      <c r="BI30" s="16">
        <v>91</v>
      </c>
      <c r="BJ30" s="2" t="s">
        <v>87</v>
      </c>
      <c r="BK30" s="8"/>
      <c r="BL30" s="8" t="str">
        <f>HYPERLINK("https://seichotoushi-hojo.jp/assets/pdf/koufu/outline_121.pdf","PDFを開く")</f>
        <v>PDFを開く</v>
      </c>
      <c r="BM30" s="8" t="s">
        <v>312</v>
      </c>
      <c r="BN30" s="8" t="s">
        <v>313</v>
      </c>
      <c r="BO30" s="8" t="s">
        <v>90</v>
      </c>
      <c r="BP30" s="8" t="s">
        <v>90</v>
      </c>
      <c r="BQ30" s="8" t="s">
        <v>90</v>
      </c>
      <c r="BR30" s="8" t="s">
        <v>92</v>
      </c>
    </row>
    <row r="31" spans="1:70" ht="45.95" customHeight="1">
      <c r="A31" s="5" t="s">
        <v>314</v>
      </c>
      <c r="B31" s="5" t="s">
        <v>73</v>
      </c>
      <c r="C31" s="5" t="s">
        <v>315</v>
      </c>
      <c r="D31" s="5" t="s">
        <v>315</v>
      </c>
      <c r="E31" s="5" t="s">
        <v>95</v>
      </c>
      <c r="F31" s="5"/>
      <c r="G31" s="5">
        <v>2</v>
      </c>
      <c r="H31" s="5">
        <v>0</v>
      </c>
      <c r="I31" s="5">
        <v>1</v>
      </c>
      <c r="J31" s="5">
        <v>1</v>
      </c>
      <c r="K31" s="5">
        <v>0</v>
      </c>
      <c r="L31" s="17">
        <v>4500</v>
      </c>
      <c r="M31" s="17">
        <v>230</v>
      </c>
      <c r="N31" s="9" t="s">
        <v>316</v>
      </c>
      <c r="O31" s="13">
        <f t="shared" si="0"/>
        <v>5.1111111111111116</v>
      </c>
      <c r="P31" s="5">
        <v>2</v>
      </c>
      <c r="Q31" s="5" t="s">
        <v>77</v>
      </c>
      <c r="R31" s="9" t="s">
        <v>317</v>
      </c>
      <c r="S31" s="9" t="s">
        <v>318</v>
      </c>
      <c r="T31" s="9" t="s">
        <v>80</v>
      </c>
      <c r="U31" s="5" t="s">
        <v>81</v>
      </c>
      <c r="V31" s="5">
        <v>2029</v>
      </c>
      <c r="W31" s="17">
        <v>266</v>
      </c>
      <c r="X31" s="5">
        <v>2030</v>
      </c>
      <c r="Y31" s="17">
        <v>315</v>
      </c>
      <c r="Z31" s="17"/>
      <c r="AA31" s="5"/>
      <c r="AB31" s="17"/>
      <c r="AC31" s="5"/>
      <c r="AD31" s="5"/>
      <c r="AE31" s="17"/>
      <c r="AF31" s="17"/>
      <c r="AG31" s="17">
        <v>18.421052631578938</v>
      </c>
      <c r="AH31" s="17"/>
      <c r="AI31" s="9" t="s">
        <v>100</v>
      </c>
      <c r="AJ31" s="5" t="s">
        <v>84</v>
      </c>
      <c r="AK31" s="5">
        <v>1</v>
      </c>
      <c r="AL31" s="9" t="s">
        <v>319</v>
      </c>
      <c r="AM31" s="9" t="s">
        <v>320</v>
      </c>
      <c r="AN31" s="5">
        <v>2026</v>
      </c>
      <c r="AO31" s="17">
        <v>1904</v>
      </c>
      <c r="AP31" s="5">
        <v>2029</v>
      </c>
      <c r="AQ31" s="17">
        <v>2795</v>
      </c>
      <c r="AR31" s="5" t="s">
        <v>86</v>
      </c>
      <c r="AS31" s="17">
        <v>13.7</v>
      </c>
      <c r="AT31" s="5">
        <v>2026</v>
      </c>
      <c r="AU31" s="17">
        <v>649</v>
      </c>
      <c r="AV31" s="5">
        <v>2029</v>
      </c>
      <c r="AW31" s="17">
        <v>730</v>
      </c>
      <c r="AX31" s="5" t="s">
        <v>86</v>
      </c>
      <c r="AY31" s="17">
        <v>4</v>
      </c>
      <c r="AZ31" s="5">
        <v>2026</v>
      </c>
      <c r="BA31" s="17"/>
      <c r="BB31" s="5">
        <v>2029</v>
      </c>
      <c r="BC31" s="17"/>
      <c r="BD31" s="5" t="s">
        <v>86</v>
      </c>
      <c r="BE31" s="17">
        <v>4</v>
      </c>
      <c r="BF31" s="5">
        <v>2026</v>
      </c>
      <c r="BG31" s="17">
        <v>225</v>
      </c>
      <c r="BH31" s="5">
        <v>2029</v>
      </c>
      <c r="BI31" s="17">
        <v>240</v>
      </c>
      <c r="BJ31" s="5" t="s">
        <v>87</v>
      </c>
      <c r="BK31" s="9"/>
      <c r="BL31" s="9" t="str">
        <f>HYPERLINK("https://seichotoushi-hojo.jp/assets/pdf/koufu/outline_122.pdf","PDFを開く")</f>
        <v>PDFを開く</v>
      </c>
      <c r="BM31" s="9" t="s">
        <v>321</v>
      </c>
      <c r="BN31" s="9" t="s">
        <v>322</v>
      </c>
      <c r="BO31" s="9" t="s">
        <v>90</v>
      </c>
      <c r="BP31" s="9" t="s">
        <v>90</v>
      </c>
      <c r="BQ31" s="9" t="s">
        <v>91</v>
      </c>
      <c r="BR31" s="9" t="s">
        <v>92</v>
      </c>
    </row>
    <row r="32" spans="1:70" ht="45.95" customHeight="1">
      <c r="A32" s="2" t="s">
        <v>323</v>
      </c>
      <c r="B32" s="2" t="s">
        <v>73</v>
      </c>
      <c r="C32" s="2" t="s">
        <v>324</v>
      </c>
      <c r="D32" s="2" t="s">
        <v>324</v>
      </c>
      <c r="E32" s="2" t="s">
        <v>107</v>
      </c>
      <c r="F32" s="2"/>
      <c r="G32" s="2">
        <v>2</v>
      </c>
      <c r="H32" s="2">
        <v>0</v>
      </c>
      <c r="I32" s="2">
        <v>1</v>
      </c>
      <c r="J32" s="2">
        <v>1</v>
      </c>
      <c r="K32" s="2">
        <v>0</v>
      </c>
      <c r="L32" s="16">
        <v>9500</v>
      </c>
      <c r="M32" s="16">
        <v>1900</v>
      </c>
      <c r="N32" s="8" t="s">
        <v>325</v>
      </c>
      <c r="O32" s="12">
        <f t="shared" si="0"/>
        <v>20</v>
      </c>
      <c r="P32" s="2">
        <v>2</v>
      </c>
      <c r="Q32" s="2" t="s">
        <v>77</v>
      </c>
      <c r="R32" s="8" t="s">
        <v>326</v>
      </c>
      <c r="S32" s="8" t="s">
        <v>327</v>
      </c>
      <c r="T32" s="8" t="s">
        <v>80</v>
      </c>
      <c r="U32" s="2" t="s">
        <v>81</v>
      </c>
      <c r="V32" s="2">
        <v>2024</v>
      </c>
      <c r="W32" s="16"/>
      <c r="X32" s="2">
        <v>2029</v>
      </c>
      <c r="Y32" s="16"/>
      <c r="Z32" s="16">
        <v>46</v>
      </c>
      <c r="AA32" s="2">
        <v>2029</v>
      </c>
      <c r="AB32" s="16">
        <v>49</v>
      </c>
      <c r="AC32" s="2">
        <v>2029</v>
      </c>
      <c r="AD32" s="2" t="s">
        <v>82</v>
      </c>
      <c r="AE32" s="16"/>
      <c r="AF32" s="16"/>
      <c r="AG32" s="16"/>
      <c r="AH32" s="16"/>
      <c r="AI32" s="8" t="s">
        <v>83</v>
      </c>
      <c r="AJ32" s="2" t="s">
        <v>84</v>
      </c>
      <c r="AK32" s="2">
        <v>1</v>
      </c>
      <c r="AL32" s="8" t="s">
        <v>328</v>
      </c>
      <c r="AM32" s="8"/>
      <c r="AN32" s="2">
        <v>2026</v>
      </c>
      <c r="AO32" s="16">
        <v>324</v>
      </c>
      <c r="AP32" s="2">
        <v>2029</v>
      </c>
      <c r="AQ32" s="16">
        <v>2382</v>
      </c>
      <c r="AR32" s="2" t="s">
        <v>86</v>
      </c>
      <c r="AS32" s="16">
        <v>94.5</v>
      </c>
      <c r="AT32" s="2">
        <v>2026</v>
      </c>
      <c r="AU32" s="16">
        <v>589</v>
      </c>
      <c r="AV32" s="2">
        <v>2029</v>
      </c>
      <c r="AW32" s="16">
        <v>709</v>
      </c>
      <c r="AX32" s="2" t="s">
        <v>86</v>
      </c>
      <c r="AY32" s="16">
        <v>6.37</v>
      </c>
      <c r="AZ32" s="2"/>
      <c r="BA32" s="16"/>
      <c r="BB32" s="2"/>
      <c r="BC32" s="16"/>
      <c r="BD32" s="2"/>
      <c r="BE32" s="16"/>
      <c r="BF32" s="2">
        <v>2026</v>
      </c>
      <c r="BG32" s="16">
        <v>17</v>
      </c>
      <c r="BH32" s="2">
        <v>2029</v>
      </c>
      <c r="BI32" s="16">
        <v>130</v>
      </c>
      <c r="BJ32" s="2" t="s">
        <v>87</v>
      </c>
      <c r="BK32" s="8"/>
      <c r="BL32" s="8" t="str">
        <f>HYPERLINK("https://seichotoushi-hojo.jp/assets/pdf/koufu/outline_123.pdf","PDFを開く")</f>
        <v>PDFを開く</v>
      </c>
      <c r="BM32" s="8" t="s">
        <v>329</v>
      </c>
      <c r="BN32" s="8" t="s">
        <v>330</v>
      </c>
      <c r="BO32" s="8" t="s">
        <v>90</v>
      </c>
      <c r="BP32" s="8" t="s">
        <v>90</v>
      </c>
      <c r="BQ32" s="8" t="s">
        <v>156</v>
      </c>
      <c r="BR32" s="8" t="s">
        <v>92</v>
      </c>
    </row>
    <row r="33" spans="1:70" ht="45.95" customHeight="1">
      <c r="A33" s="5" t="s">
        <v>331</v>
      </c>
      <c r="B33" s="5" t="s">
        <v>73</v>
      </c>
      <c r="C33" s="5" t="s">
        <v>332</v>
      </c>
      <c r="D33" s="5" t="s">
        <v>332</v>
      </c>
      <c r="E33" s="5" t="s">
        <v>107</v>
      </c>
      <c r="F33" s="5"/>
      <c r="G33" s="5">
        <v>3</v>
      </c>
      <c r="H33" s="5">
        <v>0</v>
      </c>
      <c r="I33" s="5">
        <v>2</v>
      </c>
      <c r="J33" s="5">
        <v>1</v>
      </c>
      <c r="K33" s="5">
        <v>0</v>
      </c>
      <c r="L33" s="17">
        <v>2700</v>
      </c>
      <c r="M33" s="17">
        <v>780</v>
      </c>
      <c r="N33" s="9" t="s">
        <v>333</v>
      </c>
      <c r="O33" s="13">
        <f t="shared" si="0"/>
        <v>28.888888888888886</v>
      </c>
      <c r="P33" s="5">
        <v>3</v>
      </c>
      <c r="Q33" s="5" t="s">
        <v>77</v>
      </c>
      <c r="R33" s="9" t="s">
        <v>333</v>
      </c>
      <c r="S33" s="9" t="s">
        <v>334</v>
      </c>
      <c r="T33" s="9" t="s">
        <v>80</v>
      </c>
      <c r="U33" s="5" t="s">
        <v>81</v>
      </c>
      <c r="V33" s="5">
        <v>2024</v>
      </c>
      <c r="W33" s="17"/>
      <c r="X33" s="5">
        <v>2030</v>
      </c>
      <c r="Y33" s="17"/>
      <c r="Z33" s="17">
        <v>159</v>
      </c>
      <c r="AA33" s="5">
        <v>2030</v>
      </c>
      <c r="AB33" s="17">
        <v>11</v>
      </c>
      <c r="AC33" s="5">
        <v>2030</v>
      </c>
      <c r="AD33" s="5" t="s">
        <v>210</v>
      </c>
      <c r="AE33" s="17"/>
      <c r="AF33" s="17"/>
      <c r="AG33" s="17"/>
      <c r="AH33" s="17"/>
      <c r="AI33" s="9" t="s">
        <v>83</v>
      </c>
      <c r="AJ33" s="5" t="s">
        <v>84</v>
      </c>
      <c r="AK33" s="5">
        <v>1</v>
      </c>
      <c r="AL33" s="9" t="s">
        <v>335</v>
      </c>
      <c r="AM33" s="9"/>
      <c r="AN33" s="5">
        <v>2027</v>
      </c>
      <c r="AO33" s="17">
        <v>795</v>
      </c>
      <c r="AP33" s="5">
        <v>2030</v>
      </c>
      <c r="AQ33" s="17">
        <v>1336</v>
      </c>
      <c r="AR33" s="5" t="s">
        <v>86</v>
      </c>
      <c r="AS33" s="17">
        <v>18.899999999999999</v>
      </c>
      <c r="AT33" s="5">
        <v>2027</v>
      </c>
      <c r="AU33" s="17">
        <v>463</v>
      </c>
      <c r="AV33" s="5">
        <v>2030</v>
      </c>
      <c r="AW33" s="17">
        <v>575</v>
      </c>
      <c r="AX33" s="5" t="s">
        <v>86</v>
      </c>
      <c r="AY33" s="17">
        <v>7.5</v>
      </c>
      <c r="AZ33" s="5"/>
      <c r="BA33" s="17"/>
      <c r="BB33" s="5"/>
      <c r="BC33" s="17"/>
      <c r="BD33" s="5"/>
      <c r="BE33" s="17"/>
      <c r="BF33" s="5">
        <v>2027</v>
      </c>
      <c r="BG33" s="17">
        <v>23</v>
      </c>
      <c r="BH33" s="5">
        <v>2030</v>
      </c>
      <c r="BI33" s="17">
        <v>70</v>
      </c>
      <c r="BJ33" s="5" t="s">
        <v>87</v>
      </c>
      <c r="BK33" s="9"/>
      <c r="BL33" s="9" t="str">
        <f>HYPERLINK("https://seichotoushi-hojo.jp/assets/pdf/koufu/outline_124.pdf","PDFを開く")</f>
        <v>PDFを開く</v>
      </c>
      <c r="BM33" s="9" t="s">
        <v>336</v>
      </c>
      <c r="BN33" s="9" t="s">
        <v>337</v>
      </c>
      <c r="BO33" s="9" t="s">
        <v>90</v>
      </c>
      <c r="BP33" s="9" t="s">
        <v>90</v>
      </c>
      <c r="BQ33" s="9" t="s">
        <v>156</v>
      </c>
      <c r="BR33" s="9" t="s">
        <v>92</v>
      </c>
    </row>
    <row r="34" spans="1:70" ht="45.95" customHeight="1">
      <c r="A34" s="2" t="s">
        <v>338</v>
      </c>
      <c r="B34" s="2" t="s">
        <v>73</v>
      </c>
      <c r="C34" s="2" t="s">
        <v>339</v>
      </c>
      <c r="D34" s="2" t="s">
        <v>339</v>
      </c>
      <c r="E34" s="2" t="s">
        <v>95</v>
      </c>
      <c r="F34" s="2"/>
      <c r="G34" s="2">
        <v>2</v>
      </c>
      <c r="H34" s="2">
        <v>0</v>
      </c>
      <c r="I34" s="2">
        <v>1</v>
      </c>
      <c r="J34" s="2">
        <v>1</v>
      </c>
      <c r="K34" s="2">
        <v>0</v>
      </c>
      <c r="L34" s="16">
        <v>2700</v>
      </c>
      <c r="M34" s="16">
        <v>210</v>
      </c>
      <c r="N34" s="8" t="s">
        <v>340</v>
      </c>
      <c r="O34" s="12">
        <f t="shared" si="0"/>
        <v>7.7777777777777777</v>
      </c>
      <c r="P34" s="2">
        <v>2</v>
      </c>
      <c r="Q34" s="2" t="s">
        <v>77</v>
      </c>
      <c r="R34" s="8" t="s">
        <v>341</v>
      </c>
      <c r="S34" s="8" t="s">
        <v>342</v>
      </c>
      <c r="T34" s="8" t="s">
        <v>80</v>
      </c>
      <c r="U34" s="2" t="s">
        <v>81</v>
      </c>
      <c r="V34" s="2">
        <v>2024</v>
      </c>
      <c r="W34" s="16"/>
      <c r="X34" s="2">
        <v>2030</v>
      </c>
      <c r="Y34" s="16">
        <v>66</v>
      </c>
      <c r="Z34" s="16">
        <v>66</v>
      </c>
      <c r="AA34" s="2">
        <v>2030</v>
      </c>
      <c r="AB34" s="16">
        <v>10.7</v>
      </c>
      <c r="AC34" s="2">
        <v>2030</v>
      </c>
      <c r="AD34" s="2" t="s">
        <v>82</v>
      </c>
      <c r="AE34" s="16"/>
      <c r="AF34" s="16"/>
      <c r="AG34" s="16"/>
      <c r="AH34" s="16"/>
      <c r="AI34" s="8" t="s">
        <v>83</v>
      </c>
      <c r="AJ34" s="2" t="s">
        <v>84</v>
      </c>
      <c r="AK34" s="2">
        <v>1</v>
      </c>
      <c r="AL34" s="8" t="s">
        <v>343</v>
      </c>
      <c r="AM34" s="8" t="s">
        <v>344</v>
      </c>
      <c r="AN34" s="2">
        <v>2027</v>
      </c>
      <c r="AO34" s="16">
        <v>15377</v>
      </c>
      <c r="AP34" s="2">
        <v>2030</v>
      </c>
      <c r="AQ34" s="16">
        <v>18036</v>
      </c>
      <c r="AR34" s="2" t="s">
        <v>86</v>
      </c>
      <c r="AS34" s="16">
        <v>5.5</v>
      </c>
      <c r="AT34" s="2">
        <v>2027</v>
      </c>
      <c r="AU34" s="16">
        <v>491</v>
      </c>
      <c r="AV34" s="2">
        <v>2030</v>
      </c>
      <c r="AW34" s="16">
        <v>563</v>
      </c>
      <c r="AX34" s="2" t="s">
        <v>86</v>
      </c>
      <c r="AY34" s="16">
        <v>4.67</v>
      </c>
      <c r="AZ34" s="2"/>
      <c r="BA34" s="16"/>
      <c r="BB34" s="2"/>
      <c r="BC34" s="16"/>
      <c r="BD34" s="2"/>
      <c r="BE34" s="16"/>
      <c r="BF34" s="2">
        <v>2027</v>
      </c>
      <c r="BG34" s="16">
        <v>33</v>
      </c>
      <c r="BH34" s="2">
        <v>2030</v>
      </c>
      <c r="BI34" s="16">
        <v>50</v>
      </c>
      <c r="BJ34" s="2" t="s">
        <v>87</v>
      </c>
      <c r="BK34" s="8"/>
      <c r="BL34" s="8" t="str">
        <f>HYPERLINK("https://seichotoushi-hojo.jp/assets/pdf/koufu/outline_125.pdf","PDFを開く")</f>
        <v>PDFを開く</v>
      </c>
      <c r="BM34" s="8" t="s">
        <v>345</v>
      </c>
      <c r="BN34" s="8" t="s">
        <v>346</v>
      </c>
      <c r="BO34" s="8" t="s">
        <v>90</v>
      </c>
      <c r="BP34" s="8" t="s">
        <v>90</v>
      </c>
      <c r="BQ34" s="8" t="s">
        <v>157</v>
      </c>
      <c r="BR34" s="8" t="s">
        <v>92</v>
      </c>
    </row>
    <row r="35" spans="1:70" ht="45.95" customHeight="1">
      <c r="A35" s="5" t="s">
        <v>347</v>
      </c>
      <c r="B35" s="5" t="s">
        <v>73</v>
      </c>
      <c r="C35" s="5" t="s">
        <v>348</v>
      </c>
      <c r="D35" s="5" t="s">
        <v>348</v>
      </c>
      <c r="E35" s="5"/>
      <c r="F35" s="5"/>
      <c r="G35" s="5">
        <v>2</v>
      </c>
      <c r="H35" s="5">
        <v>0</v>
      </c>
      <c r="I35" s="5">
        <v>1</v>
      </c>
      <c r="J35" s="5">
        <v>1</v>
      </c>
      <c r="K35" s="5">
        <v>0</v>
      </c>
      <c r="L35" s="17">
        <v>7500</v>
      </c>
      <c r="M35" s="17">
        <v>440</v>
      </c>
      <c r="N35" s="9" t="s">
        <v>349</v>
      </c>
      <c r="O35" s="13">
        <f t="shared" si="0"/>
        <v>5.8666666666666663</v>
      </c>
      <c r="P35" s="5">
        <v>2</v>
      </c>
      <c r="Q35" s="5" t="s">
        <v>77</v>
      </c>
      <c r="R35" s="9" t="s">
        <v>349</v>
      </c>
      <c r="S35" s="9" t="s">
        <v>350</v>
      </c>
      <c r="T35" s="9" t="s">
        <v>80</v>
      </c>
      <c r="U35" s="5" t="s">
        <v>81</v>
      </c>
      <c r="V35" s="5">
        <v>2027</v>
      </c>
      <c r="W35" s="17"/>
      <c r="X35" s="5">
        <v>2030</v>
      </c>
      <c r="Y35" s="17"/>
      <c r="Z35" s="17">
        <v>64.8</v>
      </c>
      <c r="AA35" s="5">
        <v>2030</v>
      </c>
      <c r="AB35" s="17">
        <v>13.1</v>
      </c>
      <c r="AC35" s="5">
        <v>2030</v>
      </c>
      <c r="AD35" s="5" t="s">
        <v>210</v>
      </c>
      <c r="AE35" s="17"/>
      <c r="AF35" s="17"/>
      <c r="AG35" s="17"/>
      <c r="AH35" s="17"/>
      <c r="AI35" s="9" t="s">
        <v>83</v>
      </c>
      <c r="AJ35" s="5" t="s">
        <v>84</v>
      </c>
      <c r="AK35" s="5">
        <v>1</v>
      </c>
      <c r="AL35" s="9" t="s">
        <v>351</v>
      </c>
      <c r="AM35" s="9"/>
      <c r="AN35" s="5">
        <v>2026</v>
      </c>
      <c r="AO35" s="17">
        <v>262</v>
      </c>
      <c r="AP35" s="5">
        <v>2029</v>
      </c>
      <c r="AQ35" s="17">
        <v>799</v>
      </c>
      <c r="AR35" s="5" t="s">
        <v>86</v>
      </c>
      <c r="AS35" s="17">
        <v>45</v>
      </c>
      <c r="AT35" s="5">
        <v>2026</v>
      </c>
      <c r="AU35" s="17">
        <v>247</v>
      </c>
      <c r="AV35" s="5">
        <v>2029</v>
      </c>
      <c r="AW35" s="17">
        <v>290</v>
      </c>
      <c r="AX35" s="5" t="s">
        <v>86</v>
      </c>
      <c r="AY35" s="17">
        <v>5.4</v>
      </c>
      <c r="AZ35" s="5"/>
      <c r="BA35" s="17"/>
      <c r="BB35" s="5"/>
      <c r="BC35" s="17"/>
      <c r="BD35" s="5"/>
      <c r="BE35" s="17"/>
      <c r="BF35" s="5">
        <v>2026</v>
      </c>
      <c r="BG35" s="17">
        <v>51</v>
      </c>
      <c r="BH35" s="5">
        <v>2029</v>
      </c>
      <c r="BI35" s="17">
        <v>250</v>
      </c>
      <c r="BJ35" s="5" t="s">
        <v>87</v>
      </c>
      <c r="BK35" s="9"/>
      <c r="BL35" s="9" t="str">
        <f>HYPERLINK("https://seichotoushi-hojo.jp/assets/pdf/koufu/outline_126.pdf","PDFを開く")</f>
        <v>PDFを開く</v>
      </c>
      <c r="BM35" s="9" t="s">
        <v>352</v>
      </c>
      <c r="BN35" s="9" t="s">
        <v>353</v>
      </c>
      <c r="BO35" s="9" t="s">
        <v>90</v>
      </c>
      <c r="BP35" s="9" t="s">
        <v>90</v>
      </c>
      <c r="BQ35" s="9" t="s">
        <v>157</v>
      </c>
      <c r="BR35" s="9" t="s">
        <v>92</v>
      </c>
    </row>
    <row r="36" spans="1:70" ht="45.95" customHeight="1">
      <c r="A36" s="2" t="s">
        <v>354</v>
      </c>
      <c r="B36" s="2" t="s">
        <v>73</v>
      </c>
      <c r="C36" s="2" t="s">
        <v>355</v>
      </c>
      <c r="D36" s="2" t="s">
        <v>355</v>
      </c>
      <c r="E36" s="2" t="s">
        <v>186</v>
      </c>
      <c r="F36" s="2"/>
      <c r="G36" s="2">
        <v>2</v>
      </c>
      <c r="H36" s="2">
        <v>0</v>
      </c>
      <c r="I36" s="2">
        <v>1</v>
      </c>
      <c r="J36" s="2">
        <v>1</v>
      </c>
      <c r="K36" s="2">
        <v>0</v>
      </c>
      <c r="L36" s="16">
        <v>1700</v>
      </c>
      <c r="M36" s="16">
        <v>570</v>
      </c>
      <c r="N36" s="8" t="s">
        <v>356</v>
      </c>
      <c r="O36" s="12">
        <f t="shared" si="0"/>
        <v>33.529411764705877</v>
      </c>
      <c r="P36" s="2">
        <v>2</v>
      </c>
      <c r="Q36" s="2" t="s">
        <v>77</v>
      </c>
      <c r="R36" s="8" t="s">
        <v>356</v>
      </c>
      <c r="S36" s="8" t="s">
        <v>357</v>
      </c>
      <c r="T36" s="8" t="s">
        <v>80</v>
      </c>
      <c r="U36" s="2" t="s">
        <v>81</v>
      </c>
      <c r="V36" s="2">
        <v>2024</v>
      </c>
      <c r="W36" s="16">
        <v>55.9</v>
      </c>
      <c r="X36" s="2">
        <v>2029</v>
      </c>
      <c r="Y36" s="16">
        <v>107.9</v>
      </c>
      <c r="Z36" s="16"/>
      <c r="AA36" s="2"/>
      <c r="AB36" s="16"/>
      <c r="AC36" s="2"/>
      <c r="AD36" s="2"/>
      <c r="AE36" s="16"/>
      <c r="AF36" s="16"/>
      <c r="AG36" s="16">
        <v>14.056995548646455</v>
      </c>
      <c r="AH36" s="16"/>
      <c r="AI36" s="8" t="s">
        <v>100</v>
      </c>
      <c r="AJ36" s="2" t="s">
        <v>84</v>
      </c>
      <c r="AK36" s="2">
        <v>1</v>
      </c>
      <c r="AL36" s="8" t="s">
        <v>358</v>
      </c>
      <c r="AM36" s="8" t="s">
        <v>359</v>
      </c>
      <c r="AN36" s="2">
        <v>2027</v>
      </c>
      <c r="AO36" s="16">
        <v>1226</v>
      </c>
      <c r="AP36" s="2">
        <v>2030</v>
      </c>
      <c r="AQ36" s="16">
        <v>1788</v>
      </c>
      <c r="AR36" s="2" t="s">
        <v>86</v>
      </c>
      <c r="AS36" s="16">
        <v>13.4</v>
      </c>
      <c r="AT36" s="2">
        <v>2027</v>
      </c>
      <c r="AU36" s="16">
        <v>369</v>
      </c>
      <c r="AV36" s="2">
        <v>2030</v>
      </c>
      <c r="AW36" s="16">
        <v>433</v>
      </c>
      <c r="AX36" s="2" t="s">
        <v>86</v>
      </c>
      <c r="AY36" s="16">
        <v>5.5</v>
      </c>
      <c r="AZ36" s="2">
        <v>2027</v>
      </c>
      <c r="BA36" s="16">
        <v>1259</v>
      </c>
      <c r="BB36" s="2">
        <v>2030</v>
      </c>
      <c r="BC36" s="16">
        <v>1428</v>
      </c>
      <c r="BD36" s="2" t="s">
        <v>86</v>
      </c>
      <c r="BE36" s="16">
        <v>4.3</v>
      </c>
      <c r="BF36" s="2">
        <v>2027</v>
      </c>
      <c r="BG36" s="16">
        <v>115.5</v>
      </c>
      <c r="BH36" s="2">
        <v>2030</v>
      </c>
      <c r="BI36" s="16">
        <v>133.4</v>
      </c>
      <c r="BJ36" s="2" t="s">
        <v>87</v>
      </c>
      <c r="BK36" s="8"/>
      <c r="BL36" s="8" t="str">
        <f>HYPERLINK("https://seichotoushi-hojo.jp/assets/pdf/koufu/outline_127.pdf","PDFを開く")</f>
        <v>PDFを開く</v>
      </c>
      <c r="BM36" s="8" t="s">
        <v>360</v>
      </c>
      <c r="BN36" s="8" t="s">
        <v>361</v>
      </c>
      <c r="BO36" s="8" t="s">
        <v>90</v>
      </c>
      <c r="BP36" s="8" t="s">
        <v>90</v>
      </c>
      <c r="BQ36" s="8" t="s">
        <v>90</v>
      </c>
      <c r="BR36" s="8" t="s">
        <v>92</v>
      </c>
    </row>
    <row r="37" spans="1:70" ht="45.95" customHeight="1">
      <c r="A37" s="5" t="s">
        <v>362</v>
      </c>
      <c r="B37" s="5" t="s">
        <v>73</v>
      </c>
      <c r="C37" s="5" t="s">
        <v>363</v>
      </c>
      <c r="D37" s="5" t="s">
        <v>363</v>
      </c>
      <c r="E37" s="5" t="s">
        <v>95</v>
      </c>
      <c r="F37" s="5"/>
      <c r="G37" s="5">
        <v>2</v>
      </c>
      <c r="H37" s="5">
        <v>0</v>
      </c>
      <c r="I37" s="5">
        <v>1</v>
      </c>
      <c r="J37" s="5">
        <v>1</v>
      </c>
      <c r="K37" s="5">
        <v>0</v>
      </c>
      <c r="L37" s="17">
        <v>1500</v>
      </c>
      <c r="M37" s="17">
        <v>470</v>
      </c>
      <c r="N37" s="9" t="s">
        <v>364</v>
      </c>
      <c r="O37" s="13">
        <f t="shared" si="0"/>
        <v>31.333333333333336</v>
      </c>
      <c r="P37" s="5">
        <v>2</v>
      </c>
      <c r="Q37" s="5" t="s">
        <v>77</v>
      </c>
      <c r="R37" s="9" t="s">
        <v>364</v>
      </c>
      <c r="S37" s="9" t="s">
        <v>365</v>
      </c>
      <c r="T37" s="9" t="s">
        <v>80</v>
      </c>
      <c r="U37" s="5" t="s">
        <v>81</v>
      </c>
      <c r="V37" s="5"/>
      <c r="W37" s="17"/>
      <c r="X37" s="5"/>
      <c r="Y37" s="17">
        <v>22.66</v>
      </c>
      <c r="Z37" s="17">
        <v>16.71</v>
      </c>
      <c r="AA37" s="5"/>
      <c r="AB37" s="17">
        <v>280.8</v>
      </c>
      <c r="AC37" s="5"/>
      <c r="AD37" s="5" t="s">
        <v>82</v>
      </c>
      <c r="AE37" s="17"/>
      <c r="AF37" s="17"/>
      <c r="AG37" s="17"/>
      <c r="AH37" s="17"/>
      <c r="AI37" s="9" t="s">
        <v>83</v>
      </c>
      <c r="AJ37" s="5" t="s">
        <v>84</v>
      </c>
      <c r="AK37" s="5">
        <v>1</v>
      </c>
      <c r="AL37" s="9" t="s">
        <v>366</v>
      </c>
      <c r="AM37" s="9"/>
      <c r="AN37" s="5">
        <v>2026</v>
      </c>
      <c r="AO37" s="17">
        <v>918</v>
      </c>
      <c r="AP37" s="5">
        <v>2029</v>
      </c>
      <c r="AQ37" s="17">
        <v>1415</v>
      </c>
      <c r="AR37" s="5" t="s">
        <v>86</v>
      </c>
      <c r="AS37" s="17">
        <v>15.5</v>
      </c>
      <c r="AT37" s="5">
        <v>2026</v>
      </c>
      <c r="AU37" s="17">
        <v>291</v>
      </c>
      <c r="AV37" s="5">
        <v>2029</v>
      </c>
      <c r="AW37" s="17">
        <v>356</v>
      </c>
      <c r="AX37" s="5" t="s">
        <v>86</v>
      </c>
      <c r="AY37" s="17">
        <v>7</v>
      </c>
      <c r="AZ37" s="5">
        <v>2026</v>
      </c>
      <c r="BA37" s="17">
        <v>2640</v>
      </c>
      <c r="BB37" s="5">
        <v>2029</v>
      </c>
      <c r="BC37" s="17">
        <v>3058</v>
      </c>
      <c r="BD37" s="5" t="s">
        <v>86</v>
      </c>
      <c r="BE37" s="17">
        <v>5</v>
      </c>
      <c r="BF37" s="5">
        <v>2026</v>
      </c>
      <c r="BG37" s="17">
        <v>29</v>
      </c>
      <c r="BH37" s="5">
        <v>2029</v>
      </c>
      <c r="BI37" s="17">
        <v>87</v>
      </c>
      <c r="BJ37" s="5" t="s">
        <v>87</v>
      </c>
      <c r="BK37" s="9"/>
      <c r="BL37" s="9" t="str">
        <f>HYPERLINK("https://seichotoushi-hojo.jp/assets/pdf/koufu/outline_128.pdf","PDFを開く")</f>
        <v>PDFを開く</v>
      </c>
      <c r="BM37" s="9" t="s">
        <v>367</v>
      </c>
      <c r="BN37" s="9" t="s">
        <v>368</v>
      </c>
      <c r="BO37" s="9" t="s">
        <v>90</v>
      </c>
      <c r="BP37" s="9" t="s">
        <v>90</v>
      </c>
      <c r="BQ37" s="9" t="s">
        <v>90</v>
      </c>
      <c r="BR37" s="9" t="s">
        <v>92</v>
      </c>
    </row>
    <row r="38" spans="1:70" ht="45.95" customHeight="1">
      <c r="A38" s="2" t="s">
        <v>369</v>
      </c>
      <c r="B38" s="2" t="s">
        <v>73</v>
      </c>
      <c r="C38" s="2" t="s">
        <v>370</v>
      </c>
      <c r="D38" s="2" t="s">
        <v>370</v>
      </c>
      <c r="E38" s="2"/>
      <c r="F38" s="2"/>
      <c r="G38" s="2">
        <v>2</v>
      </c>
      <c r="H38" s="2">
        <v>0</v>
      </c>
      <c r="I38" s="2">
        <v>1</v>
      </c>
      <c r="J38" s="2">
        <v>1</v>
      </c>
      <c r="K38" s="2">
        <v>0</v>
      </c>
      <c r="L38" s="16">
        <v>1500</v>
      </c>
      <c r="M38" s="16">
        <v>430</v>
      </c>
      <c r="N38" s="8" t="s">
        <v>371</v>
      </c>
      <c r="O38" s="12">
        <f t="shared" si="0"/>
        <v>28.666666666666668</v>
      </c>
      <c r="P38" s="2">
        <v>2</v>
      </c>
      <c r="Q38" s="2" t="s">
        <v>77</v>
      </c>
      <c r="R38" s="8" t="s">
        <v>372</v>
      </c>
      <c r="S38" s="8" t="s">
        <v>373</v>
      </c>
      <c r="T38" s="8" t="s">
        <v>80</v>
      </c>
      <c r="U38" s="2" t="s">
        <v>81</v>
      </c>
      <c r="V38" s="2"/>
      <c r="W38" s="16"/>
      <c r="X38" s="2">
        <v>2028</v>
      </c>
      <c r="Y38" s="16">
        <v>80</v>
      </c>
      <c r="Z38" s="16"/>
      <c r="AA38" s="2"/>
      <c r="AB38" s="16">
        <v>10.8</v>
      </c>
      <c r="AC38" s="2">
        <v>2028</v>
      </c>
      <c r="AD38" s="2" t="s">
        <v>210</v>
      </c>
      <c r="AE38" s="16"/>
      <c r="AF38" s="16"/>
      <c r="AG38" s="16"/>
      <c r="AH38" s="16"/>
      <c r="AI38" s="8" t="s">
        <v>83</v>
      </c>
      <c r="AJ38" s="2" t="s">
        <v>84</v>
      </c>
      <c r="AK38" s="2">
        <v>1</v>
      </c>
      <c r="AL38" s="8" t="s">
        <v>374</v>
      </c>
      <c r="AM38" s="8" t="s">
        <v>375</v>
      </c>
      <c r="AN38" s="2">
        <v>2025</v>
      </c>
      <c r="AO38" s="16">
        <v>31</v>
      </c>
      <c r="AP38" s="2">
        <v>2028</v>
      </c>
      <c r="AQ38" s="16">
        <v>965</v>
      </c>
      <c r="AR38" s="2" t="s">
        <v>86</v>
      </c>
      <c r="AS38" s="16"/>
      <c r="AT38" s="2">
        <v>2025</v>
      </c>
      <c r="AU38" s="16">
        <v>603</v>
      </c>
      <c r="AV38" s="2">
        <v>2028</v>
      </c>
      <c r="AW38" s="16">
        <v>739</v>
      </c>
      <c r="AX38" s="2" t="s">
        <v>86</v>
      </c>
      <c r="AY38" s="16">
        <v>7</v>
      </c>
      <c r="AZ38" s="2">
        <v>2025</v>
      </c>
      <c r="BA38" s="16">
        <v>1500</v>
      </c>
      <c r="BB38" s="2">
        <v>2028</v>
      </c>
      <c r="BC38" s="16">
        <v>1838</v>
      </c>
      <c r="BD38" s="2" t="s">
        <v>86</v>
      </c>
      <c r="BE38" s="16">
        <v>7</v>
      </c>
      <c r="BF38" s="2">
        <v>2025</v>
      </c>
      <c r="BG38" s="16">
        <v>87</v>
      </c>
      <c r="BH38" s="2">
        <v>2028</v>
      </c>
      <c r="BI38" s="16">
        <v>112</v>
      </c>
      <c r="BJ38" s="2" t="s">
        <v>87</v>
      </c>
      <c r="BK38" s="8"/>
      <c r="BL38" s="8" t="str">
        <f>HYPERLINK("https://seichotoushi-hojo.jp/assets/pdf/koufu/outline_129.pdf","PDFを開く")</f>
        <v>PDFを開く</v>
      </c>
      <c r="BM38" s="8" t="s">
        <v>376</v>
      </c>
      <c r="BN38" s="8" t="s">
        <v>377</v>
      </c>
      <c r="BO38" s="8" t="s">
        <v>92</v>
      </c>
      <c r="BP38" s="8" t="s">
        <v>90</v>
      </c>
      <c r="BQ38" s="8" t="s">
        <v>90</v>
      </c>
      <c r="BR38" s="8" t="s">
        <v>92</v>
      </c>
    </row>
    <row r="39" spans="1:70" ht="45.95" customHeight="1">
      <c r="A39" s="5" t="s">
        <v>378</v>
      </c>
      <c r="B39" s="5" t="s">
        <v>73</v>
      </c>
      <c r="C39" s="5" t="s">
        <v>379</v>
      </c>
      <c r="D39" s="5" t="s">
        <v>379</v>
      </c>
      <c r="E39" s="5" t="s">
        <v>95</v>
      </c>
      <c r="F39" s="5"/>
      <c r="G39" s="5">
        <v>2</v>
      </c>
      <c r="H39" s="5">
        <v>0</v>
      </c>
      <c r="I39" s="5">
        <v>1</v>
      </c>
      <c r="J39" s="5">
        <v>1</v>
      </c>
      <c r="K39" s="5">
        <v>0</v>
      </c>
      <c r="L39" s="17">
        <v>1800</v>
      </c>
      <c r="M39" s="17">
        <v>600</v>
      </c>
      <c r="N39" s="9" t="s">
        <v>380</v>
      </c>
      <c r="O39" s="13">
        <f t="shared" si="0"/>
        <v>33.333333333333329</v>
      </c>
      <c r="P39" s="5">
        <v>2</v>
      </c>
      <c r="Q39" s="5" t="s">
        <v>77</v>
      </c>
      <c r="R39" s="9" t="s">
        <v>381</v>
      </c>
      <c r="S39" s="9" t="s">
        <v>382</v>
      </c>
      <c r="T39" s="9" t="s">
        <v>80</v>
      </c>
      <c r="U39" s="5" t="s">
        <v>81</v>
      </c>
      <c r="V39" s="5"/>
      <c r="W39" s="17"/>
      <c r="X39" s="5">
        <v>2030</v>
      </c>
      <c r="Y39" s="17"/>
      <c r="Z39" s="17">
        <v>16</v>
      </c>
      <c r="AA39" s="5">
        <v>2030</v>
      </c>
      <c r="AB39" s="17">
        <v>10</v>
      </c>
      <c r="AC39" s="5">
        <v>2030</v>
      </c>
      <c r="AD39" s="5" t="s">
        <v>210</v>
      </c>
      <c r="AE39" s="17"/>
      <c r="AF39" s="17"/>
      <c r="AG39" s="17"/>
      <c r="AH39" s="17"/>
      <c r="AI39" s="9" t="s">
        <v>166</v>
      </c>
      <c r="AJ39" s="5" t="s">
        <v>292</v>
      </c>
      <c r="AK39" s="5">
        <v>1</v>
      </c>
      <c r="AL39" s="9" t="s">
        <v>383</v>
      </c>
      <c r="AM39" s="9"/>
      <c r="AN39" s="5">
        <v>2027</v>
      </c>
      <c r="AO39" s="17">
        <v>981</v>
      </c>
      <c r="AP39" s="5">
        <v>2030</v>
      </c>
      <c r="AQ39" s="17">
        <v>1531.3</v>
      </c>
      <c r="AR39" s="5" t="s">
        <v>86</v>
      </c>
      <c r="AS39" s="17">
        <v>16</v>
      </c>
      <c r="AT39" s="5">
        <v>2027</v>
      </c>
      <c r="AU39" s="17">
        <v>341.5</v>
      </c>
      <c r="AV39" s="5">
        <v>2030</v>
      </c>
      <c r="AW39" s="17">
        <v>395.3</v>
      </c>
      <c r="AX39" s="5" t="s">
        <v>86</v>
      </c>
      <c r="AY39" s="17">
        <v>5</v>
      </c>
      <c r="AZ39" s="5">
        <v>2027</v>
      </c>
      <c r="BA39" s="17"/>
      <c r="BB39" s="5">
        <v>2030</v>
      </c>
      <c r="BC39" s="17"/>
      <c r="BD39" s="5" t="s">
        <v>86</v>
      </c>
      <c r="BE39" s="17">
        <v>5</v>
      </c>
      <c r="BF39" s="5">
        <v>2027</v>
      </c>
      <c r="BG39" s="17">
        <v>111</v>
      </c>
      <c r="BH39" s="5">
        <v>2030</v>
      </c>
      <c r="BI39" s="17">
        <v>111</v>
      </c>
      <c r="BJ39" s="5" t="s">
        <v>87</v>
      </c>
      <c r="BK39" s="9"/>
      <c r="BL39" s="9" t="str">
        <f>HYPERLINK("https://seichotoushi-hojo.jp/assets/pdf/koufu/outline_13.pdf","PDFを開く")</f>
        <v>PDFを開く</v>
      </c>
      <c r="BM39" s="9" t="s">
        <v>384</v>
      </c>
      <c r="BN39" s="9" t="s">
        <v>385</v>
      </c>
      <c r="BO39" s="9" t="s">
        <v>90</v>
      </c>
      <c r="BP39" s="9" t="s">
        <v>90</v>
      </c>
      <c r="BQ39" s="9" t="s">
        <v>91</v>
      </c>
      <c r="BR39" s="9" t="s">
        <v>92</v>
      </c>
    </row>
    <row r="40" spans="1:70" ht="45.95" customHeight="1">
      <c r="A40" s="2" t="s">
        <v>386</v>
      </c>
      <c r="B40" s="2" t="s">
        <v>73</v>
      </c>
      <c r="C40" s="2" t="s">
        <v>387</v>
      </c>
      <c r="D40" s="2" t="s">
        <v>387</v>
      </c>
      <c r="E40" s="2" t="s">
        <v>160</v>
      </c>
      <c r="F40" s="2"/>
      <c r="G40" s="2">
        <v>2</v>
      </c>
      <c r="H40" s="2">
        <v>0</v>
      </c>
      <c r="I40" s="2">
        <v>1</v>
      </c>
      <c r="J40" s="2">
        <v>1</v>
      </c>
      <c r="K40" s="2">
        <v>0</v>
      </c>
      <c r="L40" s="16">
        <v>1260</v>
      </c>
      <c r="M40" s="16">
        <v>420</v>
      </c>
      <c r="N40" s="8" t="s">
        <v>388</v>
      </c>
      <c r="O40" s="12">
        <f t="shared" si="0"/>
        <v>33.333333333333329</v>
      </c>
      <c r="P40" s="2">
        <v>2</v>
      </c>
      <c r="Q40" s="2" t="s">
        <v>77</v>
      </c>
      <c r="R40" s="8" t="s">
        <v>389</v>
      </c>
      <c r="S40" s="8" t="s">
        <v>390</v>
      </c>
      <c r="T40" s="8" t="s">
        <v>80</v>
      </c>
      <c r="U40" s="2" t="s">
        <v>81</v>
      </c>
      <c r="V40" s="2">
        <v>2023</v>
      </c>
      <c r="W40" s="16">
        <v>33</v>
      </c>
      <c r="X40" s="2">
        <v>2033</v>
      </c>
      <c r="Y40" s="16">
        <v>12</v>
      </c>
      <c r="Z40" s="16">
        <v>45</v>
      </c>
      <c r="AA40" s="2">
        <v>2033</v>
      </c>
      <c r="AB40" s="16">
        <v>275</v>
      </c>
      <c r="AC40" s="2">
        <v>2033</v>
      </c>
      <c r="AD40" s="2" t="s">
        <v>82</v>
      </c>
      <c r="AE40" s="16"/>
      <c r="AF40" s="16"/>
      <c r="AG40" s="16">
        <v>-9.6211667226112958</v>
      </c>
      <c r="AH40" s="16"/>
      <c r="AI40" s="8" t="s">
        <v>200</v>
      </c>
      <c r="AJ40" s="2" t="s">
        <v>84</v>
      </c>
      <c r="AK40" s="2">
        <v>1</v>
      </c>
      <c r="AL40" s="8" t="s">
        <v>391</v>
      </c>
      <c r="AM40" s="8" t="s">
        <v>392</v>
      </c>
      <c r="AN40" s="2">
        <v>2025</v>
      </c>
      <c r="AO40" s="16">
        <v>7406</v>
      </c>
      <c r="AP40" s="2">
        <v>2028</v>
      </c>
      <c r="AQ40" s="16">
        <v>12438</v>
      </c>
      <c r="AR40" s="2" t="s">
        <v>86</v>
      </c>
      <c r="AS40" s="16">
        <v>19</v>
      </c>
      <c r="AT40" s="2">
        <v>2025</v>
      </c>
      <c r="AU40" s="16">
        <v>343</v>
      </c>
      <c r="AV40" s="2">
        <v>2028</v>
      </c>
      <c r="AW40" s="16">
        <v>410</v>
      </c>
      <c r="AX40" s="2" t="s">
        <v>86</v>
      </c>
      <c r="AY40" s="16">
        <v>6</v>
      </c>
      <c r="AZ40" s="2">
        <v>2025</v>
      </c>
      <c r="BA40" s="16">
        <v>1095</v>
      </c>
      <c r="BB40" s="2">
        <v>2028</v>
      </c>
      <c r="BC40" s="16">
        <v>1335</v>
      </c>
      <c r="BD40" s="2" t="s">
        <v>86</v>
      </c>
      <c r="BE40" s="16">
        <v>6.8</v>
      </c>
      <c r="BF40" s="2">
        <v>2025</v>
      </c>
      <c r="BG40" s="16">
        <v>4</v>
      </c>
      <c r="BH40" s="2">
        <v>2028</v>
      </c>
      <c r="BI40" s="16">
        <v>10</v>
      </c>
      <c r="BJ40" s="2" t="s">
        <v>87</v>
      </c>
      <c r="BK40" s="8"/>
      <c r="BL40" s="8" t="str">
        <f>HYPERLINK("https://seichotoushi-hojo.jp/assets/pdf/koufu/outline_130.pdf","PDFを開く")</f>
        <v>PDFを開く</v>
      </c>
      <c r="BM40" s="8" t="s">
        <v>393</v>
      </c>
      <c r="BN40" s="8" t="s">
        <v>394</v>
      </c>
      <c r="BO40" s="8" t="s">
        <v>90</v>
      </c>
      <c r="BP40" s="8" t="s">
        <v>90</v>
      </c>
      <c r="BQ40" s="8" t="s">
        <v>90</v>
      </c>
      <c r="BR40" s="8" t="s">
        <v>92</v>
      </c>
    </row>
    <row r="41" spans="1:70" ht="45.95" customHeight="1">
      <c r="A41" s="5" t="s">
        <v>395</v>
      </c>
      <c r="B41" s="5" t="s">
        <v>73</v>
      </c>
      <c r="C41" s="5" t="s">
        <v>396</v>
      </c>
      <c r="D41" s="5" t="s">
        <v>397</v>
      </c>
      <c r="E41" s="5" t="s">
        <v>95</v>
      </c>
      <c r="F41" s="5"/>
      <c r="G41" s="5">
        <v>2</v>
      </c>
      <c r="H41" s="5">
        <v>0</v>
      </c>
      <c r="I41" s="5">
        <v>1</v>
      </c>
      <c r="J41" s="5">
        <v>1</v>
      </c>
      <c r="K41" s="5">
        <v>0</v>
      </c>
      <c r="L41" s="17">
        <v>3800</v>
      </c>
      <c r="M41" s="17">
        <v>1000</v>
      </c>
      <c r="N41" s="9" t="s">
        <v>398</v>
      </c>
      <c r="O41" s="13">
        <f t="shared" si="0"/>
        <v>26.315789473684209</v>
      </c>
      <c r="P41" s="5">
        <v>2</v>
      </c>
      <c r="Q41" s="5" t="s">
        <v>77</v>
      </c>
      <c r="R41" s="9" t="s">
        <v>399</v>
      </c>
      <c r="S41" s="9" t="s">
        <v>400</v>
      </c>
      <c r="T41" s="9" t="s">
        <v>80</v>
      </c>
      <c r="U41" s="5" t="s">
        <v>81</v>
      </c>
      <c r="V41" s="5">
        <v>2024</v>
      </c>
      <c r="W41" s="17"/>
      <c r="X41" s="5">
        <v>2029</v>
      </c>
      <c r="Y41" s="17"/>
      <c r="Z41" s="17">
        <v>55.3</v>
      </c>
      <c r="AA41" s="5">
        <v>2029</v>
      </c>
      <c r="AB41" s="17">
        <v>53.8</v>
      </c>
      <c r="AC41" s="5">
        <v>2029</v>
      </c>
      <c r="AD41" s="5" t="s">
        <v>210</v>
      </c>
      <c r="AE41" s="17"/>
      <c r="AF41" s="17"/>
      <c r="AG41" s="17"/>
      <c r="AH41" s="17"/>
      <c r="AI41" s="9" t="s">
        <v>83</v>
      </c>
      <c r="AJ41" s="5" t="s">
        <v>84</v>
      </c>
      <c r="AK41" s="5">
        <v>1</v>
      </c>
      <c r="AL41" s="9" t="s">
        <v>401</v>
      </c>
      <c r="AM41" s="9"/>
      <c r="AN41" s="5">
        <v>2026</v>
      </c>
      <c r="AO41" s="17">
        <v>403</v>
      </c>
      <c r="AP41" s="5">
        <v>2029</v>
      </c>
      <c r="AQ41" s="17">
        <v>1420</v>
      </c>
      <c r="AR41" s="5" t="s">
        <v>86</v>
      </c>
      <c r="AS41" s="17">
        <v>52.2</v>
      </c>
      <c r="AT41" s="5">
        <v>2026</v>
      </c>
      <c r="AU41" s="17">
        <v>408</v>
      </c>
      <c r="AV41" s="5">
        <v>2029</v>
      </c>
      <c r="AW41" s="17">
        <v>536</v>
      </c>
      <c r="AX41" s="5" t="s">
        <v>86</v>
      </c>
      <c r="AY41" s="17">
        <v>9.6</v>
      </c>
      <c r="AZ41" s="5">
        <v>2026</v>
      </c>
      <c r="BA41" s="17">
        <v>400</v>
      </c>
      <c r="BB41" s="5">
        <v>2029</v>
      </c>
      <c r="BC41" s="17">
        <v>460</v>
      </c>
      <c r="BD41" s="5" t="s">
        <v>86</v>
      </c>
      <c r="BE41" s="17">
        <v>4.8</v>
      </c>
      <c r="BF41" s="5">
        <v>2026</v>
      </c>
      <c r="BG41" s="17">
        <v>76</v>
      </c>
      <c r="BH41" s="5">
        <v>2029</v>
      </c>
      <c r="BI41" s="17">
        <v>152</v>
      </c>
      <c r="BJ41" s="5" t="s">
        <v>87</v>
      </c>
      <c r="BK41" s="9"/>
      <c r="BL41" s="9" t="str">
        <f>HYPERLINK("https://seichotoushi-hojo.jp/assets/pdf/koufu/outline_131.pdf","PDFを開く")</f>
        <v>PDFを開く</v>
      </c>
      <c r="BM41" s="9" t="s">
        <v>402</v>
      </c>
      <c r="BN41" s="9" t="s">
        <v>403</v>
      </c>
      <c r="BO41" s="9" t="s">
        <v>90</v>
      </c>
      <c r="BP41" s="9" t="s">
        <v>90</v>
      </c>
      <c r="BQ41" s="9" t="s">
        <v>90</v>
      </c>
      <c r="BR41" s="9" t="s">
        <v>92</v>
      </c>
    </row>
    <row r="42" spans="1:70" ht="45.95" customHeight="1">
      <c r="A42" s="2" t="s">
        <v>404</v>
      </c>
      <c r="B42" s="2" t="s">
        <v>73</v>
      </c>
      <c r="C42" s="2" t="s">
        <v>405</v>
      </c>
      <c r="D42" s="2" t="s">
        <v>405</v>
      </c>
      <c r="E42" s="2" t="s">
        <v>75</v>
      </c>
      <c r="F42" s="2"/>
      <c r="G42" s="2">
        <v>2</v>
      </c>
      <c r="H42" s="2">
        <v>0</v>
      </c>
      <c r="I42" s="2">
        <v>1</v>
      </c>
      <c r="J42" s="2">
        <v>1</v>
      </c>
      <c r="K42" s="2">
        <v>0</v>
      </c>
      <c r="L42" s="16">
        <v>2600</v>
      </c>
      <c r="M42" s="16">
        <v>730</v>
      </c>
      <c r="N42" s="8" t="s">
        <v>406</v>
      </c>
      <c r="O42" s="12">
        <f t="shared" si="0"/>
        <v>28.076923076923077</v>
      </c>
      <c r="P42" s="2">
        <v>2</v>
      </c>
      <c r="Q42" s="2" t="s">
        <v>77</v>
      </c>
      <c r="R42" s="8" t="s">
        <v>407</v>
      </c>
      <c r="S42" s="8" t="s">
        <v>408</v>
      </c>
      <c r="T42" s="8" t="s">
        <v>80</v>
      </c>
      <c r="U42" s="2" t="s">
        <v>81</v>
      </c>
      <c r="V42" s="2"/>
      <c r="W42" s="16"/>
      <c r="X42" s="2">
        <v>2029</v>
      </c>
      <c r="Y42" s="16"/>
      <c r="Z42" s="16">
        <v>47</v>
      </c>
      <c r="AA42" s="2">
        <v>2029</v>
      </c>
      <c r="AB42" s="16">
        <v>10</v>
      </c>
      <c r="AC42" s="2">
        <v>2029</v>
      </c>
      <c r="AD42" s="2" t="s">
        <v>210</v>
      </c>
      <c r="AE42" s="16"/>
      <c r="AF42" s="16"/>
      <c r="AG42" s="16"/>
      <c r="AH42" s="16"/>
      <c r="AI42" s="8" t="s">
        <v>83</v>
      </c>
      <c r="AJ42" s="2" t="s">
        <v>84</v>
      </c>
      <c r="AK42" s="2">
        <v>1</v>
      </c>
      <c r="AL42" s="8" t="s">
        <v>409</v>
      </c>
      <c r="AM42" s="8"/>
      <c r="AN42" s="2">
        <v>2026</v>
      </c>
      <c r="AO42" s="16">
        <v>1406</v>
      </c>
      <c r="AP42" s="2">
        <v>2029</v>
      </c>
      <c r="AQ42" s="16">
        <v>3561</v>
      </c>
      <c r="AR42" s="2" t="s">
        <v>86</v>
      </c>
      <c r="AS42" s="16">
        <v>36.299999999999997</v>
      </c>
      <c r="AT42" s="2">
        <v>2026</v>
      </c>
      <c r="AU42" s="16">
        <v>560</v>
      </c>
      <c r="AV42" s="2">
        <v>2029</v>
      </c>
      <c r="AW42" s="16">
        <v>655</v>
      </c>
      <c r="AX42" s="2" t="s">
        <v>86</v>
      </c>
      <c r="AY42" s="16">
        <v>5.4</v>
      </c>
      <c r="AZ42" s="2"/>
      <c r="BA42" s="16"/>
      <c r="BB42" s="2"/>
      <c r="BC42" s="16"/>
      <c r="BD42" s="2"/>
      <c r="BE42" s="16"/>
      <c r="BF42" s="2">
        <v>2026</v>
      </c>
      <c r="BG42" s="16">
        <v>10</v>
      </c>
      <c r="BH42" s="2">
        <v>2029</v>
      </c>
      <c r="BI42" s="16">
        <v>65</v>
      </c>
      <c r="BJ42" s="2" t="s">
        <v>87</v>
      </c>
      <c r="BK42" s="8"/>
      <c r="BL42" s="8" t="str">
        <f>HYPERLINK("https://seichotoushi-hojo.jp/assets/pdf/koufu/outline_132.pdf","PDFを開く")</f>
        <v>PDFを開く</v>
      </c>
      <c r="BM42" s="8" t="s">
        <v>410</v>
      </c>
      <c r="BN42" s="8" t="s">
        <v>411</v>
      </c>
      <c r="BO42" s="8" t="s">
        <v>90</v>
      </c>
      <c r="BP42" s="8" t="s">
        <v>90</v>
      </c>
      <c r="BQ42" s="8" t="s">
        <v>157</v>
      </c>
      <c r="BR42" s="8" t="s">
        <v>92</v>
      </c>
    </row>
    <row r="43" spans="1:70" ht="45.95" customHeight="1">
      <c r="A43" s="5" t="s">
        <v>412</v>
      </c>
      <c r="B43" s="5" t="s">
        <v>73</v>
      </c>
      <c r="C43" s="5" t="s">
        <v>413</v>
      </c>
      <c r="D43" s="5" t="s">
        <v>413</v>
      </c>
      <c r="E43" s="5" t="s">
        <v>107</v>
      </c>
      <c r="F43" s="5" t="s">
        <v>414</v>
      </c>
      <c r="G43" s="5">
        <v>2</v>
      </c>
      <c r="H43" s="5">
        <v>0</v>
      </c>
      <c r="I43" s="5">
        <v>1</v>
      </c>
      <c r="J43" s="5">
        <v>1</v>
      </c>
      <c r="K43" s="5">
        <v>0</v>
      </c>
      <c r="L43" s="17">
        <v>2800</v>
      </c>
      <c r="M43" s="17">
        <v>290</v>
      </c>
      <c r="N43" s="9" t="s">
        <v>415</v>
      </c>
      <c r="O43" s="13">
        <f t="shared" si="0"/>
        <v>10.357142857142858</v>
      </c>
      <c r="P43" s="5">
        <v>2</v>
      </c>
      <c r="Q43" s="5" t="s">
        <v>77</v>
      </c>
      <c r="R43" s="9" t="s">
        <v>416</v>
      </c>
      <c r="S43" s="9" t="s">
        <v>417</v>
      </c>
      <c r="T43" s="9" t="s">
        <v>80</v>
      </c>
      <c r="U43" s="5" t="s">
        <v>81</v>
      </c>
      <c r="V43" s="5">
        <v>2023</v>
      </c>
      <c r="W43" s="17">
        <v>30</v>
      </c>
      <c r="X43" s="5">
        <v>2029</v>
      </c>
      <c r="Y43" s="17">
        <v>84</v>
      </c>
      <c r="Z43" s="17"/>
      <c r="AA43" s="5"/>
      <c r="AB43" s="17">
        <v>250</v>
      </c>
      <c r="AC43" s="5">
        <v>2023</v>
      </c>
      <c r="AD43" s="5" t="s">
        <v>82</v>
      </c>
      <c r="AE43" s="17"/>
      <c r="AF43" s="17"/>
      <c r="AG43" s="17">
        <v>18.720669911055431</v>
      </c>
      <c r="AH43" s="17"/>
      <c r="AI43" s="9" t="s">
        <v>418</v>
      </c>
      <c r="AJ43" s="5" t="s">
        <v>84</v>
      </c>
      <c r="AK43" s="5">
        <v>1</v>
      </c>
      <c r="AL43" s="9" t="s">
        <v>419</v>
      </c>
      <c r="AM43" s="9" t="s">
        <v>420</v>
      </c>
      <c r="AN43" s="5">
        <v>2027</v>
      </c>
      <c r="AO43" s="17">
        <v>1337</v>
      </c>
      <c r="AP43" s="5">
        <v>2030</v>
      </c>
      <c r="AQ43" s="17">
        <v>2814</v>
      </c>
      <c r="AR43" s="5" t="s">
        <v>86</v>
      </c>
      <c r="AS43" s="17">
        <v>28.1</v>
      </c>
      <c r="AT43" s="5">
        <v>2027</v>
      </c>
      <c r="AU43" s="17">
        <v>555</v>
      </c>
      <c r="AV43" s="5">
        <v>2030</v>
      </c>
      <c r="AW43" s="17">
        <v>642</v>
      </c>
      <c r="AX43" s="5" t="s">
        <v>86</v>
      </c>
      <c r="AY43" s="17">
        <v>5</v>
      </c>
      <c r="AZ43" s="5">
        <v>2027</v>
      </c>
      <c r="BA43" s="17">
        <v>1428</v>
      </c>
      <c r="BB43" s="5">
        <v>2030</v>
      </c>
      <c r="BC43" s="17">
        <v>1653</v>
      </c>
      <c r="BD43" s="5" t="s">
        <v>86</v>
      </c>
      <c r="BE43" s="17">
        <v>5</v>
      </c>
      <c r="BF43" s="5">
        <v>2027</v>
      </c>
      <c r="BG43" s="17">
        <v>72</v>
      </c>
      <c r="BH43" s="5">
        <v>2030</v>
      </c>
      <c r="BI43" s="17">
        <v>72</v>
      </c>
      <c r="BJ43" s="5" t="s">
        <v>87</v>
      </c>
      <c r="BK43" s="9"/>
      <c r="BL43" s="9" t="str">
        <f>HYPERLINK("https://seichotoushi-hojo.jp/assets/pdf/koufu/outline_134.pdf","PDFを開く")</f>
        <v>PDFを開く</v>
      </c>
      <c r="BM43" s="9" t="s">
        <v>421</v>
      </c>
      <c r="BN43" s="9" t="s">
        <v>422</v>
      </c>
      <c r="BO43" s="9" t="s">
        <v>90</v>
      </c>
      <c r="BP43" s="9" t="s">
        <v>90</v>
      </c>
      <c r="BQ43" s="9" t="s">
        <v>90</v>
      </c>
      <c r="BR43" s="9" t="s">
        <v>92</v>
      </c>
    </row>
    <row r="44" spans="1:70" ht="45.95" customHeight="1">
      <c r="A44" s="2" t="s">
        <v>423</v>
      </c>
      <c r="B44" s="2" t="s">
        <v>73</v>
      </c>
      <c r="C44" s="2" t="s">
        <v>424</v>
      </c>
      <c r="D44" s="2" t="s">
        <v>424</v>
      </c>
      <c r="E44" s="2" t="s">
        <v>95</v>
      </c>
      <c r="F44" s="2"/>
      <c r="G44" s="2">
        <v>2</v>
      </c>
      <c r="H44" s="2">
        <v>0</v>
      </c>
      <c r="I44" s="2">
        <v>1</v>
      </c>
      <c r="J44" s="2">
        <v>1</v>
      </c>
      <c r="K44" s="2">
        <v>0</v>
      </c>
      <c r="L44" s="16">
        <v>2200</v>
      </c>
      <c r="M44" s="16">
        <v>210</v>
      </c>
      <c r="N44" s="8" t="s">
        <v>425</v>
      </c>
      <c r="O44" s="12">
        <f t="shared" si="0"/>
        <v>9.5454545454545467</v>
      </c>
      <c r="P44" s="2">
        <v>2</v>
      </c>
      <c r="Q44" s="2" t="s">
        <v>308</v>
      </c>
      <c r="R44" s="8" t="s">
        <v>426</v>
      </c>
      <c r="S44" s="8" t="s">
        <v>427</v>
      </c>
      <c r="T44" s="8" t="s">
        <v>310</v>
      </c>
      <c r="U44" s="2" t="s">
        <v>81</v>
      </c>
      <c r="V44" s="2"/>
      <c r="W44" s="16"/>
      <c r="X44" s="2">
        <v>2033</v>
      </c>
      <c r="Y44" s="16"/>
      <c r="Z44" s="16">
        <v>25</v>
      </c>
      <c r="AA44" s="2">
        <v>2033</v>
      </c>
      <c r="AB44" s="16">
        <v>68.5</v>
      </c>
      <c r="AC44" s="2">
        <v>2033</v>
      </c>
      <c r="AD44" s="2" t="s">
        <v>82</v>
      </c>
      <c r="AE44" s="16"/>
      <c r="AF44" s="16"/>
      <c r="AG44" s="16"/>
      <c r="AH44" s="16"/>
      <c r="AI44" s="8" t="s">
        <v>83</v>
      </c>
      <c r="AJ44" s="2" t="s">
        <v>84</v>
      </c>
      <c r="AK44" s="2">
        <v>1</v>
      </c>
      <c r="AL44" s="8" t="s">
        <v>428</v>
      </c>
      <c r="AM44" s="8"/>
      <c r="AN44" s="2">
        <v>2025</v>
      </c>
      <c r="AO44" s="16">
        <v>625</v>
      </c>
      <c r="AP44" s="2">
        <v>2028</v>
      </c>
      <c r="AQ44" s="16">
        <v>987</v>
      </c>
      <c r="AR44" s="2" t="s">
        <v>86</v>
      </c>
      <c r="AS44" s="16">
        <v>16.5</v>
      </c>
      <c r="AT44" s="2">
        <v>2025</v>
      </c>
      <c r="AU44" s="16">
        <v>451</v>
      </c>
      <c r="AV44" s="2">
        <v>2028</v>
      </c>
      <c r="AW44" s="16">
        <v>569</v>
      </c>
      <c r="AX44" s="2" t="s">
        <v>86</v>
      </c>
      <c r="AY44" s="16">
        <v>8.1</v>
      </c>
      <c r="AZ44" s="2">
        <v>2025</v>
      </c>
      <c r="BA44" s="16">
        <v>1077</v>
      </c>
      <c r="BB44" s="2">
        <v>2028</v>
      </c>
      <c r="BC44" s="16">
        <v>1357</v>
      </c>
      <c r="BD44" s="2" t="s">
        <v>86</v>
      </c>
      <c r="BE44" s="16">
        <v>8</v>
      </c>
      <c r="BF44" s="2">
        <v>2025</v>
      </c>
      <c r="BG44" s="16">
        <v>210</v>
      </c>
      <c r="BH44" s="2">
        <v>2028</v>
      </c>
      <c r="BI44" s="16">
        <v>215</v>
      </c>
      <c r="BJ44" s="2" t="s">
        <v>87</v>
      </c>
      <c r="BK44" s="8"/>
      <c r="BL44" s="8" t="str">
        <f>HYPERLINK("https://seichotoushi-hojo.jp/assets/pdf/koufu/outline_135.pdf","PDFを開く")</f>
        <v>PDFを開く</v>
      </c>
      <c r="BM44" s="8" t="s">
        <v>429</v>
      </c>
      <c r="BN44" s="8" t="s">
        <v>430</v>
      </c>
      <c r="BO44" s="8" t="s">
        <v>90</v>
      </c>
      <c r="BP44" s="8" t="s">
        <v>90</v>
      </c>
      <c r="BQ44" s="8" t="s">
        <v>90</v>
      </c>
      <c r="BR44" s="8" t="s">
        <v>92</v>
      </c>
    </row>
    <row r="45" spans="1:70" ht="45.95" customHeight="1">
      <c r="A45" s="5" t="s">
        <v>431</v>
      </c>
      <c r="B45" s="5" t="s">
        <v>73</v>
      </c>
      <c r="C45" s="5" t="s">
        <v>432</v>
      </c>
      <c r="D45" s="5" t="s">
        <v>432</v>
      </c>
      <c r="E45" s="5" t="s">
        <v>75</v>
      </c>
      <c r="F45" s="5"/>
      <c r="G45" s="5">
        <v>2</v>
      </c>
      <c r="H45" s="5">
        <v>0</v>
      </c>
      <c r="I45" s="5">
        <v>1</v>
      </c>
      <c r="J45" s="5">
        <v>1</v>
      </c>
      <c r="K45" s="5">
        <v>0</v>
      </c>
      <c r="L45" s="17">
        <v>3300</v>
      </c>
      <c r="M45" s="17">
        <v>930</v>
      </c>
      <c r="N45" s="9" t="s">
        <v>433</v>
      </c>
      <c r="O45" s="13">
        <f t="shared" si="0"/>
        <v>28.18181818181818</v>
      </c>
      <c r="P45" s="5">
        <v>2</v>
      </c>
      <c r="Q45" s="5" t="s">
        <v>77</v>
      </c>
      <c r="R45" s="9" t="s">
        <v>434</v>
      </c>
      <c r="S45" s="9" t="s">
        <v>435</v>
      </c>
      <c r="T45" s="9" t="s">
        <v>80</v>
      </c>
      <c r="U45" s="5" t="s">
        <v>81</v>
      </c>
      <c r="V45" s="5">
        <v>2023</v>
      </c>
      <c r="W45" s="17">
        <v>100</v>
      </c>
      <c r="X45" s="5">
        <v>2030</v>
      </c>
      <c r="Y45" s="17">
        <v>100</v>
      </c>
      <c r="Z45" s="17">
        <v>100</v>
      </c>
      <c r="AA45" s="5">
        <v>2030</v>
      </c>
      <c r="AB45" s="17">
        <v>120</v>
      </c>
      <c r="AC45" s="5">
        <v>2030</v>
      </c>
      <c r="AD45" s="5" t="s">
        <v>82</v>
      </c>
      <c r="AE45" s="17"/>
      <c r="AF45" s="17"/>
      <c r="AG45" s="17">
        <v>0</v>
      </c>
      <c r="AH45" s="17"/>
      <c r="AI45" s="9" t="s">
        <v>200</v>
      </c>
      <c r="AJ45" s="5" t="s">
        <v>84</v>
      </c>
      <c r="AK45" s="5">
        <v>1</v>
      </c>
      <c r="AL45" s="9" t="s">
        <v>436</v>
      </c>
      <c r="AM45" s="9" t="s">
        <v>437</v>
      </c>
      <c r="AN45" s="5">
        <v>2027</v>
      </c>
      <c r="AO45" s="17">
        <v>577</v>
      </c>
      <c r="AP45" s="5">
        <v>2030</v>
      </c>
      <c r="AQ45" s="17">
        <v>1497</v>
      </c>
      <c r="AR45" s="5" t="s">
        <v>86</v>
      </c>
      <c r="AS45" s="17">
        <v>37.4</v>
      </c>
      <c r="AT45" s="5">
        <v>2027</v>
      </c>
      <c r="AU45" s="17">
        <v>334</v>
      </c>
      <c r="AV45" s="5">
        <v>2030</v>
      </c>
      <c r="AW45" s="17">
        <v>388</v>
      </c>
      <c r="AX45" s="5" t="s">
        <v>86</v>
      </c>
      <c r="AY45" s="17">
        <v>5.0999999999999996</v>
      </c>
      <c r="AZ45" s="5">
        <v>2027</v>
      </c>
      <c r="BA45" s="17">
        <v>848</v>
      </c>
      <c r="BB45" s="5">
        <v>2030</v>
      </c>
      <c r="BC45" s="17">
        <v>1058</v>
      </c>
      <c r="BD45" s="5" t="s">
        <v>86</v>
      </c>
      <c r="BE45" s="17">
        <v>7.65</v>
      </c>
      <c r="BF45" s="5">
        <v>2027</v>
      </c>
      <c r="BG45" s="17">
        <v>193</v>
      </c>
      <c r="BH45" s="5">
        <v>2030</v>
      </c>
      <c r="BI45" s="17">
        <v>201</v>
      </c>
      <c r="BJ45" s="5" t="s">
        <v>87</v>
      </c>
      <c r="BK45" s="9"/>
      <c r="BL45" s="9" t="str">
        <f>HYPERLINK("https://seichotoushi-hojo.jp/assets/pdf/koufu/outline_136.pdf","PDFを開く")</f>
        <v>PDFを開く</v>
      </c>
      <c r="BM45" s="9" t="s">
        <v>438</v>
      </c>
      <c r="BN45" s="9" t="s">
        <v>439</v>
      </c>
      <c r="BO45" s="9" t="s">
        <v>166</v>
      </c>
      <c r="BP45" s="9" t="s">
        <v>166</v>
      </c>
      <c r="BQ45" s="9" t="s">
        <v>166</v>
      </c>
      <c r="BR45" s="9" t="s">
        <v>166</v>
      </c>
    </row>
    <row r="46" spans="1:70" ht="45.95" customHeight="1">
      <c r="A46" s="2" t="s">
        <v>440</v>
      </c>
      <c r="B46" s="2" t="s">
        <v>73</v>
      </c>
      <c r="C46" s="2" t="s">
        <v>441</v>
      </c>
      <c r="D46" s="2" t="s">
        <v>441</v>
      </c>
      <c r="E46" s="2" t="s">
        <v>107</v>
      </c>
      <c r="F46" s="2"/>
      <c r="G46" s="2">
        <v>2</v>
      </c>
      <c r="H46" s="2">
        <v>0</v>
      </c>
      <c r="I46" s="2">
        <v>1</v>
      </c>
      <c r="J46" s="2">
        <v>1</v>
      </c>
      <c r="K46" s="2">
        <v>0</v>
      </c>
      <c r="L46" s="16">
        <v>2000</v>
      </c>
      <c r="M46" s="16">
        <v>570</v>
      </c>
      <c r="N46" s="8" t="s">
        <v>442</v>
      </c>
      <c r="O46" s="12">
        <f t="shared" si="0"/>
        <v>28.499999999999996</v>
      </c>
      <c r="P46" s="2">
        <v>2</v>
      </c>
      <c r="Q46" s="2" t="s">
        <v>77</v>
      </c>
      <c r="R46" s="8" t="s">
        <v>443</v>
      </c>
      <c r="S46" s="8" t="s">
        <v>444</v>
      </c>
      <c r="T46" s="8" t="s">
        <v>80</v>
      </c>
      <c r="U46" s="2" t="s">
        <v>81</v>
      </c>
      <c r="V46" s="2">
        <v>2023</v>
      </c>
      <c r="W46" s="16">
        <v>21.39</v>
      </c>
      <c r="X46" s="2">
        <v>2030</v>
      </c>
      <c r="Y46" s="16">
        <v>55</v>
      </c>
      <c r="Z46" s="16">
        <v>33.61</v>
      </c>
      <c r="AA46" s="2">
        <v>2030</v>
      </c>
      <c r="AB46" s="16">
        <v>157.1</v>
      </c>
      <c r="AC46" s="2">
        <v>2030</v>
      </c>
      <c r="AD46" s="2" t="s">
        <v>99</v>
      </c>
      <c r="AE46" s="16"/>
      <c r="AF46" s="16"/>
      <c r="AG46" s="16">
        <v>14.444026507871666</v>
      </c>
      <c r="AH46" s="16"/>
      <c r="AI46" s="8" t="s">
        <v>100</v>
      </c>
      <c r="AJ46" s="2" t="s">
        <v>84</v>
      </c>
      <c r="AK46" s="2">
        <v>1</v>
      </c>
      <c r="AL46" s="8" t="s">
        <v>445</v>
      </c>
      <c r="AM46" s="8" t="s">
        <v>446</v>
      </c>
      <c r="AN46" s="2">
        <v>2027</v>
      </c>
      <c r="AO46" s="16">
        <v>12158</v>
      </c>
      <c r="AP46" s="2">
        <v>2030</v>
      </c>
      <c r="AQ46" s="16">
        <v>28189</v>
      </c>
      <c r="AR46" s="2" t="s">
        <v>447</v>
      </c>
      <c r="AS46" s="16">
        <v>32.4</v>
      </c>
      <c r="AT46" s="2">
        <v>2027</v>
      </c>
      <c r="AU46" s="16">
        <v>6456</v>
      </c>
      <c r="AV46" s="2">
        <v>2030</v>
      </c>
      <c r="AW46" s="16">
        <v>7473</v>
      </c>
      <c r="AX46" s="2" t="s">
        <v>447</v>
      </c>
      <c r="AY46" s="16">
        <v>5</v>
      </c>
      <c r="AZ46" s="2">
        <v>2027</v>
      </c>
      <c r="BA46" s="16">
        <v>16713</v>
      </c>
      <c r="BB46" s="2">
        <v>2030</v>
      </c>
      <c r="BC46" s="16">
        <v>19348</v>
      </c>
      <c r="BD46" s="2" t="s">
        <v>447</v>
      </c>
      <c r="BE46" s="16">
        <v>5</v>
      </c>
      <c r="BF46" s="2">
        <v>2027</v>
      </c>
      <c r="BG46" s="16">
        <v>28</v>
      </c>
      <c r="BH46" s="2">
        <v>2030</v>
      </c>
      <c r="BI46" s="16">
        <v>47</v>
      </c>
      <c r="BJ46" s="2" t="s">
        <v>87</v>
      </c>
      <c r="BK46" s="8"/>
      <c r="BL46" s="8" t="str">
        <f>HYPERLINK("https://seichotoushi-hojo.jp/assets/pdf/koufu/outline_137.pdf","PDFを開く")</f>
        <v>PDFを開く</v>
      </c>
      <c r="BM46" s="8" t="s">
        <v>448</v>
      </c>
      <c r="BN46" s="8" t="s">
        <v>449</v>
      </c>
      <c r="BO46" s="8" t="s">
        <v>90</v>
      </c>
      <c r="BP46" s="8" t="s">
        <v>90</v>
      </c>
      <c r="BQ46" s="8" t="s">
        <v>90</v>
      </c>
      <c r="BR46" s="8" t="s">
        <v>92</v>
      </c>
    </row>
    <row r="47" spans="1:70" ht="45.95" customHeight="1">
      <c r="A47" s="5" t="s">
        <v>450</v>
      </c>
      <c r="B47" s="5" t="s">
        <v>73</v>
      </c>
      <c r="C47" s="5" t="s">
        <v>451</v>
      </c>
      <c r="D47" s="5" t="s">
        <v>451</v>
      </c>
      <c r="E47" s="5"/>
      <c r="F47" s="5"/>
      <c r="G47" s="5">
        <v>7</v>
      </c>
      <c r="H47" s="5">
        <v>0</v>
      </c>
      <c r="I47" s="5">
        <v>1</v>
      </c>
      <c r="J47" s="5">
        <v>6</v>
      </c>
      <c r="K47" s="5">
        <v>0</v>
      </c>
      <c r="L47" s="17">
        <v>4800</v>
      </c>
      <c r="M47" s="17">
        <v>1600</v>
      </c>
      <c r="N47" s="9" t="s">
        <v>452</v>
      </c>
      <c r="O47" s="13">
        <f t="shared" si="0"/>
        <v>33.333333333333329</v>
      </c>
      <c r="P47" s="5">
        <v>2</v>
      </c>
      <c r="Q47" s="5" t="s">
        <v>77</v>
      </c>
      <c r="R47" s="9" t="s">
        <v>453</v>
      </c>
      <c r="S47" s="9" t="s">
        <v>454</v>
      </c>
      <c r="T47" s="9" t="s">
        <v>80</v>
      </c>
      <c r="U47" s="5" t="s">
        <v>81</v>
      </c>
      <c r="V47" s="5">
        <v>2023</v>
      </c>
      <c r="W47" s="17"/>
      <c r="X47" s="5">
        <v>2030</v>
      </c>
      <c r="Y47" s="17"/>
      <c r="Z47" s="17">
        <v>73.2</v>
      </c>
      <c r="AA47" s="5">
        <v>2030</v>
      </c>
      <c r="AB47" s="17">
        <v>168.5</v>
      </c>
      <c r="AC47" s="5">
        <v>2030</v>
      </c>
      <c r="AD47" s="5" t="s">
        <v>82</v>
      </c>
      <c r="AE47" s="17"/>
      <c r="AF47" s="17"/>
      <c r="AG47" s="17"/>
      <c r="AH47" s="17"/>
      <c r="AI47" s="9" t="s">
        <v>83</v>
      </c>
      <c r="AJ47" s="5" t="s">
        <v>84</v>
      </c>
      <c r="AK47" s="5">
        <v>1</v>
      </c>
      <c r="AL47" s="9" t="s">
        <v>455</v>
      </c>
      <c r="AM47" s="9" t="s">
        <v>456</v>
      </c>
      <c r="AN47" s="5">
        <v>2027</v>
      </c>
      <c r="AO47" s="17">
        <v>1162</v>
      </c>
      <c r="AP47" s="5">
        <v>2030</v>
      </c>
      <c r="AQ47" s="17">
        <v>1625</v>
      </c>
      <c r="AR47" s="5" t="s">
        <v>86</v>
      </c>
      <c r="AS47" s="17">
        <v>11.9</v>
      </c>
      <c r="AT47" s="5">
        <v>2027</v>
      </c>
      <c r="AU47" s="17">
        <v>469</v>
      </c>
      <c r="AV47" s="5">
        <v>2030</v>
      </c>
      <c r="AW47" s="17">
        <v>560</v>
      </c>
      <c r="AX47" s="5" t="s">
        <v>86</v>
      </c>
      <c r="AY47" s="17">
        <v>6.06</v>
      </c>
      <c r="AZ47" s="5">
        <v>2027</v>
      </c>
      <c r="BA47" s="17"/>
      <c r="BB47" s="5">
        <v>2030</v>
      </c>
      <c r="BC47" s="17"/>
      <c r="BD47" s="5" t="s">
        <v>86</v>
      </c>
      <c r="BE47" s="17">
        <v>6</v>
      </c>
      <c r="BF47" s="5">
        <v>2027</v>
      </c>
      <c r="BG47" s="17">
        <v>277</v>
      </c>
      <c r="BH47" s="5">
        <v>2030</v>
      </c>
      <c r="BI47" s="17">
        <v>305</v>
      </c>
      <c r="BJ47" s="5" t="s">
        <v>87</v>
      </c>
      <c r="BK47" s="9"/>
      <c r="BL47" s="9" t="str">
        <f>HYPERLINK("https://seichotoushi-hojo.jp/assets/pdf/koufu/outline_138.pdf","PDFを開く")</f>
        <v>PDFを開く</v>
      </c>
      <c r="BM47" s="9" t="s">
        <v>457</v>
      </c>
      <c r="BN47" s="9" t="s">
        <v>458</v>
      </c>
      <c r="BO47" s="9" t="s">
        <v>166</v>
      </c>
      <c r="BP47" s="9" t="s">
        <v>166</v>
      </c>
      <c r="BQ47" s="9" t="s">
        <v>91</v>
      </c>
      <c r="BR47" s="9" t="s">
        <v>166</v>
      </c>
    </row>
    <row r="48" spans="1:70" ht="45.95" customHeight="1">
      <c r="A48" s="2" t="s">
        <v>459</v>
      </c>
      <c r="B48" s="2" t="s">
        <v>73</v>
      </c>
      <c r="C48" s="2" t="s">
        <v>460</v>
      </c>
      <c r="D48" s="2" t="s">
        <v>460</v>
      </c>
      <c r="E48" s="2" t="s">
        <v>75</v>
      </c>
      <c r="F48" s="2"/>
      <c r="G48" s="2">
        <v>2</v>
      </c>
      <c r="H48" s="2">
        <v>0</v>
      </c>
      <c r="I48" s="2">
        <v>1</v>
      </c>
      <c r="J48" s="2">
        <v>1</v>
      </c>
      <c r="K48" s="2">
        <v>0</v>
      </c>
      <c r="L48" s="16">
        <v>5400</v>
      </c>
      <c r="M48" s="16">
        <v>1600</v>
      </c>
      <c r="N48" s="8" t="s">
        <v>461</v>
      </c>
      <c r="O48" s="12">
        <f t="shared" si="0"/>
        <v>29.629629629629626</v>
      </c>
      <c r="P48" s="2">
        <v>2</v>
      </c>
      <c r="Q48" s="2" t="s">
        <v>77</v>
      </c>
      <c r="R48" s="8" t="s">
        <v>461</v>
      </c>
      <c r="S48" s="8" t="s">
        <v>462</v>
      </c>
      <c r="T48" s="8" t="s">
        <v>80</v>
      </c>
      <c r="U48" s="2" t="s">
        <v>81</v>
      </c>
      <c r="V48" s="2">
        <v>2023</v>
      </c>
      <c r="W48" s="16">
        <v>76.8</v>
      </c>
      <c r="X48" s="2">
        <v>2040</v>
      </c>
      <c r="Y48" s="16">
        <v>117.3</v>
      </c>
      <c r="Z48" s="16">
        <v>194.1</v>
      </c>
      <c r="AA48" s="2">
        <v>2040</v>
      </c>
      <c r="AB48" s="16">
        <v>65.5</v>
      </c>
      <c r="AC48" s="2">
        <v>2040</v>
      </c>
      <c r="AD48" s="2" t="s">
        <v>82</v>
      </c>
      <c r="AE48" s="16"/>
      <c r="AF48" s="16"/>
      <c r="AG48" s="16">
        <v>2.5226471721803145</v>
      </c>
      <c r="AH48" s="16"/>
      <c r="AI48" s="8" t="s">
        <v>200</v>
      </c>
      <c r="AJ48" s="2" t="s">
        <v>84</v>
      </c>
      <c r="AK48" s="2">
        <v>1</v>
      </c>
      <c r="AL48" s="8" t="s">
        <v>463</v>
      </c>
      <c r="AM48" s="8" t="s">
        <v>464</v>
      </c>
      <c r="AN48" s="2">
        <v>2026</v>
      </c>
      <c r="AO48" s="16">
        <v>908</v>
      </c>
      <c r="AP48" s="2">
        <v>2029</v>
      </c>
      <c r="AQ48" s="16">
        <v>1400</v>
      </c>
      <c r="AR48" s="2" t="s">
        <v>86</v>
      </c>
      <c r="AS48" s="16">
        <v>15.5</v>
      </c>
      <c r="AT48" s="2">
        <v>2026</v>
      </c>
      <c r="AU48" s="16">
        <v>469</v>
      </c>
      <c r="AV48" s="2">
        <v>2029</v>
      </c>
      <c r="AW48" s="16">
        <v>535.5</v>
      </c>
      <c r="AX48" s="2" t="s">
        <v>86</v>
      </c>
      <c r="AY48" s="16">
        <v>4.5</v>
      </c>
      <c r="AZ48" s="2">
        <v>2026</v>
      </c>
      <c r="BA48" s="16">
        <v>1210.8</v>
      </c>
      <c r="BB48" s="2">
        <v>2029</v>
      </c>
      <c r="BC48" s="16">
        <v>1381.9</v>
      </c>
      <c r="BD48" s="2" t="s">
        <v>86</v>
      </c>
      <c r="BE48" s="16">
        <v>4.5</v>
      </c>
      <c r="BF48" s="2">
        <v>2026</v>
      </c>
      <c r="BG48" s="16">
        <v>102</v>
      </c>
      <c r="BH48" s="2">
        <v>2029</v>
      </c>
      <c r="BI48" s="16">
        <v>237</v>
      </c>
      <c r="BJ48" s="2" t="s">
        <v>87</v>
      </c>
      <c r="BK48" s="8"/>
      <c r="BL48" s="8" t="str">
        <f>HYPERLINK("https://seichotoushi-hojo.jp/assets/pdf/koufu/outline_139.pdf","PDFを開く")</f>
        <v>PDFを開く</v>
      </c>
      <c r="BM48" s="8" t="s">
        <v>465</v>
      </c>
      <c r="BN48" s="8" t="s">
        <v>466</v>
      </c>
      <c r="BO48" s="8" t="s">
        <v>90</v>
      </c>
      <c r="BP48" s="8" t="s">
        <v>90</v>
      </c>
      <c r="BQ48" s="8" t="s">
        <v>90</v>
      </c>
      <c r="BR48" s="8" t="s">
        <v>92</v>
      </c>
    </row>
    <row r="49" spans="1:70" ht="45.95" customHeight="1">
      <c r="A49" s="5" t="s">
        <v>467</v>
      </c>
      <c r="B49" s="5" t="s">
        <v>73</v>
      </c>
      <c r="C49" s="5" t="s">
        <v>468</v>
      </c>
      <c r="D49" s="5" t="s">
        <v>468</v>
      </c>
      <c r="E49" s="5" t="s">
        <v>75</v>
      </c>
      <c r="F49" s="5"/>
      <c r="G49" s="5">
        <v>2</v>
      </c>
      <c r="H49" s="5">
        <v>0</v>
      </c>
      <c r="I49" s="5">
        <v>1</v>
      </c>
      <c r="J49" s="5">
        <v>1</v>
      </c>
      <c r="K49" s="5">
        <v>0</v>
      </c>
      <c r="L49" s="17">
        <v>16600</v>
      </c>
      <c r="M49" s="17">
        <v>5000</v>
      </c>
      <c r="N49" s="9" t="s">
        <v>469</v>
      </c>
      <c r="O49" s="13">
        <f t="shared" si="0"/>
        <v>30.120481927710845</v>
      </c>
      <c r="P49" s="5">
        <v>2</v>
      </c>
      <c r="Q49" s="5" t="s">
        <v>308</v>
      </c>
      <c r="R49" s="9" t="s">
        <v>470</v>
      </c>
      <c r="S49" s="9" t="s">
        <v>471</v>
      </c>
      <c r="T49" s="9" t="s">
        <v>310</v>
      </c>
      <c r="U49" s="5" t="s">
        <v>81</v>
      </c>
      <c r="V49" s="5"/>
      <c r="W49" s="17"/>
      <c r="X49" s="5">
        <v>2030</v>
      </c>
      <c r="Y49" s="17"/>
      <c r="Z49" s="17">
        <v>200</v>
      </c>
      <c r="AA49" s="5">
        <v>2030</v>
      </c>
      <c r="AB49" s="17">
        <v>5</v>
      </c>
      <c r="AC49" s="5">
        <v>2030</v>
      </c>
      <c r="AD49" s="5" t="s">
        <v>210</v>
      </c>
      <c r="AE49" s="17"/>
      <c r="AF49" s="17"/>
      <c r="AG49" s="17"/>
      <c r="AH49" s="17"/>
      <c r="AI49" s="9" t="s">
        <v>83</v>
      </c>
      <c r="AJ49" s="5" t="s">
        <v>84</v>
      </c>
      <c r="AK49" s="5">
        <v>1</v>
      </c>
      <c r="AL49" s="9" t="s">
        <v>472</v>
      </c>
      <c r="AM49" s="9" t="s">
        <v>473</v>
      </c>
      <c r="AN49" s="5">
        <v>2026</v>
      </c>
      <c r="AO49" s="17">
        <v>898</v>
      </c>
      <c r="AP49" s="5">
        <v>2029</v>
      </c>
      <c r="AQ49" s="17">
        <v>1337</v>
      </c>
      <c r="AR49" s="5" t="s">
        <v>86</v>
      </c>
      <c r="AS49" s="17">
        <v>14.1</v>
      </c>
      <c r="AT49" s="5">
        <v>2026</v>
      </c>
      <c r="AU49" s="17">
        <v>562</v>
      </c>
      <c r="AV49" s="5">
        <v>2029</v>
      </c>
      <c r="AW49" s="17">
        <v>623</v>
      </c>
      <c r="AX49" s="5" t="s">
        <v>86</v>
      </c>
      <c r="AY49" s="17">
        <v>3.5</v>
      </c>
      <c r="AZ49" s="5"/>
      <c r="BA49" s="17"/>
      <c r="BB49" s="5"/>
      <c r="BC49" s="17"/>
      <c r="BD49" s="5"/>
      <c r="BE49" s="17"/>
      <c r="BF49" s="5">
        <v>2026</v>
      </c>
      <c r="BG49" s="17">
        <v>342</v>
      </c>
      <c r="BH49" s="5">
        <v>2029</v>
      </c>
      <c r="BI49" s="17">
        <v>357</v>
      </c>
      <c r="BJ49" s="5" t="s">
        <v>87</v>
      </c>
      <c r="BK49" s="9"/>
      <c r="BL49" s="9" t="str">
        <f>HYPERLINK("https://seichotoushi-hojo.jp/assets/pdf/koufu/outline_14.pdf","PDFを開く")</f>
        <v>PDFを開く</v>
      </c>
      <c r="BM49" s="9" t="s">
        <v>474</v>
      </c>
      <c r="BN49" s="9" t="s">
        <v>475</v>
      </c>
      <c r="BO49" s="9" t="s">
        <v>90</v>
      </c>
      <c r="BP49" s="9" t="s">
        <v>90</v>
      </c>
      <c r="BQ49" s="9" t="s">
        <v>157</v>
      </c>
      <c r="BR49" s="9" t="s">
        <v>92</v>
      </c>
    </row>
    <row r="50" spans="1:70" ht="45.95" customHeight="1">
      <c r="A50" s="2" t="s">
        <v>476</v>
      </c>
      <c r="B50" s="2" t="s">
        <v>73</v>
      </c>
      <c r="C50" s="2" t="s">
        <v>477</v>
      </c>
      <c r="D50" s="2" t="s">
        <v>477</v>
      </c>
      <c r="E50" s="2" t="s">
        <v>186</v>
      </c>
      <c r="F50" s="2"/>
      <c r="G50" s="2">
        <v>4</v>
      </c>
      <c r="H50" s="2">
        <v>0</v>
      </c>
      <c r="I50" s="2">
        <v>2</v>
      </c>
      <c r="J50" s="2">
        <v>2</v>
      </c>
      <c r="K50" s="2">
        <v>0</v>
      </c>
      <c r="L50" s="16">
        <v>2300</v>
      </c>
      <c r="M50" s="16">
        <v>760</v>
      </c>
      <c r="N50" s="8" t="s">
        <v>478</v>
      </c>
      <c r="O50" s="12">
        <f t="shared" si="0"/>
        <v>33.043478260869563</v>
      </c>
      <c r="P50" s="2">
        <v>3</v>
      </c>
      <c r="Q50" s="2" t="s">
        <v>77</v>
      </c>
      <c r="R50" s="8" t="s">
        <v>478</v>
      </c>
      <c r="S50" s="8" t="s">
        <v>479</v>
      </c>
      <c r="T50" s="8" t="s">
        <v>80</v>
      </c>
      <c r="U50" s="2" t="s">
        <v>81</v>
      </c>
      <c r="V50" s="2">
        <v>2029</v>
      </c>
      <c r="W50" s="16"/>
      <c r="X50" s="2">
        <v>2030</v>
      </c>
      <c r="Y50" s="16">
        <v>300</v>
      </c>
      <c r="Z50" s="16"/>
      <c r="AA50" s="2"/>
      <c r="AB50" s="16"/>
      <c r="AC50" s="2"/>
      <c r="AD50" s="2"/>
      <c r="AE50" s="16"/>
      <c r="AF50" s="16"/>
      <c r="AG50" s="16"/>
      <c r="AH50" s="16"/>
      <c r="AI50" s="8" t="s">
        <v>83</v>
      </c>
      <c r="AJ50" s="2" t="s">
        <v>84</v>
      </c>
      <c r="AK50" s="2">
        <v>2</v>
      </c>
      <c r="AL50" s="8" t="s">
        <v>480</v>
      </c>
      <c r="AM50" s="8" t="s">
        <v>481</v>
      </c>
      <c r="AN50" s="2">
        <v>2026</v>
      </c>
      <c r="AO50" s="16">
        <v>701</v>
      </c>
      <c r="AP50" s="2">
        <v>2029</v>
      </c>
      <c r="AQ50" s="16">
        <v>1611</v>
      </c>
      <c r="AR50" s="2" t="s">
        <v>86</v>
      </c>
      <c r="AS50" s="16">
        <v>32</v>
      </c>
      <c r="AT50" s="2">
        <v>2026</v>
      </c>
      <c r="AU50" s="16">
        <v>467</v>
      </c>
      <c r="AV50" s="2">
        <v>2029</v>
      </c>
      <c r="AW50" s="16">
        <v>541</v>
      </c>
      <c r="AX50" s="2" t="s">
        <v>86</v>
      </c>
      <c r="AY50" s="16">
        <v>5</v>
      </c>
      <c r="AZ50" s="2">
        <v>2026</v>
      </c>
      <c r="BA50" s="16">
        <v>1169</v>
      </c>
      <c r="BB50" s="2">
        <v>2029</v>
      </c>
      <c r="BC50" s="16">
        <v>1354</v>
      </c>
      <c r="BD50" s="2" t="s">
        <v>86</v>
      </c>
      <c r="BE50" s="16">
        <v>5</v>
      </c>
      <c r="BF50" s="2">
        <v>2026</v>
      </c>
      <c r="BG50" s="16">
        <v>128</v>
      </c>
      <c r="BH50" s="2">
        <v>2029</v>
      </c>
      <c r="BI50" s="16">
        <v>166</v>
      </c>
      <c r="BJ50" s="2" t="s">
        <v>87</v>
      </c>
      <c r="BK50" s="8" t="s">
        <v>482</v>
      </c>
      <c r="BL50" s="8" t="str">
        <f>HYPERLINK("https://seichotoushi-hojo.jp/assets/pdf/koufu/outline_140.pdf","PDFを開く")</f>
        <v>PDFを開く</v>
      </c>
      <c r="BM50" s="8" t="s">
        <v>483</v>
      </c>
      <c r="BN50" s="8" t="s">
        <v>484</v>
      </c>
      <c r="BO50" s="8" t="s">
        <v>90</v>
      </c>
      <c r="BP50" s="8" t="s">
        <v>90</v>
      </c>
      <c r="BQ50" s="8" t="s">
        <v>90</v>
      </c>
      <c r="BR50" s="8" t="s">
        <v>92</v>
      </c>
    </row>
    <row r="51" spans="1:70" ht="45.95" customHeight="1">
      <c r="A51" s="5" t="s">
        <v>485</v>
      </c>
      <c r="B51" s="5" t="s">
        <v>73</v>
      </c>
      <c r="C51" s="5" t="s">
        <v>486</v>
      </c>
      <c r="D51" s="5" t="s">
        <v>486</v>
      </c>
      <c r="E51" s="5" t="s">
        <v>95</v>
      </c>
      <c r="F51" s="5"/>
      <c r="G51" s="5">
        <v>2</v>
      </c>
      <c r="H51" s="5">
        <v>0</v>
      </c>
      <c r="I51" s="5">
        <v>1</v>
      </c>
      <c r="J51" s="5">
        <v>1</v>
      </c>
      <c r="K51" s="5">
        <v>0</v>
      </c>
      <c r="L51" s="17">
        <v>9800</v>
      </c>
      <c r="M51" s="17">
        <v>3000</v>
      </c>
      <c r="N51" s="9" t="s">
        <v>487</v>
      </c>
      <c r="O51" s="13">
        <f t="shared" si="0"/>
        <v>30.612244897959183</v>
      </c>
      <c r="P51" s="5">
        <v>2</v>
      </c>
      <c r="Q51" s="5" t="s">
        <v>77</v>
      </c>
      <c r="R51" s="9" t="s">
        <v>488</v>
      </c>
      <c r="S51" s="9" t="s">
        <v>489</v>
      </c>
      <c r="T51" s="9" t="s">
        <v>80</v>
      </c>
      <c r="U51" s="5" t="s">
        <v>81</v>
      </c>
      <c r="V51" s="5">
        <v>2023</v>
      </c>
      <c r="W51" s="17">
        <v>146.69999999999999</v>
      </c>
      <c r="X51" s="5">
        <v>2029</v>
      </c>
      <c r="Y51" s="17">
        <v>300.39999999999998</v>
      </c>
      <c r="Z51" s="17">
        <v>153.69999999999999</v>
      </c>
      <c r="AA51" s="5">
        <v>2029</v>
      </c>
      <c r="AB51" s="17">
        <v>104.7</v>
      </c>
      <c r="AC51" s="5">
        <v>2029</v>
      </c>
      <c r="AD51" s="5" t="s">
        <v>490</v>
      </c>
      <c r="AE51" s="17"/>
      <c r="AF51" s="17"/>
      <c r="AG51" s="17"/>
      <c r="AH51" s="17"/>
      <c r="AI51" s="9" t="s">
        <v>166</v>
      </c>
      <c r="AJ51" s="5" t="s">
        <v>292</v>
      </c>
      <c r="AK51" s="5">
        <v>1</v>
      </c>
      <c r="AL51" s="9" t="s">
        <v>491</v>
      </c>
      <c r="AM51" s="9" t="s">
        <v>492</v>
      </c>
      <c r="AN51" s="5">
        <v>2026</v>
      </c>
      <c r="AO51" s="17">
        <v>679</v>
      </c>
      <c r="AP51" s="5">
        <v>2029</v>
      </c>
      <c r="AQ51" s="17">
        <v>1750</v>
      </c>
      <c r="AR51" s="5" t="s">
        <v>86</v>
      </c>
      <c r="AS51" s="17">
        <v>37.1</v>
      </c>
      <c r="AT51" s="5">
        <v>2026</v>
      </c>
      <c r="AU51" s="17">
        <v>356</v>
      </c>
      <c r="AV51" s="5">
        <v>2029</v>
      </c>
      <c r="AW51" s="17">
        <v>410</v>
      </c>
      <c r="AX51" s="5" t="s">
        <v>86</v>
      </c>
      <c r="AY51" s="17">
        <v>4.8</v>
      </c>
      <c r="AZ51" s="5"/>
      <c r="BA51" s="17"/>
      <c r="BB51" s="5"/>
      <c r="BC51" s="17"/>
      <c r="BD51" s="5"/>
      <c r="BE51" s="17"/>
      <c r="BF51" s="5">
        <v>2026</v>
      </c>
      <c r="BG51" s="17">
        <v>112</v>
      </c>
      <c r="BH51" s="5">
        <v>2029</v>
      </c>
      <c r="BI51" s="17">
        <v>270</v>
      </c>
      <c r="BJ51" s="5" t="s">
        <v>87</v>
      </c>
      <c r="BK51" s="9"/>
      <c r="BL51" s="9" t="str">
        <f>HYPERLINK("https://seichotoushi-hojo.jp/assets/pdf/koufu/outline_141.pdf","PDFを開く")</f>
        <v>PDFを開く</v>
      </c>
      <c r="BM51" s="9" t="s">
        <v>493</v>
      </c>
      <c r="BN51" s="9" t="s">
        <v>494</v>
      </c>
      <c r="BO51" s="9" t="s">
        <v>90</v>
      </c>
      <c r="BP51" s="9" t="s">
        <v>90</v>
      </c>
      <c r="BQ51" s="9" t="s">
        <v>156</v>
      </c>
      <c r="BR51" s="9" t="s">
        <v>92</v>
      </c>
    </row>
    <row r="52" spans="1:70" ht="45.95" customHeight="1">
      <c r="A52" s="2" t="s">
        <v>495</v>
      </c>
      <c r="B52" s="2" t="s">
        <v>73</v>
      </c>
      <c r="C52" s="2" t="s">
        <v>496</v>
      </c>
      <c r="D52" s="2" t="s">
        <v>496</v>
      </c>
      <c r="E52" s="2" t="s">
        <v>75</v>
      </c>
      <c r="F52" s="2" t="s">
        <v>497</v>
      </c>
      <c r="G52" s="2">
        <v>6</v>
      </c>
      <c r="H52" s="2">
        <v>0</v>
      </c>
      <c r="I52" s="2">
        <v>1</v>
      </c>
      <c r="J52" s="2">
        <v>5</v>
      </c>
      <c r="K52" s="2">
        <v>0</v>
      </c>
      <c r="L52" s="16">
        <v>2900</v>
      </c>
      <c r="M52" s="16">
        <v>940</v>
      </c>
      <c r="N52" s="8" t="s">
        <v>498</v>
      </c>
      <c r="O52" s="12">
        <f t="shared" si="0"/>
        <v>32.41379310344827</v>
      </c>
      <c r="P52" s="2">
        <v>2</v>
      </c>
      <c r="Q52" s="2" t="s">
        <v>77</v>
      </c>
      <c r="R52" s="8" t="s">
        <v>499</v>
      </c>
      <c r="S52" s="8" t="s">
        <v>500</v>
      </c>
      <c r="T52" s="8" t="s">
        <v>80</v>
      </c>
      <c r="U52" s="2" t="s">
        <v>81</v>
      </c>
      <c r="V52" s="2"/>
      <c r="W52" s="16"/>
      <c r="X52" s="2">
        <v>2028</v>
      </c>
      <c r="Y52" s="16"/>
      <c r="Z52" s="16">
        <v>91.92</v>
      </c>
      <c r="AA52" s="2">
        <v>2028</v>
      </c>
      <c r="AB52" s="16"/>
      <c r="AC52" s="2"/>
      <c r="AD52" s="2"/>
      <c r="AE52" s="16"/>
      <c r="AF52" s="16"/>
      <c r="AG52" s="16"/>
      <c r="AH52" s="16"/>
      <c r="AI52" s="8" t="s">
        <v>83</v>
      </c>
      <c r="AJ52" s="2" t="s">
        <v>84</v>
      </c>
      <c r="AK52" s="2">
        <v>1</v>
      </c>
      <c r="AL52" s="8" t="s">
        <v>501</v>
      </c>
      <c r="AM52" s="8"/>
      <c r="AN52" s="2">
        <v>2025</v>
      </c>
      <c r="AO52" s="16">
        <v>431</v>
      </c>
      <c r="AP52" s="2">
        <v>2028</v>
      </c>
      <c r="AQ52" s="16">
        <v>741</v>
      </c>
      <c r="AR52" s="2" t="s">
        <v>86</v>
      </c>
      <c r="AS52" s="16"/>
      <c r="AT52" s="2">
        <v>2025</v>
      </c>
      <c r="AU52" s="16">
        <v>242</v>
      </c>
      <c r="AV52" s="2">
        <v>2028</v>
      </c>
      <c r="AW52" s="16">
        <v>280</v>
      </c>
      <c r="AX52" s="2" t="s">
        <v>86</v>
      </c>
      <c r="AY52" s="16"/>
      <c r="AZ52" s="2"/>
      <c r="BA52" s="16"/>
      <c r="BB52" s="2"/>
      <c r="BC52" s="16"/>
      <c r="BD52" s="2"/>
      <c r="BE52" s="16"/>
      <c r="BF52" s="2">
        <v>2025</v>
      </c>
      <c r="BG52" s="16">
        <v>572</v>
      </c>
      <c r="BH52" s="2">
        <v>2028</v>
      </c>
      <c r="BI52" s="16">
        <v>627</v>
      </c>
      <c r="BJ52" s="2" t="s">
        <v>87</v>
      </c>
      <c r="BK52" s="8"/>
      <c r="BL52" s="8" t="str">
        <f>HYPERLINK("https://seichotoushi-hojo.jp/assets/pdf/koufu/outline_143.pdf","PDFを開く")</f>
        <v>PDFを開く</v>
      </c>
      <c r="BM52" s="8" t="s">
        <v>502</v>
      </c>
      <c r="BN52" s="8" t="s">
        <v>503</v>
      </c>
      <c r="BO52" s="8" t="s">
        <v>92</v>
      </c>
      <c r="BP52" s="8" t="s">
        <v>92</v>
      </c>
      <c r="BQ52" s="8" t="s">
        <v>157</v>
      </c>
      <c r="BR52" s="8" t="s">
        <v>92</v>
      </c>
    </row>
    <row r="53" spans="1:70" ht="45.95" customHeight="1">
      <c r="A53" s="5" t="s">
        <v>504</v>
      </c>
      <c r="B53" s="5" t="s">
        <v>73</v>
      </c>
      <c r="C53" s="5" t="s">
        <v>505</v>
      </c>
      <c r="D53" s="5" t="s">
        <v>505</v>
      </c>
      <c r="E53" s="5" t="s">
        <v>186</v>
      </c>
      <c r="F53" s="5"/>
      <c r="G53" s="5">
        <v>2</v>
      </c>
      <c r="H53" s="5">
        <v>0</v>
      </c>
      <c r="I53" s="5">
        <v>1</v>
      </c>
      <c r="J53" s="5">
        <v>1</v>
      </c>
      <c r="K53" s="5">
        <v>0</v>
      </c>
      <c r="L53" s="17">
        <v>4300</v>
      </c>
      <c r="M53" s="17">
        <v>1400</v>
      </c>
      <c r="N53" s="9" t="s">
        <v>506</v>
      </c>
      <c r="O53" s="13">
        <f t="shared" si="0"/>
        <v>32.558139534883722</v>
      </c>
      <c r="P53" s="5">
        <v>2</v>
      </c>
      <c r="Q53" s="5" t="s">
        <v>77</v>
      </c>
      <c r="R53" s="9" t="s">
        <v>507</v>
      </c>
      <c r="S53" s="9" t="s">
        <v>508</v>
      </c>
      <c r="T53" s="9" t="s">
        <v>80</v>
      </c>
      <c r="U53" s="5" t="s">
        <v>81</v>
      </c>
      <c r="V53" s="5">
        <v>2023</v>
      </c>
      <c r="W53" s="17">
        <v>91</v>
      </c>
      <c r="X53" s="5">
        <v>2029</v>
      </c>
      <c r="Y53" s="17">
        <v>246</v>
      </c>
      <c r="Z53" s="17"/>
      <c r="AA53" s="5"/>
      <c r="AB53" s="17"/>
      <c r="AC53" s="5"/>
      <c r="AD53" s="5"/>
      <c r="AE53" s="17"/>
      <c r="AF53" s="17"/>
      <c r="AG53" s="17">
        <v>18.027249317294093</v>
      </c>
      <c r="AH53" s="17"/>
      <c r="AI53" s="9" t="s">
        <v>100</v>
      </c>
      <c r="AJ53" s="5" t="s">
        <v>84</v>
      </c>
      <c r="AK53" s="5">
        <v>1</v>
      </c>
      <c r="AL53" s="9" t="s">
        <v>509</v>
      </c>
      <c r="AM53" s="9" t="s">
        <v>510</v>
      </c>
      <c r="AN53" s="5">
        <v>2026</v>
      </c>
      <c r="AO53" s="17">
        <v>725</v>
      </c>
      <c r="AP53" s="5">
        <v>2029</v>
      </c>
      <c r="AQ53" s="17">
        <v>1639</v>
      </c>
      <c r="AR53" s="5" t="s">
        <v>86</v>
      </c>
      <c r="AS53" s="17">
        <v>31.2</v>
      </c>
      <c r="AT53" s="5">
        <v>2026</v>
      </c>
      <c r="AU53" s="17">
        <v>495</v>
      </c>
      <c r="AV53" s="5">
        <v>2029</v>
      </c>
      <c r="AW53" s="17">
        <v>566</v>
      </c>
      <c r="AX53" s="5" t="s">
        <v>86</v>
      </c>
      <c r="AY53" s="17">
        <v>4.5999999999999996</v>
      </c>
      <c r="AZ53" s="5"/>
      <c r="BA53" s="17"/>
      <c r="BB53" s="5"/>
      <c r="BC53" s="17"/>
      <c r="BD53" s="5"/>
      <c r="BE53" s="17"/>
      <c r="BF53" s="5">
        <v>2026</v>
      </c>
      <c r="BG53" s="17">
        <v>99</v>
      </c>
      <c r="BH53" s="5">
        <v>2029</v>
      </c>
      <c r="BI53" s="17">
        <v>157</v>
      </c>
      <c r="BJ53" s="5" t="s">
        <v>87</v>
      </c>
      <c r="BK53" s="9"/>
      <c r="BL53" s="9" t="str">
        <f>HYPERLINK("https://seichotoushi-hojo.jp/assets/pdf/koufu/outline_145.pdf","PDFを開く")</f>
        <v>PDFを開く</v>
      </c>
      <c r="BM53" s="9" t="s">
        <v>511</v>
      </c>
      <c r="BN53" s="9" t="s">
        <v>512</v>
      </c>
      <c r="BO53" s="9" t="s">
        <v>90</v>
      </c>
      <c r="BP53" s="9" t="s">
        <v>90</v>
      </c>
      <c r="BQ53" s="9" t="s">
        <v>157</v>
      </c>
      <c r="BR53" s="9" t="s">
        <v>92</v>
      </c>
    </row>
    <row r="54" spans="1:70" ht="45.95" customHeight="1">
      <c r="A54" s="2" t="s">
        <v>513</v>
      </c>
      <c r="B54" s="2" t="s">
        <v>73</v>
      </c>
      <c r="C54" s="2" t="s">
        <v>514</v>
      </c>
      <c r="D54" s="2" t="s">
        <v>514</v>
      </c>
      <c r="E54" s="2" t="s">
        <v>95</v>
      </c>
      <c r="F54" s="2"/>
      <c r="G54" s="2">
        <v>2</v>
      </c>
      <c r="H54" s="2">
        <v>0</v>
      </c>
      <c r="I54" s="2">
        <v>1</v>
      </c>
      <c r="J54" s="2">
        <v>1</v>
      </c>
      <c r="K54" s="2">
        <v>0</v>
      </c>
      <c r="L54" s="16">
        <v>25400</v>
      </c>
      <c r="M54" s="16">
        <v>5000</v>
      </c>
      <c r="N54" s="8" t="s">
        <v>515</v>
      </c>
      <c r="O54" s="12">
        <f t="shared" si="0"/>
        <v>19.685039370078741</v>
      </c>
      <c r="P54" s="2">
        <v>2</v>
      </c>
      <c r="Q54" s="2" t="s">
        <v>77</v>
      </c>
      <c r="R54" s="8" t="s">
        <v>516</v>
      </c>
      <c r="S54" s="8" t="s">
        <v>517</v>
      </c>
      <c r="T54" s="8" t="s">
        <v>80</v>
      </c>
      <c r="U54" s="2" t="s">
        <v>81</v>
      </c>
      <c r="V54" s="2"/>
      <c r="W54" s="16"/>
      <c r="X54" s="2">
        <v>2029</v>
      </c>
      <c r="Y54" s="16"/>
      <c r="Z54" s="16">
        <v>379</v>
      </c>
      <c r="AA54" s="2">
        <v>2029</v>
      </c>
      <c r="AB54" s="16">
        <v>102</v>
      </c>
      <c r="AC54" s="2">
        <v>2029</v>
      </c>
      <c r="AD54" s="2" t="s">
        <v>82</v>
      </c>
      <c r="AE54" s="16"/>
      <c r="AF54" s="16"/>
      <c r="AG54" s="16"/>
      <c r="AH54" s="16"/>
      <c r="AI54" s="8" t="s">
        <v>83</v>
      </c>
      <c r="AJ54" s="2" t="s">
        <v>84</v>
      </c>
      <c r="AK54" s="2">
        <v>1</v>
      </c>
      <c r="AL54" s="8" t="s">
        <v>518</v>
      </c>
      <c r="AM54" s="8"/>
      <c r="AN54" s="2">
        <v>2026</v>
      </c>
      <c r="AO54" s="16">
        <v>812</v>
      </c>
      <c r="AP54" s="2">
        <v>2029</v>
      </c>
      <c r="AQ54" s="16">
        <v>1196</v>
      </c>
      <c r="AR54" s="2" t="s">
        <v>86</v>
      </c>
      <c r="AS54" s="16">
        <v>14</v>
      </c>
      <c r="AT54" s="2">
        <v>2026</v>
      </c>
      <c r="AU54" s="16">
        <v>490</v>
      </c>
      <c r="AV54" s="2">
        <v>2029</v>
      </c>
      <c r="AW54" s="16">
        <v>535</v>
      </c>
      <c r="AX54" s="2" t="s">
        <v>86</v>
      </c>
      <c r="AY54" s="16">
        <v>3</v>
      </c>
      <c r="AZ54" s="2"/>
      <c r="BA54" s="16"/>
      <c r="BB54" s="2"/>
      <c r="BC54" s="16"/>
      <c r="BD54" s="2"/>
      <c r="BE54" s="16"/>
      <c r="BF54" s="2">
        <v>2026</v>
      </c>
      <c r="BG54" s="16">
        <v>732</v>
      </c>
      <c r="BH54" s="2">
        <v>2029</v>
      </c>
      <c r="BI54" s="16">
        <v>795</v>
      </c>
      <c r="BJ54" s="2" t="s">
        <v>87</v>
      </c>
      <c r="BK54" s="8"/>
      <c r="BL54" s="8" t="str">
        <f>HYPERLINK("https://seichotoushi-hojo.jp/assets/pdf/koufu/outline_146.pdf","PDFを開く")</f>
        <v>PDFを開く</v>
      </c>
      <c r="BM54" s="8" t="s">
        <v>519</v>
      </c>
      <c r="BN54" s="8" t="s">
        <v>520</v>
      </c>
      <c r="BO54" s="8" t="s">
        <v>90</v>
      </c>
      <c r="BP54" s="8" t="s">
        <v>90</v>
      </c>
      <c r="BQ54" s="8" t="s">
        <v>157</v>
      </c>
      <c r="BR54" s="8" t="s">
        <v>92</v>
      </c>
    </row>
    <row r="55" spans="1:70" ht="45.95" customHeight="1">
      <c r="A55" s="5" t="s">
        <v>521</v>
      </c>
      <c r="B55" s="5" t="s">
        <v>73</v>
      </c>
      <c r="C55" s="5" t="s">
        <v>522</v>
      </c>
      <c r="D55" s="5" t="s">
        <v>522</v>
      </c>
      <c r="E55" s="5" t="s">
        <v>75</v>
      </c>
      <c r="F55" s="5"/>
      <c r="G55" s="5">
        <v>2</v>
      </c>
      <c r="H55" s="5">
        <v>0</v>
      </c>
      <c r="I55" s="5">
        <v>1</v>
      </c>
      <c r="J55" s="5">
        <v>1</v>
      </c>
      <c r="K55" s="5">
        <v>0</v>
      </c>
      <c r="L55" s="17">
        <v>2600</v>
      </c>
      <c r="M55" s="17">
        <v>800</v>
      </c>
      <c r="N55" s="9" t="s">
        <v>523</v>
      </c>
      <c r="O55" s="13">
        <f t="shared" si="0"/>
        <v>30.76923076923077</v>
      </c>
      <c r="P55" s="5">
        <v>2</v>
      </c>
      <c r="Q55" s="5" t="s">
        <v>77</v>
      </c>
      <c r="R55" s="9" t="s">
        <v>524</v>
      </c>
      <c r="S55" s="9" t="s">
        <v>525</v>
      </c>
      <c r="T55" s="9" t="s">
        <v>80</v>
      </c>
      <c r="U55" s="5" t="s">
        <v>81</v>
      </c>
      <c r="V55" s="5">
        <v>2023</v>
      </c>
      <c r="W55" s="17"/>
      <c r="X55" s="5">
        <v>2029</v>
      </c>
      <c r="Y55" s="17">
        <v>55</v>
      </c>
      <c r="Z55" s="17"/>
      <c r="AA55" s="5"/>
      <c r="AB55" s="17">
        <v>258.7</v>
      </c>
      <c r="AC55" s="5">
        <v>2029</v>
      </c>
      <c r="AD55" s="5" t="s">
        <v>82</v>
      </c>
      <c r="AE55" s="17"/>
      <c r="AF55" s="17"/>
      <c r="AG55" s="17"/>
      <c r="AH55" s="17"/>
      <c r="AI55" s="9" t="s">
        <v>83</v>
      </c>
      <c r="AJ55" s="5" t="s">
        <v>84</v>
      </c>
      <c r="AK55" s="5">
        <v>1</v>
      </c>
      <c r="AL55" s="9" t="s">
        <v>526</v>
      </c>
      <c r="AM55" s="9" t="s">
        <v>527</v>
      </c>
      <c r="AN55" s="5">
        <v>2026</v>
      </c>
      <c r="AO55" s="17">
        <v>1008</v>
      </c>
      <c r="AP55" s="5">
        <v>2029</v>
      </c>
      <c r="AQ55" s="17">
        <v>1556</v>
      </c>
      <c r="AR55" s="5" t="s">
        <v>86</v>
      </c>
      <c r="AS55" s="17">
        <v>15.6</v>
      </c>
      <c r="AT55" s="5">
        <v>2026</v>
      </c>
      <c r="AU55" s="17">
        <v>286</v>
      </c>
      <c r="AV55" s="5">
        <v>2029</v>
      </c>
      <c r="AW55" s="17">
        <v>331</v>
      </c>
      <c r="AX55" s="5" t="s">
        <v>86</v>
      </c>
      <c r="AY55" s="17">
        <v>5</v>
      </c>
      <c r="AZ55" s="5">
        <v>2026</v>
      </c>
      <c r="BA55" s="17"/>
      <c r="BB55" s="5">
        <v>2029</v>
      </c>
      <c r="BC55" s="17"/>
      <c r="BD55" s="5" t="s">
        <v>86</v>
      </c>
      <c r="BE55" s="17">
        <v>5</v>
      </c>
      <c r="BF55" s="5">
        <v>2026</v>
      </c>
      <c r="BG55" s="17">
        <v>48</v>
      </c>
      <c r="BH55" s="5">
        <v>2029</v>
      </c>
      <c r="BI55" s="17">
        <v>51</v>
      </c>
      <c r="BJ55" s="5" t="s">
        <v>87</v>
      </c>
      <c r="BK55" s="9"/>
      <c r="BL55" s="9" t="str">
        <f>HYPERLINK("https://seichotoushi-hojo.jp/assets/pdf/koufu/outline_147.pdf","PDFを開く")</f>
        <v>PDFを開く</v>
      </c>
      <c r="BM55" s="9" t="s">
        <v>528</v>
      </c>
      <c r="BN55" s="9" t="s">
        <v>529</v>
      </c>
      <c r="BO55" s="9" t="s">
        <v>90</v>
      </c>
      <c r="BP55" s="9" t="s">
        <v>90</v>
      </c>
      <c r="BQ55" s="9" t="s">
        <v>91</v>
      </c>
      <c r="BR55" s="9" t="s">
        <v>92</v>
      </c>
    </row>
    <row r="56" spans="1:70" ht="45.95" customHeight="1">
      <c r="A56" s="2" t="s">
        <v>530</v>
      </c>
      <c r="B56" s="2" t="s">
        <v>73</v>
      </c>
      <c r="C56" s="2" t="s">
        <v>531</v>
      </c>
      <c r="D56" s="2" t="s">
        <v>531</v>
      </c>
      <c r="E56" s="2" t="s">
        <v>107</v>
      </c>
      <c r="F56" s="2"/>
      <c r="G56" s="2">
        <v>2</v>
      </c>
      <c r="H56" s="2">
        <v>0</v>
      </c>
      <c r="I56" s="2">
        <v>1</v>
      </c>
      <c r="J56" s="2">
        <v>1</v>
      </c>
      <c r="K56" s="2">
        <v>0</v>
      </c>
      <c r="L56" s="16">
        <v>1500</v>
      </c>
      <c r="M56" s="16">
        <v>480</v>
      </c>
      <c r="N56" s="8" t="s">
        <v>532</v>
      </c>
      <c r="O56" s="12">
        <f t="shared" si="0"/>
        <v>32</v>
      </c>
      <c r="P56" s="2">
        <v>2</v>
      </c>
      <c r="Q56" s="2" t="s">
        <v>77</v>
      </c>
      <c r="R56" s="8" t="s">
        <v>533</v>
      </c>
      <c r="S56" s="8" t="s">
        <v>534</v>
      </c>
      <c r="T56" s="8" t="s">
        <v>80</v>
      </c>
      <c r="U56" s="2" t="s">
        <v>81</v>
      </c>
      <c r="V56" s="2">
        <v>2029</v>
      </c>
      <c r="W56" s="16">
        <v>70</v>
      </c>
      <c r="X56" s="2">
        <v>2031</v>
      </c>
      <c r="Y56" s="16">
        <v>70</v>
      </c>
      <c r="Z56" s="16">
        <v>45</v>
      </c>
      <c r="AA56" s="2">
        <v>2031</v>
      </c>
      <c r="AB56" s="16">
        <v>280</v>
      </c>
      <c r="AC56" s="2">
        <v>2031</v>
      </c>
      <c r="AD56" s="2" t="s">
        <v>82</v>
      </c>
      <c r="AE56" s="16"/>
      <c r="AF56" s="16"/>
      <c r="AG56" s="16">
        <v>0</v>
      </c>
      <c r="AH56" s="16"/>
      <c r="AI56" s="8" t="s">
        <v>200</v>
      </c>
      <c r="AJ56" s="2" t="s">
        <v>84</v>
      </c>
      <c r="AK56" s="2">
        <v>1</v>
      </c>
      <c r="AL56" s="8" t="s">
        <v>535</v>
      </c>
      <c r="AM56" s="8" t="s">
        <v>536</v>
      </c>
      <c r="AN56" s="2">
        <v>2025</v>
      </c>
      <c r="AO56" s="16">
        <v>1166</v>
      </c>
      <c r="AP56" s="2">
        <v>2028</v>
      </c>
      <c r="AQ56" s="16">
        <v>2043</v>
      </c>
      <c r="AR56" s="2" t="s">
        <v>86</v>
      </c>
      <c r="AS56" s="16">
        <v>20.5</v>
      </c>
      <c r="AT56" s="2">
        <v>2025</v>
      </c>
      <c r="AU56" s="16">
        <v>583</v>
      </c>
      <c r="AV56" s="2">
        <v>2028</v>
      </c>
      <c r="AW56" s="16">
        <v>677</v>
      </c>
      <c r="AX56" s="2" t="s">
        <v>86</v>
      </c>
      <c r="AY56" s="16">
        <v>5.0999999999999996</v>
      </c>
      <c r="AZ56" s="2"/>
      <c r="BA56" s="16"/>
      <c r="BB56" s="2"/>
      <c r="BC56" s="16"/>
      <c r="BD56" s="2"/>
      <c r="BE56" s="16"/>
      <c r="BF56" s="2">
        <v>2025</v>
      </c>
      <c r="BG56" s="16">
        <v>71</v>
      </c>
      <c r="BH56" s="2">
        <v>2028</v>
      </c>
      <c r="BI56" s="16">
        <v>95</v>
      </c>
      <c r="BJ56" s="2" t="s">
        <v>87</v>
      </c>
      <c r="BK56" s="8"/>
      <c r="BL56" s="8" t="str">
        <f>HYPERLINK("https://seichotoushi-hojo.jp/assets/pdf/koufu/outline_148.pdf","PDFを開く")</f>
        <v>PDFを開く</v>
      </c>
      <c r="BM56" s="8" t="s">
        <v>537</v>
      </c>
      <c r="BN56" s="8" t="s">
        <v>538</v>
      </c>
      <c r="BO56" s="8" t="s">
        <v>90</v>
      </c>
      <c r="BP56" s="8" t="s">
        <v>90</v>
      </c>
      <c r="BQ56" s="8" t="s">
        <v>156</v>
      </c>
      <c r="BR56" s="8" t="s">
        <v>92</v>
      </c>
    </row>
    <row r="57" spans="1:70" ht="45.95" customHeight="1">
      <c r="A57" s="5" t="s">
        <v>539</v>
      </c>
      <c r="B57" s="5" t="s">
        <v>73</v>
      </c>
      <c r="C57" s="5" t="s">
        <v>540</v>
      </c>
      <c r="D57" s="5" t="s">
        <v>540</v>
      </c>
      <c r="E57" s="5" t="s">
        <v>95</v>
      </c>
      <c r="F57" s="5"/>
      <c r="G57" s="5">
        <v>3</v>
      </c>
      <c r="H57" s="5">
        <v>0</v>
      </c>
      <c r="I57" s="5">
        <v>1</v>
      </c>
      <c r="J57" s="5">
        <v>2</v>
      </c>
      <c r="K57" s="5">
        <v>0</v>
      </c>
      <c r="L57" s="17">
        <v>3400</v>
      </c>
      <c r="M57" s="17">
        <v>1100</v>
      </c>
      <c r="N57" s="9" t="s">
        <v>141</v>
      </c>
      <c r="O57" s="13">
        <f t="shared" si="0"/>
        <v>32.352941176470587</v>
      </c>
      <c r="P57" s="5">
        <v>2</v>
      </c>
      <c r="Q57" s="5" t="s">
        <v>77</v>
      </c>
      <c r="R57" s="9" t="s">
        <v>541</v>
      </c>
      <c r="S57" s="9" t="s">
        <v>542</v>
      </c>
      <c r="T57" s="9" t="s">
        <v>80</v>
      </c>
      <c r="U57" s="5" t="s">
        <v>81</v>
      </c>
      <c r="V57" s="5">
        <v>2023</v>
      </c>
      <c r="W57" s="17">
        <v>57.8</v>
      </c>
      <c r="X57" s="5">
        <v>2029</v>
      </c>
      <c r="Y57" s="17">
        <v>100</v>
      </c>
      <c r="Z57" s="17"/>
      <c r="AA57" s="5"/>
      <c r="AB57" s="17">
        <v>9.6</v>
      </c>
      <c r="AC57" s="5">
        <v>2029</v>
      </c>
      <c r="AD57" s="5" t="s">
        <v>543</v>
      </c>
      <c r="AE57" s="17"/>
      <c r="AF57" s="17"/>
      <c r="AG57" s="17">
        <v>9.566728283798497</v>
      </c>
      <c r="AH57" s="17"/>
      <c r="AI57" s="9" t="s">
        <v>100</v>
      </c>
      <c r="AJ57" s="5" t="s">
        <v>84</v>
      </c>
      <c r="AK57" s="5">
        <v>1</v>
      </c>
      <c r="AL57" s="9" t="s">
        <v>544</v>
      </c>
      <c r="AM57" s="9" t="s">
        <v>545</v>
      </c>
      <c r="AN57" s="5">
        <v>2026</v>
      </c>
      <c r="AO57" s="17">
        <v>420</v>
      </c>
      <c r="AP57" s="5">
        <v>2029</v>
      </c>
      <c r="AQ57" s="17">
        <v>544</v>
      </c>
      <c r="AR57" s="5" t="s">
        <v>86</v>
      </c>
      <c r="AS57" s="17">
        <v>9</v>
      </c>
      <c r="AT57" s="5">
        <v>2026</v>
      </c>
      <c r="AU57" s="17">
        <v>315</v>
      </c>
      <c r="AV57" s="5">
        <v>2029</v>
      </c>
      <c r="AW57" s="17">
        <v>360</v>
      </c>
      <c r="AX57" s="5" t="s">
        <v>86</v>
      </c>
      <c r="AY57" s="17">
        <v>4.5</v>
      </c>
      <c r="AZ57" s="5">
        <v>2026</v>
      </c>
      <c r="BA57" s="17">
        <v>753</v>
      </c>
      <c r="BB57" s="5">
        <v>2029</v>
      </c>
      <c r="BC57" s="17">
        <v>847</v>
      </c>
      <c r="BD57" s="5" t="s">
        <v>86</v>
      </c>
      <c r="BE57" s="17">
        <v>4</v>
      </c>
      <c r="BF57" s="5">
        <v>2026</v>
      </c>
      <c r="BG57" s="17">
        <v>741</v>
      </c>
      <c r="BH57" s="5">
        <v>2029</v>
      </c>
      <c r="BI57" s="17">
        <v>927</v>
      </c>
      <c r="BJ57" s="5" t="s">
        <v>87</v>
      </c>
      <c r="BK57" s="9"/>
      <c r="BL57" s="9" t="str">
        <f>HYPERLINK("https://seichotoushi-hojo.jp/assets/pdf/koufu/outline_149.pdf","PDFを開く")</f>
        <v>PDFを開く</v>
      </c>
      <c r="BM57" s="9" t="s">
        <v>546</v>
      </c>
      <c r="BN57" s="9" t="s">
        <v>547</v>
      </c>
      <c r="BO57" s="9" t="s">
        <v>90</v>
      </c>
      <c r="BP57" s="9" t="s">
        <v>90</v>
      </c>
      <c r="BQ57" s="9" t="s">
        <v>90</v>
      </c>
      <c r="BR57" s="9" t="s">
        <v>92</v>
      </c>
    </row>
    <row r="58" spans="1:70" ht="45.95" customHeight="1">
      <c r="A58" s="2" t="s">
        <v>548</v>
      </c>
      <c r="B58" s="2" t="s">
        <v>73</v>
      </c>
      <c r="C58" s="2" t="s">
        <v>549</v>
      </c>
      <c r="D58" s="2" t="s">
        <v>549</v>
      </c>
      <c r="E58" s="2" t="s">
        <v>116</v>
      </c>
      <c r="F58" s="2"/>
      <c r="G58" s="2">
        <v>2</v>
      </c>
      <c r="H58" s="2">
        <v>0</v>
      </c>
      <c r="I58" s="2">
        <v>1</v>
      </c>
      <c r="J58" s="2">
        <v>1</v>
      </c>
      <c r="K58" s="2">
        <v>0</v>
      </c>
      <c r="L58" s="16">
        <v>12200</v>
      </c>
      <c r="M58" s="16">
        <v>3400</v>
      </c>
      <c r="N58" s="8" t="s">
        <v>550</v>
      </c>
      <c r="O58" s="12">
        <f t="shared" si="0"/>
        <v>27.868852459016392</v>
      </c>
      <c r="P58" s="2">
        <v>2</v>
      </c>
      <c r="Q58" s="2" t="s">
        <v>77</v>
      </c>
      <c r="R58" s="8" t="s">
        <v>551</v>
      </c>
      <c r="S58" s="8" t="s">
        <v>552</v>
      </c>
      <c r="T58" s="8" t="s">
        <v>80</v>
      </c>
      <c r="U58" s="2" t="s">
        <v>81</v>
      </c>
      <c r="V58" s="2">
        <v>2023</v>
      </c>
      <c r="W58" s="16">
        <v>65</v>
      </c>
      <c r="X58" s="2">
        <v>2032</v>
      </c>
      <c r="Y58" s="16">
        <v>120</v>
      </c>
      <c r="Z58" s="16">
        <v>200</v>
      </c>
      <c r="AA58" s="2">
        <v>2032</v>
      </c>
      <c r="AB58" s="16">
        <v>7.5</v>
      </c>
      <c r="AC58" s="2">
        <v>2032</v>
      </c>
      <c r="AD58" s="2" t="s">
        <v>82</v>
      </c>
      <c r="AE58" s="16"/>
      <c r="AF58" s="16"/>
      <c r="AG58" s="16">
        <v>7.0496670923598126</v>
      </c>
      <c r="AH58" s="16"/>
      <c r="AI58" s="8" t="s">
        <v>200</v>
      </c>
      <c r="AJ58" s="2" t="s">
        <v>84</v>
      </c>
      <c r="AK58" s="2">
        <v>1</v>
      </c>
      <c r="AL58" s="8" t="s">
        <v>553</v>
      </c>
      <c r="AM58" s="8" t="s">
        <v>554</v>
      </c>
      <c r="AN58" s="2">
        <v>2026</v>
      </c>
      <c r="AO58" s="16">
        <v>891</v>
      </c>
      <c r="AP58" s="2">
        <v>2029</v>
      </c>
      <c r="AQ58" s="16">
        <v>2999</v>
      </c>
      <c r="AR58" s="2" t="s">
        <v>86</v>
      </c>
      <c r="AS58" s="16">
        <v>49.9</v>
      </c>
      <c r="AT58" s="2">
        <v>2026</v>
      </c>
      <c r="AU58" s="16">
        <v>382</v>
      </c>
      <c r="AV58" s="2">
        <v>2029</v>
      </c>
      <c r="AW58" s="16">
        <v>468</v>
      </c>
      <c r="AX58" s="2" t="s">
        <v>86</v>
      </c>
      <c r="AY58" s="16">
        <v>7</v>
      </c>
      <c r="AZ58" s="2">
        <v>2026</v>
      </c>
      <c r="BA58" s="16">
        <v>1450</v>
      </c>
      <c r="BB58" s="2">
        <v>2029</v>
      </c>
      <c r="BC58" s="16">
        <v>1650</v>
      </c>
      <c r="BD58" s="2" t="s">
        <v>86</v>
      </c>
      <c r="BE58" s="16">
        <v>4.4000000000000004</v>
      </c>
      <c r="BF58" s="2">
        <v>2026</v>
      </c>
      <c r="BG58" s="16">
        <v>130</v>
      </c>
      <c r="BH58" s="2">
        <v>2029</v>
      </c>
      <c r="BI58" s="16">
        <v>153</v>
      </c>
      <c r="BJ58" s="2" t="s">
        <v>87</v>
      </c>
      <c r="BK58" s="8"/>
      <c r="BL58" s="8" t="str">
        <f>HYPERLINK("https://seichotoushi-hojo.jp/assets/pdf/koufu/outline_150.pdf","PDFを開く")</f>
        <v>PDFを開く</v>
      </c>
      <c r="BM58" s="8" t="s">
        <v>555</v>
      </c>
      <c r="BN58" s="8" t="s">
        <v>556</v>
      </c>
      <c r="BO58" s="8" t="s">
        <v>90</v>
      </c>
      <c r="BP58" s="8" t="s">
        <v>90</v>
      </c>
      <c r="BQ58" s="8" t="s">
        <v>90</v>
      </c>
      <c r="BR58" s="8" t="s">
        <v>92</v>
      </c>
    </row>
    <row r="59" spans="1:70" ht="45.95" customHeight="1">
      <c r="A59" s="5" t="s">
        <v>557</v>
      </c>
      <c r="B59" s="5" t="s">
        <v>73</v>
      </c>
      <c r="C59" s="5" t="s">
        <v>558</v>
      </c>
      <c r="D59" s="5" t="s">
        <v>558</v>
      </c>
      <c r="E59" s="5" t="s">
        <v>186</v>
      </c>
      <c r="F59" s="5"/>
      <c r="G59" s="5">
        <v>2</v>
      </c>
      <c r="H59" s="5">
        <v>0</v>
      </c>
      <c r="I59" s="5">
        <v>1</v>
      </c>
      <c r="J59" s="5">
        <v>1</v>
      </c>
      <c r="K59" s="5">
        <v>0</v>
      </c>
      <c r="L59" s="17">
        <v>4500</v>
      </c>
      <c r="M59" s="17">
        <v>1300</v>
      </c>
      <c r="N59" s="9" t="s">
        <v>559</v>
      </c>
      <c r="O59" s="13">
        <f t="shared" si="0"/>
        <v>28.888888888888886</v>
      </c>
      <c r="P59" s="5">
        <v>2</v>
      </c>
      <c r="Q59" s="5" t="s">
        <v>77</v>
      </c>
      <c r="R59" s="9" t="s">
        <v>560</v>
      </c>
      <c r="S59" s="9" t="s">
        <v>561</v>
      </c>
      <c r="T59" s="9" t="s">
        <v>80</v>
      </c>
      <c r="U59" s="5" t="s">
        <v>81</v>
      </c>
      <c r="V59" s="5"/>
      <c r="W59" s="17"/>
      <c r="X59" s="5"/>
      <c r="Y59" s="17">
        <v>154.13</v>
      </c>
      <c r="Z59" s="17">
        <v>38.799999999999997</v>
      </c>
      <c r="AA59" s="5"/>
      <c r="AB59" s="17">
        <v>133.6</v>
      </c>
      <c r="AC59" s="5"/>
      <c r="AD59" s="5" t="s">
        <v>82</v>
      </c>
      <c r="AE59" s="17"/>
      <c r="AF59" s="17"/>
      <c r="AG59" s="17"/>
      <c r="AH59" s="17"/>
      <c r="AI59" s="9" t="s">
        <v>83</v>
      </c>
      <c r="AJ59" s="5" t="s">
        <v>84</v>
      </c>
      <c r="AK59" s="5">
        <v>1</v>
      </c>
      <c r="AL59" s="9" t="s">
        <v>562</v>
      </c>
      <c r="AM59" s="9"/>
      <c r="AN59" s="5">
        <v>2026</v>
      </c>
      <c r="AO59" s="17">
        <v>294</v>
      </c>
      <c r="AP59" s="5">
        <v>2029</v>
      </c>
      <c r="AQ59" s="17">
        <v>541</v>
      </c>
      <c r="AR59" s="5" t="s">
        <v>86</v>
      </c>
      <c r="AS59" s="17">
        <v>22.6</v>
      </c>
      <c r="AT59" s="5">
        <v>2026</v>
      </c>
      <c r="AU59" s="17">
        <v>277</v>
      </c>
      <c r="AV59" s="5">
        <v>2029</v>
      </c>
      <c r="AW59" s="17">
        <v>330</v>
      </c>
      <c r="AX59" s="5" t="s">
        <v>86</v>
      </c>
      <c r="AY59" s="17">
        <v>6</v>
      </c>
      <c r="AZ59" s="5">
        <v>2026</v>
      </c>
      <c r="BA59" s="17">
        <v>1500</v>
      </c>
      <c r="BB59" s="5">
        <v>2029</v>
      </c>
      <c r="BC59" s="17">
        <v>2000</v>
      </c>
      <c r="BD59" s="5" t="s">
        <v>86</v>
      </c>
      <c r="BE59" s="17">
        <v>10.1</v>
      </c>
      <c r="BF59" s="5">
        <v>2026</v>
      </c>
      <c r="BG59" s="17">
        <v>450</v>
      </c>
      <c r="BH59" s="5">
        <v>2029</v>
      </c>
      <c r="BI59" s="17">
        <v>499</v>
      </c>
      <c r="BJ59" s="5" t="s">
        <v>87</v>
      </c>
      <c r="BK59" s="9"/>
      <c r="BL59" s="9" t="str">
        <f>HYPERLINK("https://seichotoushi-hojo.jp/assets/pdf/koufu/outline_151.pdf","PDFを開く")</f>
        <v>PDFを開く</v>
      </c>
      <c r="BM59" s="9" t="s">
        <v>563</v>
      </c>
      <c r="BN59" s="9" t="s">
        <v>564</v>
      </c>
      <c r="BO59" s="9" t="s">
        <v>90</v>
      </c>
      <c r="BP59" s="9" t="s">
        <v>90</v>
      </c>
      <c r="BQ59" s="9" t="s">
        <v>90</v>
      </c>
      <c r="BR59" s="9" t="s">
        <v>92</v>
      </c>
    </row>
    <row r="60" spans="1:70" ht="45.95" customHeight="1">
      <c r="A60" s="2" t="s">
        <v>565</v>
      </c>
      <c r="B60" s="2" t="s">
        <v>73</v>
      </c>
      <c r="C60" s="2" t="s">
        <v>566</v>
      </c>
      <c r="D60" s="2" t="s">
        <v>566</v>
      </c>
      <c r="E60" s="2" t="s">
        <v>95</v>
      </c>
      <c r="F60" s="2"/>
      <c r="G60" s="2">
        <v>2</v>
      </c>
      <c r="H60" s="2">
        <v>0</v>
      </c>
      <c r="I60" s="2">
        <v>1</v>
      </c>
      <c r="J60" s="2">
        <v>1</v>
      </c>
      <c r="K60" s="2">
        <v>0</v>
      </c>
      <c r="L60" s="16">
        <v>1900</v>
      </c>
      <c r="M60" s="16">
        <v>400</v>
      </c>
      <c r="N60" s="8" t="s">
        <v>567</v>
      </c>
      <c r="O60" s="12">
        <f t="shared" si="0"/>
        <v>21.052631578947366</v>
      </c>
      <c r="P60" s="2">
        <v>2</v>
      </c>
      <c r="Q60" s="2" t="s">
        <v>77</v>
      </c>
      <c r="R60" s="8" t="s">
        <v>568</v>
      </c>
      <c r="S60" s="8" t="s">
        <v>569</v>
      </c>
      <c r="T60" s="8" t="s">
        <v>228</v>
      </c>
      <c r="U60" s="2" t="s">
        <v>81</v>
      </c>
      <c r="V60" s="2"/>
      <c r="W60" s="16"/>
      <c r="X60" s="2">
        <v>2030</v>
      </c>
      <c r="Y60" s="16"/>
      <c r="Z60" s="16">
        <v>37</v>
      </c>
      <c r="AA60" s="2">
        <v>2030</v>
      </c>
      <c r="AB60" s="16">
        <v>56</v>
      </c>
      <c r="AC60" s="2">
        <v>2030</v>
      </c>
      <c r="AD60" s="2" t="s">
        <v>82</v>
      </c>
      <c r="AE60" s="16"/>
      <c r="AF60" s="16"/>
      <c r="AG60" s="16"/>
      <c r="AH60" s="16"/>
      <c r="AI60" s="8" t="s">
        <v>83</v>
      </c>
      <c r="AJ60" s="2" t="s">
        <v>84</v>
      </c>
      <c r="AK60" s="2">
        <v>1</v>
      </c>
      <c r="AL60" s="8" t="s">
        <v>570</v>
      </c>
      <c r="AM60" s="8"/>
      <c r="AN60" s="2">
        <v>2026</v>
      </c>
      <c r="AO60" s="16">
        <v>1295</v>
      </c>
      <c r="AP60" s="2">
        <v>2029</v>
      </c>
      <c r="AQ60" s="16">
        <v>1918</v>
      </c>
      <c r="AR60" s="2" t="s">
        <v>86</v>
      </c>
      <c r="AS60" s="16">
        <v>14</v>
      </c>
      <c r="AT60" s="2">
        <v>2026</v>
      </c>
      <c r="AU60" s="16">
        <v>503</v>
      </c>
      <c r="AV60" s="2">
        <v>2029</v>
      </c>
      <c r="AW60" s="16">
        <v>618</v>
      </c>
      <c r="AX60" s="2" t="s">
        <v>86</v>
      </c>
      <c r="AY60" s="16">
        <v>7.1</v>
      </c>
      <c r="AZ60" s="2">
        <v>2026</v>
      </c>
      <c r="BA60" s="16"/>
      <c r="BB60" s="2">
        <v>2029</v>
      </c>
      <c r="BC60" s="16"/>
      <c r="BD60" s="2" t="s">
        <v>86</v>
      </c>
      <c r="BE60" s="16">
        <v>4.2</v>
      </c>
      <c r="BF60" s="2">
        <v>2026</v>
      </c>
      <c r="BG60" s="16">
        <v>105</v>
      </c>
      <c r="BH60" s="2">
        <v>2029</v>
      </c>
      <c r="BI60" s="16">
        <v>112</v>
      </c>
      <c r="BJ60" s="2" t="s">
        <v>87</v>
      </c>
      <c r="BK60" s="8"/>
      <c r="BL60" s="8" t="str">
        <f>HYPERLINK("https://seichotoushi-hojo.jp/assets/pdf/koufu/outline_152.pdf","PDFを開く")</f>
        <v>PDFを開く</v>
      </c>
      <c r="BM60" s="8" t="s">
        <v>571</v>
      </c>
      <c r="BN60" s="8" t="s">
        <v>572</v>
      </c>
      <c r="BO60" s="8" t="s">
        <v>90</v>
      </c>
      <c r="BP60" s="8" t="s">
        <v>90</v>
      </c>
      <c r="BQ60" s="8" t="s">
        <v>91</v>
      </c>
      <c r="BR60" s="8" t="s">
        <v>92</v>
      </c>
    </row>
    <row r="61" spans="1:70" ht="45.95" customHeight="1">
      <c r="A61" s="5" t="s">
        <v>573</v>
      </c>
      <c r="B61" s="5" t="s">
        <v>73</v>
      </c>
      <c r="C61" s="5" t="s">
        <v>574</v>
      </c>
      <c r="D61" s="5" t="s">
        <v>574</v>
      </c>
      <c r="E61" s="5" t="s">
        <v>75</v>
      </c>
      <c r="F61" s="5"/>
      <c r="G61" s="5">
        <v>2</v>
      </c>
      <c r="H61" s="5">
        <v>0</v>
      </c>
      <c r="I61" s="5">
        <v>1</v>
      </c>
      <c r="J61" s="5">
        <v>1</v>
      </c>
      <c r="K61" s="5">
        <v>0</v>
      </c>
      <c r="L61" s="17">
        <v>2500</v>
      </c>
      <c r="M61" s="17">
        <v>840</v>
      </c>
      <c r="N61" s="9" t="s">
        <v>575</v>
      </c>
      <c r="O61" s="13">
        <f t="shared" si="0"/>
        <v>33.6</v>
      </c>
      <c r="P61" s="5">
        <v>2</v>
      </c>
      <c r="Q61" s="5" t="s">
        <v>77</v>
      </c>
      <c r="R61" s="9" t="s">
        <v>576</v>
      </c>
      <c r="S61" s="9" t="s">
        <v>577</v>
      </c>
      <c r="T61" s="9" t="s">
        <v>80</v>
      </c>
      <c r="U61" s="5" t="s">
        <v>81</v>
      </c>
      <c r="V61" s="5"/>
      <c r="W61" s="17"/>
      <c r="X61" s="5">
        <v>2040</v>
      </c>
      <c r="Y61" s="17">
        <v>1000</v>
      </c>
      <c r="Z61" s="17">
        <v>965</v>
      </c>
      <c r="AA61" s="5">
        <v>2040</v>
      </c>
      <c r="AB61" s="17">
        <v>2741</v>
      </c>
      <c r="AC61" s="5">
        <v>2040</v>
      </c>
      <c r="AD61" s="5" t="s">
        <v>82</v>
      </c>
      <c r="AE61" s="17"/>
      <c r="AF61" s="17"/>
      <c r="AG61" s="17"/>
      <c r="AH61" s="17"/>
      <c r="AI61" s="9" t="s">
        <v>83</v>
      </c>
      <c r="AJ61" s="5" t="s">
        <v>84</v>
      </c>
      <c r="AK61" s="5">
        <v>1</v>
      </c>
      <c r="AL61" s="9" t="s">
        <v>578</v>
      </c>
      <c r="AM61" s="9" t="s">
        <v>579</v>
      </c>
      <c r="AN61" s="5">
        <v>2026</v>
      </c>
      <c r="AO61" s="17">
        <v>651</v>
      </c>
      <c r="AP61" s="5">
        <v>2029</v>
      </c>
      <c r="AQ61" s="17">
        <v>951</v>
      </c>
      <c r="AR61" s="5" t="s">
        <v>86</v>
      </c>
      <c r="AS61" s="17"/>
      <c r="AT61" s="5">
        <v>2026</v>
      </c>
      <c r="AU61" s="17">
        <v>443</v>
      </c>
      <c r="AV61" s="5">
        <v>2029</v>
      </c>
      <c r="AW61" s="17">
        <v>518</v>
      </c>
      <c r="AX61" s="5" t="s">
        <v>86</v>
      </c>
      <c r="AY61" s="17"/>
      <c r="AZ61" s="5">
        <v>2026</v>
      </c>
      <c r="BA61" s="17">
        <v>0</v>
      </c>
      <c r="BB61" s="5">
        <v>2029</v>
      </c>
      <c r="BC61" s="17">
        <v>0</v>
      </c>
      <c r="BD61" s="5" t="s">
        <v>86</v>
      </c>
      <c r="BE61" s="17"/>
      <c r="BF61" s="5">
        <v>2026</v>
      </c>
      <c r="BG61" s="17">
        <v>388</v>
      </c>
      <c r="BH61" s="5">
        <v>2029</v>
      </c>
      <c r="BI61" s="17">
        <v>440</v>
      </c>
      <c r="BJ61" s="5" t="s">
        <v>87</v>
      </c>
      <c r="BK61" s="9"/>
      <c r="BL61" s="9" t="str">
        <f>HYPERLINK("https://seichotoushi-hojo.jp/assets/pdf/koufu/outline_153.pdf","PDFを開く")</f>
        <v>PDFを開く</v>
      </c>
      <c r="BM61" s="9" t="s">
        <v>580</v>
      </c>
      <c r="BN61" s="9" t="s">
        <v>581</v>
      </c>
      <c r="BO61" s="9" t="s">
        <v>92</v>
      </c>
      <c r="BP61" s="9" t="s">
        <v>92</v>
      </c>
      <c r="BQ61" s="9" t="s">
        <v>92</v>
      </c>
      <c r="BR61" s="9" t="s">
        <v>92</v>
      </c>
    </row>
    <row r="62" spans="1:70" ht="45.95" customHeight="1">
      <c r="A62" s="2" t="s">
        <v>582</v>
      </c>
      <c r="B62" s="2" t="s">
        <v>73</v>
      </c>
      <c r="C62" s="2" t="s">
        <v>583</v>
      </c>
      <c r="D62" s="2" t="s">
        <v>583</v>
      </c>
      <c r="E62" s="2" t="s">
        <v>107</v>
      </c>
      <c r="F62" s="2"/>
      <c r="G62" s="2">
        <v>2</v>
      </c>
      <c r="H62" s="2">
        <v>0</v>
      </c>
      <c r="I62" s="2">
        <v>1</v>
      </c>
      <c r="J62" s="2">
        <v>1</v>
      </c>
      <c r="K62" s="2">
        <v>0</v>
      </c>
      <c r="L62" s="16">
        <v>2600</v>
      </c>
      <c r="M62" s="16">
        <v>680</v>
      </c>
      <c r="N62" s="8" t="s">
        <v>584</v>
      </c>
      <c r="O62" s="12">
        <f t="shared" si="0"/>
        <v>26.153846153846157</v>
      </c>
      <c r="P62" s="2">
        <v>2</v>
      </c>
      <c r="Q62" s="2" t="s">
        <v>77</v>
      </c>
      <c r="R62" s="8" t="s">
        <v>585</v>
      </c>
      <c r="S62" s="8" t="s">
        <v>586</v>
      </c>
      <c r="T62" s="8" t="s">
        <v>80</v>
      </c>
      <c r="U62" s="2" t="s">
        <v>81</v>
      </c>
      <c r="V62" s="2"/>
      <c r="W62" s="16"/>
      <c r="X62" s="2">
        <v>2030</v>
      </c>
      <c r="Y62" s="16"/>
      <c r="Z62" s="16">
        <v>50</v>
      </c>
      <c r="AA62" s="2">
        <v>2030</v>
      </c>
      <c r="AB62" s="16">
        <v>231</v>
      </c>
      <c r="AC62" s="2">
        <v>2030</v>
      </c>
      <c r="AD62" s="2" t="s">
        <v>82</v>
      </c>
      <c r="AE62" s="16"/>
      <c r="AF62" s="16"/>
      <c r="AG62" s="16"/>
      <c r="AH62" s="16"/>
      <c r="AI62" s="8" t="s">
        <v>83</v>
      </c>
      <c r="AJ62" s="2" t="s">
        <v>587</v>
      </c>
      <c r="AK62" s="2">
        <v>1</v>
      </c>
      <c r="AL62" s="8" t="s">
        <v>588</v>
      </c>
      <c r="AM62" s="8"/>
      <c r="AN62" s="2">
        <v>2026</v>
      </c>
      <c r="AO62" s="16">
        <v>897</v>
      </c>
      <c r="AP62" s="2">
        <v>2029</v>
      </c>
      <c r="AQ62" s="16">
        <v>1376</v>
      </c>
      <c r="AR62" s="2" t="s">
        <v>86</v>
      </c>
      <c r="AS62" s="16">
        <v>15.3</v>
      </c>
      <c r="AT62" s="2">
        <v>2026</v>
      </c>
      <c r="AU62" s="16">
        <v>414</v>
      </c>
      <c r="AV62" s="2">
        <v>2029</v>
      </c>
      <c r="AW62" s="16">
        <v>486</v>
      </c>
      <c r="AX62" s="2" t="s">
        <v>86</v>
      </c>
      <c r="AY62" s="16">
        <v>5.5</v>
      </c>
      <c r="AZ62" s="2">
        <v>2026</v>
      </c>
      <c r="BA62" s="16">
        <v>546</v>
      </c>
      <c r="BB62" s="2">
        <v>2029</v>
      </c>
      <c r="BC62" s="16">
        <v>644</v>
      </c>
      <c r="BD62" s="2" t="s">
        <v>86</v>
      </c>
      <c r="BE62" s="16">
        <v>5.7</v>
      </c>
      <c r="BF62" s="2">
        <v>2026</v>
      </c>
      <c r="BG62" s="16">
        <v>198</v>
      </c>
      <c r="BH62" s="2">
        <v>2029</v>
      </c>
      <c r="BI62" s="16">
        <v>220</v>
      </c>
      <c r="BJ62" s="2" t="s">
        <v>87</v>
      </c>
      <c r="BK62" s="8" t="s">
        <v>589</v>
      </c>
      <c r="BL62" s="8" t="str">
        <f>HYPERLINK("https://seichotoushi-hojo.jp/assets/pdf/koufu/outline_154.pdf","PDFを開く")</f>
        <v>PDFを開く</v>
      </c>
      <c r="BM62" s="8" t="s">
        <v>590</v>
      </c>
      <c r="BN62" s="8" t="s">
        <v>591</v>
      </c>
      <c r="BO62" s="8" t="s">
        <v>166</v>
      </c>
      <c r="BP62" s="8" t="s">
        <v>166</v>
      </c>
      <c r="BQ62" s="8" t="s">
        <v>166</v>
      </c>
      <c r="BR62" s="8" t="s">
        <v>166</v>
      </c>
    </row>
    <row r="63" spans="1:70" ht="45.95" customHeight="1">
      <c r="A63" s="5" t="s">
        <v>592</v>
      </c>
      <c r="B63" s="5" t="s">
        <v>73</v>
      </c>
      <c r="C63" s="5" t="s">
        <v>593</v>
      </c>
      <c r="D63" s="5" t="s">
        <v>594</v>
      </c>
      <c r="E63" s="5" t="s">
        <v>95</v>
      </c>
      <c r="F63" s="5"/>
      <c r="G63" s="5">
        <v>2</v>
      </c>
      <c r="H63" s="5">
        <v>0</v>
      </c>
      <c r="I63" s="5">
        <v>1</v>
      </c>
      <c r="J63" s="5">
        <v>1</v>
      </c>
      <c r="K63" s="5">
        <v>0</v>
      </c>
      <c r="L63" s="17">
        <v>1700</v>
      </c>
      <c r="M63" s="17">
        <v>560</v>
      </c>
      <c r="N63" s="9" t="s">
        <v>595</v>
      </c>
      <c r="O63" s="13">
        <f t="shared" si="0"/>
        <v>32.941176470588232</v>
      </c>
      <c r="P63" s="5">
        <v>2</v>
      </c>
      <c r="Q63" s="5" t="s">
        <v>77</v>
      </c>
      <c r="R63" s="9" t="s">
        <v>595</v>
      </c>
      <c r="S63" s="9" t="s">
        <v>596</v>
      </c>
      <c r="T63" s="9" t="s">
        <v>80</v>
      </c>
      <c r="U63" s="5" t="s">
        <v>81</v>
      </c>
      <c r="V63" s="5"/>
      <c r="W63" s="17"/>
      <c r="X63" s="5">
        <v>2029</v>
      </c>
      <c r="Y63" s="17">
        <v>365</v>
      </c>
      <c r="Z63" s="17"/>
      <c r="AA63" s="5"/>
      <c r="AB63" s="17">
        <v>9</v>
      </c>
      <c r="AC63" s="5">
        <v>2029</v>
      </c>
      <c r="AD63" s="5" t="s">
        <v>210</v>
      </c>
      <c r="AE63" s="17"/>
      <c r="AF63" s="17"/>
      <c r="AG63" s="17"/>
      <c r="AH63" s="17"/>
      <c r="AI63" s="9" t="s">
        <v>83</v>
      </c>
      <c r="AJ63" s="5" t="s">
        <v>84</v>
      </c>
      <c r="AK63" s="5">
        <v>1</v>
      </c>
      <c r="AL63" s="9" t="s">
        <v>597</v>
      </c>
      <c r="AM63" s="9" t="s">
        <v>598</v>
      </c>
      <c r="AN63" s="5">
        <v>2026</v>
      </c>
      <c r="AO63" s="17">
        <v>1030</v>
      </c>
      <c r="AP63" s="5">
        <v>2029</v>
      </c>
      <c r="AQ63" s="17">
        <v>1538</v>
      </c>
      <c r="AR63" s="5" t="s">
        <v>86</v>
      </c>
      <c r="AS63" s="17">
        <v>14.3</v>
      </c>
      <c r="AT63" s="5">
        <v>2026</v>
      </c>
      <c r="AU63" s="17">
        <v>635</v>
      </c>
      <c r="AV63" s="5">
        <v>2029</v>
      </c>
      <c r="AW63" s="17">
        <v>727</v>
      </c>
      <c r="AX63" s="5" t="s">
        <v>86</v>
      </c>
      <c r="AY63" s="17">
        <v>4.5999999999999996</v>
      </c>
      <c r="AZ63" s="5">
        <v>2026</v>
      </c>
      <c r="BA63" s="17">
        <v>1500</v>
      </c>
      <c r="BB63" s="5">
        <v>2029</v>
      </c>
      <c r="BC63" s="17">
        <v>1687</v>
      </c>
      <c r="BD63" s="5" t="s">
        <v>86</v>
      </c>
      <c r="BE63" s="17">
        <v>4</v>
      </c>
      <c r="BF63" s="5">
        <v>2026</v>
      </c>
      <c r="BG63" s="17">
        <v>1099</v>
      </c>
      <c r="BH63" s="5">
        <v>2029</v>
      </c>
      <c r="BI63" s="17">
        <v>1125</v>
      </c>
      <c r="BJ63" s="5" t="s">
        <v>87</v>
      </c>
      <c r="BK63" s="9"/>
      <c r="BL63" s="9" t="str">
        <f>HYPERLINK("https://seichotoushi-hojo.jp/assets/pdf/koufu/outline_155.pdf","PDFを開く")</f>
        <v>PDFを開く</v>
      </c>
      <c r="BM63" s="9" t="s">
        <v>599</v>
      </c>
      <c r="BN63" s="9" t="s">
        <v>600</v>
      </c>
      <c r="BO63" s="9" t="s">
        <v>90</v>
      </c>
      <c r="BP63" s="9" t="s">
        <v>90</v>
      </c>
      <c r="BQ63" s="9" t="s">
        <v>90</v>
      </c>
      <c r="BR63" s="9" t="s">
        <v>92</v>
      </c>
    </row>
    <row r="64" spans="1:70" ht="45.95" customHeight="1">
      <c r="A64" s="2" t="s">
        <v>601</v>
      </c>
      <c r="B64" s="2" t="s">
        <v>73</v>
      </c>
      <c r="C64" s="2" t="s">
        <v>602</v>
      </c>
      <c r="D64" s="2" t="s">
        <v>602</v>
      </c>
      <c r="E64" s="2" t="s">
        <v>75</v>
      </c>
      <c r="F64" s="2"/>
      <c r="G64" s="2">
        <v>2</v>
      </c>
      <c r="H64" s="2">
        <v>0</v>
      </c>
      <c r="I64" s="2">
        <v>1</v>
      </c>
      <c r="J64" s="2">
        <v>1</v>
      </c>
      <c r="K64" s="2">
        <v>0</v>
      </c>
      <c r="L64" s="16">
        <v>1200</v>
      </c>
      <c r="M64" s="16">
        <v>400</v>
      </c>
      <c r="N64" s="8" t="s">
        <v>603</v>
      </c>
      <c r="O64" s="12">
        <f t="shared" si="0"/>
        <v>33.333333333333329</v>
      </c>
      <c r="P64" s="2">
        <v>2</v>
      </c>
      <c r="Q64" s="2" t="s">
        <v>77</v>
      </c>
      <c r="R64" s="8" t="s">
        <v>603</v>
      </c>
      <c r="S64" s="8" t="s">
        <v>604</v>
      </c>
      <c r="T64" s="8" t="s">
        <v>80</v>
      </c>
      <c r="U64" s="2" t="s">
        <v>81</v>
      </c>
      <c r="V64" s="2">
        <v>2023</v>
      </c>
      <c r="W64" s="16"/>
      <c r="X64" s="2">
        <v>2031</v>
      </c>
      <c r="Y64" s="16"/>
      <c r="Z64" s="16">
        <v>12</v>
      </c>
      <c r="AA64" s="2">
        <v>2031</v>
      </c>
      <c r="AB64" s="16">
        <v>166</v>
      </c>
      <c r="AC64" s="2">
        <v>2031</v>
      </c>
      <c r="AD64" s="2" t="s">
        <v>82</v>
      </c>
      <c r="AE64" s="16"/>
      <c r="AF64" s="16"/>
      <c r="AG64" s="16"/>
      <c r="AH64" s="16"/>
      <c r="AI64" s="8" t="s">
        <v>83</v>
      </c>
      <c r="AJ64" s="2" t="s">
        <v>84</v>
      </c>
      <c r="AK64" s="2">
        <v>1</v>
      </c>
      <c r="AL64" s="8" t="s">
        <v>605</v>
      </c>
      <c r="AM64" s="8" t="s">
        <v>606</v>
      </c>
      <c r="AN64" s="2">
        <v>2026</v>
      </c>
      <c r="AO64" s="16">
        <v>280</v>
      </c>
      <c r="AP64" s="2">
        <v>2029</v>
      </c>
      <c r="AQ64" s="16">
        <v>424</v>
      </c>
      <c r="AR64" s="2" t="s">
        <v>86</v>
      </c>
      <c r="AS64" s="16">
        <v>14.8</v>
      </c>
      <c r="AT64" s="2">
        <v>2026</v>
      </c>
      <c r="AU64" s="16">
        <v>232</v>
      </c>
      <c r="AV64" s="2">
        <v>2029</v>
      </c>
      <c r="AW64" s="16">
        <v>293</v>
      </c>
      <c r="AX64" s="2" t="s">
        <v>86</v>
      </c>
      <c r="AY64" s="16">
        <v>8.1999999999999993</v>
      </c>
      <c r="AZ64" s="2">
        <v>2026</v>
      </c>
      <c r="BA64" s="16">
        <v>1342</v>
      </c>
      <c r="BB64" s="2">
        <v>2029</v>
      </c>
      <c r="BC64" s="16">
        <v>1676</v>
      </c>
      <c r="BD64" s="2" t="s">
        <v>86</v>
      </c>
      <c r="BE64" s="16">
        <v>7.7</v>
      </c>
      <c r="BF64" s="2">
        <v>2026</v>
      </c>
      <c r="BG64" s="16">
        <v>306</v>
      </c>
      <c r="BH64" s="2">
        <v>2029</v>
      </c>
      <c r="BI64" s="16">
        <v>315</v>
      </c>
      <c r="BJ64" s="2" t="s">
        <v>87</v>
      </c>
      <c r="BK64" s="8"/>
      <c r="BL64" s="8" t="str">
        <f>HYPERLINK("https://seichotoushi-hojo.jp/assets/pdf/koufu/outline_156.pdf","PDFを開く")</f>
        <v>PDFを開く</v>
      </c>
      <c r="BM64" s="8" t="s">
        <v>607</v>
      </c>
      <c r="BN64" s="8" t="s">
        <v>608</v>
      </c>
      <c r="BO64" s="8" t="s">
        <v>90</v>
      </c>
      <c r="BP64" s="8" t="s">
        <v>90</v>
      </c>
      <c r="BQ64" s="8" t="s">
        <v>90</v>
      </c>
      <c r="BR64" s="8" t="s">
        <v>92</v>
      </c>
    </row>
    <row r="65" spans="1:70" ht="45.95" customHeight="1">
      <c r="A65" s="5" t="s">
        <v>609</v>
      </c>
      <c r="B65" s="5" t="s">
        <v>73</v>
      </c>
      <c r="C65" s="5" t="s">
        <v>610</v>
      </c>
      <c r="D65" s="5" t="s">
        <v>610</v>
      </c>
      <c r="E65" s="5" t="s">
        <v>107</v>
      </c>
      <c r="F65" s="5"/>
      <c r="G65" s="5">
        <v>4</v>
      </c>
      <c r="H65" s="5">
        <v>0</v>
      </c>
      <c r="I65" s="5">
        <v>1</v>
      </c>
      <c r="J65" s="5">
        <v>3</v>
      </c>
      <c r="K65" s="5">
        <v>0</v>
      </c>
      <c r="L65" s="17">
        <v>18600</v>
      </c>
      <c r="M65" s="17">
        <v>2800</v>
      </c>
      <c r="N65" s="9" t="s">
        <v>611</v>
      </c>
      <c r="O65" s="13">
        <f t="shared" si="0"/>
        <v>15.053763440860216</v>
      </c>
      <c r="P65" s="5">
        <v>2</v>
      </c>
      <c r="Q65" s="5" t="s">
        <v>77</v>
      </c>
      <c r="R65" s="9" t="s">
        <v>612</v>
      </c>
      <c r="S65" s="9" t="s">
        <v>613</v>
      </c>
      <c r="T65" s="9" t="s">
        <v>80</v>
      </c>
      <c r="U65" s="5" t="s">
        <v>81</v>
      </c>
      <c r="V65" s="5"/>
      <c r="W65" s="17"/>
      <c r="X65" s="5">
        <v>2029</v>
      </c>
      <c r="Y65" s="17"/>
      <c r="Z65" s="17">
        <v>52</v>
      </c>
      <c r="AA65" s="5">
        <v>2029</v>
      </c>
      <c r="AB65" s="17">
        <v>35</v>
      </c>
      <c r="AC65" s="5">
        <v>2029</v>
      </c>
      <c r="AD65" s="5" t="s">
        <v>82</v>
      </c>
      <c r="AE65" s="17"/>
      <c r="AF65" s="17"/>
      <c r="AG65" s="17"/>
      <c r="AH65" s="17"/>
      <c r="AI65" s="9" t="s">
        <v>83</v>
      </c>
      <c r="AJ65" s="5" t="s">
        <v>84</v>
      </c>
      <c r="AK65" s="5">
        <v>1</v>
      </c>
      <c r="AL65" s="9" t="s">
        <v>614</v>
      </c>
      <c r="AM65" s="9"/>
      <c r="AN65" s="5">
        <v>2026</v>
      </c>
      <c r="AO65" s="17">
        <v>1145</v>
      </c>
      <c r="AP65" s="5">
        <v>2029</v>
      </c>
      <c r="AQ65" s="17">
        <v>1531</v>
      </c>
      <c r="AR65" s="5" t="s">
        <v>86</v>
      </c>
      <c r="AS65" s="17">
        <v>10.199999999999999</v>
      </c>
      <c r="AT65" s="5">
        <v>2026</v>
      </c>
      <c r="AU65" s="17">
        <v>470</v>
      </c>
      <c r="AV65" s="5">
        <v>2029</v>
      </c>
      <c r="AW65" s="17">
        <v>560</v>
      </c>
      <c r="AX65" s="5" t="s">
        <v>86</v>
      </c>
      <c r="AY65" s="17">
        <v>6</v>
      </c>
      <c r="AZ65" s="5"/>
      <c r="BA65" s="17"/>
      <c r="BB65" s="5"/>
      <c r="BC65" s="17"/>
      <c r="BD65" s="5"/>
      <c r="BE65" s="17"/>
      <c r="BF65" s="5">
        <v>2026</v>
      </c>
      <c r="BG65" s="17">
        <v>363</v>
      </c>
      <c r="BH65" s="5">
        <v>2029</v>
      </c>
      <c r="BI65" s="17">
        <v>370</v>
      </c>
      <c r="BJ65" s="5" t="s">
        <v>87</v>
      </c>
      <c r="BK65" s="9"/>
      <c r="BL65" s="9" t="str">
        <f>HYPERLINK("https://seichotoushi-hojo.jp/assets/pdf/koufu/outline_157.pdf","PDFを開く")</f>
        <v>PDFを開く</v>
      </c>
      <c r="BM65" s="9" t="s">
        <v>615</v>
      </c>
      <c r="BN65" s="9" t="s">
        <v>616</v>
      </c>
      <c r="BO65" s="9" t="s">
        <v>90</v>
      </c>
      <c r="BP65" s="9" t="s">
        <v>90</v>
      </c>
      <c r="BQ65" s="9" t="s">
        <v>156</v>
      </c>
      <c r="BR65" s="9" t="s">
        <v>92</v>
      </c>
    </row>
    <row r="66" spans="1:70" ht="45.95" customHeight="1">
      <c r="A66" s="2" t="s">
        <v>617</v>
      </c>
      <c r="B66" s="2" t="s">
        <v>73</v>
      </c>
      <c r="C66" s="2" t="s">
        <v>618</v>
      </c>
      <c r="D66" s="2" t="s">
        <v>618</v>
      </c>
      <c r="E66" s="2" t="s">
        <v>95</v>
      </c>
      <c r="F66" s="2"/>
      <c r="G66" s="2">
        <v>2</v>
      </c>
      <c r="H66" s="2">
        <v>0</v>
      </c>
      <c r="I66" s="2">
        <v>1</v>
      </c>
      <c r="J66" s="2">
        <v>1</v>
      </c>
      <c r="K66" s="2">
        <v>0</v>
      </c>
      <c r="L66" s="16">
        <v>1000</v>
      </c>
      <c r="M66" s="16">
        <v>170</v>
      </c>
      <c r="N66" s="8" t="s">
        <v>619</v>
      </c>
      <c r="O66" s="12">
        <f t="shared" si="0"/>
        <v>17</v>
      </c>
      <c r="P66" s="2">
        <v>2</v>
      </c>
      <c r="Q66" s="2" t="s">
        <v>77</v>
      </c>
      <c r="R66" s="8" t="s">
        <v>620</v>
      </c>
      <c r="S66" s="8" t="s">
        <v>621</v>
      </c>
      <c r="T66" s="8" t="s">
        <v>80</v>
      </c>
      <c r="U66" s="2" t="s">
        <v>81</v>
      </c>
      <c r="V66" s="2">
        <v>2025</v>
      </c>
      <c r="W66" s="16"/>
      <c r="X66" s="2">
        <v>2032</v>
      </c>
      <c r="Y66" s="16"/>
      <c r="Z66" s="16">
        <v>72</v>
      </c>
      <c r="AA66" s="2">
        <v>2032</v>
      </c>
      <c r="AB66" s="16">
        <v>212</v>
      </c>
      <c r="AC66" s="2">
        <v>2032</v>
      </c>
      <c r="AD66" s="2" t="s">
        <v>82</v>
      </c>
      <c r="AE66" s="16"/>
      <c r="AF66" s="16"/>
      <c r="AG66" s="16"/>
      <c r="AH66" s="16"/>
      <c r="AI66" s="8" t="s">
        <v>83</v>
      </c>
      <c r="AJ66" s="2" t="s">
        <v>84</v>
      </c>
      <c r="AK66" s="2">
        <v>1</v>
      </c>
      <c r="AL66" s="8" t="s">
        <v>622</v>
      </c>
      <c r="AM66" s="8"/>
      <c r="AN66" s="2">
        <v>2027</v>
      </c>
      <c r="AO66" s="16">
        <v>1892</v>
      </c>
      <c r="AP66" s="2">
        <v>2030</v>
      </c>
      <c r="AQ66" s="16">
        <v>2699</v>
      </c>
      <c r="AR66" s="2" t="s">
        <v>86</v>
      </c>
      <c r="AS66" s="16">
        <v>12.6</v>
      </c>
      <c r="AT66" s="2">
        <v>2027</v>
      </c>
      <c r="AU66" s="16">
        <v>483</v>
      </c>
      <c r="AV66" s="2">
        <v>2030</v>
      </c>
      <c r="AW66" s="16">
        <v>567</v>
      </c>
      <c r="AX66" s="2" t="s">
        <v>86</v>
      </c>
      <c r="AY66" s="16">
        <v>5.5</v>
      </c>
      <c r="AZ66" s="2">
        <v>2027</v>
      </c>
      <c r="BA66" s="16">
        <v>1902</v>
      </c>
      <c r="BB66" s="2">
        <v>2030</v>
      </c>
      <c r="BC66" s="16">
        <v>2170</v>
      </c>
      <c r="BD66" s="2" t="s">
        <v>86</v>
      </c>
      <c r="BE66" s="16">
        <v>4.5</v>
      </c>
      <c r="BF66" s="2">
        <v>2027</v>
      </c>
      <c r="BG66" s="16">
        <v>55</v>
      </c>
      <c r="BH66" s="2">
        <v>2030</v>
      </c>
      <c r="BI66" s="16">
        <v>80</v>
      </c>
      <c r="BJ66" s="2" t="s">
        <v>87</v>
      </c>
      <c r="BK66" s="8"/>
      <c r="BL66" s="8" t="str">
        <f>HYPERLINK("https://seichotoushi-hojo.jp/assets/pdf/koufu/outline_158.pdf","PDFを開く")</f>
        <v>PDFを開く</v>
      </c>
      <c r="BM66" s="8" t="s">
        <v>623</v>
      </c>
      <c r="BN66" s="8" t="s">
        <v>624</v>
      </c>
      <c r="BO66" s="8" t="s">
        <v>90</v>
      </c>
      <c r="BP66" s="8" t="s">
        <v>90</v>
      </c>
      <c r="BQ66" s="8" t="s">
        <v>90</v>
      </c>
      <c r="BR66" s="8" t="s">
        <v>92</v>
      </c>
    </row>
    <row r="67" spans="1:70" ht="45.95" customHeight="1">
      <c r="A67" s="5" t="s">
        <v>625</v>
      </c>
      <c r="B67" s="5" t="s">
        <v>73</v>
      </c>
      <c r="C67" s="5" t="s">
        <v>626</v>
      </c>
      <c r="D67" s="5" t="s">
        <v>626</v>
      </c>
      <c r="E67" s="5" t="s">
        <v>107</v>
      </c>
      <c r="F67" s="5" t="s">
        <v>627</v>
      </c>
      <c r="G67" s="5">
        <v>4</v>
      </c>
      <c r="H67" s="5">
        <v>0</v>
      </c>
      <c r="I67" s="5">
        <v>1</v>
      </c>
      <c r="J67" s="5">
        <v>3</v>
      </c>
      <c r="K67" s="5">
        <v>0</v>
      </c>
      <c r="L67" s="17">
        <v>6900</v>
      </c>
      <c r="M67" s="17">
        <v>1200</v>
      </c>
      <c r="N67" s="9" t="s">
        <v>628</v>
      </c>
      <c r="O67" s="13">
        <f t="shared" si="0"/>
        <v>17.391304347826086</v>
      </c>
      <c r="P67" s="5">
        <v>2</v>
      </c>
      <c r="Q67" s="5" t="s">
        <v>77</v>
      </c>
      <c r="R67" s="9" t="s">
        <v>629</v>
      </c>
      <c r="S67" s="9" t="s">
        <v>630</v>
      </c>
      <c r="T67" s="9" t="s">
        <v>80</v>
      </c>
      <c r="U67" s="5" t="s">
        <v>81</v>
      </c>
      <c r="V67" s="5">
        <v>2023</v>
      </c>
      <c r="W67" s="17"/>
      <c r="X67" s="5">
        <v>2029</v>
      </c>
      <c r="Y67" s="17"/>
      <c r="Z67" s="17">
        <v>26.3</v>
      </c>
      <c r="AA67" s="5">
        <v>2029</v>
      </c>
      <c r="AB67" s="17"/>
      <c r="AC67" s="5"/>
      <c r="AD67" s="5"/>
      <c r="AE67" s="17"/>
      <c r="AF67" s="17"/>
      <c r="AG67" s="17"/>
      <c r="AH67" s="17"/>
      <c r="AI67" s="9" t="s">
        <v>83</v>
      </c>
      <c r="AJ67" s="5" t="s">
        <v>587</v>
      </c>
      <c r="AK67" s="5">
        <v>1</v>
      </c>
      <c r="AL67" s="9" t="s">
        <v>631</v>
      </c>
      <c r="AM67" s="9"/>
      <c r="AN67" s="5">
        <v>2026</v>
      </c>
      <c r="AO67" s="17">
        <v>730</v>
      </c>
      <c r="AP67" s="5">
        <v>2029</v>
      </c>
      <c r="AQ67" s="17">
        <v>999</v>
      </c>
      <c r="AR67" s="5" t="s">
        <v>86</v>
      </c>
      <c r="AS67" s="17">
        <v>11</v>
      </c>
      <c r="AT67" s="5">
        <v>2026</v>
      </c>
      <c r="AU67" s="17">
        <v>326</v>
      </c>
      <c r="AV67" s="5">
        <v>2029</v>
      </c>
      <c r="AW67" s="17">
        <v>385</v>
      </c>
      <c r="AX67" s="5" t="s">
        <v>86</v>
      </c>
      <c r="AY67" s="17">
        <v>5.6</v>
      </c>
      <c r="AZ67" s="5">
        <v>2026</v>
      </c>
      <c r="BA67" s="17">
        <v>1033</v>
      </c>
      <c r="BB67" s="5">
        <v>2029</v>
      </c>
      <c r="BC67" s="17">
        <v>1162</v>
      </c>
      <c r="BD67" s="5" t="s">
        <v>86</v>
      </c>
      <c r="BE67" s="17">
        <v>4</v>
      </c>
      <c r="BF67" s="5">
        <v>2026</v>
      </c>
      <c r="BG67" s="17">
        <v>236</v>
      </c>
      <c r="BH67" s="5">
        <v>2029</v>
      </c>
      <c r="BI67" s="17">
        <v>236</v>
      </c>
      <c r="BJ67" s="5" t="s">
        <v>87</v>
      </c>
      <c r="BK67" s="9"/>
      <c r="BL67" s="9" t="str">
        <f>HYPERLINK("https://seichotoushi-hojo.jp/assets/pdf/koufu/outline_159.pdf","PDFを開く")</f>
        <v>PDFを開く</v>
      </c>
      <c r="BM67" s="9" t="s">
        <v>632</v>
      </c>
      <c r="BN67" s="9" t="s">
        <v>633</v>
      </c>
      <c r="BO67" s="9" t="s">
        <v>90</v>
      </c>
      <c r="BP67" s="9" t="s">
        <v>90</v>
      </c>
      <c r="BQ67" s="9" t="s">
        <v>90</v>
      </c>
      <c r="BR67" s="9" t="s">
        <v>92</v>
      </c>
    </row>
    <row r="68" spans="1:70" ht="45.95" customHeight="1">
      <c r="A68" s="2" t="s">
        <v>634</v>
      </c>
      <c r="B68" s="2" t="s">
        <v>73</v>
      </c>
      <c r="C68" s="2" t="s">
        <v>635</v>
      </c>
      <c r="D68" s="2" t="s">
        <v>635</v>
      </c>
      <c r="E68" s="2" t="s">
        <v>636</v>
      </c>
      <c r="F68" s="2" t="s">
        <v>637</v>
      </c>
      <c r="G68" s="2">
        <v>2</v>
      </c>
      <c r="H68" s="2">
        <v>0</v>
      </c>
      <c r="I68" s="2">
        <v>1</v>
      </c>
      <c r="J68" s="2">
        <v>1</v>
      </c>
      <c r="K68" s="2">
        <v>0</v>
      </c>
      <c r="L68" s="16">
        <v>3300</v>
      </c>
      <c r="M68" s="16">
        <v>1000</v>
      </c>
      <c r="N68" s="8" t="s">
        <v>638</v>
      </c>
      <c r="O68" s="12">
        <f t="shared" si="0"/>
        <v>30.303030303030305</v>
      </c>
      <c r="P68" s="2">
        <v>2</v>
      </c>
      <c r="Q68" s="2" t="s">
        <v>308</v>
      </c>
      <c r="R68" s="8" t="s">
        <v>639</v>
      </c>
      <c r="S68" s="8" t="s">
        <v>640</v>
      </c>
      <c r="T68" s="8" t="s">
        <v>310</v>
      </c>
      <c r="U68" s="2" t="s">
        <v>81</v>
      </c>
      <c r="V68" s="2"/>
      <c r="W68" s="16"/>
      <c r="X68" s="2">
        <v>2029</v>
      </c>
      <c r="Y68" s="16"/>
      <c r="Z68" s="16">
        <v>29.9</v>
      </c>
      <c r="AA68" s="2">
        <v>2029</v>
      </c>
      <c r="AB68" s="16">
        <v>240</v>
      </c>
      <c r="AC68" s="2">
        <v>2029</v>
      </c>
      <c r="AD68" s="2" t="s">
        <v>82</v>
      </c>
      <c r="AE68" s="16"/>
      <c r="AF68" s="16"/>
      <c r="AG68" s="16"/>
      <c r="AH68" s="16">
        <v>2.4900000000000002</v>
      </c>
      <c r="AI68" s="8" t="s">
        <v>83</v>
      </c>
      <c r="AJ68" s="2" t="s">
        <v>84</v>
      </c>
      <c r="AK68" s="2">
        <v>1</v>
      </c>
      <c r="AL68" s="8" t="s">
        <v>641</v>
      </c>
      <c r="AM68" s="8" t="s">
        <v>642</v>
      </c>
      <c r="AN68" s="2">
        <v>2026</v>
      </c>
      <c r="AO68" s="16">
        <v>724.9</v>
      </c>
      <c r="AP68" s="2">
        <v>2029</v>
      </c>
      <c r="AQ68" s="16">
        <v>1033.0999999999999</v>
      </c>
      <c r="AR68" s="2" t="s">
        <v>86</v>
      </c>
      <c r="AS68" s="16">
        <v>12.4</v>
      </c>
      <c r="AT68" s="2">
        <v>2026</v>
      </c>
      <c r="AU68" s="16">
        <v>428.8</v>
      </c>
      <c r="AV68" s="2">
        <v>2029</v>
      </c>
      <c r="AW68" s="16">
        <v>544.29999999999995</v>
      </c>
      <c r="AX68" s="2" t="s">
        <v>86</v>
      </c>
      <c r="AY68" s="16">
        <v>8.26</v>
      </c>
      <c r="AZ68" s="2"/>
      <c r="BA68" s="16"/>
      <c r="BB68" s="2"/>
      <c r="BC68" s="16"/>
      <c r="BD68" s="2"/>
      <c r="BE68" s="16"/>
      <c r="BF68" s="2">
        <v>2026</v>
      </c>
      <c r="BG68" s="16">
        <v>118</v>
      </c>
      <c r="BH68" s="2">
        <v>2029</v>
      </c>
      <c r="BI68" s="16">
        <v>145</v>
      </c>
      <c r="BJ68" s="2" t="s">
        <v>87</v>
      </c>
      <c r="BK68" s="8"/>
      <c r="BL68" s="8" t="str">
        <f>HYPERLINK("https://seichotoushi-hojo.jp/assets/pdf/koufu/outline_16.pdf","PDFを開く")</f>
        <v>PDFを開く</v>
      </c>
      <c r="BM68" s="8" t="s">
        <v>643</v>
      </c>
      <c r="BN68" s="8" t="s">
        <v>644</v>
      </c>
      <c r="BO68" s="8" t="s">
        <v>166</v>
      </c>
      <c r="BP68" s="8" t="s">
        <v>166</v>
      </c>
      <c r="BQ68" s="8" t="s">
        <v>156</v>
      </c>
      <c r="BR68" s="8" t="s">
        <v>166</v>
      </c>
    </row>
    <row r="69" spans="1:70" ht="45.95" customHeight="1">
      <c r="A69" s="5" t="s">
        <v>645</v>
      </c>
      <c r="B69" s="5" t="s">
        <v>73</v>
      </c>
      <c r="C69" s="5" t="s">
        <v>646</v>
      </c>
      <c r="D69" s="5" t="s">
        <v>646</v>
      </c>
      <c r="E69" s="5" t="s">
        <v>186</v>
      </c>
      <c r="F69" s="5"/>
      <c r="G69" s="5">
        <v>2</v>
      </c>
      <c r="H69" s="5">
        <v>0</v>
      </c>
      <c r="I69" s="5">
        <v>1</v>
      </c>
      <c r="J69" s="5">
        <v>1</v>
      </c>
      <c r="K69" s="5">
        <v>0</v>
      </c>
      <c r="L69" s="17">
        <v>2200</v>
      </c>
      <c r="M69" s="17">
        <v>730</v>
      </c>
      <c r="N69" s="9" t="s">
        <v>647</v>
      </c>
      <c r="O69" s="13">
        <f t="shared" ref="O69:O132" si="1">IFERROR(M69/L69*100,"")</f>
        <v>33.181818181818187</v>
      </c>
      <c r="P69" s="5">
        <v>2</v>
      </c>
      <c r="Q69" s="5" t="s">
        <v>77</v>
      </c>
      <c r="R69" s="9" t="s">
        <v>647</v>
      </c>
      <c r="S69" s="9" t="s">
        <v>648</v>
      </c>
      <c r="T69" s="9" t="s">
        <v>80</v>
      </c>
      <c r="U69" s="5" t="s">
        <v>81</v>
      </c>
      <c r="V69" s="5">
        <v>2024</v>
      </c>
      <c r="W69" s="17">
        <v>28.82</v>
      </c>
      <c r="X69" s="5">
        <v>2034</v>
      </c>
      <c r="Y69" s="17">
        <v>28.82</v>
      </c>
      <c r="Z69" s="17">
        <v>33.19</v>
      </c>
      <c r="AA69" s="5">
        <v>2034</v>
      </c>
      <c r="AB69" s="17">
        <v>8.93</v>
      </c>
      <c r="AC69" s="5">
        <v>2034</v>
      </c>
      <c r="AD69" s="5" t="s">
        <v>210</v>
      </c>
      <c r="AE69" s="17"/>
      <c r="AF69" s="17"/>
      <c r="AG69" s="17">
        <v>0</v>
      </c>
      <c r="AH69" s="17">
        <v>2.15</v>
      </c>
      <c r="AI69" s="9" t="s">
        <v>120</v>
      </c>
      <c r="AJ69" s="5" t="s">
        <v>84</v>
      </c>
      <c r="AK69" s="5">
        <v>1</v>
      </c>
      <c r="AL69" s="9" t="s">
        <v>649</v>
      </c>
      <c r="AM69" s="9" t="s">
        <v>650</v>
      </c>
      <c r="AN69" s="5"/>
      <c r="AO69" s="17">
        <v>897</v>
      </c>
      <c r="AP69" s="5"/>
      <c r="AQ69" s="17">
        <v>1332</v>
      </c>
      <c r="AR69" s="5" t="s">
        <v>86</v>
      </c>
      <c r="AS69" s="17">
        <v>14.1</v>
      </c>
      <c r="AT69" s="5"/>
      <c r="AU69" s="17">
        <v>530</v>
      </c>
      <c r="AV69" s="5"/>
      <c r="AW69" s="17">
        <v>685</v>
      </c>
      <c r="AX69" s="5" t="s">
        <v>86</v>
      </c>
      <c r="AY69" s="17">
        <v>8.9</v>
      </c>
      <c r="AZ69" s="5"/>
      <c r="BA69" s="17">
        <v>1753</v>
      </c>
      <c r="BB69" s="5"/>
      <c r="BC69" s="17">
        <v>2033</v>
      </c>
      <c r="BD69" s="5" t="s">
        <v>86</v>
      </c>
      <c r="BE69" s="17">
        <v>5.0999999999999996</v>
      </c>
      <c r="BF69" s="5"/>
      <c r="BG69" s="17">
        <v>136</v>
      </c>
      <c r="BH69" s="5"/>
      <c r="BI69" s="17">
        <v>141</v>
      </c>
      <c r="BJ69" s="5" t="s">
        <v>87</v>
      </c>
      <c r="BK69" s="9" t="s">
        <v>482</v>
      </c>
      <c r="BL69" s="9" t="str">
        <f>HYPERLINK("https://seichotoushi-hojo.jp/assets/pdf/koufu/outline_162.pdf","PDFを開く")</f>
        <v>PDFを開く</v>
      </c>
      <c r="BM69" s="9" t="s">
        <v>651</v>
      </c>
      <c r="BN69" s="9" t="s">
        <v>652</v>
      </c>
      <c r="BO69" s="9" t="s">
        <v>90</v>
      </c>
      <c r="BP69" s="9" t="s">
        <v>90</v>
      </c>
      <c r="BQ69" s="9" t="s">
        <v>90</v>
      </c>
      <c r="BR69" s="9" t="s">
        <v>92</v>
      </c>
    </row>
    <row r="70" spans="1:70" ht="45.95" customHeight="1">
      <c r="A70" s="2" t="s">
        <v>653</v>
      </c>
      <c r="B70" s="2" t="s">
        <v>73</v>
      </c>
      <c r="C70" s="2" t="s">
        <v>654</v>
      </c>
      <c r="D70" s="2" t="s">
        <v>655</v>
      </c>
      <c r="E70" s="2" t="s">
        <v>95</v>
      </c>
      <c r="F70" s="2" t="s">
        <v>656</v>
      </c>
      <c r="G70" s="2">
        <v>2</v>
      </c>
      <c r="H70" s="2">
        <v>0</v>
      </c>
      <c r="I70" s="2">
        <v>1</v>
      </c>
      <c r="J70" s="2">
        <v>1</v>
      </c>
      <c r="K70" s="2">
        <v>0</v>
      </c>
      <c r="L70" s="16">
        <v>5500</v>
      </c>
      <c r="M70" s="16">
        <v>1700</v>
      </c>
      <c r="N70" s="8" t="s">
        <v>657</v>
      </c>
      <c r="O70" s="12">
        <f t="shared" si="1"/>
        <v>30.909090909090907</v>
      </c>
      <c r="P70" s="2">
        <v>2</v>
      </c>
      <c r="Q70" s="2" t="s">
        <v>77</v>
      </c>
      <c r="R70" s="8" t="s">
        <v>657</v>
      </c>
      <c r="S70" s="8" t="s">
        <v>658</v>
      </c>
      <c r="T70" s="8" t="s">
        <v>80</v>
      </c>
      <c r="U70" s="2" t="s">
        <v>81</v>
      </c>
      <c r="V70" s="2">
        <v>2022</v>
      </c>
      <c r="W70" s="16">
        <v>134.30000000000001</v>
      </c>
      <c r="X70" s="2">
        <v>2033</v>
      </c>
      <c r="Y70" s="16">
        <v>52.7</v>
      </c>
      <c r="Z70" s="16">
        <v>88</v>
      </c>
      <c r="AA70" s="2">
        <v>2033</v>
      </c>
      <c r="AB70" s="16">
        <v>64.5</v>
      </c>
      <c r="AC70" s="2">
        <v>2033</v>
      </c>
      <c r="AD70" s="2" t="s">
        <v>82</v>
      </c>
      <c r="AE70" s="16"/>
      <c r="AF70" s="16"/>
      <c r="AG70" s="16">
        <v>-8.1526179414082236</v>
      </c>
      <c r="AH70" s="16"/>
      <c r="AI70" s="8" t="s">
        <v>200</v>
      </c>
      <c r="AJ70" s="2" t="s">
        <v>84</v>
      </c>
      <c r="AK70" s="2">
        <v>1</v>
      </c>
      <c r="AL70" s="8" t="s">
        <v>659</v>
      </c>
      <c r="AM70" s="8" t="s">
        <v>660</v>
      </c>
      <c r="AN70" s="2">
        <v>2026</v>
      </c>
      <c r="AO70" s="16">
        <v>1400</v>
      </c>
      <c r="AP70" s="2">
        <v>2029</v>
      </c>
      <c r="AQ70" s="16">
        <v>1643</v>
      </c>
      <c r="AR70" s="2" t="s">
        <v>86</v>
      </c>
      <c r="AS70" s="16">
        <v>5.5</v>
      </c>
      <c r="AT70" s="2">
        <v>2026</v>
      </c>
      <c r="AU70" s="16">
        <v>501</v>
      </c>
      <c r="AV70" s="2">
        <v>2029</v>
      </c>
      <c r="AW70" s="16">
        <v>564</v>
      </c>
      <c r="AX70" s="2" t="s">
        <v>86</v>
      </c>
      <c r="AY70" s="16">
        <v>4.0999999999999996</v>
      </c>
      <c r="AZ70" s="2">
        <v>2026</v>
      </c>
      <c r="BA70" s="16"/>
      <c r="BB70" s="2">
        <v>2029</v>
      </c>
      <c r="BC70" s="16"/>
      <c r="BD70" s="2" t="s">
        <v>86</v>
      </c>
      <c r="BE70" s="16">
        <v>5</v>
      </c>
      <c r="BF70" s="2">
        <v>2026</v>
      </c>
      <c r="BG70" s="16">
        <v>209</v>
      </c>
      <c r="BH70" s="2">
        <v>2029</v>
      </c>
      <c r="BI70" s="16">
        <v>222</v>
      </c>
      <c r="BJ70" s="2" t="s">
        <v>87</v>
      </c>
      <c r="BK70" s="8"/>
      <c r="BL70" s="8" t="str">
        <f>HYPERLINK("https://seichotoushi-hojo.jp/assets/pdf/koufu/outline_164.pdf","PDFを開く")</f>
        <v>PDFを開く</v>
      </c>
      <c r="BM70" s="8" t="s">
        <v>661</v>
      </c>
      <c r="BN70" s="8" t="s">
        <v>662</v>
      </c>
      <c r="BO70" s="8" t="s">
        <v>90</v>
      </c>
      <c r="BP70" s="8" t="s">
        <v>90</v>
      </c>
      <c r="BQ70" s="8" t="s">
        <v>91</v>
      </c>
      <c r="BR70" s="8" t="s">
        <v>92</v>
      </c>
    </row>
    <row r="71" spans="1:70" ht="45.95" customHeight="1">
      <c r="A71" s="5" t="s">
        <v>663</v>
      </c>
      <c r="B71" s="5" t="s">
        <v>73</v>
      </c>
      <c r="C71" s="5" t="s">
        <v>664</v>
      </c>
      <c r="D71" s="5" t="s">
        <v>664</v>
      </c>
      <c r="E71" s="5"/>
      <c r="F71" s="5"/>
      <c r="G71" s="5">
        <v>2</v>
      </c>
      <c r="H71" s="5">
        <v>0</v>
      </c>
      <c r="I71" s="5">
        <v>1</v>
      </c>
      <c r="J71" s="5">
        <v>1</v>
      </c>
      <c r="K71" s="5">
        <v>0</v>
      </c>
      <c r="L71" s="17">
        <v>2200</v>
      </c>
      <c r="M71" s="17">
        <v>720</v>
      </c>
      <c r="N71" s="9" t="s">
        <v>665</v>
      </c>
      <c r="O71" s="13">
        <f t="shared" si="1"/>
        <v>32.727272727272727</v>
      </c>
      <c r="P71" s="5">
        <v>2</v>
      </c>
      <c r="Q71" s="5" t="s">
        <v>77</v>
      </c>
      <c r="R71" s="9" t="s">
        <v>666</v>
      </c>
      <c r="S71" s="9" t="s">
        <v>667</v>
      </c>
      <c r="T71" s="9" t="s">
        <v>80</v>
      </c>
      <c r="U71" s="5" t="s">
        <v>81</v>
      </c>
      <c r="V71" s="5">
        <v>2023</v>
      </c>
      <c r="W71" s="17"/>
      <c r="X71" s="5">
        <v>2030</v>
      </c>
      <c r="Y71" s="17"/>
      <c r="Z71" s="17">
        <v>495</v>
      </c>
      <c r="AA71" s="5">
        <v>2030</v>
      </c>
      <c r="AB71" s="17">
        <v>636</v>
      </c>
      <c r="AC71" s="5">
        <v>2030</v>
      </c>
      <c r="AD71" s="5" t="s">
        <v>490</v>
      </c>
      <c r="AE71" s="17"/>
      <c r="AF71" s="17"/>
      <c r="AG71" s="17"/>
      <c r="AH71" s="17"/>
      <c r="AI71" s="9" t="s">
        <v>166</v>
      </c>
      <c r="AJ71" s="5" t="s">
        <v>292</v>
      </c>
      <c r="AK71" s="5">
        <v>1</v>
      </c>
      <c r="AL71" s="9" t="s">
        <v>668</v>
      </c>
      <c r="AM71" s="9"/>
      <c r="AN71" s="5">
        <v>2026</v>
      </c>
      <c r="AO71" s="17">
        <v>1492</v>
      </c>
      <c r="AP71" s="5">
        <v>2029</v>
      </c>
      <c r="AQ71" s="17">
        <v>2579</v>
      </c>
      <c r="AR71" s="5" t="s">
        <v>86</v>
      </c>
      <c r="AS71" s="17">
        <v>20</v>
      </c>
      <c r="AT71" s="5">
        <v>2026</v>
      </c>
      <c r="AU71" s="17">
        <v>622</v>
      </c>
      <c r="AV71" s="5">
        <v>2029</v>
      </c>
      <c r="AW71" s="17">
        <v>723</v>
      </c>
      <c r="AX71" s="5" t="s">
        <v>86</v>
      </c>
      <c r="AY71" s="17">
        <v>5.2</v>
      </c>
      <c r="AZ71" s="5">
        <v>2026</v>
      </c>
      <c r="BA71" s="17">
        <v>1428</v>
      </c>
      <c r="BB71" s="5">
        <v>2029</v>
      </c>
      <c r="BC71" s="17">
        <v>1653</v>
      </c>
      <c r="BD71" s="5" t="s">
        <v>86</v>
      </c>
      <c r="BE71" s="17">
        <v>5</v>
      </c>
      <c r="BF71" s="5">
        <v>2026</v>
      </c>
      <c r="BG71" s="17">
        <v>33</v>
      </c>
      <c r="BH71" s="5">
        <v>2029</v>
      </c>
      <c r="BI71" s="17">
        <v>59</v>
      </c>
      <c r="BJ71" s="5" t="s">
        <v>87</v>
      </c>
      <c r="BK71" s="9"/>
      <c r="BL71" s="9" t="str">
        <f>HYPERLINK("https://seichotoushi-hojo.jp/assets/pdf/koufu/outline_166.pdf","PDFを開く")</f>
        <v>PDFを開く</v>
      </c>
      <c r="BM71" s="9" t="s">
        <v>669</v>
      </c>
      <c r="BN71" s="9" t="s">
        <v>670</v>
      </c>
      <c r="BO71" s="9" t="s">
        <v>90</v>
      </c>
      <c r="BP71" s="9" t="s">
        <v>166</v>
      </c>
      <c r="BQ71" s="9" t="s">
        <v>90</v>
      </c>
      <c r="BR71" s="9" t="s">
        <v>92</v>
      </c>
    </row>
    <row r="72" spans="1:70" ht="45.95" customHeight="1">
      <c r="A72" s="2" t="s">
        <v>671</v>
      </c>
      <c r="B72" s="2" t="s">
        <v>73</v>
      </c>
      <c r="C72" s="2" t="s">
        <v>672</v>
      </c>
      <c r="D72" s="2" t="s">
        <v>672</v>
      </c>
      <c r="E72" s="2" t="s">
        <v>107</v>
      </c>
      <c r="F72" s="2"/>
      <c r="G72" s="2">
        <v>2</v>
      </c>
      <c r="H72" s="2">
        <v>0</v>
      </c>
      <c r="I72" s="2">
        <v>1</v>
      </c>
      <c r="J72" s="2">
        <v>1</v>
      </c>
      <c r="K72" s="2">
        <v>0</v>
      </c>
      <c r="L72" s="16">
        <v>6200</v>
      </c>
      <c r="M72" s="16">
        <v>2000</v>
      </c>
      <c r="N72" s="8" t="s">
        <v>673</v>
      </c>
      <c r="O72" s="12">
        <f t="shared" si="1"/>
        <v>32.258064516129032</v>
      </c>
      <c r="P72" s="2">
        <v>2</v>
      </c>
      <c r="Q72" s="2" t="s">
        <v>77</v>
      </c>
      <c r="R72" s="8" t="s">
        <v>674</v>
      </c>
      <c r="S72" s="8" t="s">
        <v>675</v>
      </c>
      <c r="T72" s="8" t="s">
        <v>80</v>
      </c>
      <c r="U72" s="2" t="s">
        <v>81</v>
      </c>
      <c r="V72" s="2"/>
      <c r="W72" s="16"/>
      <c r="X72" s="2">
        <v>2029</v>
      </c>
      <c r="Y72" s="16">
        <v>436</v>
      </c>
      <c r="Z72" s="16">
        <v>133</v>
      </c>
      <c r="AA72" s="2">
        <v>2029</v>
      </c>
      <c r="AB72" s="16">
        <v>44.1</v>
      </c>
      <c r="AC72" s="2">
        <v>2029</v>
      </c>
      <c r="AD72" s="2" t="s">
        <v>82</v>
      </c>
      <c r="AE72" s="16"/>
      <c r="AF72" s="16"/>
      <c r="AG72" s="16"/>
      <c r="AH72" s="16"/>
      <c r="AI72" s="8" t="s">
        <v>83</v>
      </c>
      <c r="AJ72" s="2" t="s">
        <v>84</v>
      </c>
      <c r="AK72" s="2">
        <v>1</v>
      </c>
      <c r="AL72" s="8" t="s">
        <v>676</v>
      </c>
      <c r="AM72" s="8" t="s">
        <v>677</v>
      </c>
      <c r="AN72" s="2">
        <v>2026</v>
      </c>
      <c r="AO72" s="16">
        <v>1554</v>
      </c>
      <c r="AP72" s="2">
        <v>2029</v>
      </c>
      <c r="AQ72" s="16">
        <v>1911</v>
      </c>
      <c r="AR72" s="2" t="s">
        <v>86</v>
      </c>
      <c r="AS72" s="16">
        <v>7.1</v>
      </c>
      <c r="AT72" s="2">
        <v>2026</v>
      </c>
      <c r="AU72" s="16">
        <v>558</v>
      </c>
      <c r="AV72" s="2">
        <v>2029</v>
      </c>
      <c r="AW72" s="16">
        <v>646</v>
      </c>
      <c r="AX72" s="2" t="s">
        <v>86</v>
      </c>
      <c r="AY72" s="16">
        <v>5</v>
      </c>
      <c r="AZ72" s="2">
        <v>2026</v>
      </c>
      <c r="BA72" s="16">
        <v>1061</v>
      </c>
      <c r="BB72" s="2">
        <v>2029</v>
      </c>
      <c r="BC72" s="16">
        <v>1229</v>
      </c>
      <c r="BD72" s="2" t="s">
        <v>86</v>
      </c>
      <c r="BE72" s="16">
        <v>5</v>
      </c>
      <c r="BF72" s="2">
        <v>2026</v>
      </c>
      <c r="BG72" s="16">
        <v>379</v>
      </c>
      <c r="BH72" s="2">
        <v>2029</v>
      </c>
      <c r="BI72" s="16">
        <v>390</v>
      </c>
      <c r="BJ72" s="2" t="s">
        <v>87</v>
      </c>
      <c r="BK72" s="8"/>
      <c r="BL72" s="8" t="str">
        <f>HYPERLINK("https://seichotoushi-hojo.jp/assets/pdf/koufu/outline_167.pdf","PDFを開く")</f>
        <v>PDFを開く</v>
      </c>
      <c r="BM72" s="8" t="s">
        <v>678</v>
      </c>
      <c r="BN72" s="8" t="s">
        <v>679</v>
      </c>
      <c r="BO72" s="8" t="s">
        <v>90</v>
      </c>
      <c r="BP72" s="8" t="s">
        <v>90</v>
      </c>
      <c r="BQ72" s="8" t="s">
        <v>90</v>
      </c>
      <c r="BR72" s="8" t="s">
        <v>92</v>
      </c>
    </row>
    <row r="73" spans="1:70" ht="45.95" customHeight="1">
      <c r="A73" s="5" t="s">
        <v>680</v>
      </c>
      <c r="B73" s="5" t="s">
        <v>73</v>
      </c>
      <c r="C73" s="5" t="s">
        <v>681</v>
      </c>
      <c r="D73" s="5" t="s">
        <v>681</v>
      </c>
      <c r="E73" s="5" t="s">
        <v>95</v>
      </c>
      <c r="F73" s="5"/>
      <c r="G73" s="5">
        <v>2</v>
      </c>
      <c r="H73" s="5">
        <v>0</v>
      </c>
      <c r="I73" s="5">
        <v>1</v>
      </c>
      <c r="J73" s="5">
        <v>1</v>
      </c>
      <c r="K73" s="5">
        <v>0</v>
      </c>
      <c r="L73" s="17">
        <v>7900</v>
      </c>
      <c r="M73" s="17">
        <v>2600</v>
      </c>
      <c r="N73" s="9" t="s">
        <v>682</v>
      </c>
      <c r="O73" s="13">
        <f t="shared" si="1"/>
        <v>32.911392405063289</v>
      </c>
      <c r="P73" s="5">
        <v>2</v>
      </c>
      <c r="Q73" s="5" t="s">
        <v>77</v>
      </c>
      <c r="R73" s="9" t="s">
        <v>683</v>
      </c>
      <c r="S73" s="9" t="s">
        <v>684</v>
      </c>
      <c r="T73" s="9" t="s">
        <v>80</v>
      </c>
      <c r="U73" s="5" t="s">
        <v>81</v>
      </c>
      <c r="V73" s="5">
        <v>2027</v>
      </c>
      <c r="W73" s="17"/>
      <c r="X73" s="5">
        <v>2030</v>
      </c>
      <c r="Y73" s="17"/>
      <c r="Z73" s="17">
        <v>370</v>
      </c>
      <c r="AA73" s="5">
        <v>2030</v>
      </c>
      <c r="AB73" s="17">
        <v>86</v>
      </c>
      <c r="AC73" s="5">
        <v>2030</v>
      </c>
      <c r="AD73" s="5" t="s">
        <v>82</v>
      </c>
      <c r="AE73" s="17"/>
      <c r="AF73" s="17"/>
      <c r="AG73" s="17"/>
      <c r="AH73" s="17"/>
      <c r="AI73" s="9" t="s">
        <v>83</v>
      </c>
      <c r="AJ73" s="5" t="s">
        <v>84</v>
      </c>
      <c r="AK73" s="5">
        <v>1</v>
      </c>
      <c r="AL73" s="9" t="s">
        <v>685</v>
      </c>
      <c r="AM73" s="9"/>
      <c r="AN73" s="5">
        <v>2027</v>
      </c>
      <c r="AO73" s="17">
        <v>8275</v>
      </c>
      <c r="AP73" s="5">
        <v>2030</v>
      </c>
      <c r="AQ73" s="17">
        <v>11703</v>
      </c>
      <c r="AR73" s="5" t="s">
        <v>86</v>
      </c>
      <c r="AS73" s="17">
        <v>12.2</v>
      </c>
      <c r="AT73" s="5">
        <v>2027</v>
      </c>
      <c r="AU73" s="17">
        <v>791</v>
      </c>
      <c r="AV73" s="5">
        <v>2030</v>
      </c>
      <c r="AW73" s="17">
        <v>929</v>
      </c>
      <c r="AX73" s="5" t="s">
        <v>86</v>
      </c>
      <c r="AY73" s="17">
        <v>5.5</v>
      </c>
      <c r="AZ73" s="5"/>
      <c r="BA73" s="17"/>
      <c r="BB73" s="5"/>
      <c r="BC73" s="17"/>
      <c r="BD73" s="5"/>
      <c r="BE73" s="17"/>
      <c r="BF73" s="5">
        <v>2027</v>
      </c>
      <c r="BG73" s="17">
        <v>30</v>
      </c>
      <c r="BH73" s="5">
        <v>2030</v>
      </c>
      <c r="BI73" s="17">
        <v>110</v>
      </c>
      <c r="BJ73" s="5" t="s">
        <v>87</v>
      </c>
      <c r="BK73" s="9"/>
      <c r="BL73" s="9" t="str">
        <f>HYPERLINK("https://seichotoushi-hojo.jp/assets/pdf/koufu/outline_168.pdf","PDFを開く")</f>
        <v>PDFを開く</v>
      </c>
      <c r="BM73" s="9" t="s">
        <v>686</v>
      </c>
      <c r="BN73" s="9" t="s">
        <v>687</v>
      </c>
      <c r="BO73" s="9" t="s">
        <v>90</v>
      </c>
      <c r="BP73" s="9" t="s">
        <v>90</v>
      </c>
      <c r="BQ73" s="9" t="s">
        <v>156</v>
      </c>
      <c r="BR73" s="9" t="s">
        <v>92</v>
      </c>
    </row>
    <row r="74" spans="1:70" ht="45.95" customHeight="1">
      <c r="A74" s="2" t="s">
        <v>688</v>
      </c>
      <c r="B74" s="2" t="s">
        <v>73</v>
      </c>
      <c r="C74" s="2" t="s">
        <v>689</v>
      </c>
      <c r="D74" s="2" t="s">
        <v>689</v>
      </c>
      <c r="E74" s="2"/>
      <c r="F74" s="2"/>
      <c r="G74" s="2">
        <v>2</v>
      </c>
      <c r="H74" s="2">
        <v>0</v>
      </c>
      <c r="I74" s="2">
        <v>1</v>
      </c>
      <c r="J74" s="2">
        <v>1</v>
      </c>
      <c r="K74" s="2">
        <v>0</v>
      </c>
      <c r="L74" s="16">
        <v>9600</v>
      </c>
      <c r="M74" s="16">
        <v>2700</v>
      </c>
      <c r="N74" s="8" t="s">
        <v>690</v>
      </c>
      <c r="O74" s="12">
        <f t="shared" si="1"/>
        <v>28.125</v>
      </c>
      <c r="P74" s="2">
        <v>2</v>
      </c>
      <c r="Q74" s="2" t="s">
        <v>77</v>
      </c>
      <c r="R74" s="8" t="s">
        <v>690</v>
      </c>
      <c r="S74" s="8" t="s">
        <v>691</v>
      </c>
      <c r="T74" s="8" t="s">
        <v>80</v>
      </c>
      <c r="U74" s="2" t="s">
        <v>81</v>
      </c>
      <c r="V74" s="2"/>
      <c r="W74" s="16"/>
      <c r="X74" s="2"/>
      <c r="Y74" s="16"/>
      <c r="Z74" s="16"/>
      <c r="AA74" s="2"/>
      <c r="AB74" s="16"/>
      <c r="AC74" s="2"/>
      <c r="AD74" s="2"/>
      <c r="AE74" s="16"/>
      <c r="AF74" s="16"/>
      <c r="AG74" s="16"/>
      <c r="AH74" s="16">
        <v>2</v>
      </c>
      <c r="AI74" s="8" t="s">
        <v>692</v>
      </c>
      <c r="AJ74" s="2" t="s">
        <v>587</v>
      </c>
      <c r="AK74" s="2">
        <v>1</v>
      </c>
      <c r="AL74" s="8" t="s">
        <v>693</v>
      </c>
      <c r="AM74" s="8"/>
      <c r="AN74" s="2">
        <v>2027</v>
      </c>
      <c r="AO74" s="16">
        <v>3059</v>
      </c>
      <c r="AP74" s="2">
        <v>2030</v>
      </c>
      <c r="AQ74" s="16">
        <v>4247</v>
      </c>
      <c r="AR74" s="2" t="s">
        <v>86</v>
      </c>
      <c r="AS74" s="16">
        <v>11.6</v>
      </c>
      <c r="AT74" s="2">
        <v>2027</v>
      </c>
      <c r="AU74" s="16">
        <v>740</v>
      </c>
      <c r="AV74" s="2">
        <v>2030</v>
      </c>
      <c r="AW74" s="16">
        <v>881</v>
      </c>
      <c r="AX74" s="2" t="s">
        <v>86</v>
      </c>
      <c r="AY74" s="16">
        <v>6</v>
      </c>
      <c r="AZ74" s="2"/>
      <c r="BA74" s="16"/>
      <c r="BB74" s="2"/>
      <c r="BC74" s="16"/>
      <c r="BD74" s="2"/>
      <c r="BE74" s="16"/>
      <c r="BF74" s="2">
        <v>2027</v>
      </c>
      <c r="BG74" s="16">
        <v>158</v>
      </c>
      <c r="BH74" s="2">
        <v>2030</v>
      </c>
      <c r="BI74" s="16">
        <v>171</v>
      </c>
      <c r="BJ74" s="2" t="s">
        <v>87</v>
      </c>
      <c r="BK74" s="8"/>
      <c r="BL74" s="8" t="str">
        <f>HYPERLINK("https://seichotoushi-hojo.jp/assets/pdf/koufu/outline_169.pdf","PDFを開く")</f>
        <v>PDFを開く</v>
      </c>
      <c r="BM74" s="8" t="s">
        <v>694</v>
      </c>
      <c r="BN74" s="8" t="s">
        <v>695</v>
      </c>
      <c r="BO74" s="8" t="s">
        <v>90</v>
      </c>
      <c r="BP74" s="8" t="s">
        <v>90</v>
      </c>
      <c r="BQ74" s="8" t="s">
        <v>157</v>
      </c>
      <c r="BR74" s="8" t="s">
        <v>92</v>
      </c>
    </row>
    <row r="75" spans="1:70" ht="45.95" customHeight="1">
      <c r="A75" s="5" t="s">
        <v>696</v>
      </c>
      <c r="B75" s="5" t="s">
        <v>73</v>
      </c>
      <c r="C75" s="5" t="s">
        <v>697</v>
      </c>
      <c r="D75" s="5" t="s">
        <v>697</v>
      </c>
      <c r="E75" s="5" t="s">
        <v>95</v>
      </c>
      <c r="F75" s="5"/>
      <c r="G75" s="5">
        <v>2</v>
      </c>
      <c r="H75" s="5">
        <v>0</v>
      </c>
      <c r="I75" s="5">
        <v>1</v>
      </c>
      <c r="J75" s="5">
        <v>1</v>
      </c>
      <c r="K75" s="5">
        <v>0</v>
      </c>
      <c r="L75" s="17">
        <v>9400</v>
      </c>
      <c r="M75" s="17">
        <v>2900</v>
      </c>
      <c r="N75" s="9" t="s">
        <v>698</v>
      </c>
      <c r="O75" s="13">
        <f t="shared" si="1"/>
        <v>30.851063829787233</v>
      </c>
      <c r="P75" s="5">
        <v>2</v>
      </c>
      <c r="Q75" s="5" t="s">
        <v>308</v>
      </c>
      <c r="R75" s="9" t="s">
        <v>699</v>
      </c>
      <c r="S75" s="9" t="s">
        <v>700</v>
      </c>
      <c r="T75" s="9" t="s">
        <v>310</v>
      </c>
      <c r="U75" s="5" t="s">
        <v>81</v>
      </c>
      <c r="V75" s="5">
        <v>2022</v>
      </c>
      <c r="W75" s="17"/>
      <c r="X75" s="5">
        <v>2027</v>
      </c>
      <c r="Y75" s="17">
        <v>100.38</v>
      </c>
      <c r="Z75" s="17"/>
      <c r="AA75" s="5"/>
      <c r="AB75" s="17">
        <v>102.3</v>
      </c>
      <c r="AC75" s="5">
        <v>2027</v>
      </c>
      <c r="AD75" s="5" t="s">
        <v>82</v>
      </c>
      <c r="AE75" s="17"/>
      <c r="AF75" s="17"/>
      <c r="AG75" s="17"/>
      <c r="AH75" s="17"/>
      <c r="AI75" s="9" t="s">
        <v>83</v>
      </c>
      <c r="AJ75" s="5" t="s">
        <v>84</v>
      </c>
      <c r="AK75" s="5">
        <v>1</v>
      </c>
      <c r="AL75" s="9" t="s">
        <v>701</v>
      </c>
      <c r="AM75" s="9" t="s">
        <v>702</v>
      </c>
      <c r="AN75" s="5">
        <v>2026</v>
      </c>
      <c r="AO75" s="17">
        <v>2439</v>
      </c>
      <c r="AP75" s="5">
        <v>2029</v>
      </c>
      <c r="AQ75" s="17">
        <v>4187</v>
      </c>
      <c r="AR75" s="5" t="s">
        <v>86</v>
      </c>
      <c r="AS75" s="17">
        <v>19.78</v>
      </c>
      <c r="AT75" s="5">
        <v>2026</v>
      </c>
      <c r="AU75" s="17">
        <v>497</v>
      </c>
      <c r="AV75" s="5">
        <v>2029</v>
      </c>
      <c r="AW75" s="17">
        <v>580</v>
      </c>
      <c r="AX75" s="5" t="s">
        <v>86</v>
      </c>
      <c r="AY75" s="17">
        <v>5.34</v>
      </c>
      <c r="AZ75" s="5">
        <v>2026</v>
      </c>
      <c r="BA75" s="17"/>
      <c r="BB75" s="5">
        <v>2029</v>
      </c>
      <c r="BC75" s="17"/>
      <c r="BD75" s="5" t="s">
        <v>86</v>
      </c>
      <c r="BE75" s="17">
        <v>5</v>
      </c>
      <c r="BF75" s="5">
        <v>2026</v>
      </c>
      <c r="BG75" s="17">
        <v>213</v>
      </c>
      <c r="BH75" s="5">
        <v>2029</v>
      </c>
      <c r="BI75" s="17">
        <v>222</v>
      </c>
      <c r="BJ75" s="5" t="s">
        <v>87</v>
      </c>
      <c r="BK75" s="9"/>
      <c r="BL75" s="9" t="str">
        <f>HYPERLINK("https://seichotoushi-hojo.jp/assets/pdf/koufu/outline_17.pdf","PDFを開く")</f>
        <v>PDFを開く</v>
      </c>
      <c r="BM75" s="9" t="s">
        <v>703</v>
      </c>
      <c r="BN75" s="9" t="s">
        <v>704</v>
      </c>
      <c r="BO75" s="9" t="s">
        <v>90</v>
      </c>
      <c r="BP75" s="9" t="s">
        <v>90</v>
      </c>
      <c r="BQ75" s="9" t="s">
        <v>91</v>
      </c>
      <c r="BR75" s="9" t="s">
        <v>92</v>
      </c>
    </row>
    <row r="76" spans="1:70" ht="45.95" customHeight="1">
      <c r="A76" s="2" t="s">
        <v>705</v>
      </c>
      <c r="B76" s="2" t="s">
        <v>73</v>
      </c>
      <c r="C76" s="2" t="s">
        <v>706</v>
      </c>
      <c r="D76" s="2" t="s">
        <v>706</v>
      </c>
      <c r="E76" s="2" t="s">
        <v>107</v>
      </c>
      <c r="F76" s="2"/>
      <c r="G76" s="2">
        <v>2</v>
      </c>
      <c r="H76" s="2">
        <v>0</v>
      </c>
      <c r="I76" s="2">
        <v>1</v>
      </c>
      <c r="J76" s="2">
        <v>1</v>
      </c>
      <c r="K76" s="2">
        <v>0</v>
      </c>
      <c r="L76" s="16">
        <v>1700</v>
      </c>
      <c r="M76" s="16">
        <v>520</v>
      </c>
      <c r="N76" s="8" t="s">
        <v>707</v>
      </c>
      <c r="O76" s="12">
        <f t="shared" si="1"/>
        <v>30.588235294117649</v>
      </c>
      <c r="P76" s="2">
        <v>2</v>
      </c>
      <c r="Q76" s="2" t="s">
        <v>77</v>
      </c>
      <c r="R76" s="8" t="s">
        <v>708</v>
      </c>
      <c r="S76" s="8" t="s">
        <v>709</v>
      </c>
      <c r="T76" s="8" t="s">
        <v>80</v>
      </c>
      <c r="U76" s="2" t="s">
        <v>81</v>
      </c>
      <c r="V76" s="2"/>
      <c r="W76" s="16"/>
      <c r="X76" s="2">
        <v>2029</v>
      </c>
      <c r="Y76" s="16"/>
      <c r="Z76" s="16">
        <v>26</v>
      </c>
      <c r="AA76" s="2">
        <v>2029</v>
      </c>
      <c r="AB76" s="16">
        <v>272</v>
      </c>
      <c r="AC76" s="2">
        <v>2029</v>
      </c>
      <c r="AD76" s="2" t="s">
        <v>82</v>
      </c>
      <c r="AE76" s="16"/>
      <c r="AF76" s="16"/>
      <c r="AG76" s="16"/>
      <c r="AH76" s="16"/>
      <c r="AI76" s="8" t="s">
        <v>83</v>
      </c>
      <c r="AJ76" s="2" t="s">
        <v>84</v>
      </c>
      <c r="AK76" s="2">
        <v>1</v>
      </c>
      <c r="AL76" s="8" t="s">
        <v>710</v>
      </c>
      <c r="AM76" s="8"/>
      <c r="AN76" s="2">
        <v>2026</v>
      </c>
      <c r="AO76" s="16">
        <v>678</v>
      </c>
      <c r="AP76" s="2">
        <v>2029</v>
      </c>
      <c r="AQ76" s="16">
        <v>852</v>
      </c>
      <c r="AR76" s="2" t="s">
        <v>86</v>
      </c>
      <c r="AS76" s="16">
        <v>7.9</v>
      </c>
      <c r="AT76" s="2">
        <v>2026</v>
      </c>
      <c r="AU76" s="16">
        <v>436</v>
      </c>
      <c r="AV76" s="2">
        <v>2029</v>
      </c>
      <c r="AW76" s="16">
        <v>499</v>
      </c>
      <c r="AX76" s="2" t="s">
        <v>86</v>
      </c>
      <c r="AY76" s="16">
        <v>4.5999999999999996</v>
      </c>
      <c r="AZ76" s="2"/>
      <c r="BA76" s="16"/>
      <c r="BB76" s="2"/>
      <c r="BC76" s="16"/>
      <c r="BD76" s="2"/>
      <c r="BE76" s="16"/>
      <c r="BF76" s="2">
        <v>2026</v>
      </c>
      <c r="BG76" s="16">
        <v>22</v>
      </c>
      <c r="BH76" s="2">
        <v>2029</v>
      </c>
      <c r="BI76" s="16">
        <v>77</v>
      </c>
      <c r="BJ76" s="2" t="s">
        <v>87</v>
      </c>
      <c r="BK76" s="8"/>
      <c r="BL76" s="8" t="str">
        <f>HYPERLINK("https://seichotoushi-hojo.jp/assets/pdf/koufu/outline_170.pdf","PDFを開く")</f>
        <v>PDFを開く</v>
      </c>
      <c r="BM76" s="8" t="s">
        <v>711</v>
      </c>
      <c r="BN76" s="8" t="s">
        <v>712</v>
      </c>
      <c r="BO76" s="8" t="s">
        <v>90</v>
      </c>
      <c r="BP76" s="8" t="s">
        <v>90</v>
      </c>
      <c r="BQ76" s="8" t="s">
        <v>156</v>
      </c>
      <c r="BR76" s="8" t="s">
        <v>92</v>
      </c>
    </row>
    <row r="77" spans="1:70" ht="45.95" customHeight="1">
      <c r="A77" s="5" t="s">
        <v>713</v>
      </c>
      <c r="B77" s="5" t="s">
        <v>73</v>
      </c>
      <c r="C77" s="5" t="s">
        <v>714</v>
      </c>
      <c r="D77" s="5" t="s">
        <v>714</v>
      </c>
      <c r="E77" s="5" t="s">
        <v>95</v>
      </c>
      <c r="F77" s="5"/>
      <c r="G77" s="5">
        <v>2</v>
      </c>
      <c r="H77" s="5">
        <v>0</v>
      </c>
      <c r="I77" s="5">
        <v>1</v>
      </c>
      <c r="J77" s="5">
        <v>1</v>
      </c>
      <c r="K77" s="5">
        <v>0</v>
      </c>
      <c r="L77" s="17">
        <v>2500</v>
      </c>
      <c r="M77" s="17">
        <v>780</v>
      </c>
      <c r="N77" s="9" t="s">
        <v>715</v>
      </c>
      <c r="O77" s="13">
        <f t="shared" si="1"/>
        <v>31.2</v>
      </c>
      <c r="P77" s="5">
        <v>2</v>
      </c>
      <c r="Q77" s="5" t="s">
        <v>77</v>
      </c>
      <c r="R77" s="9" t="s">
        <v>715</v>
      </c>
      <c r="S77" s="9" t="s">
        <v>716</v>
      </c>
      <c r="T77" s="9" t="s">
        <v>80</v>
      </c>
      <c r="U77" s="5" t="s">
        <v>81</v>
      </c>
      <c r="V77" s="5"/>
      <c r="W77" s="17"/>
      <c r="X77" s="5">
        <v>2030</v>
      </c>
      <c r="Y77" s="17"/>
      <c r="Z77" s="17">
        <v>86</v>
      </c>
      <c r="AA77" s="5">
        <v>2030</v>
      </c>
      <c r="AB77" s="17">
        <v>81</v>
      </c>
      <c r="AC77" s="5">
        <v>2030</v>
      </c>
      <c r="AD77" s="5" t="s">
        <v>82</v>
      </c>
      <c r="AE77" s="17"/>
      <c r="AF77" s="17"/>
      <c r="AG77" s="17"/>
      <c r="AH77" s="17"/>
      <c r="AI77" s="9" t="s">
        <v>83</v>
      </c>
      <c r="AJ77" s="5" t="s">
        <v>84</v>
      </c>
      <c r="AK77" s="5">
        <v>1</v>
      </c>
      <c r="AL77" s="9" t="s">
        <v>717</v>
      </c>
      <c r="AM77" s="9"/>
      <c r="AN77" s="5">
        <v>2026</v>
      </c>
      <c r="AO77" s="17">
        <v>1588</v>
      </c>
      <c r="AP77" s="5">
        <v>2029</v>
      </c>
      <c r="AQ77" s="17">
        <v>2647</v>
      </c>
      <c r="AR77" s="5" t="s">
        <v>86</v>
      </c>
      <c r="AS77" s="17">
        <v>18.600000000000001</v>
      </c>
      <c r="AT77" s="5">
        <v>2026</v>
      </c>
      <c r="AU77" s="17">
        <v>408</v>
      </c>
      <c r="AV77" s="5">
        <v>2029</v>
      </c>
      <c r="AW77" s="17">
        <v>472</v>
      </c>
      <c r="AX77" s="5" t="s">
        <v>86</v>
      </c>
      <c r="AY77" s="17">
        <v>5</v>
      </c>
      <c r="AZ77" s="5"/>
      <c r="BA77" s="17"/>
      <c r="BB77" s="5"/>
      <c r="BC77" s="17"/>
      <c r="BD77" s="5"/>
      <c r="BE77" s="17"/>
      <c r="BF77" s="5">
        <v>2026</v>
      </c>
      <c r="BG77" s="17">
        <v>99</v>
      </c>
      <c r="BH77" s="5">
        <v>2029</v>
      </c>
      <c r="BI77" s="17">
        <v>120</v>
      </c>
      <c r="BJ77" s="5" t="s">
        <v>87</v>
      </c>
      <c r="BK77" s="9"/>
      <c r="BL77" s="9" t="str">
        <f>HYPERLINK("https://seichotoushi-hojo.jp/assets/pdf/koufu/outline_171.pdf","PDFを開く")</f>
        <v>PDFを開く</v>
      </c>
      <c r="BM77" s="9" t="s">
        <v>718</v>
      </c>
      <c r="BN77" s="9" t="s">
        <v>719</v>
      </c>
      <c r="BO77" s="9" t="s">
        <v>90</v>
      </c>
      <c r="BP77" s="9" t="s">
        <v>90</v>
      </c>
      <c r="BQ77" s="9" t="s">
        <v>157</v>
      </c>
      <c r="BR77" s="9" t="s">
        <v>92</v>
      </c>
    </row>
    <row r="78" spans="1:70" ht="45.95" customHeight="1">
      <c r="A78" s="2" t="s">
        <v>720</v>
      </c>
      <c r="B78" s="2" t="s">
        <v>73</v>
      </c>
      <c r="C78" s="2" t="s">
        <v>721</v>
      </c>
      <c r="D78" s="2" t="s">
        <v>721</v>
      </c>
      <c r="E78" s="2" t="s">
        <v>75</v>
      </c>
      <c r="F78" s="2" t="s">
        <v>722</v>
      </c>
      <c r="G78" s="2">
        <v>2</v>
      </c>
      <c r="H78" s="2">
        <v>0</v>
      </c>
      <c r="I78" s="2">
        <v>1</v>
      </c>
      <c r="J78" s="2">
        <v>1</v>
      </c>
      <c r="K78" s="2">
        <v>0</v>
      </c>
      <c r="L78" s="16">
        <v>2100</v>
      </c>
      <c r="M78" s="16">
        <v>200</v>
      </c>
      <c r="N78" s="8" t="s">
        <v>723</v>
      </c>
      <c r="O78" s="12">
        <f t="shared" si="1"/>
        <v>9.5238095238095237</v>
      </c>
      <c r="P78" s="2">
        <v>2</v>
      </c>
      <c r="Q78" s="2" t="s">
        <v>77</v>
      </c>
      <c r="R78" s="8" t="s">
        <v>723</v>
      </c>
      <c r="S78" s="8" t="s">
        <v>724</v>
      </c>
      <c r="T78" s="8" t="s">
        <v>80</v>
      </c>
      <c r="U78" s="2" t="s">
        <v>81</v>
      </c>
      <c r="V78" s="2">
        <v>2024</v>
      </c>
      <c r="W78" s="16"/>
      <c r="X78" s="2">
        <v>2030</v>
      </c>
      <c r="Y78" s="16"/>
      <c r="Z78" s="16">
        <v>32</v>
      </c>
      <c r="AA78" s="2">
        <v>2030</v>
      </c>
      <c r="AB78" s="16">
        <v>4.7</v>
      </c>
      <c r="AC78" s="2">
        <v>2030</v>
      </c>
      <c r="AD78" s="2" t="s">
        <v>210</v>
      </c>
      <c r="AE78" s="16"/>
      <c r="AF78" s="16"/>
      <c r="AG78" s="16"/>
      <c r="AH78" s="16"/>
      <c r="AI78" s="8" t="s">
        <v>83</v>
      </c>
      <c r="AJ78" s="2" t="s">
        <v>84</v>
      </c>
      <c r="AK78" s="2">
        <v>1</v>
      </c>
      <c r="AL78" s="8" t="s">
        <v>725</v>
      </c>
      <c r="AM78" s="8"/>
      <c r="AN78" s="2">
        <v>2025</v>
      </c>
      <c r="AO78" s="16">
        <v>1074</v>
      </c>
      <c r="AP78" s="2">
        <v>2028</v>
      </c>
      <c r="AQ78" s="16">
        <v>2592</v>
      </c>
      <c r="AR78" s="2" t="s">
        <v>86</v>
      </c>
      <c r="AS78" s="16">
        <v>34.200000000000003</v>
      </c>
      <c r="AT78" s="2">
        <v>2025</v>
      </c>
      <c r="AU78" s="16">
        <v>539</v>
      </c>
      <c r="AV78" s="2">
        <v>2028</v>
      </c>
      <c r="AW78" s="16">
        <v>644</v>
      </c>
      <c r="AX78" s="2" t="s">
        <v>86</v>
      </c>
      <c r="AY78" s="16">
        <v>6.1</v>
      </c>
      <c r="AZ78" s="2">
        <v>2025</v>
      </c>
      <c r="BA78" s="16">
        <v>1650</v>
      </c>
      <c r="BB78" s="2">
        <v>2028</v>
      </c>
      <c r="BC78" s="16">
        <v>1972</v>
      </c>
      <c r="BD78" s="2" t="s">
        <v>86</v>
      </c>
      <c r="BE78" s="16">
        <v>6.1</v>
      </c>
      <c r="BF78" s="2">
        <v>2025</v>
      </c>
      <c r="BG78" s="16">
        <v>35</v>
      </c>
      <c r="BH78" s="2">
        <v>2028</v>
      </c>
      <c r="BI78" s="16">
        <v>36</v>
      </c>
      <c r="BJ78" s="2" t="s">
        <v>87</v>
      </c>
      <c r="BK78" s="8"/>
      <c r="BL78" s="8" t="str">
        <f>HYPERLINK("https://seichotoushi-hojo.jp/assets/pdf/koufu/outline_173.pdf","PDFを開く")</f>
        <v>PDFを開く</v>
      </c>
      <c r="BM78" s="8" t="s">
        <v>726</v>
      </c>
      <c r="BN78" s="8" t="s">
        <v>727</v>
      </c>
      <c r="BO78" s="8" t="s">
        <v>90</v>
      </c>
      <c r="BP78" s="8" t="s">
        <v>90</v>
      </c>
      <c r="BQ78" s="8" t="s">
        <v>90</v>
      </c>
      <c r="BR78" s="8" t="s">
        <v>92</v>
      </c>
    </row>
    <row r="79" spans="1:70" ht="45.95" customHeight="1">
      <c r="A79" s="5" t="s">
        <v>728</v>
      </c>
      <c r="B79" s="5" t="s">
        <v>73</v>
      </c>
      <c r="C79" s="5" t="s">
        <v>729</v>
      </c>
      <c r="D79" s="5" t="s">
        <v>729</v>
      </c>
      <c r="E79" s="5" t="s">
        <v>186</v>
      </c>
      <c r="F79" s="5" t="s">
        <v>730</v>
      </c>
      <c r="G79" s="5">
        <v>7</v>
      </c>
      <c r="H79" s="5">
        <v>0</v>
      </c>
      <c r="I79" s="5">
        <v>2</v>
      </c>
      <c r="J79" s="5">
        <v>5</v>
      </c>
      <c r="K79" s="5">
        <v>0</v>
      </c>
      <c r="L79" s="17">
        <v>3900</v>
      </c>
      <c r="M79" s="17">
        <v>420</v>
      </c>
      <c r="N79" s="9" t="s">
        <v>731</v>
      </c>
      <c r="O79" s="13">
        <f t="shared" si="1"/>
        <v>10.76923076923077</v>
      </c>
      <c r="P79" s="5">
        <v>3</v>
      </c>
      <c r="Q79" s="5" t="s">
        <v>77</v>
      </c>
      <c r="R79" s="9" t="s">
        <v>731</v>
      </c>
      <c r="S79" s="9" t="s">
        <v>732</v>
      </c>
      <c r="T79" s="9" t="s">
        <v>80</v>
      </c>
      <c r="U79" s="5" t="s">
        <v>81</v>
      </c>
      <c r="V79" s="5"/>
      <c r="W79" s="17"/>
      <c r="X79" s="5">
        <v>2029</v>
      </c>
      <c r="Y79" s="17"/>
      <c r="Z79" s="17">
        <v>29</v>
      </c>
      <c r="AA79" s="5">
        <v>2029</v>
      </c>
      <c r="AB79" s="17">
        <v>127</v>
      </c>
      <c r="AC79" s="5">
        <v>2029</v>
      </c>
      <c r="AD79" s="5" t="s">
        <v>82</v>
      </c>
      <c r="AE79" s="17"/>
      <c r="AF79" s="17"/>
      <c r="AG79" s="17"/>
      <c r="AH79" s="17"/>
      <c r="AI79" s="9" t="s">
        <v>83</v>
      </c>
      <c r="AJ79" s="5" t="s">
        <v>84</v>
      </c>
      <c r="AK79" s="5">
        <v>1</v>
      </c>
      <c r="AL79" s="9" t="s">
        <v>733</v>
      </c>
      <c r="AM79" s="9"/>
      <c r="AN79" s="5">
        <v>2026</v>
      </c>
      <c r="AO79" s="17">
        <v>1237</v>
      </c>
      <c r="AP79" s="5">
        <v>2029</v>
      </c>
      <c r="AQ79" s="17">
        <v>1440</v>
      </c>
      <c r="AR79" s="5" t="s">
        <v>86</v>
      </c>
      <c r="AS79" s="17">
        <v>12.7</v>
      </c>
      <c r="AT79" s="5">
        <v>2026</v>
      </c>
      <c r="AU79" s="17">
        <v>352</v>
      </c>
      <c r="AV79" s="5">
        <v>2029</v>
      </c>
      <c r="AW79" s="17">
        <v>436</v>
      </c>
      <c r="AX79" s="5" t="s">
        <v>86</v>
      </c>
      <c r="AY79" s="17">
        <v>7.4</v>
      </c>
      <c r="AZ79" s="5">
        <v>2026</v>
      </c>
      <c r="BA79" s="17">
        <v>360</v>
      </c>
      <c r="BB79" s="5">
        <v>2029</v>
      </c>
      <c r="BC79" s="17">
        <v>1200</v>
      </c>
      <c r="BD79" s="5" t="s">
        <v>86</v>
      </c>
      <c r="BE79" s="17">
        <v>49</v>
      </c>
      <c r="BF79" s="5">
        <v>2026</v>
      </c>
      <c r="BG79" s="17">
        <v>78</v>
      </c>
      <c r="BH79" s="5">
        <v>2029</v>
      </c>
      <c r="BI79" s="17">
        <v>130</v>
      </c>
      <c r="BJ79" s="5" t="s">
        <v>87</v>
      </c>
      <c r="BK79" s="9"/>
      <c r="BL79" s="9" t="str">
        <f>HYPERLINK("https://seichotoushi-hojo.jp/assets/pdf/koufu/outline_174.pdf","PDFを開く")</f>
        <v>PDFを開く</v>
      </c>
      <c r="BM79" s="9" t="s">
        <v>734</v>
      </c>
      <c r="BN79" s="9" t="s">
        <v>735</v>
      </c>
      <c r="BO79" s="9" t="s">
        <v>113</v>
      </c>
      <c r="BP79" s="9" t="s">
        <v>90</v>
      </c>
      <c r="BQ79" s="9" t="s">
        <v>90</v>
      </c>
      <c r="BR79" s="9" t="s">
        <v>92</v>
      </c>
    </row>
    <row r="80" spans="1:70" ht="45.95" customHeight="1">
      <c r="A80" s="2" t="s">
        <v>736</v>
      </c>
      <c r="B80" s="2" t="s">
        <v>73</v>
      </c>
      <c r="C80" s="2" t="s">
        <v>737</v>
      </c>
      <c r="D80" s="2" t="s">
        <v>737</v>
      </c>
      <c r="E80" s="2" t="s">
        <v>95</v>
      </c>
      <c r="F80" s="2" t="s">
        <v>738</v>
      </c>
      <c r="G80" s="2">
        <v>2</v>
      </c>
      <c r="H80" s="2">
        <v>0</v>
      </c>
      <c r="I80" s="2">
        <v>1</v>
      </c>
      <c r="J80" s="2">
        <v>1</v>
      </c>
      <c r="K80" s="2">
        <v>0</v>
      </c>
      <c r="L80" s="16">
        <v>2500</v>
      </c>
      <c r="M80" s="16">
        <v>300</v>
      </c>
      <c r="N80" s="8" t="s">
        <v>739</v>
      </c>
      <c r="O80" s="12">
        <f t="shared" si="1"/>
        <v>12</v>
      </c>
      <c r="P80" s="2">
        <v>2</v>
      </c>
      <c r="Q80" s="2" t="s">
        <v>308</v>
      </c>
      <c r="R80" s="8" t="s">
        <v>740</v>
      </c>
      <c r="S80" s="8" t="s">
        <v>741</v>
      </c>
      <c r="T80" s="8" t="s">
        <v>310</v>
      </c>
      <c r="U80" s="2" t="s">
        <v>81</v>
      </c>
      <c r="V80" s="2"/>
      <c r="W80" s="16"/>
      <c r="X80" s="2">
        <v>2033</v>
      </c>
      <c r="Y80" s="16"/>
      <c r="Z80" s="16">
        <v>56.9</v>
      </c>
      <c r="AA80" s="2">
        <v>2033</v>
      </c>
      <c r="AB80" s="16">
        <v>350.38</v>
      </c>
      <c r="AC80" s="2">
        <v>2033</v>
      </c>
      <c r="AD80" s="2" t="s">
        <v>82</v>
      </c>
      <c r="AE80" s="16"/>
      <c r="AF80" s="16"/>
      <c r="AG80" s="16"/>
      <c r="AH80" s="16"/>
      <c r="AI80" s="8" t="s">
        <v>83</v>
      </c>
      <c r="AJ80" s="2" t="s">
        <v>84</v>
      </c>
      <c r="AK80" s="2">
        <v>1</v>
      </c>
      <c r="AL80" s="8" t="s">
        <v>742</v>
      </c>
      <c r="AM80" s="8"/>
      <c r="AN80" s="2">
        <v>2026</v>
      </c>
      <c r="AO80" s="16">
        <v>2338</v>
      </c>
      <c r="AP80" s="2">
        <v>2029</v>
      </c>
      <c r="AQ80" s="16">
        <v>3093</v>
      </c>
      <c r="AR80" s="2" t="s">
        <v>86</v>
      </c>
      <c r="AS80" s="16">
        <v>9.8000000000000007</v>
      </c>
      <c r="AT80" s="2">
        <v>2026</v>
      </c>
      <c r="AU80" s="16">
        <v>640</v>
      </c>
      <c r="AV80" s="2">
        <v>2029</v>
      </c>
      <c r="AW80" s="16">
        <v>747</v>
      </c>
      <c r="AX80" s="2" t="s">
        <v>86</v>
      </c>
      <c r="AY80" s="16">
        <v>5.3</v>
      </c>
      <c r="AZ80" s="2">
        <v>2026</v>
      </c>
      <c r="BA80" s="16">
        <v>640</v>
      </c>
      <c r="BB80" s="2">
        <v>2029</v>
      </c>
      <c r="BC80" s="16">
        <v>747</v>
      </c>
      <c r="BD80" s="2" t="s">
        <v>86</v>
      </c>
      <c r="BE80" s="16">
        <v>5.3</v>
      </c>
      <c r="BF80" s="2">
        <v>2026</v>
      </c>
      <c r="BG80" s="16">
        <v>32</v>
      </c>
      <c r="BH80" s="2">
        <v>2029</v>
      </c>
      <c r="BI80" s="16">
        <v>45</v>
      </c>
      <c r="BJ80" s="2" t="s">
        <v>87</v>
      </c>
      <c r="BK80" s="8"/>
      <c r="BL80" s="8" t="str">
        <f>HYPERLINK("https://seichotoushi-hojo.jp/assets/pdf/koufu/outline_177.pdf","PDFを開く")</f>
        <v>PDFを開く</v>
      </c>
      <c r="BM80" s="8" t="s">
        <v>743</v>
      </c>
      <c r="BN80" s="8" t="s">
        <v>744</v>
      </c>
      <c r="BO80" s="8" t="s">
        <v>166</v>
      </c>
      <c r="BP80" s="8" t="s">
        <v>166</v>
      </c>
      <c r="BQ80" s="8" t="s">
        <v>90</v>
      </c>
      <c r="BR80" s="8" t="s">
        <v>166</v>
      </c>
    </row>
    <row r="81" spans="1:70" ht="45.95" customHeight="1">
      <c r="A81" s="5" t="s">
        <v>745</v>
      </c>
      <c r="B81" s="5" t="s">
        <v>73</v>
      </c>
      <c r="C81" s="5" t="s">
        <v>746</v>
      </c>
      <c r="D81" s="5" t="s">
        <v>746</v>
      </c>
      <c r="E81" s="5" t="s">
        <v>75</v>
      </c>
      <c r="F81" s="5"/>
      <c r="G81" s="5">
        <v>2</v>
      </c>
      <c r="H81" s="5">
        <v>0</v>
      </c>
      <c r="I81" s="5">
        <v>1</v>
      </c>
      <c r="J81" s="5">
        <v>1</v>
      </c>
      <c r="K81" s="5">
        <v>0</v>
      </c>
      <c r="L81" s="17">
        <v>2900</v>
      </c>
      <c r="M81" s="17">
        <v>950</v>
      </c>
      <c r="N81" s="9" t="s">
        <v>747</v>
      </c>
      <c r="O81" s="13">
        <f t="shared" si="1"/>
        <v>32.758620689655174</v>
      </c>
      <c r="P81" s="5">
        <v>2</v>
      </c>
      <c r="Q81" s="5" t="s">
        <v>77</v>
      </c>
      <c r="R81" s="9" t="s">
        <v>748</v>
      </c>
      <c r="S81" s="9" t="s">
        <v>749</v>
      </c>
      <c r="T81" s="9" t="s">
        <v>80</v>
      </c>
      <c r="U81" s="5" t="s">
        <v>81</v>
      </c>
      <c r="V81" s="5">
        <v>2022</v>
      </c>
      <c r="W81" s="17"/>
      <c r="X81" s="5">
        <v>2029</v>
      </c>
      <c r="Y81" s="17"/>
      <c r="Z81" s="17">
        <v>82</v>
      </c>
      <c r="AA81" s="5">
        <v>2029</v>
      </c>
      <c r="AB81" s="17">
        <v>308</v>
      </c>
      <c r="AC81" s="5">
        <v>2029</v>
      </c>
      <c r="AD81" s="5" t="s">
        <v>82</v>
      </c>
      <c r="AE81" s="17"/>
      <c r="AF81" s="17"/>
      <c r="AG81" s="17"/>
      <c r="AH81" s="17"/>
      <c r="AI81" s="9" t="s">
        <v>83</v>
      </c>
      <c r="AJ81" s="5" t="s">
        <v>84</v>
      </c>
      <c r="AK81" s="5">
        <v>1</v>
      </c>
      <c r="AL81" s="9" t="s">
        <v>750</v>
      </c>
      <c r="AM81" s="9"/>
      <c r="AN81" s="5">
        <v>2026</v>
      </c>
      <c r="AO81" s="17">
        <v>1407</v>
      </c>
      <c r="AP81" s="5">
        <v>2029</v>
      </c>
      <c r="AQ81" s="17">
        <v>5456</v>
      </c>
      <c r="AR81" s="5" t="s">
        <v>86</v>
      </c>
      <c r="AS81" s="17">
        <v>57</v>
      </c>
      <c r="AT81" s="5">
        <v>2026</v>
      </c>
      <c r="AU81" s="17">
        <v>428</v>
      </c>
      <c r="AV81" s="5">
        <v>2029</v>
      </c>
      <c r="AW81" s="17">
        <v>482</v>
      </c>
      <c r="AX81" s="5" t="s">
        <v>86</v>
      </c>
      <c r="AY81" s="17">
        <v>4</v>
      </c>
      <c r="AZ81" s="5">
        <v>2026</v>
      </c>
      <c r="BA81" s="17"/>
      <c r="BB81" s="5">
        <v>2029</v>
      </c>
      <c r="BC81" s="17"/>
      <c r="BD81" s="5" t="s">
        <v>86</v>
      </c>
      <c r="BE81" s="17">
        <v>4</v>
      </c>
      <c r="BF81" s="5">
        <v>2026</v>
      </c>
      <c r="BG81" s="17">
        <v>23</v>
      </c>
      <c r="BH81" s="5">
        <v>2029</v>
      </c>
      <c r="BI81" s="17">
        <v>32</v>
      </c>
      <c r="BJ81" s="5" t="s">
        <v>87</v>
      </c>
      <c r="BK81" s="9"/>
      <c r="BL81" s="9" t="str">
        <f>HYPERLINK("https://seichotoushi-hojo.jp/assets/pdf/koufu/outline_19.pdf","PDFを開く")</f>
        <v>PDFを開く</v>
      </c>
      <c r="BM81" s="9" t="s">
        <v>751</v>
      </c>
      <c r="BN81" s="9" t="s">
        <v>752</v>
      </c>
      <c r="BO81" s="9" t="s">
        <v>90</v>
      </c>
      <c r="BP81" s="9" t="s">
        <v>90</v>
      </c>
      <c r="BQ81" s="9" t="s">
        <v>91</v>
      </c>
      <c r="BR81" s="9" t="s">
        <v>92</v>
      </c>
    </row>
    <row r="82" spans="1:70" ht="45.95" customHeight="1">
      <c r="A82" s="2" t="s">
        <v>753</v>
      </c>
      <c r="B82" s="2" t="s">
        <v>73</v>
      </c>
      <c r="C82" s="2" t="s">
        <v>754</v>
      </c>
      <c r="D82" s="2" t="s">
        <v>754</v>
      </c>
      <c r="E82" s="2" t="s">
        <v>107</v>
      </c>
      <c r="F82" s="2"/>
      <c r="G82" s="2">
        <v>2</v>
      </c>
      <c r="H82" s="2">
        <v>0</v>
      </c>
      <c r="I82" s="2">
        <v>1</v>
      </c>
      <c r="J82" s="2">
        <v>1</v>
      </c>
      <c r="K82" s="2">
        <v>0</v>
      </c>
      <c r="L82" s="16">
        <v>7400</v>
      </c>
      <c r="M82" s="16">
        <v>560</v>
      </c>
      <c r="N82" s="8" t="s">
        <v>755</v>
      </c>
      <c r="O82" s="12">
        <f t="shared" si="1"/>
        <v>7.5675675675675684</v>
      </c>
      <c r="P82" s="2">
        <v>2</v>
      </c>
      <c r="Q82" s="2" t="s">
        <v>77</v>
      </c>
      <c r="R82" s="8" t="s">
        <v>756</v>
      </c>
      <c r="S82" s="8" t="s">
        <v>757</v>
      </c>
      <c r="T82" s="8" t="s">
        <v>80</v>
      </c>
      <c r="U82" s="2" t="s">
        <v>81</v>
      </c>
      <c r="V82" s="2">
        <v>2023</v>
      </c>
      <c r="W82" s="16"/>
      <c r="X82" s="2">
        <v>2028</v>
      </c>
      <c r="Y82" s="16"/>
      <c r="Z82" s="16">
        <v>349</v>
      </c>
      <c r="AA82" s="2">
        <v>2028</v>
      </c>
      <c r="AB82" s="16">
        <v>32.1</v>
      </c>
      <c r="AC82" s="2">
        <v>2028</v>
      </c>
      <c r="AD82" s="2" t="s">
        <v>82</v>
      </c>
      <c r="AE82" s="16"/>
      <c r="AF82" s="16"/>
      <c r="AG82" s="16"/>
      <c r="AH82" s="16"/>
      <c r="AI82" s="8" t="s">
        <v>83</v>
      </c>
      <c r="AJ82" s="2" t="s">
        <v>84</v>
      </c>
      <c r="AK82" s="2">
        <v>1</v>
      </c>
      <c r="AL82" s="8" t="s">
        <v>758</v>
      </c>
      <c r="AM82" s="8"/>
      <c r="AN82" s="2">
        <v>2024</v>
      </c>
      <c r="AO82" s="16">
        <v>1376</v>
      </c>
      <c r="AP82" s="2">
        <v>2027</v>
      </c>
      <c r="AQ82" s="16">
        <v>4166</v>
      </c>
      <c r="AR82" s="2" t="s">
        <v>86</v>
      </c>
      <c r="AS82" s="16">
        <v>44.7</v>
      </c>
      <c r="AT82" s="2">
        <v>2024</v>
      </c>
      <c r="AU82" s="16">
        <v>661</v>
      </c>
      <c r="AV82" s="2">
        <v>2027</v>
      </c>
      <c r="AW82" s="16">
        <v>832</v>
      </c>
      <c r="AX82" s="2" t="s">
        <v>86</v>
      </c>
      <c r="AY82" s="16">
        <v>8</v>
      </c>
      <c r="AZ82" s="2">
        <v>2024</v>
      </c>
      <c r="BA82" s="16">
        <v>3407</v>
      </c>
      <c r="BB82" s="2">
        <v>2027</v>
      </c>
      <c r="BC82" s="16">
        <v>4292</v>
      </c>
      <c r="BD82" s="2" t="s">
        <v>86</v>
      </c>
      <c r="BE82" s="16">
        <v>8</v>
      </c>
      <c r="BF82" s="2">
        <v>2024</v>
      </c>
      <c r="BG82" s="16">
        <v>2</v>
      </c>
      <c r="BH82" s="2">
        <v>2027</v>
      </c>
      <c r="BI82" s="16">
        <v>37</v>
      </c>
      <c r="BJ82" s="2" t="s">
        <v>87</v>
      </c>
      <c r="BK82" s="8"/>
      <c r="BL82" s="8" t="str">
        <f>HYPERLINK("https://seichotoushi-hojo.jp/assets/pdf/koufu/outline_2.pdf","PDFを開く")</f>
        <v>PDFを開く</v>
      </c>
      <c r="BM82" s="8" t="s">
        <v>759</v>
      </c>
      <c r="BN82" s="8" t="s">
        <v>760</v>
      </c>
      <c r="BO82" s="8" t="s">
        <v>90</v>
      </c>
      <c r="BP82" s="8" t="s">
        <v>90</v>
      </c>
      <c r="BQ82" s="8" t="s">
        <v>90</v>
      </c>
      <c r="BR82" s="8" t="s">
        <v>92</v>
      </c>
    </row>
    <row r="83" spans="1:70" ht="45.95" customHeight="1">
      <c r="A83" s="5" t="s">
        <v>761</v>
      </c>
      <c r="B83" s="5" t="s">
        <v>73</v>
      </c>
      <c r="C83" s="5" t="s">
        <v>762</v>
      </c>
      <c r="D83" s="5" t="s">
        <v>762</v>
      </c>
      <c r="E83" s="5" t="s">
        <v>763</v>
      </c>
      <c r="F83" s="5"/>
      <c r="G83" s="5">
        <v>2</v>
      </c>
      <c r="H83" s="5">
        <v>0</v>
      </c>
      <c r="I83" s="5">
        <v>1</v>
      </c>
      <c r="J83" s="5">
        <v>1</v>
      </c>
      <c r="K83" s="5">
        <v>0</v>
      </c>
      <c r="L83" s="17">
        <v>2100</v>
      </c>
      <c r="M83" s="17">
        <v>670</v>
      </c>
      <c r="N83" s="9" t="s">
        <v>764</v>
      </c>
      <c r="O83" s="13">
        <f t="shared" si="1"/>
        <v>31.904761904761902</v>
      </c>
      <c r="P83" s="5">
        <v>2</v>
      </c>
      <c r="Q83" s="5" t="s">
        <v>77</v>
      </c>
      <c r="R83" s="9" t="s">
        <v>764</v>
      </c>
      <c r="S83" s="9" t="s">
        <v>765</v>
      </c>
      <c r="T83" s="9" t="s">
        <v>80</v>
      </c>
      <c r="U83" s="5" t="s">
        <v>81</v>
      </c>
      <c r="V83" s="5"/>
      <c r="W83" s="17"/>
      <c r="X83" s="5">
        <v>2029</v>
      </c>
      <c r="Y83" s="17"/>
      <c r="Z83" s="17">
        <v>45</v>
      </c>
      <c r="AA83" s="5">
        <v>2029</v>
      </c>
      <c r="AB83" s="17">
        <v>4</v>
      </c>
      <c r="AC83" s="5">
        <v>2029</v>
      </c>
      <c r="AD83" s="5" t="s">
        <v>82</v>
      </c>
      <c r="AE83" s="17"/>
      <c r="AF83" s="17"/>
      <c r="AG83" s="17"/>
      <c r="AH83" s="17"/>
      <c r="AI83" s="9" t="s">
        <v>166</v>
      </c>
      <c r="AJ83" s="5" t="s">
        <v>292</v>
      </c>
      <c r="AK83" s="5">
        <v>1</v>
      </c>
      <c r="AL83" s="9" t="s">
        <v>766</v>
      </c>
      <c r="AM83" s="9"/>
      <c r="AN83" s="5">
        <v>2025</v>
      </c>
      <c r="AO83" s="17">
        <v>887</v>
      </c>
      <c r="AP83" s="5">
        <v>2028</v>
      </c>
      <c r="AQ83" s="17">
        <v>1224</v>
      </c>
      <c r="AR83" s="5" t="s">
        <v>86</v>
      </c>
      <c r="AS83" s="17">
        <v>11.3</v>
      </c>
      <c r="AT83" s="5">
        <v>2025</v>
      </c>
      <c r="AU83" s="17">
        <v>394</v>
      </c>
      <c r="AV83" s="5">
        <v>2028</v>
      </c>
      <c r="AW83" s="17">
        <v>454</v>
      </c>
      <c r="AX83" s="5" t="s">
        <v>86</v>
      </c>
      <c r="AY83" s="17">
        <v>4.8</v>
      </c>
      <c r="AZ83" s="5"/>
      <c r="BA83" s="17"/>
      <c r="BB83" s="5"/>
      <c r="BC83" s="17"/>
      <c r="BD83" s="5"/>
      <c r="BE83" s="17"/>
      <c r="BF83" s="5">
        <v>2025</v>
      </c>
      <c r="BG83" s="17">
        <v>155</v>
      </c>
      <c r="BH83" s="5">
        <v>2028</v>
      </c>
      <c r="BI83" s="17">
        <v>170</v>
      </c>
      <c r="BJ83" s="5" t="s">
        <v>87</v>
      </c>
      <c r="BK83" s="9" t="s">
        <v>482</v>
      </c>
      <c r="BL83" s="9" t="str">
        <f>HYPERLINK("https://seichotoushi-hojo.jp/assets/pdf/koufu/outline_20.pdf","PDFを開く")</f>
        <v>PDFを開く</v>
      </c>
      <c r="BM83" s="9" t="s">
        <v>767</v>
      </c>
      <c r="BN83" s="9" t="s">
        <v>768</v>
      </c>
      <c r="BO83" s="9" t="s">
        <v>90</v>
      </c>
      <c r="BP83" s="9" t="s">
        <v>90</v>
      </c>
      <c r="BQ83" s="9" t="s">
        <v>157</v>
      </c>
      <c r="BR83" s="9" t="s">
        <v>92</v>
      </c>
    </row>
    <row r="84" spans="1:70" ht="45.95" customHeight="1">
      <c r="A84" s="2" t="s">
        <v>769</v>
      </c>
      <c r="B84" s="2" t="s">
        <v>73</v>
      </c>
      <c r="C84" s="2" t="s">
        <v>770</v>
      </c>
      <c r="D84" s="2" t="s">
        <v>770</v>
      </c>
      <c r="E84" s="2" t="s">
        <v>95</v>
      </c>
      <c r="F84" s="2"/>
      <c r="G84" s="2">
        <v>2</v>
      </c>
      <c r="H84" s="2">
        <v>0</v>
      </c>
      <c r="I84" s="2">
        <v>1</v>
      </c>
      <c r="J84" s="2">
        <v>1</v>
      </c>
      <c r="K84" s="2">
        <v>0</v>
      </c>
      <c r="L84" s="16">
        <v>2700</v>
      </c>
      <c r="M84" s="16">
        <v>860</v>
      </c>
      <c r="N84" s="8" t="s">
        <v>771</v>
      </c>
      <c r="O84" s="12">
        <f t="shared" si="1"/>
        <v>31.851851851851855</v>
      </c>
      <c r="P84" s="2">
        <v>2</v>
      </c>
      <c r="Q84" s="2" t="s">
        <v>308</v>
      </c>
      <c r="R84" s="8" t="s">
        <v>772</v>
      </c>
      <c r="S84" s="8" t="s">
        <v>773</v>
      </c>
      <c r="T84" s="8" t="s">
        <v>310</v>
      </c>
      <c r="U84" s="2" t="s">
        <v>81</v>
      </c>
      <c r="V84" s="2">
        <v>2023</v>
      </c>
      <c r="W84" s="16">
        <v>306</v>
      </c>
      <c r="X84" s="2">
        <v>2030</v>
      </c>
      <c r="Y84" s="16">
        <v>306</v>
      </c>
      <c r="Z84" s="16">
        <v>500</v>
      </c>
      <c r="AA84" s="2">
        <v>2030</v>
      </c>
      <c r="AB84" s="16">
        <v>64</v>
      </c>
      <c r="AC84" s="2">
        <v>2030</v>
      </c>
      <c r="AD84" s="2" t="s">
        <v>82</v>
      </c>
      <c r="AE84" s="16"/>
      <c r="AF84" s="16"/>
      <c r="AG84" s="16">
        <v>0</v>
      </c>
      <c r="AH84" s="16"/>
      <c r="AI84" s="8" t="s">
        <v>200</v>
      </c>
      <c r="AJ84" s="2" t="s">
        <v>84</v>
      </c>
      <c r="AK84" s="2">
        <v>1</v>
      </c>
      <c r="AL84" s="8" t="s">
        <v>774</v>
      </c>
      <c r="AM84" s="8" t="s">
        <v>775</v>
      </c>
      <c r="AN84" s="2">
        <v>2026</v>
      </c>
      <c r="AO84" s="16">
        <v>1616</v>
      </c>
      <c r="AP84" s="2">
        <v>2029</v>
      </c>
      <c r="AQ84" s="16">
        <v>2255</v>
      </c>
      <c r="AR84" s="2" t="s">
        <v>86</v>
      </c>
      <c r="AS84" s="16">
        <v>11.75</v>
      </c>
      <c r="AT84" s="2">
        <v>2026</v>
      </c>
      <c r="AU84" s="16">
        <v>357</v>
      </c>
      <c r="AV84" s="2">
        <v>2029</v>
      </c>
      <c r="AW84" s="16">
        <v>440</v>
      </c>
      <c r="AX84" s="2" t="s">
        <v>86</v>
      </c>
      <c r="AY84" s="16">
        <v>7.25</v>
      </c>
      <c r="AZ84" s="2">
        <v>2026</v>
      </c>
      <c r="BA84" s="16">
        <v>0</v>
      </c>
      <c r="BB84" s="2">
        <v>2029</v>
      </c>
      <c r="BC84" s="16">
        <v>0</v>
      </c>
      <c r="BD84" s="2" t="s">
        <v>86</v>
      </c>
      <c r="BE84" s="16">
        <v>0</v>
      </c>
      <c r="BF84" s="2">
        <v>2026</v>
      </c>
      <c r="BG84" s="16">
        <v>30</v>
      </c>
      <c r="BH84" s="2">
        <v>2029</v>
      </c>
      <c r="BI84" s="16">
        <v>80</v>
      </c>
      <c r="BJ84" s="2" t="s">
        <v>87</v>
      </c>
      <c r="BK84" s="8"/>
      <c r="BL84" s="8" t="str">
        <f>HYPERLINK("https://seichotoushi-hojo.jp/assets/pdf/koufu/outline_21.pdf","PDFを開く")</f>
        <v>PDFを開く</v>
      </c>
      <c r="BM84" s="8" t="s">
        <v>776</v>
      </c>
      <c r="BN84" s="8" t="s">
        <v>777</v>
      </c>
      <c r="BO84" s="8" t="s">
        <v>90</v>
      </c>
      <c r="BP84" s="8" t="s">
        <v>90</v>
      </c>
      <c r="BQ84" s="8" t="s">
        <v>92</v>
      </c>
      <c r="BR84" s="8" t="s">
        <v>92</v>
      </c>
    </row>
    <row r="85" spans="1:70" ht="45.95" customHeight="1">
      <c r="A85" s="5" t="s">
        <v>778</v>
      </c>
      <c r="B85" s="5" t="s">
        <v>73</v>
      </c>
      <c r="C85" s="5" t="s">
        <v>779</v>
      </c>
      <c r="D85" s="5" t="s">
        <v>779</v>
      </c>
      <c r="E85" s="5" t="s">
        <v>75</v>
      </c>
      <c r="F85" s="5"/>
      <c r="G85" s="5">
        <v>2</v>
      </c>
      <c r="H85" s="5">
        <v>0</v>
      </c>
      <c r="I85" s="5">
        <v>1</v>
      </c>
      <c r="J85" s="5">
        <v>1</v>
      </c>
      <c r="K85" s="5">
        <v>0</v>
      </c>
      <c r="L85" s="17">
        <v>4800</v>
      </c>
      <c r="M85" s="17">
        <v>1600</v>
      </c>
      <c r="N85" s="9" t="s">
        <v>452</v>
      </c>
      <c r="O85" s="13">
        <f t="shared" si="1"/>
        <v>33.333333333333329</v>
      </c>
      <c r="P85" s="5">
        <v>2</v>
      </c>
      <c r="Q85" s="5" t="s">
        <v>77</v>
      </c>
      <c r="R85" s="9" t="s">
        <v>452</v>
      </c>
      <c r="S85" s="9" t="s">
        <v>780</v>
      </c>
      <c r="T85" s="9" t="s">
        <v>80</v>
      </c>
      <c r="U85" s="5" t="s">
        <v>81</v>
      </c>
      <c r="V85" s="5"/>
      <c r="W85" s="17"/>
      <c r="X85" s="5">
        <v>2029</v>
      </c>
      <c r="Y85" s="17"/>
      <c r="Z85" s="17">
        <v>40</v>
      </c>
      <c r="AA85" s="5">
        <v>2029</v>
      </c>
      <c r="AB85" s="17">
        <v>28</v>
      </c>
      <c r="AC85" s="5">
        <v>2029</v>
      </c>
      <c r="AD85" s="5" t="s">
        <v>82</v>
      </c>
      <c r="AE85" s="17"/>
      <c r="AF85" s="17"/>
      <c r="AG85" s="17"/>
      <c r="AH85" s="17"/>
      <c r="AI85" s="9" t="s">
        <v>83</v>
      </c>
      <c r="AJ85" s="5" t="s">
        <v>84</v>
      </c>
      <c r="AK85" s="5">
        <v>1</v>
      </c>
      <c r="AL85" s="9" t="s">
        <v>781</v>
      </c>
      <c r="AM85" s="9"/>
      <c r="AN85" s="5">
        <v>2026</v>
      </c>
      <c r="AO85" s="17">
        <v>1610</v>
      </c>
      <c r="AP85" s="5">
        <v>2029</v>
      </c>
      <c r="AQ85" s="17">
        <v>2004</v>
      </c>
      <c r="AR85" s="5" t="s">
        <v>86</v>
      </c>
      <c r="AS85" s="17">
        <v>7.6</v>
      </c>
      <c r="AT85" s="5">
        <v>2026</v>
      </c>
      <c r="AU85" s="17">
        <v>577</v>
      </c>
      <c r="AV85" s="5">
        <v>2029</v>
      </c>
      <c r="AW85" s="17">
        <v>664</v>
      </c>
      <c r="AX85" s="5" t="s">
        <v>86</v>
      </c>
      <c r="AY85" s="17">
        <v>4.8</v>
      </c>
      <c r="AZ85" s="5">
        <v>2026</v>
      </c>
      <c r="BA85" s="17"/>
      <c r="BB85" s="5">
        <v>2029</v>
      </c>
      <c r="BC85" s="17"/>
      <c r="BD85" s="5" t="s">
        <v>86</v>
      </c>
      <c r="BE85" s="17">
        <v>4</v>
      </c>
      <c r="BF85" s="5">
        <v>2026</v>
      </c>
      <c r="BG85" s="17">
        <v>376</v>
      </c>
      <c r="BH85" s="5">
        <v>2029</v>
      </c>
      <c r="BI85" s="17">
        <v>407</v>
      </c>
      <c r="BJ85" s="5" t="s">
        <v>87</v>
      </c>
      <c r="BK85" s="9"/>
      <c r="BL85" s="9" t="str">
        <f>HYPERLINK("https://seichotoushi-hojo.jp/assets/pdf/koufu/outline_22.pdf","PDFを開く")</f>
        <v>PDFを開く</v>
      </c>
      <c r="BM85" s="9" t="s">
        <v>782</v>
      </c>
      <c r="BN85" s="9" t="s">
        <v>783</v>
      </c>
      <c r="BO85" s="9" t="s">
        <v>90</v>
      </c>
      <c r="BP85" s="9" t="s">
        <v>90</v>
      </c>
      <c r="BQ85" s="9" t="s">
        <v>91</v>
      </c>
      <c r="BR85" s="9" t="s">
        <v>92</v>
      </c>
    </row>
    <row r="86" spans="1:70" ht="45.95" customHeight="1">
      <c r="A86" s="2" t="s">
        <v>784</v>
      </c>
      <c r="B86" s="2" t="s">
        <v>73</v>
      </c>
      <c r="C86" s="2" t="s">
        <v>785</v>
      </c>
      <c r="D86" s="2" t="s">
        <v>785</v>
      </c>
      <c r="E86" s="2" t="s">
        <v>107</v>
      </c>
      <c r="F86" s="2"/>
      <c r="G86" s="2">
        <v>2</v>
      </c>
      <c r="H86" s="2">
        <v>0</v>
      </c>
      <c r="I86" s="2">
        <v>1</v>
      </c>
      <c r="J86" s="2">
        <v>1</v>
      </c>
      <c r="K86" s="2">
        <v>0</v>
      </c>
      <c r="L86" s="16">
        <v>5200</v>
      </c>
      <c r="M86" s="16">
        <v>1600</v>
      </c>
      <c r="N86" s="8" t="s">
        <v>786</v>
      </c>
      <c r="O86" s="12">
        <f t="shared" si="1"/>
        <v>30.76923076923077</v>
      </c>
      <c r="P86" s="2">
        <v>2</v>
      </c>
      <c r="Q86" s="2" t="s">
        <v>77</v>
      </c>
      <c r="R86" s="8" t="s">
        <v>786</v>
      </c>
      <c r="S86" s="8" t="s">
        <v>787</v>
      </c>
      <c r="T86" s="8" t="s">
        <v>80</v>
      </c>
      <c r="U86" s="2" t="s">
        <v>81</v>
      </c>
      <c r="V86" s="2">
        <v>2023</v>
      </c>
      <c r="W86" s="16">
        <v>145</v>
      </c>
      <c r="X86" s="2">
        <v>2030</v>
      </c>
      <c r="Y86" s="16">
        <v>231</v>
      </c>
      <c r="Z86" s="16"/>
      <c r="AA86" s="2"/>
      <c r="AB86" s="16">
        <v>15</v>
      </c>
      <c r="AC86" s="2">
        <v>2030</v>
      </c>
      <c r="AD86" s="2" t="s">
        <v>82</v>
      </c>
      <c r="AE86" s="16"/>
      <c r="AF86" s="16"/>
      <c r="AG86" s="16">
        <v>6.8789052719304022</v>
      </c>
      <c r="AH86" s="16"/>
      <c r="AI86" s="8" t="s">
        <v>418</v>
      </c>
      <c r="AJ86" s="2" t="s">
        <v>84</v>
      </c>
      <c r="AK86" s="2">
        <v>1</v>
      </c>
      <c r="AL86" s="8" t="s">
        <v>788</v>
      </c>
      <c r="AM86" s="8" t="s">
        <v>789</v>
      </c>
      <c r="AN86" s="2">
        <v>2027</v>
      </c>
      <c r="AO86" s="16">
        <v>2909</v>
      </c>
      <c r="AP86" s="2">
        <v>2030</v>
      </c>
      <c r="AQ86" s="16">
        <v>5595</v>
      </c>
      <c r="AR86" s="2" t="s">
        <v>86</v>
      </c>
      <c r="AS86" s="16">
        <v>24.36</v>
      </c>
      <c r="AT86" s="2">
        <v>2027</v>
      </c>
      <c r="AU86" s="16">
        <v>500</v>
      </c>
      <c r="AV86" s="2">
        <v>2030</v>
      </c>
      <c r="AW86" s="16">
        <v>551</v>
      </c>
      <c r="AX86" s="2" t="s">
        <v>86</v>
      </c>
      <c r="AY86" s="16">
        <v>3.3</v>
      </c>
      <c r="AZ86" s="2"/>
      <c r="BA86" s="16"/>
      <c r="BB86" s="2"/>
      <c r="BC86" s="16"/>
      <c r="BD86" s="2"/>
      <c r="BE86" s="16"/>
      <c r="BF86" s="2">
        <v>2027</v>
      </c>
      <c r="BG86" s="16">
        <v>25</v>
      </c>
      <c r="BH86" s="2">
        <v>2030</v>
      </c>
      <c r="BI86" s="16">
        <v>65</v>
      </c>
      <c r="BJ86" s="2" t="s">
        <v>87</v>
      </c>
      <c r="BK86" s="8"/>
      <c r="BL86" s="8" t="str">
        <f>HYPERLINK("https://seichotoushi-hojo.jp/assets/pdf/koufu/outline_23.pdf","PDFを開く")</f>
        <v>PDFを開く</v>
      </c>
      <c r="BM86" s="8" t="s">
        <v>790</v>
      </c>
      <c r="BN86" s="8" t="s">
        <v>791</v>
      </c>
      <c r="BO86" s="8" t="s">
        <v>90</v>
      </c>
      <c r="BP86" s="8" t="s">
        <v>90</v>
      </c>
      <c r="BQ86" s="8" t="s">
        <v>156</v>
      </c>
      <c r="BR86" s="8" t="s">
        <v>92</v>
      </c>
    </row>
    <row r="87" spans="1:70" ht="45.95" customHeight="1">
      <c r="A87" s="5" t="s">
        <v>792</v>
      </c>
      <c r="B87" s="5" t="s">
        <v>73</v>
      </c>
      <c r="C87" s="5" t="s">
        <v>793</v>
      </c>
      <c r="D87" s="5" t="s">
        <v>793</v>
      </c>
      <c r="E87" s="5" t="s">
        <v>259</v>
      </c>
      <c r="F87" s="5"/>
      <c r="G87" s="5">
        <v>2</v>
      </c>
      <c r="H87" s="5">
        <v>0</v>
      </c>
      <c r="I87" s="5">
        <v>1</v>
      </c>
      <c r="J87" s="5">
        <v>1</v>
      </c>
      <c r="K87" s="5">
        <v>0</v>
      </c>
      <c r="L87" s="17">
        <v>4200</v>
      </c>
      <c r="M87" s="17">
        <v>1300</v>
      </c>
      <c r="N87" s="9" t="s">
        <v>794</v>
      </c>
      <c r="O87" s="13">
        <f t="shared" si="1"/>
        <v>30.952380952380953</v>
      </c>
      <c r="P87" s="5">
        <v>2</v>
      </c>
      <c r="Q87" s="5" t="s">
        <v>77</v>
      </c>
      <c r="R87" s="9" t="s">
        <v>794</v>
      </c>
      <c r="S87" s="9" t="s">
        <v>795</v>
      </c>
      <c r="T87" s="9" t="s">
        <v>80</v>
      </c>
      <c r="U87" s="5" t="s">
        <v>116</v>
      </c>
      <c r="V87" s="5">
        <v>2023</v>
      </c>
      <c r="W87" s="17">
        <v>1701</v>
      </c>
      <c r="X87" s="5">
        <v>2030</v>
      </c>
      <c r="Y87" s="17">
        <v>3000</v>
      </c>
      <c r="Z87" s="17"/>
      <c r="AA87" s="5"/>
      <c r="AB87" s="17"/>
      <c r="AC87" s="5"/>
      <c r="AD87" s="5"/>
      <c r="AE87" s="17"/>
      <c r="AF87" s="17"/>
      <c r="AG87" s="17"/>
      <c r="AH87" s="17">
        <v>1.8</v>
      </c>
      <c r="AI87" s="9" t="s">
        <v>166</v>
      </c>
      <c r="AJ87" s="5" t="s">
        <v>292</v>
      </c>
      <c r="AK87" s="5">
        <v>1</v>
      </c>
      <c r="AL87" s="9" t="s">
        <v>796</v>
      </c>
      <c r="AM87" s="9" t="s">
        <v>797</v>
      </c>
      <c r="AN87" s="5">
        <v>2026</v>
      </c>
      <c r="AO87" s="17">
        <v>1360</v>
      </c>
      <c r="AP87" s="5">
        <v>2029</v>
      </c>
      <c r="AQ87" s="17">
        <v>2232</v>
      </c>
      <c r="AR87" s="5" t="s">
        <v>86</v>
      </c>
      <c r="AS87" s="17">
        <v>18</v>
      </c>
      <c r="AT87" s="5">
        <v>2026</v>
      </c>
      <c r="AU87" s="17">
        <v>552</v>
      </c>
      <c r="AV87" s="5">
        <v>2029</v>
      </c>
      <c r="AW87" s="17">
        <v>639</v>
      </c>
      <c r="AX87" s="5" t="s">
        <v>86</v>
      </c>
      <c r="AY87" s="17">
        <v>5</v>
      </c>
      <c r="AZ87" s="5"/>
      <c r="BA87" s="17"/>
      <c r="BB87" s="5"/>
      <c r="BC87" s="17"/>
      <c r="BD87" s="5"/>
      <c r="BE87" s="17"/>
      <c r="BF87" s="5">
        <v>2026</v>
      </c>
      <c r="BG87" s="17">
        <v>540</v>
      </c>
      <c r="BH87" s="5">
        <v>2029</v>
      </c>
      <c r="BI87" s="17">
        <v>540</v>
      </c>
      <c r="BJ87" s="5" t="s">
        <v>87</v>
      </c>
      <c r="BK87" s="9"/>
      <c r="BL87" s="9" t="str">
        <f>HYPERLINK("https://seichotoushi-hojo.jp/assets/pdf/koufu/outline_24.pdf","PDFを開く")</f>
        <v>PDFを開く</v>
      </c>
      <c r="BM87" s="9" t="s">
        <v>798</v>
      </c>
      <c r="BN87" s="9" t="s">
        <v>799</v>
      </c>
      <c r="BO87" s="9" t="s">
        <v>90</v>
      </c>
      <c r="BP87" s="9" t="s">
        <v>90</v>
      </c>
      <c r="BQ87" s="9" t="s">
        <v>157</v>
      </c>
      <c r="BR87" s="9" t="s">
        <v>92</v>
      </c>
    </row>
    <row r="88" spans="1:70" ht="45.95" customHeight="1">
      <c r="A88" s="2" t="s">
        <v>800</v>
      </c>
      <c r="B88" s="2" t="s">
        <v>73</v>
      </c>
      <c r="C88" s="2" t="s">
        <v>801</v>
      </c>
      <c r="D88" s="2" t="s">
        <v>801</v>
      </c>
      <c r="E88" s="2" t="s">
        <v>160</v>
      </c>
      <c r="F88" s="2"/>
      <c r="G88" s="2">
        <v>2</v>
      </c>
      <c r="H88" s="2">
        <v>0</v>
      </c>
      <c r="I88" s="2">
        <v>1</v>
      </c>
      <c r="J88" s="2">
        <v>1</v>
      </c>
      <c r="K88" s="2">
        <v>0</v>
      </c>
      <c r="L88" s="16">
        <v>4000</v>
      </c>
      <c r="M88" s="16">
        <v>860</v>
      </c>
      <c r="N88" s="8" t="s">
        <v>802</v>
      </c>
      <c r="O88" s="12">
        <f t="shared" si="1"/>
        <v>21.5</v>
      </c>
      <c r="P88" s="2">
        <v>2</v>
      </c>
      <c r="Q88" s="2" t="s">
        <v>77</v>
      </c>
      <c r="R88" s="8" t="s">
        <v>802</v>
      </c>
      <c r="S88" s="8" t="s">
        <v>803</v>
      </c>
      <c r="T88" s="8" t="s">
        <v>80</v>
      </c>
      <c r="U88" s="2" t="s">
        <v>81</v>
      </c>
      <c r="V88" s="2">
        <v>2023</v>
      </c>
      <c r="W88" s="16">
        <v>209</v>
      </c>
      <c r="X88" s="2">
        <v>2029</v>
      </c>
      <c r="Y88" s="16">
        <v>500</v>
      </c>
      <c r="Z88" s="16">
        <v>291</v>
      </c>
      <c r="AA88" s="2">
        <v>2029</v>
      </c>
      <c r="AB88" s="16">
        <v>239</v>
      </c>
      <c r="AC88" s="2">
        <v>2029</v>
      </c>
      <c r="AD88" s="2" t="s">
        <v>82</v>
      </c>
      <c r="AE88" s="16"/>
      <c r="AF88" s="16"/>
      <c r="AG88" s="16">
        <v>15.647776270821211</v>
      </c>
      <c r="AH88" s="16"/>
      <c r="AI88" s="8" t="s">
        <v>418</v>
      </c>
      <c r="AJ88" s="2" t="s">
        <v>84</v>
      </c>
      <c r="AK88" s="2">
        <v>1</v>
      </c>
      <c r="AL88" s="8" t="s">
        <v>804</v>
      </c>
      <c r="AM88" s="8" t="s">
        <v>805</v>
      </c>
      <c r="AN88" s="2">
        <v>2026</v>
      </c>
      <c r="AO88" s="16">
        <v>1846</v>
      </c>
      <c r="AP88" s="2">
        <v>2029</v>
      </c>
      <c r="AQ88" s="16">
        <v>2467</v>
      </c>
      <c r="AR88" s="2" t="s">
        <v>86</v>
      </c>
      <c r="AS88" s="16">
        <v>10.19</v>
      </c>
      <c r="AT88" s="2">
        <v>2026</v>
      </c>
      <c r="AU88" s="16">
        <v>471</v>
      </c>
      <c r="AV88" s="2">
        <v>2029</v>
      </c>
      <c r="AW88" s="16">
        <v>545</v>
      </c>
      <c r="AX88" s="2" t="s">
        <v>86</v>
      </c>
      <c r="AY88" s="16">
        <v>5</v>
      </c>
      <c r="AZ88" s="2"/>
      <c r="BA88" s="16"/>
      <c r="BB88" s="2"/>
      <c r="BC88" s="16"/>
      <c r="BD88" s="2"/>
      <c r="BE88" s="16"/>
      <c r="BF88" s="2">
        <v>2026</v>
      </c>
      <c r="BG88" s="16">
        <v>80</v>
      </c>
      <c r="BH88" s="2">
        <v>2029</v>
      </c>
      <c r="BI88" s="16">
        <v>85</v>
      </c>
      <c r="BJ88" s="2" t="s">
        <v>87</v>
      </c>
      <c r="BK88" s="8" t="s">
        <v>212</v>
      </c>
      <c r="BL88" s="8" t="str">
        <f>HYPERLINK("https://seichotoushi-hojo.jp/assets/pdf/koufu/outline_25.pdf","PDFを開く")</f>
        <v>PDFを開く</v>
      </c>
      <c r="BM88" s="8" t="s">
        <v>806</v>
      </c>
      <c r="BN88" s="8" t="s">
        <v>807</v>
      </c>
      <c r="BO88" s="8" t="s">
        <v>90</v>
      </c>
      <c r="BP88" s="8" t="s">
        <v>90</v>
      </c>
      <c r="BQ88" s="8" t="s">
        <v>157</v>
      </c>
      <c r="BR88" s="8" t="s">
        <v>92</v>
      </c>
    </row>
    <row r="89" spans="1:70" ht="45.95" customHeight="1">
      <c r="A89" s="5" t="s">
        <v>808</v>
      </c>
      <c r="B89" s="5" t="s">
        <v>73</v>
      </c>
      <c r="C89" s="5" t="s">
        <v>809</v>
      </c>
      <c r="D89" s="5" t="s">
        <v>809</v>
      </c>
      <c r="E89" s="5" t="s">
        <v>107</v>
      </c>
      <c r="F89" s="5"/>
      <c r="G89" s="5">
        <v>2</v>
      </c>
      <c r="H89" s="5">
        <v>0</v>
      </c>
      <c r="I89" s="5">
        <v>1</v>
      </c>
      <c r="J89" s="5">
        <v>1</v>
      </c>
      <c r="K89" s="5">
        <v>0</v>
      </c>
      <c r="L89" s="17">
        <v>9500</v>
      </c>
      <c r="M89" s="17">
        <v>2800</v>
      </c>
      <c r="N89" s="9" t="s">
        <v>810</v>
      </c>
      <c r="O89" s="13">
        <f t="shared" si="1"/>
        <v>29.473684210526311</v>
      </c>
      <c r="P89" s="5">
        <v>2</v>
      </c>
      <c r="Q89" s="5" t="s">
        <v>77</v>
      </c>
      <c r="R89" s="9" t="s">
        <v>811</v>
      </c>
      <c r="S89" s="9" t="s">
        <v>812</v>
      </c>
      <c r="T89" s="9" t="s">
        <v>80</v>
      </c>
      <c r="U89" s="5" t="s">
        <v>81</v>
      </c>
      <c r="V89" s="5">
        <v>2026</v>
      </c>
      <c r="W89" s="17"/>
      <c r="X89" s="5">
        <v>2029</v>
      </c>
      <c r="Y89" s="17"/>
      <c r="Z89" s="17">
        <v>71</v>
      </c>
      <c r="AA89" s="5">
        <v>2029</v>
      </c>
      <c r="AB89" s="17">
        <v>116</v>
      </c>
      <c r="AC89" s="5">
        <v>2029</v>
      </c>
      <c r="AD89" s="5" t="s">
        <v>82</v>
      </c>
      <c r="AE89" s="17"/>
      <c r="AF89" s="17"/>
      <c r="AG89" s="17"/>
      <c r="AH89" s="17"/>
      <c r="AI89" s="9" t="s">
        <v>83</v>
      </c>
      <c r="AJ89" s="5" t="s">
        <v>84</v>
      </c>
      <c r="AK89" s="5">
        <v>1</v>
      </c>
      <c r="AL89" s="9" t="s">
        <v>813</v>
      </c>
      <c r="AM89" s="9"/>
      <c r="AN89" s="5">
        <v>2026</v>
      </c>
      <c r="AO89" s="17">
        <v>2604</v>
      </c>
      <c r="AP89" s="5">
        <v>2029</v>
      </c>
      <c r="AQ89" s="17">
        <v>3221</v>
      </c>
      <c r="AR89" s="5" t="s">
        <v>86</v>
      </c>
      <c r="AS89" s="17">
        <v>7.3</v>
      </c>
      <c r="AT89" s="5">
        <v>2026</v>
      </c>
      <c r="AU89" s="17">
        <v>780</v>
      </c>
      <c r="AV89" s="5">
        <v>2029</v>
      </c>
      <c r="AW89" s="17">
        <v>865</v>
      </c>
      <c r="AX89" s="5" t="s">
        <v>86</v>
      </c>
      <c r="AY89" s="17">
        <v>3.51</v>
      </c>
      <c r="AZ89" s="5">
        <v>2026</v>
      </c>
      <c r="BA89" s="17"/>
      <c r="BB89" s="5">
        <v>2029</v>
      </c>
      <c r="BC89" s="17"/>
      <c r="BD89" s="5" t="s">
        <v>86</v>
      </c>
      <c r="BE89" s="17">
        <v>3.5</v>
      </c>
      <c r="BF89" s="5">
        <v>2026</v>
      </c>
      <c r="BG89" s="17">
        <v>238</v>
      </c>
      <c r="BH89" s="5">
        <v>2029</v>
      </c>
      <c r="BI89" s="17">
        <v>266</v>
      </c>
      <c r="BJ89" s="5" t="s">
        <v>87</v>
      </c>
      <c r="BK89" s="9"/>
      <c r="BL89" s="9" t="str">
        <f>HYPERLINK("https://seichotoushi-hojo.jp/assets/pdf/koufu/outline_26.pdf","PDFを開く")</f>
        <v>PDFを開く</v>
      </c>
      <c r="BM89" s="9" t="s">
        <v>814</v>
      </c>
      <c r="BN89" s="9" t="s">
        <v>815</v>
      </c>
      <c r="BO89" s="9" t="s">
        <v>90</v>
      </c>
      <c r="BP89" s="9" t="s">
        <v>90</v>
      </c>
      <c r="BQ89" s="9" t="s">
        <v>91</v>
      </c>
      <c r="BR89" s="9" t="s">
        <v>92</v>
      </c>
    </row>
    <row r="90" spans="1:70" ht="45.95" customHeight="1">
      <c r="A90" s="2" t="s">
        <v>816</v>
      </c>
      <c r="B90" s="2" t="s">
        <v>73</v>
      </c>
      <c r="C90" s="2" t="s">
        <v>817</v>
      </c>
      <c r="D90" s="2" t="s">
        <v>817</v>
      </c>
      <c r="E90" s="2" t="s">
        <v>95</v>
      </c>
      <c r="F90" s="2"/>
      <c r="G90" s="2">
        <v>2</v>
      </c>
      <c r="H90" s="2">
        <v>0</v>
      </c>
      <c r="I90" s="2">
        <v>1</v>
      </c>
      <c r="J90" s="2">
        <v>1</v>
      </c>
      <c r="K90" s="2">
        <v>0</v>
      </c>
      <c r="L90" s="16">
        <v>1900</v>
      </c>
      <c r="M90" s="16">
        <v>640</v>
      </c>
      <c r="N90" s="8" t="s">
        <v>818</v>
      </c>
      <c r="O90" s="12">
        <f t="shared" si="1"/>
        <v>33.684210526315788</v>
      </c>
      <c r="P90" s="2">
        <v>2</v>
      </c>
      <c r="Q90" s="2" t="s">
        <v>77</v>
      </c>
      <c r="R90" s="8" t="s">
        <v>819</v>
      </c>
      <c r="S90" s="8" t="s">
        <v>820</v>
      </c>
      <c r="T90" s="8" t="s">
        <v>80</v>
      </c>
      <c r="U90" s="2" t="s">
        <v>81</v>
      </c>
      <c r="V90" s="2">
        <v>2023</v>
      </c>
      <c r="W90" s="16">
        <v>47</v>
      </c>
      <c r="X90" s="2">
        <v>2035</v>
      </c>
      <c r="Y90" s="16">
        <v>80</v>
      </c>
      <c r="Z90" s="16">
        <v>33</v>
      </c>
      <c r="AA90" s="2">
        <v>2035</v>
      </c>
      <c r="AB90" s="16">
        <v>70</v>
      </c>
      <c r="AC90" s="2">
        <v>2035</v>
      </c>
      <c r="AD90" s="2" t="s">
        <v>99</v>
      </c>
      <c r="AE90" s="16"/>
      <c r="AF90" s="16"/>
      <c r="AG90" s="16">
        <v>4.5320202907420892</v>
      </c>
      <c r="AH90" s="16"/>
      <c r="AI90" s="8" t="s">
        <v>100</v>
      </c>
      <c r="AJ90" s="2" t="s">
        <v>84</v>
      </c>
      <c r="AK90" s="2">
        <v>1</v>
      </c>
      <c r="AL90" s="8" t="s">
        <v>821</v>
      </c>
      <c r="AM90" s="8" t="s">
        <v>822</v>
      </c>
      <c r="AN90" s="2">
        <v>2026</v>
      </c>
      <c r="AO90" s="16">
        <v>133.6</v>
      </c>
      <c r="AP90" s="2">
        <v>2029</v>
      </c>
      <c r="AQ90" s="16">
        <v>1809.8</v>
      </c>
      <c r="AR90" s="2" t="s">
        <v>86</v>
      </c>
      <c r="AS90" s="16"/>
      <c r="AT90" s="2">
        <v>2026</v>
      </c>
      <c r="AU90" s="16">
        <v>420</v>
      </c>
      <c r="AV90" s="2">
        <v>2029</v>
      </c>
      <c r="AW90" s="16">
        <v>473</v>
      </c>
      <c r="AX90" s="2" t="s">
        <v>86</v>
      </c>
      <c r="AY90" s="16">
        <v>4.04</v>
      </c>
      <c r="AZ90" s="2">
        <v>2026</v>
      </c>
      <c r="BA90" s="16"/>
      <c r="BB90" s="2">
        <v>2029</v>
      </c>
      <c r="BC90" s="16"/>
      <c r="BD90" s="2" t="s">
        <v>86</v>
      </c>
      <c r="BE90" s="16">
        <v>3.5</v>
      </c>
      <c r="BF90" s="2">
        <v>2026</v>
      </c>
      <c r="BG90" s="16">
        <v>21</v>
      </c>
      <c r="BH90" s="2">
        <v>2029</v>
      </c>
      <c r="BI90" s="16">
        <v>41</v>
      </c>
      <c r="BJ90" s="2" t="s">
        <v>87</v>
      </c>
      <c r="BK90" s="8"/>
      <c r="BL90" s="8" t="str">
        <f>HYPERLINK("https://seichotoushi-hojo.jp/assets/pdf/koufu/outline_27.pdf","PDFを開く")</f>
        <v>PDFを開く</v>
      </c>
      <c r="BM90" s="8" t="s">
        <v>823</v>
      </c>
      <c r="BN90" s="8" t="s">
        <v>824</v>
      </c>
      <c r="BO90" s="8" t="s">
        <v>92</v>
      </c>
      <c r="BP90" s="8" t="s">
        <v>90</v>
      </c>
      <c r="BQ90" s="8" t="s">
        <v>91</v>
      </c>
      <c r="BR90" s="8" t="s">
        <v>92</v>
      </c>
    </row>
    <row r="91" spans="1:70" ht="45.95" customHeight="1">
      <c r="A91" s="5" t="s">
        <v>825</v>
      </c>
      <c r="B91" s="5" t="s">
        <v>73</v>
      </c>
      <c r="C91" s="5" t="s">
        <v>826</v>
      </c>
      <c r="D91" s="5" t="s">
        <v>826</v>
      </c>
      <c r="E91" s="5" t="s">
        <v>75</v>
      </c>
      <c r="F91" s="5"/>
      <c r="G91" s="5">
        <v>2</v>
      </c>
      <c r="H91" s="5">
        <v>0</v>
      </c>
      <c r="I91" s="5">
        <v>1</v>
      </c>
      <c r="J91" s="5">
        <v>1</v>
      </c>
      <c r="K91" s="5">
        <v>0</v>
      </c>
      <c r="L91" s="17">
        <v>1700</v>
      </c>
      <c r="M91" s="17">
        <v>530</v>
      </c>
      <c r="N91" s="9" t="s">
        <v>827</v>
      </c>
      <c r="O91" s="13">
        <f t="shared" si="1"/>
        <v>31.176470588235293</v>
      </c>
      <c r="P91" s="5">
        <v>2</v>
      </c>
      <c r="Q91" s="5" t="s">
        <v>77</v>
      </c>
      <c r="R91" s="9" t="s">
        <v>827</v>
      </c>
      <c r="S91" s="9" t="s">
        <v>828</v>
      </c>
      <c r="T91" s="9" t="s">
        <v>80</v>
      </c>
      <c r="U91" s="5" t="s">
        <v>81</v>
      </c>
      <c r="V91" s="5">
        <v>2023</v>
      </c>
      <c r="W91" s="17"/>
      <c r="X91" s="5">
        <v>2030</v>
      </c>
      <c r="Y91" s="17"/>
      <c r="Z91" s="17">
        <v>11.6</v>
      </c>
      <c r="AA91" s="5">
        <v>2030</v>
      </c>
      <c r="AB91" s="17">
        <v>50</v>
      </c>
      <c r="AC91" s="5">
        <v>2030</v>
      </c>
      <c r="AD91" s="5" t="s">
        <v>82</v>
      </c>
      <c r="AE91" s="17"/>
      <c r="AF91" s="17"/>
      <c r="AG91" s="17"/>
      <c r="AH91" s="17"/>
      <c r="AI91" s="9" t="s">
        <v>83</v>
      </c>
      <c r="AJ91" s="5" t="s">
        <v>84</v>
      </c>
      <c r="AK91" s="5">
        <v>1</v>
      </c>
      <c r="AL91" s="9" t="s">
        <v>829</v>
      </c>
      <c r="AM91" s="9"/>
      <c r="AN91" s="5">
        <v>2026</v>
      </c>
      <c r="AO91" s="17">
        <v>639</v>
      </c>
      <c r="AP91" s="5">
        <v>2029</v>
      </c>
      <c r="AQ91" s="17">
        <v>1052</v>
      </c>
      <c r="AR91" s="5" t="s">
        <v>86</v>
      </c>
      <c r="AS91" s="17">
        <v>18.100000000000001</v>
      </c>
      <c r="AT91" s="5">
        <v>2026</v>
      </c>
      <c r="AU91" s="17">
        <v>310</v>
      </c>
      <c r="AV91" s="5">
        <v>2029</v>
      </c>
      <c r="AW91" s="17">
        <v>357</v>
      </c>
      <c r="AX91" s="5" t="s">
        <v>86</v>
      </c>
      <c r="AY91" s="17">
        <v>4.8</v>
      </c>
      <c r="AZ91" s="5">
        <v>2026</v>
      </c>
      <c r="BA91" s="17"/>
      <c r="BB91" s="5">
        <v>2029</v>
      </c>
      <c r="BC91" s="17"/>
      <c r="BD91" s="5" t="s">
        <v>86</v>
      </c>
      <c r="BE91" s="17">
        <v>11.14</v>
      </c>
      <c r="BF91" s="5">
        <v>2026</v>
      </c>
      <c r="BG91" s="17">
        <v>40</v>
      </c>
      <c r="BH91" s="5">
        <v>2029</v>
      </c>
      <c r="BI91" s="17">
        <v>64</v>
      </c>
      <c r="BJ91" s="5" t="s">
        <v>87</v>
      </c>
      <c r="BK91" s="9"/>
      <c r="BL91" s="9" t="str">
        <f>HYPERLINK("https://seichotoushi-hojo.jp/assets/pdf/koufu/outline_28.pdf","PDFを開く")</f>
        <v>PDFを開く</v>
      </c>
      <c r="BM91" s="9" t="s">
        <v>830</v>
      </c>
      <c r="BN91" s="9" t="s">
        <v>831</v>
      </c>
      <c r="BO91" s="9" t="s">
        <v>90</v>
      </c>
      <c r="BP91" s="9" t="s">
        <v>90</v>
      </c>
      <c r="BQ91" s="9" t="s">
        <v>91</v>
      </c>
      <c r="BR91" s="9" t="s">
        <v>92</v>
      </c>
    </row>
    <row r="92" spans="1:70" ht="45.95" customHeight="1">
      <c r="A92" s="2" t="s">
        <v>832</v>
      </c>
      <c r="B92" s="2" t="s">
        <v>73</v>
      </c>
      <c r="C92" s="2" t="s">
        <v>833</v>
      </c>
      <c r="D92" s="2" t="s">
        <v>833</v>
      </c>
      <c r="E92" s="2" t="s">
        <v>107</v>
      </c>
      <c r="F92" s="2"/>
      <c r="G92" s="2">
        <v>3</v>
      </c>
      <c r="H92" s="2">
        <v>0</v>
      </c>
      <c r="I92" s="2">
        <v>1</v>
      </c>
      <c r="J92" s="2">
        <v>2</v>
      </c>
      <c r="K92" s="2">
        <v>0</v>
      </c>
      <c r="L92" s="16">
        <v>1800</v>
      </c>
      <c r="M92" s="16">
        <v>550</v>
      </c>
      <c r="N92" s="8" t="s">
        <v>834</v>
      </c>
      <c r="O92" s="12">
        <f t="shared" si="1"/>
        <v>30.555555555555557</v>
      </c>
      <c r="P92" s="2">
        <v>2</v>
      </c>
      <c r="Q92" s="2" t="s">
        <v>77</v>
      </c>
      <c r="R92" s="8" t="s">
        <v>834</v>
      </c>
      <c r="S92" s="8" t="s">
        <v>835</v>
      </c>
      <c r="T92" s="8" t="s">
        <v>80</v>
      </c>
      <c r="U92" s="2" t="s">
        <v>81</v>
      </c>
      <c r="V92" s="2"/>
      <c r="W92" s="16"/>
      <c r="X92" s="2">
        <v>2028</v>
      </c>
      <c r="Y92" s="16"/>
      <c r="Z92" s="16">
        <v>50</v>
      </c>
      <c r="AA92" s="2">
        <v>2028</v>
      </c>
      <c r="AB92" s="16">
        <v>40</v>
      </c>
      <c r="AC92" s="2">
        <v>2028</v>
      </c>
      <c r="AD92" s="2" t="s">
        <v>210</v>
      </c>
      <c r="AE92" s="16"/>
      <c r="AF92" s="16"/>
      <c r="AG92" s="16"/>
      <c r="AH92" s="16"/>
      <c r="AI92" s="8" t="s">
        <v>83</v>
      </c>
      <c r="AJ92" s="2" t="s">
        <v>84</v>
      </c>
      <c r="AK92" s="2">
        <v>1</v>
      </c>
      <c r="AL92" s="8" t="s">
        <v>836</v>
      </c>
      <c r="AM92" s="8"/>
      <c r="AN92" s="2">
        <v>2025</v>
      </c>
      <c r="AO92" s="16">
        <v>1089</v>
      </c>
      <c r="AP92" s="2">
        <v>2028</v>
      </c>
      <c r="AQ92" s="16">
        <v>2386.3000000000002</v>
      </c>
      <c r="AR92" s="2" t="s">
        <v>86</v>
      </c>
      <c r="AS92" s="16">
        <v>29.9</v>
      </c>
      <c r="AT92" s="2">
        <v>2025</v>
      </c>
      <c r="AU92" s="16">
        <v>720</v>
      </c>
      <c r="AV92" s="2">
        <v>2028</v>
      </c>
      <c r="AW92" s="16">
        <v>822.2</v>
      </c>
      <c r="AX92" s="2" t="s">
        <v>86</v>
      </c>
      <c r="AY92" s="16">
        <v>4.5199999999999996</v>
      </c>
      <c r="AZ92" s="2"/>
      <c r="BA92" s="16"/>
      <c r="BB92" s="2"/>
      <c r="BC92" s="16"/>
      <c r="BD92" s="2"/>
      <c r="BE92" s="16"/>
      <c r="BF92" s="2">
        <v>2025</v>
      </c>
      <c r="BG92" s="16">
        <v>6</v>
      </c>
      <c r="BH92" s="2">
        <v>2028</v>
      </c>
      <c r="BI92" s="16">
        <v>53</v>
      </c>
      <c r="BJ92" s="2" t="s">
        <v>87</v>
      </c>
      <c r="BK92" s="8"/>
      <c r="BL92" s="8" t="str">
        <f>HYPERLINK("https://seichotoushi-hojo.jp/assets/pdf/koufu/outline_29.pdf","PDFを開く")</f>
        <v>PDFを開く</v>
      </c>
      <c r="BM92" s="8" t="s">
        <v>837</v>
      </c>
      <c r="BN92" s="8" t="s">
        <v>838</v>
      </c>
      <c r="BO92" s="8" t="s">
        <v>90</v>
      </c>
      <c r="BP92" s="8" t="s">
        <v>90</v>
      </c>
      <c r="BQ92" s="8" t="s">
        <v>156</v>
      </c>
      <c r="BR92" s="8" t="s">
        <v>92</v>
      </c>
    </row>
    <row r="93" spans="1:70" ht="45.95" customHeight="1">
      <c r="A93" s="5" t="s">
        <v>839</v>
      </c>
      <c r="B93" s="5" t="s">
        <v>73</v>
      </c>
      <c r="C93" s="5" t="s">
        <v>840</v>
      </c>
      <c r="D93" s="5" t="s">
        <v>840</v>
      </c>
      <c r="E93" s="5" t="s">
        <v>259</v>
      </c>
      <c r="F93" s="5"/>
      <c r="G93" s="5">
        <v>2</v>
      </c>
      <c r="H93" s="5">
        <v>0</v>
      </c>
      <c r="I93" s="5">
        <v>1</v>
      </c>
      <c r="J93" s="5">
        <v>1</v>
      </c>
      <c r="K93" s="5">
        <v>0</v>
      </c>
      <c r="L93" s="17">
        <v>13000</v>
      </c>
      <c r="M93" s="17">
        <v>3800</v>
      </c>
      <c r="N93" s="9" t="s">
        <v>841</v>
      </c>
      <c r="O93" s="13">
        <f t="shared" si="1"/>
        <v>29.230769230769234</v>
      </c>
      <c r="P93" s="5">
        <v>2</v>
      </c>
      <c r="Q93" s="5" t="s">
        <v>77</v>
      </c>
      <c r="R93" s="9" t="s">
        <v>842</v>
      </c>
      <c r="S93" s="9" t="s">
        <v>843</v>
      </c>
      <c r="T93" s="9" t="s">
        <v>80</v>
      </c>
      <c r="U93" s="5" t="s">
        <v>81</v>
      </c>
      <c r="V93" s="5">
        <v>2023</v>
      </c>
      <c r="W93" s="17"/>
      <c r="X93" s="5">
        <v>2028</v>
      </c>
      <c r="Y93" s="17"/>
      <c r="Z93" s="17">
        <v>1595</v>
      </c>
      <c r="AA93" s="5">
        <v>2028</v>
      </c>
      <c r="AB93" s="17">
        <v>54.9</v>
      </c>
      <c r="AC93" s="5">
        <v>2028</v>
      </c>
      <c r="AD93" s="5" t="s">
        <v>82</v>
      </c>
      <c r="AE93" s="17"/>
      <c r="AF93" s="17"/>
      <c r="AG93" s="17"/>
      <c r="AH93" s="17"/>
      <c r="AI93" s="9" t="s">
        <v>83</v>
      </c>
      <c r="AJ93" s="5" t="s">
        <v>84</v>
      </c>
      <c r="AK93" s="5">
        <v>1</v>
      </c>
      <c r="AL93" s="9" t="s">
        <v>844</v>
      </c>
      <c r="AM93" s="9"/>
      <c r="AN93" s="5">
        <v>2026</v>
      </c>
      <c r="AO93" s="17">
        <v>846</v>
      </c>
      <c r="AP93" s="5">
        <v>2029</v>
      </c>
      <c r="AQ93" s="17">
        <v>2065</v>
      </c>
      <c r="AR93" s="5" t="s">
        <v>86</v>
      </c>
      <c r="AS93" s="17">
        <v>34.659999999999997</v>
      </c>
      <c r="AT93" s="5">
        <v>2026</v>
      </c>
      <c r="AU93" s="17">
        <v>702</v>
      </c>
      <c r="AV93" s="5">
        <v>2029</v>
      </c>
      <c r="AW93" s="17">
        <v>790</v>
      </c>
      <c r="AX93" s="5" t="s">
        <v>86</v>
      </c>
      <c r="AY93" s="17">
        <v>4</v>
      </c>
      <c r="AZ93" s="5"/>
      <c r="BA93" s="17"/>
      <c r="BB93" s="5"/>
      <c r="BC93" s="17"/>
      <c r="BD93" s="5"/>
      <c r="BE93" s="17"/>
      <c r="BF93" s="5">
        <v>2026</v>
      </c>
      <c r="BG93" s="17">
        <v>841</v>
      </c>
      <c r="BH93" s="5">
        <v>2029</v>
      </c>
      <c r="BI93" s="17">
        <v>902</v>
      </c>
      <c r="BJ93" s="5" t="s">
        <v>87</v>
      </c>
      <c r="BK93" s="9"/>
      <c r="BL93" s="9" t="str">
        <f>HYPERLINK("https://seichotoushi-hojo.jp/assets/pdf/koufu/outline_3.pdf","PDFを開く")</f>
        <v>PDFを開く</v>
      </c>
      <c r="BM93" s="9" t="s">
        <v>845</v>
      </c>
      <c r="BN93" s="9" t="s">
        <v>846</v>
      </c>
      <c r="BO93" s="9" t="s">
        <v>90</v>
      </c>
      <c r="BP93" s="9" t="s">
        <v>90</v>
      </c>
      <c r="BQ93" s="9" t="s">
        <v>156</v>
      </c>
      <c r="BR93" s="9" t="s">
        <v>92</v>
      </c>
    </row>
    <row r="94" spans="1:70" ht="45.95" customHeight="1">
      <c r="A94" s="2" t="s">
        <v>847</v>
      </c>
      <c r="B94" s="2" t="s">
        <v>73</v>
      </c>
      <c r="C94" s="2" t="s">
        <v>848</v>
      </c>
      <c r="D94" s="2" t="s">
        <v>849</v>
      </c>
      <c r="E94" s="2" t="s">
        <v>95</v>
      </c>
      <c r="F94" s="2"/>
      <c r="G94" s="2">
        <v>2</v>
      </c>
      <c r="H94" s="2">
        <v>0</v>
      </c>
      <c r="I94" s="2">
        <v>1</v>
      </c>
      <c r="J94" s="2">
        <v>1</v>
      </c>
      <c r="K94" s="2">
        <v>0</v>
      </c>
      <c r="L94" s="16">
        <v>5800</v>
      </c>
      <c r="M94" s="16">
        <v>1900</v>
      </c>
      <c r="N94" s="8" t="s">
        <v>850</v>
      </c>
      <c r="O94" s="12">
        <f t="shared" si="1"/>
        <v>32.758620689655174</v>
      </c>
      <c r="P94" s="2">
        <v>2</v>
      </c>
      <c r="Q94" s="2" t="s">
        <v>77</v>
      </c>
      <c r="R94" s="8" t="s">
        <v>851</v>
      </c>
      <c r="S94" s="8" t="s">
        <v>852</v>
      </c>
      <c r="T94" s="8" t="s">
        <v>80</v>
      </c>
      <c r="U94" s="2" t="s">
        <v>81</v>
      </c>
      <c r="V94" s="2"/>
      <c r="W94" s="16"/>
      <c r="X94" s="2">
        <v>2033</v>
      </c>
      <c r="Y94" s="16"/>
      <c r="Z94" s="16">
        <v>642</v>
      </c>
      <c r="AA94" s="2">
        <v>2033</v>
      </c>
      <c r="AB94" s="16">
        <v>124</v>
      </c>
      <c r="AC94" s="2">
        <v>2033</v>
      </c>
      <c r="AD94" s="2" t="s">
        <v>82</v>
      </c>
      <c r="AE94" s="16"/>
      <c r="AF94" s="16"/>
      <c r="AG94" s="16"/>
      <c r="AH94" s="16"/>
      <c r="AI94" s="8" t="s">
        <v>83</v>
      </c>
      <c r="AJ94" s="2" t="s">
        <v>84</v>
      </c>
      <c r="AK94" s="2">
        <v>1</v>
      </c>
      <c r="AL94" s="8" t="s">
        <v>853</v>
      </c>
      <c r="AM94" s="8"/>
      <c r="AN94" s="2">
        <v>2026</v>
      </c>
      <c r="AO94" s="16">
        <v>698</v>
      </c>
      <c r="AP94" s="2">
        <v>2029</v>
      </c>
      <c r="AQ94" s="16">
        <v>843</v>
      </c>
      <c r="AR94" s="2" t="s">
        <v>86</v>
      </c>
      <c r="AS94" s="16">
        <v>6.5</v>
      </c>
      <c r="AT94" s="2">
        <v>2026</v>
      </c>
      <c r="AU94" s="16">
        <v>582</v>
      </c>
      <c r="AV94" s="2">
        <v>2029</v>
      </c>
      <c r="AW94" s="16">
        <v>694</v>
      </c>
      <c r="AX94" s="2" t="s">
        <v>86</v>
      </c>
      <c r="AY94" s="16">
        <v>6</v>
      </c>
      <c r="AZ94" s="2"/>
      <c r="BA94" s="16"/>
      <c r="BB94" s="2"/>
      <c r="BC94" s="16"/>
      <c r="BD94" s="2"/>
      <c r="BE94" s="16"/>
      <c r="BF94" s="2">
        <v>2026</v>
      </c>
      <c r="BG94" s="16">
        <v>1600</v>
      </c>
      <c r="BH94" s="2">
        <v>2029</v>
      </c>
      <c r="BI94" s="16">
        <v>1700</v>
      </c>
      <c r="BJ94" s="2" t="s">
        <v>87</v>
      </c>
      <c r="BK94" s="8"/>
      <c r="BL94" s="8" t="str">
        <f>HYPERLINK("https://seichotoushi-hojo.jp/assets/pdf/koufu/outline_30.pdf","PDFを開く")</f>
        <v>PDFを開く</v>
      </c>
      <c r="BM94" s="8" t="s">
        <v>854</v>
      </c>
      <c r="BN94" s="8" t="s">
        <v>855</v>
      </c>
      <c r="BO94" s="8" t="s">
        <v>90</v>
      </c>
      <c r="BP94" s="8" t="s">
        <v>90</v>
      </c>
      <c r="BQ94" s="8" t="s">
        <v>157</v>
      </c>
      <c r="BR94" s="8" t="s">
        <v>92</v>
      </c>
    </row>
    <row r="95" spans="1:70" ht="45.95" customHeight="1">
      <c r="A95" s="5" t="s">
        <v>856</v>
      </c>
      <c r="B95" s="5" t="s">
        <v>73</v>
      </c>
      <c r="C95" s="5" t="s">
        <v>857</v>
      </c>
      <c r="D95" s="5" t="s">
        <v>857</v>
      </c>
      <c r="E95" s="5" t="s">
        <v>75</v>
      </c>
      <c r="F95" s="5"/>
      <c r="G95" s="5">
        <v>2</v>
      </c>
      <c r="H95" s="5">
        <v>0</v>
      </c>
      <c r="I95" s="5">
        <v>1</v>
      </c>
      <c r="J95" s="5">
        <v>1</v>
      </c>
      <c r="K95" s="5">
        <v>0</v>
      </c>
      <c r="L95" s="17">
        <v>1600</v>
      </c>
      <c r="M95" s="17">
        <v>460</v>
      </c>
      <c r="N95" s="9" t="s">
        <v>858</v>
      </c>
      <c r="O95" s="13">
        <f t="shared" si="1"/>
        <v>28.749999999999996</v>
      </c>
      <c r="P95" s="5">
        <v>2</v>
      </c>
      <c r="Q95" s="5" t="s">
        <v>77</v>
      </c>
      <c r="R95" s="9" t="s">
        <v>859</v>
      </c>
      <c r="S95" s="9" t="s">
        <v>860</v>
      </c>
      <c r="T95" s="9" t="s">
        <v>80</v>
      </c>
      <c r="U95" s="5" t="s">
        <v>81</v>
      </c>
      <c r="V95" s="5"/>
      <c r="W95" s="17"/>
      <c r="X95" s="5">
        <v>2030</v>
      </c>
      <c r="Y95" s="17"/>
      <c r="Z95" s="17">
        <v>34</v>
      </c>
      <c r="AA95" s="5">
        <v>2030</v>
      </c>
      <c r="AB95" s="17">
        <v>9</v>
      </c>
      <c r="AC95" s="5">
        <v>2030</v>
      </c>
      <c r="AD95" s="5" t="s">
        <v>82</v>
      </c>
      <c r="AE95" s="17"/>
      <c r="AF95" s="17"/>
      <c r="AG95" s="17"/>
      <c r="AH95" s="17"/>
      <c r="AI95" s="9" t="s">
        <v>83</v>
      </c>
      <c r="AJ95" s="5" t="s">
        <v>84</v>
      </c>
      <c r="AK95" s="5">
        <v>1</v>
      </c>
      <c r="AL95" s="9" t="s">
        <v>861</v>
      </c>
      <c r="AM95" s="9"/>
      <c r="AN95" s="5">
        <v>2026</v>
      </c>
      <c r="AO95" s="17">
        <v>1159</v>
      </c>
      <c r="AP95" s="5">
        <v>2029</v>
      </c>
      <c r="AQ95" s="17">
        <v>1385</v>
      </c>
      <c r="AR95" s="5" t="s">
        <v>86</v>
      </c>
      <c r="AS95" s="17">
        <v>6.14</v>
      </c>
      <c r="AT95" s="5">
        <v>2026</v>
      </c>
      <c r="AU95" s="17">
        <v>413</v>
      </c>
      <c r="AV95" s="5">
        <v>2029</v>
      </c>
      <c r="AW95" s="17">
        <v>502</v>
      </c>
      <c r="AX95" s="5" t="s">
        <v>86</v>
      </c>
      <c r="AY95" s="17">
        <v>6.72</v>
      </c>
      <c r="AZ95" s="5">
        <v>2026</v>
      </c>
      <c r="BA95" s="17">
        <v>1874</v>
      </c>
      <c r="BB95" s="5">
        <v>2029</v>
      </c>
      <c r="BC95" s="17">
        <v>2170</v>
      </c>
      <c r="BD95" s="5" t="s">
        <v>86</v>
      </c>
      <c r="BE95" s="17">
        <v>5</v>
      </c>
      <c r="BF95" s="5">
        <v>2026</v>
      </c>
      <c r="BG95" s="17">
        <v>75</v>
      </c>
      <c r="BH95" s="5">
        <v>2029</v>
      </c>
      <c r="BI95" s="17">
        <v>102</v>
      </c>
      <c r="BJ95" s="5" t="s">
        <v>87</v>
      </c>
      <c r="BK95" s="9"/>
      <c r="BL95" s="9" t="str">
        <f>HYPERLINK("https://seichotoushi-hojo.jp/assets/pdf/koufu/outline_31.pdf","PDFを開く")</f>
        <v>PDFを開く</v>
      </c>
      <c r="BM95" s="9" t="s">
        <v>862</v>
      </c>
      <c r="BN95" s="9" t="s">
        <v>863</v>
      </c>
      <c r="BO95" s="9" t="s">
        <v>90</v>
      </c>
      <c r="BP95" s="9" t="s">
        <v>90</v>
      </c>
      <c r="BQ95" s="9" t="s">
        <v>90</v>
      </c>
      <c r="BR95" s="9" t="s">
        <v>92</v>
      </c>
    </row>
    <row r="96" spans="1:70" ht="45.95" customHeight="1">
      <c r="A96" s="2" t="s">
        <v>864</v>
      </c>
      <c r="B96" s="2" t="s">
        <v>73</v>
      </c>
      <c r="C96" s="2" t="s">
        <v>865</v>
      </c>
      <c r="D96" s="2" t="s">
        <v>865</v>
      </c>
      <c r="E96" s="2" t="s">
        <v>186</v>
      </c>
      <c r="F96" s="2"/>
      <c r="G96" s="2">
        <v>2</v>
      </c>
      <c r="H96" s="2">
        <v>0</v>
      </c>
      <c r="I96" s="2">
        <v>1</v>
      </c>
      <c r="J96" s="2">
        <v>1</v>
      </c>
      <c r="K96" s="2">
        <v>0</v>
      </c>
      <c r="L96" s="16">
        <v>6100</v>
      </c>
      <c r="M96" s="16">
        <v>1900</v>
      </c>
      <c r="N96" s="8" t="s">
        <v>866</v>
      </c>
      <c r="O96" s="12">
        <f t="shared" si="1"/>
        <v>31.147540983606557</v>
      </c>
      <c r="P96" s="2">
        <v>2</v>
      </c>
      <c r="Q96" s="2" t="s">
        <v>77</v>
      </c>
      <c r="R96" s="8" t="s">
        <v>866</v>
      </c>
      <c r="S96" s="8" t="s">
        <v>867</v>
      </c>
      <c r="T96" s="8" t="s">
        <v>80</v>
      </c>
      <c r="U96" s="2" t="s">
        <v>81</v>
      </c>
      <c r="V96" s="2">
        <v>2023</v>
      </c>
      <c r="W96" s="16">
        <v>211</v>
      </c>
      <c r="X96" s="2">
        <v>2029</v>
      </c>
      <c r="Y96" s="16">
        <v>65</v>
      </c>
      <c r="Z96" s="16"/>
      <c r="AA96" s="2"/>
      <c r="AB96" s="16">
        <v>232</v>
      </c>
      <c r="AC96" s="2">
        <v>2029</v>
      </c>
      <c r="AD96" s="2" t="s">
        <v>82</v>
      </c>
      <c r="AE96" s="16"/>
      <c r="AF96" s="16"/>
      <c r="AG96" s="16">
        <v>-17.818925193397028</v>
      </c>
      <c r="AH96" s="16"/>
      <c r="AI96" s="8" t="s">
        <v>418</v>
      </c>
      <c r="AJ96" s="2" t="s">
        <v>84</v>
      </c>
      <c r="AK96" s="2">
        <v>1</v>
      </c>
      <c r="AL96" s="8" t="s">
        <v>868</v>
      </c>
      <c r="AM96" s="8" t="s">
        <v>869</v>
      </c>
      <c r="AN96" s="2">
        <v>2025</v>
      </c>
      <c r="AO96" s="16">
        <v>1097</v>
      </c>
      <c r="AP96" s="2">
        <v>2029</v>
      </c>
      <c r="AQ96" s="16">
        <v>1943</v>
      </c>
      <c r="AR96" s="2" t="s">
        <v>86</v>
      </c>
      <c r="AS96" s="16">
        <v>21</v>
      </c>
      <c r="AT96" s="2">
        <v>2025</v>
      </c>
      <c r="AU96" s="16">
        <v>521</v>
      </c>
      <c r="AV96" s="2">
        <v>2029</v>
      </c>
      <c r="AW96" s="16">
        <v>594</v>
      </c>
      <c r="AX96" s="2" t="s">
        <v>86</v>
      </c>
      <c r="AY96" s="16">
        <v>4.51</v>
      </c>
      <c r="AZ96" s="2">
        <v>2025</v>
      </c>
      <c r="BA96" s="16"/>
      <c r="BB96" s="2">
        <v>2029</v>
      </c>
      <c r="BC96" s="16"/>
      <c r="BD96" s="2" t="s">
        <v>86</v>
      </c>
      <c r="BE96" s="16">
        <v>3</v>
      </c>
      <c r="BF96" s="2">
        <v>2025</v>
      </c>
      <c r="BG96" s="16">
        <v>89</v>
      </c>
      <c r="BH96" s="2">
        <v>2029</v>
      </c>
      <c r="BI96" s="16">
        <v>95</v>
      </c>
      <c r="BJ96" s="2" t="s">
        <v>87</v>
      </c>
      <c r="BK96" s="8"/>
      <c r="BL96" s="8" t="str">
        <f>HYPERLINK("https://seichotoushi-hojo.jp/assets/pdf/koufu/outline_32.pdf","PDFを開く")</f>
        <v>PDFを開く</v>
      </c>
      <c r="BM96" s="8" t="s">
        <v>870</v>
      </c>
      <c r="BN96" s="8" t="s">
        <v>871</v>
      </c>
      <c r="BO96" s="8" t="s">
        <v>113</v>
      </c>
      <c r="BP96" s="8" t="s">
        <v>113</v>
      </c>
      <c r="BQ96" s="8" t="s">
        <v>91</v>
      </c>
      <c r="BR96" s="8" t="s">
        <v>166</v>
      </c>
    </row>
    <row r="97" spans="1:70" ht="45.95" customHeight="1">
      <c r="A97" s="5" t="s">
        <v>872</v>
      </c>
      <c r="B97" s="5" t="s">
        <v>73</v>
      </c>
      <c r="C97" s="5" t="s">
        <v>873</v>
      </c>
      <c r="D97" s="5" t="s">
        <v>873</v>
      </c>
      <c r="E97" s="5" t="s">
        <v>95</v>
      </c>
      <c r="F97" s="5"/>
      <c r="G97" s="5">
        <v>2</v>
      </c>
      <c r="H97" s="5">
        <v>0</v>
      </c>
      <c r="I97" s="5">
        <v>1</v>
      </c>
      <c r="J97" s="5">
        <v>1</v>
      </c>
      <c r="K97" s="5">
        <v>0</v>
      </c>
      <c r="L97" s="17">
        <v>1100</v>
      </c>
      <c r="M97" s="17">
        <v>350</v>
      </c>
      <c r="N97" s="9" t="s">
        <v>874</v>
      </c>
      <c r="O97" s="13">
        <f t="shared" si="1"/>
        <v>31.818181818181817</v>
      </c>
      <c r="P97" s="5">
        <v>2</v>
      </c>
      <c r="Q97" s="5" t="s">
        <v>308</v>
      </c>
      <c r="R97" s="9"/>
      <c r="S97" s="9" t="s">
        <v>875</v>
      </c>
      <c r="T97" s="9" t="s">
        <v>310</v>
      </c>
      <c r="U97" s="5" t="s">
        <v>81</v>
      </c>
      <c r="V97" s="5">
        <v>2025</v>
      </c>
      <c r="W97" s="17"/>
      <c r="X97" s="5">
        <v>2033</v>
      </c>
      <c r="Y97" s="17"/>
      <c r="Z97" s="17">
        <v>30</v>
      </c>
      <c r="AA97" s="5">
        <v>2033</v>
      </c>
      <c r="AB97" s="17">
        <v>140</v>
      </c>
      <c r="AC97" s="5">
        <v>2033</v>
      </c>
      <c r="AD97" s="5" t="s">
        <v>82</v>
      </c>
      <c r="AE97" s="17"/>
      <c r="AF97" s="17"/>
      <c r="AG97" s="17"/>
      <c r="AH97" s="17"/>
      <c r="AI97" s="9" t="s">
        <v>83</v>
      </c>
      <c r="AJ97" s="5" t="s">
        <v>84</v>
      </c>
      <c r="AK97" s="5">
        <v>1</v>
      </c>
      <c r="AL97" s="9" t="s">
        <v>876</v>
      </c>
      <c r="AM97" s="9"/>
      <c r="AN97" s="5">
        <v>2025</v>
      </c>
      <c r="AO97" s="17">
        <v>1608</v>
      </c>
      <c r="AP97" s="5">
        <v>2028</v>
      </c>
      <c r="AQ97" s="17">
        <v>2044</v>
      </c>
      <c r="AR97" s="5" t="s">
        <v>86</v>
      </c>
      <c r="AS97" s="17">
        <v>8.34</v>
      </c>
      <c r="AT97" s="5">
        <v>2025</v>
      </c>
      <c r="AU97" s="17">
        <v>452</v>
      </c>
      <c r="AV97" s="5">
        <v>2028</v>
      </c>
      <c r="AW97" s="17">
        <v>523</v>
      </c>
      <c r="AX97" s="5" t="s">
        <v>86</v>
      </c>
      <c r="AY97" s="17">
        <v>5</v>
      </c>
      <c r="AZ97" s="5"/>
      <c r="BA97" s="17"/>
      <c r="BB97" s="5"/>
      <c r="BC97" s="17"/>
      <c r="BD97" s="5"/>
      <c r="BE97" s="17"/>
      <c r="BF97" s="5">
        <v>2025</v>
      </c>
      <c r="BG97" s="17">
        <v>101</v>
      </c>
      <c r="BH97" s="5">
        <v>2028</v>
      </c>
      <c r="BI97" s="17">
        <v>116</v>
      </c>
      <c r="BJ97" s="5" t="s">
        <v>87</v>
      </c>
      <c r="BK97" s="9"/>
      <c r="BL97" s="9" t="str">
        <f>HYPERLINK("https://seichotoushi-hojo.jp/assets/pdf/koufu/outline_33.pdf","PDFを開く")</f>
        <v>PDFを開く</v>
      </c>
      <c r="BM97" s="9" t="s">
        <v>877</v>
      </c>
      <c r="BN97" s="9" t="s">
        <v>878</v>
      </c>
      <c r="BO97" s="9" t="s">
        <v>90</v>
      </c>
      <c r="BP97" s="9" t="s">
        <v>90</v>
      </c>
      <c r="BQ97" s="9" t="s">
        <v>157</v>
      </c>
      <c r="BR97" s="9" t="s">
        <v>92</v>
      </c>
    </row>
    <row r="98" spans="1:70" ht="45.95" customHeight="1">
      <c r="A98" s="2" t="s">
        <v>879</v>
      </c>
      <c r="B98" s="2" t="s">
        <v>73</v>
      </c>
      <c r="C98" s="2" t="s">
        <v>880</v>
      </c>
      <c r="D98" s="2" t="s">
        <v>880</v>
      </c>
      <c r="E98" s="2" t="s">
        <v>75</v>
      </c>
      <c r="F98" s="2"/>
      <c r="G98" s="2">
        <v>2</v>
      </c>
      <c r="H98" s="2">
        <v>0</v>
      </c>
      <c r="I98" s="2">
        <v>1</v>
      </c>
      <c r="J98" s="2">
        <v>1</v>
      </c>
      <c r="K98" s="2">
        <v>0</v>
      </c>
      <c r="L98" s="16">
        <v>1900</v>
      </c>
      <c r="M98" s="16">
        <v>520</v>
      </c>
      <c r="N98" s="8" t="s">
        <v>881</v>
      </c>
      <c r="O98" s="12">
        <f t="shared" si="1"/>
        <v>27.368421052631582</v>
      </c>
      <c r="P98" s="2">
        <v>2</v>
      </c>
      <c r="Q98" s="2" t="s">
        <v>77</v>
      </c>
      <c r="R98" s="8" t="s">
        <v>881</v>
      </c>
      <c r="S98" s="8" t="s">
        <v>882</v>
      </c>
      <c r="T98" s="8" t="s">
        <v>80</v>
      </c>
      <c r="U98" s="2" t="s">
        <v>81</v>
      </c>
      <c r="V98" s="2">
        <v>2023</v>
      </c>
      <c r="W98" s="16">
        <v>150</v>
      </c>
      <c r="X98" s="2">
        <v>2028</v>
      </c>
      <c r="Y98" s="16">
        <v>150</v>
      </c>
      <c r="Z98" s="16">
        <v>50</v>
      </c>
      <c r="AA98" s="2">
        <v>2028</v>
      </c>
      <c r="AB98" s="16">
        <v>57</v>
      </c>
      <c r="AC98" s="2">
        <v>2028</v>
      </c>
      <c r="AD98" s="2" t="s">
        <v>82</v>
      </c>
      <c r="AE98" s="16"/>
      <c r="AF98" s="16"/>
      <c r="AG98" s="16">
        <v>0</v>
      </c>
      <c r="AH98" s="16"/>
      <c r="AI98" s="8" t="s">
        <v>200</v>
      </c>
      <c r="AJ98" s="2" t="s">
        <v>84</v>
      </c>
      <c r="AK98" s="2">
        <v>1</v>
      </c>
      <c r="AL98" s="8" t="s">
        <v>883</v>
      </c>
      <c r="AM98" s="8" t="s">
        <v>884</v>
      </c>
      <c r="AN98" s="2">
        <v>2026</v>
      </c>
      <c r="AO98" s="16">
        <v>2605</v>
      </c>
      <c r="AP98" s="2">
        <v>2029</v>
      </c>
      <c r="AQ98" s="16">
        <v>3672</v>
      </c>
      <c r="AR98" s="2" t="s">
        <v>86</v>
      </c>
      <c r="AS98" s="16">
        <v>12.1</v>
      </c>
      <c r="AT98" s="2">
        <v>2026</v>
      </c>
      <c r="AU98" s="16">
        <v>532</v>
      </c>
      <c r="AV98" s="2">
        <v>2029</v>
      </c>
      <c r="AW98" s="16">
        <v>616</v>
      </c>
      <c r="AX98" s="2" t="s">
        <v>86</v>
      </c>
      <c r="AY98" s="16">
        <v>5</v>
      </c>
      <c r="AZ98" s="2">
        <v>2026</v>
      </c>
      <c r="BA98" s="16"/>
      <c r="BB98" s="2">
        <v>2029</v>
      </c>
      <c r="BC98" s="16"/>
      <c r="BD98" s="2" t="s">
        <v>86</v>
      </c>
      <c r="BE98" s="16">
        <v>5</v>
      </c>
      <c r="BF98" s="2">
        <v>2026</v>
      </c>
      <c r="BG98" s="16">
        <v>19</v>
      </c>
      <c r="BH98" s="2">
        <v>2029</v>
      </c>
      <c r="BI98" s="16">
        <v>27</v>
      </c>
      <c r="BJ98" s="2" t="s">
        <v>87</v>
      </c>
      <c r="BK98" s="8"/>
      <c r="BL98" s="8" t="str">
        <f>HYPERLINK("https://seichotoushi-hojo.jp/assets/pdf/koufu/outline_34.pdf","PDFを開く")</f>
        <v>PDFを開く</v>
      </c>
      <c r="BM98" s="8" t="s">
        <v>885</v>
      </c>
      <c r="BN98" s="8" t="s">
        <v>886</v>
      </c>
      <c r="BO98" s="8" t="s">
        <v>90</v>
      </c>
      <c r="BP98" s="8" t="s">
        <v>90</v>
      </c>
      <c r="BQ98" s="8" t="s">
        <v>91</v>
      </c>
      <c r="BR98" s="8" t="s">
        <v>92</v>
      </c>
    </row>
    <row r="99" spans="1:70" ht="45.95" customHeight="1">
      <c r="A99" s="5" t="s">
        <v>887</v>
      </c>
      <c r="B99" s="5" t="s">
        <v>73</v>
      </c>
      <c r="C99" s="5" t="s">
        <v>888</v>
      </c>
      <c r="D99" s="5" t="s">
        <v>888</v>
      </c>
      <c r="E99" s="5" t="s">
        <v>107</v>
      </c>
      <c r="F99" s="5"/>
      <c r="G99" s="5">
        <v>2</v>
      </c>
      <c r="H99" s="5">
        <v>0</v>
      </c>
      <c r="I99" s="5">
        <v>1</v>
      </c>
      <c r="J99" s="5">
        <v>1</v>
      </c>
      <c r="K99" s="5">
        <v>0</v>
      </c>
      <c r="L99" s="17">
        <v>3400</v>
      </c>
      <c r="M99" s="17">
        <v>890</v>
      </c>
      <c r="N99" s="9" t="s">
        <v>889</v>
      </c>
      <c r="O99" s="13">
        <f t="shared" si="1"/>
        <v>26.176470588235297</v>
      </c>
      <c r="P99" s="5">
        <v>2</v>
      </c>
      <c r="Q99" s="5" t="s">
        <v>77</v>
      </c>
      <c r="R99" s="9" t="s">
        <v>889</v>
      </c>
      <c r="S99" s="9" t="s">
        <v>890</v>
      </c>
      <c r="T99" s="9" t="s">
        <v>80</v>
      </c>
      <c r="U99" s="5" t="s">
        <v>81</v>
      </c>
      <c r="V99" s="5">
        <v>2023</v>
      </c>
      <c r="W99" s="17"/>
      <c r="X99" s="5">
        <v>2029</v>
      </c>
      <c r="Y99" s="17"/>
      <c r="Z99" s="17">
        <v>47.3</v>
      </c>
      <c r="AA99" s="5">
        <v>2029</v>
      </c>
      <c r="AB99" s="17">
        <v>81.599999999999994</v>
      </c>
      <c r="AC99" s="5">
        <v>2029</v>
      </c>
      <c r="AD99" s="5" t="s">
        <v>82</v>
      </c>
      <c r="AE99" s="17"/>
      <c r="AF99" s="17"/>
      <c r="AG99" s="17"/>
      <c r="AH99" s="17"/>
      <c r="AI99" s="9" t="s">
        <v>83</v>
      </c>
      <c r="AJ99" s="5" t="s">
        <v>84</v>
      </c>
      <c r="AK99" s="5">
        <v>1</v>
      </c>
      <c r="AL99" s="9" t="s">
        <v>891</v>
      </c>
      <c r="AM99" s="9"/>
      <c r="AN99" s="5">
        <v>2026</v>
      </c>
      <c r="AO99" s="17">
        <v>2917.9</v>
      </c>
      <c r="AP99" s="5">
        <v>2029</v>
      </c>
      <c r="AQ99" s="17">
        <v>4070.1</v>
      </c>
      <c r="AR99" s="5" t="s">
        <v>86</v>
      </c>
      <c r="AS99" s="17">
        <v>11.7</v>
      </c>
      <c r="AT99" s="5">
        <v>2026</v>
      </c>
      <c r="AU99" s="17">
        <v>485.7</v>
      </c>
      <c r="AV99" s="5">
        <v>2029</v>
      </c>
      <c r="AW99" s="17">
        <v>562.20000000000005</v>
      </c>
      <c r="AX99" s="5" t="s">
        <v>86</v>
      </c>
      <c r="AY99" s="17">
        <v>5</v>
      </c>
      <c r="AZ99" s="5"/>
      <c r="BA99" s="17"/>
      <c r="BB99" s="5"/>
      <c r="BC99" s="17"/>
      <c r="BD99" s="5"/>
      <c r="BE99" s="17"/>
      <c r="BF99" s="5">
        <v>2026</v>
      </c>
      <c r="BG99" s="17">
        <v>61</v>
      </c>
      <c r="BH99" s="5">
        <v>2029</v>
      </c>
      <c r="BI99" s="17">
        <v>71</v>
      </c>
      <c r="BJ99" s="5" t="s">
        <v>87</v>
      </c>
      <c r="BK99" s="9"/>
      <c r="BL99" s="9" t="str">
        <f>HYPERLINK("https://seichotoushi-hojo.jp/assets/pdf/koufu/outline_35.pdf","PDFを開く")</f>
        <v>PDFを開く</v>
      </c>
      <c r="BM99" s="9" t="s">
        <v>892</v>
      </c>
      <c r="BN99" s="9" t="s">
        <v>893</v>
      </c>
      <c r="BO99" s="9" t="s">
        <v>90</v>
      </c>
      <c r="BP99" s="9" t="s">
        <v>90</v>
      </c>
      <c r="BQ99" s="9" t="s">
        <v>156</v>
      </c>
      <c r="BR99" s="9" t="s">
        <v>92</v>
      </c>
    </row>
    <row r="100" spans="1:70" ht="45.95" customHeight="1">
      <c r="A100" s="2" t="s">
        <v>894</v>
      </c>
      <c r="B100" s="2" t="s">
        <v>73</v>
      </c>
      <c r="C100" s="2" t="s">
        <v>895</v>
      </c>
      <c r="D100" s="2" t="s">
        <v>895</v>
      </c>
      <c r="E100" s="2" t="s">
        <v>95</v>
      </c>
      <c r="F100" s="2"/>
      <c r="G100" s="2">
        <v>2</v>
      </c>
      <c r="H100" s="2">
        <v>0</v>
      </c>
      <c r="I100" s="2">
        <v>1</v>
      </c>
      <c r="J100" s="2">
        <v>1</v>
      </c>
      <c r="K100" s="2">
        <v>0</v>
      </c>
      <c r="L100" s="16">
        <v>7100</v>
      </c>
      <c r="M100" s="16">
        <v>2400</v>
      </c>
      <c r="N100" s="8" t="s">
        <v>896</v>
      </c>
      <c r="O100" s="12">
        <f t="shared" si="1"/>
        <v>33.802816901408448</v>
      </c>
      <c r="P100" s="2">
        <v>2</v>
      </c>
      <c r="Q100" s="2" t="s">
        <v>77</v>
      </c>
      <c r="R100" s="8" t="s">
        <v>896</v>
      </c>
      <c r="S100" s="8" t="s">
        <v>897</v>
      </c>
      <c r="T100" s="8" t="s">
        <v>80</v>
      </c>
      <c r="U100" s="2" t="s">
        <v>81</v>
      </c>
      <c r="V100" s="2"/>
      <c r="W100" s="16"/>
      <c r="X100" s="2">
        <v>2030</v>
      </c>
      <c r="Y100" s="16"/>
      <c r="Z100" s="16">
        <v>34.6</v>
      </c>
      <c r="AA100" s="2">
        <v>2030</v>
      </c>
      <c r="AB100" s="16">
        <v>12</v>
      </c>
      <c r="AC100" s="2">
        <v>2030</v>
      </c>
      <c r="AD100" s="2" t="s">
        <v>82</v>
      </c>
      <c r="AE100" s="16"/>
      <c r="AF100" s="16"/>
      <c r="AG100" s="16"/>
      <c r="AH100" s="16"/>
      <c r="AI100" s="8" t="s">
        <v>83</v>
      </c>
      <c r="AJ100" s="2" t="s">
        <v>84</v>
      </c>
      <c r="AK100" s="2">
        <v>1</v>
      </c>
      <c r="AL100" s="8" t="s">
        <v>898</v>
      </c>
      <c r="AM100" s="8"/>
      <c r="AN100" s="2">
        <v>2027</v>
      </c>
      <c r="AO100" s="16">
        <v>1868</v>
      </c>
      <c r="AP100" s="2">
        <v>2030</v>
      </c>
      <c r="AQ100" s="16">
        <v>2172</v>
      </c>
      <c r="AR100" s="2" t="s">
        <v>86</v>
      </c>
      <c r="AS100" s="16">
        <v>5.2</v>
      </c>
      <c r="AT100" s="2">
        <v>2027</v>
      </c>
      <c r="AU100" s="16">
        <v>455</v>
      </c>
      <c r="AV100" s="2">
        <v>2030</v>
      </c>
      <c r="AW100" s="16">
        <v>515</v>
      </c>
      <c r="AX100" s="2" t="s">
        <v>86</v>
      </c>
      <c r="AY100" s="16">
        <v>4.2</v>
      </c>
      <c r="AZ100" s="2"/>
      <c r="BA100" s="16"/>
      <c r="BB100" s="2"/>
      <c r="BC100" s="16"/>
      <c r="BD100" s="2"/>
      <c r="BE100" s="16"/>
      <c r="BF100" s="2"/>
      <c r="BG100" s="16"/>
      <c r="BH100" s="2"/>
      <c r="BI100" s="16"/>
      <c r="BJ100" s="2" t="s">
        <v>152</v>
      </c>
      <c r="BK100" s="8" t="s">
        <v>153</v>
      </c>
      <c r="BL100" s="8" t="str">
        <f>HYPERLINK("https://seichotoushi-hojo.jp/assets/pdf/koufu/outline_36.pdf","PDFを開く")</f>
        <v>PDFを開く</v>
      </c>
      <c r="BM100" s="8" t="s">
        <v>899</v>
      </c>
      <c r="BN100" s="8" t="s">
        <v>900</v>
      </c>
      <c r="BO100" s="8" t="s">
        <v>90</v>
      </c>
      <c r="BP100" s="8" t="s">
        <v>90</v>
      </c>
      <c r="BQ100" s="8" t="s">
        <v>157</v>
      </c>
      <c r="BR100" s="8" t="s">
        <v>157</v>
      </c>
    </row>
    <row r="101" spans="1:70" ht="45.95" customHeight="1">
      <c r="A101" s="5" t="s">
        <v>901</v>
      </c>
      <c r="B101" s="5" t="s">
        <v>73</v>
      </c>
      <c r="C101" s="5" t="s">
        <v>902</v>
      </c>
      <c r="D101" s="5" t="s">
        <v>902</v>
      </c>
      <c r="E101" s="5" t="s">
        <v>75</v>
      </c>
      <c r="F101" s="5"/>
      <c r="G101" s="5">
        <v>2</v>
      </c>
      <c r="H101" s="5">
        <v>0</v>
      </c>
      <c r="I101" s="5">
        <v>1</v>
      </c>
      <c r="J101" s="5">
        <v>1</v>
      </c>
      <c r="K101" s="5">
        <v>0</v>
      </c>
      <c r="L101" s="17">
        <v>1800</v>
      </c>
      <c r="M101" s="17">
        <v>590</v>
      </c>
      <c r="N101" s="9" t="s">
        <v>903</v>
      </c>
      <c r="O101" s="13">
        <f t="shared" si="1"/>
        <v>32.777777777777779</v>
      </c>
      <c r="P101" s="5">
        <v>2</v>
      </c>
      <c r="Q101" s="5" t="s">
        <v>308</v>
      </c>
      <c r="R101" s="9" t="s">
        <v>904</v>
      </c>
      <c r="S101" s="9" t="s">
        <v>905</v>
      </c>
      <c r="T101" s="9" t="s">
        <v>310</v>
      </c>
      <c r="U101" s="5" t="s">
        <v>81</v>
      </c>
      <c r="V101" s="5">
        <v>2023</v>
      </c>
      <c r="W101" s="17"/>
      <c r="X101" s="5">
        <v>2028</v>
      </c>
      <c r="Y101" s="17"/>
      <c r="Z101" s="17">
        <v>10</v>
      </c>
      <c r="AA101" s="5">
        <v>2028</v>
      </c>
      <c r="AB101" s="17">
        <v>27.7</v>
      </c>
      <c r="AC101" s="5">
        <v>2028</v>
      </c>
      <c r="AD101" s="5" t="s">
        <v>82</v>
      </c>
      <c r="AE101" s="17"/>
      <c r="AF101" s="17"/>
      <c r="AG101" s="17"/>
      <c r="AH101" s="17"/>
      <c r="AI101" s="9" t="s">
        <v>83</v>
      </c>
      <c r="AJ101" s="5" t="s">
        <v>84</v>
      </c>
      <c r="AK101" s="5">
        <v>1</v>
      </c>
      <c r="AL101" s="9" t="s">
        <v>906</v>
      </c>
      <c r="AM101" s="9"/>
      <c r="AN101" s="5">
        <v>2025</v>
      </c>
      <c r="AO101" s="17">
        <v>400.1</v>
      </c>
      <c r="AP101" s="5">
        <v>2028</v>
      </c>
      <c r="AQ101" s="17">
        <v>632.29999999999995</v>
      </c>
      <c r="AR101" s="5" t="s">
        <v>86</v>
      </c>
      <c r="AS101" s="17">
        <v>16.48</v>
      </c>
      <c r="AT101" s="5">
        <v>2025</v>
      </c>
      <c r="AU101" s="17">
        <v>256.2</v>
      </c>
      <c r="AV101" s="5">
        <v>2028</v>
      </c>
      <c r="AW101" s="17">
        <v>346.4</v>
      </c>
      <c r="AX101" s="5" t="s">
        <v>86</v>
      </c>
      <c r="AY101" s="17">
        <v>10.58</v>
      </c>
      <c r="AZ101" s="5"/>
      <c r="BA101" s="17"/>
      <c r="BB101" s="5"/>
      <c r="BC101" s="17"/>
      <c r="BD101" s="5"/>
      <c r="BE101" s="17"/>
      <c r="BF101" s="5">
        <v>2025</v>
      </c>
      <c r="BG101" s="17">
        <v>76</v>
      </c>
      <c r="BH101" s="5">
        <v>2028</v>
      </c>
      <c r="BI101" s="17">
        <v>83</v>
      </c>
      <c r="BJ101" s="5" t="s">
        <v>87</v>
      </c>
      <c r="BK101" s="9"/>
      <c r="BL101" s="9" t="str">
        <f>HYPERLINK("https://seichotoushi-hojo.jp/assets/pdf/koufu/outline_37.pdf","PDFを開く")</f>
        <v>PDFを開く</v>
      </c>
      <c r="BM101" s="9" t="s">
        <v>907</v>
      </c>
      <c r="BN101" s="9" t="s">
        <v>908</v>
      </c>
      <c r="BO101" s="9" t="s">
        <v>90</v>
      </c>
      <c r="BP101" s="9" t="s">
        <v>90</v>
      </c>
      <c r="BQ101" s="9" t="s">
        <v>157</v>
      </c>
      <c r="BR101" s="9" t="s">
        <v>92</v>
      </c>
    </row>
    <row r="102" spans="1:70" ht="45.95" customHeight="1">
      <c r="A102" s="2" t="s">
        <v>909</v>
      </c>
      <c r="B102" s="2" t="s">
        <v>73</v>
      </c>
      <c r="C102" s="2" t="s">
        <v>910</v>
      </c>
      <c r="D102" s="2" t="s">
        <v>910</v>
      </c>
      <c r="E102" s="2" t="s">
        <v>116</v>
      </c>
      <c r="F102" s="2"/>
      <c r="G102" s="2">
        <v>2</v>
      </c>
      <c r="H102" s="2">
        <v>0</v>
      </c>
      <c r="I102" s="2">
        <v>1</v>
      </c>
      <c r="J102" s="2">
        <v>1</v>
      </c>
      <c r="K102" s="2">
        <v>0</v>
      </c>
      <c r="L102" s="16">
        <v>2700</v>
      </c>
      <c r="M102" s="16">
        <v>860</v>
      </c>
      <c r="N102" s="8" t="s">
        <v>771</v>
      </c>
      <c r="O102" s="12">
        <f t="shared" si="1"/>
        <v>31.851851851851855</v>
      </c>
      <c r="P102" s="2">
        <v>2</v>
      </c>
      <c r="Q102" s="2" t="s">
        <v>77</v>
      </c>
      <c r="R102" s="8" t="s">
        <v>771</v>
      </c>
      <c r="S102" s="8" t="s">
        <v>911</v>
      </c>
      <c r="T102" s="8" t="s">
        <v>80</v>
      </c>
      <c r="U102" s="2" t="s">
        <v>81</v>
      </c>
      <c r="V102" s="2"/>
      <c r="W102" s="16"/>
      <c r="X102" s="2">
        <v>2030</v>
      </c>
      <c r="Y102" s="16"/>
      <c r="Z102" s="16">
        <v>261</v>
      </c>
      <c r="AA102" s="2">
        <v>2030</v>
      </c>
      <c r="AB102" s="16">
        <v>179</v>
      </c>
      <c r="AC102" s="2">
        <v>2030</v>
      </c>
      <c r="AD102" s="2" t="s">
        <v>82</v>
      </c>
      <c r="AE102" s="16"/>
      <c r="AF102" s="16"/>
      <c r="AG102" s="16"/>
      <c r="AH102" s="16"/>
      <c r="AI102" s="8" t="s">
        <v>83</v>
      </c>
      <c r="AJ102" s="2" t="s">
        <v>84</v>
      </c>
      <c r="AK102" s="2">
        <v>1</v>
      </c>
      <c r="AL102" s="8" t="s">
        <v>912</v>
      </c>
      <c r="AM102" s="8"/>
      <c r="AN102" s="2">
        <v>2026</v>
      </c>
      <c r="AO102" s="16">
        <v>759</v>
      </c>
      <c r="AP102" s="2">
        <v>2029</v>
      </c>
      <c r="AQ102" s="16">
        <v>935</v>
      </c>
      <c r="AR102" s="2" t="s">
        <v>86</v>
      </c>
      <c r="AS102" s="16">
        <v>7.19</v>
      </c>
      <c r="AT102" s="2">
        <v>2026</v>
      </c>
      <c r="AU102" s="16">
        <v>550</v>
      </c>
      <c r="AV102" s="2">
        <v>2029</v>
      </c>
      <c r="AW102" s="16">
        <v>610</v>
      </c>
      <c r="AX102" s="2" t="s">
        <v>86</v>
      </c>
      <c r="AY102" s="16">
        <v>3.51</v>
      </c>
      <c r="AZ102" s="2"/>
      <c r="BA102" s="16"/>
      <c r="BB102" s="2"/>
      <c r="BC102" s="16"/>
      <c r="BD102" s="2"/>
      <c r="BE102" s="16"/>
      <c r="BF102" s="2">
        <v>2026</v>
      </c>
      <c r="BG102" s="16">
        <v>1030</v>
      </c>
      <c r="BH102" s="2">
        <v>2029</v>
      </c>
      <c r="BI102" s="16">
        <v>1160</v>
      </c>
      <c r="BJ102" s="2" t="s">
        <v>87</v>
      </c>
      <c r="BK102" s="8"/>
      <c r="BL102" s="8" t="str">
        <f>HYPERLINK("https://seichotoushi-hojo.jp/assets/pdf/koufu/outline_38.pdf","PDFを開く")</f>
        <v>PDFを開く</v>
      </c>
      <c r="BM102" s="8" t="s">
        <v>913</v>
      </c>
      <c r="BN102" s="8" t="s">
        <v>914</v>
      </c>
      <c r="BO102" s="8" t="s">
        <v>90</v>
      </c>
      <c r="BP102" s="8" t="s">
        <v>90</v>
      </c>
      <c r="BQ102" s="8" t="s">
        <v>156</v>
      </c>
      <c r="BR102" s="8" t="s">
        <v>92</v>
      </c>
    </row>
    <row r="103" spans="1:70" ht="45.95" customHeight="1">
      <c r="A103" s="5" t="s">
        <v>915</v>
      </c>
      <c r="B103" s="5" t="s">
        <v>73</v>
      </c>
      <c r="C103" s="5" t="s">
        <v>916</v>
      </c>
      <c r="D103" s="5" t="s">
        <v>916</v>
      </c>
      <c r="E103" s="5" t="s">
        <v>95</v>
      </c>
      <c r="F103" s="5"/>
      <c r="G103" s="5">
        <v>2</v>
      </c>
      <c r="H103" s="5">
        <v>0</v>
      </c>
      <c r="I103" s="5">
        <v>1</v>
      </c>
      <c r="J103" s="5">
        <v>1</v>
      </c>
      <c r="K103" s="5">
        <v>0</v>
      </c>
      <c r="L103" s="17">
        <v>1900</v>
      </c>
      <c r="M103" s="17">
        <v>610</v>
      </c>
      <c r="N103" s="9" t="s">
        <v>917</v>
      </c>
      <c r="O103" s="13">
        <f t="shared" si="1"/>
        <v>32.10526315789474</v>
      </c>
      <c r="P103" s="5">
        <v>2</v>
      </c>
      <c r="Q103" s="5" t="s">
        <v>77</v>
      </c>
      <c r="R103" s="9" t="s">
        <v>918</v>
      </c>
      <c r="S103" s="9" t="s">
        <v>919</v>
      </c>
      <c r="T103" s="9" t="s">
        <v>80</v>
      </c>
      <c r="U103" s="5" t="s">
        <v>81</v>
      </c>
      <c r="V103" s="5"/>
      <c r="W103" s="17"/>
      <c r="X103" s="5">
        <v>2029</v>
      </c>
      <c r="Y103" s="17">
        <v>66</v>
      </c>
      <c r="Z103" s="17">
        <v>20</v>
      </c>
      <c r="AA103" s="5">
        <v>2029</v>
      </c>
      <c r="AB103" s="17">
        <v>43</v>
      </c>
      <c r="AC103" s="5">
        <v>2029</v>
      </c>
      <c r="AD103" s="5" t="s">
        <v>82</v>
      </c>
      <c r="AE103" s="17"/>
      <c r="AF103" s="17"/>
      <c r="AG103" s="17"/>
      <c r="AH103" s="17"/>
      <c r="AI103" s="9" t="s">
        <v>83</v>
      </c>
      <c r="AJ103" s="5" t="s">
        <v>84</v>
      </c>
      <c r="AK103" s="5">
        <v>1</v>
      </c>
      <c r="AL103" s="9" t="s">
        <v>920</v>
      </c>
      <c r="AM103" s="9" t="s">
        <v>921</v>
      </c>
      <c r="AN103" s="5">
        <v>2026</v>
      </c>
      <c r="AO103" s="17">
        <v>500</v>
      </c>
      <c r="AP103" s="5">
        <v>2029</v>
      </c>
      <c r="AQ103" s="17">
        <v>800</v>
      </c>
      <c r="AR103" s="5" t="s">
        <v>86</v>
      </c>
      <c r="AS103" s="17">
        <v>17</v>
      </c>
      <c r="AT103" s="5">
        <v>2026</v>
      </c>
      <c r="AU103" s="17">
        <v>362</v>
      </c>
      <c r="AV103" s="5">
        <v>2029</v>
      </c>
      <c r="AW103" s="17">
        <v>402</v>
      </c>
      <c r="AX103" s="5" t="s">
        <v>86</v>
      </c>
      <c r="AY103" s="17">
        <v>3.2</v>
      </c>
      <c r="AZ103" s="5"/>
      <c r="BA103" s="17"/>
      <c r="BB103" s="5"/>
      <c r="BC103" s="17"/>
      <c r="BD103" s="5"/>
      <c r="BE103" s="17"/>
      <c r="BF103" s="5">
        <v>2026</v>
      </c>
      <c r="BG103" s="17">
        <v>197</v>
      </c>
      <c r="BH103" s="5">
        <v>2029</v>
      </c>
      <c r="BI103" s="17">
        <v>217</v>
      </c>
      <c r="BJ103" s="5" t="s">
        <v>87</v>
      </c>
      <c r="BK103" s="9"/>
      <c r="BL103" s="9" t="str">
        <f>HYPERLINK("https://seichotoushi-hojo.jp/assets/pdf/koufu/outline_39.pdf","PDFを開く")</f>
        <v>PDFを開く</v>
      </c>
      <c r="BM103" s="9" t="s">
        <v>922</v>
      </c>
      <c r="BN103" s="9" t="s">
        <v>923</v>
      </c>
      <c r="BO103" s="9" t="s">
        <v>90</v>
      </c>
      <c r="BP103" s="9" t="s">
        <v>90</v>
      </c>
      <c r="BQ103" s="9" t="s">
        <v>156</v>
      </c>
      <c r="BR103" s="9" t="s">
        <v>92</v>
      </c>
    </row>
    <row r="104" spans="1:70" ht="45.95" customHeight="1">
      <c r="A104" s="2" t="s">
        <v>924</v>
      </c>
      <c r="B104" s="2" t="s">
        <v>73</v>
      </c>
      <c r="C104" s="2" t="s">
        <v>925</v>
      </c>
      <c r="D104" s="2" t="s">
        <v>925</v>
      </c>
      <c r="E104" s="2"/>
      <c r="F104" s="2"/>
      <c r="G104" s="2">
        <v>2</v>
      </c>
      <c r="H104" s="2">
        <v>0</v>
      </c>
      <c r="I104" s="2">
        <v>1</v>
      </c>
      <c r="J104" s="2">
        <v>1</v>
      </c>
      <c r="K104" s="2">
        <v>0</v>
      </c>
      <c r="L104" s="16">
        <v>1500</v>
      </c>
      <c r="M104" s="16">
        <v>430</v>
      </c>
      <c r="N104" s="8" t="s">
        <v>371</v>
      </c>
      <c r="O104" s="12">
        <f t="shared" si="1"/>
        <v>28.666666666666668</v>
      </c>
      <c r="P104" s="2">
        <v>2</v>
      </c>
      <c r="Q104" s="2" t="s">
        <v>77</v>
      </c>
      <c r="R104" s="8" t="s">
        <v>926</v>
      </c>
      <c r="S104" s="8" t="s">
        <v>927</v>
      </c>
      <c r="T104" s="8" t="s">
        <v>80</v>
      </c>
      <c r="U104" s="2" t="s">
        <v>81</v>
      </c>
      <c r="V104" s="2"/>
      <c r="W104" s="16"/>
      <c r="X104" s="2">
        <v>2032</v>
      </c>
      <c r="Y104" s="16"/>
      <c r="Z104" s="16">
        <v>49.3</v>
      </c>
      <c r="AA104" s="2">
        <v>2032</v>
      </c>
      <c r="AB104" s="16">
        <v>161.5</v>
      </c>
      <c r="AC104" s="2">
        <v>2032</v>
      </c>
      <c r="AD104" s="2" t="s">
        <v>82</v>
      </c>
      <c r="AE104" s="16"/>
      <c r="AF104" s="16"/>
      <c r="AG104" s="16"/>
      <c r="AH104" s="16"/>
      <c r="AI104" s="8" t="s">
        <v>83</v>
      </c>
      <c r="AJ104" s="2" t="s">
        <v>84</v>
      </c>
      <c r="AK104" s="2">
        <v>1</v>
      </c>
      <c r="AL104" s="8" t="s">
        <v>928</v>
      </c>
      <c r="AM104" s="8"/>
      <c r="AN104" s="2">
        <v>2025</v>
      </c>
      <c r="AO104" s="16">
        <v>1037</v>
      </c>
      <c r="AP104" s="2">
        <v>2028</v>
      </c>
      <c r="AQ104" s="16">
        <v>1474</v>
      </c>
      <c r="AR104" s="2" t="s">
        <v>86</v>
      </c>
      <c r="AS104" s="16">
        <v>12.4</v>
      </c>
      <c r="AT104" s="2">
        <v>2025</v>
      </c>
      <c r="AU104" s="16">
        <v>621</v>
      </c>
      <c r="AV104" s="2">
        <v>2028</v>
      </c>
      <c r="AW104" s="16">
        <v>742</v>
      </c>
      <c r="AX104" s="2" t="s">
        <v>86</v>
      </c>
      <c r="AY104" s="16">
        <v>6.1</v>
      </c>
      <c r="AZ104" s="2">
        <v>2025</v>
      </c>
      <c r="BA104" s="16">
        <v>1375</v>
      </c>
      <c r="BB104" s="2">
        <v>2028</v>
      </c>
      <c r="BC104" s="16">
        <v>1525</v>
      </c>
      <c r="BD104" s="2" t="s">
        <v>86</v>
      </c>
      <c r="BE104" s="16">
        <v>3.5</v>
      </c>
      <c r="BF104" s="2">
        <v>2025</v>
      </c>
      <c r="BG104" s="16">
        <v>169</v>
      </c>
      <c r="BH104" s="2">
        <v>2028</v>
      </c>
      <c r="BI104" s="16">
        <v>198</v>
      </c>
      <c r="BJ104" s="2" t="s">
        <v>87</v>
      </c>
      <c r="BK104" s="8"/>
      <c r="BL104" s="8" t="str">
        <f>HYPERLINK("https://seichotoushi-hojo.jp/assets/pdf/koufu/outline_4.pdf","PDFを開く")</f>
        <v>PDFを開く</v>
      </c>
      <c r="BM104" s="8" t="s">
        <v>929</v>
      </c>
      <c r="BN104" s="8" t="s">
        <v>930</v>
      </c>
      <c r="BO104" s="8" t="s">
        <v>90</v>
      </c>
      <c r="BP104" s="8" t="s">
        <v>90</v>
      </c>
      <c r="BQ104" s="8" t="s">
        <v>90</v>
      </c>
      <c r="BR104" s="8" t="s">
        <v>92</v>
      </c>
    </row>
    <row r="105" spans="1:70" ht="45.95" customHeight="1">
      <c r="A105" s="5" t="s">
        <v>931</v>
      </c>
      <c r="B105" s="5" t="s">
        <v>73</v>
      </c>
      <c r="C105" s="5" t="s">
        <v>932</v>
      </c>
      <c r="D105" s="5" t="s">
        <v>932</v>
      </c>
      <c r="E105" s="5" t="s">
        <v>75</v>
      </c>
      <c r="F105" s="5"/>
      <c r="G105" s="5">
        <v>2</v>
      </c>
      <c r="H105" s="5">
        <v>0</v>
      </c>
      <c r="I105" s="5">
        <v>1</v>
      </c>
      <c r="J105" s="5">
        <v>1</v>
      </c>
      <c r="K105" s="5">
        <v>0</v>
      </c>
      <c r="L105" s="17">
        <v>4300</v>
      </c>
      <c r="M105" s="17">
        <v>650</v>
      </c>
      <c r="N105" s="9" t="s">
        <v>933</v>
      </c>
      <c r="O105" s="13">
        <f t="shared" si="1"/>
        <v>15.11627906976744</v>
      </c>
      <c r="P105" s="5">
        <v>2</v>
      </c>
      <c r="Q105" s="5" t="s">
        <v>77</v>
      </c>
      <c r="R105" s="9" t="s">
        <v>934</v>
      </c>
      <c r="S105" s="9" t="s">
        <v>935</v>
      </c>
      <c r="T105" s="9" t="s">
        <v>80</v>
      </c>
      <c r="U105" s="5" t="s">
        <v>81</v>
      </c>
      <c r="V105" s="5">
        <v>2024</v>
      </c>
      <c r="W105" s="17"/>
      <c r="X105" s="5">
        <v>2029</v>
      </c>
      <c r="Y105" s="17"/>
      <c r="Z105" s="17">
        <v>57.49</v>
      </c>
      <c r="AA105" s="5">
        <v>2029</v>
      </c>
      <c r="AB105" s="17">
        <v>16.600000000000001</v>
      </c>
      <c r="AC105" s="5">
        <v>2029</v>
      </c>
      <c r="AD105" s="5" t="s">
        <v>82</v>
      </c>
      <c r="AE105" s="17"/>
      <c r="AF105" s="17"/>
      <c r="AG105" s="17"/>
      <c r="AH105" s="17"/>
      <c r="AI105" s="9" t="s">
        <v>83</v>
      </c>
      <c r="AJ105" s="5" t="s">
        <v>84</v>
      </c>
      <c r="AK105" s="5">
        <v>1</v>
      </c>
      <c r="AL105" s="9" t="s">
        <v>936</v>
      </c>
      <c r="AM105" s="9"/>
      <c r="AN105" s="5">
        <v>2025</v>
      </c>
      <c r="AO105" s="17">
        <v>2661</v>
      </c>
      <c r="AP105" s="5">
        <v>2028</v>
      </c>
      <c r="AQ105" s="17">
        <v>3095</v>
      </c>
      <c r="AR105" s="5" t="s">
        <v>86</v>
      </c>
      <c r="AS105" s="17">
        <v>5.2</v>
      </c>
      <c r="AT105" s="5">
        <v>2025</v>
      </c>
      <c r="AU105" s="17">
        <v>592</v>
      </c>
      <c r="AV105" s="5">
        <v>2028</v>
      </c>
      <c r="AW105" s="17">
        <v>667</v>
      </c>
      <c r="AX105" s="5" t="s">
        <v>86</v>
      </c>
      <c r="AY105" s="17">
        <v>4</v>
      </c>
      <c r="AZ105" s="5"/>
      <c r="BA105" s="17"/>
      <c r="BB105" s="5"/>
      <c r="BC105" s="17"/>
      <c r="BD105" s="5"/>
      <c r="BE105" s="17"/>
      <c r="BF105" s="5">
        <v>2025</v>
      </c>
      <c r="BG105" s="17">
        <v>155</v>
      </c>
      <c r="BH105" s="5">
        <v>2028</v>
      </c>
      <c r="BI105" s="17">
        <v>155</v>
      </c>
      <c r="BJ105" s="5" t="s">
        <v>87</v>
      </c>
      <c r="BK105" s="9" t="s">
        <v>937</v>
      </c>
      <c r="BL105" s="9" t="str">
        <f>HYPERLINK("https://seichotoushi-hojo.jp/assets/pdf/koufu/outline_40.pdf","PDFを開く")</f>
        <v>PDFを開く</v>
      </c>
      <c r="BM105" s="9" t="s">
        <v>938</v>
      </c>
      <c r="BN105" s="9" t="s">
        <v>939</v>
      </c>
      <c r="BO105" s="9" t="s">
        <v>90</v>
      </c>
      <c r="BP105" s="9" t="s">
        <v>90</v>
      </c>
      <c r="BQ105" s="9" t="s">
        <v>156</v>
      </c>
      <c r="BR105" s="9" t="s">
        <v>92</v>
      </c>
    </row>
    <row r="106" spans="1:70" ht="45.95" customHeight="1">
      <c r="A106" s="2" t="s">
        <v>940</v>
      </c>
      <c r="B106" s="2" t="s">
        <v>73</v>
      </c>
      <c r="C106" s="2" t="s">
        <v>941</v>
      </c>
      <c r="D106" s="2" t="s">
        <v>941</v>
      </c>
      <c r="E106" s="2" t="s">
        <v>107</v>
      </c>
      <c r="F106" s="2"/>
      <c r="G106" s="2">
        <v>2</v>
      </c>
      <c r="H106" s="2">
        <v>0</v>
      </c>
      <c r="I106" s="2">
        <v>1</v>
      </c>
      <c r="J106" s="2">
        <v>1</v>
      </c>
      <c r="K106" s="2">
        <v>0</v>
      </c>
      <c r="L106" s="16">
        <v>1200</v>
      </c>
      <c r="M106" s="16">
        <v>380</v>
      </c>
      <c r="N106" s="8" t="s">
        <v>942</v>
      </c>
      <c r="O106" s="12">
        <f t="shared" si="1"/>
        <v>31.666666666666664</v>
      </c>
      <c r="P106" s="2">
        <v>2</v>
      </c>
      <c r="Q106" s="2" t="s">
        <v>77</v>
      </c>
      <c r="R106" s="8" t="s">
        <v>943</v>
      </c>
      <c r="S106" s="8" t="s">
        <v>944</v>
      </c>
      <c r="T106" s="8" t="s">
        <v>80</v>
      </c>
      <c r="U106" s="2" t="s">
        <v>81</v>
      </c>
      <c r="V106" s="2"/>
      <c r="W106" s="16"/>
      <c r="X106" s="2">
        <v>2029</v>
      </c>
      <c r="Y106" s="16"/>
      <c r="Z106" s="16">
        <v>14</v>
      </c>
      <c r="AA106" s="2">
        <v>2029</v>
      </c>
      <c r="AB106" s="16">
        <v>161</v>
      </c>
      <c r="AC106" s="2">
        <v>2029</v>
      </c>
      <c r="AD106" s="2" t="s">
        <v>82</v>
      </c>
      <c r="AE106" s="16"/>
      <c r="AF106" s="16"/>
      <c r="AG106" s="16"/>
      <c r="AH106" s="16"/>
      <c r="AI106" s="8" t="s">
        <v>83</v>
      </c>
      <c r="AJ106" s="2" t="s">
        <v>84</v>
      </c>
      <c r="AK106" s="2">
        <v>1</v>
      </c>
      <c r="AL106" s="8" t="s">
        <v>945</v>
      </c>
      <c r="AM106" s="8"/>
      <c r="AN106" s="2">
        <v>2026</v>
      </c>
      <c r="AO106" s="16">
        <v>785</v>
      </c>
      <c r="AP106" s="2">
        <v>2029</v>
      </c>
      <c r="AQ106" s="16">
        <v>1176</v>
      </c>
      <c r="AR106" s="2" t="s">
        <v>86</v>
      </c>
      <c r="AS106" s="16">
        <v>14.4</v>
      </c>
      <c r="AT106" s="2">
        <v>2026</v>
      </c>
      <c r="AU106" s="16">
        <v>385</v>
      </c>
      <c r="AV106" s="2">
        <v>2029</v>
      </c>
      <c r="AW106" s="16">
        <v>500</v>
      </c>
      <c r="AX106" s="2" t="s">
        <v>86</v>
      </c>
      <c r="AY106" s="16">
        <v>9.07</v>
      </c>
      <c r="AZ106" s="2">
        <v>2026</v>
      </c>
      <c r="BA106" s="16"/>
      <c r="BB106" s="2">
        <v>2029</v>
      </c>
      <c r="BC106" s="16"/>
      <c r="BD106" s="2" t="s">
        <v>86</v>
      </c>
      <c r="BE106" s="16">
        <v>6.58</v>
      </c>
      <c r="BF106" s="2">
        <v>2026</v>
      </c>
      <c r="BG106" s="16">
        <v>41</v>
      </c>
      <c r="BH106" s="2">
        <v>2029</v>
      </c>
      <c r="BI106" s="16">
        <v>54</v>
      </c>
      <c r="BJ106" s="2" t="s">
        <v>87</v>
      </c>
      <c r="BK106" s="8"/>
      <c r="BL106" s="8" t="str">
        <f>HYPERLINK("https://seichotoushi-hojo.jp/assets/pdf/koufu/outline_41.pdf","PDFを開く")</f>
        <v>PDFを開く</v>
      </c>
      <c r="BM106" s="8" t="s">
        <v>946</v>
      </c>
      <c r="BN106" s="8" t="s">
        <v>947</v>
      </c>
      <c r="BO106" s="8" t="s">
        <v>90</v>
      </c>
      <c r="BP106" s="8" t="s">
        <v>90</v>
      </c>
      <c r="BQ106" s="8" t="s">
        <v>91</v>
      </c>
      <c r="BR106" s="8" t="s">
        <v>92</v>
      </c>
    </row>
    <row r="107" spans="1:70" ht="45.95" customHeight="1">
      <c r="A107" s="5" t="s">
        <v>948</v>
      </c>
      <c r="B107" s="5" t="s">
        <v>73</v>
      </c>
      <c r="C107" s="5" t="s">
        <v>949</v>
      </c>
      <c r="D107" s="5" t="s">
        <v>949</v>
      </c>
      <c r="E107" s="5" t="s">
        <v>95</v>
      </c>
      <c r="F107" s="5"/>
      <c r="G107" s="5">
        <v>2</v>
      </c>
      <c r="H107" s="5">
        <v>0</v>
      </c>
      <c r="I107" s="5">
        <v>1</v>
      </c>
      <c r="J107" s="5">
        <v>1</v>
      </c>
      <c r="K107" s="5">
        <v>0</v>
      </c>
      <c r="L107" s="17">
        <v>5900</v>
      </c>
      <c r="M107" s="17">
        <v>1800</v>
      </c>
      <c r="N107" s="9" t="s">
        <v>950</v>
      </c>
      <c r="O107" s="13">
        <f t="shared" si="1"/>
        <v>30.508474576271187</v>
      </c>
      <c r="P107" s="5">
        <v>2</v>
      </c>
      <c r="Q107" s="5" t="s">
        <v>77</v>
      </c>
      <c r="R107" s="9" t="s">
        <v>950</v>
      </c>
      <c r="S107" s="9" t="s">
        <v>951</v>
      </c>
      <c r="T107" s="9" t="s">
        <v>80</v>
      </c>
      <c r="U107" s="5" t="s">
        <v>81</v>
      </c>
      <c r="V107" s="5"/>
      <c r="W107" s="17"/>
      <c r="X107" s="5">
        <v>2029</v>
      </c>
      <c r="Y107" s="17"/>
      <c r="Z107" s="17">
        <v>77.900000000000006</v>
      </c>
      <c r="AA107" s="5">
        <v>2029</v>
      </c>
      <c r="AB107" s="17">
        <v>82.3</v>
      </c>
      <c r="AC107" s="5">
        <v>2029</v>
      </c>
      <c r="AD107" s="5" t="s">
        <v>82</v>
      </c>
      <c r="AE107" s="17"/>
      <c r="AF107" s="17"/>
      <c r="AG107" s="17"/>
      <c r="AH107" s="17"/>
      <c r="AI107" s="9" t="s">
        <v>83</v>
      </c>
      <c r="AJ107" s="5" t="s">
        <v>84</v>
      </c>
      <c r="AK107" s="5">
        <v>1</v>
      </c>
      <c r="AL107" s="9" t="s">
        <v>952</v>
      </c>
      <c r="AM107" s="9"/>
      <c r="AN107" s="5">
        <v>2026</v>
      </c>
      <c r="AO107" s="17">
        <v>17623</v>
      </c>
      <c r="AP107" s="5">
        <v>2029</v>
      </c>
      <c r="AQ107" s="17">
        <v>58032</v>
      </c>
      <c r="AR107" s="5" t="s">
        <v>447</v>
      </c>
      <c r="AS107" s="17">
        <v>49</v>
      </c>
      <c r="AT107" s="5">
        <v>2026</v>
      </c>
      <c r="AU107" s="17">
        <v>8300</v>
      </c>
      <c r="AV107" s="5">
        <v>2029</v>
      </c>
      <c r="AW107" s="17">
        <v>9883</v>
      </c>
      <c r="AX107" s="5" t="s">
        <v>447</v>
      </c>
      <c r="AY107" s="17">
        <v>5.95</v>
      </c>
      <c r="AZ107" s="5">
        <v>2026</v>
      </c>
      <c r="BA107" s="17"/>
      <c r="BB107" s="5">
        <v>2029</v>
      </c>
      <c r="BC107" s="17"/>
      <c r="BD107" s="5" t="s">
        <v>447</v>
      </c>
      <c r="BE107" s="17">
        <v>3.7</v>
      </c>
      <c r="BF107" s="5">
        <v>2026</v>
      </c>
      <c r="BG107" s="17">
        <v>12</v>
      </c>
      <c r="BH107" s="5">
        <v>2029</v>
      </c>
      <c r="BI107" s="17">
        <v>30</v>
      </c>
      <c r="BJ107" s="5" t="s">
        <v>87</v>
      </c>
      <c r="BK107" s="9"/>
      <c r="BL107" s="9" t="str">
        <f>HYPERLINK("https://seichotoushi-hojo.jp/assets/pdf/koufu/outline_42.pdf","PDFを開く")</f>
        <v>PDFを開く</v>
      </c>
      <c r="BM107" s="9" t="s">
        <v>953</v>
      </c>
      <c r="BN107" s="9" t="s">
        <v>954</v>
      </c>
      <c r="BO107" s="9" t="s">
        <v>90</v>
      </c>
      <c r="BP107" s="9" t="s">
        <v>90</v>
      </c>
      <c r="BQ107" s="9" t="s">
        <v>91</v>
      </c>
      <c r="BR107" s="9" t="s">
        <v>92</v>
      </c>
    </row>
    <row r="108" spans="1:70" ht="45.95" customHeight="1">
      <c r="A108" s="2" t="s">
        <v>955</v>
      </c>
      <c r="B108" s="2" t="s">
        <v>73</v>
      </c>
      <c r="C108" s="2" t="s">
        <v>956</v>
      </c>
      <c r="D108" s="2" t="s">
        <v>956</v>
      </c>
      <c r="E108" s="2" t="s">
        <v>75</v>
      </c>
      <c r="F108" s="2" t="s">
        <v>957</v>
      </c>
      <c r="G108" s="2">
        <v>3</v>
      </c>
      <c r="H108" s="2">
        <v>0</v>
      </c>
      <c r="I108" s="2">
        <v>1</v>
      </c>
      <c r="J108" s="2">
        <v>2</v>
      </c>
      <c r="K108" s="2">
        <v>0</v>
      </c>
      <c r="L108" s="16">
        <v>10200</v>
      </c>
      <c r="M108" s="16">
        <v>3000</v>
      </c>
      <c r="N108" s="8" t="s">
        <v>958</v>
      </c>
      <c r="O108" s="12">
        <f t="shared" si="1"/>
        <v>29.411764705882355</v>
      </c>
      <c r="P108" s="2">
        <v>2</v>
      </c>
      <c r="Q108" s="2" t="s">
        <v>77</v>
      </c>
      <c r="R108" s="8" t="s">
        <v>959</v>
      </c>
      <c r="S108" s="8" t="s">
        <v>960</v>
      </c>
      <c r="T108" s="8" t="s">
        <v>228</v>
      </c>
      <c r="U108" s="2" t="s">
        <v>81</v>
      </c>
      <c r="V108" s="2">
        <v>2022</v>
      </c>
      <c r="W108" s="16"/>
      <c r="X108" s="2">
        <v>2030</v>
      </c>
      <c r="Y108" s="16">
        <v>1000</v>
      </c>
      <c r="Z108" s="16"/>
      <c r="AA108" s="2"/>
      <c r="AB108" s="16"/>
      <c r="AC108" s="2"/>
      <c r="AD108" s="2"/>
      <c r="AE108" s="16"/>
      <c r="AF108" s="16"/>
      <c r="AG108" s="16"/>
      <c r="AH108" s="16"/>
      <c r="AI108" s="8" t="s">
        <v>83</v>
      </c>
      <c r="AJ108" s="2" t="s">
        <v>84</v>
      </c>
      <c r="AK108" s="2">
        <v>1</v>
      </c>
      <c r="AL108" s="8" t="s">
        <v>961</v>
      </c>
      <c r="AM108" s="8" t="s">
        <v>962</v>
      </c>
      <c r="AN108" s="2">
        <v>2025</v>
      </c>
      <c r="AO108" s="16">
        <v>6214</v>
      </c>
      <c r="AP108" s="2">
        <v>2028</v>
      </c>
      <c r="AQ108" s="16">
        <v>7359</v>
      </c>
      <c r="AR108" s="2" t="s">
        <v>447</v>
      </c>
      <c r="AS108" s="16">
        <v>5.79</v>
      </c>
      <c r="AT108" s="2">
        <v>2025</v>
      </c>
      <c r="AU108" s="16">
        <v>5677</v>
      </c>
      <c r="AV108" s="2">
        <v>2028</v>
      </c>
      <c r="AW108" s="16">
        <v>6614</v>
      </c>
      <c r="AX108" s="2" t="s">
        <v>447</v>
      </c>
      <c r="AY108" s="16">
        <v>5.23</v>
      </c>
      <c r="AZ108" s="2"/>
      <c r="BA108" s="16"/>
      <c r="BB108" s="2"/>
      <c r="BC108" s="16"/>
      <c r="BD108" s="2"/>
      <c r="BE108" s="16"/>
      <c r="BF108" s="2">
        <v>2025</v>
      </c>
      <c r="BG108" s="16">
        <v>1685</v>
      </c>
      <c r="BH108" s="2">
        <v>2028</v>
      </c>
      <c r="BI108" s="16">
        <v>1985</v>
      </c>
      <c r="BJ108" s="2" t="s">
        <v>87</v>
      </c>
      <c r="BK108" s="8"/>
      <c r="BL108" s="8" t="str">
        <f>HYPERLINK("https://seichotoushi-hojo.jp/assets/pdf/koufu/outline_43.pdf","PDFを開く")</f>
        <v>PDFを開く</v>
      </c>
      <c r="BM108" s="8" t="s">
        <v>963</v>
      </c>
      <c r="BN108" s="8" t="s">
        <v>964</v>
      </c>
      <c r="BO108" s="8" t="s">
        <v>90</v>
      </c>
      <c r="BP108" s="8" t="s">
        <v>90</v>
      </c>
      <c r="BQ108" s="8" t="s">
        <v>156</v>
      </c>
      <c r="BR108" s="8" t="s">
        <v>92</v>
      </c>
    </row>
    <row r="109" spans="1:70" ht="45.95" customHeight="1">
      <c r="A109" s="5" t="s">
        <v>965</v>
      </c>
      <c r="B109" s="5" t="s">
        <v>73</v>
      </c>
      <c r="C109" s="5" t="s">
        <v>966</v>
      </c>
      <c r="D109" s="5" t="s">
        <v>966</v>
      </c>
      <c r="E109" s="5" t="s">
        <v>107</v>
      </c>
      <c r="F109" s="5"/>
      <c r="G109" s="5">
        <v>2</v>
      </c>
      <c r="H109" s="5">
        <v>0</v>
      </c>
      <c r="I109" s="5">
        <v>1</v>
      </c>
      <c r="J109" s="5">
        <v>1</v>
      </c>
      <c r="K109" s="5">
        <v>0</v>
      </c>
      <c r="L109" s="17">
        <v>2600</v>
      </c>
      <c r="M109" s="17">
        <v>820</v>
      </c>
      <c r="N109" s="9" t="s">
        <v>967</v>
      </c>
      <c r="O109" s="13">
        <f t="shared" si="1"/>
        <v>31.538461538461537</v>
      </c>
      <c r="P109" s="5">
        <v>2</v>
      </c>
      <c r="Q109" s="5" t="s">
        <v>77</v>
      </c>
      <c r="R109" s="9" t="s">
        <v>967</v>
      </c>
      <c r="S109" s="9" t="s">
        <v>968</v>
      </c>
      <c r="T109" s="9" t="s">
        <v>80</v>
      </c>
      <c r="U109" s="5" t="s">
        <v>81</v>
      </c>
      <c r="V109" s="5"/>
      <c r="W109" s="17"/>
      <c r="X109" s="5">
        <v>2030</v>
      </c>
      <c r="Y109" s="17"/>
      <c r="Z109" s="17">
        <v>25</v>
      </c>
      <c r="AA109" s="5">
        <v>2030</v>
      </c>
      <c r="AB109" s="17">
        <v>160</v>
      </c>
      <c r="AC109" s="5">
        <v>2030</v>
      </c>
      <c r="AD109" s="5" t="s">
        <v>82</v>
      </c>
      <c r="AE109" s="17"/>
      <c r="AF109" s="17"/>
      <c r="AG109" s="17"/>
      <c r="AH109" s="17"/>
      <c r="AI109" s="9" t="s">
        <v>83</v>
      </c>
      <c r="AJ109" s="5" t="s">
        <v>84</v>
      </c>
      <c r="AK109" s="5">
        <v>1</v>
      </c>
      <c r="AL109" s="9" t="s">
        <v>969</v>
      </c>
      <c r="AM109" s="9"/>
      <c r="AN109" s="5">
        <v>2027</v>
      </c>
      <c r="AO109" s="17">
        <v>1701</v>
      </c>
      <c r="AP109" s="5">
        <v>2030</v>
      </c>
      <c r="AQ109" s="17">
        <v>2028</v>
      </c>
      <c r="AR109" s="5" t="s">
        <v>86</v>
      </c>
      <c r="AS109" s="17">
        <v>6</v>
      </c>
      <c r="AT109" s="5">
        <v>2027</v>
      </c>
      <c r="AU109" s="17">
        <v>728</v>
      </c>
      <c r="AV109" s="5">
        <v>2030</v>
      </c>
      <c r="AW109" s="17">
        <v>807</v>
      </c>
      <c r="AX109" s="5" t="s">
        <v>86</v>
      </c>
      <c r="AY109" s="17">
        <v>3.5</v>
      </c>
      <c r="AZ109" s="5">
        <v>2027</v>
      </c>
      <c r="BA109" s="17"/>
      <c r="BB109" s="5">
        <v>2030</v>
      </c>
      <c r="BC109" s="17"/>
      <c r="BD109" s="5" t="s">
        <v>86</v>
      </c>
      <c r="BE109" s="17">
        <v>4</v>
      </c>
      <c r="BF109" s="5">
        <v>2027</v>
      </c>
      <c r="BG109" s="17">
        <v>96</v>
      </c>
      <c r="BH109" s="5">
        <v>2030</v>
      </c>
      <c r="BI109" s="17">
        <v>110</v>
      </c>
      <c r="BJ109" s="5" t="s">
        <v>87</v>
      </c>
      <c r="BK109" s="9"/>
      <c r="BL109" s="9" t="str">
        <f>HYPERLINK("https://seichotoushi-hojo.jp/assets/pdf/koufu/outline_45.pdf","PDFを開く")</f>
        <v>PDFを開く</v>
      </c>
      <c r="BM109" s="9" t="s">
        <v>970</v>
      </c>
      <c r="BN109" s="9" t="s">
        <v>971</v>
      </c>
      <c r="BO109" s="9" t="s">
        <v>90</v>
      </c>
      <c r="BP109" s="9" t="s">
        <v>90</v>
      </c>
      <c r="BQ109" s="9" t="s">
        <v>91</v>
      </c>
      <c r="BR109" s="9" t="s">
        <v>92</v>
      </c>
    </row>
    <row r="110" spans="1:70" ht="45.95" customHeight="1">
      <c r="A110" s="2" t="s">
        <v>972</v>
      </c>
      <c r="B110" s="2" t="s">
        <v>73</v>
      </c>
      <c r="C110" s="2" t="s">
        <v>973</v>
      </c>
      <c r="D110" s="2" t="s">
        <v>973</v>
      </c>
      <c r="E110" s="2" t="s">
        <v>95</v>
      </c>
      <c r="F110" s="2"/>
      <c r="G110" s="2">
        <v>2</v>
      </c>
      <c r="H110" s="2">
        <v>0</v>
      </c>
      <c r="I110" s="2">
        <v>1</v>
      </c>
      <c r="J110" s="2">
        <v>1</v>
      </c>
      <c r="K110" s="2">
        <v>0</v>
      </c>
      <c r="L110" s="16">
        <v>3500</v>
      </c>
      <c r="M110" s="16">
        <v>1100</v>
      </c>
      <c r="N110" s="8" t="s">
        <v>974</v>
      </c>
      <c r="O110" s="12">
        <f t="shared" si="1"/>
        <v>31.428571428571427</v>
      </c>
      <c r="P110" s="2">
        <v>2</v>
      </c>
      <c r="Q110" s="2" t="s">
        <v>77</v>
      </c>
      <c r="R110" s="8" t="s">
        <v>974</v>
      </c>
      <c r="S110" s="8" t="s">
        <v>974</v>
      </c>
      <c r="T110" s="8" t="s">
        <v>80</v>
      </c>
      <c r="U110" s="2" t="s">
        <v>81</v>
      </c>
      <c r="V110" s="2"/>
      <c r="W110" s="16"/>
      <c r="X110" s="2">
        <v>2030</v>
      </c>
      <c r="Y110" s="16">
        <v>1000</v>
      </c>
      <c r="Z110" s="16">
        <v>551</v>
      </c>
      <c r="AA110" s="2">
        <v>2030</v>
      </c>
      <c r="AB110" s="16">
        <v>122</v>
      </c>
      <c r="AC110" s="2">
        <v>2030</v>
      </c>
      <c r="AD110" s="2" t="s">
        <v>82</v>
      </c>
      <c r="AE110" s="16"/>
      <c r="AF110" s="16"/>
      <c r="AG110" s="16"/>
      <c r="AH110" s="16"/>
      <c r="AI110" s="8" t="s">
        <v>83</v>
      </c>
      <c r="AJ110" s="2" t="s">
        <v>84</v>
      </c>
      <c r="AK110" s="2">
        <v>1</v>
      </c>
      <c r="AL110" s="8" t="s">
        <v>975</v>
      </c>
      <c r="AM110" s="8" t="s">
        <v>962</v>
      </c>
      <c r="AN110" s="2">
        <v>2027</v>
      </c>
      <c r="AO110" s="16">
        <v>654</v>
      </c>
      <c r="AP110" s="2">
        <v>2030</v>
      </c>
      <c r="AQ110" s="16">
        <v>823</v>
      </c>
      <c r="AR110" s="2" t="s">
        <v>86</v>
      </c>
      <c r="AS110" s="16">
        <v>7.93</v>
      </c>
      <c r="AT110" s="2">
        <v>2027</v>
      </c>
      <c r="AU110" s="16">
        <v>446</v>
      </c>
      <c r="AV110" s="2">
        <v>2030</v>
      </c>
      <c r="AW110" s="16">
        <v>503</v>
      </c>
      <c r="AX110" s="2" t="s">
        <v>86</v>
      </c>
      <c r="AY110" s="16">
        <v>4.07</v>
      </c>
      <c r="AZ110" s="2">
        <v>2027</v>
      </c>
      <c r="BA110" s="16"/>
      <c r="BB110" s="2">
        <v>2030</v>
      </c>
      <c r="BC110" s="16"/>
      <c r="BD110" s="2" t="s">
        <v>86</v>
      </c>
      <c r="BE110" s="16">
        <v>0</v>
      </c>
      <c r="BF110" s="2">
        <v>2027</v>
      </c>
      <c r="BG110" s="16">
        <v>158</v>
      </c>
      <c r="BH110" s="2">
        <v>2030</v>
      </c>
      <c r="BI110" s="16">
        <v>188</v>
      </c>
      <c r="BJ110" s="2" t="s">
        <v>87</v>
      </c>
      <c r="BK110" s="8"/>
      <c r="BL110" s="8" t="str">
        <f>HYPERLINK("https://seichotoushi-hojo.jp/assets/pdf/koufu/outline_46.pdf","PDFを開く")</f>
        <v>PDFを開く</v>
      </c>
      <c r="BM110" s="8" t="s">
        <v>976</v>
      </c>
      <c r="BN110" s="8" t="s">
        <v>977</v>
      </c>
      <c r="BO110" s="8" t="s">
        <v>90</v>
      </c>
      <c r="BP110" s="8" t="s">
        <v>90</v>
      </c>
      <c r="BQ110" s="8" t="s">
        <v>91</v>
      </c>
      <c r="BR110" s="8" t="s">
        <v>92</v>
      </c>
    </row>
    <row r="111" spans="1:70" ht="45.95" customHeight="1">
      <c r="A111" s="5" t="s">
        <v>978</v>
      </c>
      <c r="B111" s="5" t="s">
        <v>73</v>
      </c>
      <c r="C111" s="5" t="s">
        <v>979</v>
      </c>
      <c r="D111" s="5" t="s">
        <v>979</v>
      </c>
      <c r="E111" s="5"/>
      <c r="F111" s="5"/>
      <c r="G111" s="5">
        <v>2</v>
      </c>
      <c r="H111" s="5">
        <v>0</v>
      </c>
      <c r="I111" s="5">
        <v>1</v>
      </c>
      <c r="J111" s="5">
        <v>1</v>
      </c>
      <c r="K111" s="5">
        <v>0</v>
      </c>
      <c r="L111" s="17">
        <v>3100</v>
      </c>
      <c r="M111" s="17">
        <v>820</v>
      </c>
      <c r="N111" s="9" t="s">
        <v>980</v>
      </c>
      <c r="O111" s="13">
        <f t="shared" si="1"/>
        <v>26.451612903225808</v>
      </c>
      <c r="P111" s="5">
        <v>2</v>
      </c>
      <c r="Q111" s="5" t="s">
        <v>77</v>
      </c>
      <c r="R111" s="9" t="s">
        <v>980</v>
      </c>
      <c r="S111" s="9" t="s">
        <v>981</v>
      </c>
      <c r="T111" s="9" t="s">
        <v>80</v>
      </c>
      <c r="U111" s="5" t="s">
        <v>81</v>
      </c>
      <c r="V111" s="5">
        <v>2022</v>
      </c>
      <c r="W111" s="17"/>
      <c r="X111" s="5">
        <v>2028</v>
      </c>
      <c r="Y111" s="17"/>
      <c r="Z111" s="17">
        <v>82</v>
      </c>
      <c r="AA111" s="5">
        <v>2028</v>
      </c>
      <c r="AB111" s="17">
        <v>66</v>
      </c>
      <c r="AC111" s="5">
        <v>2028</v>
      </c>
      <c r="AD111" s="5" t="s">
        <v>82</v>
      </c>
      <c r="AE111" s="17"/>
      <c r="AF111" s="17"/>
      <c r="AG111" s="17"/>
      <c r="AH111" s="17"/>
      <c r="AI111" s="9" t="s">
        <v>83</v>
      </c>
      <c r="AJ111" s="5" t="s">
        <v>84</v>
      </c>
      <c r="AK111" s="5">
        <v>1</v>
      </c>
      <c r="AL111" s="9" t="s">
        <v>982</v>
      </c>
      <c r="AM111" s="9"/>
      <c r="AN111" s="5">
        <v>2025</v>
      </c>
      <c r="AO111" s="17">
        <v>1001</v>
      </c>
      <c r="AP111" s="5">
        <v>2028</v>
      </c>
      <c r="AQ111" s="17">
        <v>1414</v>
      </c>
      <c r="AR111" s="5" t="s">
        <v>86</v>
      </c>
      <c r="AS111" s="17">
        <v>12.3</v>
      </c>
      <c r="AT111" s="5">
        <v>2025</v>
      </c>
      <c r="AU111" s="17">
        <v>610</v>
      </c>
      <c r="AV111" s="5">
        <v>2028</v>
      </c>
      <c r="AW111" s="17">
        <v>684</v>
      </c>
      <c r="AX111" s="5" t="s">
        <v>86</v>
      </c>
      <c r="AY111" s="17">
        <v>3.9</v>
      </c>
      <c r="AZ111" s="5">
        <v>2025</v>
      </c>
      <c r="BA111" s="17">
        <v>0</v>
      </c>
      <c r="BB111" s="5">
        <v>2028</v>
      </c>
      <c r="BC111" s="17">
        <v>0</v>
      </c>
      <c r="BD111" s="5" t="s">
        <v>86</v>
      </c>
      <c r="BE111" s="17">
        <v>0</v>
      </c>
      <c r="BF111" s="5">
        <v>2025</v>
      </c>
      <c r="BG111" s="17">
        <v>183</v>
      </c>
      <c r="BH111" s="5">
        <v>2028</v>
      </c>
      <c r="BI111" s="17">
        <v>186</v>
      </c>
      <c r="BJ111" s="5" t="s">
        <v>87</v>
      </c>
      <c r="BK111" s="9"/>
      <c r="BL111" s="9" t="str">
        <f>HYPERLINK("https://seichotoushi-hojo.jp/assets/pdf/koufu/outline_47.pdf","PDFを開く")</f>
        <v>PDFを開く</v>
      </c>
      <c r="BM111" s="9" t="s">
        <v>983</v>
      </c>
      <c r="BN111" s="9" t="s">
        <v>984</v>
      </c>
      <c r="BO111" s="9" t="s">
        <v>90</v>
      </c>
      <c r="BP111" s="9" t="s">
        <v>90</v>
      </c>
      <c r="BQ111" s="9" t="s">
        <v>92</v>
      </c>
      <c r="BR111" s="9" t="s">
        <v>92</v>
      </c>
    </row>
    <row r="112" spans="1:70" ht="45.95" customHeight="1">
      <c r="A112" s="2" t="s">
        <v>985</v>
      </c>
      <c r="B112" s="2" t="s">
        <v>73</v>
      </c>
      <c r="C112" s="2" t="s">
        <v>986</v>
      </c>
      <c r="D112" s="2" t="s">
        <v>986</v>
      </c>
      <c r="E112" s="2" t="s">
        <v>107</v>
      </c>
      <c r="F112" s="2"/>
      <c r="G112" s="2">
        <v>2</v>
      </c>
      <c r="H112" s="2">
        <v>0</v>
      </c>
      <c r="I112" s="2">
        <v>1</v>
      </c>
      <c r="J112" s="2">
        <v>1</v>
      </c>
      <c r="K112" s="2">
        <v>0</v>
      </c>
      <c r="L112" s="16">
        <v>3100</v>
      </c>
      <c r="M112" s="16">
        <v>960</v>
      </c>
      <c r="N112" s="8" t="s">
        <v>987</v>
      </c>
      <c r="O112" s="12">
        <f t="shared" si="1"/>
        <v>30.967741935483872</v>
      </c>
      <c r="P112" s="2">
        <v>2</v>
      </c>
      <c r="Q112" s="2" t="s">
        <v>77</v>
      </c>
      <c r="R112" s="8" t="s">
        <v>988</v>
      </c>
      <c r="S112" s="8" t="s">
        <v>989</v>
      </c>
      <c r="T112" s="8" t="s">
        <v>80</v>
      </c>
      <c r="U112" s="2" t="s">
        <v>81</v>
      </c>
      <c r="V112" s="2">
        <v>2024</v>
      </c>
      <c r="W112" s="16"/>
      <c r="X112" s="2">
        <v>2034</v>
      </c>
      <c r="Y112" s="16">
        <v>33</v>
      </c>
      <c r="Z112" s="16">
        <v>49</v>
      </c>
      <c r="AA112" s="2">
        <v>2034</v>
      </c>
      <c r="AB112" s="16">
        <v>248</v>
      </c>
      <c r="AC112" s="2">
        <v>2034</v>
      </c>
      <c r="AD112" s="2" t="s">
        <v>82</v>
      </c>
      <c r="AE112" s="16"/>
      <c r="AF112" s="16"/>
      <c r="AG112" s="16"/>
      <c r="AH112" s="16"/>
      <c r="AI112" s="8" t="s">
        <v>83</v>
      </c>
      <c r="AJ112" s="2" t="s">
        <v>84</v>
      </c>
      <c r="AK112" s="2">
        <v>1</v>
      </c>
      <c r="AL112" s="8" t="s">
        <v>990</v>
      </c>
      <c r="AM112" s="8" t="s">
        <v>991</v>
      </c>
      <c r="AN112" s="2">
        <v>2026</v>
      </c>
      <c r="AO112" s="16">
        <v>547</v>
      </c>
      <c r="AP112" s="2">
        <v>2029</v>
      </c>
      <c r="AQ112" s="16">
        <v>1297</v>
      </c>
      <c r="AR112" s="2" t="s">
        <v>86</v>
      </c>
      <c r="AS112" s="16">
        <v>33.299999999999997</v>
      </c>
      <c r="AT112" s="2">
        <v>2026</v>
      </c>
      <c r="AU112" s="16">
        <v>214</v>
      </c>
      <c r="AV112" s="2">
        <v>2029</v>
      </c>
      <c r="AW112" s="16">
        <v>254</v>
      </c>
      <c r="AX112" s="2" t="s">
        <v>86</v>
      </c>
      <c r="AY112" s="16">
        <v>5.9</v>
      </c>
      <c r="AZ112" s="2">
        <v>2026</v>
      </c>
      <c r="BA112" s="16">
        <v>1361</v>
      </c>
      <c r="BB112" s="2">
        <v>2029</v>
      </c>
      <c r="BC112" s="16">
        <v>1616</v>
      </c>
      <c r="BD112" s="2" t="s">
        <v>86</v>
      </c>
      <c r="BE112" s="16">
        <v>5.9</v>
      </c>
      <c r="BF112" s="2">
        <v>2026</v>
      </c>
      <c r="BG112" s="16">
        <v>115</v>
      </c>
      <c r="BH112" s="2">
        <v>2029</v>
      </c>
      <c r="BI112" s="16">
        <v>175</v>
      </c>
      <c r="BJ112" s="2" t="s">
        <v>87</v>
      </c>
      <c r="BK112" s="8"/>
      <c r="BL112" s="8" t="str">
        <f>HYPERLINK("https://seichotoushi-hojo.jp/assets/pdf/koufu/outline_48.pdf","PDFを開く")</f>
        <v>PDFを開く</v>
      </c>
      <c r="BM112" s="8" t="s">
        <v>992</v>
      </c>
      <c r="BN112" s="8" t="s">
        <v>993</v>
      </c>
      <c r="BO112" s="8" t="s">
        <v>90</v>
      </c>
      <c r="BP112" s="8" t="s">
        <v>90</v>
      </c>
      <c r="BQ112" s="8" t="s">
        <v>90</v>
      </c>
      <c r="BR112" s="8" t="s">
        <v>92</v>
      </c>
    </row>
    <row r="113" spans="1:70" ht="45.95" customHeight="1">
      <c r="A113" s="5" t="s">
        <v>994</v>
      </c>
      <c r="B113" s="5" t="s">
        <v>73</v>
      </c>
      <c r="C113" s="5" t="s">
        <v>995</v>
      </c>
      <c r="D113" s="5" t="s">
        <v>996</v>
      </c>
      <c r="E113" s="5" t="s">
        <v>95</v>
      </c>
      <c r="F113" s="5"/>
      <c r="G113" s="5">
        <v>2</v>
      </c>
      <c r="H113" s="5">
        <v>0</v>
      </c>
      <c r="I113" s="5">
        <v>1</v>
      </c>
      <c r="J113" s="5">
        <v>1</v>
      </c>
      <c r="K113" s="5">
        <v>0</v>
      </c>
      <c r="L113" s="17">
        <v>1100</v>
      </c>
      <c r="M113" s="17">
        <v>350</v>
      </c>
      <c r="N113" s="9" t="s">
        <v>874</v>
      </c>
      <c r="O113" s="13">
        <f t="shared" si="1"/>
        <v>31.818181818181817</v>
      </c>
      <c r="P113" s="5">
        <v>2</v>
      </c>
      <c r="Q113" s="5" t="s">
        <v>77</v>
      </c>
      <c r="R113" s="9" t="s">
        <v>997</v>
      </c>
      <c r="S113" s="9" t="s">
        <v>998</v>
      </c>
      <c r="T113" s="9" t="s">
        <v>80</v>
      </c>
      <c r="U113" s="5" t="s">
        <v>81</v>
      </c>
      <c r="V113" s="5">
        <v>2023</v>
      </c>
      <c r="W113" s="17">
        <v>21.9</v>
      </c>
      <c r="X113" s="5">
        <v>2029</v>
      </c>
      <c r="Y113" s="17">
        <v>40</v>
      </c>
      <c r="Z113" s="17">
        <v>18.100000000000001</v>
      </c>
      <c r="AA113" s="5">
        <v>2029</v>
      </c>
      <c r="AB113" s="17">
        <v>182.6</v>
      </c>
      <c r="AC113" s="5">
        <v>2029</v>
      </c>
      <c r="AD113" s="5" t="s">
        <v>82</v>
      </c>
      <c r="AE113" s="17"/>
      <c r="AF113" s="17"/>
      <c r="AG113" s="17">
        <v>10.561175131972455</v>
      </c>
      <c r="AH113" s="17"/>
      <c r="AI113" s="9" t="s">
        <v>418</v>
      </c>
      <c r="AJ113" s="5" t="s">
        <v>587</v>
      </c>
      <c r="AK113" s="5">
        <v>1</v>
      </c>
      <c r="AL113" s="9" t="s">
        <v>999</v>
      </c>
      <c r="AM113" s="9" t="s">
        <v>1000</v>
      </c>
      <c r="AN113" s="5">
        <v>2025</v>
      </c>
      <c r="AO113" s="17">
        <v>632</v>
      </c>
      <c r="AP113" s="5">
        <v>2028</v>
      </c>
      <c r="AQ113" s="17">
        <v>817</v>
      </c>
      <c r="AR113" s="5" t="s">
        <v>86</v>
      </c>
      <c r="AS113" s="17">
        <v>8.9</v>
      </c>
      <c r="AT113" s="5">
        <v>2025</v>
      </c>
      <c r="AU113" s="17">
        <v>418</v>
      </c>
      <c r="AV113" s="5">
        <v>2028</v>
      </c>
      <c r="AW113" s="17">
        <v>470</v>
      </c>
      <c r="AX113" s="5" t="s">
        <v>86</v>
      </c>
      <c r="AY113" s="17">
        <v>4</v>
      </c>
      <c r="AZ113" s="5">
        <v>2025</v>
      </c>
      <c r="BA113" s="17"/>
      <c r="BB113" s="5">
        <v>2028</v>
      </c>
      <c r="BC113" s="17"/>
      <c r="BD113" s="5" t="s">
        <v>86</v>
      </c>
      <c r="BE113" s="17">
        <v>4</v>
      </c>
      <c r="BF113" s="5">
        <v>2025</v>
      </c>
      <c r="BG113" s="17">
        <v>110</v>
      </c>
      <c r="BH113" s="5">
        <v>2028</v>
      </c>
      <c r="BI113" s="17">
        <v>125</v>
      </c>
      <c r="BJ113" s="5" t="s">
        <v>87</v>
      </c>
      <c r="BK113" s="9"/>
      <c r="BL113" s="9" t="str">
        <f>HYPERLINK("https://seichotoushi-hojo.jp/assets/pdf/koufu/outline_49.pdf","PDFを開く")</f>
        <v>PDFを開く</v>
      </c>
      <c r="BM113" s="9" t="s">
        <v>1001</v>
      </c>
      <c r="BN113" s="9" t="s">
        <v>1002</v>
      </c>
      <c r="BO113" s="9" t="s">
        <v>90</v>
      </c>
      <c r="BP113" s="9" t="s">
        <v>90</v>
      </c>
      <c r="BQ113" s="9" t="s">
        <v>91</v>
      </c>
      <c r="BR113" s="9" t="s">
        <v>92</v>
      </c>
    </row>
    <row r="114" spans="1:70" ht="45.95" customHeight="1">
      <c r="A114" s="2" t="s">
        <v>1003</v>
      </c>
      <c r="B114" s="2" t="s">
        <v>73</v>
      </c>
      <c r="C114" s="2" t="s">
        <v>1004</v>
      </c>
      <c r="D114" s="2" t="s">
        <v>1004</v>
      </c>
      <c r="E114" s="2" t="s">
        <v>116</v>
      </c>
      <c r="F114" s="2" t="s">
        <v>1005</v>
      </c>
      <c r="G114" s="2">
        <v>2</v>
      </c>
      <c r="H114" s="2">
        <v>0</v>
      </c>
      <c r="I114" s="2">
        <v>1</v>
      </c>
      <c r="J114" s="2">
        <v>1</v>
      </c>
      <c r="K114" s="2">
        <v>0</v>
      </c>
      <c r="L114" s="16">
        <v>3600</v>
      </c>
      <c r="M114" s="16">
        <v>1100</v>
      </c>
      <c r="N114" s="8" t="s">
        <v>1006</v>
      </c>
      <c r="O114" s="12">
        <f t="shared" si="1"/>
        <v>30.555555555555557</v>
      </c>
      <c r="P114" s="2">
        <v>2</v>
      </c>
      <c r="Q114" s="2" t="s">
        <v>308</v>
      </c>
      <c r="R114" s="8" t="s">
        <v>1007</v>
      </c>
      <c r="S114" s="8" t="s">
        <v>1008</v>
      </c>
      <c r="T114" s="8" t="s">
        <v>310</v>
      </c>
      <c r="U114" s="2" t="s">
        <v>116</v>
      </c>
      <c r="V114" s="2">
        <v>2023</v>
      </c>
      <c r="W114" s="16">
        <v>394</v>
      </c>
      <c r="X114" s="2">
        <v>2048</v>
      </c>
      <c r="Y114" s="16">
        <v>1000</v>
      </c>
      <c r="Z114" s="16"/>
      <c r="AA114" s="2"/>
      <c r="AB114" s="16"/>
      <c r="AC114" s="2"/>
      <c r="AD114" s="2"/>
      <c r="AE114" s="16"/>
      <c r="AF114" s="16"/>
      <c r="AG114" s="16"/>
      <c r="AH114" s="16"/>
      <c r="AI114" s="8" t="s">
        <v>166</v>
      </c>
      <c r="AJ114" s="2" t="s">
        <v>292</v>
      </c>
      <c r="AK114" s="2">
        <v>1</v>
      </c>
      <c r="AL114" s="8" t="s">
        <v>1009</v>
      </c>
      <c r="AM114" s="8" t="s">
        <v>1010</v>
      </c>
      <c r="AN114" s="2">
        <v>2026</v>
      </c>
      <c r="AO114" s="16">
        <v>1184</v>
      </c>
      <c r="AP114" s="2">
        <v>2029</v>
      </c>
      <c r="AQ114" s="16">
        <v>1398</v>
      </c>
      <c r="AR114" s="2" t="s">
        <v>86</v>
      </c>
      <c r="AS114" s="16">
        <v>5.7</v>
      </c>
      <c r="AT114" s="2">
        <v>2026</v>
      </c>
      <c r="AU114" s="16">
        <v>721</v>
      </c>
      <c r="AV114" s="2">
        <v>2029</v>
      </c>
      <c r="AW114" s="16">
        <v>811</v>
      </c>
      <c r="AX114" s="2" t="s">
        <v>86</v>
      </c>
      <c r="AY114" s="16">
        <v>4</v>
      </c>
      <c r="AZ114" s="2"/>
      <c r="BA114" s="16"/>
      <c r="BB114" s="2"/>
      <c r="BC114" s="16"/>
      <c r="BD114" s="2"/>
      <c r="BE114" s="16"/>
      <c r="BF114" s="2">
        <v>2026</v>
      </c>
      <c r="BG114" s="16">
        <v>685</v>
      </c>
      <c r="BH114" s="2">
        <v>2029</v>
      </c>
      <c r="BI114" s="16">
        <v>730</v>
      </c>
      <c r="BJ114" s="2" t="s">
        <v>87</v>
      </c>
      <c r="BK114" s="8" t="s">
        <v>482</v>
      </c>
      <c r="BL114" s="8" t="str">
        <f>HYPERLINK("https://seichotoushi-hojo.jp/assets/pdf/koufu/outline_5.pdf","PDFを開く")</f>
        <v>PDFを開く</v>
      </c>
      <c r="BM114" s="8" t="s">
        <v>1011</v>
      </c>
      <c r="BN114" s="8" t="s">
        <v>1012</v>
      </c>
      <c r="BO114" s="8" t="s">
        <v>90</v>
      </c>
      <c r="BP114" s="8" t="s">
        <v>90</v>
      </c>
      <c r="BQ114" s="8" t="s">
        <v>156</v>
      </c>
      <c r="BR114" s="8" t="s">
        <v>92</v>
      </c>
    </row>
    <row r="115" spans="1:70" ht="45.95" customHeight="1">
      <c r="A115" s="5" t="s">
        <v>1013</v>
      </c>
      <c r="B115" s="5" t="s">
        <v>73</v>
      </c>
      <c r="C115" s="5" t="s">
        <v>1014</v>
      </c>
      <c r="D115" s="5" t="s">
        <v>1014</v>
      </c>
      <c r="E115" s="5" t="s">
        <v>75</v>
      </c>
      <c r="F115" s="5"/>
      <c r="G115" s="5">
        <v>2</v>
      </c>
      <c r="H115" s="5">
        <v>0</v>
      </c>
      <c r="I115" s="5">
        <v>1</v>
      </c>
      <c r="J115" s="5">
        <v>1</v>
      </c>
      <c r="K115" s="5">
        <v>0</v>
      </c>
      <c r="L115" s="17">
        <v>10900</v>
      </c>
      <c r="M115" s="17">
        <v>3500</v>
      </c>
      <c r="N115" s="9" t="s">
        <v>1015</v>
      </c>
      <c r="O115" s="13">
        <f t="shared" si="1"/>
        <v>32.11009174311927</v>
      </c>
      <c r="P115" s="5">
        <v>2</v>
      </c>
      <c r="Q115" s="5" t="s">
        <v>77</v>
      </c>
      <c r="R115" s="9" t="s">
        <v>1015</v>
      </c>
      <c r="S115" s="9" t="s">
        <v>1016</v>
      </c>
      <c r="T115" s="9" t="s">
        <v>80</v>
      </c>
      <c r="U115" s="5" t="s">
        <v>81</v>
      </c>
      <c r="V115" s="5"/>
      <c r="W115" s="17"/>
      <c r="X115" s="5">
        <v>2030</v>
      </c>
      <c r="Y115" s="17"/>
      <c r="Z115" s="17">
        <v>370</v>
      </c>
      <c r="AA115" s="5">
        <v>2030</v>
      </c>
      <c r="AB115" s="17">
        <v>8.5</v>
      </c>
      <c r="AC115" s="5">
        <v>2030</v>
      </c>
      <c r="AD115" s="5" t="s">
        <v>210</v>
      </c>
      <c r="AE115" s="17"/>
      <c r="AF115" s="17"/>
      <c r="AG115" s="17"/>
      <c r="AH115" s="17"/>
      <c r="AI115" s="9" t="s">
        <v>83</v>
      </c>
      <c r="AJ115" s="5" t="s">
        <v>84</v>
      </c>
      <c r="AK115" s="5">
        <v>1</v>
      </c>
      <c r="AL115" s="9" t="s">
        <v>1017</v>
      </c>
      <c r="AM115" s="9"/>
      <c r="AN115" s="5">
        <v>2026</v>
      </c>
      <c r="AO115" s="17">
        <v>657</v>
      </c>
      <c r="AP115" s="5">
        <v>2029</v>
      </c>
      <c r="AQ115" s="17">
        <v>793</v>
      </c>
      <c r="AR115" s="5" t="s">
        <v>86</v>
      </c>
      <c r="AS115" s="17">
        <v>6.5</v>
      </c>
      <c r="AT115" s="5">
        <v>2026</v>
      </c>
      <c r="AU115" s="17">
        <v>515</v>
      </c>
      <c r="AV115" s="5">
        <v>2029</v>
      </c>
      <c r="AW115" s="17">
        <v>563</v>
      </c>
      <c r="AX115" s="5" t="s">
        <v>86</v>
      </c>
      <c r="AY115" s="17">
        <v>3</v>
      </c>
      <c r="AZ115" s="5">
        <v>2026</v>
      </c>
      <c r="BA115" s="17"/>
      <c r="BB115" s="5">
        <v>2029</v>
      </c>
      <c r="BC115" s="17"/>
      <c r="BD115" s="5" t="s">
        <v>86</v>
      </c>
      <c r="BE115" s="17">
        <v>3</v>
      </c>
      <c r="BF115" s="5">
        <v>2026</v>
      </c>
      <c r="BG115" s="17">
        <v>1390</v>
      </c>
      <c r="BH115" s="5">
        <v>2029</v>
      </c>
      <c r="BI115" s="17">
        <v>1401</v>
      </c>
      <c r="BJ115" s="5" t="s">
        <v>87</v>
      </c>
      <c r="BK115" s="9"/>
      <c r="BL115" s="9" t="str">
        <f>HYPERLINK("https://seichotoushi-hojo.jp/assets/pdf/koufu/outline_50.pdf","PDFを開く")</f>
        <v>PDFを開く</v>
      </c>
      <c r="BM115" s="9" t="s">
        <v>1018</v>
      </c>
      <c r="BN115" s="9" t="s">
        <v>1019</v>
      </c>
      <c r="BO115" s="9" t="s">
        <v>90</v>
      </c>
      <c r="BP115" s="9" t="s">
        <v>90</v>
      </c>
      <c r="BQ115" s="9" t="s">
        <v>91</v>
      </c>
      <c r="BR115" s="9" t="s">
        <v>92</v>
      </c>
    </row>
    <row r="116" spans="1:70" ht="45.95" customHeight="1">
      <c r="A116" s="2" t="s">
        <v>1020</v>
      </c>
      <c r="B116" s="2" t="s">
        <v>73</v>
      </c>
      <c r="C116" s="2" t="s">
        <v>1021</v>
      </c>
      <c r="D116" s="2" t="s">
        <v>1021</v>
      </c>
      <c r="E116" s="2" t="s">
        <v>116</v>
      </c>
      <c r="F116" s="2"/>
      <c r="G116" s="2">
        <v>5</v>
      </c>
      <c r="H116" s="2">
        <v>0</v>
      </c>
      <c r="I116" s="2">
        <v>1</v>
      </c>
      <c r="J116" s="2">
        <v>4</v>
      </c>
      <c r="K116" s="2">
        <v>0</v>
      </c>
      <c r="L116" s="16">
        <v>3400</v>
      </c>
      <c r="M116" s="16">
        <v>1000</v>
      </c>
      <c r="N116" s="8" t="s">
        <v>1022</v>
      </c>
      <c r="O116" s="12">
        <f t="shared" si="1"/>
        <v>29.411764705882355</v>
      </c>
      <c r="P116" s="2">
        <v>2</v>
      </c>
      <c r="Q116" s="2" t="s">
        <v>77</v>
      </c>
      <c r="R116" s="8" t="s">
        <v>1023</v>
      </c>
      <c r="S116" s="8" t="s">
        <v>1024</v>
      </c>
      <c r="T116" s="8" t="s">
        <v>80</v>
      </c>
      <c r="U116" s="2" t="s">
        <v>81</v>
      </c>
      <c r="V116" s="2">
        <v>2023</v>
      </c>
      <c r="W116" s="16"/>
      <c r="X116" s="2">
        <v>2030</v>
      </c>
      <c r="Y116" s="16"/>
      <c r="Z116" s="16">
        <v>263</v>
      </c>
      <c r="AA116" s="2">
        <v>2030</v>
      </c>
      <c r="AB116" s="16">
        <v>9.6999999999999993</v>
      </c>
      <c r="AC116" s="2">
        <v>2030</v>
      </c>
      <c r="AD116" s="2" t="s">
        <v>82</v>
      </c>
      <c r="AE116" s="16"/>
      <c r="AF116" s="16"/>
      <c r="AG116" s="16"/>
      <c r="AH116" s="16"/>
      <c r="AI116" s="8" t="s">
        <v>83</v>
      </c>
      <c r="AJ116" s="2" t="s">
        <v>84</v>
      </c>
      <c r="AK116" s="2">
        <v>1</v>
      </c>
      <c r="AL116" s="8" t="s">
        <v>1025</v>
      </c>
      <c r="AM116" s="8"/>
      <c r="AN116" s="2">
        <v>2026</v>
      </c>
      <c r="AO116" s="16">
        <v>1340</v>
      </c>
      <c r="AP116" s="2">
        <v>2029</v>
      </c>
      <c r="AQ116" s="16">
        <v>1587</v>
      </c>
      <c r="AR116" s="2" t="s">
        <v>86</v>
      </c>
      <c r="AS116" s="16">
        <v>5.81</v>
      </c>
      <c r="AT116" s="2">
        <v>2026</v>
      </c>
      <c r="AU116" s="16">
        <v>650</v>
      </c>
      <c r="AV116" s="2">
        <v>2029</v>
      </c>
      <c r="AW116" s="16">
        <v>763</v>
      </c>
      <c r="AX116" s="2" t="s">
        <v>86</v>
      </c>
      <c r="AY116" s="16">
        <v>5.51</v>
      </c>
      <c r="AZ116" s="2">
        <v>2026</v>
      </c>
      <c r="BA116" s="16"/>
      <c r="BB116" s="2">
        <v>2029</v>
      </c>
      <c r="BC116" s="16"/>
      <c r="BD116" s="2" t="s">
        <v>86</v>
      </c>
      <c r="BE116" s="16">
        <v>5</v>
      </c>
      <c r="BF116" s="2">
        <v>2026</v>
      </c>
      <c r="BG116" s="16">
        <v>254</v>
      </c>
      <c r="BH116" s="2">
        <v>2029</v>
      </c>
      <c r="BI116" s="16">
        <v>276</v>
      </c>
      <c r="BJ116" s="2" t="s">
        <v>87</v>
      </c>
      <c r="BK116" s="8"/>
      <c r="BL116" s="8" t="str">
        <f>HYPERLINK("https://seichotoushi-hojo.jp/assets/pdf/koufu/outline_51.pdf","PDFを開く")</f>
        <v>PDFを開く</v>
      </c>
      <c r="BM116" s="8" t="s">
        <v>1026</v>
      </c>
      <c r="BN116" s="8" t="s">
        <v>1027</v>
      </c>
      <c r="BO116" s="8" t="s">
        <v>90</v>
      </c>
      <c r="BP116" s="8" t="s">
        <v>90</v>
      </c>
      <c r="BQ116" s="8" t="s">
        <v>91</v>
      </c>
      <c r="BR116" s="8" t="s">
        <v>92</v>
      </c>
    </row>
    <row r="117" spans="1:70" ht="45.95" customHeight="1">
      <c r="A117" s="5" t="s">
        <v>1028</v>
      </c>
      <c r="B117" s="5" t="s">
        <v>73</v>
      </c>
      <c r="C117" s="5" t="s">
        <v>1029</v>
      </c>
      <c r="D117" s="5" t="s">
        <v>1029</v>
      </c>
      <c r="E117" s="5" t="s">
        <v>95</v>
      </c>
      <c r="F117" s="5"/>
      <c r="G117" s="5">
        <v>2</v>
      </c>
      <c r="H117" s="5">
        <v>0</v>
      </c>
      <c r="I117" s="5">
        <v>1</v>
      </c>
      <c r="J117" s="5">
        <v>1</v>
      </c>
      <c r="K117" s="5">
        <v>0</v>
      </c>
      <c r="L117" s="17">
        <v>4300</v>
      </c>
      <c r="M117" s="17">
        <v>1300</v>
      </c>
      <c r="N117" s="9" t="s">
        <v>1030</v>
      </c>
      <c r="O117" s="13">
        <f t="shared" si="1"/>
        <v>30.232558139534881</v>
      </c>
      <c r="P117" s="5">
        <v>2</v>
      </c>
      <c r="Q117" s="5" t="s">
        <v>77</v>
      </c>
      <c r="R117" s="9" t="s">
        <v>1030</v>
      </c>
      <c r="S117" s="9" t="s">
        <v>1031</v>
      </c>
      <c r="T117" s="9" t="s">
        <v>80</v>
      </c>
      <c r="U117" s="5" t="s">
        <v>81</v>
      </c>
      <c r="V117" s="5"/>
      <c r="W117" s="17"/>
      <c r="X117" s="5">
        <v>2030</v>
      </c>
      <c r="Y117" s="17"/>
      <c r="Z117" s="17">
        <v>45</v>
      </c>
      <c r="AA117" s="5">
        <v>2030</v>
      </c>
      <c r="AB117" s="17">
        <v>139</v>
      </c>
      <c r="AC117" s="5">
        <v>2030</v>
      </c>
      <c r="AD117" s="5" t="s">
        <v>82</v>
      </c>
      <c r="AE117" s="17"/>
      <c r="AF117" s="17"/>
      <c r="AG117" s="17"/>
      <c r="AH117" s="17"/>
      <c r="AI117" s="9" t="s">
        <v>83</v>
      </c>
      <c r="AJ117" s="5" t="s">
        <v>84</v>
      </c>
      <c r="AK117" s="5">
        <v>1</v>
      </c>
      <c r="AL117" s="9" t="s">
        <v>1032</v>
      </c>
      <c r="AM117" s="9" t="s">
        <v>1033</v>
      </c>
      <c r="AN117" s="5">
        <v>2027</v>
      </c>
      <c r="AO117" s="17">
        <v>1291</v>
      </c>
      <c r="AP117" s="5">
        <v>2030</v>
      </c>
      <c r="AQ117" s="17">
        <v>1855</v>
      </c>
      <c r="AR117" s="5" t="s">
        <v>86</v>
      </c>
      <c r="AS117" s="17">
        <v>12.8</v>
      </c>
      <c r="AT117" s="5">
        <v>2027</v>
      </c>
      <c r="AU117" s="17">
        <v>411</v>
      </c>
      <c r="AV117" s="5">
        <v>2030</v>
      </c>
      <c r="AW117" s="17">
        <v>470</v>
      </c>
      <c r="AX117" s="5" t="s">
        <v>86</v>
      </c>
      <c r="AY117" s="17">
        <v>4.5999999999999996</v>
      </c>
      <c r="AZ117" s="5"/>
      <c r="BA117" s="17"/>
      <c r="BB117" s="5"/>
      <c r="BC117" s="17"/>
      <c r="BD117" s="5"/>
      <c r="BE117" s="17"/>
      <c r="BF117" s="5">
        <v>2027</v>
      </c>
      <c r="BG117" s="17">
        <v>60</v>
      </c>
      <c r="BH117" s="5">
        <v>2030</v>
      </c>
      <c r="BI117" s="17">
        <v>73</v>
      </c>
      <c r="BJ117" s="5" t="s">
        <v>87</v>
      </c>
      <c r="BK117" s="9"/>
      <c r="BL117" s="9" t="str">
        <f>HYPERLINK("https://seichotoushi-hojo.jp/assets/pdf/koufu/outline_52.pdf","PDFを開く")</f>
        <v>PDFを開く</v>
      </c>
      <c r="BM117" s="9" t="s">
        <v>1034</v>
      </c>
      <c r="BN117" s="9" t="s">
        <v>1035</v>
      </c>
      <c r="BO117" s="9" t="s">
        <v>90</v>
      </c>
      <c r="BP117" s="9" t="s">
        <v>90</v>
      </c>
      <c r="BQ117" s="9" t="s">
        <v>156</v>
      </c>
      <c r="BR117" s="9" t="s">
        <v>92</v>
      </c>
    </row>
    <row r="118" spans="1:70" ht="45.95" customHeight="1">
      <c r="A118" s="2" t="s">
        <v>1036</v>
      </c>
      <c r="B118" s="2" t="s">
        <v>73</v>
      </c>
      <c r="C118" s="2" t="s">
        <v>1037</v>
      </c>
      <c r="D118" s="2" t="s">
        <v>1037</v>
      </c>
      <c r="E118" s="2" t="s">
        <v>75</v>
      </c>
      <c r="F118" s="2"/>
      <c r="G118" s="2">
        <v>2</v>
      </c>
      <c r="H118" s="2">
        <v>0</v>
      </c>
      <c r="I118" s="2">
        <v>1</v>
      </c>
      <c r="J118" s="2">
        <v>1</v>
      </c>
      <c r="K118" s="2">
        <v>0</v>
      </c>
      <c r="L118" s="16">
        <v>4100</v>
      </c>
      <c r="M118" s="16">
        <v>1300</v>
      </c>
      <c r="N118" s="8" t="s">
        <v>1038</v>
      </c>
      <c r="O118" s="12">
        <f t="shared" si="1"/>
        <v>31.707317073170731</v>
      </c>
      <c r="P118" s="2">
        <v>2</v>
      </c>
      <c r="Q118" s="2" t="s">
        <v>77</v>
      </c>
      <c r="R118" s="8" t="s">
        <v>1039</v>
      </c>
      <c r="S118" s="8" t="s">
        <v>1040</v>
      </c>
      <c r="T118" s="8" t="s">
        <v>80</v>
      </c>
      <c r="U118" s="2" t="s">
        <v>81</v>
      </c>
      <c r="V118" s="2">
        <v>2023</v>
      </c>
      <c r="W118" s="16"/>
      <c r="X118" s="2">
        <v>2030</v>
      </c>
      <c r="Y118" s="16"/>
      <c r="Z118" s="16">
        <v>30</v>
      </c>
      <c r="AA118" s="2">
        <v>2030</v>
      </c>
      <c r="AB118" s="16">
        <v>43</v>
      </c>
      <c r="AC118" s="2">
        <v>2030</v>
      </c>
      <c r="AD118" s="2" t="s">
        <v>82</v>
      </c>
      <c r="AE118" s="16"/>
      <c r="AF118" s="16"/>
      <c r="AG118" s="16"/>
      <c r="AH118" s="16"/>
      <c r="AI118" s="8" t="s">
        <v>83</v>
      </c>
      <c r="AJ118" s="2" t="s">
        <v>84</v>
      </c>
      <c r="AK118" s="2">
        <v>1</v>
      </c>
      <c r="AL118" s="8" t="s">
        <v>1041</v>
      </c>
      <c r="AM118" s="8"/>
      <c r="AN118" s="2">
        <v>2026</v>
      </c>
      <c r="AO118" s="16">
        <v>425.5</v>
      </c>
      <c r="AP118" s="2">
        <v>2029</v>
      </c>
      <c r="AQ118" s="16">
        <v>618.6</v>
      </c>
      <c r="AR118" s="2" t="s">
        <v>86</v>
      </c>
      <c r="AS118" s="16">
        <v>13.29</v>
      </c>
      <c r="AT118" s="2">
        <v>2026</v>
      </c>
      <c r="AU118" s="16">
        <v>343.3</v>
      </c>
      <c r="AV118" s="2">
        <v>2029</v>
      </c>
      <c r="AW118" s="16">
        <v>409.3</v>
      </c>
      <c r="AX118" s="2" t="s">
        <v>86</v>
      </c>
      <c r="AY118" s="16">
        <v>6.04</v>
      </c>
      <c r="AZ118" s="2"/>
      <c r="BA118" s="16"/>
      <c r="BB118" s="2"/>
      <c r="BC118" s="16"/>
      <c r="BD118" s="2"/>
      <c r="BE118" s="16"/>
      <c r="BF118" s="2">
        <v>2026</v>
      </c>
      <c r="BG118" s="16">
        <v>197</v>
      </c>
      <c r="BH118" s="2">
        <v>2029</v>
      </c>
      <c r="BI118" s="16">
        <v>189</v>
      </c>
      <c r="BJ118" s="2" t="s">
        <v>87</v>
      </c>
      <c r="BK118" s="8"/>
      <c r="BL118" s="8" t="str">
        <f>HYPERLINK("https://seichotoushi-hojo.jp/assets/pdf/koufu/outline_53.pdf","PDFを開く")</f>
        <v>PDFを開く</v>
      </c>
      <c r="BM118" s="8" t="s">
        <v>1042</v>
      </c>
      <c r="BN118" s="8" t="s">
        <v>1043</v>
      </c>
      <c r="BO118" s="8" t="s">
        <v>90</v>
      </c>
      <c r="BP118" s="8" t="s">
        <v>90</v>
      </c>
      <c r="BQ118" s="8" t="s">
        <v>156</v>
      </c>
      <c r="BR118" s="8" t="s">
        <v>92</v>
      </c>
    </row>
    <row r="119" spans="1:70" ht="45.95" customHeight="1">
      <c r="A119" s="5" t="s">
        <v>1044</v>
      </c>
      <c r="B119" s="5" t="s">
        <v>73</v>
      </c>
      <c r="C119" s="5" t="s">
        <v>1045</v>
      </c>
      <c r="D119" s="5" t="s">
        <v>1045</v>
      </c>
      <c r="E119" s="5" t="s">
        <v>107</v>
      </c>
      <c r="F119" s="5"/>
      <c r="G119" s="5">
        <v>2</v>
      </c>
      <c r="H119" s="5">
        <v>0</v>
      </c>
      <c r="I119" s="5">
        <v>0</v>
      </c>
      <c r="J119" s="5">
        <v>1</v>
      </c>
      <c r="K119" s="5">
        <v>1</v>
      </c>
      <c r="L119" s="17">
        <v>1500</v>
      </c>
      <c r="M119" s="17">
        <v>480</v>
      </c>
      <c r="N119" s="9" t="s">
        <v>532</v>
      </c>
      <c r="O119" s="13">
        <f t="shared" si="1"/>
        <v>32</v>
      </c>
      <c r="P119" s="5">
        <v>2</v>
      </c>
      <c r="Q119" s="5" t="s">
        <v>77</v>
      </c>
      <c r="R119" s="9" t="s">
        <v>1046</v>
      </c>
      <c r="S119" s="9" t="s">
        <v>1047</v>
      </c>
      <c r="T119" s="9" t="s">
        <v>80</v>
      </c>
      <c r="U119" s="5" t="s">
        <v>81</v>
      </c>
      <c r="V119" s="5"/>
      <c r="W119" s="17"/>
      <c r="X119" s="5">
        <v>2033</v>
      </c>
      <c r="Y119" s="17">
        <v>100</v>
      </c>
      <c r="Z119" s="17">
        <v>70</v>
      </c>
      <c r="AA119" s="5">
        <v>2033</v>
      </c>
      <c r="AB119" s="17">
        <v>233</v>
      </c>
      <c r="AC119" s="5">
        <v>2028</v>
      </c>
      <c r="AD119" s="5" t="s">
        <v>82</v>
      </c>
      <c r="AE119" s="17"/>
      <c r="AF119" s="17"/>
      <c r="AG119" s="17"/>
      <c r="AH119" s="17"/>
      <c r="AI119" s="9" t="s">
        <v>1048</v>
      </c>
      <c r="AJ119" s="5" t="s">
        <v>292</v>
      </c>
      <c r="AK119" s="5">
        <v>1</v>
      </c>
      <c r="AL119" s="9" t="s">
        <v>1049</v>
      </c>
      <c r="AM119" s="9" t="s">
        <v>1050</v>
      </c>
      <c r="AN119" s="5">
        <v>2025</v>
      </c>
      <c r="AO119" s="17">
        <v>5326</v>
      </c>
      <c r="AP119" s="5">
        <v>2028</v>
      </c>
      <c r="AQ119" s="17">
        <v>10537</v>
      </c>
      <c r="AR119" s="5" t="s">
        <v>86</v>
      </c>
      <c r="AS119" s="17">
        <v>25.5</v>
      </c>
      <c r="AT119" s="5">
        <v>2025</v>
      </c>
      <c r="AU119" s="17">
        <v>597</v>
      </c>
      <c r="AV119" s="5">
        <v>2028</v>
      </c>
      <c r="AW119" s="17">
        <v>653</v>
      </c>
      <c r="AX119" s="5" t="s">
        <v>86</v>
      </c>
      <c r="AY119" s="17">
        <v>3</v>
      </c>
      <c r="AZ119" s="5"/>
      <c r="BA119" s="17"/>
      <c r="BB119" s="5"/>
      <c r="BC119" s="17"/>
      <c r="BD119" s="5"/>
      <c r="BE119" s="17"/>
      <c r="BF119" s="5"/>
      <c r="BG119" s="17"/>
      <c r="BH119" s="5"/>
      <c r="BI119" s="17"/>
      <c r="BJ119" s="5" t="s">
        <v>152</v>
      </c>
      <c r="BK119" s="9" t="s">
        <v>1051</v>
      </c>
      <c r="BL119" s="9" t="str">
        <f>HYPERLINK("https://seichotoushi-hojo.jp/assets/pdf/koufu/outline_55.pdf","PDFを開く")</f>
        <v>PDFを開く</v>
      </c>
      <c r="BM119" s="9" t="s">
        <v>1052</v>
      </c>
      <c r="BN119" s="9" t="s">
        <v>1053</v>
      </c>
      <c r="BO119" s="9" t="s">
        <v>90</v>
      </c>
      <c r="BP119" s="9" t="s">
        <v>90</v>
      </c>
      <c r="BQ119" s="9" t="s">
        <v>157</v>
      </c>
      <c r="BR119" s="9" t="s">
        <v>157</v>
      </c>
    </row>
    <row r="120" spans="1:70" ht="45.95" customHeight="1">
      <c r="A120" s="2" t="s">
        <v>1054</v>
      </c>
      <c r="B120" s="2" t="s">
        <v>73</v>
      </c>
      <c r="C120" s="2" t="s">
        <v>1055</v>
      </c>
      <c r="D120" s="2" t="s">
        <v>1055</v>
      </c>
      <c r="E120" s="2" t="s">
        <v>95</v>
      </c>
      <c r="F120" s="2" t="s">
        <v>1056</v>
      </c>
      <c r="G120" s="2">
        <v>3</v>
      </c>
      <c r="H120" s="2">
        <v>0</v>
      </c>
      <c r="I120" s="2">
        <v>1</v>
      </c>
      <c r="J120" s="2">
        <v>2</v>
      </c>
      <c r="K120" s="2">
        <v>0</v>
      </c>
      <c r="L120" s="16">
        <v>3600</v>
      </c>
      <c r="M120" s="16">
        <v>1100</v>
      </c>
      <c r="N120" s="8" t="s">
        <v>1006</v>
      </c>
      <c r="O120" s="12">
        <f t="shared" si="1"/>
        <v>30.555555555555557</v>
      </c>
      <c r="P120" s="2">
        <v>2</v>
      </c>
      <c r="Q120" s="2" t="s">
        <v>77</v>
      </c>
      <c r="R120" s="8" t="s">
        <v>1057</v>
      </c>
      <c r="S120" s="8" t="s">
        <v>1058</v>
      </c>
      <c r="T120" s="8" t="s">
        <v>80</v>
      </c>
      <c r="U120" s="2" t="s">
        <v>81</v>
      </c>
      <c r="V120" s="2">
        <v>2030</v>
      </c>
      <c r="W120" s="16"/>
      <c r="X120" s="2">
        <v>2035</v>
      </c>
      <c r="Y120" s="16">
        <v>100</v>
      </c>
      <c r="Z120" s="16">
        <v>31</v>
      </c>
      <c r="AA120" s="2">
        <v>2035</v>
      </c>
      <c r="AB120" s="16">
        <v>21</v>
      </c>
      <c r="AC120" s="2">
        <v>2035</v>
      </c>
      <c r="AD120" s="2" t="s">
        <v>82</v>
      </c>
      <c r="AE120" s="16"/>
      <c r="AF120" s="16"/>
      <c r="AG120" s="16"/>
      <c r="AH120" s="16"/>
      <c r="AI120" s="8" t="s">
        <v>83</v>
      </c>
      <c r="AJ120" s="2" t="s">
        <v>84</v>
      </c>
      <c r="AK120" s="2">
        <v>1</v>
      </c>
      <c r="AL120" s="8" t="s">
        <v>1059</v>
      </c>
      <c r="AM120" s="8" t="s">
        <v>1060</v>
      </c>
      <c r="AN120" s="2">
        <v>2025</v>
      </c>
      <c r="AO120" s="16">
        <v>692</v>
      </c>
      <c r="AP120" s="2">
        <v>2028</v>
      </c>
      <c r="AQ120" s="16">
        <v>1173</v>
      </c>
      <c r="AR120" s="2" t="s">
        <v>86</v>
      </c>
      <c r="AS120" s="16">
        <v>21.6</v>
      </c>
      <c r="AT120" s="2">
        <v>2025</v>
      </c>
      <c r="AU120" s="16">
        <v>384</v>
      </c>
      <c r="AV120" s="2">
        <v>2028</v>
      </c>
      <c r="AW120" s="16">
        <v>425</v>
      </c>
      <c r="AX120" s="2" t="s">
        <v>86</v>
      </c>
      <c r="AY120" s="16">
        <v>3.4</v>
      </c>
      <c r="AZ120" s="2">
        <v>2025</v>
      </c>
      <c r="BA120" s="16">
        <v>0</v>
      </c>
      <c r="BB120" s="2">
        <v>2028</v>
      </c>
      <c r="BC120" s="16">
        <v>0</v>
      </c>
      <c r="BD120" s="2" t="s">
        <v>86</v>
      </c>
      <c r="BE120" s="16">
        <v>0</v>
      </c>
      <c r="BF120" s="2">
        <v>2025</v>
      </c>
      <c r="BG120" s="16">
        <v>12</v>
      </c>
      <c r="BH120" s="2">
        <v>2028</v>
      </c>
      <c r="BI120" s="16">
        <v>71</v>
      </c>
      <c r="BJ120" s="2" t="s">
        <v>87</v>
      </c>
      <c r="BK120" s="8" t="s">
        <v>589</v>
      </c>
      <c r="BL120" s="8" t="str">
        <f>HYPERLINK("https://seichotoushi-hojo.jp/assets/pdf/koufu/outline_56.pdf","PDFを開く")</f>
        <v>PDFを開く</v>
      </c>
      <c r="BM120" s="8" t="s">
        <v>1061</v>
      </c>
      <c r="BN120" s="8" t="s">
        <v>1062</v>
      </c>
      <c r="BO120" s="8" t="s">
        <v>113</v>
      </c>
      <c r="BP120" s="8" t="s">
        <v>90</v>
      </c>
      <c r="BQ120" s="8" t="s">
        <v>92</v>
      </c>
      <c r="BR120" s="8" t="s">
        <v>92</v>
      </c>
    </row>
    <row r="121" spans="1:70" ht="45.95" customHeight="1">
      <c r="A121" s="5" t="s">
        <v>1063</v>
      </c>
      <c r="B121" s="5" t="s">
        <v>73</v>
      </c>
      <c r="C121" s="5" t="s">
        <v>1064</v>
      </c>
      <c r="D121" s="5" t="s">
        <v>1064</v>
      </c>
      <c r="E121" s="5" t="s">
        <v>75</v>
      </c>
      <c r="F121" s="5"/>
      <c r="G121" s="5">
        <v>2</v>
      </c>
      <c r="H121" s="5">
        <v>0</v>
      </c>
      <c r="I121" s="5">
        <v>1</v>
      </c>
      <c r="J121" s="5">
        <v>1</v>
      </c>
      <c r="K121" s="5">
        <v>0</v>
      </c>
      <c r="L121" s="17">
        <v>3300</v>
      </c>
      <c r="M121" s="17">
        <v>1100</v>
      </c>
      <c r="N121" s="9" t="s">
        <v>1065</v>
      </c>
      <c r="O121" s="13">
        <f t="shared" si="1"/>
        <v>33.333333333333329</v>
      </c>
      <c r="P121" s="5">
        <v>2</v>
      </c>
      <c r="Q121" s="5" t="s">
        <v>77</v>
      </c>
      <c r="R121" s="9" t="s">
        <v>1065</v>
      </c>
      <c r="S121" s="9" t="s">
        <v>1066</v>
      </c>
      <c r="T121" s="9" t="s">
        <v>80</v>
      </c>
      <c r="U121" s="5" t="s">
        <v>763</v>
      </c>
      <c r="V121" s="5">
        <v>2025</v>
      </c>
      <c r="W121" s="17"/>
      <c r="X121" s="5">
        <v>2028</v>
      </c>
      <c r="Y121" s="17">
        <v>147.62844104999999</v>
      </c>
      <c r="Z121" s="17"/>
      <c r="AA121" s="5"/>
      <c r="AB121" s="17">
        <v>26.7</v>
      </c>
      <c r="AC121" s="5">
        <v>2028</v>
      </c>
      <c r="AD121" s="5" t="s">
        <v>490</v>
      </c>
      <c r="AE121" s="17"/>
      <c r="AF121" s="17"/>
      <c r="AG121" s="17"/>
      <c r="AH121" s="17"/>
      <c r="AI121" s="9" t="s">
        <v>166</v>
      </c>
      <c r="AJ121" s="5" t="s">
        <v>292</v>
      </c>
      <c r="AK121" s="5">
        <v>1</v>
      </c>
      <c r="AL121" s="9" t="s">
        <v>1067</v>
      </c>
      <c r="AM121" s="9" t="s">
        <v>1068</v>
      </c>
      <c r="AN121" s="5">
        <v>2024</v>
      </c>
      <c r="AO121" s="17">
        <v>993</v>
      </c>
      <c r="AP121" s="5">
        <v>2027</v>
      </c>
      <c r="AQ121" s="17">
        <v>1275</v>
      </c>
      <c r="AR121" s="5" t="s">
        <v>86</v>
      </c>
      <c r="AS121" s="17">
        <v>8.6999999999999993</v>
      </c>
      <c r="AT121" s="5">
        <v>2024</v>
      </c>
      <c r="AU121" s="17">
        <v>457</v>
      </c>
      <c r="AV121" s="5">
        <v>2027</v>
      </c>
      <c r="AW121" s="17">
        <v>508</v>
      </c>
      <c r="AX121" s="5" t="s">
        <v>86</v>
      </c>
      <c r="AY121" s="17">
        <v>3.6</v>
      </c>
      <c r="AZ121" s="5"/>
      <c r="BA121" s="17"/>
      <c r="BB121" s="5"/>
      <c r="BC121" s="17"/>
      <c r="BD121" s="5"/>
      <c r="BE121" s="17"/>
      <c r="BF121" s="5">
        <v>2024</v>
      </c>
      <c r="BG121" s="17">
        <v>32</v>
      </c>
      <c r="BH121" s="5">
        <v>2027</v>
      </c>
      <c r="BI121" s="17">
        <v>110</v>
      </c>
      <c r="BJ121" s="5" t="s">
        <v>87</v>
      </c>
      <c r="BK121" s="9"/>
      <c r="BL121" s="9" t="str">
        <f>HYPERLINK("https://seichotoushi-hojo.jp/assets/pdf/koufu/outline_58.pdf","PDFを開く")</f>
        <v>PDFを開く</v>
      </c>
      <c r="BM121" s="9" t="s">
        <v>1069</v>
      </c>
      <c r="BN121" s="9" t="s">
        <v>1070</v>
      </c>
      <c r="BO121" s="9" t="s">
        <v>90</v>
      </c>
      <c r="BP121" s="9" t="s">
        <v>90</v>
      </c>
      <c r="BQ121" s="9" t="s">
        <v>156</v>
      </c>
      <c r="BR121" s="9" t="s">
        <v>92</v>
      </c>
    </row>
    <row r="122" spans="1:70" ht="45.95" customHeight="1">
      <c r="A122" s="2" t="s">
        <v>1071</v>
      </c>
      <c r="B122" s="2" t="s">
        <v>73</v>
      </c>
      <c r="C122" s="2" t="s">
        <v>1072</v>
      </c>
      <c r="D122" s="2" t="s">
        <v>1072</v>
      </c>
      <c r="E122" s="2" t="s">
        <v>107</v>
      </c>
      <c r="F122" s="2" t="s">
        <v>1073</v>
      </c>
      <c r="G122" s="2">
        <v>2</v>
      </c>
      <c r="H122" s="2">
        <v>0</v>
      </c>
      <c r="I122" s="2">
        <v>0</v>
      </c>
      <c r="J122" s="2">
        <v>0</v>
      </c>
      <c r="K122" s="2">
        <v>2</v>
      </c>
      <c r="L122" s="16">
        <v>11700</v>
      </c>
      <c r="M122" s="16">
        <v>3700</v>
      </c>
      <c r="N122" s="8" t="s">
        <v>1074</v>
      </c>
      <c r="O122" s="12">
        <f t="shared" si="1"/>
        <v>31.623931623931622</v>
      </c>
      <c r="P122" s="2">
        <v>2</v>
      </c>
      <c r="Q122" s="2" t="s">
        <v>308</v>
      </c>
      <c r="R122" s="8"/>
      <c r="S122" s="8"/>
      <c r="T122" s="8" t="s">
        <v>310</v>
      </c>
      <c r="U122" s="2" t="s">
        <v>81</v>
      </c>
      <c r="V122" s="2">
        <v>2022</v>
      </c>
      <c r="W122" s="16"/>
      <c r="X122" s="2">
        <v>2030</v>
      </c>
      <c r="Y122" s="16">
        <v>500</v>
      </c>
      <c r="Z122" s="16">
        <v>320</v>
      </c>
      <c r="AA122" s="2">
        <v>2030</v>
      </c>
      <c r="AB122" s="16">
        <v>284</v>
      </c>
      <c r="AC122" s="2">
        <v>2030</v>
      </c>
      <c r="AD122" s="2" t="s">
        <v>82</v>
      </c>
      <c r="AE122" s="16"/>
      <c r="AF122" s="16"/>
      <c r="AG122" s="16"/>
      <c r="AH122" s="16"/>
      <c r="AI122" s="8" t="s">
        <v>166</v>
      </c>
      <c r="AJ122" s="2" t="s">
        <v>292</v>
      </c>
      <c r="AK122" s="2">
        <v>1</v>
      </c>
      <c r="AL122" s="8" t="s">
        <v>1075</v>
      </c>
      <c r="AM122" s="8" t="s">
        <v>1076</v>
      </c>
      <c r="AN122" s="2">
        <v>2026</v>
      </c>
      <c r="AO122" s="16">
        <v>1573</v>
      </c>
      <c r="AP122" s="2">
        <v>2029</v>
      </c>
      <c r="AQ122" s="16">
        <v>1748</v>
      </c>
      <c r="AR122" s="2" t="s">
        <v>86</v>
      </c>
      <c r="AS122" s="16">
        <v>3.6</v>
      </c>
      <c r="AT122" s="2">
        <v>2026</v>
      </c>
      <c r="AU122" s="16">
        <v>541</v>
      </c>
      <c r="AV122" s="2">
        <v>2029</v>
      </c>
      <c r="AW122" s="16">
        <v>591</v>
      </c>
      <c r="AX122" s="2" t="s">
        <v>86</v>
      </c>
      <c r="AY122" s="16">
        <v>3</v>
      </c>
      <c r="AZ122" s="2"/>
      <c r="BA122" s="16"/>
      <c r="BB122" s="2"/>
      <c r="BC122" s="16"/>
      <c r="BD122" s="2"/>
      <c r="BE122" s="16"/>
      <c r="BF122" s="2">
        <v>2026</v>
      </c>
      <c r="BG122" s="16">
        <v>311</v>
      </c>
      <c r="BH122" s="2">
        <v>2029</v>
      </c>
      <c r="BI122" s="16">
        <v>519</v>
      </c>
      <c r="BJ122" s="2" t="s">
        <v>87</v>
      </c>
      <c r="BK122" s="8" t="s">
        <v>1077</v>
      </c>
      <c r="BL122" s="8" t="str">
        <f>HYPERLINK("https://seichotoushi-hojo.jp/assets/pdf/koufu/outline_61.pdf","PDFを開く")</f>
        <v>PDFを開く</v>
      </c>
      <c r="BM122" s="8" t="s">
        <v>1078</v>
      </c>
      <c r="BN122" s="8" t="s">
        <v>1079</v>
      </c>
      <c r="BO122" s="8" t="s">
        <v>166</v>
      </c>
      <c r="BP122" s="8" t="s">
        <v>166</v>
      </c>
      <c r="BQ122" s="8" t="s">
        <v>157</v>
      </c>
      <c r="BR122" s="8" t="s">
        <v>166</v>
      </c>
    </row>
    <row r="123" spans="1:70" ht="45.95" customHeight="1">
      <c r="A123" s="5" t="s">
        <v>1080</v>
      </c>
      <c r="B123" s="5" t="s">
        <v>73</v>
      </c>
      <c r="C123" s="5" t="s">
        <v>1081</v>
      </c>
      <c r="D123" s="5" t="s">
        <v>1081</v>
      </c>
      <c r="E123" s="5"/>
      <c r="F123" s="5"/>
      <c r="G123" s="5">
        <v>2</v>
      </c>
      <c r="H123" s="5">
        <v>0</v>
      </c>
      <c r="I123" s="5">
        <v>1</v>
      </c>
      <c r="J123" s="5">
        <v>1</v>
      </c>
      <c r="K123" s="5">
        <v>0</v>
      </c>
      <c r="L123" s="17">
        <v>20000</v>
      </c>
      <c r="M123" s="17">
        <v>5000</v>
      </c>
      <c r="N123" s="9" t="s">
        <v>1082</v>
      </c>
      <c r="O123" s="13">
        <f t="shared" si="1"/>
        <v>25</v>
      </c>
      <c r="P123" s="5">
        <v>2</v>
      </c>
      <c r="Q123" s="5" t="s">
        <v>77</v>
      </c>
      <c r="R123" s="9" t="s">
        <v>1083</v>
      </c>
      <c r="S123" s="9" t="s">
        <v>1084</v>
      </c>
      <c r="T123" s="9" t="s">
        <v>80</v>
      </c>
      <c r="U123" s="5" t="s">
        <v>81</v>
      </c>
      <c r="V123" s="5">
        <v>2030</v>
      </c>
      <c r="W123" s="17"/>
      <c r="X123" s="5">
        <v>2033</v>
      </c>
      <c r="Y123" s="17"/>
      <c r="Z123" s="17"/>
      <c r="AA123" s="5"/>
      <c r="AB123" s="17">
        <v>165</v>
      </c>
      <c r="AC123" s="5">
        <v>2033</v>
      </c>
      <c r="AD123" s="5" t="s">
        <v>82</v>
      </c>
      <c r="AE123" s="17"/>
      <c r="AF123" s="17"/>
      <c r="AG123" s="17"/>
      <c r="AH123" s="17"/>
      <c r="AI123" s="9" t="s">
        <v>83</v>
      </c>
      <c r="AJ123" s="5" t="s">
        <v>84</v>
      </c>
      <c r="AK123" s="5">
        <v>1</v>
      </c>
      <c r="AL123" s="9" t="s">
        <v>1085</v>
      </c>
      <c r="AM123" s="9"/>
      <c r="AN123" s="5">
        <v>2027</v>
      </c>
      <c r="AO123" s="17">
        <v>3795</v>
      </c>
      <c r="AP123" s="5">
        <v>2030</v>
      </c>
      <c r="AQ123" s="17">
        <v>4336</v>
      </c>
      <c r="AR123" s="5" t="s">
        <v>86</v>
      </c>
      <c r="AS123" s="17">
        <v>4.5</v>
      </c>
      <c r="AT123" s="5">
        <v>2027</v>
      </c>
      <c r="AU123" s="17">
        <v>481</v>
      </c>
      <c r="AV123" s="5">
        <v>2030</v>
      </c>
      <c r="AW123" s="17">
        <v>528</v>
      </c>
      <c r="AX123" s="5" t="s">
        <v>86</v>
      </c>
      <c r="AY123" s="17">
        <v>3.1</v>
      </c>
      <c r="AZ123" s="5">
        <v>2027</v>
      </c>
      <c r="BA123" s="17"/>
      <c r="BB123" s="5">
        <v>2030</v>
      </c>
      <c r="BC123" s="17"/>
      <c r="BD123" s="5" t="s">
        <v>86</v>
      </c>
      <c r="BE123" s="17">
        <v>3.1</v>
      </c>
      <c r="BF123" s="5">
        <v>2027</v>
      </c>
      <c r="BG123" s="17">
        <v>184</v>
      </c>
      <c r="BH123" s="5">
        <v>2030</v>
      </c>
      <c r="BI123" s="17">
        <v>232</v>
      </c>
      <c r="BJ123" s="5" t="s">
        <v>87</v>
      </c>
      <c r="BK123" s="9"/>
      <c r="BL123" s="9" t="str">
        <f>HYPERLINK("https://seichotoushi-hojo.jp/assets/pdf/koufu/outline_62.pdf","PDFを開く")</f>
        <v>PDFを開く</v>
      </c>
      <c r="BM123" s="9" t="s">
        <v>1086</v>
      </c>
      <c r="BN123" s="9" t="s">
        <v>1087</v>
      </c>
      <c r="BO123" s="9" t="s">
        <v>90</v>
      </c>
      <c r="BP123" s="9" t="s">
        <v>90</v>
      </c>
      <c r="BQ123" s="9" t="s">
        <v>91</v>
      </c>
      <c r="BR123" s="9" t="s">
        <v>92</v>
      </c>
    </row>
    <row r="124" spans="1:70" ht="45.95" customHeight="1">
      <c r="A124" s="2" t="s">
        <v>1088</v>
      </c>
      <c r="B124" s="2" t="s">
        <v>73</v>
      </c>
      <c r="C124" s="2" t="s">
        <v>1089</v>
      </c>
      <c r="D124" s="2" t="s">
        <v>1089</v>
      </c>
      <c r="E124" s="2" t="s">
        <v>75</v>
      </c>
      <c r="F124" s="2" t="s">
        <v>1090</v>
      </c>
      <c r="G124" s="2">
        <v>2</v>
      </c>
      <c r="H124" s="2">
        <v>0</v>
      </c>
      <c r="I124" s="2">
        <v>1</v>
      </c>
      <c r="J124" s="2">
        <v>1</v>
      </c>
      <c r="K124" s="2">
        <v>0</v>
      </c>
      <c r="L124" s="16">
        <v>16600</v>
      </c>
      <c r="M124" s="16">
        <v>5000</v>
      </c>
      <c r="N124" s="8" t="s">
        <v>469</v>
      </c>
      <c r="O124" s="12">
        <f t="shared" si="1"/>
        <v>30.120481927710845</v>
      </c>
      <c r="P124" s="2">
        <v>2</v>
      </c>
      <c r="Q124" s="2" t="s">
        <v>77</v>
      </c>
      <c r="R124" s="8" t="s">
        <v>469</v>
      </c>
      <c r="S124" s="8" t="s">
        <v>1091</v>
      </c>
      <c r="T124" s="8" t="s">
        <v>80</v>
      </c>
      <c r="U124" s="2" t="s">
        <v>81</v>
      </c>
      <c r="V124" s="2">
        <v>2024</v>
      </c>
      <c r="W124" s="16"/>
      <c r="X124" s="2">
        <v>2038</v>
      </c>
      <c r="Y124" s="16">
        <v>600</v>
      </c>
      <c r="Z124" s="16"/>
      <c r="AA124" s="2"/>
      <c r="AB124" s="16"/>
      <c r="AC124" s="2"/>
      <c r="AD124" s="2"/>
      <c r="AE124" s="16"/>
      <c r="AF124" s="16"/>
      <c r="AG124" s="16"/>
      <c r="AH124" s="16">
        <v>2.2000000000000002</v>
      </c>
      <c r="AI124" s="8" t="s">
        <v>83</v>
      </c>
      <c r="AJ124" s="2" t="s">
        <v>84</v>
      </c>
      <c r="AK124" s="2">
        <v>1</v>
      </c>
      <c r="AL124" s="8" t="s">
        <v>1092</v>
      </c>
      <c r="AM124" s="8" t="s">
        <v>1093</v>
      </c>
      <c r="AN124" s="2">
        <v>2027</v>
      </c>
      <c r="AO124" s="16">
        <v>4600</v>
      </c>
      <c r="AP124" s="2">
        <v>2030</v>
      </c>
      <c r="AQ124" s="16">
        <v>5993</v>
      </c>
      <c r="AR124" s="2" t="s">
        <v>86</v>
      </c>
      <c r="AS124" s="16">
        <v>12.9</v>
      </c>
      <c r="AT124" s="2">
        <v>2027</v>
      </c>
      <c r="AU124" s="16">
        <v>735</v>
      </c>
      <c r="AV124" s="2">
        <v>2030</v>
      </c>
      <c r="AW124" s="16">
        <v>824</v>
      </c>
      <c r="AX124" s="2" t="s">
        <v>86</v>
      </c>
      <c r="AY124" s="16">
        <v>3.18</v>
      </c>
      <c r="AZ124" s="2">
        <v>2027</v>
      </c>
      <c r="BA124" s="16"/>
      <c r="BB124" s="2">
        <v>2030</v>
      </c>
      <c r="BC124" s="16"/>
      <c r="BD124" s="2" t="s">
        <v>86</v>
      </c>
      <c r="BE124" s="16">
        <v>3</v>
      </c>
      <c r="BF124" s="2">
        <v>2027</v>
      </c>
      <c r="BG124" s="16">
        <v>17</v>
      </c>
      <c r="BH124" s="2">
        <v>2030</v>
      </c>
      <c r="BI124" s="16">
        <v>17</v>
      </c>
      <c r="BJ124" s="2" t="s">
        <v>87</v>
      </c>
      <c r="BK124" s="8"/>
      <c r="BL124" s="8" t="str">
        <f>HYPERLINK("https://seichotoushi-hojo.jp/assets/pdf/koufu/outline_63.pdf","PDFを開く")</f>
        <v>PDFを開く</v>
      </c>
      <c r="BM124" s="8" t="s">
        <v>1094</v>
      </c>
      <c r="BN124" s="8" t="s">
        <v>1095</v>
      </c>
      <c r="BO124" s="8" t="s">
        <v>113</v>
      </c>
      <c r="BP124" s="8" t="s">
        <v>90</v>
      </c>
      <c r="BQ124" s="8" t="s">
        <v>91</v>
      </c>
      <c r="BR124" s="8" t="s">
        <v>92</v>
      </c>
    </row>
    <row r="125" spans="1:70" ht="45.95" customHeight="1">
      <c r="A125" s="5" t="s">
        <v>1096</v>
      </c>
      <c r="B125" s="5" t="s">
        <v>73</v>
      </c>
      <c r="C125" s="5" t="s">
        <v>1097</v>
      </c>
      <c r="D125" s="5" t="s">
        <v>1097</v>
      </c>
      <c r="E125" s="5" t="s">
        <v>116</v>
      </c>
      <c r="F125" s="5"/>
      <c r="G125" s="5">
        <v>2</v>
      </c>
      <c r="H125" s="5">
        <v>0</v>
      </c>
      <c r="I125" s="5">
        <v>1</v>
      </c>
      <c r="J125" s="5">
        <v>1</v>
      </c>
      <c r="K125" s="5">
        <v>0</v>
      </c>
      <c r="L125" s="17">
        <v>2200</v>
      </c>
      <c r="M125" s="17">
        <v>660</v>
      </c>
      <c r="N125" s="9" t="s">
        <v>1098</v>
      </c>
      <c r="O125" s="13">
        <f t="shared" si="1"/>
        <v>30</v>
      </c>
      <c r="P125" s="5">
        <v>2</v>
      </c>
      <c r="Q125" s="5" t="s">
        <v>77</v>
      </c>
      <c r="R125" s="9" t="s">
        <v>1099</v>
      </c>
      <c r="S125" s="9" t="s">
        <v>1100</v>
      </c>
      <c r="T125" s="9" t="s">
        <v>80</v>
      </c>
      <c r="U125" s="5" t="s">
        <v>81</v>
      </c>
      <c r="V125" s="5">
        <v>2023</v>
      </c>
      <c r="W125" s="17"/>
      <c r="X125" s="5">
        <v>2028</v>
      </c>
      <c r="Y125" s="17"/>
      <c r="Z125" s="17">
        <v>97</v>
      </c>
      <c r="AA125" s="5">
        <v>2028</v>
      </c>
      <c r="AB125" s="17">
        <v>50</v>
      </c>
      <c r="AC125" s="5">
        <v>2028</v>
      </c>
      <c r="AD125" s="5" t="s">
        <v>82</v>
      </c>
      <c r="AE125" s="17"/>
      <c r="AF125" s="17"/>
      <c r="AG125" s="17"/>
      <c r="AH125" s="17"/>
      <c r="AI125" s="9" t="s">
        <v>83</v>
      </c>
      <c r="AJ125" s="5" t="s">
        <v>84</v>
      </c>
      <c r="AK125" s="5">
        <v>1</v>
      </c>
      <c r="AL125" s="9" t="s">
        <v>1101</v>
      </c>
      <c r="AM125" s="9"/>
      <c r="AN125" s="5">
        <v>2025</v>
      </c>
      <c r="AO125" s="17">
        <v>1745</v>
      </c>
      <c r="AP125" s="5">
        <v>2028</v>
      </c>
      <c r="AQ125" s="17">
        <v>2587</v>
      </c>
      <c r="AR125" s="5" t="s">
        <v>86</v>
      </c>
      <c r="AS125" s="17">
        <v>14.1</v>
      </c>
      <c r="AT125" s="5">
        <v>2025</v>
      </c>
      <c r="AU125" s="17">
        <v>486</v>
      </c>
      <c r="AV125" s="5">
        <v>2028</v>
      </c>
      <c r="AW125" s="17">
        <v>531</v>
      </c>
      <c r="AX125" s="5" t="s">
        <v>86</v>
      </c>
      <c r="AY125" s="17">
        <v>3</v>
      </c>
      <c r="AZ125" s="5">
        <v>2025</v>
      </c>
      <c r="BA125" s="17"/>
      <c r="BB125" s="5">
        <v>2028</v>
      </c>
      <c r="BC125" s="17"/>
      <c r="BD125" s="5" t="s">
        <v>86</v>
      </c>
      <c r="BE125" s="17">
        <v>3</v>
      </c>
      <c r="BF125" s="5">
        <v>2025</v>
      </c>
      <c r="BG125" s="17">
        <v>164</v>
      </c>
      <c r="BH125" s="5">
        <v>2028</v>
      </c>
      <c r="BI125" s="17">
        <v>178</v>
      </c>
      <c r="BJ125" s="5" t="s">
        <v>87</v>
      </c>
      <c r="BK125" s="9"/>
      <c r="BL125" s="9" t="str">
        <f>HYPERLINK("https://seichotoushi-hojo.jp/assets/pdf/koufu/outline_65.pdf","PDFを開く")</f>
        <v>PDFを開く</v>
      </c>
      <c r="BM125" s="9" t="s">
        <v>1102</v>
      </c>
      <c r="BN125" s="9" t="s">
        <v>1103</v>
      </c>
      <c r="BO125" s="9" t="s">
        <v>90</v>
      </c>
      <c r="BP125" s="9" t="s">
        <v>90</v>
      </c>
      <c r="BQ125" s="9" t="s">
        <v>91</v>
      </c>
      <c r="BR125" s="9" t="s">
        <v>92</v>
      </c>
    </row>
    <row r="126" spans="1:70" ht="45.95" customHeight="1">
      <c r="A126" s="2" t="s">
        <v>1104</v>
      </c>
      <c r="B126" s="2" t="s">
        <v>73</v>
      </c>
      <c r="C126" s="2" t="s">
        <v>1105</v>
      </c>
      <c r="D126" s="2" t="s">
        <v>1105</v>
      </c>
      <c r="E126" s="2" t="s">
        <v>95</v>
      </c>
      <c r="F126" s="2"/>
      <c r="G126" s="2">
        <v>2</v>
      </c>
      <c r="H126" s="2">
        <v>0</v>
      </c>
      <c r="I126" s="2">
        <v>1</v>
      </c>
      <c r="J126" s="2">
        <v>1</v>
      </c>
      <c r="K126" s="2">
        <v>0</v>
      </c>
      <c r="L126" s="16">
        <v>2100</v>
      </c>
      <c r="M126" s="16">
        <v>660</v>
      </c>
      <c r="N126" s="8" t="s">
        <v>1106</v>
      </c>
      <c r="O126" s="12">
        <f t="shared" si="1"/>
        <v>31.428571428571427</v>
      </c>
      <c r="P126" s="2">
        <v>2</v>
      </c>
      <c r="Q126" s="2" t="s">
        <v>77</v>
      </c>
      <c r="R126" s="8" t="s">
        <v>1107</v>
      </c>
      <c r="S126" s="8" t="s">
        <v>1108</v>
      </c>
      <c r="T126" s="8" t="s">
        <v>80</v>
      </c>
      <c r="U126" s="2" t="s">
        <v>81</v>
      </c>
      <c r="V126" s="2">
        <v>2024</v>
      </c>
      <c r="W126" s="16">
        <v>30</v>
      </c>
      <c r="X126" s="2">
        <v>2030</v>
      </c>
      <c r="Y126" s="16">
        <v>130</v>
      </c>
      <c r="Z126" s="16"/>
      <c r="AA126" s="2"/>
      <c r="AB126" s="16">
        <v>7.7</v>
      </c>
      <c r="AC126" s="2">
        <v>2030</v>
      </c>
      <c r="AD126" s="2" t="s">
        <v>82</v>
      </c>
      <c r="AE126" s="16"/>
      <c r="AF126" s="16"/>
      <c r="AG126" s="16">
        <v>27.684157807572831</v>
      </c>
      <c r="AH126" s="16"/>
      <c r="AI126" s="8" t="s">
        <v>418</v>
      </c>
      <c r="AJ126" s="2" t="s">
        <v>84</v>
      </c>
      <c r="AK126" s="2">
        <v>1</v>
      </c>
      <c r="AL126" s="8" t="s">
        <v>1109</v>
      </c>
      <c r="AM126" s="8" t="s">
        <v>1110</v>
      </c>
      <c r="AN126" s="2">
        <v>2026</v>
      </c>
      <c r="AO126" s="16">
        <v>1130</v>
      </c>
      <c r="AP126" s="2">
        <v>2029</v>
      </c>
      <c r="AQ126" s="16">
        <v>2606</v>
      </c>
      <c r="AR126" s="2" t="s">
        <v>86</v>
      </c>
      <c r="AS126" s="16">
        <v>32.1</v>
      </c>
      <c r="AT126" s="2">
        <v>2026</v>
      </c>
      <c r="AU126" s="16">
        <v>477</v>
      </c>
      <c r="AV126" s="2">
        <v>2029</v>
      </c>
      <c r="AW126" s="16">
        <v>529</v>
      </c>
      <c r="AX126" s="2" t="s">
        <v>86</v>
      </c>
      <c r="AY126" s="16">
        <v>3.5</v>
      </c>
      <c r="AZ126" s="2">
        <v>2026</v>
      </c>
      <c r="BA126" s="16"/>
      <c r="BB126" s="2">
        <v>2029</v>
      </c>
      <c r="BC126" s="16"/>
      <c r="BD126" s="2" t="s">
        <v>86</v>
      </c>
      <c r="BE126" s="16">
        <v>3.5</v>
      </c>
      <c r="BF126" s="2">
        <v>2026</v>
      </c>
      <c r="BG126" s="16">
        <v>16</v>
      </c>
      <c r="BH126" s="2">
        <v>2029</v>
      </c>
      <c r="BI126" s="16">
        <v>38</v>
      </c>
      <c r="BJ126" s="2" t="s">
        <v>87</v>
      </c>
      <c r="BK126" s="8"/>
      <c r="BL126" s="8" t="str">
        <f>HYPERLINK("https://seichotoushi-hojo.jp/assets/pdf/koufu/outline_66.pdf","PDFを開く")</f>
        <v>PDFを開く</v>
      </c>
      <c r="BM126" s="8" t="s">
        <v>1111</v>
      </c>
      <c r="BN126" s="8" t="s">
        <v>1112</v>
      </c>
      <c r="BO126" s="8" t="s">
        <v>90</v>
      </c>
      <c r="BP126" s="8" t="s">
        <v>90</v>
      </c>
      <c r="BQ126" s="8" t="s">
        <v>91</v>
      </c>
      <c r="BR126" s="8" t="s">
        <v>92</v>
      </c>
    </row>
    <row r="127" spans="1:70" ht="45.95" customHeight="1">
      <c r="A127" s="5" t="s">
        <v>1113</v>
      </c>
      <c r="B127" s="5" t="s">
        <v>73</v>
      </c>
      <c r="C127" s="5" t="s">
        <v>1114</v>
      </c>
      <c r="D127" s="5" t="s">
        <v>1114</v>
      </c>
      <c r="E127" s="5" t="s">
        <v>75</v>
      </c>
      <c r="F127" s="5"/>
      <c r="G127" s="5">
        <v>2</v>
      </c>
      <c r="H127" s="5">
        <v>0</v>
      </c>
      <c r="I127" s="5">
        <v>1</v>
      </c>
      <c r="J127" s="5">
        <v>1</v>
      </c>
      <c r="K127" s="5">
        <v>0</v>
      </c>
      <c r="L127" s="17">
        <v>3200</v>
      </c>
      <c r="M127" s="17">
        <v>890</v>
      </c>
      <c r="N127" s="9" t="s">
        <v>1115</v>
      </c>
      <c r="O127" s="13">
        <f t="shared" si="1"/>
        <v>27.8125</v>
      </c>
      <c r="P127" s="5">
        <v>2</v>
      </c>
      <c r="Q127" s="5" t="s">
        <v>77</v>
      </c>
      <c r="R127" s="9" t="s">
        <v>1115</v>
      </c>
      <c r="S127" s="9" t="s">
        <v>1116</v>
      </c>
      <c r="T127" s="9" t="s">
        <v>80</v>
      </c>
      <c r="U127" s="5" t="s">
        <v>81</v>
      </c>
      <c r="V127" s="5"/>
      <c r="W127" s="17"/>
      <c r="X127" s="5">
        <v>2032</v>
      </c>
      <c r="Y127" s="17"/>
      <c r="Z127" s="17"/>
      <c r="AA127" s="5"/>
      <c r="AB127" s="17">
        <v>130</v>
      </c>
      <c r="AC127" s="5">
        <v>2032</v>
      </c>
      <c r="AD127" s="5" t="s">
        <v>82</v>
      </c>
      <c r="AE127" s="17"/>
      <c r="AF127" s="17"/>
      <c r="AG127" s="17"/>
      <c r="AH127" s="17"/>
      <c r="AI127" s="9" t="s">
        <v>83</v>
      </c>
      <c r="AJ127" s="5" t="s">
        <v>84</v>
      </c>
      <c r="AK127" s="5">
        <v>1</v>
      </c>
      <c r="AL127" s="9" t="s">
        <v>1117</v>
      </c>
      <c r="AM127" s="9"/>
      <c r="AN127" s="5">
        <v>2025</v>
      </c>
      <c r="AO127" s="17">
        <v>2917.9</v>
      </c>
      <c r="AP127" s="5">
        <v>2028</v>
      </c>
      <c r="AQ127" s="17">
        <v>3469.6</v>
      </c>
      <c r="AR127" s="5" t="s">
        <v>86</v>
      </c>
      <c r="AS127" s="17">
        <v>5.9</v>
      </c>
      <c r="AT127" s="5">
        <v>2025</v>
      </c>
      <c r="AU127" s="17">
        <v>613.70000000000005</v>
      </c>
      <c r="AV127" s="5">
        <v>2028</v>
      </c>
      <c r="AW127" s="17">
        <v>700.3</v>
      </c>
      <c r="AX127" s="5" t="s">
        <v>86</v>
      </c>
      <c r="AY127" s="17">
        <v>4.5</v>
      </c>
      <c r="AZ127" s="5"/>
      <c r="BA127" s="17"/>
      <c r="BB127" s="5"/>
      <c r="BC127" s="17"/>
      <c r="BD127" s="5"/>
      <c r="BE127" s="17"/>
      <c r="BF127" s="5">
        <v>2025</v>
      </c>
      <c r="BG127" s="17">
        <v>285</v>
      </c>
      <c r="BH127" s="5">
        <v>2028</v>
      </c>
      <c r="BI127" s="17">
        <v>325</v>
      </c>
      <c r="BJ127" s="5" t="s">
        <v>87</v>
      </c>
      <c r="BK127" s="9"/>
      <c r="BL127" s="9" t="str">
        <f>HYPERLINK("https://seichotoushi-hojo.jp/assets/pdf/koufu/outline_67.pdf","PDFを開く")</f>
        <v>PDFを開く</v>
      </c>
      <c r="BM127" s="9" t="s">
        <v>1118</v>
      </c>
      <c r="BN127" s="9" t="s">
        <v>1119</v>
      </c>
      <c r="BO127" s="9" t="s">
        <v>90</v>
      </c>
      <c r="BP127" s="9" t="s">
        <v>90</v>
      </c>
      <c r="BQ127" s="9" t="s">
        <v>157</v>
      </c>
      <c r="BR127" s="9" t="s">
        <v>92</v>
      </c>
    </row>
    <row r="128" spans="1:70" ht="45.95" customHeight="1">
      <c r="A128" s="2" t="s">
        <v>1120</v>
      </c>
      <c r="B128" s="2" t="s">
        <v>73</v>
      </c>
      <c r="C128" s="2" t="s">
        <v>1121</v>
      </c>
      <c r="D128" s="2" t="s">
        <v>1121</v>
      </c>
      <c r="E128" s="2" t="s">
        <v>116</v>
      </c>
      <c r="F128" s="2"/>
      <c r="G128" s="2">
        <v>2</v>
      </c>
      <c r="H128" s="2">
        <v>0</v>
      </c>
      <c r="I128" s="2">
        <v>1</v>
      </c>
      <c r="J128" s="2">
        <v>1</v>
      </c>
      <c r="K128" s="2">
        <v>0</v>
      </c>
      <c r="L128" s="16">
        <v>1600</v>
      </c>
      <c r="M128" s="16">
        <v>420</v>
      </c>
      <c r="N128" s="8" t="s">
        <v>1122</v>
      </c>
      <c r="O128" s="12">
        <f t="shared" si="1"/>
        <v>26.25</v>
      </c>
      <c r="P128" s="2">
        <v>2</v>
      </c>
      <c r="Q128" s="2" t="s">
        <v>77</v>
      </c>
      <c r="R128" s="8" t="s">
        <v>1122</v>
      </c>
      <c r="S128" s="8" t="s">
        <v>1123</v>
      </c>
      <c r="T128" s="8" t="s">
        <v>80</v>
      </c>
      <c r="U128" s="2" t="s">
        <v>81</v>
      </c>
      <c r="V128" s="2"/>
      <c r="W128" s="16"/>
      <c r="X128" s="2">
        <v>2028</v>
      </c>
      <c r="Y128" s="16"/>
      <c r="Z128" s="16">
        <v>508</v>
      </c>
      <c r="AA128" s="2">
        <v>2028</v>
      </c>
      <c r="AB128" s="16">
        <v>172</v>
      </c>
      <c r="AC128" s="2">
        <v>2028</v>
      </c>
      <c r="AD128" s="2" t="s">
        <v>82</v>
      </c>
      <c r="AE128" s="16"/>
      <c r="AF128" s="16"/>
      <c r="AG128" s="16"/>
      <c r="AH128" s="16"/>
      <c r="AI128" s="8" t="s">
        <v>83</v>
      </c>
      <c r="AJ128" s="2" t="s">
        <v>84</v>
      </c>
      <c r="AK128" s="2">
        <v>1</v>
      </c>
      <c r="AL128" s="8" t="s">
        <v>1124</v>
      </c>
      <c r="AM128" s="8"/>
      <c r="AN128" s="2">
        <v>2025</v>
      </c>
      <c r="AO128" s="16">
        <v>1308</v>
      </c>
      <c r="AP128" s="2">
        <v>2028</v>
      </c>
      <c r="AQ128" s="16">
        <v>1423</v>
      </c>
      <c r="AR128" s="2" t="s">
        <v>86</v>
      </c>
      <c r="AS128" s="16">
        <v>2.9</v>
      </c>
      <c r="AT128" s="2">
        <v>2025</v>
      </c>
      <c r="AU128" s="16">
        <v>669.3</v>
      </c>
      <c r="AV128" s="2">
        <v>2028</v>
      </c>
      <c r="AW128" s="16">
        <v>731.5</v>
      </c>
      <c r="AX128" s="2" t="s">
        <v>86</v>
      </c>
      <c r="AY128" s="16">
        <v>3.01</v>
      </c>
      <c r="AZ128" s="2">
        <v>2025</v>
      </c>
      <c r="BA128" s="16"/>
      <c r="BB128" s="2">
        <v>2028</v>
      </c>
      <c r="BC128" s="16"/>
      <c r="BD128" s="2" t="s">
        <v>86</v>
      </c>
      <c r="BE128" s="16">
        <v>5</v>
      </c>
      <c r="BF128" s="2">
        <v>2025</v>
      </c>
      <c r="BG128" s="16">
        <v>978</v>
      </c>
      <c r="BH128" s="2">
        <v>2028</v>
      </c>
      <c r="BI128" s="16">
        <v>1129</v>
      </c>
      <c r="BJ128" s="2" t="s">
        <v>87</v>
      </c>
      <c r="BK128" s="8"/>
      <c r="BL128" s="8" t="str">
        <f>HYPERLINK("https://seichotoushi-hojo.jp/assets/pdf/koufu/outline_68.pdf","PDFを開く")</f>
        <v>PDFを開く</v>
      </c>
      <c r="BM128" s="8" t="s">
        <v>1125</v>
      </c>
      <c r="BN128" s="8" t="s">
        <v>1126</v>
      </c>
      <c r="BO128" s="8" t="s">
        <v>90</v>
      </c>
      <c r="BP128" s="8" t="s">
        <v>90</v>
      </c>
      <c r="BQ128" s="8" t="s">
        <v>91</v>
      </c>
      <c r="BR128" s="8" t="s">
        <v>92</v>
      </c>
    </row>
    <row r="129" spans="1:70" ht="45.95" customHeight="1">
      <c r="A129" s="5" t="s">
        <v>1127</v>
      </c>
      <c r="B129" s="5" t="s">
        <v>73</v>
      </c>
      <c r="C129" s="5" t="s">
        <v>1128</v>
      </c>
      <c r="D129" s="5" t="s">
        <v>1128</v>
      </c>
      <c r="E129" s="5" t="s">
        <v>95</v>
      </c>
      <c r="F129" s="5"/>
      <c r="G129" s="5">
        <v>2</v>
      </c>
      <c r="H129" s="5">
        <v>0</v>
      </c>
      <c r="I129" s="5">
        <v>1</v>
      </c>
      <c r="J129" s="5">
        <v>1</v>
      </c>
      <c r="K129" s="5">
        <v>0</v>
      </c>
      <c r="L129" s="17">
        <v>1400</v>
      </c>
      <c r="M129" s="17">
        <v>470</v>
      </c>
      <c r="N129" s="9" t="s">
        <v>1129</v>
      </c>
      <c r="O129" s="13">
        <f t="shared" si="1"/>
        <v>33.571428571428569</v>
      </c>
      <c r="P129" s="5">
        <v>2</v>
      </c>
      <c r="Q129" s="5" t="s">
        <v>77</v>
      </c>
      <c r="R129" s="9" t="s">
        <v>1129</v>
      </c>
      <c r="S129" s="9" t="s">
        <v>1130</v>
      </c>
      <c r="T129" s="9" t="s">
        <v>80</v>
      </c>
      <c r="U129" s="5" t="s">
        <v>81</v>
      </c>
      <c r="V129" s="5">
        <v>2023</v>
      </c>
      <c r="W129" s="17">
        <v>100</v>
      </c>
      <c r="X129" s="5">
        <v>2030</v>
      </c>
      <c r="Y129" s="17">
        <v>102</v>
      </c>
      <c r="Z129" s="17">
        <v>3.5</v>
      </c>
      <c r="AA129" s="5">
        <v>2030</v>
      </c>
      <c r="AB129" s="17">
        <v>200</v>
      </c>
      <c r="AC129" s="5">
        <v>2030</v>
      </c>
      <c r="AD129" s="5" t="s">
        <v>82</v>
      </c>
      <c r="AE129" s="17"/>
      <c r="AF129" s="17"/>
      <c r="AG129" s="17">
        <v>0.28329520024581445</v>
      </c>
      <c r="AH129" s="17"/>
      <c r="AI129" s="9" t="s">
        <v>200</v>
      </c>
      <c r="AJ129" s="5" t="s">
        <v>84</v>
      </c>
      <c r="AK129" s="5">
        <v>1</v>
      </c>
      <c r="AL129" s="9" t="s">
        <v>1131</v>
      </c>
      <c r="AM129" s="9" t="s">
        <v>1132</v>
      </c>
      <c r="AN129" s="5">
        <v>2026</v>
      </c>
      <c r="AO129" s="17">
        <v>10001</v>
      </c>
      <c r="AP129" s="5">
        <v>2029</v>
      </c>
      <c r="AQ129" s="17">
        <v>11690</v>
      </c>
      <c r="AR129" s="5" t="s">
        <v>86</v>
      </c>
      <c r="AS129" s="17">
        <v>5.3</v>
      </c>
      <c r="AT129" s="5">
        <v>2026</v>
      </c>
      <c r="AU129" s="17">
        <v>6892</v>
      </c>
      <c r="AV129" s="5">
        <v>2029</v>
      </c>
      <c r="AW129" s="17">
        <v>7980</v>
      </c>
      <c r="AX129" s="5" t="s">
        <v>86</v>
      </c>
      <c r="AY129" s="17">
        <v>5.01</v>
      </c>
      <c r="AZ129" s="5">
        <v>2026</v>
      </c>
      <c r="BA129" s="17"/>
      <c r="BB129" s="5">
        <v>2029</v>
      </c>
      <c r="BC129" s="17"/>
      <c r="BD129" s="5" t="s">
        <v>86</v>
      </c>
      <c r="BE129" s="17">
        <v>5</v>
      </c>
      <c r="BF129" s="5">
        <v>2026</v>
      </c>
      <c r="BG129" s="17">
        <v>209</v>
      </c>
      <c r="BH129" s="5">
        <v>2029</v>
      </c>
      <c r="BI129" s="17">
        <v>227</v>
      </c>
      <c r="BJ129" s="5" t="s">
        <v>87</v>
      </c>
      <c r="BK129" s="9"/>
      <c r="BL129" s="9" t="str">
        <f>HYPERLINK("https://seichotoushi-hojo.jp/assets/pdf/koufu/outline_69.pdf","PDFを開く")</f>
        <v>PDFを開く</v>
      </c>
      <c r="BM129" s="9" t="s">
        <v>1133</v>
      </c>
      <c r="BN129" s="9" t="s">
        <v>1134</v>
      </c>
      <c r="BO129" s="9" t="s">
        <v>90</v>
      </c>
      <c r="BP129" s="9" t="s">
        <v>90</v>
      </c>
      <c r="BQ129" s="9" t="s">
        <v>91</v>
      </c>
      <c r="BR129" s="9" t="s">
        <v>92</v>
      </c>
    </row>
    <row r="130" spans="1:70" ht="45.95" customHeight="1">
      <c r="A130" s="2" t="s">
        <v>1135</v>
      </c>
      <c r="B130" s="2" t="s">
        <v>73</v>
      </c>
      <c r="C130" s="2" t="s">
        <v>1136</v>
      </c>
      <c r="D130" s="2" t="s">
        <v>1137</v>
      </c>
      <c r="E130" s="2" t="s">
        <v>95</v>
      </c>
      <c r="F130" s="2"/>
      <c r="G130" s="2">
        <v>2</v>
      </c>
      <c r="H130" s="2">
        <v>0</v>
      </c>
      <c r="I130" s="2">
        <v>1</v>
      </c>
      <c r="J130" s="2">
        <v>1</v>
      </c>
      <c r="K130" s="2">
        <v>0</v>
      </c>
      <c r="L130" s="16">
        <v>12700</v>
      </c>
      <c r="M130" s="16">
        <v>3500</v>
      </c>
      <c r="N130" s="8" t="s">
        <v>1138</v>
      </c>
      <c r="O130" s="12">
        <f t="shared" si="1"/>
        <v>27.559055118110237</v>
      </c>
      <c r="P130" s="2">
        <v>2</v>
      </c>
      <c r="Q130" s="2" t="s">
        <v>77</v>
      </c>
      <c r="R130" s="8" t="s">
        <v>1139</v>
      </c>
      <c r="S130" s="8" t="s">
        <v>1140</v>
      </c>
      <c r="T130" s="8" t="s">
        <v>80</v>
      </c>
      <c r="U130" s="2" t="s">
        <v>81</v>
      </c>
      <c r="V130" s="2"/>
      <c r="W130" s="16"/>
      <c r="X130" s="2">
        <v>2026</v>
      </c>
      <c r="Y130" s="16">
        <v>1000</v>
      </c>
      <c r="Z130" s="16"/>
      <c r="AA130" s="2"/>
      <c r="AB130" s="16"/>
      <c r="AC130" s="2"/>
      <c r="AD130" s="2"/>
      <c r="AE130" s="16"/>
      <c r="AF130" s="16"/>
      <c r="AG130" s="16"/>
      <c r="AH130" s="16"/>
      <c r="AI130" s="8" t="s">
        <v>1141</v>
      </c>
      <c r="AJ130" s="2" t="s">
        <v>292</v>
      </c>
      <c r="AK130" s="2">
        <v>1</v>
      </c>
      <c r="AL130" s="8" t="s">
        <v>1142</v>
      </c>
      <c r="AM130" s="8" t="s">
        <v>1143</v>
      </c>
      <c r="AN130" s="2">
        <v>2026</v>
      </c>
      <c r="AO130" s="16">
        <v>4373</v>
      </c>
      <c r="AP130" s="2">
        <v>2029</v>
      </c>
      <c r="AQ130" s="16">
        <v>5649</v>
      </c>
      <c r="AR130" s="2" t="s">
        <v>86</v>
      </c>
      <c r="AS130" s="16">
        <v>8.91</v>
      </c>
      <c r="AT130" s="2">
        <v>2026</v>
      </c>
      <c r="AU130" s="16">
        <v>655</v>
      </c>
      <c r="AV130" s="2">
        <v>2029</v>
      </c>
      <c r="AW130" s="16">
        <v>734</v>
      </c>
      <c r="AX130" s="2" t="s">
        <v>86</v>
      </c>
      <c r="AY130" s="16">
        <v>3.87</v>
      </c>
      <c r="AZ130" s="2"/>
      <c r="BA130" s="16"/>
      <c r="BB130" s="2"/>
      <c r="BC130" s="16"/>
      <c r="BD130" s="2"/>
      <c r="BE130" s="16"/>
      <c r="BF130" s="2">
        <v>2026</v>
      </c>
      <c r="BG130" s="16">
        <v>228</v>
      </c>
      <c r="BH130" s="2">
        <v>2029</v>
      </c>
      <c r="BI130" s="16">
        <v>291</v>
      </c>
      <c r="BJ130" s="2" t="s">
        <v>87</v>
      </c>
      <c r="BK130" s="8"/>
      <c r="BL130" s="8" t="str">
        <f>HYPERLINK("https://seichotoushi-hojo.jp/assets/pdf/koufu/outline_7.pdf","PDFを開く")</f>
        <v>PDFを開く</v>
      </c>
      <c r="BM130" s="8" t="s">
        <v>1144</v>
      </c>
      <c r="BN130" s="8" t="s">
        <v>1145</v>
      </c>
      <c r="BO130" s="8" t="s">
        <v>90</v>
      </c>
      <c r="BP130" s="8" t="s">
        <v>90</v>
      </c>
      <c r="BQ130" s="8" t="s">
        <v>156</v>
      </c>
      <c r="BR130" s="8" t="s">
        <v>92</v>
      </c>
    </row>
    <row r="131" spans="1:70" ht="45.95" customHeight="1">
      <c r="A131" s="5" t="s">
        <v>1146</v>
      </c>
      <c r="B131" s="5" t="s">
        <v>73</v>
      </c>
      <c r="C131" s="5" t="s">
        <v>1147</v>
      </c>
      <c r="D131" s="5" t="s">
        <v>1147</v>
      </c>
      <c r="E131" s="5" t="s">
        <v>75</v>
      </c>
      <c r="F131" s="5"/>
      <c r="G131" s="5">
        <v>2</v>
      </c>
      <c r="H131" s="5">
        <v>0</v>
      </c>
      <c r="I131" s="5">
        <v>1</v>
      </c>
      <c r="J131" s="5">
        <v>1</v>
      </c>
      <c r="K131" s="5">
        <v>0</v>
      </c>
      <c r="L131" s="17">
        <v>2200</v>
      </c>
      <c r="M131" s="17">
        <v>730</v>
      </c>
      <c r="N131" s="9" t="s">
        <v>647</v>
      </c>
      <c r="O131" s="13">
        <f t="shared" si="1"/>
        <v>33.181818181818187</v>
      </c>
      <c r="P131" s="5">
        <v>2</v>
      </c>
      <c r="Q131" s="5" t="s">
        <v>77</v>
      </c>
      <c r="R131" s="9" t="s">
        <v>1148</v>
      </c>
      <c r="S131" s="9" t="s">
        <v>1149</v>
      </c>
      <c r="T131" s="9" t="s">
        <v>80</v>
      </c>
      <c r="U131" s="5" t="s">
        <v>81</v>
      </c>
      <c r="V131" s="5"/>
      <c r="W131" s="17"/>
      <c r="X131" s="5">
        <v>2030</v>
      </c>
      <c r="Y131" s="17">
        <v>75</v>
      </c>
      <c r="Z131" s="17">
        <v>25</v>
      </c>
      <c r="AA131" s="5">
        <v>2030</v>
      </c>
      <c r="AB131" s="17">
        <v>6</v>
      </c>
      <c r="AC131" s="5">
        <v>2030</v>
      </c>
      <c r="AD131" s="5" t="s">
        <v>82</v>
      </c>
      <c r="AE131" s="17"/>
      <c r="AF131" s="17"/>
      <c r="AG131" s="17"/>
      <c r="AH131" s="17"/>
      <c r="AI131" s="9" t="s">
        <v>83</v>
      </c>
      <c r="AJ131" s="5" t="s">
        <v>84</v>
      </c>
      <c r="AK131" s="5">
        <v>1</v>
      </c>
      <c r="AL131" s="9" t="s">
        <v>1150</v>
      </c>
      <c r="AM131" s="9" t="s">
        <v>1151</v>
      </c>
      <c r="AN131" s="5">
        <v>2025</v>
      </c>
      <c r="AO131" s="17">
        <v>921.2</v>
      </c>
      <c r="AP131" s="5">
        <v>2028</v>
      </c>
      <c r="AQ131" s="17">
        <v>1229.5</v>
      </c>
      <c r="AR131" s="5" t="s">
        <v>86</v>
      </c>
      <c r="AS131" s="17">
        <v>10</v>
      </c>
      <c r="AT131" s="5">
        <v>2025</v>
      </c>
      <c r="AU131" s="17">
        <v>477.4</v>
      </c>
      <c r="AV131" s="5">
        <v>2028</v>
      </c>
      <c r="AW131" s="17">
        <v>552.70000000000005</v>
      </c>
      <c r="AX131" s="5" t="s">
        <v>86</v>
      </c>
      <c r="AY131" s="17">
        <v>5</v>
      </c>
      <c r="AZ131" s="5">
        <v>2025</v>
      </c>
      <c r="BA131" s="17"/>
      <c r="BB131" s="5">
        <v>2028</v>
      </c>
      <c r="BC131" s="17"/>
      <c r="BD131" s="5" t="s">
        <v>86</v>
      </c>
      <c r="BE131" s="17">
        <v>4</v>
      </c>
      <c r="BF131" s="5">
        <v>2025</v>
      </c>
      <c r="BG131" s="17">
        <v>123</v>
      </c>
      <c r="BH131" s="5">
        <v>2028</v>
      </c>
      <c r="BI131" s="17">
        <v>130</v>
      </c>
      <c r="BJ131" s="5" t="s">
        <v>87</v>
      </c>
      <c r="BK131" s="9"/>
      <c r="BL131" s="9" t="str">
        <f>HYPERLINK("https://seichotoushi-hojo.jp/assets/pdf/koufu/outline_70.pdf","PDFを開く")</f>
        <v>PDFを開く</v>
      </c>
      <c r="BM131" s="9" t="s">
        <v>1152</v>
      </c>
      <c r="BN131" s="9" t="s">
        <v>1153</v>
      </c>
      <c r="BO131" s="9" t="s">
        <v>90</v>
      </c>
      <c r="BP131" s="9" t="s">
        <v>90</v>
      </c>
      <c r="BQ131" s="9" t="s">
        <v>91</v>
      </c>
      <c r="BR131" s="9" t="s">
        <v>92</v>
      </c>
    </row>
    <row r="132" spans="1:70" ht="45.95" customHeight="1">
      <c r="A132" s="2" t="s">
        <v>1154</v>
      </c>
      <c r="B132" s="2" t="s">
        <v>73</v>
      </c>
      <c r="C132" s="2" t="s">
        <v>1155</v>
      </c>
      <c r="D132" s="2" t="s">
        <v>1155</v>
      </c>
      <c r="E132" s="2" t="s">
        <v>107</v>
      </c>
      <c r="F132" s="2"/>
      <c r="G132" s="2">
        <v>2</v>
      </c>
      <c r="H132" s="2">
        <v>0</v>
      </c>
      <c r="I132" s="2">
        <v>1</v>
      </c>
      <c r="J132" s="2">
        <v>1</v>
      </c>
      <c r="K132" s="2">
        <v>0</v>
      </c>
      <c r="L132" s="16">
        <v>2900</v>
      </c>
      <c r="M132" s="16">
        <v>870</v>
      </c>
      <c r="N132" s="8" t="s">
        <v>1156</v>
      </c>
      <c r="O132" s="12">
        <f t="shared" si="1"/>
        <v>30</v>
      </c>
      <c r="P132" s="2">
        <v>2</v>
      </c>
      <c r="Q132" s="2" t="s">
        <v>77</v>
      </c>
      <c r="R132" s="8" t="s">
        <v>1156</v>
      </c>
      <c r="S132" s="8" t="s">
        <v>1157</v>
      </c>
      <c r="T132" s="8" t="s">
        <v>80</v>
      </c>
      <c r="U132" s="2" t="s">
        <v>81</v>
      </c>
      <c r="V132" s="2"/>
      <c r="W132" s="16"/>
      <c r="X132" s="2">
        <v>2029</v>
      </c>
      <c r="Y132" s="16"/>
      <c r="Z132" s="16">
        <v>23.8</v>
      </c>
      <c r="AA132" s="2">
        <v>2029</v>
      </c>
      <c r="AB132" s="16">
        <v>51.1</v>
      </c>
      <c r="AC132" s="2">
        <v>2029</v>
      </c>
      <c r="AD132" s="2" t="s">
        <v>82</v>
      </c>
      <c r="AE132" s="16"/>
      <c r="AF132" s="16"/>
      <c r="AG132" s="16"/>
      <c r="AH132" s="16"/>
      <c r="AI132" s="8" t="s">
        <v>83</v>
      </c>
      <c r="AJ132" s="2" t="s">
        <v>84</v>
      </c>
      <c r="AK132" s="2">
        <v>1</v>
      </c>
      <c r="AL132" s="8" t="s">
        <v>1158</v>
      </c>
      <c r="AM132" s="8"/>
      <c r="AN132" s="2">
        <v>2026</v>
      </c>
      <c r="AO132" s="16">
        <v>764</v>
      </c>
      <c r="AP132" s="2">
        <v>2029</v>
      </c>
      <c r="AQ132" s="16">
        <v>1451</v>
      </c>
      <c r="AR132" s="2" t="s">
        <v>86</v>
      </c>
      <c r="AS132" s="16">
        <v>23.8</v>
      </c>
      <c r="AT132" s="2">
        <v>2026</v>
      </c>
      <c r="AU132" s="16">
        <v>510</v>
      </c>
      <c r="AV132" s="2">
        <v>2029</v>
      </c>
      <c r="AW132" s="16">
        <v>590</v>
      </c>
      <c r="AX132" s="2" t="s">
        <v>86</v>
      </c>
      <c r="AY132" s="16">
        <v>4.99</v>
      </c>
      <c r="AZ132" s="2">
        <v>2026</v>
      </c>
      <c r="BA132" s="16"/>
      <c r="BB132" s="2">
        <v>2029</v>
      </c>
      <c r="BC132" s="16"/>
      <c r="BD132" s="2" t="s">
        <v>86</v>
      </c>
      <c r="BE132" s="16">
        <v>5</v>
      </c>
      <c r="BF132" s="2">
        <v>2026</v>
      </c>
      <c r="BG132" s="16">
        <v>137</v>
      </c>
      <c r="BH132" s="2">
        <v>2029</v>
      </c>
      <c r="BI132" s="16">
        <v>144</v>
      </c>
      <c r="BJ132" s="2" t="s">
        <v>87</v>
      </c>
      <c r="BK132" s="8"/>
      <c r="BL132" s="8" t="str">
        <f>HYPERLINK("https://seichotoushi-hojo.jp/assets/pdf/koufu/outline_71.pdf","PDFを開く")</f>
        <v>PDFを開く</v>
      </c>
      <c r="BM132" s="8" t="s">
        <v>1159</v>
      </c>
      <c r="BN132" s="8" t="s">
        <v>1160</v>
      </c>
      <c r="BO132" s="8" t="s">
        <v>90</v>
      </c>
      <c r="BP132" s="8" t="s">
        <v>90</v>
      </c>
      <c r="BQ132" s="8" t="s">
        <v>91</v>
      </c>
      <c r="BR132" s="8" t="s">
        <v>92</v>
      </c>
    </row>
    <row r="133" spans="1:70" ht="45.95" customHeight="1">
      <c r="A133" s="5" t="s">
        <v>1161</v>
      </c>
      <c r="B133" s="5" t="s">
        <v>73</v>
      </c>
      <c r="C133" s="5" t="s">
        <v>1162</v>
      </c>
      <c r="D133" s="5" t="s">
        <v>1162</v>
      </c>
      <c r="E133" s="5" t="s">
        <v>95</v>
      </c>
      <c r="F133" s="5"/>
      <c r="G133" s="5">
        <v>2</v>
      </c>
      <c r="H133" s="5">
        <v>0</v>
      </c>
      <c r="I133" s="5">
        <v>1</v>
      </c>
      <c r="J133" s="5">
        <v>1</v>
      </c>
      <c r="K133" s="5">
        <v>0</v>
      </c>
      <c r="L133" s="17">
        <v>2900</v>
      </c>
      <c r="M133" s="17">
        <v>720</v>
      </c>
      <c r="N133" s="9" t="s">
        <v>1163</v>
      </c>
      <c r="O133" s="13">
        <f t="shared" ref="O133:O196" si="2">IFERROR(M133/L133*100,"")</f>
        <v>24.827586206896552</v>
      </c>
      <c r="P133" s="5">
        <v>2</v>
      </c>
      <c r="Q133" s="5" t="s">
        <v>77</v>
      </c>
      <c r="R133" s="9" t="s">
        <v>1163</v>
      </c>
      <c r="S133" s="9" t="s">
        <v>1164</v>
      </c>
      <c r="T133" s="9" t="s">
        <v>80</v>
      </c>
      <c r="U133" s="5" t="s">
        <v>81</v>
      </c>
      <c r="V133" s="5"/>
      <c r="W133" s="17"/>
      <c r="X133" s="5">
        <v>2028</v>
      </c>
      <c r="Y133" s="17">
        <v>380</v>
      </c>
      <c r="Z133" s="17">
        <v>98</v>
      </c>
      <c r="AA133" s="5">
        <v>2028</v>
      </c>
      <c r="AB133" s="17">
        <v>35</v>
      </c>
      <c r="AC133" s="5">
        <v>2028</v>
      </c>
      <c r="AD133" s="5" t="s">
        <v>82</v>
      </c>
      <c r="AE133" s="17"/>
      <c r="AF133" s="17"/>
      <c r="AG133" s="17"/>
      <c r="AH133" s="17"/>
      <c r="AI133" s="9" t="s">
        <v>83</v>
      </c>
      <c r="AJ133" s="5" t="s">
        <v>84</v>
      </c>
      <c r="AK133" s="5">
        <v>1</v>
      </c>
      <c r="AL133" s="9" t="s">
        <v>1165</v>
      </c>
      <c r="AM133" s="9" t="s">
        <v>1166</v>
      </c>
      <c r="AN133" s="5">
        <v>2025</v>
      </c>
      <c r="AO133" s="17">
        <v>858</v>
      </c>
      <c r="AP133" s="5">
        <v>2028</v>
      </c>
      <c r="AQ133" s="17">
        <v>991</v>
      </c>
      <c r="AR133" s="5" t="s">
        <v>86</v>
      </c>
      <c r="AS133" s="17">
        <v>9.9</v>
      </c>
      <c r="AT133" s="5">
        <v>2025</v>
      </c>
      <c r="AU133" s="17">
        <v>407</v>
      </c>
      <c r="AV133" s="5">
        <v>2028</v>
      </c>
      <c r="AW133" s="17">
        <v>465</v>
      </c>
      <c r="AX133" s="5" t="s">
        <v>86</v>
      </c>
      <c r="AY133" s="17">
        <v>4.5</v>
      </c>
      <c r="AZ133" s="5">
        <v>2025</v>
      </c>
      <c r="BA133" s="17">
        <v>0</v>
      </c>
      <c r="BB133" s="5">
        <v>2028</v>
      </c>
      <c r="BC133" s="17">
        <v>0</v>
      </c>
      <c r="BD133" s="5" t="s">
        <v>86</v>
      </c>
      <c r="BE133" s="17">
        <v>0</v>
      </c>
      <c r="BF133" s="5">
        <v>2025</v>
      </c>
      <c r="BG133" s="17">
        <v>57</v>
      </c>
      <c r="BH133" s="5">
        <v>2028</v>
      </c>
      <c r="BI133" s="17">
        <v>153</v>
      </c>
      <c r="BJ133" s="5" t="s">
        <v>87</v>
      </c>
      <c r="BK133" s="9"/>
      <c r="BL133" s="9" t="str">
        <f>HYPERLINK("https://seichotoushi-hojo.jp/assets/pdf/koufu/outline_72.pdf","PDFを開く")</f>
        <v>PDFを開く</v>
      </c>
      <c r="BM133" s="9" t="s">
        <v>1167</v>
      </c>
      <c r="BN133" s="9" t="s">
        <v>1168</v>
      </c>
      <c r="BO133" s="9" t="s">
        <v>113</v>
      </c>
      <c r="BP133" s="9" t="s">
        <v>90</v>
      </c>
      <c r="BQ133" s="9" t="s">
        <v>92</v>
      </c>
      <c r="BR133" s="9" t="s">
        <v>92</v>
      </c>
    </row>
    <row r="134" spans="1:70" ht="45.95" customHeight="1">
      <c r="A134" s="2" t="s">
        <v>1169</v>
      </c>
      <c r="B134" s="2" t="s">
        <v>73</v>
      </c>
      <c r="C134" s="2" t="s">
        <v>1170</v>
      </c>
      <c r="D134" s="2" t="s">
        <v>1170</v>
      </c>
      <c r="E134" s="2" t="s">
        <v>75</v>
      </c>
      <c r="F134" s="2"/>
      <c r="G134" s="2">
        <v>2</v>
      </c>
      <c r="H134" s="2">
        <v>0</v>
      </c>
      <c r="I134" s="2">
        <v>1</v>
      </c>
      <c r="J134" s="2">
        <v>1</v>
      </c>
      <c r="K134" s="2">
        <v>0</v>
      </c>
      <c r="L134" s="16">
        <v>2300</v>
      </c>
      <c r="M134" s="16">
        <v>750</v>
      </c>
      <c r="N134" s="8" t="s">
        <v>1171</v>
      </c>
      <c r="O134" s="12">
        <f t="shared" si="2"/>
        <v>32.608695652173914</v>
      </c>
      <c r="P134" s="2">
        <v>2</v>
      </c>
      <c r="Q134" s="2" t="s">
        <v>77</v>
      </c>
      <c r="R134" s="8" t="s">
        <v>1172</v>
      </c>
      <c r="S134" s="8" t="s">
        <v>1173</v>
      </c>
      <c r="T134" s="8" t="s">
        <v>80</v>
      </c>
      <c r="U134" s="2" t="s">
        <v>81</v>
      </c>
      <c r="V134" s="2"/>
      <c r="W134" s="16"/>
      <c r="X134" s="2">
        <v>2029</v>
      </c>
      <c r="Y134" s="16"/>
      <c r="Z134" s="16"/>
      <c r="AA134" s="2"/>
      <c r="AB134" s="16">
        <v>32.799999999999997</v>
      </c>
      <c r="AC134" s="2">
        <v>2029</v>
      </c>
      <c r="AD134" s="2" t="s">
        <v>82</v>
      </c>
      <c r="AE134" s="16"/>
      <c r="AF134" s="16"/>
      <c r="AG134" s="16"/>
      <c r="AH134" s="16"/>
      <c r="AI134" s="8" t="s">
        <v>83</v>
      </c>
      <c r="AJ134" s="2" t="s">
        <v>84</v>
      </c>
      <c r="AK134" s="2">
        <v>1</v>
      </c>
      <c r="AL134" s="8" t="s">
        <v>1174</v>
      </c>
      <c r="AM134" s="8" t="s">
        <v>1175</v>
      </c>
      <c r="AN134" s="2">
        <v>2025</v>
      </c>
      <c r="AO134" s="16">
        <v>2272.9</v>
      </c>
      <c r="AP134" s="2">
        <v>2028</v>
      </c>
      <c r="AQ134" s="16">
        <v>3382.2</v>
      </c>
      <c r="AR134" s="2" t="s">
        <v>86</v>
      </c>
      <c r="AS134" s="16">
        <v>14.2</v>
      </c>
      <c r="AT134" s="2">
        <v>2025</v>
      </c>
      <c r="AU134" s="16">
        <v>526.5</v>
      </c>
      <c r="AV134" s="2">
        <v>2028</v>
      </c>
      <c r="AW134" s="16">
        <v>606</v>
      </c>
      <c r="AX134" s="2" t="s">
        <v>86</v>
      </c>
      <c r="AY134" s="16">
        <v>4.8</v>
      </c>
      <c r="AZ134" s="2">
        <v>2025</v>
      </c>
      <c r="BA134" s="16"/>
      <c r="BB134" s="2">
        <v>2028</v>
      </c>
      <c r="BC134" s="16"/>
      <c r="BD134" s="2" t="s">
        <v>86</v>
      </c>
      <c r="BE134" s="16">
        <v>4.8</v>
      </c>
      <c r="BF134" s="2">
        <v>2025</v>
      </c>
      <c r="BG134" s="16">
        <v>144</v>
      </c>
      <c r="BH134" s="2">
        <v>2028</v>
      </c>
      <c r="BI134" s="16">
        <v>153</v>
      </c>
      <c r="BJ134" s="2" t="s">
        <v>87</v>
      </c>
      <c r="BK134" s="8"/>
      <c r="BL134" s="8" t="str">
        <f>HYPERLINK("https://seichotoushi-hojo.jp/assets/pdf/koufu/outline_73.pdf","PDFを開く")</f>
        <v>PDFを開く</v>
      </c>
      <c r="BM134" s="8" t="s">
        <v>1176</v>
      </c>
      <c r="BN134" s="8" t="s">
        <v>1177</v>
      </c>
      <c r="BO134" s="8" t="s">
        <v>90</v>
      </c>
      <c r="BP134" s="8" t="s">
        <v>90</v>
      </c>
      <c r="BQ134" s="8" t="s">
        <v>91</v>
      </c>
      <c r="BR134" s="8" t="s">
        <v>92</v>
      </c>
    </row>
    <row r="135" spans="1:70" ht="45.95" customHeight="1">
      <c r="A135" s="5" t="s">
        <v>1178</v>
      </c>
      <c r="B135" s="5" t="s">
        <v>73</v>
      </c>
      <c r="C135" s="5" t="s">
        <v>1179</v>
      </c>
      <c r="D135" s="5" t="s">
        <v>1179</v>
      </c>
      <c r="E135" s="5" t="s">
        <v>107</v>
      </c>
      <c r="F135" s="5"/>
      <c r="G135" s="5">
        <v>2</v>
      </c>
      <c r="H135" s="5">
        <v>0</v>
      </c>
      <c r="I135" s="5">
        <v>1</v>
      </c>
      <c r="J135" s="5">
        <v>1</v>
      </c>
      <c r="K135" s="5">
        <v>0</v>
      </c>
      <c r="L135" s="17">
        <v>1600</v>
      </c>
      <c r="M135" s="17">
        <v>510</v>
      </c>
      <c r="N135" s="9" t="s">
        <v>207</v>
      </c>
      <c r="O135" s="13">
        <f t="shared" si="2"/>
        <v>31.874999999999996</v>
      </c>
      <c r="P135" s="5">
        <v>2</v>
      </c>
      <c r="Q135" s="5" t="s">
        <v>77</v>
      </c>
      <c r="R135" s="9" t="s">
        <v>1180</v>
      </c>
      <c r="S135" s="9" t="s">
        <v>1181</v>
      </c>
      <c r="T135" s="9" t="s">
        <v>80</v>
      </c>
      <c r="U135" s="5" t="s">
        <v>81</v>
      </c>
      <c r="V135" s="5"/>
      <c r="W135" s="17"/>
      <c r="X135" s="5">
        <v>2029</v>
      </c>
      <c r="Y135" s="17"/>
      <c r="Z135" s="17">
        <v>37</v>
      </c>
      <c r="AA135" s="5">
        <v>2029</v>
      </c>
      <c r="AB135" s="17">
        <v>15.5</v>
      </c>
      <c r="AC135" s="5">
        <v>2029</v>
      </c>
      <c r="AD135" s="5" t="s">
        <v>82</v>
      </c>
      <c r="AE135" s="17"/>
      <c r="AF135" s="17"/>
      <c r="AG135" s="17"/>
      <c r="AH135" s="17"/>
      <c r="AI135" s="9" t="s">
        <v>83</v>
      </c>
      <c r="AJ135" s="5" t="s">
        <v>84</v>
      </c>
      <c r="AK135" s="5">
        <v>1</v>
      </c>
      <c r="AL135" s="9" t="s">
        <v>1182</v>
      </c>
      <c r="AM135" s="9"/>
      <c r="AN135" s="5">
        <v>2026</v>
      </c>
      <c r="AO135" s="17">
        <v>620</v>
      </c>
      <c r="AP135" s="5">
        <v>2029</v>
      </c>
      <c r="AQ135" s="17">
        <v>788</v>
      </c>
      <c r="AR135" s="5" t="s">
        <v>86</v>
      </c>
      <c r="AS135" s="17">
        <v>8.8000000000000007</v>
      </c>
      <c r="AT135" s="5">
        <v>2026</v>
      </c>
      <c r="AU135" s="17">
        <v>402</v>
      </c>
      <c r="AV135" s="5">
        <v>2029</v>
      </c>
      <c r="AW135" s="17">
        <v>489</v>
      </c>
      <c r="AX135" s="5" t="s">
        <v>86</v>
      </c>
      <c r="AY135" s="17">
        <v>6.72</v>
      </c>
      <c r="AZ135" s="5"/>
      <c r="BA135" s="17"/>
      <c r="BB135" s="5"/>
      <c r="BC135" s="17"/>
      <c r="BD135" s="5"/>
      <c r="BE135" s="17"/>
      <c r="BF135" s="5">
        <v>2026</v>
      </c>
      <c r="BG135" s="17">
        <v>210</v>
      </c>
      <c r="BH135" s="5">
        <v>2029</v>
      </c>
      <c r="BI135" s="17">
        <v>285</v>
      </c>
      <c r="BJ135" s="5" t="s">
        <v>87</v>
      </c>
      <c r="BK135" s="9"/>
      <c r="BL135" s="9" t="str">
        <f>HYPERLINK("https://seichotoushi-hojo.jp/assets/pdf/koufu/outline_74.pdf","PDFを開く")</f>
        <v>PDFを開く</v>
      </c>
      <c r="BM135" s="9" t="s">
        <v>1183</v>
      </c>
      <c r="BN135" s="9" t="s">
        <v>1184</v>
      </c>
      <c r="BO135" s="9" t="s">
        <v>90</v>
      </c>
      <c r="BP135" s="9" t="s">
        <v>90</v>
      </c>
      <c r="BQ135" s="9" t="s">
        <v>156</v>
      </c>
      <c r="BR135" s="9" t="s">
        <v>92</v>
      </c>
    </row>
    <row r="136" spans="1:70" ht="45.95" customHeight="1">
      <c r="A136" s="2" t="s">
        <v>1185</v>
      </c>
      <c r="B136" s="2" t="s">
        <v>73</v>
      </c>
      <c r="C136" s="2" t="s">
        <v>1186</v>
      </c>
      <c r="D136" s="2" t="s">
        <v>1186</v>
      </c>
      <c r="E136" s="2" t="s">
        <v>95</v>
      </c>
      <c r="F136" s="2"/>
      <c r="G136" s="2">
        <v>2</v>
      </c>
      <c r="H136" s="2">
        <v>0</v>
      </c>
      <c r="I136" s="2">
        <v>1</v>
      </c>
      <c r="J136" s="2">
        <v>1</v>
      </c>
      <c r="K136" s="2">
        <v>0</v>
      </c>
      <c r="L136" s="16">
        <v>4000</v>
      </c>
      <c r="M136" s="16">
        <v>1180</v>
      </c>
      <c r="N136" s="8" t="s">
        <v>1187</v>
      </c>
      <c r="O136" s="12">
        <f t="shared" si="2"/>
        <v>29.5</v>
      </c>
      <c r="P136" s="2">
        <v>2</v>
      </c>
      <c r="Q136" s="2" t="s">
        <v>77</v>
      </c>
      <c r="R136" s="8" t="s">
        <v>1187</v>
      </c>
      <c r="S136" s="8" t="s">
        <v>1188</v>
      </c>
      <c r="T136" s="8" t="s">
        <v>80</v>
      </c>
      <c r="U136" s="2" t="s">
        <v>81</v>
      </c>
      <c r="V136" s="2"/>
      <c r="W136" s="16"/>
      <c r="X136" s="2">
        <v>2030</v>
      </c>
      <c r="Y136" s="16">
        <v>200</v>
      </c>
      <c r="Z136" s="16">
        <v>80.599999999999994</v>
      </c>
      <c r="AA136" s="2">
        <v>2030</v>
      </c>
      <c r="AB136" s="16">
        <v>67.5</v>
      </c>
      <c r="AC136" s="2">
        <v>2030</v>
      </c>
      <c r="AD136" s="2" t="s">
        <v>82</v>
      </c>
      <c r="AE136" s="16"/>
      <c r="AF136" s="16"/>
      <c r="AG136" s="16"/>
      <c r="AH136" s="16"/>
      <c r="AI136" s="8" t="s">
        <v>83</v>
      </c>
      <c r="AJ136" s="2" t="s">
        <v>84</v>
      </c>
      <c r="AK136" s="2">
        <v>1</v>
      </c>
      <c r="AL136" s="8" t="s">
        <v>1189</v>
      </c>
      <c r="AM136" s="8" t="s">
        <v>1190</v>
      </c>
      <c r="AN136" s="2">
        <v>2027</v>
      </c>
      <c r="AO136" s="16">
        <v>652</v>
      </c>
      <c r="AP136" s="2">
        <v>2030</v>
      </c>
      <c r="AQ136" s="16">
        <v>1141</v>
      </c>
      <c r="AR136" s="2" t="s">
        <v>86</v>
      </c>
      <c r="AS136" s="16">
        <v>21.3</v>
      </c>
      <c r="AT136" s="2">
        <v>2027</v>
      </c>
      <c r="AU136" s="16">
        <v>435</v>
      </c>
      <c r="AV136" s="2">
        <v>2030</v>
      </c>
      <c r="AW136" s="16">
        <v>485</v>
      </c>
      <c r="AX136" s="2" t="s">
        <v>86</v>
      </c>
      <c r="AY136" s="16">
        <v>3.67</v>
      </c>
      <c r="AZ136" s="2">
        <v>2027</v>
      </c>
      <c r="BA136" s="16"/>
      <c r="BB136" s="2">
        <v>2030</v>
      </c>
      <c r="BC136" s="16"/>
      <c r="BD136" s="2" t="s">
        <v>86</v>
      </c>
      <c r="BE136" s="16">
        <v>3.85</v>
      </c>
      <c r="BF136" s="2">
        <v>2027</v>
      </c>
      <c r="BG136" s="16">
        <v>166</v>
      </c>
      <c r="BH136" s="2">
        <v>2030</v>
      </c>
      <c r="BI136" s="16">
        <v>181</v>
      </c>
      <c r="BJ136" s="2" t="s">
        <v>87</v>
      </c>
      <c r="BK136" s="8"/>
      <c r="BL136" s="8" t="str">
        <f>HYPERLINK("https://seichotoushi-hojo.jp/assets/pdf/koufu/outline_75.pdf","PDFを開く")</f>
        <v>PDFを開く</v>
      </c>
      <c r="BM136" s="8" t="s">
        <v>1191</v>
      </c>
      <c r="BN136" s="8" t="s">
        <v>1192</v>
      </c>
      <c r="BO136" s="8" t="s">
        <v>90</v>
      </c>
      <c r="BP136" s="8" t="s">
        <v>90</v>
      </c>
      <c r="BQ136" s="8" t="s">
        <v>91</v>
      </c>
      <c r="BR136" s="8" t="s">
        <v>92</v>
      </c>
    </row>
    <row r="137" spans="1:70" ht="45.95" customHeight="1">
      <c r="A137" s="5" t="s">
        <v>1193</v>
      </c>
      <c r="B137" s="5" t="s">
        <v>73</v>
      </c>
      <c r="C137" s="5" t="s">
        <v>1194</v>
      </c>
      <c r="D137" s="5" t="s">
        <v>1194</v>
      </c>
      <c r="E137" s="5"/>
      <c r="F137" s="5"/>
      <c r="G137" s="5">
        <v>4</v>
      </c>
      <c r="H137" s="5">
        <v>0</v>
      </c>
      <c r="I137" s="5">
        <v>3</v>
      </c>
      <c r="J137" s="5">
        <v>1</v>
      </c>
      <c r="K137" s="5">
        <v>0</v>
      </c>
      <c r="L137" s="17">
        <v>2000</v>
      </c>
      <c r="M137" s="17">
        <v>620</v>
      </c>
      <c r="N137" s="9" t="s">
        <v>1195</v>
      </c>
      <c r="O137" s="13">
        <f t="shared" si="2"/>
        <v>31</v>
      </c>
      <c r="P137" s="5">
        <v>4</v>
      </c>
      <c r="Q137" s="5" t="s">
        <v>308</v>
      </c>
      <c r="R137" s="9" t="s">
        <v>1196</v>
      </c>
      <c r="S137" s="9" t="s">
        <v>1197</v>
      </c>
      <c r="T137" s="9" t="s">
        <v>310</v>
      </c>
      <c r="U137" s="5" t="s">
        <v>81</v>
      </c>
      <c r="V137" s="5">
        <v>2023</v>
      </c>
      <c r="W137" s="17">
        <v>168</v>
      </c>
      <c r="X137" s="5">
        <v>2030</v>
      </c>
      <c r="Y137" s="17">
        <v>243</v>
      </c>
      <c r="Z137" s="17">
        <v>75</v>
      </c>
      <c r="AA137" s="5">
        <v>2030</v>
      </c>
      <c r="AB137" s="17"/>
      <c r="AC137" s="5"/>
      <c r="AD137" s="5"/>
      <c r="AE137" s="17"/>
      <c r="AF137" s="17"/>
      <c r="AG137" s="17">
        <v>5.4143099714841547</v>
      </c>
      <c r="AH137" s="17"/>
      <c r="AI137" s="9" t="s">
        <v>166</v>
      </c>
      <c r="AJ137" s="5" t="s">
        <v>292</v>
      </c>
      <c r="AK137" s="5">
        <v>1</v>
      </c>
      <c r="AL137" s="9" t="s">
        <v>1198</v>
      </c>
      <c r="AM137" s="9" t="s">
        <v>1199</v>
      </c>
      <c r="AN137" s="5">
        <v>2026</v>
      </c>
      <c r="AO137" s="17">
        <v>973</v>
      </c>
      <c r="AP137" s="5">
        <v>2029</v>
      </c>
      <c r="AQ137" s="17">
        <v>1200</v>
      </c>
      <c r="AR137" s="5" t="s">
        <v>86</v>
      </c>
      <c r="AS137" s="17">
        <v>7.22</v>
      </c>
      <c r="AT137" s="5">
        <v>2026</v>
      </c>
      <c r="AU137" s="17">
        <v>560</v>
      </c>
      <c r="AV137" s="5">
        <v>2029</v>
      </c>
      <c r="AW137" s="17">
        <v>615</v>
      </c>
      <c r="AX137" s="5" t="s">
        <v>86</v>
      </c>
      <c r="AY137" s="17">
        <v>3.19</v>
      </c>
      <c r="AZ137" s="5">
        <v>2026</v>
      </c>
      <c r="BA137" s="17"/>
      <c r="BB137" s="5">
        <v>2029</v>
      </c>
      <c r="BC137" s="17"/>
      <c r="BD137" s="5" t="s">
        <v>86</v>
      </c>
      <c r="BE137" s="17">
        <v>3</v>
      </c>
      <c r="BF137" s="5">
        <v>2026</v>
      </c>
      <c r="BG137" s="17">
        <v>420</v>
      </c>
      <c r="BH137" s="5">
        <v>2029</v>
      </c>
      <c r="BI137" s="17">
        <v>429</v>
      </c>
      <c r="BJ137" s="5" t="s">
        <v>87</v>
      </c>
      <c r="BK137" s="9" t="s">
        <v>1200</v>
      </c>
      <c r="BL137" s="9" t="str">
        <f>HYPERLINK("https://seichotoushi-hojo.jp/assets/pdf/koufu/outline_76.pdf","PDFを開く")</f>
        <v>PDFを開く</v>
      </c>
      <c r="BM137" s="9" t="s">
        <v>1201</v>
      </c>
      <c r="BN137" s="9" t="s">
        <v>1202</v>
      </c>
      <c r="BO137" s="9" t="s">
        <v>90</v>
      </c>
      <c r="BP137" s="9" t="s">
        <v>90</v>
      </c>
      <c r="BQ137" s="9" t="s">
        <v>91</v>
      </c>
      <c r="BR137" s="9" t="s">
        <v>92</v>
      </c>
    </row>
    <row r="138" spans="1:70" ht="45.95" customHeight="1">
      <c r="A138" s="2" t="s">
        <v>1203</v>
      </c>
      <c r="B138" s="2" t="s">
        <v>73</v>
      </c>
      <c r="C138" s="2" t="s">
        <v>1204</v>
      </c>
      <c r="D138" s="2" t="s">
        <v>1204</v>
      </c>
      <c r="E138" s="2" t="s">
        <v>116</v>
      </c>
      <c r="F138" s="2"/>
      <c r="G138" s="2">
        <v>2</v>
      </c>
      <c r="H138" s="2">
        <v>0</v>
      </c>
      <c r="I138" s="2">
        <v>1</v>
      </c>
      <c r="J138" s="2">
        <v>1</v>
      </c>
      <c r="K138" s="2">
        <v>0</v>
      </c>
      <c r="L138" s="16">
        <v>10300</v>
      </c>
      <c r="M138" s="16">
        <v>3200</v>
      </c>
      <c r="N138" s="8" t="s">
        <v>1205</v>
      </c>
      <c r="O138" s="12">
        <f t="shared" si="2"/>
        <v>31.067961165048541</v>
      </c>
      <c r="P138" s="2">
        <v>2</v>
      </c>
      <c r="Q138" s="2" t="s">
        <v>77</v>
      </c>
      <c r="R138" s="8" t="s">
        <v>1205</v>
      </c>
      <c r="S138" s="8" t="s">
        <v>1206</v>
      </c>
      <c r="T138" s="8" t="s">
        <v>80</v>
      </c>
      <c r="U138" s="2" t="s">
        <v>81</v>
      </c>
      <c r="V138" s="2"/>
      <c r="W138" s="16"/>
      <c r="X138" s="2">
        <v>2025</v>
      </c>
      <c r="Y138" s="16">
        <v>500</v>
      </c>
      <c r="Z138" s="16"/>
      <c r="AA138" s="2"/>
      <c r="AB138" s="16"/>
      <c r="AC138" s="2"/>
      <c r="AD138" s="2"/>
      <c r="AE138" s="16"/>
      <c r="AF138" s="16"/>
      <c r="AG138" s="16"/>
      <c r="AH138" s="16"/>
      <c r="AI138" s="8" t="s">
        <v>83</v>
      </c>
      <c r="AJ138" s="2" t="s">
        <v>587</v>
      </c>
      <c r="AK138" s="2">
        <v>1</v>
      </c>
      <c r="AL138" s="8" t="s">
        <v>1207</v>
      </c>
      <c r="AM138" s="8" t="s">
        <v>1208</v>
      </c>
      <c r="AN138" s="2">
        <v>2026</v>
      </c>
      <c r="AO138" s="16">
        <v>538</v>
      </c>
      <c r="AP138" s="2">
        <v>2029</v>
      </c>
      <c r="AQ138" s="16">
        <v>682</v>
      </c>
      <c r="AR138" s="2" t="s">
        <v>86</v>
      </c>
      <c r="AS138" s="16">
        <v>8.25</v>
      </c>
      <c r="AT138" s="2">
        <v>2026</v>
      </c>
      <c r="AU138" s="16">
        <v>534</v>
      </c>
      <c r="AV138" s="2">
        <v>2029</v>
      </c>
      <c r="AW138" s="16">
        <v>671</v>
      </c>
      <c r="AX138" s="2" t="s">
        <v>86</v>
      </c>
      <c r="AY138" s="16">
        <v>7.89</v>
      </c>
      <c r="AZ138" s="2"/>
      <c r="BA138" s="16"/>
      <c r="BB138" s="2"/>
      <c r="BC138" s="16"/>
      <c r="BD138" s="2"/>
      <c r="BE138" s="16"/>
      <c r="BF138" s="2">
        <v>2026</v>
      </c>
      <c r="BG138" s="16">
        <v>109</v>
      </c>
      <c r="BH138" s="2">
        <v>2029</v>
      </c>
      <c r="BI138" s="16">
        <v>117</v>
      </c>
      <c r="BJ138" s="2" t="s">
        <v>87</v>
      </c>
      <c r="BK138" s="8"/>
      <c r="BL138" s="8" t="str">
        <f>HYPERLINK("https://seichotoushi-hojo.jp/assets/pdf/koufu/outline_77.pdf","PDFを開く")</f>
        <v>PDFを開く</v>
      </c>
      <c r="BM138" s="8" t="s">
        <v>1209</v>
      </c>
      <c r="BN138" s="8" t="s">
        <v>1210</v>
      </c>
      <c r="BO138" s="8" t="s">
        <v>90</v>
      </c>
      <c r="BP138" s="8" t="s">
        <v>90</v>
      </c>
      <c r="BQ138" s="8" t="s">
        <v>156</v>
      </c>
      <c r="BR138" s="8" t="s">
        <v>92</v>
      </c>
    </row>
    <row r="139" spans="1:70" ht="45.95" customHeight="1">
      <c r="A139" s="5" t="s">
        <v>1211</v>
      </c>
      <c r="B139" s="5" t="s">
        <v>73</v>
      </c>
      <c r="C139" s="5" t="s">
        <v>1212</v>
      </c>
      <c r="D139" s="5" t="s">
        <v>1212</v>
      </c>
      <c r="E139" s="5" t="s">
        <v>95</v>
      </c>
      <c r="F139" s="5"/>
      <c r="G139" s="5">
        <v>2</v>
      </c>
      <c r="H139" s="5">
        <v>0</v>
      </c>
      <c r="I139" s="5">
        <v>1</v>
      </c>
      <c r="J139" s="5">
        <v>1</v>
      </c>
      <c r="K139" s="5">
        <v>0</v>
      </c>
      <c r="L139" s="17">
        <v>2800</v>
      </c>
      <c r="M139" s="17">
        <v>900</v>
      </c>
      <c r="N139" s="9" t="s">
        <v>1213</v>
      </c>
      <c r="O139" s="13">
        <f t="shared" si="2"/>
        <v>32.142857142857146</v>
      </c>
      <c r="P139" s="5">
        <v>2</v>
      </c>
      <c r="Q139" s="5" t="s">
        <v>77</v>
      </c>
      <c r="R139" s="9" t="s">
        <v>1214</v>
      </c>
      <c r="S139" s="9" t="s">
        <v>1215</v>
      </c>
      <c r="T139" s="9" t="s">
        <v>80</v>
      </c>
      <c r="U139" s="5" t="s">
        <v>81</v>
      </c>
      <c r="V139" s="5"/>
      <c r="W139" s="17"/>
      <c r="X139" s="5">
        <v>2029</v>
      </c>
      <c r="Y139" s="17"/>
      <c r="Z139" s="17">
        <v>27.5</v>
      </c>
      <c r="AA139" s="5">
        <v>2029</v>
      </c>
      <c r="AB139" s="17">
        <v>17.600000000000001</v>
      </c>
      <c r="AC139" s="5">
        <v>2029</v>
      </c>
      <c r="AD139" s="5" t="s">
        <v>210</v>
      </c>
      <c r="AE139" s="17"/>
      <c r="AF139" s="17"/>
      <c r="AG139" s="17"/>
      <c r="AH139" s="17"/>
      <c r="AI139" s="9" t="s">
        <v>83</v>
      </c>
      <c r="AJ139" s="5" t="s">
        <v>84</v>
      </c>
      <c r="AK139" s="5">
        <v>1</v>
      </c>
      <c r="AL139" s="9" t="s">
        <v>1216</v>
      </c>
      <c r="AM139" s="9"/>
      <c r="AN139" s="5">
        <v>2026</v>
      </c>
      <c r="AO139" s="17">
        <v>1935</v>
      </c>
      <c r="AP139" s="5">
        <v>2029</v>
      </c>
      <c r="AQ139" s="17">
        <v>3567</v>
      </c>
      <c r="AR139" s="5" t="s">
        <v>86</v>
      </c>
      <c r="AS139" s="17">
        <v>22.6</v>
      </c>
      <c r="AT139" s="5">
        <v>2026</v>
      </c>
      <c r="AU139" s="17">
        <v>374</v>
      </c>
      <c r="AV139" s="5">
        <v>2029</v>
      </c>
      <c r="AW139" s="17">
        <v>415</v>
      </c>
      <c r="AX139" s="5" t="s">
        <v>86</v>
      </c>
      <c r="AY139" s="17">
        <v>3.53</v>
      </c>
      <c r="AZ139" s="5">
        <v>2026</v>
      </c>
      <c r="BA139" s="17">
        <v>0</v>
      </c>
      <c r="BB139" s="5">
        <v>2029</v>
      </c>
      <c r="BC139" s="17">
        <v>0</v>
      </c>
      <c r="BD139" s="5" t="s">
        <v>86</v>
      </c>
      <c r="BE139" s="17">
        <v>0</v>
      </c>
      <c r="BF139" s="5">
        <v>2026</v>
      </c>
      <c r="BG139" s="17">
        <v>15</v>
      </c>
      <c r="BH139" s="5">
        <v>2029</v>
      </c>
      <c r="BI139" s="17">
        <v>33</v>
      </c>
      <c r="BJ139" s="5" t="s">
        <v>87</v>
      </c>
      <c r="BK139" s="9" t="s">
        <v>181</v>
      </c>
      <c r="BL139" s="9" t="str">
        <f>HYPERLINK("https://seichotoushi-hojo.jp/assets/pdf/koufu/outline_78.pdf","PDFを開く")</f>
        <v>PDFを開く</v>
      </c>
      <c r="BM139" s="9" t="s">
        <v>1217</v>
      </c>
      <c r="BN139" s="9" t="s">
        <v>1218</v>
      </c>
      <c r="BO139" s="9" t="s">
        <v>90</v>
      </c>
      <c r="BP139" s="9" t="s">
        <v>90</v>
      </c>
      <c r="BQ139" s="9" t="s">
        <v>92</v>
      </c>
      <c r="BR139" s="9" t="s">
        <v>92</v>
      </c>
    </row>
    <row r="140" spans="1:70" ht="45.95" customHeight="1">
      <c r="A140" s="2" t="s">
        <v>1219</v>
      </c>
      <c r="B140" s="2" t="s">
        <v>73</v>
      </c>
      <c r="C140" s="2" t="s">
        <v>1220</v>
      </c>
      <c r="D140" s="2" t="s">
        <v>1220</v>
      </c>
      <c r="E140" s="2"/>
      <c r="F140" s="2"/>
      <c r="G140" s="2">
        <v>2</v>
      </c>
      <c r="H140" s="2">
        <v>0</v>
      </c>
      <c r="I140" s="2">
        <v>1</v>
      </c>
      <c r="J140" s="2">
        <v>1</v>
      </c>
      <c r="K140" s="2">
        <v>0</v>
      </c>
      <c r="L140" s="16">
        <v>1900</v>
      </c>
      <c r="M140" s="16">
        <v>620</v>
      </c>
      <c r="N140" s="8" t="s">
        <v>1221</v>
      </c>
      <c r="O140" s="12">
        <f t="shared" si="2"/>
        <v>32.631578947368425</v>
      </c>
      <c r="P140" s="2">
        <v>2</v>
      </c>
      <c r="Q140" s="2" t="s">
        <v>77</v>
      </c>
      <c r="R140" s="8" t="s">
        <v>1221</v>
      </c>
      <c r="S140" s="8" t="s">
        <v>1222</v>
      </c>
      <c r="T140" s="8" t="s">
        <v>80</v>
      </c>
      <c r="U140" s="2" t="s">
        <v>81</v>
      </c>
      <c r="V140" s="2">
        <v>2022</v>
      </c>
      <c r="W140" s="16"/>
      <c r="X140" s="2">
        <v>2029</v>
      </c>
      <c r="Y140" s="16"/>
      <c r="Z140" s="16"/>
      <c r="AA140" s="2"/>
      <c r="AB140" s="16">
        <v>43.6</v>
      </c>
      <c r="AC140" s="2">
        <v>2029</v>
      </c>
      <c r="AD140" s="2" t="s">
        <v>82</v>
      </c>
      <c r="AE140" s="16"/>
      <c r="AF140" s="16"/>
      <c r="AG140" s="16"/>
      <c r="AH140" s="16">
        <v>3</v>
      </c>
      <c r="AI140" s="8" t="s">
        <v>83</v>
      </c>
      <c r="AJ140" s="2" t="s">
        <v>84</v>
      </c>
      <c r="AK140" s="2">
        <v>1</v>
      </c>
      <c r="AL140" s="8" t="s">
        <v>1223</v>
      </c>
      <c r="AM140" s="8"/>
      <c r="AN140" s="2">
        <v>2027</v>
      </c>
      <c r="AO140" s="16">
        <v>1177</v>
      </c>
      <c r="AP140" s="2">
        <v>2030</v>
      </c>
      <c r="AQ140" s="16">
        <v>1712.5</v>
      </c>
      <c r="AR140" s="2" t="s">
        <v>86</v>
      </c>
      <c r="AS140" s="16">
        <v>13.3</v>
      </c>
      <c r="AT140" s="2">
        <v>2027</v>
      </c>
      <c r="AU140" s="16">
        <v>618</v>
      </c>
      <c r="AV140" s="2">
        <v>2030</v>
      </c>
      <c r="AW140" s="16">
        <v>715</v>
      </c>
      <c r="AX140" s="2" t="s">
        <v>86</v>
      </c>
      <c r="AY140" s="16">
        <v>5</v>
      </c>
      <c r="AZ140" s="2">
        <v>2027</v>
      </c>
      <c r="BA140" s="16"/>
      <c r="BB140" s="2">
        <v>2030</v>
      </c>
      <c r="BC140" s="16"/>
      <c r="BD140" s="2" t="s">
        <v>86</v>
      </c>
      <c r="BE140" s="16">
        <v>5</v>
      </c>
      <c r="BF140" s="2">
        <v>2027</v>
      </c>
      <c r="BG140" s="16">
        <v>117</v>
      </c>
      <c r="BH140" s="2">
        <v>2030</v>
      </c>
      <c r="BI140" s="16">
        <v>127</v>
      </c>
      <c r="BJ140" s="2" t="s">
        <v>87</v>
      </c>
      <c r="BK140" s="8"/>
      <c r="BL140" s="8" t="str">
        <f>HYPERLINK("https://seichotoushi-hojo.jp/assets/pdf/koufu/outline_79.pdf","PDFを開く")</f>
        <v>PDFを開く</v>
      </c>
      <c r="BM140" s="8" t="s">
        <v>1224</v>
      </c>
      <c r="BN140" s="8" t="s">
        <v>1225</v>
      </c>
      <c r="BO140" s="8" t="s">
        <v>90</v>
      </c>
      <c r="BP140" s="8" t="s">
        <v>90</v>
      </c>
      <c r="BQ140" s="8" t="s">
        <v>91</v>
      </c>
      <c r="BR140" s="8" t="s">
        <v>92</v>
      </c>
    </row>
    <row r="141" spans="1:70" ht="45.95" customHeight="1">
      <c r="A141" s="5" t="s">
        <v>1226</v>
      </c>
      <c r="B141" s="5" t="s">
        <v>73</v>
      </c>
      <c r="C141" s="5" t="s">
        <v>1227</v>
      </c>
      <c r="D141" s="5" t="s">
        <v>1227</v>
      </c>
      <c r="E141" s="5" t="s">
        <v>75</v>
      </c>
      <c r="F141" s="5"/>
      <c r="G141" s="5">
        <v>2</v>
      </c>
      <c r="H141" s="5">
        <v>0</v>
      </c>
      <c r="I141" s="5">
        <v>1</v>
      </c>
      <c r="J141" s="5">
        <v>1</v>
      </c>
      <c r="K141" s="5">
        <v>0</v>
      </c>
      <c r="L141" s="17">
        <v>7700</v>
      </c>
      <c r="M141" s="17">
        <v>2200</v>
      </c>
      <c r="N141" s="9" t="s">
        <v>1228</v>
      </c>
      <c r="O141" s="13">
        <f t="shared" si="2"/>
        <v>28.571428571428569</v>
      </c>
      <c r="P141" s="5">
        <v>2</v>
      </c>
      <c r="Q141" s="5" t="s">
        <v>77</v>
      </c>
      <c r="R141" s="9" t="s">
        <v>1228</v>
      </c>
      <c r="S141" s="9" t="s">
        <v>1229</v>
      </c>
      <c r="T141" s="9" t="s">
        <v>80</v>
      </c>
      <c r="U141" s="5" t="s">
        <v>81</v>
      </c>
      <c r="V141" s="5">
        <v>2023</v>
      </c>
      <c r="W141" s="17"/>
      <c r="X141" s="5">
        <v>2029</v>
      </c>
      <c r="Y141" s="17"/>
      <c r="Z141" s="17">
        <v>75</v>
      </c>
      <c r="AA141" s="5">
        <v>2029</v>
      </c>
      <c r="AB141" s="17">
        <v>32</v>
      </c>
      <c r="AC141" s="5">
        <v>2029</v>
      </c>
      <c r="AD141" s="5" t="s">
        <v>82</v>
      </c>
      <c r="AE141" s="17"/>
      <c r="AF141" s="17"/>
      <c r="AG141" s="17"/>
      <c r="AH141" s="17"/>
      <c r="AI141" s="9" t="s">
        <v>83</v>
      </c>
      <c r="AJ141" s="5" t="s">
        <v>84</v>
      </c>
      <c r="AK141" s="5">
        <v>1</v>
      </c>
      <c r="AL141" s="9" t="s">
        <v>1230</v>
      </c>
      <c r="AM141" s="9"/>
      <c r="AN141" s="5">
        <v>2026</v>
      </c>
      <c r="AO141" s="17">
        <v>722</v>
      </c>
      <c r="AP141" s="5">
        <v>2029</v>
      </c>
      <c r="AQ141" s="17">
        <v>2788</v>
      </c>
      <c r="AR141" s="5" t="s">
        <v>86</v>
      </c>
      <c r="AS141" s="17">
        <v>56.9</v>
      </c>
      <c r="AT141" s="5">
        <v>2026</v>
      </c>
      <c r="AU141" s="17">
        <v>623</v>
      </c>
      <c r="AV141" s="5">
        <v>2029</v>
      </c>
      <c r="AW141" s="17">
        <v>691</v>
      </c>
      <c r="AX141" s="5" t="s">
        <v>86</v>
      </c>
      <c r="AY141" s="17">
        <v>3.5</v>
      </c>
      <c r="AZ141" s="5"/>
      <c r="BA141" s="17"/>
      <c r="BB141" s="5"/>
      <c r="BC141" s="17"/>
      <c r="BD141" s="5"/>
      <c r="BE141" s="17"/>
      <c r="BF141" s="5">
        <v>2026</v>
      </c>
      <c r="BG141" s="17">
        <v>24</v>
      </c>
      <c r="BH141" s="5">
        <v>2029</v>
      </c>
      <c r="BI141" s="17">
        <v>46</v>
      </c>
      <c r="BJ141" s="5" t="s">
        <v>87</v>
      </c>
      <c r="BK141" s="9"/>
      <c r="BL141" s="9" t="str">
        <f>HYPERLINK("https://seichotoushi-hojo.jp/assets/pdf/koufu/outline_8.pdf","PDFを開く")</f>
        <v>PDFを開く</v>
      </c>
      <c r="BM141" s="9" t="s">
        <v>1231</v>
      </c>
      <c r="BN141" s="9" t="s">
        <v>1232</v>
      </c>
      <c r="BO141" s="9" t="s">
        <v>90</v>
      </c>
      <c r="BP141" s="9" t="s">
        <v>166</v>
      </c>
      <c r="BQ141" s="9" t="s">
        <v>157</v>
      </c>
      <c r="BR141" s="9" t="s">
        <v>92</v>
      </c>
    </row>
    <row r="142" spans="1:70" ht="45.95" customHeight="1">
      <c r="A142" s="2" t="s">
        <v>1233</v>
      </c>
      <c r="B142" s="2" t="s">
        <v>73</v>
      </c>
      <c r="C142" s="2" t="s">
        <v>1234</v>
      </c>
      <c r="D142" s="2" t="s">
        <v>1234</v>
      </c>
      <c r="E142" s="2" t="s">
        <v>107</v>
      </c>
      <c r="F142" s="2"/>
      <c r="G142" s="2">
        <v>2</v>
      </c>
      <c r="H142" s="2">
        <v>0</v>
      </c>
      <c r="I142" s="2">
        <v>1</v>
      </c>
      <c r="J142" s="2">
        <v>1</v>
      </c>
      <c r="K142" s="2">
        <v>0</v>
      </c>
      <c r="L142" s="16">
        <v>3800</v>
      </c>
      <c r="M142" s="16">
        <v>1200</v>
      </c>
      <c r="N142" s="8" t="s">
        <v>1235</v>
      </c>
      <c r="O142" s="12">
        <f t="shared" si="2"/>
        <v>31.578947368421051</v>
      </c>
      <c r="P142" s="2">
        <v>2</v>
      </c>
      <c r="Q142" s="2" t="s">
        <v>77</v>
      </c>
      <c r="R142" s="8" t="s">
        <v>1235</v>
      </c>
      <c r="S142" s="8" t="s">
        <v>1236</v>
      </c>
      <c r="T142" s="8" t="s">
        <v>80</v>
      </c>
      <c r="U142" s="2" t="s">
        <v>81</v>
      </c>
      <c r="V142" s="2"/>
      <c r="W142" s="16"/>
      <c r="X142" s="2">
        <v>2029</v>
      </c>
      <c r="Y142" s="16"/>
      <c r="Z142" s="16">
        <v>20</v>
      </c>
      <c r="AA142" s="2">
        <v>2029</v>
      </c>
      <c r="AB142" s="16">
        <v>100</v>
      </c>
      <c r="AC142" s="2">
        <v>2029</v>
      </c>
      <c r="AD142" s="2" t="s">
        <v>82</v>
      </c>
      <c r="AE142" s="16"/>
      <c r="AF142" s="16"/>
      <c r="AG142" s="16"/>
      <c r="AH142" s="16"/>
      <c r="AI142" s="8" t="s">
        <v>83</v>
      </c>
      <c r="AJ142" s="2" t="s">
        <v>84</v>
      </c>
      <c r="AK142" s="2">
        <v>1</v>
      </c>
      <c r="AL142" s="8" t="s">
        <v>1237</v>
      </c>
      <c r="AM142" s="8"/>
      <c r="AN142" s="2">
        <v>2026</v>
      </c>
      <c r="AO142" s="16">
        <v>984</v>
      </c>
      <c r="AP142" s="2">
        <v>2029</v>
      </c>
      <c r="AQ142" s="16">
        <v>1180</v>
      </c>
      <c r="AR142" s="2" t="s">
        <v>86</v>
      </c>
      <c r="AS142" s="16">
        <v>6</v>
      </c>
      <c r="AT142" s="2">
        <v>2026</v>
      </c>
      <c r="AU142" s="16">
        <v>413</v>
      </c>
      <c r="AV142" s="2">
        <v>2029</v>
      </c>
      <c r="AW142" s="16">
        <v>478</v>
      </c>
      <c r="AX142" s="2" t="s">
        <v>86</v>
      </c>
      <c r="AY142" s="16">
        <v>5</v>
      </c>
      <c r="AZ142" s="2">
        <v>2026</v>
      </c>
      <c r="BA142" s="16"/>
      <c r="BB142" s="2">
        <v>2029</v>
      </c>
      <c r="BC142" s="16"/>
      <c r="BD142" s="2" t="s">
        <v>86</v>
      </c>
      <c r="BE142" s="16">
        <v>5</v>
      </c>
      <c r="BF142" s="2">
        <v>2026</v>
      </c>
      <c r="BG142" s="16">
        <v>113</v>
      </c>
      <c r="BH142" s="2">
        <v>2029</v>
      </c>
      <c r="BI142" s="16">
        <v>143</v>
      </c>
      <c r="BJ142" s="2" t="s">
        <v>87</v>
      </c>
      <c r="BK142" s="8"/>
      <c r="BL142" s="8" t="str">
        <f>HYPERLINK("https://seichotoushi-hojo.jp/assets/pdf/koufu/outline_80.pdf","PDFを開く")</f>
        <v>PDFを開く</v>
      </c>
      <c r="BM142" s="8" t="s">
        <v>1238</v>
      </c>
      <c r="BN142" s="8" t="s">
        <v>1239</v>
      </c>
      <c r="BO142" s="8" t="s">
        <v>90</v>
      </c>
      <c r="BP142" s="8" t="s">
        <v>90</v>
      </c>
      <c r="BQ142" s="8" t="s">
        <v>91</v>
      </c>
      <c r="BR142" s="8" t="s">
        <v>92</v>
      </c>
    </row>
    <row r="143" spans="1:70" ht="45.95" customHeight="1">
      <c r="A143" s="5" t="s">
        <v>1240</v>
      </c>
      <c r="B143" s="5" t="s">
        <v>73</v>
      </c>
      <c r="C143" s="5" t="s">
        <v>1241</v>
      </c>
      <c r="D143" s="5" t="s">
        <v>1242</v>
      </c>
      <c r="E143" s="5" t="s">
        <v>95</v>
      </c>
      <c r="F143" s="5"/>
      <c r="G143" s="5">
        <v>2</v>
      </c>
      <c r="H143" s="5">
        <v>0</v>
      </c>
      <c r="I143" s="5">
        <v>1</v>
      </c>
      <c r="J143" s="5">
        <v>1</v>
      </c>
      <c r="K143" s="5">
        <v>0</v>
      </c>
      <c r="L143" s="17">
        <v>2100</v>
      </c>
      <c r="M143" s="17">
        <v>670</v>
      </c>
      <c r="N143" s="9" t="s">
        <v>764</v>
      </c>
      <c r="O143" s="13">
        <f t="shared" si="2"/>
        <v>31.904761904761902</v>
      </c>
      <c r="P143" s="5">
        <v>2</v>
      </c>
      <c r="Q143" s="5" t="s">
        <v>77</v>
      </c>
      <c r="R143" s="9" t="s">
        <v>1243</v>
      </c>
      <c r="S143" s="9" t="s">
        <v>1244</v>
      </c>
      <c r="T143" s="9" t="s">
        <v>80</v>
      </c>
      <c r="U143" s="5" t="s">
        <v>81</v>
      </c>
      <c r="V143" s="5"/>
      <c r="W143" s="17"/>
      <c r="X143" s="5">
        <v>2030</v>
      </c>
      <c r="Y143" s="17"/>
      <c r="Z143" s="17">
        <v>16</v>
      </c>
      <c r="AA143" s="5">
        <v>2030</v>
      </c>
      <c r="AB143" s="17">
        <v>40</v>
      </c>
      <c r="AC143" s="5">
        <v>2030</v>
      </c>
      <c r="AD143" s="5" t="s">
        <v>82</v>
      </c>
      <c r="AE143" s="17"/>
      <c r="AF143" s="17"/>
      <c r="AG143" s="17"/>
      <c r="AH143" s="17"/>
      <c r="AI143" s="9" t="s">
        <v>83</v>
      </c>
      <c r="AJ143" s="5" t="s">
        <v>84</v>
      </c>
      <c r="AK143" s="5">
        <v>1</v>
      </c>
      <c r="AL143" s="9" t="s">
        <v>1245</v>
      </c>
      <c r="AM143" s="9"/>
      <c r="AN143" s="5">
        <v>2026</v>
      </c>
      <c r="AO143" s="17">
        <v>827</v>
      </c>
      <c r="AP143" s="5">
        <v>2029</v>
      </c>
      <c r="AQ143" s="17">
        <v>1194</v>
      </c>
      <c r="AR143" s="5" t="s">
        <v>86</v>
      </c>
      <c r="AS143" s="17">
        <v>13</v>
      </c>
      <c r="AT143" s="5">
        <v>2026</v>
      </c>
      <c r="AU143" s="17">
        <v>433</v>
      </c>
      <c r="AV143" s="5">
        <v>2029</v>
      </c>
      <c r="AW143" s="17">
        <v>501</v>
      </c>
      <c r="AX143" s="5" t="s">
        <v>86</v>
      </c>
      <c r="AY143" s="17">
        <v>5</v>
      </c>
      <c r="AZ143" s="5">
        <v>2026</v>
      </c>
      <c r="BA143" s="17">
        <v>863</v>
      </c>
      <c r="BB143" s="5">
        <v>2029</v>
      </c>
      <c r="BC143" s="17">
        <v>999</v>
      </c>
      <c r="BD143" s="5" t="s">
        <v>86</v>
      </c>
      <c r="BE143" s="17">
        <v>5</v>
      </c>
      <c r="BF143" s="5">
        <v>2026</v>
      </c>
      <c r="BG143" s="17">
        <v>195</v>
      </c>
      <c r="BH143" s="5">
        <v>2029</v>
      </c>
      <c r="BI143" s="17">
        <v>195</v>
      </c>
      <c r="BJ143" s="5" t="s">
        <v>87</v>
      </c>
      <c r="BK143" s="9"/>
      <c r="BL143" s="9" t="str">
        <f>HYPERLINK("https://seichotoushi-hojo.jp/assets/pdf/koufu/outline_81.pdf","PDFを開く")</f>
        <v>PDFを開く</v>
      </c>
      <c r="BM143" s="9" t="s">
        <v>1246</v>
      </c>
      <c r="BN143" s="9" t="s">
        <v>1247</v>
      </c>
      <c r="BO143" s="9" t="s">
        <v>90</v>
      </c>
      <c r="BP143" s="9" t="s">
        <v>90</v>
      </c>
      <c r="BQ143" s="9" t="s">
        <v>90</v>
      </c>
      <c r="BR143" s="9" t="s">
        <v>92</v>
      </c>
    </row>
    <row r="144" spans="1:70" ht="45.95" customHeight="1">
      <c r="A144" s="2" t="s">
        <v>1248</v>
      </c>
      <c r="B144" s="2" t="s">
        <v>73</v>
      </c>
      <c r="C144" s="2" t="s">
        <v>1249</v>
      </c>
      <c r="D144" s="2" t="s">
        <v>1249</v>
      </c>
      <c r="E144" s="2" t="s">
        <v>75</v>
      </c>
      <c r="F144" s="2"/>
      <c r="G144" s="2">
        <v>2</v>
      </c>
      <c r="H144" s="2">
        <v>0</v>
      </c>
      <c r="I144" s="2">
        <v>1</v>
      </c>
      <c r="J144" s="2">
        <v>1</v>
      </c>
      <c r="K144" s="2">
        <v>0</v>
      </c>
      <c r="L144" s="16">
        <v>3900</v>
      </c>
      <c r="M144" s="16">
        <v>1300</v>
      </c>
      <c r="N144" s="8" t="s">
        <v>169</v>
      </c>
      <c r="O144" s="12">
        <f t="shared" si="2"/>
        <v>33.333333333333329</v>
      </c>
      <c r="P144" s="2">
        <v>2</v>
      </c>
      <c r="Q144" s="2" t="s">
        <v>77</v>
      </c>
      <c r="R144" s="8" t="s">
        <v>1250</v>
      </c>
      <c r="S144" s="8" t="s">
        <v>1251</v>
      </c>
      <c r="T144" s="8" t="s">
        <v>80</v>
      </c>
      <c r="U144" s="2" t="s">
        <v>81</v>
      </c>
      <c r="V144" s="2"/>
      <c r="W144" s="16"/>
      <c r="X144" s="2">
        <v>2030</v>
      </c>
      <c r="Y144" s="16"/>
      <c r="Z144" s="16">
        <v>34.4</v>
      </c>
      <c r="AA144" s="2">
        <v>2030</v>
      </c>
      <c r="AB144" s="16">
        <v>196</v>
      </c>
      <c r="AC144" s="2">
        <v>2030</v>
      </c>
      <c r="AD144" s="2" t="s">
        <v>82</v>
      </c>
      <c r="AE144" s="16"/>
      <c r="AF144" s="16"/>
      <c r="AG144" s="16"/>
      <c r="AH144" s="16"/>
      <c r="AI144" s="8" t="s">
        <v>83</v>
      </c>
      <c r="AJ144" s="2" t="s">
        <v>84</v>
      </c>
      <c r="AK144" s="2">
        <v>1</v>
      </c>
      <c r="AL144" s="8" t="s">
        <v>1252</v>
      </c>
      <c r="AM144" s="8"/>
      <c r="AN144" s="2">
        <v>2026</v>
      </c>
      <c r="AO144" s="16">
        <v>724</v>
      </c>
      <c r="AP144" s="2">
        <v>2030</v>
      </c>
      <c r="AQ144" s="16">
        <v>943</v>
      </c>
      <c r="AR144" s="2" t="s">
        <v>86</v>
      </c>
      <c r="AS144" s="16"/>
      <c r="AT144" s="2">
        <v>2026</v>
      </c>
      <c r="AU144" s="16">
        <v>570</v>
      </c>
      <c r="AV144" s="2">
        <v>2030</v>
      </c>
      <c r="AW144" s="16">
        <v>642</v>
      </c>
      <c r="AX144" s="2" t="s">
        <v>86</v>
      </c>
      <c r="AY144" s="16">
        <v>4</v>
      </c>
      <c r="AZ144" s="2">
        <v>2026</v>
      </c>
      <c r="BA144" s="16"/>
      <c r="BB144" s="2">
        <v>2030</v>
      </c>
      <c r="BC144" s="16"/>
      <c r="BD144" s="2" t="s">
        <v>86</v>
      </c>
      <c r="BE144" s="16">
        <v>4</v>
      </c>
      <c r="BF144" s="2">
        <v>2026</v>
      </c>
      <c r="BG144" s="16">
        <v>220</v>
      </c>
      <c r="BH144" s="2">
        <v>2030</v>
      </c>
      <c r="BI144" s="16">
        <v>270</v>
      </c>
      <c r="BJ144" s="2" t="s">
        <v>87</v>
      </c>
      <c r="BK144" s="8"/>
      <c r="BL144" s="8" t="str">
        <f>HYPERLINK("https://seichotoushi-hojo.jp/assets/pdf/koufu/outline_82.pdf","PDFを開く")</f>
        <v>PDFを開く</v>
      </c>
      <c r="BM144" s="8" t="s">
        <v>1253</v>
      </c>
      <c r="BN144" s="8" t="s">
        <v>1254</v>
      </c>
      <c r="BO144" s="8" t="s">
        <v>92</v>
      </c>
      <c r="BP144" s="8" t="s">
        <v>90</v>
      </c>
      <c r="BQ144" s="8" t="s">
        <v>91</v>
      </c>
      <c r="BR144" s="8" t="s">
        <v>92</v>
      </c>
    </row>
    <row r="145" spans="1:70" ht="45.95" customHeight="1">
      <c r="A145" s="5" t="s">
        <v>1255</v>
      </c>
      <c r="B145" s="5" t="s">
        <v>73</v>
      </c>
      <c r="C145" s="5" t="s">
        <v>1256</v>
      </c>
      <c r="D145" s="5" t="s">
        <v>1256</v>
      </c>
      <c r="E145" s="5" t="s">
        <v>107</v>
      </c>
      <c r="F145" s="5"/>
      <c r="G145" s="5">
        <v>2</v>
      </c>
      <c r="H145" s="5">
        <v>0</v>
      </c>
      <c r="I145" s="5">
        <v>1</v>
      </c>
      <c r="J145" s="5">
        <v>1</v>
      </c>
      <c r="K145" s="5">
        <v>0</v>
      </c>
      <c r="L145" s="17">
        <v>1900</v>
      </c>
      <c r="M145" s="17">
        <v>440</v>
      </c>
      <c r="N145" s="9" t="s">
        <v>1257</v>
      </c>
      <c r="O145" s="13">
        <f t="shared" si="2"/>
        <v>23.157894736842106</v>
      </c>
      <c r="P145" s="5">
        <v>2</v>
      </c>
      <c r="Q145" s="5" t="s">
        <v>77</v>
      </c>
      <c r="R145" s="9" t="s">
        <v>1258</v>
      </c>
      <c r="S145" s="9" t="s">
        <v>1259</v>
      </c>
      <c r="T145" s="9" t="s">
        <v>80</v>
      </c>
      <c r="U145" s="5" t="s">
        <v>81</v>
      </c>
      <c r="V145" s="5"/>
      <c r="W145" s="17"/>
      <c r="X145" s="5">
        <v>2028</v>
      </c>
      <c r="Y145" s="17"/>
      <c r="Z145" s="17">
        <v>20.2</v>
      </c>
      <c r="AA145" s="5">
        <v>2028</v>
      </c>
      <c r="AB145" s="17">
        <v>260</v>
      </c>
      <c r="AC145" s="5">
        <v>2028</v>
      </c>
      <c r="AD145" s="5" t="s">
        <v>82</v>
      </c>
      <c r="AE145" s="17"/>
      <c r="AF145" s="17"/>
      <c r="AG145" s="17"/>
      <c r="AH145" s="17"/>
      <c r="AI145" s="9" t="s">
        <v>83</v>
      </c>
      <c r="AJ145" s="5" t="s">
        <v>84</v>
      </c>
      <c r="AK145" s="5">
        <v>1</v>
      </c>
      <c r="AL145" s="9" t="s">
        <v>1260</v>
      </c>
      <c r="AM145" s="9"/>
      <c r="AN145" s="5">
        <v>2025</v>
      </c>
      <c r="AO145" s="17">
        <v>393</v>
      </c>
      <c r="AP145" s="5">
        <v>2028</v>
      </c>
      <c r="AQ145" s="17">
        <v>1656</v>
      </c>
      <c r="AR145" s="5" t="s">
        <v>86</v>
      </c>
      <c r="AS145" s="17"/>
      <c r="AT145" s="5">
        <v>2025</v>
      </c>
      <c r="AU145" s="17">
        <v>448.6</v>
      </c>
      <c r="AV145" s="5">
        <v>2028</v>
      </c>
      <c r="AW145" s="17">
        <v>501.2</v>
      </c>
      <c r="AX145" s="5" t="s">
        <v>86</v>
      </c>
      <c r="AY145" s="17"/>
      <c r="AZ145" s="5">
        <v>2025</v>
      </c>
      <c r="BA145" s="17">
        <v>1254.2</v>
      </c>
      <c r="BB145" s="5">
        <v>2028</v>
      </c>
      <c r="BC145" s="17">
        <v>1404</v>
      </c>
      <c r="BD145" s="5" t="s">
        <v>86</v>
      </c>
      <c r="BE145" s="17"/>
      <c r="BF145" s="5"/>
      <c r="BG145" s="17"/>
      <c r="BH145" s="5"/>
      <c r="BI145" s="17"/>
      <c r="BJ145" s="5" t="s">
        <v>152</v>
      </c>
      <c r="BK145" s="9" t="s">
        <v>153</v>
      </c>
      <c r="BL145" s="9" t="str">
        <f>HYPERLINK("https://seichotoushi-hojo.jp/assets/pdf/koufu/outline_83.pdf","PDFを開く")</f>
        <v>PDFを開く</v>
      </c>
      <c r="BM145" s="9" t="s">
        <v>1261</v>
      </c>
      <c r="BN145" s="9" t="s">
        <v>1262</v>
      </c>
      <c r="BO145" s="9" t="s">
        <v>92</v>
      </c>
      <c r="BP145" s="9" t="s">
        <v>92</v>
      </c>
      <c r="BQ145" s="9" t="s">
        <v>92</v>
      </c>
      <c r="BR145" s="9" t="s">
        <v>157</v>
      </c>
    </row>
    <row r="146" spans="1:70" ht="45.95" customHeight="1">
      <c r="A146" s="2" t="s">
        <v>1263</v>
      </c>
      <c r="B146" s="2" t="s">
        <v>73</v>
      </c>
      <c r="C146" s="2" t="s">
        <v>1264</v>
      </c>
      <c r="D146" s="2" t="s">
        <v>1264</v>
      </c>
      <c r="E146" s="2" t="s">
        <v>95</v>
      </c>
      <c r="F146" s="2"/>
      <c r="G146" s="2">
        <v>2</v>
      </c>
      <c r="H146" s="2">
        <v>0</v>
      </c>
      <c r="I146" s="2">
        <v>1</v>
      </c>
      <c r="J146" s="2">
        <v>1</v>
      </c>
      <c r="K146" s="2">
        <v>0</v>
      </c>
      <c r="L146" s="16">
        <v>2100</v>
      </c>
      <c r="M146" s="16">
        <v>590</v>
      </c>
      <c r="N146" s="8" t="s">
        <v>1265</v>
      </c>
      <c r="O146" s="12">
        <f t="shared" si="2"/>
        <v>28.095238095238095</v>
      </c>
      <c r="P146" s="2">
        <v>2</v>
      </c>
      <c r="Q146" s="2" t="s">
        <v>77</v>
      </c>
      <c r="R146" s="8" t="s">
        <v>1266</v>
      </c>
      <c r="S146" s="8" t="s">
        <v>1267</v>
      </c>
      <c r="T146" s="8" t="s">
        <v>80</v>
      </c>
      <c r="U146" s="2" t="s">
        <v>81</v>
      </c>
      <c r="V146" s="2">
        <v>2027</v>
      </c>
      <c r="W146" s="16">
        <v>104.7</v>
      </c>
      <c r="X146" s="2">
        <v>2030</v>
      </c>
      <c r="Y146" s="16">
        <v>90</v>
      </c>
      <c r="Z146" s="16"/>
      <c r="AA146" s="2"/>
      <c r="AB146" s="16">
        <v>91.1</v>
      </c>
      <c r="AC146" s="2">
        <v>2030</v>
      </c>
      <c r="AD146" s="2" t="s">
        <v>210</v>
      </c>
      <c r="AE146" s="16"/>
      <c r="AF146" s="16"/>
      <c r="AG146" s="16">
        <v>-4.917934112846023</v>
      </c>
      <c r="AH146" s="16"/>
      <c r="AI146" s="8" t="s">
        <v>100</v>
      </c>
      <c r="AJ146" s="2" t="s">
        <v>84</v>
      </c>
      <c r="AK146" s="2">
        <v>1</v>
      </c>
      <c r="AL146" s="8" t="s">
        <v>1268</v>
      </c>
      <c r="AM146" s="8" t="s">
        <v>1269</v>
      </c>
      <c r="AN146" s="2">
        <v>2026</v>
      </c>
      <c r="AO146" s="16">
        <v>1803</v>
      </c>
      <c r="AP146" s="2">
        <v>2029</v>
      </c>
      <c r="AQ146" s="16">
        <v>17781</v>
      </c>
      <c r="AR146" s="2" t="s">
        <v>86</v>
      </c>
      <c r="AS146" s="16"/>
      <c r="AT146" s="2">
        <v>2026</v>
      </c>
      <c r="AU146" s="16">
        <v>708</v>
      </c>
      <c r="AV146" s="2">
        <v>2029</v>
      </c>
      <c r="AW146" s="16">
        <v>868</v>
      </c>
      <c r="AX146" s="2" t="s">
        <v>86</v>
      </c>
      <c r="AY146" s="16">
        <v>7</v>
      </c>
      <c r="AZ146" s="2">
        <v>2026</v>
      </c>
      <c r="BA146" s="16">
        <v>1395</v>
      </c>
      <c r="BB146" s="2">
        <v>2029</v>
      </c>
      <c r="BC146" s="16">
        <v>1709</v>
      </c>
      <c r="BD146" s="2" t="s">
        <v>86</v>
      </c>
      <c r="BE146" s="16">
        <v>7</v>
      </c>
      <c r="BF146" s="2">
        <v>2026</v>
      </c>
      <c r="BG146" s="16">
        <v>23</v>
      </c>
      <c r="BH146" s="2">
        <v>2029</v>
      </c>
      <c r="BI146" s="16">
        <v>26</v>
      </c>
      <c r="BJ146" s="2" t="s">
        <v>87</v>
      </c>
      <c r="BK146" s="8"/>
      <c r="BL146" s="8" t="str">
        <f>HYPERLINK("https://seichotoushi-hojo.jp/assets/pdf/koufu/outline_84.pdf","PDFを開く")</f>
        <v>PDFを開く</v>
      </c>
      <c r="BM146" s="8" t="s">
        <v>1270</v>
      </c>
      <c r="BN146" s="8" t="s">
        <v>1271</v>
      </c>
      <c r="BO146" s="8" t="s">
        <v>92</v>
      </c>
      <c r="BP146" s="8" t="s">
        <v>90</v>
      </c>
      <c r="BQ146" s="8" t="s">
        <v>90</v>
      </c>
      <c r="BR146" s="8" t="s">
        <v>92</v>
      </c>
    </row>
    <row r="147" spans="1:70" ht="45.95" customHeight="1">
      <c r="A147" s="5" t="s">
        <v>1272</v>
      </c>
      <c r="B147" s="5" t="s">
        <v>73</v>
      </c>
      <c r="C147" s="5" t="s">
        <v>1273</v>
      </c>
      <c r="D147" s="5" t="s">
        <v>1273</v>
      </c>
      <c r="E147" s="5"/>
      <c r="F147" s="5"/>
      <c r="G147" s="5">
        <v>2</v>
      </c>
      <c r="H147" s="5">
        <v>0</v>
      </c>
      <c r="I147" s="5">
        <v>1</v>
      </c>
      <c r="J147" s="5">
        <v>1</v>
      </c>
      <c r="K147" s="5">
        <v>0</v>
      </c>
      <c r="L147" s="17">
        <v>3700</v>
      </c>
      <c r="M147" s="17">
        <v>1200</v>
      </c>
      <c r="N147" s="9" t="s">
        <v>1274</v>
      </c>
      <c r="O147" s="13">
        <f t="shared" si="2"/>
        <v>32.432432432432435</v>
      </c>
      <c r="P147" s="5">
        <v>2</v>
      </c>
      <c r="Q147" s="5" t="s">
        <v>77</v>
      </c>
      <c r="R147" s="9" t="s">
        <v>1275</v>
      </c>
      <c r="S147" s="9" t="s">
        <v>1276</v>
      </c>
      <c r="T147" s="9" t="s">
        <v>80</v>
      </c>
      <c r="U147" s="5" t="s">
        <v>81</v>
      </c>
      <c r="V147" s="5"/>
      <c r="W147" s="17"/>
      <c r="X147" s="5">
        <v>2029</v>
      </c>
      <c r="Y147" s="17"/>
      <c r="Z147" s="17"/>
      <c r="AA147" s="5"/>
      <c r="AB147" s="17"/>
      <c r="AC147" s="5"/>
      <c r="AD147" s="5"/>
      <c r="AE147" s="17"/>
      <c r="AF147" s="17"/>
      <c r="AG147" s="17"/>
      <c r="AH147" s="17">
        <v>2.2000000000000002</v>
      </c>
      <c r="AI147" s="9" t="s">
        <v>692</v>
      </c>
      <c r="AJ147" s="5" t="s">
        <v>84</v>
      </c>
      <c r="AK147" s="5">
        <v>1</v>
      </c>
      <c r="AL147" s="9" t="s">
        <v>1277</v>
      </c>
      <c r="AM147" s="9" t="s">
        <v>1278</v>
      </c>
      <c r="AN147" s="5">
        <v>2026</v>
      </c>
      <c r="AO147" s="17">
        <v>767</v>
      </c>
      <c r="AP147" s="5">
        <v>2029</v>
      </c>
      <c r="AQ147" s="17">
        <v>1008</v>
      </c>
      <c r="AR147" s="5" t="s">
        <v>86</v>
      </c>
      <c r="AS147" s="17">
        <v>9.5</v>
      </c>
      <c r="AT147" s="5">
        <v>2026</v>
      </c>
      <c r="AU147" s="17">
        <v>415</v>
      </c>
      <c r="AV147" s="5">
        <v>2029</v>
      </c>
      <c r="AW147" s="17">
        <v>494</v>
      </c>
      <c r="AX147" s="5" t="s">
        <v>86</v>
      </c>
      <c r="AY147" s="17">
        <v>6</v>
      </c>
      <c r="AZ147" s="5">
        <v>2026</v>
      </c>
      <c r="BA147" s="17"/>
      <c r="BB147" s="5">
        <v>2029</v>
      </c>
      <c r="BC147" s="17"/>
      <c r="BD147" s="5" t="s">
        <v>86</v>
      </c>
      <c r="BE147" s="17">
        <v>6</v>
      </c>
      <c r="BF147" s="5">
        <v>2026</v>
      </c>
      <c r="BG147" s="17">
        <v>94</v>
      </c>
      <c r="BH147" s="5">
        <v>2029</v>
      </c>
      <c r="BI147" s="17">
        <v>104</v>
      </c>
      <c r="BJ147" s="5" t="s">
        <v>87</v>
      </c>
      <c r="BK147" s="9"/>
      <c r="BL147" s="9" t="str">
        <f>HYPERLINK("https://seichotoushi-hojo.jp/assets/pdf/koufu/outline_85.pdf","PDFを開く")</f>
        <v>PDFを開く</v>
      </c>
      <c r="BM147" s="9" t="s">
        <v>1279</v>
      </c>
      <c r="BN147" s="9" t="s">
        <v>1280</v>
      </c>
      <c r="BO147" s="9" t="s">
        <v>90</v>
      </c>
      <c r="BP147" s="9" t="s">
        <v>90</v>
      </c>
      <c r="BQ147" s="9" t="s">
        <v>91</v>
      </c>
      <c r="BR147" s="9" t="s">
        <v>92</v>
      </c>
    </row>
    <row r="148" spans="1:70" ht="45.95" customHeight="1">
      <c r="A148" s="2" t="s">
        <v>1281</v>
      </c>
      <c r="B148" s="2" t="s">
        <v>73</v>
      </c>
      <c r="C148" s="2" t="s">
        <v>1282</v>
      </c>
      <c r="D148" s="2" t="s">
        <v>1282</v>
      </c>
      <c r="E148" s="2" t="s">
        <v>107</v>
      </c>
      <c r="F148" s="2"/>
      <c r="G148" s="2">
        <v>2</v>
      </c>
      <c r="H148" s="2">
        <v>0</v>
      </c>
      <c r="I148" s="2">
        <v>0</v>
      </c>
      <c r="J148" s="2">
        <v>0</v>
      </c>
      <c r="K148" s="2">
        <v>2</v>
      </c>
      <c r="L148" s="16">
        <v>4100</v>
      </c>
      <c r="M148" s="16">
        <v>1300</v>
      </c>
      <c r="N148" s="8" t="s">
        <v>1038</v>
      </c>
      <c r="O148" s="12">
        <f t="shared" si="2"/>
        <v>31.707317073170731</v>
      </c>
      <c r="P148" s="2">
        <v>2</v>
      </c>
      <c r="Q148" s="2" t="s">
        <v>308</v>
      </c>
      <c r="R148" s="8"/>
      <c r="S148" s="8"/>
      <c r="T148" s="8" t="s">
        <v>310</v>
      </c>
      <c r="U148" s="2" t="s">
        <v>81</v>
      </c>
      <c r="V148" s="2">
        <v>2023</v>
      </c>
      <c r="W148" s="16"/>
      <c r="X148" s="2">
        <v>2029</v>
      </c>
      <c r="Y148" s="16"/>
      <c r="Z148" s="16">
        <v>34.5</v>
      </c>
      <c r="AA148" s="2">
        <v>2029</v>
      </c>
      <c r="AB148" s="16">
        <v>90</v>
      </c>
      <c r="AC148" s="2">
        <v>2029</v>
      </c>
      <c r="AD148" s="2" t="s">
        <v>82</v>
      </c>
      <c r="AE148" s="16"/>
      <c r="AF148" s="16"/>
      <c r="AG148" s="16"/>
      <c r="AH148" s="16"/>
      <c r="AI148" s="8" t="s">
        <v>166</v>
      </c>
      <c r="AJ148" s="2" t="s">
        <v>292</v>
      </c>
      <c r="AK148" s="2">
        <v>1</v>
      </c>
      <c r="AL148" s="8" t="s">
        <v>1283</v>
      </c>
      <c r="AM148" s="8"/>
      <c r="AN148" s="2">
        <v>2026</v>
      </c>
      <c r="AO148" s="16">
        <v>9308</v>
      </c>
      <c r="AP148" s="2">
        <v>2029</v>
      </c>
      <c r="AQ148" s="16">
        <v>13803</v>
      </c>
      <c r="AR148" s="2" t="s">
        <v>86</v>
      </c>
      <c r="AS148" s="16">
        <v>14</v>
      </c>
      <c r="AT148" s="2">
        <v>2026</v>
      </c>
      <c r="AU148" s="16">
        <v>609</v>
      </c>
      <c r="AV148" s="2">
        <v>2029</v>
      </c>
      <c r="AW148" s="16">
        <v>695</v>
      </c>
      <c r="AX148" s="2" t="s">
        <v>86</v>
      </c>
      <c r="AY148" s="16">
        <v>4.5</v>
      </c>
      <c r="AZ148" s="2">
        <v>2026</v>
      </c>
      <c r="BA148" s="16">
        <v>4139</v>
      </c>
      <c r="BB148" s="2">
        <v>2029</v>
      </c>
      <c r="BC148" s="16">
        <v>4723</v>
      </c>
      <c r="BD148" s="2" t="s">
        <v>86</v>
      </c>
      <c r="BE148" s="16">
        <v>4.45</v>
      </c>
      <c r="BF148" s="2"/>
      <c r="BG148" s="16"/>
      <c r="BH148" s="2"/>
      <c r="BI148" s="16"/>
      <c r="BJ148" s="2" t="s">
        <v>152</v>
      </c>
      <c r="BK148" s="8" t="s">
        <v>1284</v>
      </c>
      <c r="BL148" s="8" t="str">
        <f>HYPERLINK("https://seichotoushi-hojo.jp/assets/pdf/koufu/outline_86.pdf","PDFを開く")</f>
        <v>PDFを開く</v>
      </c>
      <c r="BM148" s="8" t="s">
        <v>1285</v>
      </c>
      <c r="BN148" s="8" t="s">
        <v>1286</v>
      </c>
      <c r="BO148" s="8" t="s">
        <v>166</v>
      </c>
      <c r="BP148" s="8" t="s">
        <v>166</v>
      </c>
      <c r="BQ148" s="8" t="s">
        <v>166</v>
      </c>
      <c r="BR148" s="8" t="s">
        <v>157</v>
      </c>
    </row>
    <row r="149" spans="1:70" ht="45.95" customHeight="1">
      <c r="A149" s="5" t="s">
        <v>1287</v>
      </c>
      <c r="B149" s="5" t="s">
        <v>73</v>
      </c>
      <c r="C149" s="5" t="s">
        <v>1288</v>
      </c>
      <c r="D149" s="5" t="s">
        <v>1288</v>
      </c>
      <c r="E149" s="5" t="s">
        <v>95</v>
      </c>
      <c r="F149" s="5"/>
      <c r="G149" s="5">
        <v>2</v>
      </c>
      <c r="H149" s="5">
        <v>0</v>
      </c>
      <c r="I149" s="5">
        <v>1</v>
      </c>
      <c r="J149" s="5">
        <v>1</v>
      </c>
      <c r="K149" s="5">
        <v>0</v>
      </c>
      <c r="L149" s="17">
        <v>11200</v>
      </c>
      <c r="M149" s="17">
        <v>3400</v>
      </c>
      <c r="N149" s="9" t="s">
        <v>1289</v>
      </c>
      <c r="O149" s="13">
        <f t="shared" si="2"/>
        <v>30.357142857142854</v>
      </c>
      <c r="P149" s="5">
        <v>2</v>
      </c>
      <c r="Q149" s="5" t="s">
        <v>77</v>
      </c>
      <c r="R149" s="9" t="s">
        <v>1289</v>
      </c>
      <c r="S149" s="9" t="s">
        <v>1290</v>
      </c>
      <c r="T149" s="9" t="s">
        <v>80</v>
      </c>
      <c r="U149" s="5" t="s">
        <v>81</v>
      </c>
      <c r="V149" s="5">
        <v>2023</v>
      </c>
      <c r="W149" s="17"/>
      <c r="X149" s="5">
        <v>2030</v>
      </c>
      <c r="Y149" s="17"/>
      <c r="Z149" s="17">
        <v>201</v>
      </c>
      <c r="AA149" s="5">
        <v>2030</v>
      </c>
      <c r="AB149" s="17">
        <v>6</v>
      </c>
      <c r="AC149" s="5">
        <v>2030</v>
      </c>
      <c r="AD149" s="5" t="s">
        <v>210</v>
      </c>
      <c r="AE149" s="17"/>
      <c r="AF149" s="17"/>
      <c r="AG149" s="17"/>
      <c r="AH149" s="17"/>
      <c r="AI149" s="9" t="s">
        <v>83</v>
      </c>
      <c r="AJ149" s="5" t="s">
        <v>84</v>
      </c>
      <c r="AK149" s="5">
        <v>1</v>
      </c>
      <c r="AL149" s="9" t="s">
        <v>1291</v>
      </c>
      <c r="AM149" s="9"/>
      <c r="AN149" s="5">
        <v>2027</v>
      </c>
      <c r="AO149" s="17">
        <v>1889</v>
      </c>
      <c r="AP149" s="5">
        <v>2030</v>
      </c>
      <c r="AQ149" s="17">
        <v>2191</v>
      </c>
      <c r="AR149" s="5" t="s">
        <v>86</v>
      </c>
      <c r="AS149" s="17">
        <v>5.0999999999999996</v>
      </c>
      <c r="AT149" s="5">
        <v>2027</v>
      </c>
      <c r="AU149" s="17">
        <v>779</v>
      </c>
      <c r="AV149" s="5">
        <v>2030</v>
      </c>
      <c r="AW149" s="17">
        <v>876</v>
      </c>
      <c r="AX149" s="5" t="s">
        <v>86</v>
      </c>
      <c r="AY149" s="17">
        <v>4</v>
      </c>
      <c r="AZ149" s="5">
        <v>2027</v>
      </c>
      <c r="BA149" s="17">
        <v>6244</v>
      </c>
      <c r="BB149" s="5">
        <v>2030</v>
      </c>
      <c r="BC149" s="17">
        <v>7024</v>
      </c>
      <c r="BD149" s="5" t="s">
        <v>86</v>
      </c>
      <c r="BE149" s="17">
        <v>4</v>
      </c>
      <c r="BF149" s="5">
        <v>2027</v>
      </c>
      <c r="BG149" s="17">
        <v>1124</v>
      </c>
      <c r="BH149" s="5">
        <v>2030</v>
      </c>
      <c r="BI149" s="17">
        <v>1214</v>
      </c>
      <c r="BJ149" s="5" t="s">
        <v>87</v>
      </c>
      <c r="BK149" s="9" t="s">
        <v>181</v>
      </c>
      <c r="BL149" s="9" t="str">
        <f>HYPERLINK("https://seichotoushi-hojo.jp/assets/pdf/koufu/outline_87.pdf","PDFを開く")</f>
        <v>PDFを開く</v>
      </c>
      <c r="BM149" s="9" t="s">
        <v>1292</v>
      </c>
      <c r="BN149" s="9" t="s">
        <v>1293</v>
      </c>
      <c r="BO149" s="9" t="s">
        <v>166</v>
      </c>
      <c r="BP149" s="9" t="s">
        <v>166</v>
      </c>
      <c r="BQ149" s="9" t="s">
        <v>166</v>
      </c>
      <c r="BR149" s="9" t="s">
        <v>166</v>
      </c>
    </row>
    <row r="150" spans="1:70" ht="45.95" customHeight="1">
      <c r="A150" s="2" t="s">
        <v>1294</v>
      </c>
      <c r="B150" s="2" t="s">
        <v>73</v>
      </c>
      <c r="C150" s="2" t="s">
        <v>1295</v>
      </c>
      <c r="D150" s="2" t="s">
        <v>1295</v>
      </c>
      <c r="E150" s="2" t="s">
        <v>75</v>
      </c>
      <c r="F150" s="2"/>
      <c r="G150" s="2">
        <v>2</v>
      </c>
      <c r="H150" s="2">
        <v>0</v>
      </c>
      <c r="I150" s="2">
        <v>1</v>
      </c>
      <c r="J150" s="2">
        <v>1</v>
      </c>
      <c r="K150" s="2">
        <v>0</v>
      </c>
      <c r="L150" s="16">
        <v>13400</v>
      </c>
      <c r="M150" s="16">
        <v>4100</v>
      </c>
      <c r="N150" s="8" t="s">
        <v>1296</v>
      </c>
      <c r="O150" s="12">
        <f t="shared" si="2"/>
        <v>30.597014925373134</v>
      </c>
      <c r="P150" s="2">
        <v>2</v>
      </c>
      <c r="Q150" s="2" t="s">
        <v>77</v>
      </c>
      <c r="R150" s="8" t="s">
        <v>1297</v>
      </c>
      <c r="S150" s="8" t="s">
        <v>1298</v>
      </c>
      <c r="T150" s="8" t="s">
        <v>80</v>
      </c>
      <c r="U150" s="2" t="s">
        <v>81</v>
      </c>
      <c r="V150" s="2"/>
      <c r="W150" s="16"/>
      <c r="X150" s="2">
        <v>2028</v>
      </c>
      <c r="Y150" s="16">
        <v>537</v>
      </c>
      <c r="Z150" s="16">
        <v>180</v>
      </c>
      <c r="AA150" s="2">
        <v>2028</v>
      </c>
      <c r="AB150" s="16">
        <v>150</v>
      </c>
      <c r="AC150" s="2">
        <v>2028</v>
      </c>
      <c r="AD150" s="2" t="s">
        <v>82</v>
      </c>
      <c r="AE150" s="16"/>
      <c r="AF150" s="16"/>
      <c r="AG150" s="16"/>
      <c r="AH150" s="16"/>
      <c r="AI150" s="8" t="s">
        <v>83</v>
      </c>
      <c r="AJ150" s="2" t="s">
        <v>84</v>
      </c>
      <c r="AK150" s="2">
        <v>1</v>
      </c>
      <c r="AL150" s="8" t="s">
        <v>1299</v>
      </c>
      <c r="AM150" s="8" t="s">
        <v>1300</v>
      </c>
      <c r="AN150" s="2">
        <v>2025</v>
      </c>
      <c r="AO150" s="16">
        <v>2827</v>
      </c>
      <c r="AP150" s="2">
        <v>2028</v>
      </c>
      <c r="AQ150" s="16">
        <v>3797</v>
      </c>
      <c r="AR150" s="2" t="s">
        <v>86</v>
      </c>
      <c r="AS150" s="16">
        <v>10.3</v>
      </c>
      <c r="AT150" s="2">
        <v>2025</v>
      </c>
      <c r="AU150" s="16">
        <v>534</v>
      </c>
      <c r="AV150" s="2">
        <v>2028</v>
      </c>
      <c r="AW150" s="16">
        <v>592</v>
      </c>
      <c r="AX150" s="2" t="s">
        <v>86</v>
      </c>
      <c r="AY150" s="16">
        <v>3.51</v>
      </c>
      <c r="AZ150" s="2">
        <v>2025</v>
      </c>
      <c r="BA150" s="16"/>
      <c r="BB150" s="2">
        <v>2028</v>
      </c>
      <c r="BC150" s="16"/>
      <c r="BD150" s="2" t="s">
        <v>86</v>
      </c>
      <c r="BE150" s="16">
        <v>3.35</v>
      </c>
      <c r="BF150" s="2">
        <v>2025</v>
      </c>
      <c r="BG150" s="16">
        <v>200</v>
      </c>
      <c r="BH150" s="2">
        <v>2028</v>
      </c>
      <c r="BI150" s="16">
        <v>236</v>
      </c>
      <c r="BJ150" s="2" t="s">
        <v>87</v>
      </c>
      <c r="BK150" s="8"/>
      <c r="BL150" s="8" t="str">
        <f>HYPERLINK("https://seichotoushi-hojo.jp/assets/pdf/koufu/outline_88.pdf","PDFを開く")</f>
        <v>PDFを開く</v>
      </c>
      <c r="BM150" s="8" t="s">
        <v>1301</v>
      </c>
      <c r="BN150" s="8" t="s">
        <v>1302</v>
      </c>
      <c r="BO150" s="8" t="s">
        <v>90</v>
      </c>
      <c r="BP150" s="8" t="s">
        <v>90</v>
      </c>
      <c r="BQ150" s="8" t="s">
        <v>91</v>
      </c>
      <c r="BR150" s="8" t="s">
        <v>92</v>
      </c>
    </row>
    <row r="151" spans="1:70" ht="45.95" customHeight="1">
      <c r="A151" s="5" t="s">
        <v>1303</v>
      </c>
      <c r="B151" s="5" t="s">
        <v>73</v>
      </c>
      <c r="C151" s="5" t="s">
        <v>1304</v>
      </c>
      <c r="D151" s="5" t="s">
        <v>1304</v>
      </c>
      <c r="E151" s="5" t="s">
        <v>186</v>
      </c>
      <c r="F151" s="5"/>
      <c r="G151" s="5">
        <v>2</v>
      </c>
      <c r="H151" s="5">
        <v>0</v>
      </c>
      <c r="I151" s="5">
        <v>1</v>
      </c>
      <c r="J151" s="5">
        <v>1</v>
      </c>
      <c r="K151" s="5">
        <v>0</v>
      </c>
      <c r="L151" s="17">
        <v>2500</v>
      </c>
      <c r="M151" s="17">
        <v>790</v>
      </c>
      <c r="N151" s="9" t="s">
        <v>1305</v>
      </c>
      <c r="O151" s="13">
        <f t="shared" si="2"/>
        <v>31.6</v>
      </c>
      <c r="P151" s="5">
        <v>2</v>
      </c>
      <c r="Q151" s="5" t="s">
        <v>77</v>
      </c>
      <c r="R151" s="9" t="s">
        <v>1305</v>
      </c>
      <c r="S151" s="9" t="s">
        <v>1306</v>
      </c>
      <c r="T151" s="9" t="s">
        <v>80</v>
      </c>
      <c r="U151" s="5" t="s">
        <v>81</v>
      </c>
      <c r="V151" s="5"/>
      <c r="W151" s="17"/>
      <c r="X151" s="5">
        <v>2030</v>
      </c>
      <c r="Y151" s="17">
        <v>55.42</v>
      </c>
      <c r="Z151" s="17"/>
      <c r="AA151" s="5"/>
      <c r="AB151" s="17">
        <v>38.299999999999997</v>
      </c>
      <c r="AC151" s="5">
        <v>2030</v>
      </c>
      <c r="AD151" s="5" t="s">
        <v>82</v>
      </c>
      <c r="AE151" s="17"/>
      <c r="AF151" s="17"/>
      <c r="AG151" s="17"/>
      <c r="AH151" s="17"/>
      <c r="AI151" s="9" t="s">
        <v>83</v>
      </c>
      <c r="AJ151" s="5" t="s">
        <v>84</v>
      </c>
      <c r="AK151" s="5">
        <v>1</v>
      </c>
      <c r="AL151" s="9" t="s">
        <v>1307</v>
      </c>
      <c r="AM151" s="9" t="s">
        <v>1308</v>
      </c>
      <c r="AN151" s="5">
        <v>2026</v>
      </c>
      <c r="AO151" s="17">
        <v>1912</v>
      </c>
      <c r="AP151" s="5">
        <v>2029</v>
      </c>
      <c r="AQ151" s="17">
        <v>2196</v>
      </c>
      <c r="AR151" s="5" t="s">
        <v>86</v>
      </c>
      <c r="AS151" s="17">
        <v>4.7</v>
      </c>
      <c r="AT151" s="5">
        <v>2026</v>
      </c>
      <c r="AU151" s="17">
        <v>634</v>
      </c>
      <c r="AV151" s="5">
        <v>2029</v>
      </c>
      <c r="AW151" s="17">
        <v>713</v>
      </c>
      <c r="AX151" s="5" t="s">
        <v>86</v>
      </c>
      <c r="AY151" s="17">
        <v>4</v>
      </c>
      <c r="AZ151" s="5"/>
      <c r="BA151" s="17"/>
      <c r="BB151" s="5"/>
      <c r="BC151" s="17"/>
      <c r="BD151" s="5"/>
      <c r="BE151" s="17"/>
      <c r="BF151" s="5">
        <v>2026</v>
      </c>
      <c r="BG151" s="17">
        <v>29</v>
      </c>
      <c r="BH151" s="5">
        <v>2029</v>
      </c>
      <c r="BI151" s="17">
        <v>87</v>
      </c>
      <c r="BJ151" s="5" t="s">
        <v>87</v>
      </c>
      <c r="BK151" s="9"/>
      <c r="BL151" s="9" t="str">
        <f>HYPERLINK("https://seichotoushi-hojo.jp/assets/pdf/koufu/outline_89.pdf","PDFを開く")</f>
        <v>PDFを開く</v>
      </c>
      <c r="BM151" s="9" t="s">
        <v>1309</v>
      </c>
      <c r="BN151" s="9" t="s">
        <v>1310</v>
      </c>
      <c r="BO151" s="9" t="s">
        <v>90</v>
      </c>
      <c r="BP151" s="9" t="s">
        <v>90</v>
      </c>
      <c r="BQ151" s="9" t="s">
        <v>157</v>
      </c>
      <c r="BR151" s="9" t="s">
        <v>92</v>
      </c>
    </row>
    <row r="152" spans="1:70" ht="45.95" customHeight="1">
      <c r="A152" s="2" t="s">
        <v>1311</v>
      </c>
      <c r="B152" s="2" t="s">
        <v>73</v>
      </c>
      <c r="C152" s="2" t="s">
        <v>1312</v>
      </c>
      <c r="D152" s="2" t="s">
        <v>1312</v>
      </c>
      <c r="E152" s="2"/>
      <c r="F152" s="2"/>
      <c r="G152" s="2">
        <v>2</v>
      </c>
      <c r="H152" s="2">
        <v>0</v>
      </c>
      <c r="I152" s="2">
        <v>1</v>
      </c>
      <c r="J152" s="2">
        <v>1</v>
      </c>
      <c r="K152" s="2">
        <v>0</v>
      </c>
      <c r="L152" s="16">
        <v>1300</v>
      </c>
      <c r="M152" s="16">
        <v>340</v>
      </c>
      <c r="N152" s="8" t="s">
        <v>1313</v>
      </c>
      <c r="O152" s="12">
        <f t="shared" si="2"/>
        <v>26.153846153846157</v>
      </c>
      <c r="P152" s="2">
        <v>2</v>
      </c>
      <c r="Q152" s="2" t="s">
        <v>77</v>
      </c>
      <c r="R152" s="8" t="s">
        <v>1313</v>
      </c>
      <c r="S152" s="8" t="s">
        <v>1314</v>
      </c>
      <c r="T152" s="8" t="s">
        <v>80</v>
      </c>
      <c r="U152" s="2" t="s">
        <v>81</v>
      </c>
      <c r="V152" s="2"/>
      <c r="W152" s="16"/>
      <c r="X152" s="2">
        <v>2029</v>
      </c>
      <c r="Y152" s="16"/>
      <c r="Z152" s="16"/>
      <c r="AA152" s="2"/>
      <c r="AB152" s="16"/>
      <c r="AC152" s="2"/>
      <c r="AD152" s="2"/>
      <c r="AE152" s="16"/>
      <c r="AF152" s="16"/>
      <c r="AG152" s="16"/>
      <c r="AH152" s="16">
        <v>195</v>
      </c>
      <c r="AI152" s="8" t="s">
        <v>692</v>
      </c>
      <c r="AJ152" s="2" t="s">
        <v>84</v>
      </c>
      <c r="AK152" s="2">
        <v>1</v>
      </c>
      <c r="AL152" s="8" t="s">
        <v>1315</v>
      </c>
      <c r="AM152" s="8"/>
      <c r="AN152" s="2">
        <v>2026</v>
      </c>
      <c r="AO152" s="16">
        <v>-517</v>
      </c>
      <c r="AP152" s="2">
        <v>2029</v>
      </c>
      <c r="AQ152" s="16">
        <v>4324</v>
      </c>
      <c r="AR152" s="2" t="s">
        <v>86</v>
      </c>
      <c r="AS152" s="16">
        <v>1</v>
      </c>
      <c r="AT152" s="2">
        <v>2026</v>
      </c>
      <c r="AU152" s="16">
        <v>690</v>
      </c>
      <c r="AV152" s="2">
        <v>2029</v>
      </c>
      <c r="AW152" s="16">
        <v>757</v>
      </c>
      <c r="AX152" s="2" t="s">
        <v>86</v>
      </c>
      <c r="AY152" s="16">
        <v>3.16</v>
      </c>
      <c r="AZ152" s="2">
        <v>2026</v>
      </c>
      <c r="BA152" s="16"/>
      <c r="BB152" s="2">
        <v>2029</v>
      </c>
      <c r="BC152" s="16"/>
      <c r="BD152" s="2" t="s">
        <v>86</v>
      </c>
      <c r="BE152" s="16">
        <v>3.48</v>
      </c>
      <c r="BF152" s="2">
        <v>2026</v>
      </c>
      <c r="BG152" s="16">
        <v>84</v>
      </c>
      <c r="BH152" s="2">
        <v>2029</v>
      </c>
      <c r="BI152" s="16">
        <v>132</v>
      </c>
      <c r="BJ152" s="2" t="s">
        <v>87</v>
      </c>
      <c r="BK152" s="8"/>
      <c r="BL152" s="8" t="str">
        <f>HYPERLINK("https://seichotoushi-hojo.jp/assets/pdf/koufu/outline_9.pdf","PDFを開く")</f>
        <v>PDFを開く</v>
      </c>
      <c r="BM152" s="8" t="s">
        <v>1316</v>
      </c>
      <c r="BN152" s="8" t="s">
        <v>1317</v>
      </c>
      <c r="BO152" s="8" t="s">
        <v>92</v>
      </c>
      <c r="BP152" s="8" t="s">
        <v>90</v>
      </c>
      <c r="BQ152" s="8" t="s">
        <v>91</v>
      </c>
      <c r="BR152" s="8" t="s">
        <v>92</v>
      </c>
    </row>
    <row r="153" spans="1:70" ht="45.95" customHeight="1">
      <c r="A153" s="5" t="s">
        <v>1318</v>
      </c>
      <c r="B153" s="5" t="s">
        <v>73</v>
      </c>
      <c r="C153" s="5" t="s">
        <v>1319</v>
      </c>
      <c r="D153" s="5" t="s">
        <v>1319</v>
      </c>
      <c r="E153" s="5"/>
      <c r="F153" s="5"/>
      <c r="G153" s="5">
        <v>2</v>
      </c>
      <c r="H153" s="5">
        <v>0</v>
      </c>
      <c r="I153" s="5">
        <v>0</v>
      </c>
      <c r="J153" s="5">
        <v>1</v>
      </c>
      <c r="K153" s="5">
        <v>1</v>
      </c>
      <c r="L153" s="17">
        <v>2000</v>
      </c>
      <c r="M153" s="17">
        <v>670</v>
      </c>
      <c r="N153" s="9" t="s">
        <v>1320</v>
      </c>
      <c r="O153" s="13">
        <f t="shared" si="2"/>
        <v>33.5</v>
      </c>
      <c r="P153" s="5">
        <v>2</v>
      </c>
      <c r="Q153" s="5" t="s">
        <v>77</v>
      </c>
      <c r="R153" s="9" t="s">
        <v>1321</v>
      </c>
      <c r="S153" s="9" t="s">
        <v>1322</v>
      </c>
      <c r="T153" s="9" t="s">
        <v>80</v>
      </c>
      <c r="U153" s="5" t="s">
        <v>81</v>
      </c>
      <c r="V153" s="5"/>
      <c r="W153" s="17"/>
      <c r="X153" s="5">
        <v>2028</v>
      </c>
      <c r="Y153" s="17">
        <v>100</v>
      </c>
      <c r="Z153" s="17">
        <v>25</v>
      </c>
      <c r="AA153" s="5">
        <v>2028</v>
      </c>
      <c r="AB153" s="17">
        <v>33</v>
      </c>
      <c r="AC153" s="5">
        <v>2028</v>
      </c>
      <c r="AD153" s="5" t="s">
        <v>82</v>
      </c>
      <c r="AE153" s="17"/>
      <c r="AF153" s="17"/>
      <c r="AG153" s="17"/>
      <c r="AH153" s="17"/>
      <c r="AI153" s="9" t="s">
        <v>166</v>
      </c>
      <c r="AJ153" s="5" t="s">
        <v>292</v>
      </c>
      <c r="AK153" s="5">
        <v>1</v>
      </c>
      <c r="AL153" s="9" t="s">
        <v>1323</v>
      </c>
      <c r="AM153" s="9" t="s">
        <v>1324</v>
      </c>
      <c r="AN153" s="5">
        <v>2025</v>
      </c>
      <c r="AO153" s="17">
        <v>762</v>
      </c>
      <c r="AP153" s="5">
        <v>2028</v>
      </c>
      <c r="AQ153" s="17">
        <v>1327</v>
      </c>
      <c r="AR153" s="5" t="s">
        <v>86</v>
      </c>
      <c r="AS153" s="17">
        <v>15</v>
      </c>
      <c r="AT153" s="5">
        <v>2025</v>
      </c>
      <c r="AU153" s="17">
        <v>618</v>
      </c>
      <c r="AV153" s="5">
        <v>2028</v>
      </c>
      <c r="AW153" s="17">
        <v>716</v>
      </c>
      <c r="AX153" s="5" t="s">
        <v>86</v>
      </c>
      <c r="AY153" s="17">
        <v>5</v>
      </c>
      <c r="AZ153" s="5">
        <v>2025</v>
      </c>
      <c r="BA153" s="17">
        <v>0</v>
      </c>
      <c r="BB153" s="5">
        <v>2028</v>
      </c>
      <c r="BC153" s="17">
        <v>0</v>
      </c>
      <c r="BD153" s="5" t="s">
        <v>86</v>
      </c>
      <c r="BE153" s="17">
        <v>0</v>
      </c>
      <c r="BF153" s="5">
        <v>2025</v>
      </c>
      <c r="BG153" s="17">
        <v>126</v>
      </c>
      <c r="BH153" s="5">
        <v>2028</v>
      </c>
      <c r="BI153" s="17">
        <v>144</v>
      </c>
      <c r="BJ153" s="5" t="s">
        <v>87</v>
      </c>
      <c r="BK153" s="9" t="s">
        <v>1325</v>
      </c>
      <c r="BL153" s="9" t="str">
        <f>HYPERLINK("https://seichotoushi-hojo.jp/assets/pdf/koufu/outline_91.pdf","PDFを開く")</f>
        <v>PDFを開く</v>
      </c>
      <c r="BM153" s="9" t="s">
        <v>1326</v>
      </c>
      <c r="BN153" s="9" t="s">
        <v>1327</v>
      </c>
      <c r="BO153" s="9" t="s">
        <v>113</v>
      </c>
      <c r="BP153" s="9" t="s">
        <v>90</v>
      </c>
      <c r="BQ153" s="9" t="s">
        <v>92</v>
      </c>
      <c r="BR153" s="9" t="s">
        <v>92</v>
      </c>
    </row>
    <row r="154" spans="1:70" ht="45.95" customHeight="1">
      <c r="A154" s="2" t="s">
        <v>1328</v>
      </c>
      <c r="B154" s="2" t="s">
        <v>73</v>
      </c>
      <c r="C154" s="2" t="s">
        <v>1329</v>
      </c>
      <c r="D154" s="2" t="s">
        <v>1329</v>
      </c>
      <c r="E154" s="2" t="s">
        <v>75</v>
      </c>
      <c r="F154" s="2"/>
      <c r="G154" s="2">
        <v>2</v>
      </c>
      <c r="H154" s="2">
        <v>0</v>
      </c>
      <c r="I154" s="2">
        <v>1</v>
      </c>
      <c r="J154" s="2">
        <v>1</v>
      </c>
      <c r="K154" s="2">
        <v>0</v>
      </c>
      <c r="L154" s="16">
        <v>16800</v>
      </c>
      <c r="M154" s="16">
        <v>5000</v>
      </c>
      <c r="N154" s="8" t="s">
        <v>1330</v>
      </c>
      <c r="O154" s="12">
        <f t="shared" si="2"/>
        <v>29.761904761904763</v>
      </c>
      <c r="P154" s="2">
        <v>2</v>
      </c>
      <c r="Q154" s="2" t="s">
        <v>77</v>
      </c>
      <c r="R154" s="8" t="s">
        <v>1330</v>
      </c>
      <c r="S154" s="8" t="s">
        <v>1331</v>
      </c>
      <c r="T154" s="8" t="s">
        <v>80</v>
      </c>
      <c r="U154" s="2" t="s">
        <v>81</v>
      </c>
      <c r="V154" s="2">
        <v>2022</v>
      </c>
      <c r="W154" s="16"/>
      <c r="X154" s="2">
        <v>2029</v>
      </c>
      <c r="Y154" s="16"/>
      <c r="Z154" s="16">
        <v>92</v>
      </c>
      <c r="AA154" s="2">
        <v>2029</v>
      </c>
      <c r="AB154" s="16">
        <v>30</v>
      </c>
      <c r="AC154" s="2">
        <v>2029</v>
      </c>
      <c r="AD154" s="2" t="s">
        <v>82</v>
      </c>
      <c r="AE154" s="16"/>
      <c r="AF154" s="16"/>
      <c r="AG154" s="16"/>
      <c r="AH154" s="16"/>
      <c r="AI154" s="8" t="s">
        <v>83</v>
      </c>
      <c r="AJ154" s="2" t="s">
        <v>84</v>
      </c>
      <c r="AK154" s="2">
        <v>1</v>
      </c>
      <c r="AL154" s="8" t="s">
        <v>1332</v>
      </c>
      <c r="AM154" s="8"/>
      <c r="AN154" s="2">
        <v>2026</v>
      </c>
      <c r="AO154" s="16">
        <v>1156</v>
      </c>
      <c r="AP154" s="2">
        <v>2029</v>
      </c>
      <c r="AQ154" s="16">
        <v>1941</v>
      </c>
      <c r="AR154" s="2" t="s">
        <v>86</v>
      </c>
      <c r="AS154" s="16">
        <v>18.8</v>
      </c>
      <c r="AT154" s="2">
        <v>2026</v>
      </c>
      <c r="AU154" s="16">
        <v>522</v>
      </c>
      <c r="AV154" s="2">
        <v>2029</v>
      </c>
      <c r="AW154" s="16">
        <v>588</v>
      </c>
      <c r="AX154" s="2" t="s">
        <v>86</v>
      </c>
      <c r="AY154" s="16">
        <v>4.03</v>
      </c>
      <c r="AZ154" s="2">
        <v>2026</v>
      </c>
      <c r="BA154" s="16"/>
      <c r="BB154" s="2">
        <v>2029</v>
      </c>
      <c r="BC154" s="16"/>
      <c r="BD154" s="2" t="s">
        <v>86</v>
      </c>
      <c r="BE154" s="16">
        <v>4.01</v>
      </c>
      <c r="BF154" s="2">
        <v>2026</v>
      </c>
      <c r="BG154" s="16">
        <v>195</v>
      </c>
      <c r="BH154" s="2">
        <v>2029</v>
      </c>
      <c r="BI154" s="16">
        <v>230</v>
      </c>
      <c r="BJ154" s="2" t="s">
        <v>87</v>
      </c>
      <c r="BK154" s="8"/>
      <c r="BL154" s="8" t="str">
        <f>HYPERLINK("https://seichotoushi-hojo.jp/assets/pdf/koufu/outline_92.pdf","PDFを開く")</f>
        <v>PDFを開く</v>
      </c>
      <c r="BM154" s="8" t="s">
        <v>1333</v>
      </c>
      <c r="BN154" s="8" t="s">
        <v>1334</v>
      </c>
      <c r="BO154" s="8" t="s">
        <v>90</v>
      </c>
      <c r="BP154" s="8" t="s">
        <v>90</v>
      </c>
      <c r="BQ154" s="8" t="s">
        <v>91</v>
      </c>
      <c r="BR154" s="8" t="s">
        <v>92</v>
      </c>
    </row>
    <row r="155" spans="1:70" ht="45.95" customHeight="1">
      <c r="A155" s="5" t="s">
        <v>1335</v>
      </c>
      <c r="B155" s="5" t="s">
        <v>73</v>
      </c>
      <c r="C155" s="5" t="s">
        <v>1336</v>
      </c>
      <c r="D155" s="5" t="s">
        <v>1337</v>
      </c>
      <c r="E155" s="5" t="s">
        <v>107</v>
      </c>
      <c r="F155" s="5"/>
      <c r="G155" s="5">
        <v>2</v>
      </c>
      <c r="H155" s="5">
        <v>0</v>
      </c>
      <c r="I155" s="5">
        <v>1</v>
      </c>
      <c r="J155" s="5">
        <v>1</v>
      </c>
      <c r="K155" s="5">
        <v>0</v>
      </c>
      <c r="L155" s="17">
        <v>2100</v>
      </c>
      <c r="M155" s="17">
        <v>660</v>
      </c>
      <c r="N155" s="9" t="s">
        <v>1106</v>
      </c>
      <c r="O155" s="13">
        <f t="shared" si="2"/>
        <v>31.428571428571427</v>
      </c>
      <c r="P155" s="5">
        <v>2</v>
      </c>
      <c r="Q155" s="5" t="s">
        <v>77</v>
      </c>
      <c r="R155" s="9" t="s">
        <v>1106</v>
      </c>
      <c r="S155" s="9" t="s">
        <v>1338</v>
      </c>
      <c r="T155" s="9" t="s">
        <v>80</v>
      </c>
      <c r="U155" s="5" t="s">
        <v>81</v>
      </c>
      <c r="V155" s="5">
        <v>2030</v>
      </c>
      <c r="W155" s="17">
        <v>25</v>
      </c>
      <c r="X155" s="5">
        <v>2035</v>
      </c>
      <c r="Y155" s="17">
        <v>25</v>
      </c>
      <c r="Z155" s="17"/>
      <c r="AA155" s="5"/>
      <c r="AB155" s="17"/>
      <c r="AC155" s="5"/>
      <c r="AD155" s="5"/>
      <c r="AE155" s="17"/>
      <c r="AF155" s="17"/>
      <c r="AG155" s="17">
        <v>0</v>
      </c>
      <c r="AH155" s="17"/>
      <c r="AI155" s="9" t="s">
        <v>100</v>
      </c>
      <c r="AJ155" s="5" t="s">
        <v>84</v>
      </c>
      <c r="AK155" s="5">
        <v>1</v>
      </c>
      <c r="AL155" s="9" t="s">
        <v>1339</v>
      </c>
      <c r="AM155" s="9" t="s">
        <v>1340</v>
      </c>
      <c r="AN155" s="5">
        <v>2027</v>
      </c>
      <c r="AO155" s="17">
        <v>9853</v>
      </c>
      <c r="AP155" s="5">
        <v>2030</v>
      </c>
      <c r="AQ155" s="17">
        <v>24107</v>
      </c>
      <c r="AR155" s="5" t="s">
        <v>447</v>
      </c>
      <c r="AS155" s="17">
        <v>34.799999999999997</v>
      </c>
      <c r="AT155" s="5">
        <v>2027</v>
      </c>
      <c r="AU155" s="17">
        <v>5565</v>
      </c>
      <c r="AV155" s="5">
        <v>2030</v>
      </c>
      <c r="AW155" s="17">
        <v>6305</v>
      </c>
      <c r="AX155" s="5" t="s">
        <v>447</v>
      </c>
      <c r="AY155" s="17">
        <v>4.3</v>
      </c>
      <c r="AZ155" s="5"/>
      <c r="BA155" s="17"/>
      <c r="BB155" s="5"/>
      <c r="BC155" s="17"/>
      <c r="BD155" s="5"/>
      <c r="BE155" s="17"/>
      <c r="BF155" s="5"/>
      <c r="BG155" s="17"/>
      <c r="BH155" s="5"/>
      <c r="BI155" s="17"/>
      <c r="BJ155" s="5" t="s">
        <v>152</v>
      </c>
      <c r="BK155" s="9" t="s">
        <v>153</v>
      </c>
      <c r="BL155" s="9" t="str">
        <f>HYPERLINK("https://seichotoushi-hojo.jp/assets/pdf/koufu/outline_93.pdf","PDFを開く")</f>
        <v>PDFを開く</v>
      </c>
      <c r="BM155" s="9" t="s">
        <v>1341</v>
      </c>
      <c r="BN155" s="9" t="s">
        <v>1342</v>
      </c>
      <c r="BO155" s="9" t="s">
        <v>90</v>
      </c>
      <c r="BP155" s="9" t="s">
        <v>90</v>
      </c>
      <c r="BQ155" s="9" t="s">
        <v>156</v>
      </c>
      <c r="BR155" s="9" t="s">
        <v>157</v>
      </c>
    </row>
    <row r="156" spans="1:70" ht="45.95" customHeight="1">
      <c r="A156" s="2" t="s">
        <v>1343</v>
      </c>
      <c r="B156" s="2" t="s">
        <v>73</v>
      </c>
      <c r="C156" s="2" t="s">
        <v>1344</v>
      </c>
      <c r="D156" s="2" t="s">
        <v>1344</v>
      </c>
      <c r="E156" s="2" t="s">
        <v>95</v>
      </c>
      <c r="F156" s="2"/>
      <c r="G156" s="2">
        <v>2</v>
      </c>
      <c r="H156" s="2">
        <v>0</v>
      </c>
      <c r="I156" s="2">
        <v>1</v>
      </c>
      <c r="J156" s="2">
        <v>1</v>
      </c>
      <c r="K156" s="2">
        <v>0</v>
      </c>
      <c r="L156" s="16">
        <v>1600</v>
      </c>
      <c r="M156" s="16">
        <v>530</v>
      </c>
      <c r="N156" s="8" t="s">
        <v>1345</v>
      </c>
      <c r="O156" s="12">
        <f t="shared" si="2"/>
        <v>33.125</v>
      </c>
      <c r="P156" s="2">
        <v>2</v>
      </c>
      <c r="Q156" s="2" t="s">
        <v>77</v>
      </c>
      <c r="R156" s="8" t="s">
        <v>1345</v>
      </c>
      <c r="S156" s="8" t="s">
        <v>1346</v>
      </c>
      <c r="T156" s="8" t="s">
        <v>80</v>
      </c>
      <c r="U156" s="2" t="s">
        <v>81</v>
      </c>
      <c r="V156" s="2"/>
      <c r="W156" s="16"/>
      <c r="X156" s="2">
        <v>2030</v>
      </c>
      <c r="Y156" s="16"/>
      <c r="Z156" s="16">
        <v>7.1</v>
      </c>
      <c r="AA156" s="2">
        <v>2030</v>
      </c>
      <c r="AB156" s="16">
        <v>145</v>
      </c>
      <c r="AC156" s="2">
        <v>2030</v>
      </c>
      <c r="AD156" s="2" t="s">
        <v>82</v>
      </c>
      <c r="AE156" s="16"/>
      <c r="AF156" s="16"/>
      <c r="AG156" s="16"/>
      <c r="AH156" s="16"/>
      <c r="AI156" s="8" t="s">
        <v>166</v>
      </c>
      <c r="AJ156" s="2" t="s">
        <v>292</v>
      </c>
      <c r="AK156" s="2">
        <v>1</v>
      </c>
      <c r="AL156" s="8" t="s">
        <v>1347</v>
      </c>
      <c r="AM156" s="8"/>
      <c r="AN156" s="2">
        <v>2027</v>
      </c>
      <c r="AO156" s="16">
        <v>1133</v>
      </c>
      <c r="AP156" s="2">
        <v>2030</v>
      </c>
      <c r="AQ156" s="16">
        <v>1765</v>
      </c>
      <c r="AR156" s="2" t="s">
        <v>86</v>
      </c>
      <c r="AS156" s="16">
        <v>16.100000000000001</v>
      </c>
      <c r="AT156" s="2">
        <v>2027</v>
      </c>
      <c r="AU156" s="16">
        <v>509</v>
      </c>
      <c r="AV156" s="2">
        <v>2030</v>
      </c>
      <c r="AW156" s="16">
        <v>623</v>
      </c>
      <c r="AX156" s="2" t="s">
        <v>86</v>
      </c>
      <c r="AY156" s="16">
        <v>7</v>
      </c>
      <c r="AZ156" s="2">
        <v>2027</v>
      </c>
      <c r="BA156" s="16"/>
      <c r="BB156" s="2">
        <v>2030</v>
      </c>
      <c r="BC156" s="16"/>
      <c r="BD156" s="2" t="s">
        <v>86</v>
      </c>
      <c r="BE156" s="16">
        <v>5.98</v>
      </c>
      <c r="BF156" s="2">
        <v>2027</v>
      </c>
      <c r="BG156" s="16">
        <v>20</v>
      </c>
      <c r="BH156" s="2">
        <v>2030</v>
      </c>
      <c r="BI156" s="16">
        <v>20</v>
      </c>
      <c r="BJ156" s="2" t="s">
        <v>87</v>
      </c>
      <c r="BK156" s="8" t="s">
        <v>181</v>
      </c>
      <c r="BL156" s="8" t="str">
        <f>HYPERLINK("https://seichotoushi-hojo.jp/assets/pdf/koufu/outline_94.pdf","PDFを開く")</f>
        <v>PDFを開く</v>
      </c>
      <c r="BM156" s="8" t="s">
        <v>1348</v>
      </c>
      <c r="BN156" s="8" t="s">
        <v>1349</v>
      </c>
      <c r="BO156" s="8" t="s">
        <v>90</v>
      </c>
      <c r="BP156" s="8" t="s">
        <v>90</v>
      </c>
      <c r="BQ156" s="8" t="s">
        <v>91</v>
      </c>
      <c r="BR156" s="8" t="s">
        <v>92</v>
      </c>
    </row>
    <row r="157" spans="1:70" ht="45.95" customHeight="1">
      <c r="A157" s="5" t="s">
        <v>1350</v>
      </c>
      <c r="B157" s="5" t="s">
        <v>73</v>
      </c>
      <c r="C157" s="5" t="s">
        <v>1351</v>
      </c>
      <c r="D157" s="5" t="s">
        <v>1351</v>
      </c>
      <c r="E157" s="5" t="s">
        <v>75</v>
      </c>
      <c r="F157" s="5"/>
      <c r="G157" s="5">
        <v>2</v>
      </c>
      <c r="H157" s="5">
        <v>0</v>
      </c>
      <c r="I157" s="5">
        <v>1</v>
      </c>
      <c r="J157" s="5">
        <v>1</v>
      </c>
      <c r="K157" s="5">
        <v>0</v>
      </c>
      <c r="L157" s="17">
        <v>22900</v>
      </c>
      <c r="M157" s="17">
        <v>5000</v>
      </c>
      <c r="N157" s="9" t="s">
        <v>1352</v>
      </c>
      <c r="O157" s="13">
        <f t="shared" si="2"/>
        <v>21.834061135371179</v>
      </c>
      <c r="P157" s="5">
        <v>2</v>
      </c>
      <c r="Q157" s="5" t="s">
        <v>77</v>
      </c>
      <c r="R157" s="9" t="s">
        <v>1352</v>
      </c>
      <c r="S157" s="9" t="s">
        <v>1353</v>
      </c>
      <c r="T157" s="9" t="s">
        <v>80</v>
      </c>
      <c r="U157" s="5" t="s">
        <v>81</v>
      </c>
      <c r="V157" s="5"/>
      <c r="W157" s="17"/>
      <c r="X157" s="5">
        <v>2029</v>
      </c>
      <c r="Y157" s="17">
        <v>755</v>
      </c>
      <c r="Z157" s="17">
        <v>220</v>
      </c>
      <c r="AA157" s="5">
        <v>2029</v>
      </c>
      <c r="AB157" s="17">
        <v>7.2</v>
      </c>
      <c r="AC157" s="5">
        <v>2029</v>
      </c>
      <c r="AD157" s="5" t="s">
        <v>82</v>
      </c>
      <c r="AE157" s="17"/>
      <c r="AF157" s="17"/>
      <c r="AG157" s="17"/>
      <c r="AH157" s="17"/>
      <c r="AI157" s="9" t="s">
        <v>83</v>
      </c>
      <c r="AJ157" s="5" t="s">
        <v>84</v>
      </c>
      <c r="AK157" s="5">
        <v>1</v>
      </c>
      <c r="AL157" s="9" t="s">
        <v>1354</v>
      </c>
      <c r="AM157" s="9" t="s">
        <v>1355</v>
      </c>
      <c r="AN157" s="5">
        <v>2026</v>
      </c>
      <c r="AO157" s="17">
        <v>3192</v>
      </c>
      <c r="AP157" s="5">
        <v>2029</v>
      </c>
      <c r="AQ157" s="17">
        <v>3275</v>
      </c>
      <c r="AR157" s="5" t="s">
        <v>86</v>
      </c>
      <c r="AS157" s="17">
        <v>2.4</v>
      </c>
      <c r="AT157" s="5">
        <v>2026</v>
      </c>
      <c r="AU157" s="17">
        <v>930</v>
      </c>
      <c r="AV157" s="5">
        <v>2029</v>
      </c>
      <c r="AW157" s="17">
        <v>1017</v>
      </c>
      <c r="AX157" s="5" t="s">
        <v>86</v>
      </c>
      <c r="AY157" s="17">
        <v>3</v>
      </c>
      <c r="AZ157" s="5">
        <v>2026</v>
      </c>
      <c r="BA157" s="17"/>
      <c r="BB157" s="5">
        <v>2029</v>
      </c>
      <c r="BC157" s="17"/>
      <c r="BD157" s="5" t="s">
        <v>86</v>
      </c>
      <c r="BE157" s="17">
        <v>3</v>
      </c>
      <c r="BF157" s="5">
        <v>2026</v>
      </c>
      <c r="BG157" s="17">
        <v>801</v>
      </c>
      <c r="BH157" s="5">
        <v>2029</v>
      </c>
      <c r="BI157" s="17">
        <v>868</v>
      </c>
      <c r="BJ157" s="5" t="s">
        <v>87</v>
      </c>
      <c r="BK157" s="9"/>
      <c r="BL157" s="9" t="str">
        <f>HYPERLINK("https://seichotoushi-hojo.jp/assets/pdf/koufu/outline_95.pdf","PDFを開く")</f>
        <v>PDFを開く</v>
      </c>
      <c r="BM157" s="9" t="s">
        <v>1356</v>
      </c>
      <c r="BN157" s="9" t="s">
        <v>1357</v>
      </c>
      <c r="BO157" s="9" t="s">
        <v>113</v>
      </c>
      <c r="BP157" s="9" t="s">
        <v>166</v>
      </c>
      <c r="BQ157" s="9" t="s">
        <v>91</v>
      </c>
      <c r="BR157" s="9" t="s">
        <v>166</v>
      </c>
    </row>
    <row r="158" spans="1:70" ht="45.95" customHeight="1">
      <c r="A158" s="2" t="s">
        <v>1358</v>
      </c>
      <c r="B158" s="2" t="s">
        <v>73</v>
      </c>
      <c r="C158" s="2" t="s">
        <v>1359</v>
      </c>
      <c r="D158" s="2" t="s">
        <v>1359</v>
      </c>
      <c r="E158" s="2" t="s">
        <v>186</v>
      </c>
      <c r="F158" s="2"/>
      <c r="G158" s="2">
        <v>2</v>
      </c>
      <c r="H158" s="2">
        <v>0</v>
      </c>
      <c r="I158" s="2">
        <v>1</v>
      </c>
      <c r="J158" s="2">
        <v>1</v>
      </c>
      <c r="K158" s="2">
        <v>0</v>
      </c>
      <c r="L158" s="16">
        <v>5200</v>
      </c>
      <c r="M158" s="16">
        <v>1500</v>
      </c>
      <c r="N158" s="8" t="s">
        <v>1360</v>
      </c>
      <c r="O158" s="12">
        <f t="shared" si="2"/>
        <v>28.846153846153843</v>
      </c>
      <c r="P158" s="2">
        <v>2</v>
      </c>
      <c r="Q158" s="2" t="s">
        <v>77</v>
      </c>
      <c r="R158" s="8" t="s">
        <v>1361</v>
      </c>
      <c r="S158" s="8" t="s">
        <v>1362</v>
      </c>
      <c r="T158" s="8" t="s">
        <v>80</v>
      </c>
      <c r="U158" s="2" t="s">
        <v>81</v>
      </c>
      <c r="V158" s="2"/>
      <c r="W158" s="16"/>
      <c r="X158" s="2">
        <v>2029</v>
      </c>
      <c r="Y158" s="16">
        <v>80</v>
      </c>
      <c r="Z158" s="16"/>
      <c r="AA158" s="2"/>
      <c r="AB158" s="16">
        <v>18</v>
      </c>
      <c r="AC158" s="2">
        <v>2029</v>
      </c>
      <c r="AD158" s="2" t="s">
        <v>82</v>
      </c>
      <c r="AE158" s="16"/>
      <c r="AF158" s="16"/>
      <c r="AG158" s="16"/>
      <c r="AH158" s="16"/>
      <c r="AI158" s="8" t="s">
        <v>83</v>
      </c>
      <c r="AJ158" s="2" t="s">
        <v>84</v>
      </c>
      <c r="AK158" s="2">
        <v>1</v>
      </c>
      <c r="AL158" s="8" t="s">
        <v>1363</v>
      </c>
      <c r="AM158" s="8" t="s">
        <v>1364</v>
      </c>
      <c r="AN158" s="2">
        <v>2026</v>
      </c>
      <c r="AO158" s="16">
        <v>681.8</v>
      </c>
      <c r="AP158" s="2">
        <v>2029</v>
      </c>
      <c r="AQ158" s="16">
        <v>797.7</v>
      </c>
      <c r="AR158" s="2" t="s">
        <v>86</v>
      </c>
      <c r="AS158" s="16">
        <v>5.37</v>
      </c>
      <c r="AT158" s="2">
        <v>2026</v>
      </c>
      <c r="AU158" s="16">
        <v>547.29999999999995</v>
      </c>
      <c r="AV158" s="2">
        <v>2029</v>
      </c>
      <c r="AW158" s="16">
        <v>599.1</v>
      </c>
      <c r="AX158" s="2" t="s">
        <v>86</v>
      </c>
      <c r="AY158" s="16">
        <v>3.06</v>
      </c>
      <c r="AZ158" s="2">
        <v>2026</v>
      </c>
      <c r="BA158" s="16"/>
      <c r="BB158" s="2">
        <v>2029</v>
      </c>
      <c r="BC158" s="16"/>
      <c r="BD158" s="2" t="s">
        <v>86</v>
      </c>
      <c r="BE158" s="16">
        <v>3.13</v>
      </c>
      <c r="BF158" s="2">
        <v>2026</v>
      </c>
      <c r="BG158" s="16">
        <v>768</v>
      </c>
      <c r="BH158" s="2">
        <v>2029</v>
      </c>
      <c r="BI158" s="16">
        <v>796</v>
      </c>
      <c r="BJ158" s="2" t="s">
        <v>87</v>
      </c>
      <c r="BK158" s="8"/>
      <c r="BL158" s="8" t="str">
        <f>HYPERLINK("https://seichotoushi-hojo.jp/assets/pdf/koufu/outline_96.pdf","PDFを開く")</f>
        <v>PDFを開く</v>
      </c>
      <c r="BM158" s="8" t="s">
        <v>1365</v>
      </c>
      <c r="BN158" s="8" t="s">
        <v>1366</v>
      </c>
      <c r="BO158" s="8" t="s">
        <v>90</v>
      </c>
      <c r="BP158" s="8" t="s">
        <v>90</v>
      </c>
      <c r="BQ158" s="8" t="s">
        <v>91</v>
      </c>
      <c r="BR158" s="8" t="s">
        <v>92</v>
      </c>
    </row>
    <row r="159" spans="1:70" ht="45.95" customHeight="1">
      <c r="A159" s="5" t="s">
        <v>1367</v>
      </c>
      <c r="B159" s="5" t="s">
        <v>73</v>
      </c>
      <c r="C159" s="5" t="s">
        <v>1368</v>
      </c>
      <c r="D159" s="5" t="s">
        <v>1368</v>
      </c>
      <c r="E159" s="5" t="s">
        <v>259</v>
      </c>
      <c r="F159" s="5"/>
      <c r="G159" s="5">
        <v>5</v>
      </c>
      <c r="H159" s="5">
        <v>0</v>
      </c>
      <c r="I159" s="5">
        <v>4</v>
      </c>
      <c r="J159" s="5">
        <v>1</v>
      </c>
      <c r="K159" s="5">
        <v>0</v>
      </c>
      <c r="L159" s="17">
        <v>13700</v>
      </c>
      <c r="M159" s="17">
        <v>2800</v>
      </c>
      <c r="N159" s="9" t="s">
        <v>1369</v>
      </c>
      <c r="O159" s="13">
        <f t="shared" si="2"/>
        <v>20.437956204379564</v>
      </c>
      <c r="P159" s="5">
        <v>5</v>
      </c>
      <c r="Q159" s="5" t="s">
        <v>77</v>
      </c>
      <c r="R159" s="9" t="s">
        <v>1370</v>
      </c>
      <c r="S159" s="9" t="s">
        <v>1371</v>
      </c>
      <c r="T159" s="9" t="s">
        <v>80</v>
      </c>
      <c r="U159" s="5" t="s">
        <v>81</v>
      </c>
      <c r="V159" s="5"/>
      <c r="W159" s="17"/>
      <c r="X159" s="5">
        <v>2030</v>
      </c>
      <c r="Y159" s="17">
        <v>2000</v>
      </c>
      <c r="Z159" s="17"/>
      <c r="AA159" s="5"/>
      <c r="AB159" s="17"/>
      <c r="AC159" s="5"/>
      <c r="AD159" s="5"/>
      <c r="AE159" s="17"/>
      <c r="AF159" s="17"/>
      <c r="AG159" s="17"/>
      <c r="AH159" s="17"/>
      <c r="AI159" s="9" t="s">
        <v>166</v>
      </c>
      <c r="AJ159" s="5" t="s">
        <v>292</v>
      </c>
      <c r="AK159" s="5">
        <v>1</v>
      </c>
      <c r="AL159" s="9" t="s">
        <v>1372</v>
      </c>
      <c r="AM159" s="9" t="s">
        <v>1373</v>
      </c>
      <c r="AN159" s="5">
        <v>2026</v>
      </c>
      <c r="AO159" s="17">
        <v>3201.6</v>
      </c>
      <c r="AP159" s="5">
        <v>2029</v>
      </c>
      <c r="AQ159" s="17">
        <v>4634.1000000000004</v>
      </c>
      <c r="AR159" s="5" t="s">
        <v>86</v>
      </c>
      <c r="AS159" s="17">
        <v>13.2</v>
      </c>
      <c r="AT159" s="5">
        <v>2026</v>
      </c>
      <c r="AU159" s="17">
        <v>560</v>
      </c>
      <c r="AV159" s="5">
        <v>2029</v>
      </c>
      <c r="AW159" s="17">
        <v>611.6</v>
      </c>
      <c r="AX159" s="5" t="s">
        <v>86</v>
      </c>
      <c r="AY159" s="17">
        <v>2.98</v>
      </c>
      <c r="AZ159" s="5"/>
      <c r="BA159" s="17"/>
      <c r="BB159" s="5"/>
      <c r="BC159" s="17"/>
      <c r="BD159" s="5"/>
      <c r="BE159" s="17"/>
      <c r="BF159" s="5"/>
      <c r="BG159" s="17"/>
      <c r="BH159" s="5"/>
      <c r="BI159" s="17"/>
      <c r="BJ159" s="5" t="s">
        <v>152</v>
      </c>
      <c r="BK159" s="9" t="s">
        <v>1374</v>
      </c>
      <c r="BL159" s="9" t="str">
        <f>HYPERLINK("https://seichotoushi-hojo.jp/assets/pdf/koufu/outline_97.pdf","PDFを開く")</f>
        <v>PDFを開く</v>
      </c>
      <c r="BM159" s="9" t="s">
        <v>1375</v>
      </c>
      <c r="BN159" s="9" t="s">
        <v>1376</v>
      </c>
      <c r="BO159" s="9" t="s">
        <v>90</v>
      </c>
      <c r="BP159" s="9" t="s">
        <v>90</v>
      </c>
      <c r="BQ159" s="9" t="s">
        <v>157</v>
      </c>
      <c r="BR159" s="9" t="s">
        <v>157</v>
      </c>
    </row>
    <row r="160" spans="1:70" ht="45.95" customHeight="1">
      <c r="A160" s="2" t="s">
        <v>1377</v>
      </c>
      <c r="B160" s="2" t="s">
        <v>73</v>
      </c>
      <c r="C160" s="2" t="s">
        <v>1378</v>
      </c>
      <c r="D160" s="2" t="s">
        <v>1378</v>
      </c>
      <c r="E160" s="2" t="s">
        <v>75</v>
      </c>
      <c r="F160" s="2" t="s">
        <v>1379</v>
      </c>
      <c r="G160" s="2">
        <v>2</v>
      </c>
      <c r="H160" s="2">
        <v>0</v>
      </c>
      <c r="I160" s="2">
        <v>1</v>
      </c>
      <c r="J160" s="2">
        <v>1</v>
      </c>
      <c r="K160" s="2">
        <v>0</v>
      </c>
      <c r="L160" s="16">
        <v>5400</v>
      </c>
      <c r="M160" s="16">
        <v>1600</v>
      </c>
      <c r="N160" s="8" t="s">
        <v>461</v>
      </c>
      <c r="O160" s="12">
        <f t="shared" si="2"/>
        <v>29.629629629629626</v>
      </c>
      <c r="P160" s="2">
        <v>2</v>
      </c>
      <c r="Q160" s="2" t="s">
        <v>77</v>
      </c>
      <c r="R160" s="8" t="s">
        <v>1380</v>
      </c>
      <c r="S160" s="8" t="s">
        <v>1381</v>
      </c>
      <c r="T160" s="8" t="s">
        <v>80</v>
      </c>
      <c r="U160" s="2" t="s">
        <v>81</v>
      </c>
      <c r="V160" s="2"/>
      <c r="W160" s="16"/>
      <c r="X160" s="2">
        <v>2029</v>
      </c>
      <c r="Y160" s="16"/>
      <c r="Z160" s="16">
        <v>100</v>
      </c>
      <c r="AA160" s="2">
        <v>2029</v>
      </c>
      <c r="AB160" s="16">
        <v>50</v>
      </c>
      <c r="AC160" s="2">
        <v>2029</v>
      </c>
      <c r="AD160" s="2" t="s">
        <v>82</v>
      </c>
      <c r="AE160" s="16"/>
      <c r="AF160" s="16"/>
      <c r="AG160" s="16"/>
      <c r="AH160" s="16"/>
      <c r="AI160" s="8" t="s">
        <v>83</v>
      </c>
      <c r="AJ160" s="2" t="s">
        <v>84</v>
      </c>
      <c r="AK160" s="2">
        <v>1</v>
      </c>
      <c r="AL160" s="8" t="s">
        <v>1382</v>
      </c>
      <c r="AM160" s="8"/>
      <c r="AN160" s="2">
        <v>2026</v>
      </c>
      <c r="AO160" s="16">
        <v>2239</v>
      </c>
      <c r="AP160" s="2">
        <v>2029</v>
      </c>
      <c r="AQ160" s="16">
        <v>3148</v>
      </c>
      <c r="AR160" s="2" t="s">
        <v>86</v>
      </c>
      <c r="AS160" s="16">
        <v>12</v>
      </c>
      <c r="AT160" s="2">
        <v>2026</v>
      </c>
      <c r="AU160" s="16">
        <v>617</v>
      </c>
      <c r="AV160" s="2">
        <v>2029</v>
      </c>
      <c r="AW160" s="16">
        <v>702</v>
      </c>
      <c r="AX160" s="2" t="s">
        <v>86</v>
      </c>
      <c r="AY160" s="16">
        <v>5</v>
      </c>
      <c r="AZ160" s="2"/>
      <c r="BA160" s="16"/>
      <c r="BB160" s="2"/>
      <c r="BC160" s="16"/>
      <c r="BD160" s="2"/>
      <c r="BE160" s="16"/>
      <c r="BF160" s="2">
        <v>2026</v>
      </c>
      <c r="BG160" s="16">
        <v>285</v>
      </c>
      <c r="BH160" s="2">
        <v>2029</v>
      </c>
      <c r="BI160" s="16">
        <v>324</v>
      </c>
      <c r="BJ160" s="2" t="s">
        <v>87</v>
      </c>
      <c r="BK160" s="8" t="s">
        <v>192</v>
      </c>
      <c r="BL160" s="8" t="str">
        <f>HYPERLINK("https://seichotoushi-hojo.jp/assets/pdf/koufu/outline_99.pdf","PDFを開く")</f>
        <v>PDFを開く</v>
      </c>
      <c r="BM160" s="8" t="s">
        <v>1383</v>
      </c>
      <c r="BN160" s="8" t="s">
        <v>1384</v>
      </c>
      <c r="BO160" s="8" t="s">
        <v>90</v>
      </c>
      <c r="BP160" s="8" t="s">
        <v>90</v>
      </c>
      <c r="BQ160" s="8" t="s">
        <v>156</v>
      </c>
      <c r="BR160" s="8" t="s">
        <v>92</v>
      </c>
    </row>
    <row r="161" spans="1:70" ht="45.95" customHeight="1">
      <c r="A161" s="5" t="s">
        <v>1385</v>
      </c>
      <c r="B161" s="5" t="s">
        <v>1386</v>
      </c>
      <c r="C161" s="5" t="s">
        <v>1387</v>
      </c>
      <c r="D161" s="5" t="s">
        <v>1387</v>
      </c>
      <c r="E161" s="5" t="s">
        <v>95</v>
      </c>
      <c r="F161" s="5" t="s">
        <v>1388</v>
      </c>
      <c r="G161" s="5">
        <v>2</v>
      </c>
      <c r="H161" s="5">
        <v>0</v>
      </c>
      <c r="I161" s="5">
        <v>1</v>
      </c>
      <c r="J161" s="5">
        <v>1</v>
      </c>
      <c r="K161" s="5">
        <v>0</v>
      </c>
      <c r="L161" s="17">
        <v>18800</v>
      </c>
      <c r="M161" s="17">
        <v>5000</v>
      </c>
      <c r="N161" s="9" t="s">
        <v>1389</v>
      </c>
      <c r="O161" s="13">
        <f t="shared" si="2"/>
        <v>26.595744680851062</v>
      </c>
      <c r="P161" s="5">
        <v>2</v>
      </c>
      <c r="Q161" s="5" t="s">
        <v>77</v>
      </c>
      <c r="R161" s="9" t="s">
        <v>1390</v>
      </c>
      <c r="S161" s="9" t="s">
        <v>1391</v>
      </c>
      <c r="T161" s="9" t="s">
        <v>80</v>
      </c>
      <c r="U161" s="5" t="s">
        <v>81</v>
      </c>
      <c r="V161" s="5"/>
      <c r="W161" s="17"/>
      <c r="X161" s="5">
        <v>2026</v>
      </c>
      <c r="Y161" s="17"/>
      <c r="Z161" s="17">
        <v>151</v>
      </c>
      <c r="AA161" s="5">
        <v>2026</v>
      </c>
      <c r="AB161" s="17">
        <v>18</v>
      </c>
      <c r="AC161" s="5">
        <v>2026</v>
      </c>
      <c r="AD161" s="5" t="s">
        <v>82</v>
      </c>
      <c r="AE161" s="17"/>
      <c r="AF161" s="17"/>
      <c r="AG161" s="17"/>
      <c r="AH161" s="17"/>
      <c r="AI161" s="9" t="s">
        <v>83</v>
      </c>
      <c r="AJ161" s="5" t="s">
        <v>587</v>
      </c>
      <c r="AK161" s="5">
        <v>1</v>
      </c>
      <c r="AL161" s="9" t="s">
        <v>1392</v>
      </c>
      <c r="AM161" s="9"/>
      <c r="AN161" s="5">
        <v>2026</v>
      </c>
      <c r="AO161" s="17">
        <v>1849</v>
      </c>
      <c r="AP161" s="5">
        <v>2029</v>
      </c>
      <c r="AQ161" s="17">
        <v>2225</v>
      </c>
      <c r="AR161" s="5" t="s">
        <v>86</v>
      </c>
      <c r="AS161" s="17">
        <v>6.4</v>
      </c>
      <c r="AT161" s="5">
        <v>2026</v>
      </c>
      <c r="AU161" s="17">
        <v>589</v>
      </c>
      <c r="AV161" s="5">
        <v>2029</v>
      </c>
      <c r="AW161" s="17">
        <v>680</v>
      </c>
      <c r="AX161" s="5" t="s">
        <v>86</v>
      </c>
      <c r="AY161" s="17">
        <v>5</v>
      </c>
      <c r="AZ161" s="5">
        <v>2026</v>
      </c>
      <c r="BA161" s="17">
        <v>384</v>
      </c>
      <c r="BB161" s="5">
        <v>2029</v>
      </c>
      <c r="BC161" s="17">
        <v>424</v>
      </c>
      <c r="BD161" s="5" t="s">
        <v>86</v>
      </c>
      <c r="BE161" s="17">
        <v>3.33</v>
      </c>
      <c r="BF161" s="5">
        <v>2026</v>
      </c>
      <c r="BG161" s="17">
        <v>59</v>
      </c>
      <c r="BH161" s="5">
        <v>2029</v>
      </c>
      <c r="BI161" s="17">
        <v>78</v>
      </c>
      <c r="BJ161" s="5" t="s">
        <v>87</v>
      </c>
      <c r="BK161" s="9"/>
      <c r="BL161" s="9" t="str">
        <f>HYPERLINK("https://seichotoushi-hojo.jp/assets/pdf/koufu/outline__179.pdf","PDFを開く")</f>
        <v>PDFを開く</v>
      </c>
      <c r="BM161" s="9" t="s">
        <v>1393</v>
      </c>
      <c r="BN161" s="9" t="s">
        <v>1394</v>
      </c>
      <c r="BO161" s="9" t="s">
        <v>166</v>
      </c>
      <c r="BP161" s="9" t="s">
        <v>166</v>
      </c>
      <c r="BQ161" s="9" t="s">
        <v>90</v>
      </c>
      <c r="BR161" s="9" t="s">
        <v>166</v>
      </c>
    </row>
    <row r="162" spans="1:70" ht="45.95" customHeight="1">
      <c r="A162" s="2" t="s">
        <v>1395</v>
      </c>
      <c r="B162" s="2" t="s">
        <v>1386</v>
      </c>
      <c r="C162" s="2" t="s">
        <v>1396</v>
      </c>
      <c r="D162" s="2" t="s">
        <v>1396</v>
      </c>
      <c r="E162" s="2" t="s">
        <v>186</v>
      </c>
      <c r="F162" s="2" t="s">
        <v>1397</v>
      </c>
      <c r="G162" s="2">
        <v>9</v>
      </c>
      <c r="H162" s="2">
        <v>0</v>
      </c>
      <c r="I162" s="2">
        <v>5</v>
      </c>
      <c r="J162" s="2">
        <v>4</v>
      </c>
      <c r="K162" s="2">
        <v>0</v>
      </c>
      <c r="L162" s="16">
        <v>8200</v>
      </c>
      <c r="M162" s="16">
        <v>2600</v>
      </c>
      <c r="N162" s="8" t="s">
        <v>1398</v>
      </c>
      <c r="O162" s="12">
        <f t="shared" si="2"/>
        <v>31.707317073170731</v>
      </c>
      <c r="P162" s="2">
        <v>6</v>
      </c>
      <c r="Q162" s="2" t="s">
        <v>77</v>
      </c>
      <c r="R162" s="8" t="s">
        <v>1399</v>
      </c>
      <c r="S162" s="8" t="s">
        <v>1400</v>
      </c>
      <c r="T162" s="8" t="s">
        <v>228</v>
      </c>
      <c r="U162" s="2" t="s">
        <v>81</v>
      </c>
      <c r="V162" s="2"/>
      <c r="W162" s="16"/>
      <c r="X162" s="2">
        <v>2029</v>
      </c>
      <c r="Y162" s="16">
        <v>100.7</v>
      </c>
      <c r="Z162" s="16">
        <v>32.9</v>
      </c>
      <c r="AA162" s="2">
        <v>2029</v>
      </c>
      <c r="AB162" s="16">
        <v>148.6</v>
      </c>
      <c r="AC162" s="2">
        <v>2029</v>
      </c>
      <c r="AD162" s="2" t="s">
        <v>82</v>
      </c>
      <c r="AE162" s="16"/>
      <c r="AF162" s="16"/>
      <c r="AG162" s="16"/>
      <c r="AH162" s="16"/>
      <c r="AI162" s="8" t="s">
        <v>83</v>
      </c>
      <c r="AJ162" s="2" t="s">
        <v>84</v>
      </c>
      <c r="AK162" s="2">
        <v>1</v>
      </c>
      <c r="AL162" s="8" t="s">
        <v>1401</v>
      </c>
      <c r="AM162" s="8" t="s">
        <v>1402</v>
      </c>
      <c r="AN162" s="2">
        <v>2026</v>
      </c>
      <c r="AO162" s="16">
        <v>1036</v>
      </c>
      <c r="AP162" s="2">
        <v>2029</v>
      </c>
      <c r="AQ162" s="16">
        <v>1590</v>
      </c>
      <c r="AR162" s="2" t="s">
        <v>86</v>
      </c>
      <c r="AS162" s="16">
        <v>15.3</v>
      </c>
      <c r="AT162" s="2">
        <v>2026</v>
      </c>
      <c r="AU162" s="16">
        <v>325</v>
      </c>
      <c r="AV162" s="2">
        <v>2029</v>
      </c>
      <c r="AW162" s="16">
        <v>371</v>
      </c>
      <c r="AX162" s="2" t="s">
        <v>86</v>
      </c>
      <c r="AY162" s="16">
        <v>4.5</v>
      </c>
      <c r="AZ162" s="2">
        <v>2026</v>
      </c>
      <c r="BA162" s="16">
        <v>364</v>
      </c>
      <c r="BB162" s="2">
        <v>2029</v>
      </c>
      <c r="BC162" s="16">
        <v>409</v>
      </c>
      <c r="BD162" s="2" t="s">
        <v>86</v>
      </c>
      <c r="BE162" s="16">
        <v>4</v>
      </c>
      <c r="BF162" s="2">
        <v>2026</v>
      </c>
      <c r="BG162" s="16">
        <v>135</v>
      </c>
      <c r="BH162" s="2">
        <v>2029</v>
      </c>
      <c r="BI162" s="16">
        <v>147</v>
      </c>
      <c r="BJ162" s="2" t="s">
        <v>87</v>
      </c>
      <c r="BK162" s="8" t="s">
        <v>589</v>
      </c>
      <c r="BL162" s="8" t="str">
        <f>HYPERLINK("https://seichotoushi-hojo.jp/assets/pdf/koufu/outline__181.pdf","PDFを開く")</f>
        <v>PDFを開く</v>
      </c>
      <c r="BM162" s="8" t="s">
        <v>1403</v>
      </c>
      <c r="BN162" s="8" t="s">
        <v>1404</v>
      </c>
      <c r="BO162" s="8" t="s">
        <v>90</v>
      </c>
      <c r="BP162" s="8" t="s">
        <v>90</v>
      </c>
      <c r="BQ162" s="8" t="s">
        <v>90</v>
      </c>
      <c r="BR162" s="8" t="s">
        <v>166</v>
      </c>
    </row>
    <row r="163" spans="1:70" ht="45.95" customHeight="1">
      <c r="A163" s="5" t="s">
        <v>1405</v>
      </c>
      <c r="B163" s="5" t="s">
        <v>1386</v>
      </c>
      <c r="C163" s="5" t="s">
        <v>1406</v>
      </c>
      <c r="D163" s="5" t="s">
        <v>1406</v>
      </c>
      <c r="E163" s="5" t="s">
        <v>75</v>
      </c>
      <c r="F163" s="5"/>
      <c r="G163" s="5">
        <v>2</v>
      </c>
      <c r="H163" s="5">
        <v>0</v>
      </c>
      <c r="I163" s="5">
        <v>1</v>
      </c>
      <c r="J163" s="5">
        <v>1</v>
      </c>
      <c r="K163" s="5">
        <v>0</v>
      </c>
      <c r="L163" s="17">
        <v>9100</v>
      </c>
      <c r="M163" s="17">
        <v>2500</v>
      </c>
      <c r="N163" s="9" t="s">
        <v>1407</v>
      </c>
      <c r="O163" s="13">
        <f t="shared" si="2"/>
        <v>27.472527472527474</v>
      </c>
      <c r="P163" s="5">
        <v>2</v>
      </c>
      <c r="Q163" s="5" t="s">
        <v>77</v>
      </c>
      <c r="R163" s="9" t="s">
        <v>1408</v>
      </c>
      <c r="S163" s="9" t="s">
        <v>1409</v>
      </c>
      <c r="T163" s="9" t="s">
        <v>80</v>
      </c>
      <c r="U163" s="5" t="s">
        <v>81</v>
      </c>
      <c r="V163" s="5"/>
      <c r="W163" s="17"/>
      <c r="X163" s="5">
        <v>2030</v>
      </c>
      <c r="Y163" s="17">
        <v>162</v>
      </c>
      <c r="Z163" s="17"/>
      <c r="AA163" s="5"/>
      <c r="AB163" s="17">
        <v>13</v>
      </c>
      <c r="AC163" s="5">
        <v>2030</v>
      </c>
      <c r="AD163" s="5" t="s">
        <v>210</v>
      </c>
      <c r="AE163" s="17"/>
      <c r="AF163" s="17"/>
      <c r="AG163" s="17"/>
      <c r="AH163" s="17"/>
      <c r="AI163" s="9" t="s">
        <v>83</v>
      </c>
      <c r="AJ163" s="5" t="s">
        <v>84</v>
      </c>
      <c r="AK163" s="5">
        <v>1</v>
      </c>
      <c r="AL163" s="9" t="s">
        <v>1410</v>
      </c>
      <c r="AM163" s="9" t="s">
        <v>1411</v>
      </c>
      <c r="AN163" s="5">
        <v>2026</v>
      </c>
      <c r="AO163" s="17">
        <v>693</v>
      </c>
      <c r="AP163" s="5">
        <v>2029</v>
      </c>
      <c r="AQ163" s="17">
        <v>1185</v>
      </c>
      <c r="AR163" s="5" t="s">
        <v>86</v>
      </c>
      <c r="AS163" s="17">
        <v>19.600000000000001</v>
      </c>
      <c r="AT163" s="5">
        <v>2026</v>
      </c>
      <c r="AU163" s="17">
        <v>534</v>
      </c>
      <c r="AV163" s="5">
        <v>2029</v>
      </c>
      <c r="AW163" s="17">
        <v>619</v>
      </c>
      <c r="AX163" s="5" t="s">
        <v>86</v>
      </c>
      <c r="AY163" s="17">
        <v>5.0999999999999996</v>
      </c>
      <c r="AZ163" s="5">
        <v>2026</v>
      </c>
      <c r="BA163" s="17">
        <v>1624</v>
      </c>
      <c r="BB163" s="5">
        <v>2029</v>
      </c>
      <c r="BC163" s="17">
        <v>1880</v>
      </c>
      <c r="BD163" s="5" t="s">
        <v>86</v>
      </c>
      <c r="BE163" s="17">
        <v>5</v>
      </c>
      <c r="BF163" s="5">
        <v>2026</v>
      </c>
      <c r="BG163" s="17">
        <v>287</v>
      </c>
      <c r="BH163" s="5">
        <v>2029</v>
      </c>
      <c r="BI163" s="17">
        <v>385</v>
      </c>
      <c r="BJ163" s="5" t="s">
        <v>87</v>
      </c>
      <c r="BK163" s="9"/>
      <c r="BL163" s="9" t="str">
        <f>HYPERLINK("https://seichotoushi-hojo.jp/assets/pdf/koufu/outline__182.pdf","PDFを開く")</f>
        <v>PDFを開く</v>
      </c>
      <c r="BM163" s="9" t="s">
        <v>1412</v>
      </c>
      <c r="BN163" s="9" t="s">
        <v>1413</v>
      </c>
      <c r="BO163" s="9" t="s">
        <v>90</v>
      </c>
      <c r="BP163" s="9" t="s">
        <v>90</v>
      </c>
      <c r="BQ163" s="9" t="s">
        <v>90</v>
      </c>
      <c r="BR163" s="9" t="s">
        <v>92</v>
      </c>
    </row>
    <row r="164" spans="1:70" ht="45.95" customHeight="1">
      <c r="A164" s="2" t="s">
        <v>1414</v>
      </c>
      <c r="B164" s="2" t="s">
        <v>1386</v>
      </c>
      <c r="C164" s="2" t="s">
        <v>1415</v>
      </c>
      <c r="D164" s="2" t="s">
        <v>1415</v>
      </c>
      <c r="E164" s="2" t="s">
        <v>95</v>
      </c>
      <c r="F164" s="2"/>
      <c r="G164" s="2">
        <v>2</v>
      </c>
      <c r="H164" s="2">
        <v>0</v>
      </c>
      <c r="I164" s="2">
        <v>1</v>
      </c>
      <c r="J164" s="2">
        <v>1</v>
      </c>
      <c r="K164" s="2">
        <v>0</v>
      </c>
      <c r="L164" s="16">
        <v>3300</v>
      </c>
      <c r="M164" s="16">
        <v>890</v>
      </c>
      <c r="N164" s="8" t="s">
        <v>1416</v>
      </c>
      <c r="O164" s="12">
        <f t="shared" si="2"/>
        <v>26.969696969696972</v>
      </c>
      <c r="P164" s="2">
        <v>2</v>
      </c>
      <c r="Q164" s="2" t="s">
        <v>77</v>
      </c>
      <c r="R164" s="8" t="s">
        <v>1417</v>
      </c>
      <c r="S164" s="8" t="s">
        <v>1418</v>
      </c>
      <c r="T164" s="8" t="s">
        <v>80</v>
      </c>
      <c r="U164" s="2" t="s">
        <v>81</v>
      </c>
      <c r="V164" s="2">
        <v>2027</v>
      </c>
      <c r="W164" s="16"/>
      <c r="X164" s="2">
        <v>2030</v>
      </c>
      <c r="Y164" s="16"/>
      <c r="Z164" s="16">
        <v>37.5</v>
      </c>
      <c r="AA164" s="2">
        <v>2030</v>
      </c>
      <c r="AB164" s="16">
        <v>107.9</v>
      </c>
      <c r="AC164" s="2">
        <v>2030</v>
      </c>
      <c r="AD164" s="2" t="s">
        <v>82</v>
      </c>
      <c r="AE164" s="16"/>
      <c r="AF164" s="16"/>
      <c r="AG164" s="16"/>
      <c r="AH164" s="16"/>
      <c r="AI164" s="8" t="s">
        <v>83</v>
      </c>
      <c r="AJ164" s="2" t="s">
        <v>84</v>
      </c>
      <c r="AK164" s="2">
        <v>1</v>
      </c>
      <c r="AL164" s="8" t="s">
        <v>1419</v>
      </c>
      <c r="AM164" s="8"/>
      <c r="AN164" s="2">
        <v>2027</v>
      </c>
      <c r="AO164" s="16">
        <v>925</v>
      </c>
      <c r="AP164" s="2">
        <v>2030</v>
      </c>
      <c r="AQ164" s="16">
        <v>1695</v>
      </c>
      <c r="AR164" s="2" t="s">
        <v>86</v>
      </c>
      <c r="AS164" s="16">
        <v>22.4</v>
      </c>
      <c r="AT164" s="2">
        <v>2027</v>
      </c>
      <c r="AU164" s="16">
        <v>385</v>
      </c>
      <c r="AV164" s="2">
        <v>2030</v>
      </c>
      <c r="AW164" s="16">
        <v>446</v>
      </c>
      <c r="AX164" s="2" t="s">
        <v>86</v>
      </c>
      <c r="AY164" s="16">
        <v>5</v>
      </c>
      <c r="AZ164" s="2">
        <v>2027</v>
      </c>
      <c r="BA164" s="16">
        <v>1041</v>
      </c>
      <c r="BB164" s="2">
        <v>2030</v>
      </c>
      <c r="BC164" s="16">
        <v>1205</v>
      </c>
      <c r="BD164" s="2" t="s">
        <v>86</v>
      </c>
      <c r="BE164" s="16">
        <v>5</v>
      </c>
      <c r="BF164" s="2">
        <v>2027</v>
      </c>
      <c r="BG164" s="16">
        <v>190</v>
      </c>
      <c r="BH164" s="2">
        <v>2030</v>
      </c>
      <c r="BI164" s="16">
        <v>208</v>
      </c>
      <c r="BJ164" s="2" t="s">
        <v>87</v>
      </c>
      <c r="BK164" s="8"/>
      <c r="BL164" s="8" t="str">
        <f>HYPERLINK("https://seichotoushi-hojo.jp/assets/pdf/koufu/outline__183.pdf","PDFを開く")</f>
        <v>PDFを開く</v>
      </c>
      <c r="BM164" s="8" t="s">
        <v>1420</v>
      </c>
      <c r="BN164" s="8" t="s">
        <v>1421</v>
      </c>
      <c r="BO164" s="8" t="s">
        <v>90</v>
      </c>
      <c r="BP164" s="8" t="s">
        <v>90</v>
      </c>
      <c r="BQ164" s="8" t="s">
        <v>90</v>
      </c>
      <c r="BR164" s="8" t="s">
        <v>92</v>
      </c>
    </row>
    <row r="165" spans="1:70" ht="45.95" customHeight="1">
      <c r="A165" s="5" t="s">
        <v>1422</v>
      </c>
      <c r="B165" s="5" t="s">
        <v>1386</v>
      </c>
      <c r="C165" s="5" t="s">
        <v>1423</v>
      </c>
      <c r="D165" s="5" t="s">
        <v>1423</v>
      </c>
      <c r="E165" s="5" t="s">
        <v>186</v>
      </c>
      <c r="F165" s="5"/>
      <c r="G165" s="5">
        <v>4</v>
      </c>
      <c r="H165" s="5">
        <v>0</v>
      </c>
      <c r="I165" s="5">
        <v>1</v>
      </c>
      <c r="J165" s="5">
        <v>3</v>
      </c>
      <c r="K165" s="5">
        <v>0</v>
      </c>
      <c r="L165" s="17">
        <v>1200</v>
      </c>
      <c r="M165" s="17">
        <v>130</v>
      </c>
      <c r="N165" s="9" t="s">
        <v>1424</v>
      </c>
      <c r="O165" s="13">
        <f t="shared" si="2"/>
        <v>10.833333333333334</v>
      </c>
      <c r="P165" s="5">
        <v>2</v>
      </c>
      <c r="Q165" s="5" t="s">
        <v>77</v>
      </c>
      <c r="R165" s="9" t="s">
        <v>1425</v>
      </c>
      <c r="S165" s="9" t="s">
        <v>1426</v>
      </c>
      <c r="T165" s="9" t="s">
        <v>80</v>
      </c>
      <c r="U165" s="5" t="s">
        <v>81</v>
      </c>
      <c r="V165" s="5">
        <v>2023</v>
      </c>
      <c r="W165" s="17"/>
      <c r="X165" s="5">
        <v>2030</v>
      </c>
      <c r="Y165" s="17">
        <v>113</v>
      </c>
      <c r="Z165" s="17">
        <v>96</v>
      </c>
      <c r="AA165" s="5">
        <v>2030</v>
      </c>
      <c r="AB165" s="17">
        <v>185</v>
      </c>
      <c r="AC165" s="5">
        <v>2030</v>
      </c>
      <c r="AD165" s="5" t="s">
        <v>82</v>
      </c>
      <c r="AE165" s="17"/>
      <c r="AF165" s="17"/>
      <c r="AG165" s="17"/>
      <c r="AH165" s="17"/>
      <c r="AI165" s="9" t="s">
        <v>83</v>
      </c>
      <c r="AJ165" s="5" t="s">
        <v>84</v>
      </c>
      <c r="AK165" s="5">
        <v>1</v>
      </c>
      <c r="AL165" s="9" t="s">
        <v>1427</v>
      </c>
      <c r="AM165" s="9" t="s">
        <v>1428</v>
      </c>
      <c r="AN165" s="5">
        <v>2025</v>
      </c>
      <c r="AO165" s="17">
        <v>1392</v>
      </c>
      <c r="AP165" s="5">
        <v>2028</v>
      </c>
      <c r="AQ165" s="17">
        <v>1957</v>
      </c>
      <c r="AR165" s="5" t="s">
        <v>86</v>
      </c>
      <c r="AS165" s="17">
        <v>12</v>
      </c>
      <c r="AT165" s="5">
        <v>2025</v>
      </c>
      <c r="AU165" s="17">
        <v>520</v>
      </c>
      <c r="AV165" s="5">
        <v>2028</v>
      </c>
      <c r="AW165" s="17">
        <v>603</v>
      </c>
      <c r="AX165" s="5" t="s">
        <v>86</v>
      </c>
      <c r="AY165" s="17">
        <v>5</v>
      </c>
      <c r="AZ165" s="5">
        <v>2025</v>
      </c>
      <c r="BA165" s="17"/>
      <c r="BB165" s="5">
        <v>2028</v>
      </c>
      <c r="BC165" s="17"/>
      <c r="BD165" s="5" t="s">
        <v>86</v>
      </c>
      <c r="BE165" s="17">
        <v>5</v>
      </c>
      <c r="BF165" s="5">
        <v>2025</v>
      </c>
      <c r="BG165" s="17">
        <v>104</v>
      </c>
      <c r="BH165" s="5">
        <v>2028</v>
      </c>
      <c r="BI165" s="17">
        <v>117</v>
      </c>
      <c r="BJ165" s="5" t="s">
        <v>87</v>
      </c>
      <c r="BK165" s="9"/>
      <c r="BL165" s="9" t="str">
        <f>HYPERLINK("https://seichotoushi-hojo.jp/assets/pdf/koufu/outline__184.pdf","PDFを開く")</f>
        <v>PDFを開く</v>
      </c>
      <c r="BM165" s="9" t="s">
        <v>1429</v>
      </c>
      <c r="BN165" s="9" t="s">
        <v>1430</v>
      </c>
      <c r="BO165" s="9" t="s">
        <v>166</v>
      </c>
      <c r="BP165" s="9" t="s">
        <v>166</v>
      </c>
      <c r="BQ165" s="9" t="s">
        <v>91</v>
      </c>
      <c r="BR165" s="9" t="s">
        <v>166</v>
      </c>
    </row>
    <row r="166" spans="1:70" ht="45.95" customHeight="1">
      <c r="A166" s="2" t="s">
        <v>1431</v>
      </c>
      <c r="B166" s="2" t="s">
        <v>1386</v>
      </c>
      <c r="C166" s="2" t="s">
        <v>1432</v>
      </c>
      <c r="D166" s="2" t="s">
        <v>1432</v>
      </c>
      <c r="E166" s="2" t="s">
        <v>75</v>
      </c>
      <c r="F166" s="2"/>
      <c r="G166" s="2">
        <v>2</v>
      </c>
      <c r="H166" s="2">
        <v>0</v>
      </c>
      <c r="I166" s="2">
        <v>1</v>
      </c>
      <c r="J166" s="2">
        <v>1</v>
      </c>
      <c r="K166" s="2">
        <v>0</v>
      </c>
      <c r="L166" s="16">
        <v>1500</v>
      </c>
      <c r="M166" s="16">
        <v>500</v>
      </c>
      <c r="N166" s="8" t="s">
        <v>1433</v>
      </c>
      <c r="O166" s="12">
        <f t="shared" si="2"/>
        <v>33.333333333333329</v>
      </c>
      <c r="P166" s="2">
        <v>2</v>
      </c>
      <c r="Q166" s="2" t="s">
        <v>308</v>
      </c>
      <c r="R166" s="8" t="s">
        <v>1434</v>
      </c>
      <c r="S166" s="8" t="s">
        <v>1435</v>
      </c>
      <c r="T166" s="8" t="s">
        <v>310</v>
      </c>
      <c r="U166" s="2" t="s">
        <v>81</v>
      </c>
      <c r="V166" s="2">
        <v>2026</v>
      </c>
      <c r="W166" s="16"/>
      <c r="X166" s="2">
        <v>2029</v>
      </c>
      <c r="Y166" s="16"/>
      <c r="Z166" s="16">
        <v>38</v>
      </c>
      <c r="AA166" s="2">
        <v>2029</v>
      </c>
      <c r="AB166" s="16">
        <v>170</v>
      </c>
      <c r="AC166" s="2">
        <v>2029</v>
      </c>
      <c r="AD166" s="2" t="s">
        <v>82</v>
      </c>
      <c r="AE166" s="16"/>
      <c r="AF166" s="16"/>
      <c r="AG166" s="16"/>
      <c r="AH166" s="16"/>
      <c r="AI166" s="8" t="s">
        <v>83</v>
      </c>
      <c r="AJ166" s="2" t="s">
        <v>84</v>
      </c>
      <c r="AK166" s="2">
        <v>1</v>
      </c>
      <c r="AL166" s="8" t="s">
        <v>1436</v>
      </c>
      <c r="AM166" s="8" t="s">
        <v>1437</v>
      </c>
      <c r="AN166" s="2">
        <v>2026</v>
      </c>
      <c r="AO166" s="16">
        <v>656</v>
      </c>
      <c r="AP166" s="2">
        <v>2029</v>
      </c>
      <c r="AQ166" s="16">
        <v>780</v>
      </c>
      <c r="AR166" s="2" t="s">
        <v>86</v>
      </c>
      <c r="AS166" s="16">
        <v>5.9</v>
      </c>
      <c r="AT166" s="2">
        <v>2026</v>
      </c>
      <c r="AU166" s="16">
        <v>556</v>
      </c>
      <c r="AV166" s="2">
        <v>2029</v>
      </c>
      <c r="AW166" s="16">
        <v>645</v>
      </c>
      <c r="AX166" s="2" t="s">
        <v>86</v>
      </c>
      <c r="AY166" s="16">
        <v>5.0999999999999996</v>
      </c>
      <c r="AZ166" s="2">
        <v>2026</v>
      </c>
      <c r="BA166" s="16">
        <v>1355</v>
      </c>
      <c r="BB166" s="2">
        <v>2029</v>
      </c>
      <c r="BC166" s="16">
        <v>1804</v>
      </c>
      <c r="BD166" s="2" t="s">
        <v>86</v>
      </c>
      <c r="BE166" s="16">
        <v>10</v>
      </c>
      <c r="BF166" s="2">
        <v>2026</v>
      </c>
      <c r="BG166" s="16">
        <v>311</v>
      </c>
      <c r="BH166" s="2">
        <v>2029</v>
      </c>
      <c r="BI166" s="16">
        <v>496</v>
      </c>
      <c r="BJ166" s="2" t="s">
        <v>87</v>
      </c>
      <c r="BK166" s="8"/>
      <c r="BL166" s="8" t="str">
        <f>HYPERLINK("https://seichotoushi-hojo.jp/assets/pdf/koufu/outline__188.pdf","PDFを開く")</f>
        <v>PDFを開く</v>
      </c>
      <c r="BM166" s="8" t="s">
        <v>1438</v>
      </c>
      <c r="BN166" s="8" t="s">
        <v>1439</v>
      </c>
      <c r="BO166" s="8" t="s">
        <v>90</v>
      </c>
      <c r="BP166" s="8" t="s">
        <v>90</v>
      </c>
      <c r="BQ166" s="8" t="s">
        <v>90</v>
      </c>
      <c r="BR166" s="8" t="s">
        <v>92</v>
      </c>
    </row>
    <row r="167" spans="1:70" ht="45.95" customHeight="1">
      <c r="A167" s="5" t="s">
        <v>1440</v>
      </c>
      <c r="B167" s="5" t="s">
        <v>1386</v>
      </c>
      <c r="C167" s="5" t="s">
        <v>1441</v>
      </c>
      <c r="D167" s="5" t="s">
        <v>1441</v>
      </c>
      <c r="E167" s="5" t="s">
        <v>95</v>
      </c>
      <c r="F167" s="5"/>
      <c r="G167" s="5">
        <v>2</v>
      </c>
      <c r="H167" s="5">
        <v>0</v>
      </c>
      <c r="I167" s="5">
        <v>1</v>
      </c>
      <c r="J167" s="5">
        <v>1</v>
      </c>
      <c r="K167" s="5">
        <v>0</v>
      </c>
      <c r="L167" s="17">
        <v>2200</v>
      </c>
      <c r="M167" s="17">
        <v>630</v>
      </c>
      <c r="N167" s="9" t="s">
        <v>1442</v>
      </c>
      <c r="O167" s="13">
        <f t="shared" si="2"/>
        <v>28.636363636363637</v>
      </c>
      <c r="P167" s="5">
        <v>2</v>
      </c>
      <c r="Q167" s="5" t="s">
        <v>77</v>
      </c>
      <c r="R167" s="9" t="s">
        <v>1443</v>
      </c>
      <c r="S167" s="9" t="s">
        <v>1444</v>
      </c>
      <c r="T167" s="9" t="s">
        <v>80</v>
      </c>
      <c r="U167" s="5" t="s">
        <v>81</v>
      </c>
      <c r="V167" s="5"/>
      <c r="W167" s="17"/>
      <c r="X167" s="5">
        <v>2030</v>
      </c>
      <c r="Y167" s="17">
        <v>16.8</v>
      </c>
      <c r="Z167" s="17"/>
      <c r="AA167" s="5"/>
      <c r="AB167" s="17"/>
      <c r="AC167" s="5"/>
      <c r="AD167" s="5"/>
      <c r="AE167" s="17"/>
      <c r="AF167" s="17"/>
      <c r="AG167" s="17"/>
      <c r="AH167" s="17"/>
      <c r="AI167" s="9" t="s">
        <v>83</v>
      </c>
      <c r="AJ167" s="5" t="s">
        <v>84</v>
      </c>
      <c r="AK167" s="5">
        <v>1</v>
      </c>
      <c r="AL167" s="9" t="s">
        <v>1445</v>
      </c>
      <c r="AM167" s="9" t="s">
        <v>1446</v>
      </c>
      <c r="AN167" s="5">
        <v>2027</v>
      </c>
      <c r="AO167" s="17">
        <v>1013</v>
      </c>
      <c r="AP167" s="5">
        <v>2030</v>
      </c>
      <c r="AQ167" s="17">
        <v>2045</v>
      </c>
      <c r="AR167" s="5" t="s">
        <v>86</v>
      </c>
      <c r="AS167" s="17">
        <v>26.4</v>
      </c>
      <c r="AT167" s="5">
        <v>2027</v>
      </c>
      <c r="AU167" s="17">
        <v>433</v>
      </c>
      <c r="AV167" s="5">
        <v>2030</v>
      </c>
      <c r="AW167" s="17">
        <v>531</v>
      </c>
      <c r="AX167" s="5" t="s">
        <v>86</v>
      </c>
      <c r="AY167" s="17">
        <v>7</v>
      </c>
      <c r="AZ167" s="5">
        <v>2027</v>
      </c>
      <c r="BA167" s="17">
        <v>1473</v>
      </c>
      <c r="BB167" s="5">
        <v>2030</v>
      </c>
      <c r="BC167" s="17">
        <v>1706</v>
      </c>
      <c r="BD167" s="5" t="s">
        <v>86</v>
      </c>
      <c r="BE167" s="17">
        <v>5</v>
      </c>
      <c r="BF167" s="5">
        <v>2027</v>
      </c>
      <c r="BG167" s="17">
        <v>60</v>
      </c>
      <c r="BH167" s="5">
        <v>2030</v>
      </c>
      <c r="BI167" s="17">
        <v>75</v>
      </c>
      <c r="BJ167" s="5" t="s">
        <v>87</v>
      </c>
      <c r="BK167" s="9" t="s">
        <v>482</v>
      </c>
      <c r="BL167" s="9" t="str">
        <f>HYPERLINK("https://seichotoushi-hojo.jp/assets/pdf/koufu/outline__189.pdf","PDFを開く")</f>
        <v>PDFを開く</v>
      </c>
      <c r="BM167" s="9" t="s">
        <v>1447</v>
      </c>
      <c r="BN167" s="9" t="s">
        <v>1448</v>
      </c>
      <c r="BO167" s="9" t="s">
        <v>90</v>
      </c>
      <c r="BP167" s="9" t="s">
        <v>90</v>
      </c>
      <c r="BQ167" s="9" t="s">
        <v>90</v>
      </c>
      <c r="BR167" s="9" t="s">
        <v>92</v>
      </c>
    </row>
    <row r="168" spans="1:70" ht="45.95" customHeight="1">
      <c r="A168" s="2" t="s">
        <v>1449</v>
      </c>
      <c r="B168" s="2" t="s">
        <v>1386</v>
      </c>
      <c r="C168" s="2" t="s">
        <v>1450</v>
      </c>
      <c r="D168" s="2" t="s">
        <v>1450</v>
      </c>
      <c r="E168" s="2" t="s">
        <v>107</v>
      </c>
      <c r="F168" s="2"/>
      <c r="G168" s="2">
        <v>2</v>
      </c>
      <c r="H168" s="2">
        <v>0</v>
      </c>
      <c r="I168" s="2">
        <v>1</v>
      </c>
      <c r="J168" s="2">
        <v>1</v>
      </c>
      <c r="K168" s="2">
        <v>0</v>
      </c>
      <c r="L168" s="16">
        <v>2800</v>
      </c>
      <c r="M168" s="16">
        <v>800</v>
      </c>
      <c r="N168" s="8" t="s">
        <v>1451</v>
      </c>
      <c r="O168" s="12">
        <f t="shared" si="2"/>
        <v>28.571428571428569</v>
      </c>
      <c r="P168" s="2">
        <v>2</v>
      </c>
      <c r="Q168" s="2" t="s">
        <v>77</v>
      </c>
      <c r="R168" s="8" t="s">
        <v>1452</v>
      </c>
      <c r="S168" s="8" t="s">
        <v>1453</v>
      </c>
      <c r="T168" s="8" t="s">
        <v>80</v>
      </c>
      <c r="U168" s="2" t="s">
        <v>81</v>
      </c>
      <c r="V168" s="2">
        <v>2022</v>
      </c>
      <c r="W168" s="16">
        <v>24.7</v>
      </c>
      <c r="X168" s="2">
        <v>2029</v>
      </c>
      <c r="Y168" s="16">
        <v>24.7</v>
      </c>
      <c r="Z168" s="16">
        <v>7.2</v>
      </c>
      <c r="AA168" s="2">
        <v>2029</v>
      </c>
      <c r="AB168" s="16">
        <v>243</v>
      </c>
      <c r="AC168" s="2">
        <v>2029</v>
      </c>
      <c r="AD168" s="2" t="s">
        <v>82</v>
      </c>
      <c r="AE168" s="16"/>
      <c r="AF168" s="16"/>
      <c r="AG168" s="16">
        <v>0</v>
      </c>
      <c r="AH168" s="16"/>
      <c r="AI168" s="8" t="s">
        <v>200</v>
      </c>
      <c r="AJ168" s="2" t="s">
        <v>84</v>
      </c>
      <c r="AK168" s="2">
        <v>1</v>
      </c>
      <c r="AL168" s="8" t="s">
        <v>1454</v>
      </c>
      <c r="AM168" s="8" t="s">
        <v>1455</v>
      </c>
      <c r="AN168" s="2">
        <v>2025</v>
      </c>
      <c r="AO168" s="16">
        <v>671</v>
      </c>
      <c r="AP168" s="2">
        <v>2028</v>
      </c>
      <c r="AQ168" s="16">
        <v>973</v>
      </c>
      <c r="AR168" s="2" t="s">
        <v>86</v>
      </c>
      <c r="AS168" s="16">
        <v>13.2</v>
      </c>
      <c r="AT168" s="2">
        <v>2025</v>
      </c>
      <c r="AU168" s="16">
        <v>292</v>
      </c>
      <c r="AV168" s="2">
        <v>2028</v>
      </c>
      <c r="AW168" s="16">
        <v>373</v>
      </c>
      <c r="AX168" s="2" t="s">
        <v>86</v>
      </c>
      <c r="AY168" s="16">
        <v>8.5</v>
      </c>
      <c r="AZ168" s="2">
        <v>2025</v>
      </c>
      <c r="BA168" s="16">
        <v>1100</v>
      </c>
      <c r="BB168" s="2">
        <v>2028</v>
      </c>
      <c r="BC168" s="16">
        <v>1290</v>
      </c>
      <c r="BD168" s="2" t="s">
        <v>86</v>
      </c>
      <c r="BE168" s="16">
        <v>5.5</v>
      </c>
      <c r="BF168" s="2">
        <v>2025</v>
      </c>
      <c r="BG168" s="16">
        <v>106</v>
      </c>
      <c r="BH168" s="2">
        <v>2028</v>
      </c>
      <c r="BI168" s="16">
        <v>127</v>
      </c>
      <c r="BJ168" s="2" t="s">
        <v>87</v>
      </c>
      <c r="BK168" s="8"/>
      <c r="BL168" s="8" t="str">
        <f>HYPERLINK("https://seichotoushi-hojo.jp/assets/pdf/koufu/outline__190.pdf","PDFを開く")</f>
        <v>PDFを開く</v>
      </c>
      <c r="BM168" s="8" t="s">
        <v>1456</v>
      </c>
      <c r="BN168" s="8" t="s">
        <v>1457</v>
      </c>
      <c r="BO168" s="8" t="s">
        <v>90</v>
      </c>
      <c r="BP168" s="8" t="s">
        <v>90</v>
      </c>
      <c r="BQ168" s="8" t="s">
        <v>90</v>
      </c>
      <c r="BR168" s="8" t="s">
        <v>92</v>
      </c>
    </row>
    <row r="169" spans="1:70" ht="45.95" customHeight="1">
      <c r="A169" s="5" t="s">
        <v>1458</v>
      </c>
      <c r="B169" s="5" t="s">
        <v>1386</v>
      </c>
      <c r="C169" s="5" t="s">
        <v>1459</v>
      </c>
      <c r="D169" s="5" t="s">
        <v>1459</v>
      </c>
      <c r="E169" s="5" t="s">
        <v>107</v>
      </c>
      <c r="F169" s="5"/>
      <c r="G169" s="5">
        <v>3</v>
      </c>
      <c r="H169" s="5">
        <v>0</v>
      </c>
      <c r="I169" s="5">
        <v>1</v>
      </c>
      <c r="J169" s="5">
        <v>2</v>
      </c>
      <c r="K169" s="5">
        <v>0</v>
      </c>
      <c r="L169" s="17">
        <v>4500</v>
      </c>
      <c r="M169" s="17">
        <v>690</v>
      </c>
      <c r="N169" s="9" t="s">
        <v>1460</v>
      </c>
      <c r="O169" s="13">
        <f t="shared" si="2"/>
        <v>15.333333333333332</v>
      </c>
      <c r="P169" s="5">
        <v>2</v>
      </c>
      <c r="Q169" s="5" t="s">
        <v>77</v>
      </c>
      <c r="R169" s="9" t="s">
        <v>1461</v>
      </c>
      <c r="S169" s="9" t="s">
        <v>1462</v>
      </c>
      <c r="T169" s="9" t="s">
        <v>80</v>
      </c>
      <c r="U169" s="5" t="s">
        <v>81</v>
      </c>
      <c r="V169" s="5">
        <v>2023</v>
      </c>
      <c r="W169" s="17">
        <v>100</v>
      </c>
      <c r="X169" s="5">
        <v>2029</v>
      </c>
      <c r="Y169" s="17">
        <v>300</v>
      </c>
      <c r="Z169" s="17">
        <v>400</v>
      </c>
      <c r="AA169" s="5">
        <v>2029</v>
      </c>
      <c r="AB169" s="17">
        <v>33</v>
      </c>
      <c r="AC169" s="5">
        <v>2029</v>
      </c>
      <c r="AD169" s="5" t="s">
        <v>82</v>
      </c>
      <c r="AE169" s="17"/>
      <c r="AF169" s="17"/>
      <c r="AG169" s="17">
        <v>20.093695517600274</v>
      </c>
      <c r="AH169" s="17"/>
      <c r="AI169" s="9" t="s">
        <v>200</v>
      </c>
      <c r="AJ169" s="5" t="s">
        <v>84</v>
      </c>
      <c r="AK169" s="5">
        <v>1</v>
      </c>
      <c r="AL169" s="9" t="s">
        <v>1463</v>
      </c>
      <c r="AM169" s="9" t="s">
        <v>1464</v>
      </c>
      <c r="AN169" s="5">
        <v>2026</v>
      </c>
      <c r="AO169" s="17">
        <v>1668</v>
      </c>
      <c r="AP169" s="5">
        <v>2029</v>
      </c>
      <c r="AQ169" s="17">
        <v>2592</v>
      </c>
      <c r="AR169" s="5" t="s">
        <v>86</v>
      </c>
      <c r="AS169" s="17">
        <v>15.8</v>
      </c>
      <c r="AT169" s="5">
        <v>2026</v>
      </c>
      <c r="AU169" s="17">
        <v>438</v>
      </c>
      <c r="AV169" s="5">
        <v>2029</v>
      </c>
      <c r="AW169" s="17">
        <v>536</v>
      </c>
      <c r="AX169" s="5" t="s">
        <v>86</v>
      </c>
      <c r="AY169" s="17">
        <v>7</v>
      </c>
      <c r="AZ169" s="5">
        <v>2026</v>
      </c>
      <c r="BA169" s="17">
        <v>1000</v>
      </c>
      <c r="BB169" s="5">
        <v>2029</v>
      </c>
      <c r="BC169" s="17">
        <v>1125</v>
      </c>
      <c r="BD169" s="5" t="s">
        <v>86</v>
      </c>
      <c r="BE169" s="17">
        <v>4</v>
      </c>
      <c r="BF169" s="5">
        <v>2026</v>
      </c>
      <c r="BG169" s="17">
        <v>100</v>
      </c>
      <c r="BH169" s="5">
        <v>2029</v>
      </c>
      <c r="BI169" s="17">
        <v>140</v>
      </c>
      <c r="BJ169" s="5" t="s">
        <v>87</v>
      </c>
      <c r="BK169" s="9"/>
      <c r="BL169" s="9" t="str">
        <f>HYPERLINK("https://seichotoushi-hojo.jp/assets/pdf/koufu/outline__191.pdf","PDFを開く")</f>
        <v>PDFを開く</v>
      </c>
      <c r="BM169" s="9" t="s">
        <v>1465</v>
      </c>
      <c r="BN169" s="9" t="s">
        <v>1466</v>
      </c>
      <c r="BO169" s="9" t="s">
        <v>90</v>
      </c>
      <c r="BP169" s="9" t="s">
        <v>90</v>
      </c>
      <c r="BQ169" s="9" t="s">
        <v>90</v>
      </c>
      <c r="BR169" s="9" t="s">
        <v>92</v>
      </c>
    </row>
    <row r="170" spans="1:70" ht="45.95" customHeight="1">
      <c r="A170" s="2" t="s">
        <v>1467</v>
      </c>
      <c r="B170" s="2" t="s">
        <v>1386</v>
      </c>
      <c r="C170" s="2" t="s">
        <v>1468</v>
      </c>
      <c r="D170" s="2" t="s">
        <v>1468</v>
      </c>
      <c r="E170" s="2" t="s">
        <v>95</v>
      </c>
      <c r="F170" s="2"/>
      <c r="G170" s="2">
        <v>2</v>
      </c>
      <c r="H170" s="2">
        <v>0</v>
      </c>
      <c r="I170" s="2">
        <v>1</v>
      </c>
      <c r="J170" s="2">
        <v>1</v>
      </c>
      <c r="K170" s="2">
        <v>0</v>
      </c>
      <c r="L170" s="16">
        <v>16200</v>
      </c>
      <c r="M170" s="16">
        <v>5000</v>
      </c>
      <c r="N170" s="8" t="s">
        <v>1469</v>
      </c>
      <c r="O170" s="12">
        <f t="shared" si="2"/>
        <v>30.864197530864196</v>
      </c>
      <c r="P170" s="2">
        <v>2</v>
      </c>
      <c r="Q170" s="2" t="s">
        <v>77</v>
      </c>
      <c r="R170" s="8" t="s">
        <v>1469</v>
      </c>
      <c r="S170" s="8" t="s">
        <v>1470</v>
      </c>
      <c r="T170" s="8" t="s">
        <v>80</v>
      </c>
      <c r="U170" s="2" t="s">
        <v>81</v>
      </c>
      <c r="V170" s="2">
        <v>2023</v>
      </c>
      <c r="W170" s="16"/>
      <c r="X170" s="2">
        <v>2029</v>
      </c>
      <c r="Y170" s="16"/>
      <c r="Z170" s="16">
        <v>471</v>
      </c>
      <c r="AA170" s="2">
        <v>2029</v>
      </c>
      <c r="AB170" s="16">
        <v>84</v>
      </c>
      <c r="AC170" s="2">
        <v>2029</v>
      </c>
      <c r="AD170" s="2" t="s">
        <v>82</v>
      </c>
      <c r="AE170" s="16"/>
      <c r="AF170" s="16"/>
      <c r="AG170" s="16"/>
      <c r="AH170" s="16"/>
      <c r="AI170" s="8" t="s">
        <v>166</v>
      </c>
      <c r="AJ170" s="2" t="s">
        <v>292</v>
      </c>
      <c r="AK170" s="2">
        <v>1</v>
      </c>
      <c r="AL170" s="8" t="s">
        <v>1471</v>
      </c>
      <c r="AM170" s="8"/>
      <c r="AN170" s="2">
        <v>2026</v>
      </c>
      <c r="AO170" s="16">
        <v>753</v>
      </c>
      <c r="AP170" s="2">
        <v>2029</v>
      </c>
      <c r="AQ170" s="16">
        <v>8748</v>
      </c>
      <c r="AR170" s="2" t="s">
        <v>86</v>
      </c>
      <c r="AS170" s="16"/>
      <c r="AT170" s="2">
        <v>2026</v>
      </c>
      <c r="AU170" s="16">
        <v>641</v>
      </c>
      <c r="AV170" s="2">
        <v>2029</v>
      </c>
      <c r="AW170" s="16">
        <v>742</v>
      </c>
      <c r="AX170" s="2" t="s">
        <v>86</v>
      </c>
      <c r="AY170" s="16">
        <v>5</v>
      </c>
      <c r="AZ170" s="2">
        <v>2026</v>
      </c>
      <c r="BA170" s="16">
        <v>0</v>
      </c>
      <c r="BB170" s="2">
        <v>2029</v>
      </c>
      <c r="BC170" s="16">
        <v>0</v>
      </c>
      <c r="BD170" s="2" t="s">
        <v>86</v>
      </c>
      <c r="BE170" s="16"/>
      <c r="BF170" s="2">
        <v>2026</v>
      </c>
      <c r="BG170" s="16">
        <v>110</v>
      </c>
      <c r="BH170" s="2">
        <v>2029</v>
      </c>
      <c r="BI170" s="16">
        <v>150</v>
      </c>
      <c r="BJ170" s="2" t="s">
        <v>87</v>
      </c>
      <c r="BK170" s="8"/>
      <c r="BL170" s="8" t="str">
        <f>HYPERLINK("https://seichotoushi-hojo.jp/assets/pdf/koufu/outline__192.pdf","PDFを開く")</f>
        <v>PDFを開く</v>
      </c>
      <c r="BM170" s="8" t="s">
        <v>1472</v>
      </c>
      <c r="BN170" s="8" t="s">
        <v>1473</v>
      </c>
      <c r="BO170" s="8" t="s">
        <v>92</v>
      </c>
      <c r="BP170" s="8" t="s">
        <v>90</v>
      </c>
      <c r="BQ170" s="8" t="s">
        <v>92</v>
      </c>
      <c r="BR170" s="8" t="s">
        <v>92</v>
      </c>
    </row>
    <row r="171" spans="1:70" ht="45.95" customHeight="1">
      <c r="A171" s="5" t="s">
        <v>1474</v>
      </c>
      <c r="B171" s="5" t="s">
        <v>1386</v>
      </c>
      <c r="C171" s="5" t="s">
        <v>1475</v>
      </c>
      <c r="D171" s="5" t="s">
        <v>1476</v>
      </c>
      <c r="E171" s="5" t="s">
        <v>107</v>
      </c>
      <c r="F171" s="5"/>
      <c r="G171" s="5">
        <v>2</v>
      </c>
      <c r="H171" s="5">
        <v>0</v>
      </c>
      <c r="I171" s="5">
        <v>1</v>
      </c>
      <c r="J171" s="5">
        <v>1</v>
      </c>
      <c r="K171" s="5">
        <v>0</v>
      </c>
      <c r="L171" s="17">
        <v>12900</v>
      </c>
      <c r="M171" s="17">
        <v>4100</v>
      </c>
      <c r="N171" s="9" t="s">
        <v>1477</v>
      </c>
      <c r="O171" s="13">
        <f t="shared" si="2"/>
        <v>31.782945736434108</v>
      </c>
      <c r="P171" s="5">
        <v>2</v>
      </c>
      <c r="Q171" s="5" t="s">
        <v>77</v>
      </c>
      <c r="R171" s="9" t="s">
        <v>1477</v>
      </c>
      <c r="S171" s="9" t="s">
        <v>1478</v>
      </c>
      <c r="T171" s="9" t="s">
        <v>80</v>
      </c>
      <c r="U171" s="5" t="s">
        <v>81</v>
      </c>
      <c r="V171" s="5">
        <v>2023</v>
      </c>
      <c r="W171" s="17">
        <v>1361</v>
      </c>
      <c r="X171" s="5">
        <v>2030</v>
      </c>
      <c r="Y171" s="17">
        <v>2200</v>
      </c>
      <c r="Z171" s="17">
        <v>839</v>
      </c>
      <c r="AA171" s="5">
        <v>2030</v>
      </c>
      <c r="AB171" s="17"/>
      <c r="AC171" s="5"/>
      <c r="AD171" s="5"/>
      <c r="AE171" s="17"/>
      <c r="AF171" s="17"/>
      <c r="AG171" s="17">
        <v>7.1013478839472732</v>
      </c>
      <c r="AH171" s="17"/>
      <c r="AI171" s="9" t="s">
        <v>166</v>
      </c>
      <c r="AJ171" s="5" t="s">
        <v>292</v>
      </c>
      <c r="AK171" s="5">
        <v>1</v>
      </c>
      <c r="AL171" s="9" t="s">
        <v>1479</v>
      </c>
      <c r="AM171" s="9" t="s">
        <v>1480</v>
      </c>
      <c r="AN171" s="5">
        <v>2026</v>
      </c>
      <c r="AO171" s="17">
        <v>2352</v>
      </c>
      <c r="AP171" s="5">
        <v>2029</v>
      </c>
      <c r="AQ171" s="17">
        <v>4375</v>
      </c>
      <c r="AR171" s="5" t="s">
        <v>86</v>
      </c>
      <c r="AS171" s="17">
        <v>23</v>
      </c>
      <c r="AT171" s="5">
        <v>2026</v>
      </c>
      <c r="AU171" s="17">
        <v>661</v>
      </c>
      <c r="AV171" s="5">
        <v>2029</v>
      </c>
      <c r="AW171" s="17">
        <v>766</v>
      </c>
      <c r="AX171" s="5" t="s">
        <v>86</v>
      </c>
      <c r="AY171" s="17">
        <v>5</v>
      </c>
      <c r="AZ171" s="5"/>
      <c r="BA171" s="17"/>
      <c r="BB171" s="5"/>
      <c r="BC171" s="17"/>
      <c r="BD171" s="5"/>
      <c r="BE171" s="17"/>
      <c r="BF171" s="5">
        <v>2026</v>
      </c>
      <c r="BG171" s="17">
        <v>384</v>
      </c>
      <c r="BH171" s="5">
        <v>2029</v>
      </c>
      <c r="BI171" s="17">
        <v>384</v>
      </c>
      <c r="BJ171" s="5" t="s">
        <v>87</v>
      </c>
      <c r="BK171" s="9" t="s">
        <v>482</v>
      </c>
      <c r="BL171" s="9" t="str">
        <f>HYPERLINK("https://seichotoushi-hojo.jp/assets/pdf/koufu/outline__194.pdf","PDFを開く")</f>
        <v>PDFを開く</v>
      </c>
      <c r="BM171" s="9" t="s">
        <v>1481</v>
      </c>
      <c r="BN171" s="9" t="s">
        <v>1482</v>
      </c>
      <c r="BO171" s="9" t="s">
        <v>90</v>
      </c>
      <c r="BP171" s="9" t="s">
        <v>90</v>
      </c>
      <c r="BQ171" s="9" t="s">
        <v>156</v>
      </c>
      <c r="BR171" s="9" t="s">
        <v>92</v>
      </c>
    </row>
    <row r="172" spans="1:70" ht="45.95" customHeight="1">
      <c r="A172" s="2" t="s">
        <v>1483</v>
      </c>
      <c r="B172" s="2" t="s">
        <v>1386</v>
      </c>
      <c r="C172" s="2" t="s">
        <v>1484</v>
      </c>
      <c r="D172" s="2" t="s">
        <v>1484</v>
      </c>
      <c r="E172" s="2"/>
      <c r="F172" s="2"/>
      <c r="G172" s="2">
        <v>2</v>
      </c>
      <c r="H172" s="2">
        <v>0</v>
      </c>
      <c r="I172" s="2">
        <v>1</v>
      </c>
      <c r="J172" s="2">
        <v>1</v>
      </c>
      <c r="K172" s="2">
        <v>0</v>
      </c>
      <c r="L172" s="16">
        <v>2500</v>
      </c>
      <c r="M172" s="16">
        <v>810</v>
      </c>
      <c r="N172" s="8" t="s">
        <v>1485</v>
      </c>
      <c r="O172" s="12">
        <f t="shared" si="2"/>
        <v>32.4</v>
      </c>
      <c r="P172" s="2">
        <v>2</v>
      </c>
      <c r="Q172" s="2" t="s">
        <v>77</v>
      </c>
      <c r="R172" s="8" t="s">
        <v>1485</v>
      </c>
      <c r="S172" s="8" t="s">
        <v>1486</v>
      </c>
      <c r="T172" s="8" t="s">
        <v>80</v>
      </c>
      <c r="U172" s="2" t="s">
        <v>81</v>
      </c>
      <c r="V172" s="2">
        <v>2023</v>
      </c>
      <c r="W172" s="16"/>
      <c r="X172" s="2">
        <v>2029</v>
      </c>
      <c r="Y172" s="16">
        <v>60</v>
      </c>
      <c r="Z172" s="16">
        <v>31.6</v>
      </c>
      <c r="AA172" s="2">
        <v>2029</v>
      </c>
      <c r="AB172" s="16">
        <v>111.5</v>
      </c>
      <c r="AC172" s="2">
        <v>2029</v>
      </c>
      <c r="AD172" s="2" t="s">
        <v>490</v>
      </c>
      <c r="AE172" s="16"/>
      <c r="AF172" s="16"/>
      <c r="AG172" s="16"/>
      <c r="AH172" s="16"/>
      <c r="AI172" s="8" t="s">
        <v>166</v>
      </c>
      <c r="AJ172" s="2" t="s">
        <v>292</v>
      </c>
      <c r="AK172" s="2">
        <v>1</v>
      </c>
      <c r="AL172" s="8" t="s">
        <v>1487</v>
      </c>
      <c r="AM172" s="8" t="s">
        <v>1488</v>
      </c>
      <c r="AN172" s="2">
        <v>2026</v>
      </c>
      <c r="AO172" s="16">
        <v>805</v>
      </c>
      <c r="AP172" s="2">
        <v>2029</v>
      </c>
      <c r="AQ172" s="16">
        <v>1169</v>
      </c>
      <c r="AR172" s="2" t="s">
        <v>86</v>
      </c>
      <c r="AS172" s="16"/>
      <c r="AT172" s="2">
        <v>2026</v>
      </c>
      <c r="AU172" s="16">
        <v>569</v>
      </c>
      <c r="AV172" s="2">
        <v>2029</v>
      </c>
      <c r="AW172" s="16">
        <v>650</v>
      </c>
      <c r="AX172" s="2" t="s">
        <v>86</v>
      </c>
      <c r="AY172" s="16"/>
      <c r="AZ172" s="2">
        <v>2026</v>
      </c>
      <c r="BA172" s="16">
        <v>1160</v>
      </c>
      <c r="BB172" s="2">
        <v>2029</v>
      </c>
      <c r="BC172" s="16">
        <v>1323</v>
      </c>
      <c r="BD172" s="2" t="s">
        <v>86</v>
      </c>
      <c r="BE172" s="16"/>
      <c r="BF172" s="2">
        <v>2026</v>
      </c>
      <c r="BG172" s="16">
        <v>168</v>
      </c>
      <c r="BH172" s="2">
        <v>2029</v>
      </c>
      <c r="BI172" s="16">
        <v>180</v>
      </c>
      <c r="BJ172" s="2" t="s">
        <v>87</v>
      </c>
      <c r="BK172" s="8"/>
      <c r="BL172" s="8" t="str">
        <f>HYPERLINK("https://seichotoushi-hojo.jp/assets/pdf/koufu/outline__195.pdf","PDFを開く")</f>
        <v>PDFを開く</v>
      </c>
      <c r="BM172" s="8" t="s">
        <v>1489</v>
      </c>
      <c r="BN172" s="8" t="s">
        <v>1490</v>
      </c>
      <c r="BO172" s="8" t="s">
        <v>92</v>
      </c>
      <c r="BP172" s="8" t="s">
        <v>92</v>
      </c>
      <c r="BQ172" s="8" t="s">
        <v>92</v>
      </c>
      <c r="BR172" s="8" t="s">
        <v>92</v>
      </c>
    </row>
    <row r="173" spans="1:70" ht="45.95" customHeight="1">
      <c r="A173" s="5" t="s">
        <v>1491</v>
      </c>
      <c r="B173" s="5" t="s">
        <v>1386</v>
      </c>
      <c r="C173" s="5" t="s">
        <v>1492</v>
      </c>
      <c r="D173" s="5" t="s">
        <v>1492</v>
      </c>
      <c r="E173" s="5" t="s">
        <v>95</v>
      </c>
      <c r="F173" s="5"/>
      <c r="G173" s="5">
        <v>2</v>
      </c>
      <c r="H173" s="5">
        <v>0</v>
      </c>
      <c r="I173" s="5">
        <v>1</v>
      </c>
      <c r="J173" s="5">
        <v>1</v>
      </c>
      <c r="K173" s="5">
        <v>0</v>
      </c>
      <c r="L173" s="17">
        <v>1300</v>
      </c>
      <c r="M173" s="17">
        <v>420</v>
      </c>
      <c r="N173" s="9" t="s">
        <v>1493</v>
      </c>
      <c r="O173" s="13">
        <f t="shared" si="2"/>
        <v>32.307692307692307</v>
      </c>
      <c r="P173" s="5">
        <v>2</v>
      </c>
      <c r="Q173" s="5" t="s">
        <v>77</v>
      </c>
      <c r="R173" s="9" t="s">
        <v>1494</v>
      </c>
      <c r="S173" s="9" t="s">
        <v>1495</v>
      </c>
      <c r="T173" s="9" t="s">
        <v>80</v>
      </c>
      <c r="U173" s="5" t="s">
        <v>81</v>
      </c>
      <c r="V173" s="5"/>
      <c r="W173" s="17"/>
      <c r="X173" s="5">
        <v>2030</v>
      </c>
      <c r="Y173" s="17"/>
      <c r="Z173" s="17">
        <v>7.7</v>
      </c>
      <c r="AA173" s="5">
        <v>2030</v>
      </c>
      <c r="AB173" s="17">
        <v>7</v>
      </c>
      <c r="AC173" s="5">
        <v>2030</v>
      </c>
      <c r="AD173" s="5" t="s">
        <v>210</v>
      </c>
      <c r="AE173" s="17"/>
      <c r="AF173" s="17"/>
      <c r="AG173" s="17"/>
      <c r="AH173" s="17"/>
      <c r="AI173" s="9" t="s">
        <v>83</v>
      </c>
      <c r="AJ173" s="5" t="s">
        <v>84</v>
      </c>
      <c r="AK173" s="5">
        <v>1</v>
      </c>
      <c r="AL173" s="9" t="s">
        <v>1496</v>
      </c>
      <c r="AM173" s="9"/>
      <c r="AN173" s="5">
        <v>2027</v>
      </c>
      <c r="AO173" s="17">
        <v>1157</v>
      </c>
      <c r="AP173" s="5">
        <v>2030</v>
      </c>
      <c r="AQ173" s="17">
        <v>1519</v>
      </c>
      <c r="AR173" s="5" t="s">
        <v>86</v>
      </c>
      <c r="AS173" s="17">
        <v>9.5</v>
      </c>
      <c r="AT173" s="5">
        <v>2027</v>
      </c>
      <c r="AU173" s="17">
        <v>563</v>
      </c>
      <c r="AV173" s="5">
        <v>2030</v>
      </c>
      <c r="AW173" s="17">
        <v>633</v>
      </c>
      <c r="AX173" s="5" t="s">
        <v>86</v>
      </c>
      <c r="AY173" s="17">
        <v>4</v>
      </c>
      <c r="AZ173" s="5">
        <v>2027</v>
      </c>
      <c r="BA173" s="17"/>
      <c r="BB173" s="5">
        <v>2030</v>
      </c>
      <c r="BC173" s="17"/>
      <c r="BD173" s="5" t="s">
        <v>86</v>
      </c>
      <c r="BE173" s="17">
        <v>3.7</v>
      </c>
      <c r="BF173" s="5">
        <v>2027</v>
      </c>
      <c r="BG173" s="17">
        <v>79</v>
      </c>
      <c r="BH173" s="5">
        <v>2030</v>
      </c>
      <c r="BI173" s="17">
        <v>89</v>
      </c>
      <c r="BJ173" s="5" t="s">
        <v>87</v>
      </c>
      <c r="BK173" s="9"/>
      <c r="BL173" s="9" t="str">
        <f>HYPERLINK("https://seichotoushi-hojo.jp/assets/pdf/koufu/outline__196.pdf","PDFを開く")</f>
        <v>PDFを開く</v>
      </c>
      <c r="BM173" s="9" t="s">
        <v>1497</v>
      </c>
      <c r="BN173" s="9" t="s">
        <v>1498</v>
      </c>
      <c r="BO173" s="9" t="s">
        <v>90</v>
      </c>
      <c r="BP173" s="9" t="s">
        <v>90</v>
      </c>
      <c r="BQ173" s="9" t="s">
        <v>91</v>
      </c>
      <c r="BR173" s="9" t="s">
        <v>92</v>
      </c>
    </row>
    <row r="174" spans="1:70" ht="45.95" customHeight="1">
      <c r="A174" s="2" t="s">
        <v>1499</v>
      </c>
      <c r="B174" s="2" t="s">
        <v>1386</v>
      </c>
      <c r="C174" s="2" t="s">
        <v>1500</v>
      </c>
      <c r="D174" s="2" t="s">
        <v>1500</v>
      </c>
      <c r="E174" s="2" t="s">
        <v>107</v>
      </c>
      <c r="F174" s="2"/>
      <c r="G174" s="2">
        <v>2</v>
      </c>
      <c r="H174" s="2">
        <v>0</v>
      </c>
      <c r="I174" s="2">
        <v>1</v>
      </c>
      <c r="J174" s="2">
        <v>1</v>
      </c>
      <c r="K174" s="2">
        <v>0</v>
      </c>
      <c r="L174" s="16">
        <v>1700</v>
      </c>
      <c r="M174" s="16">
        <v>440</v>
      </c>
      <c r="N174" s="8" t="s">
        <v>1501</v>
      </c>
      <c r="O174" s="12">
        <f t="shared" si="2"/>
        <v>25.882352941176475</v>
      </c>
      <c r="P174" s="2">
        <v>2</v>
      </c>
      <c r="Q174" s="2" t="s">
        <v>77</v>
      </c>
      <c r="R174" s="8" t="s">
        <v>1501</v>
      </c>
      <c r="S174" s="8" t="s">
        <v>1502</v>
      </c>
      <c r="T174" s="8" t="s">
        <v>80</v>
      </c>
      <c r="U174" s="2" t="s">
        <v>81</v>
      </c>
      <c r="V174" s="2">
        <v>2025</v>
      </c>
      <c r="W174" s="16"/>
      <c r="X174" s="2">
        <v>2029</v>
      </c>
      <c r="Y174" s="16"/>
      <c r="Z174" s="16">
        <v>58</v>
      </c>
      <c r="AA174" s="2">
        <v>2029</v>
      </c>
      <c r="AB174" s="16">
        <v>57.7</v>
      </c>
      <c r="AC174" s="2">
        <v>2029</v>
      </c>
      <c r="AD174" s="2" t="s">
        <v>490</v>
      </c>
      <c r="AE174" s="16"/>
      <c r="AF174" s="16">
        <v>12.1</v>
      </c>
      <c r="AG174" s="16"/>
      <c r="AH174" s="16"/>
      <c r="AI174" s="8" t="s">
        <v>166</v>
      </c>
      <c r="AJ174" s="2" t="s">
        <v>292</v>
      </c>
      <c r="AK174" s="2">
        <v>1</v>
      </c>
      <c r="AL174" s="8" t="s">
        <v>1503</v>
      </c>
      <c r="AM174" s="8"/>
      <c r="AN174" s="2">
        <v>2026</v>
      </c>
      <c r="AO174" s="16">
        <v>564</v>
      </c>
      <c r="AP174" s="2">
        <v>2029</v>
      </c>
      <c r="AQ174" s="16">
        <v>894</v>
      </c>
      <c r="AR174" s="2" t="s">
        <v>86</v>
      </c>
      <c r="AS174" s="16">
        <v>16.600000000000001</v>
      </c>
      <c r="AT174" s="2">
        <v>2026</v>
      </c>
      <c r="AU174" s="16">
        <v>434</v>
      </c>
      <c r="AV174" s="2">
        <v>2029</v>
      </c>
      <c r="AW174" s="16">
        <v>495</v>
      </c>
      <c r="AX174" s="2" t="s">
        <v>86</v>
      </c>
      <c r="AY174" s="16">
        <v>4.5</v>
      </c>
      <c r="AZ174" s="2">
        <v>2026</v>
      </c>
      <c r="BA174" s="16">
        <v>1645</v>
      </c>
      <c r="BB174" s="2">
        <v>2029</v>
      </c>
      <c r="BC174" s="16">
        <v>1877</v>
      </c>
      <c r="BD174" s="2" t="s">
        <v>86</v>
      </c>
      <c r="BE174" s="16">
        <v>4.5</v>
      </c>
      <c r="BF174" s="2">
        <v>2026</v>
      </c>
      <c r="BG174" s="16">
        <v>422</v>
      </c>
      <c r="BH174" s="2">
        <v>2029</v>
      </c>
      <c r="BI174" s="16">
        <v>431</v>
      </c>
      <c r="BJ174" s="2" t="s">
        <v>87</v>
      </c>
      <c r="BK174" s="8"/>
      <c r="BL174" s="8" t="str">
        <f>HYPERLINK("https://seichotoushi-hojo.jp/assets/pdf/koufu/outline__197.pdf","PDFを開く")</f>
        <v>PDFを開く</v>
      </c>
      <c r="BM174" s="8" t="s">
        <v>1504</v>
      </c>
      <c r="BN174" s="8" t="s">
        <v>1505</v>
      </c>
      <c r="BO174" s="8" t="s">
        <v>90</v>
      </c>
      <c r="BP174" s="8" t="s">
        <v>90</v>
      </c>
      <c r="BQ174" s="8" t="s">
        <v>90</v>
      </c>
      <c r="BR174" s="8" t="s">
        <v>92</v>
      </c>
    </row>
    <row r="175" spans="1:70" ht="45.95" customHeight="1">
      <c r="A175" s="5" t="s">
        <v>1506</v>
      </c>
      <c r="B175" s="5" t="s">
        <v>1386</v>
      </c>
      <c r="C175" s="5" t="s">
        <v>1507</v>
      </c>
      <c r="D175" s="5" t="s">
        <v>1507</v>
      </c>
      <c r="E175" s="5" t="s">
        <v>75</v>
      </c>
      <c r="F175" s="5"/>
      <c r="G175" s="5">
        <v>2</v>
      </c>
      <c r="H175" s="5">
        <v>0</v>
      </c>
      <c r="I175" s="5">
        <v>1</v>
      </c>
      <c r="J175" s="5">
        <v>1</v>
      </c>
      <c r="K175" s="5">
        <v>0</v>
      </c>
      <c r="L175" s="17">
        <v>1800</v>
      </c>
      <c r="M175" s="17">
        <v>500</v>
      </c>
      <c r="N175" s="9" t="s">
        <v>1508</v>
      </c>
      <c r="O175" s="13">
        <f t="shared" si="2"/>
        <v>27.777777777777779</v>
      </c>
      <c r="P175" s="5">
        <v>2</v>
      </c>
      <c r="Q175" s="5" t="s">
        <v>77</v>
      </c>
      <c r="R175" s="9" t="s">
        <v>1509</v>
      </c>
      <c r="S175" s="9" t="s">
        <v>1510</v>
      </c>
      <c r="T175" s="9" t="s">
        <v>80</v>
      </c>
      <c r="U175" s="5" t="s">
        <v>81</v>
      </c>
      <c r="V175" s="5"/>
      <c r="W175" s="17"/>
      <c r="X175" s="5">
        <v>2029</v>
      </c>
      <c r="Y175" s="17"/>
      <c r="Z175" s="17">
        <v>27.3</v>
      </c>
      <c r="AA175" s="5">
        <v>2029</v>
      </c>
      <c r="AB175" s="17">
        <v>103.7</v>
      </c>
      <c r="AC175" s="5">
        <v>2029</v>
      </c>
      <c r="AD175" s="5" t="s">
        <v>82</v>
      </c>
      <c r="AE175" s="17"/>
      <c r="AF175" s="17"/>
      <c r="AG175" s="17"/>
      <c r="AH175" s="17"/>
      <c r="AI175" s="9" t="s">
        <v>83</v>
      </c>
      <c r="AJ175" s="5" t="s">
        <v>84</v>
      </c>
      <c r="AK175" s="5">
        <v>1</v>
      </c>
      <c r="AL175" s="9" t="s">
        <v>1511</v>
      </c>
      <c r="AM175" s="9"/>
      <c r="AN175" s="5">
        <v>2026</v>
      </c>
      <c r="AO175" s="17">
        <v>548</v>
      </c>
      <c r="AP175" s="5">
        <v>2029</v>
      </c>
      <c r="AQ175" s="17">
        <v>3157</v>
      </c>
      <c r="AR175" s="5" t="s">
        <v>86</v>
      </c>
      <c r="AS175" s="17">
        <v>79.2</v>
      </c>
      <c r="AT175" s="5">
        <v>2026</v>
      </c>
      <c r="AU175" s="17">
        <v>451</v>
      </c>
      <c r="AV175" s="5">
        <v>2029</v>
      </c>
      <c r="AW175" s="17">
        <v>537</v>
      </c>
      <c r="AX175" s="5" t="s">
        <v>86</v>
      </c>
      <c r="AY175" s="17">
        <v>6</v>
      </c>
      <c r="AZ175" s="5"/>
      <c r="BA175" s="17"/>
      <c r="BB175" s="5"/>
      <c r="BC175" s="17"/>
      <c r="BD175" s="5"/>
      <c r="BE175" s="17"/>
      <c r="BF175" s="5">
        <v>2026</v>
      </c>
      <c r="BG175" s="17">
        <v>30</v>
      </c>
      <c r="BH175" s="5">
        <v>2029</v>
      </c>
      <c r="BI175" s="17">
        <v>44</v>
      </c>
      <c r="BJ175" s="5" t="s">
        <v>87</v>
      </c>
      <c r="BK175" s="9"/>
      <c r="BL175" s="9" t="str">
        <f>HYPERLINK("https://seichotoushi-hojo.jp/assets/pdf/koufu/outline__198.pdf","PDFを開く")</f>
        <v>PDFを開く</v>
      </c>
      <c r="BM175" s="9" t="s">
        <v>1512</v>
      </c>
      <c r="BN175" s="9" t="s">
        <v>1513</v>
      </c>
      <c r="BO175" s="9" t="s">
        <v>90</v>
      </c>
      <c r="BP175" s="9" t="s">
        <v>90</v>
      </c>
      <c r="BQ175" s="9" t="s">
        <v>156</v>
      </c>
      <c r="BR175" s="9" t="s">
        <v>92</v>
      </c>
    </row>
    <row r="176" spans="1:70" ht="45.95" customHeight="1">
      <c r="A176" s="2" t="s">
        <v>1514</v>
      </c>
      <c r="B176" s="2" t="s">
        <v>1386</v>
      </c>
      <c r="C176" s="2" t="s">
        <v>1515</v>
      </c>
      <c r="D176" s="2" t="s">
        <v>1515</v>
      </c>
      <c r="E176" s="2" t="s">
        <v>95</v>
      </c>
      <c r="F176" s="2"/>
      <c r="G176" s="2">
        <v>3</v>
      </c>
      <c r="H176" s="2">
        <v>0</v>
      </c>
      <c r="I176" s="2">
        <v>2</v>
      </c>
      <c r="J176" s="2">
        <v>1</v>
      </c>
      <c r="K176" s="2">
        <v>0</v>
      </c>
      <c r="L176" s="16">
        <v>2100</v>
      </c>
      <c r="M176" s="16">
        <v>700</v>
      </c>
      <c r="N176" s="8" t="s">
        <v>1516</v>
      </c>
      <c r="O176" s="12">
        <f t="shared" si="2"/>
        <v>33.333333333333329</v>
      </c>
      <c r="P176" s="2">
        <v>3</v>
      </c>
      <c r="Q176" s="2" t="s">
        <v>77</v>
      </c>
      <c r="R176" s="8" t="s">
        <v>1517</v>
      </c>
      <c r="S176" s="8" t="s">
        <v>1518</v>
      </c>
      <c r="T176" s="8" t="s">
        <v>80</v>
      </c>
      <c r="U176" s="2" t="s">
        <v>81</v>
      </c>
      <c r="V176" s="2"/>
      <c r="W176" s="16"/>
      <c r="X176" s="2">
        <v>2029</v>
      </c>
      <c r="Y176" s="16"/>
      <c r="Z176" s="16">
        <v>41</v>
      </c>
      <c r="AA176" s="2">
        <v>2029</v>
      </c>
      <c r="AB176" s="16">
        <v>100</v>
      </c>
      <c r="AC176" s="2">
        <v>2029</v>
      </c>
      <c r="AD176" s="2" t="s">
        <v>82</v>
      </c>
      <c r="AE176" s="16"/>
      <c r="AF176" s="16"/>
      <c r="AG176" s="16"/>
      <c r="AH176" s="16"/>
      <c r="AI176" s="8" t="s">
        <v>83</v>
      </c>
      <c r="AJ176" s="2" t="s">
        <v>84</v>
      </c>
      <c r="AK176" s="2">
        <v>2</v>
      </c>
      <c r="AL176" s="8" t="s">
        <v>1519</v>
      </c>
      <c r="AM176" s="8"/>
      <c r="AN176" s="2">
        <v>2026</v>
      </c>
      <c r="AO176" s="16">
        <v>1406</v>
      </c>
      <c r="AP176" s="2">
        <v>2029</v>
      </c>
      <c r="AQ176" s="16">
        <v>1506</v>
      </c>
      <c r="AR176" s="2"/>
      <c r="AS176" s="16">
        <v>2.2999999999999998</v>
      </c>
      <c r="AT176" s="2">
        <v>2026</v>
      </c>
      <c r="AU176" s="16">
        <v>550</v>
      </c>
      <c r="AV176" s="2">
        <v>2029</v>
      </c>
      <c r="AW176" s="16">
        <v>795</v>
      </c>
      <c r="AX176" s="2"/>
      <c r="AY176" s="16">
        <v>13.1</v>
      </c>
      <c r="AZ176" s="2">
        <v>2026</v>
      </c>
      <c r="BA176" s="16">
        <v>750</v>
      </c>
      <c r="BB176" s="2">
        <v>2029</v>
      </c>
      <c r="BC176" s="16">
        <v>1700</v>
      </c>
      <c r="BD176" s="2"/>
      <c r="BE176" s="16">
        <v>31.4</v>
      </c>
      <c r="BF176" s="2">
        <v>2026</v>
      </c>
      <c r="BG176" s="16">
        <v>15</v>
      </c>
      <c r="BH176" s="2">
        <v>2029</v>
      </c>
      <c r="BI176" s="16">
        <v>40</v>
      </c>
      <c r="BJ176" s="2" t="s">
        <v>87</v>
      </c>
      <c r="BK176" s="8"/>
      <c r="BL176" s="8" t="str">
        <f>HYPERLINK("https://seichotoushi-hojo.jp/assets/pdf/koufu/outline__199.pdf","PDFを開く")</f>
        <v>PDFを開く</v>
      </c>
      <c r="BM176" s="8" t="s">
        <v>1520</v>
      </c>
      <c r="BN176" s="8" t="s">
        <v>1521</v>
      </c>
      <c r="BO176" s="8" t="s">
        <v>90</v>
      </c>
      <c r="BP176" s="8" t="s">
        <v>90</v>
      </c>
      <c r="BQ176" s="8" t="s">
        <v>90</v>
      </c>
      <c r="BR176" s="8" t="s">
        <v>92</v>
      </c>
    </row>
    <row r="177" spans="1:70" ht="45.95" customHeight="1">
      <c r="A177" s="5" t="s">
        <v>1522</v>
      </c>
      <c r="B177" s="5" t="s">
        <v>1386</v>
      </c>
      <c r="C177" s="5" t="s">
        <v>1523</v>
      </c>
      <c r="D177" s="5" t="s">
        <v>1523</v>
      </c>
      <c r="E177" s="5" t="s">
        <v>107</v>
      </c>
      <c r="F177" s="5"/>
      <c r="G177" s="5">
        <v>2</v>
      </c>
      <c r="H177" s="5">
        <v>0</v>
      </c>
      <c r="I177" s="5">
        <v>1</v>
      </c>
      <c r="J177" s="5">
        <v>1</v>
      </c>
      <c r="K177" s="5">
        <v>0</v>
      </c>
      <c r="L177" s="17">
        <v>1700</v>
      </c>
      <c r="M177" s="17">
        <v>530</v>
      </c>
      <c r="N177" s="9" t="s">
        <v>827</v>
      </c>
      <c r="O177" s="13">
        <f t="shared" si="2"/>
        <v>31.176470588235293</v>
      </c>
      <c r="P177" s="5">
        <v>2</v>
      </c>
      <c r="Q177" s="5" t="s">
        <v>77</v>
      </c>
      <c r="R177" s="9" t="s">
        <v>827</v>
      </c>
      <c r="S177" s="9" t="s">
        <v>1524</v>
      </c>
      <c r="T177" s="9" t="s">
        <v>80</v>
      </c>
      <c r="U177" s="5" t="s">
        <v>81</v>
      </c>
      <c r="V177" s="5">
        <v>2022</v>
      </c>
      <c r="W177" s="17"/>
      <c r="X177" s="5">
        <v>2030</v>
      </c>
      <c r="Y177" s="17"/>
      <c r="Z177" s="17">
        <v>25</v>
      </c>
      <c r="AA177" s="5">
        <v>2030</v>
      </c>
      <c r="AB177" s="17">
        <v>200</v>
      </c>
      <c r="AC177" s="5">
        <v>2030</v>
      </c>
      <c r="AD177" s="5" t="s">
        <v>82</v>
      </c>
      <c r="AE177" s="17"/>
      <c r="AF177" s="17"/>
      <c r="AG177" s="17"/>
      <c r="AH177" s="17"/>
      <c r="AI177" s="9" t="s">
        <v>83</v>
      </c>
      <c r="AJ177" s="5" t="s">
        <v>84</v>
      </c>
      <c r="AK177" s="5">
        <v>1</v>
      </c>
      <c r="AL177" s="9" t="s">
        <v>1525</v>
      </c>
      <c r="AM177" s="9"/>
      <c r="AN177" s="5">
        <v>2026</v>
      </c>
      <c r="AO177" s="17">
        <v>1064</v>
      </c>
      <c r="AP177" s="5">
        <v>2029</v>
      </c>
      <c r="AQ177" s="17">
        <v>1417</v>
      </c>
      <c r="AR177" s="5" t="s">
        <v>86</v>
      </c>
      <c r="AS177" s="17">
        <v>10</v>
      </c>
      <c r="AT177" s="5">
        <v>2026</v>
      </c>
      <c r="AU177" s="17">
        <v>372</v>
      </c>
      <c r="AV177" s="5">
        <v>2029</v>
      </c>
      <c r="AW177" s="17">
        <v>406</v>
      </c>
      <c r="AX177" s="5" t="s">
        <v>86</v>
      </c>
      <c r="AY177" s="17">
        <v>3</v>
      </c>
      <c r="AZ177" s="5">
        <v>2026</v>
      </c>
      <c r="BA177" s="17">
        <v>2733</v>
      </c>
      <c r="BB177" s="5">
        <v>2029</v>
      </c>
      <c r="BC177" s="17">
        <v>2987</v>
      </c>
      <c r="BD177" s="5" t="s">
        <v>86</v>
      </c>
      <c r="BE177" s="17">
        <v>3</v>
      </c>
      <c r="BF177" s="5">
        <v>2026</v>
      </c>
      <c r="BG177" s="17">
        <v>130</v>
      </c>
      <c r="BH177" s="5">
        <v>2029</v>
      </c>
      <c r="BI177" s="17">
        <v>164</v>
      </c>
      <c r="BJ177" s="5" t="s">
        <v>87</v>
      </c>
      <c r="BK177" s="9"/>
      <c r="BL177" s="9" t="str">
        <f>HYPERLINK("https://seichotoushi-hojo.jp/assets/pdf/koufu/outline__200.pdf","PDFを開く")</f>
        <v>PDFを開く</v>
      </c>
      <c r="BM177" s="9" t="s">
        <v>1526</v>
      </c>
      <c r="BN177" s="9" t="s">
        <v>1527</v>
      </c>
      <c r="BO177" s="9" t="s">
        <v>90</v>
      </c>
      <c r="BP177" s="9" t="s">
        <v>90</v>
      </c>
      <c r="BQ177" s="9" t="s">
        <v>90</v>
      </c>
      <c r="BR177" s="9" t="s">
        <v>92</v>
      </c>
    </row>
    <row r="178" spans="1:70" ht="45.95" customHeight="1">
      <c r="A178" s="2" t="s">
        <v>1528</v>
      </c>
      <c r="B178" s="2" t="s">
        <v>1386</v>
      </c>
      <c r="C178" s="2" t="s">
        <v>1529</v>
      </c>
      <c r="D178" s="2" t="s">
        <v>1529</v>
      </c>
      <c r="E178" s="2" t="s">
        <v>75</v>
      </c>
      <c r="F178" s="2"/>
      <c r="G178" s="2">
        <v>2</v>
      </c>
      <c r="H178" s="2">
        <v>0</v>
      </c>
      <c r="I178" s="2">
        <v>1</v>
      </c>
      <c r="J178" s="2">
        <v>1</v>
      </c>
      <c r="K178" s="2">
        <v>0</v>
      </c>
      <c r="L178" s="16">
        <v>6700</v>
      </c>
      <c r="M178" s="16">
        <v>2100</v>
      </c>
      <c r="N178" s="8" t="s">
        <v>1530</v>
      </c>
      <c r="O178" s="12">
        <f t="shared" si="2"/>
        <v>31.343283582089555</v>
      </c>
      <c r="P178" s="2">
        <v>2</v>
      </c>
      <c r="Q178" s="2" t="s">
        <v>77</v>
      </c>
      <c r="R178" s="8" t="s">
        <v>1530</v>
      </c>
      <c r="S178" s="8" t="s">
        <v>1531</v>
      </c>
      <c r="T178" s="8" t="s">
        <v>80</v>
      </c>
      <c r="U178" s="2" t="s">
        <v>81</v>
      </c>
      <c r="V178" s="2"/>
      <c r="W178" s="16"/>
      <c r="X178" s="2">
        <v>2026</v>
      </c>
      <c r="Y178" s="16"/>
      <c r="Z178" s="16">
        <v>170</v>
      </c>
      <c r="AA178" s="2">
        <v>2026</v>
      </c>
      <c r="AB178" s="16">
        <v>66</v>
      </c>
      <c r="AC178" s="2">
        <v>2026</v>
      </c>
      <c r="AD178" s="2" t="s">
        <v>82</v>
      </c>
      <c r="AE178" s="16"/>
      <c r="AF178" s="16"/>
      <c r="AG178" s="16"/>
      <c r="AH178" s="16"/>
      <c r="AI178" s="8" t="s">
        <v>83</v>
      </c>
      <c r="AJ178" s="2" t="s">
        <v>84</v>
      </c>
      <c r="AK178" s="2">
        <v>1</v>
      </c>
      <c r="AL178" s="8" t="s">
        <v>1532</v>
      </c>
      <c r="AM178" s="8"/>
      <c r="AN178" s="2">
        <v>2026</v>
      </c>
      <c r="AO178" s="16">
        <v>1125</v>
      </c>
      <c r="AP178" s="2">
        <v>2029</v>
      </c>
      <c r="AQ178" s="16">
        <v>1705</v>
      </c>
      <c r="AR178" s="2" t="s">
        <v>86</v>
      </c>
      <c r="AS178" s="16">
        <v>14.9</v>
      </c>
      <c r="AT178" s="2">
        <v>2026</v>
      </c>
      <c r="AU178" s="16">
        <v>45</v>
      </c>
      <c r="AV178" s="2">
        <v>2029</v>
      </c>
      <c r="AW178" s="16">
        <v>52</v>
      </c>
      <c r="AX178" s="2" t="s">
        <v>86</v>
      </c>
      <c r="AY178" s="16">
        <v>5</v>
      </c>
      <c r="AZ178" s="2">
        <v>2026</v>
      </c>
      <c r="BA178" s="16">
        <v>0</v>
      </c>
      <c r="BB178" s="2">
        <v>2029</v>
      </c>
      <c r="BC178" s="16">
        <v>0</v>
      </c>
      <c r="BD178" s="2" t="s">
        <v>86</v>
      </c>
      <c r="BE178" s="16"/>
      <c r="BF178" s="2">
        <v>2026</v>
      </c>
      <c r="BG178" s="16">
        <v>72</v>
      </c>
      <c r="BH178" s="2">
        <v>2029</v>
      </c>
      <c r="BI178" s="16">
        <v>224</v>
      </c>
      <c r="BJ178" s="2" t="s">
        <v>87</v>
      </c>
      <c r="BK178" s="8"/>
      <c r="BL178" s="8" t="str">
        <f>HYPERLINK("https://seichotoushi-hojo.jp/assets/pdf/koufu/outline__201.pdf","PDFを開く")</f>
        <v>PDFを開く</v>
      </c>
      <c r="BM178" s="8" t="s">
        <v>1533</v>
      </c>
      <c r="BN178" s="8" t="s">
        <v>1534</v>
      </c>
      <c r="BO178" s="8" t="s">
        <v>166</v>
      </c>
      <c r="BP178" s="8" t="s">
        <v>90</v>
      </c>
      <c r="BQ178" s="8" t="s">
        <v>92</v>
      </c>
      <c r="BR178" s="8" t="s">
        <v>92</v>
      </c>
    </row>
    <row r="179" spans="1:70" ht="45.95" customHeight="1">
      <c r="A179" s="5" t="s">
        <v>1535</v>
      </c>
      <c r="B179" s="5" t="s">
        <v>1386</v>
      </c>
      <c r="C179" s="5" t="s">
        <v>1536</v>
      </c>
      <c r="D179" s="5" t="s">
        <v>1536</v>
      </c>
      <c r="E179" s="5" t="s">
        <v>95</v>
      </c>
      <c r="F179" s="5"/>
      <c r="G179" s="5">
        <v>3</v>
      </c>
      <c r="H179" s="5">
        <v>0</v>
      </c>
      <c r="I179" s="5">
        <v>1</v>
      </c>
      <c r="J179" s="5">
        <v>2</v>
      </c>
      <c r="K179" s="5">
        <v>0</v>
      </c>
      <c r="L179" s="17">
        <v>5400</v>
      </c>
      <c r="M179" s="17">
        <v>1600</v>
      </c>
      <c r="N179" s="9" t="s">
        <v>461</v>
      </c>
      <c r="O179" s="13">
        <f t="shared" si="2"/>
        <v>29.629629629629626</v>
      </c>
      <c r="P179" s="5">
        <v>2</v>
      </c>
      <c r="Q179" s="5" t="s">
        <v>77</v>
      </c>
      <c r="R179" s="9" t="s">
        <v>1537</v>
      </c>
      <c r="S179" s="9" t="s">
        <v>1538</v>
      </c>
      <c r="T179" s="9" t="s">
        <v>80</v>
      </c>
      <c r="U179" s="5" t="s">
        <v>81</v>
      </c>
      <c r="V179" s="5">
        <v>2024</v>
      </c>
      <c r="W179" s="17">
        <v>120</v>
      </c>
      <c r="X179" s="5">
        <v>2050</v>
      </c>
      <c r="Y179" s="17">
        <v>1400</v>
      </c>
      <c r="Z179" s="17">
        <v>1280</v>
      </c>
      <c r="AA179" s="5">
        <v>2050</v>
      </c>
      <c r="AB179" s="17"/>
      <c r="AC179" s="5"/>
      <c r="AD179" s="5"/>
      <c r="AE179" s="17"/>
      <c r="AF179" s="17"/>
      <c r="AG179" s="17">
        <v>9.9097993400775621</v>
      </c>
      <c r="AH179" s="17">
        <v>12</v>
      </c>
      <c r="AI179" s="9" t="s">
        <v>166</v>
      </c>
      <c r="AJ179" s="5" t="s">
        <v>292</v>
      </c>
      <c r="AK179" s="5">
        <v>1</v>
      </c>
      <c r="AL179" s="9" t="s">
        <v>1539</v>
      </c>
      <c r="AM179" s="9" t="s">
        <v>1540</v>
      </c>
      <c r="AN179" s="5">
        <v>2026</v>
      </c>
      <c r="AO179" s="17">
        <v>2551</v>
      </c>
      <c r="AP179" s="5">
        <v>2029</v>
      </c>
      <c r="AQ179" s="17">
        <v>3845</v>
      </c>
      <c r="AR179" s="5" t="s">
        <v>86</v>
      </c>
      <c r="AS179" s="17">
        <v>14.6</v>
      </c>
      <c r="AT179" s="5">
        <v>2026</v>
      </c>
      <c r="AU179" s="17">
        <v>580</v>
      </c>
      <c r="AV179" s="5">
        <v>2029</v>
      </c>
      <c r="AW179" s="17">
        <v>715</v>
      </c>
      <c r="AX179" s="5" t="s">
        <v>86</v>
      </c>
      <c r="AY179" s="17">
        <v>7.2</v>
      </c>
      <c r="AZ179" s="5">
        <v>2026</v>
      </c>
      <c r="BA179" s="17">
        <v>1200</v>
      </c>
      <c r="BB179" s="5">
        <v>2029</v>
      </c>
      <c r="BC179" s="17">
        <v>1350</v>
      </c>
      <c r="BD179" s="5" t="s">
        <v>86</v>
      </c>
      <c r="BE179" s="17">
        <v>4</v>
      </c>
      <c r="BF179" s="5">
        <v>2026</v>
      </c>
      <c r="BG179" s="17">
        <v>6</v>
      </c>
      <c r="BH179" s="5">
        <v>2029</v>
      </c>
      <c r="BI179" s="17">
        <v>47</v>
      </c>
      <c r="BJ179" s="5" t="s">
        <v>87</v>
      </c>
      <c r="BK179" s="9"/>
      <c r="BL179" s="9" t="str">
        <f>HYPERLINK("https://seichotoushi-hojo.jp/assets/pdf/koufu/outline__202.pdf","PDFを開く")</f>
        <v>PDFを開く</v>
      </c>
      <c r="BM179" s="9" t="s">
        <v>1541</v>
      </c>
      <c r="BN179" s="9" t="s">
        <v>1542</v>
      </c>
      <c r="BO179" s="9" t="s">
        <v>90</v>
      </c>
      <c r="BP179" s="9" t="s">
        <v>90</v>
      </c>
      <c r="BQ179" s="9" t="s">
        <v>90</v>
      </c>
      <c r="BR179" s="9" t="s">
        <v>92</v>
      </c>
    </row>
    <row r="180" spans="1:70" ht="45.95" customHeight="1">
      <c r="A180" s="2" t="s">
        <v>1543</v>
      </c>
      <c r="B180" s="2" t="s">
        <v>1386</v>
      </c>
      <c r="C180" s="2" t="s">
        <v>1544</v>
      </c>
      <c r="D180" s="2" t="s">
        <v>1544</v>
      </c>
      <c r="E180" s="2" t="s">
        <v>186</v>
      </c>
      <c r="F180" s="2"/>
      <c r="G180" s="2">
        <v>3</v>
      </c>
      <c r="H180" s="2">
        <v>0</v>
      </c>
      <c r="I180" s="2">
        <v>1</v>
      </c>
      <c r="J180" s="2">
        <v>2</v>
      </c>
      <c r="K180" s="2">
        <v>0</v>
      </c>
      <c r="L180" s="16">
        <v>3500</v>
      </c>
      <c r="M180" s="16">
        <v>950</v>
      </c>
      <c r="N180" s="8" t="s">
        <v>1545</v>
      </c>
      <c r="O180" s="12">
        <f t="shared" si="2"/>
        <v>27.142857142857142</v>
      </c>
      <c r="P180" s="2">
        <v>2</v>
      </c>
      <c r="Q180" s="2" t="s">
        <v>77</v>
      </c>
      <c r="R180" s="8" t="s">
        <v>1546</v>
      </c>
      <c r="S180" s="8" t="s">
        <v>1547</v>
      </c>
      <c r="T180" s="8" t="s">
        <v>80</v>
      </c>
      <c r="U180" s="2" t="s">
        <v>81</v>
      </c>
      <c r="V180" s="2">
        <v>2023</v>
      </c>
      <c r="W180" s="16"/>
      <c r="X180" s="2">
        <v>2033</v>
      </c>
      <c r="Y180" s="16"/>
      <c r="Z180" s="16">
        <v>67</v>
      </c>
      <c r="AA180" s="2">
        <v>2033</v>
      </c>
      <c r="AB180" s="16">
        <v>470</v>
      </c>
      <c r="AC180" s="2">
        <v>2033</v>
      </c>
      <c r="AD180" s="2" t="s">
        <v>82</v>
      </c>
      <c r="AE180" s="16"/>
      <c r="AF180" s="16"/>
      <c r="AG180" s="16"/>
      <c r="AH180" s="16"/>
      <c r="AI180" s="8" t="s">
        <v>83</v>
      </c>
      <c r="AJ180" s="2" t="s">
        <v>84</v>
      </c>
      <c r="AK180" s="2">
        <v>1</v>
      </c>
      <c r="AL180" s="8" t="s">
        <v>1548</v>
      </c>
      <c r="AM180" s="8"/>
      <c r="AN180" s="2">
        <v>2026</v>
      </c>
      <c r="AO180" s="16">
        <v>670</v>
      </c>
      <c r="AP180" s="2">
        <v>2029</v>
      </c>
      <c r="AQ180" s="16">
        <v>1530</v>
      </c>
      <c r="AR180" s="2" t="s">
        <v>86</v>
      </c>
      <c r="AS180" s="16">
        <v>31.7</v>
      </c>
      <c r="AT180" s="2">
        <v>2026</v>
      </c>
      <c r="AU180" s="16">
        <v>413</v>
      </c>
      <c r="AV180" s="2">
        <v>2029</v>
      </c>
      <c r="AW180" s="16">
        <v>501</v>
      </c>
      <c r="AX180" s="2" t="s">
        <v>86</v>
      </c>
      <c r="AY180" s="16">
        <v>7</v>
      </c>
      <c r="AZ180" s="2">
        <v>2026</v>
      </c>
      <c r="BA180" s="16">
        <v>1314</v>
      </c>
      <c r="BB180" s="2">
        <v>2029</v>
      </c>
      <c r="BC180" s="16">
        <v>1828</v>
      </c>
      <c r="BD180" s="2" t="s">
        <v>86</v>
      </c>
      <c r="BE180" s="16">
        <v>11.6</v>
      </c>
      <c r="BF180" s="2">
        <v>2026</v>
      </c>
      <c r="BG180" s="16">
        <v>115</v>
      </c>
      <c r="BH180" s="2">
        <v>2029</v>
      </c>
      <c r="BI180" s="16">
        <v>172</v>
      </c>
      <c r="BJ180" s="2" t="s">
        <v>87</v>
      </c>
      <c r="BK180" s="8"/>
      <c r="BL180" s="8" t="str">
        <f>HYPERLINK("https://seichotoushi-hojo.jp/assets/pdf/koufu/outline__203.pdf","PDFを開く")</f>
        <v>PDFを開く</v>
      </c>
      <c r="BM180" s="8" t="s">
        <v>1549</v>
      </c>
      <c r="BN180" s="8" t="s">
        <v>1550</v>
      </c>
      <c r="BO180" s="8" t="s">
        <v>90</v>
      </c>
      <c r="BP180" s="8" t="s">
        <v>90</v>
      </c>
      <c r="BQ180" s="8" t="s">
        <v>90</v>
      </c>
      <c r="BR180" s="8" t="s">
        <v>92</v>
      </c>
    </row>
    <row r="181" spans="1:70" ht="45.95" customHeight="1">
      <c r="A181" s="5" t="s">
        <v>1551</v>
      </c>
      <c r="B181" s="5" t="s">
        <v>1386</v>
      </c>
      <c r="C181" s="5" t="s">
        <v>1552</v>
      </c>
      <c r="D181" s="5" t="s">
        <v>1552</v>
      </c>
      <c r="E181" s="5" t="s">
        <v>107</v>
      </c>
      <c r="F181" s="5"/>
      <c r="G181" s="5">
        <v>2</v>
      </c>
      <c r="H181" s="5">
        <v>0</v>
      </c>
      <c r="I181" s="5">
        <v>1</v>
      </c>
      <c r="J181" s="5">
        <v>1</v>
      </c>
      <c r="K181" s="5">
        <v>0</v>
      </c>
      <c r="L181" s="17">
        <v>2300</v>
      </c>
      <c r="M181" s="17">
        <v>550</v>
      </c>
      <c r="N181" s="9" t="s">
        <v>1553</v>
      </c>
      <c r="O181" s="13">
        <f t="shared" si="2"/>
        <v>23.913043478260871</v>
      </c>
      <c r="P181" s="5">
        <v>2</v>
      </c>
      <c r="Q181" s="5" t="s">
        <v>77</v>
      </c>
      <c r="R181" s="9" t="s">
        <v>1554</v>
      </c>
      <c r="S181" s="9" t="s">
        <v>1555</v>
      </c>
      <c r="T181" s="9" t="s">
        <v>80</v>
      </c>
      <c r="U181" s="5" t="s">
        <v>81</v>
      </c>
      <c r="V181" s="5">
        <v>2025</v>
      </c>
      <c r="W181" s="17"/>
      <c r="X181" s="5">
        <v>2030</v>
      </c>
      <c r="Y181" s="17">
        <v>116</v>
      </c>
      <c r="Z181" s="17"/>
      <c r="AA181" s="5"/>
      <c r="AB181" s="17"/>
      <c r="AC181" s="5"/>
      <c r="AD181" s="5"/>
      <c r="AE181" s="17"/>
      <c r="AF181" s="17"/>
      <c r="AG181" s="17"/>
      <c r="AH181" s="17">
        <v>1.7</v>
      </c>
      <c r="AI181" s="9" t="s">
        <v>83</v>
      </c>
      <c r="AJ181" s="5" t="s">
        <v>84</v>
      </c>
      <c r="AK181" s="5">
        <v>1</v>
      </c>
      <c r="AL181" s="9" t="s">
        <v>1556</v>
      </c>
      <c r="AM181" s="9" t="s">
        <v>1557</v>
      </c>
      <c r="AN181" s="5">
        <v>2026</v>
      </c>
      <c r="AO181" s="17">
        <v>1937</v>
      </c>
      <c r="AP181" s="5">
        <v>2029</v>
      </c>
      <c r="AQ181" s="17">
        <v>2215</v>
      </c>
      <c r="AR181" s="5" t="s">
        <v>86</v>
      </c>
      <c r="AS181" s="17">
        <v>4.5999999999999996</v>
      </c>
      <c r="AT181" s="5">
        <v>2026</v>
      </c>
      <c r="AU181" s="17">
        <v>830</v>
      </c>
      <c r="AV181" s="5">
        <v>2029</v>
      </c>
      <c r="AW181" s="17">
        <v>918</v>
      </c>
      <c r="AX181" s="5" t="s">
        <v>86</v>
      </c>
      <c r="AY181" s="17">
        <v>3.4</v>
      </c>
      <c r="AZ181" s="5">
        <v>2026</v>
      </c>
      <c r="BA181" s="17">
        <v>2688</v>
      </c>
      <c r="BB181" s="5">
        <v>2029</v>
      </c>
      <c r="BC181" s="17">
        <v>2938</v>
      </c>
      <c r="BD181" s="5" t="s">
        <v>86</v>
      </c>
      <c r="BE181" s="17">
        <v>3</v>
      </c>
      <c r="BF181" s="5">
        <v>2026</v>
      </c>
      <c r="BG181" s="17">
        <v>318</v>
      </c>
      <c r="BH181" s="5">
        <v>2029</v>
      </c>
      <c r="BI181" s="17">
        <v>392</v>
      </c>
      <c r="BJ181" s="5" t="s">
        <v>87</v>
      </c>
      <c r="BK181" s="9"/>
      <c r="BL181" s="9" t="str">
        <f>HYPERLINK("https://seichotoushi-hojo.jp/assets/pdf/koufu/outline__204.pdf","PDFを開く")</f>
        <v>PDFを開く</v>
      </c>
      <c r="BM181" s="9" t="s">
        <v>1558</v>
      </c>
      <c r="BN181" s="9" t="s">
        <v>1559</v>
      </c>
      <c r="BO181" s="9" t="s">
        <v>90</v>
      </c>
      <c r="BP181" s="9" t="s">
        <v>90</v>
      </c>
      <c r="BQ181" s="9" t="s">
        <v>90</v>
      </c>
      <c r="BR181" s="9" t="s">
        <v>92</v>
      </c>
    </row>
    <row r="182" spans="1:70" ht="45.95" customHeight="1">
      <c r="A182" s="2" t="s">
        <v>1560</v>
      </c>
      <c r="B182" s="2" t="s">
        <v>1386</v>
      </c>
      <c r="C182" s="2" t="s">
        <v>1561</v>
      </c>
      <c r="D182" s="2" t="s">
        <v>1561</v>
      </c>
      <c r="E182" s="2" t="s">
        <v>95</v>
      </c>
      <c r="F182" s="2"/>
      <c r="G182" s="2">
        <v>2</v>
      </c>
      <c r="H182" s="2">
        <v>0</v>
      </c>
      <c r="I182" s="2">
        <v>1</v>
      </c>
      <c r="J182" s="2">
        <v>1</v>
      </c>
      <c r="K182" s="2">
        <v>0</v>
      </c>
      <c r="L182" s="16">
        <v>2900</v>
      </c>
      <c r="M182" s="16">
        <v>830</v>
      </c>
      <c r="N182" s="8" t="s">
        <v>1562</v>
      </c>
      <c r="O182" s="12">
        <f t="shared" si="2"/>
        <v>28.620689655172416</v>
      </c>
      <c r="P182" s="2">
        <v>2</v>
      </c>
      <c r="Q182" s="2" t="s">
        <v>77</v>
      </c>
      <c r="R182" s="8" t="s">
        <v>1563</v>
      </c>
      <c r="S182" s="8" t="s">
        <v>1564</v>
      </c>
      <c r="T182" s="8" t="s">
        <v>80</v>
      </c>
      <c r="U182" s="2" t="s">
        <v>81</v>
      </c>
      <c r="V182" s="2">
        <v>2025</v>
      </c>
      <c r="W182" s="16"/>
      <c r="X182" s="2">
        <v>2028</v>
      </c>
      <c r="Y182" s="16">
        <v>50</v>
      </c>
      <c r="Z182" s="16">
        <v>96.3</v>
      </c>
      <c r="AA182" s="2">
        <v>2028</v>
      </c>
      <c r="AB182" s="16">
        <v>71</v>
      </c>
      <c r="AC182" s="2">
        <v>2028</v>
      </c>
      <c r="AD182" s="2" t="s">
        <v>82</v>
      </c>
      <c r="AE182" s="16"/>
      <c r="AF182" s="16"/>
      <c r="AG182" s="16"/>
      <c r="AH182" s="16"/>
      <c r="AI182" s="8" t="s">
        <v>83</v>
      </c>
      <c r="AJ182" s="2" t="s">
        <v>84</v>
      </c>
      <c r="AK182" s="2">
        <v>1</v>
      </c>
      <c r="AL182" s="8" t="s">
        <v>1565</v>
      </c>
      <c r="AM182" s="8" t="s">
        <v>1566</v>
      </c>
      <c r="AN182" s="2">
        <v>2025</v>
      </c>
      <c r="AO182" s="16">
        <v>2358</v>
      </c>
      <c r="AP182" s="2">
        <v>2028</v>
      </c>
      <c r="AQ182" s="16">
        <v>3883</v>
      </c>
      <c r="AR182" s="2" t="s">
        <v>86</v>
      </c>
      <c r="AS182" s="16">
        <v>18.100000000000001</v>
      </c>
      <c r="AT182" s="2">
        <v>2025</v>
      </c>
      <c r="AU182" s="16">
        <v>643</v>
      </c>
      <c r="AV182" s="2">
        <v>2028</v>
      </c>
      <c r="AW182" s="16">
        <v>817</v>
      </c>
      <c r="AX182" s="2" t="s">
        <v>86</v>
      </c>
      <c r="AY182" s="16">
        <v>8.3000000000000007</v>
      </c>
      <c r="AZ182" s="2">
        <v>2025</v>
      </c>
      <c r="BA182" s="16">
        <v>9988</v>
      </c>
      <c r="BB182" s="2">
        <v>2028</v>
      </c>
      <c r="BC182" s="16">
        <v>11057</v>
      </c>
      <c r="BD182" s="2" t="s">
        <v>86</v>
      </c>
      <c r="BE182" s="16">
        <v>3.4</v>
      </c>
      <c r="BF182" s="2">
        <v>2025</v>
      </c>
      <c r="BG182" s="16">
        <v>93</v>
      </c>
      <c r="BH182" s="2">
        <v>2028</v>
      </c>
      <c r="BI182" s="16">
        <v>101</v>
      </c>
      <c r="BJ182" s="2" t="s">
        <v>87</v>
      </c>
      <c r="BK182" s="8"/>
      <c r="BL182" s="8" t="str">
        <f>HYPERLINK("https://seichotoushi-hojo.jp/assets/pdf/koufu/outline__205.pdf","PDFを開く")</f>
        <v>PDFを開く</v>
      </c>
      <c r="BM182" s="8" t="s">
        <v>1567</v>
      </c>
      <c r="BN182" s="8" t="s">
        <v>1568</v>
      </c>
      <c r="BO182" s="8" t="s">
        <v>90</v>
      </c>
      <c r="BP182" s="8" t="s">
        <v>90</v>
      </c>
      <c r="BQ182" s="8" t="s">
        <v>90</v>
      </c>
      <c r="BR182" s="8" t="s">
        <v>92</v>
      </c>
    </row>
    <row r="183" spans="1:70" ht="45.95" customHeight="1">
      <c r="A183" s="5" t="s">
        <v>1569</v>
      </c>
      <c r="B183" s="5" t="s">
        <v>1386</v>
      </c>
      <c r="C183" s="5" t="s">
        <v>1570</v>
      </c>
      <c r="D183" s="5" t="s">
        <v>1570</v>
      </c>
      <c r="E183" s="5" t="s">
        <v>107</v>
      </c>
      <c r="F183" s="5"/>
      <c r="G183" s="5">
        <v>2</v>
      </c>
      <c r="H183" s="5">
        <v>0</v>
      </c>
      <c r="I183" s="5">
        <v>1</v>
      </c>
      <c r="J183" s="5">
        <v>1</v>
      </c>
      <c r="K183" s="5">
        <v>0</v>
      </c>
      <c r="L183" s="17">
        <v>3000</v>
      </c>
      <c r="M183" s="17">
        <v>990</v>
      </c>
      <c r="N183" s="9" t="s">
        <v>1571</v>
      </c>
      <c r="O183" s="13">
        <f t="shared" si="2"/>
        <v>33</v>
      </c>
      <c r="P183" s="5">
        <v>2</v>
      </c>
      <c r="Q183" s="5" t="s">
        <v>77</v>
      </c>
      <c r="R183" s="9" t="s">
        <v>1571</v>
      </c>
      <c r="S183" s="9" t="s">
        <v>1572</v>
      </c>
      <c r="T183" s="9" t="s">
        <v>80</v>
      </c>
      <c r="U183" s="5" t="s">
        <v>81</v>
      </c>
      <c r="V183" s="5"/>
      <c r="W183" s="17"/>
      <c r="X183" s="5">
        <v>2030</v>
      </c>
      <c r="Y183" s="17"/>
      <c r="Z183" s="17">
        <v>20</v>
      </c>
      <c r="AA183" s="5">
        <v>2030</v>
      </c>
      <c r="AB183" s="17">
        <v>88</v>
      </c>
      <c r="AC183" s="5">
        <v>2030</v>
      </c>
      <c r="AD183" s="5" t="s">
        <v>82</v>
      </c>
      <c r="AE183" s="17"/>
      <c r="AF183" s="17"/>
      <c r="AG183" s="17"/>
      <c r="AH183" s="17"/>
      <c r="AI183" s="9" t="s">
        <v>83</v>
      </c>
      <c r="AJ183" s="5" t="s">
        <v>84</v>
      </c>
      <c r="AK183" s="5">
        <v>1</v>
      </c>
      <c r="AL183" s="9" t="s">
        <v>1573</v>
      </c>
      <c r="AM183" s="9"/>
      <c r="AN183" s="5">
        <v>2026</v>
      </c>
      <c r="AO183" s="17">
        <v>460</v>
      </c>
      <c r="AP183" s="5">
        <v>2029</v>
      </c>
      <c r="AQ183" s="17">
        <v>1432</v>
      </c>
      <c r="AR183" s="5" t="s">
        <v>86</v>
      </c>
      <c r="AS183" s="17">
        <v>46</v>
      </c>
      <c r="AT183" s="5">
        <v>2026</v>
      </c>
      <c r="AU183" s="17">
        <v>363</v>
      </c>
      <c r="AV183" s="5">
        <v>2029</v>
      </c>
      <c r="AW183" s="17">
        <v>436</v>
      </c>
      <c r="AX183" s="5" t="s">
        <v>86</v>
      </c>
      <c r="AY183" s="17">
        <v>6.3</v>
      </c>
      <c r="AZ183" s="5">
        <v>2026</v>
      </c>
      <c r="BA183" s="17">
        <v>1172</v>
      </c>
      <c r="BB183" s="5">
        <v>2029</v>
      </c>
      <c r="BC183" s="17">
        <v>1373</v>
      </c>
      <c r="BD183" s="5" t="s">
        <v>86</v>
      </c>
      <c r="BE183" s="17">
        <v>5.4</v>
      </c>
      <c r="BF183" s="5">
        <v>2026</v>
      </c>
      <c r="BG183" s="17">
        <v>103</v>
      </c>
      <c r="BH183" s="5">
        <v>2029</v>
      </c>
      <c r="BI183" s="17">
        <v>103</v>
      </c>
      <c r="BJ183" s="5" t="s">
        <v>87</v>
      </c>
      <c r="BK183" s="9"/>
      <c r="BL183" s="9" t="str">
        <f>HYPERLINK("https://seichotoushi-hojo.jp/assets/pdf/koufu/outline__206.pdf","PDFを開く")</f>
        <v>PDFを開く</v>
      </c>
      <c r="BM183" s="9" t="s">
        <v>1574</v>
      </c>
      <c r="BN183" s="9" t="s">
        <v>1575</v>
      </c>
      <c r="BO183" s="9" t="s">
        <v>90</v>
      </c>
      <c r="BP183" s="9" t="s">
        <v>90</v>
      </c>
      <c r="BQ183" s="9" t="s">
        <v>90</v>
      </c>
      <c r="BR183" s="9" t="s">
        <v>92</v>
      </c>
    </row>
    <row r="184" spans="1:70" ht="45.95" customHeight="1">
      <c r="A184" s="2" t="s">
        <v>1576</v>
      </c>
      <c r="B184" s="2" t="s">
        <v>1386</v>
      </c>
      <c r="C184" s="2" t="s">
        <v>1577</v>
      </c>
      <c r="D184" s="2" t="s">
        <v>1577</v>
      </c>
      <c r="E184" s="2" t="s">
        <v>4</v>
      </c>
      <c r="F184" s="2"/>
      <c r="G184" s="2">
        <v>2</v>
      </c>
      <c r="H184" s="2">
        <v>0</v>
      </c>
      <c r="I184" s="2">
        <v>1</v>
      </c>
      <c r="J184" s="2">
        <v>1</v>
      </c>
      <c r="K184" s="2">
        <v>0</v>
      </c>
      <c r="L184" s="16">
        <v>11500</v>
      </c>
      <c r="M184" s="16">
        <v>3800</v>
      </c>
      <c r="N184" s="8" t="s">
        <v>1578</v>
      </c>
      <c r="O184" s="12">
        <f t="shared" si="2"/>
        <v>33.043478260869563</v>
      </c>
      <c r="P184" s="2">
        <v>2</v>
      </c>
      <c r="Q184" s="2" t="s">
        <v>308</v>
      </c>
      <c r="R184" s="8" t="s">
        <v>1579</v>
      </c>
      <c r="S184" s="8" t="s">
        <v>1580</v>
      </c>
      <c r="T184" s="8" t="s">
        <v>310</v>
      </c>
      <c r="U184" s="2" t="s">
        <v>81</v>
      </c>
      <c r="V184" s="2">
        <v>2023</v>
      </c>
      <c r="W184" s="16"/>
      <c r="X184" s="2">
        <v>2033</v>
      </c>
      <c r="Y184" s="16"/>
      <c r="Z184" s="16"/>
      <c r="AA184" s="2"/>
      <c r="AB184" s="16">
        <v>8.3000000000000007</v>
      </c>
      <c r="AC184" s="2">
        <v>2033</v>
      </c>
      <c r="AD184" s="2" t="s">
        <v>210</v>
      </c>
      <c r="AE184" s="16"/>
      <c r="AF184" s="16"/>
      <c r="AG184" s="16"/>
      <c r="AH184" s="16"/>
      <c r="AI184" s="8" t="s">
        <v>83</v>
      </c>
      <c r="AJ184" s="2" t="s">
        <v>587</v>
      </c>
      <c r="AK184" s="2">
        <v>1</v>
      </c>
      <c r="AL184" s="8" t="s">
        <v>1581</v>
      </c>
      <c r="AM184" s="8"/>
      <c r="AN184" s="2">
        <v>2026</v>
      </c>
      <c r="AO184" s="16">
        <v>2791</v>
      </c>
      <c r="AP184" s="2">
        <v>2029</v>
      </c>
      <c r="AQ184" s="16">
        <v>3609</v>
      </c>
      <c r="AR184" s="2" t="s">
        <v>86</v>
      </c>
      <c r="AS184" s="16">
        <v>8.9</v>
      </c>
      <c r="AT184" s="2">
        <v>2026</v>
      </c>
      <c r="AU184" s="16">
        <v>699</v>
      </c>
      <c r="AV184" s="2">
        <v>2029</v>
      </c>
      <c r="AW184" s="16">
        <v>767</v>
      </c>
      <c r="AX184" s="2" t="s">
        <v>86</v>
      </c>
      <c r="AY184" s="16">
        <v>3.2</v>
      </c>
      <c r="AZ184" s="2">
        <v>2026</v>
      </c>
      <c r="BA184" s="16">
        <v>4662</v>
      </c>
      <c r="BB184" s="2">
        <v>2029</v>
      </c>
      <c r="BC184" s="16">
        <v>5397</v>
      </c>
      <c r="BD184" s="2" t="s">
        <v>86</v>
      </c>
      <c r="BE184" s="16">
        <v>5</v>
      </c>
      <c r="BF184" s="2">
        <v>2026</v>
      </c>
      <c r="BG184" s="16">
        <v>180</v>
      </c>
      <c r="BH184" s="2">
        <v>2029</v>
      </c>
      <c r="BI184" s="16">
        <v>240</v>
      </c>
      <c r="BJ184" s="2" t="s">
        <v>87</v>
      </c>
      <c r="BK184" s="8" t="s">
        <v>181</v>
      </c>
      <c r="BL184" s="8" t="str">
        <f>HYPERLINK("https://seichotoushi-hojo.jp/assets/pdf/koufu/outline__207.pdf","PDFを開く")</f>
        <v>PDFを開く</v>
      </c>
      <c r="BM184" s="8" t="s">
        <v>1582</v>
      </c>
      <c r="BN184" s="8" t="s">
        <v>1583</v>
      </c>
      <c r="BO184" s="8" t="s">
        <v>90</v>
      </c>
      <c r="BP184" s="8" t="s">
        <v>90</v>
      </c>
      <c r="BQ184" s="8" t="s">
        <v>90</v>
      </c>
      <c r="BR184" s="8" t="s">
        <v>92</v>
      </c>
    </row>
    <row r="185" spans="1:70" ht="45.95" customHeight="1">
      <c r="A185" s="5" t="s">
        <v>1584</v>
      </c>
      <c r="B185" s="5" t="s">
        <v>1386</v>
      </c>
      <c r="C185" s="5" t="s">
        <v>1585</v>
      </c>
      <c r="D185" s="5" t="s">
        <v>1585</v>
      </c>
      <c r="E185" s="5" t="s">
        <v>116</v>
      </c>
      <c r="F185" s="5" t="s">
        <v>1586</v>
      </c>
      <c r="G185" s="5">
        <v>2</v>
      </c>
      <c r="H185" s="5">
        <v>0</v>
      </c>
      <c r="I185" s="5">
        <v>1</v>
      </c>
      <c r="J185" s="5">
        <v>1</v>
      </c>
      <c r="K185" s="5">
        <v>0</v>
      </c>
      <c r="L185" s="17">
        <v>10400</v>
      </c>
      <c r="M185" s="17">
        <v>3100</v>
      </c>
      <c r="N185" s="9" t="s">
        <v>1587</v>
      </c>
      <c r="O185" s="13">
        <f t="shared" si="2"/>
        <v>29.807692307692307</v>
      </c>
      <c r="P185" s="5">
        <v>2</v>
      </c>
      <c r="Q185" s="5" t="s">
        <v>77</v>
      </c>
      <c r="R185" s="9" t="s">
        <v>1588</v>
      </c>
      <c r="S185" s="9" t="s">
        <v>1589</v>
      </c>
      <c r="T185" s="9" t="s">
        <v>80</v>
      </c>
      <c r="U185" s="5" t="s">
        <v>81</v>
      </c>
      <c r="V185" s="5"/>
      <c r="W185" s="17"/>
      <c r="X185" s="5">
        <v>2030</v>
      </c>
      <c r="Y185" s="17">
        <v>498</v>
      </c>
      <c r="Z185" s="17"/>
      <c r="AA185" s="5"/>
      <c r="AB185" s="17">
        <v>199</v>
      </c>
      <c r="AC185" s="5">
        <v>2030</v>
      </c>
      <c r="AD185" s="5" t="s">
        <v>82</v>
      </c>
      <c r="AE185" s="17"/>
      <c r="AF185" s="17"/>
      <c r="AG185" s="17"/>
      <c r="AH185" s="17"/>
      <c r="AI185" s="9" t="s">
        <v>83</v>
      </c>
      <c r="AJ185" s="5" t="s">
        <v>84</v>
      </c>
      <c r="AK185" s="5">
        <v>1</v>
      </c>
      <c r="AL185" s="9" t="s">
        <v>1590</v>
      </c>
      <c r="AM185" s="9" t="s">
        <v>1591</v>
      </c>
      <c r="AN185" s="5">
        <v>2026</v>
      </c>
      <c r="AO185" s="17">
        <v>16835</v>
      </c>
      <c r="AP185" s="5">
        <v>2029</v>
      </c>
      <c r="AQ185" s="17">
        <v>32798</v>
      </c>
      <c r="AR185" s="5" t="s">
        <v>447</v>
      </c>
      <c r="AS185" s="17">
        <v>24.9</v>
      </c>
      <c r="AT185" s="5">
        <v>2026</v>
      </c>
      <c r="AU185" s="17">
        <v>7097</v>
      </c>
      <c r="AV185" s="5">
        <v>2029</v>
      </c>
      <c r="AW185" s="17">
        <v>8215</v>
      </c>
      <c r="AX185" s="5" t="s">
        <v>447</v>
      </c>
      <c r="AY185" s="17">
        <v>5</v>
      </c>
      <c r="AZ185" s="5"/>
      <c r="BA185" s="17"/>
      <c r="BB185" s="5"/>
      <c r="BC185" s="17"/>
      <c r="BD185" s="5"/>
      <c r="BE185" s="17"/>
      <c r="BF185" s="5">
        <v>2026</v>
      </c>
      <c r="BG185" s="17">
        <v>736</v>
      </c>
      <c r="BH185" s="5">
        <v>2029</v>
      </c>
      <c r="BI185" s="17">
        <v>736</v>
      </c>
      <c r="BJ185" s="5" t="s">
        <v>87</v>
      </c>
      <c r="BK185" s="9"/>
      <c r="BL185" s="9" t="str">
        <f>HYPERLINK("https://seichotoushi-hojo.jp/assets/pdf/koufu/outline__208.pdf","PDFを開く")</f>
        <v>PDFを開く</v>
      </c>
      <c r="BM185" s="9" t="s">
        <v>1592</v>
      </c>
      <c r="BN185" s="9" t="s">
        <v>1593</v>
      </c>
      <c r="BO185" s="9" t="s">
        <v>90</v>
      </c>
      <c r="BP185" s="9" t="s">
        <v>90</v>
      </c>
      <c r="BQ185" s="9" t="s">
        <v>156</v>
      </c>
      <c r="BR185" s="9" t="s">
        <v>92</v>
      </c>
    </row>
    <row r="186" spans="1:70" ht="45.95" customHeight="1">
      <c r="A186" s="2" t="s">
        <v>1594</v>
      </c>
      <c r="B186" s="2" t="s">
        <v>1595</v>
      </c>
      <c r="C186" s="2" t="s">
        <v>1596</v>
      </c>
      <c r="D186" s="2" t="s">
        <v>1596</v>
      </c>
      <c r="E186" s="2" t="s">
        <v>95</v>
      </c>
      <c r="F186" s="2"/>
      <c r="G186" s="2">
        <v>2</v>
      </c>
      <c r="H186" s="2">
        <v>0</v>
      </c>
      <c r="I186" s="2">
        <v>1</v>
      </c>
      <c r="J186" s="2">
        <v>1</v>
      </c>
      <c r="K186" s="2">
        <v>0</v>
      </c>
      <c r="L186" s="16">
        <v>2100</v>
      </c>
      <c r="M186" s="16">
        <v>530</v>
      </c>
      <c r="N186" s="8" t="s">
        <v>1597</v>
      </c>
      <c r="O186" s="12">
        <f t="shared" si="2"/>
        <v>25.238095238095237</v>
      </c>
      <c r="P186" s="2">
        <v>2</v>
      </c>
      <c r="Q186" s="2" t="s">
        <v>77</v>
      </c>
      <c r="R186" s="8" t="s">
        <v>1597</v>
      </c>
      <c r="S186" s="8" t="s">
        <v>1598</v>
      </c>
      <c r="T186" s="8" t="s">
        <v>80</v>
      </c>
      <c r="U186" s="2" t="s">
        <v>81</v>
      </c>
      <c r="V186" s="2">
        <v>2025</v>
      </c>
      <c r="W186" s="16">
        <v>618.87</v>
      </c>
      <c r="X186" s="2">
        <v>2031</v>
      </c>
      <c r="Y186" s="16">
        <v>1000</v>
      </c>
      <c r="Z186" s="16">
        <v>381.13</v>
      </c>
      <c r="AA186" s="2">
        <v>2031</v>
      </c>
      <c r="AB186" s="16">
        <v>61.6</v>
      </c>
      <c r="AC186" s="2">
        <v>2031</v>
      </c>
      <c r="AD186" s="2" t="s">
        <v>99</v>
      </c>
      <c r="AE186" s="16"/>
      <c r="AF186" s="16"/>
      <c r="AG186" s="16">
        <v>8.3261799307441819</v>
      </c>
      <c r="AH186" s="16"/>
      <c r="AI186" s="8" t="s">
        <v>100</v>
      </c>
      <c r="AJ186" s="2" t="s">
        <v>84</v>
      </c>
      <c r="AK186" s="2">
        <v>1</v>
      </c>
      <c r="AL186" s="8" t="s">
        <v>1599</v>
      </c>
      <c r="AM186" s="8" t="s">
        <v>1600</v>
      </c>
      <c r="AN186" s="2">
        <v>2028</v>
      </c>
      <c r="AO186" s="16">
        <v>2241</v>
      </c>
      <c r="AP186" s="2">
        <v>2031</v>
      </c>
      <c r="AQ186" s="16">
        <v>3070</v>
      </c>
      <c r="AR186" s="2" t="s">
        <v>86</v>
      </c>
      <c r="AS186" s="16">
        <v>11.1</v>
      </c>
      <c r="AT186" s="2">
        <v>2028</v>
      </c>
      <c r="AU186" s="16">
        <v>718</v>
      </c>
      <c r="AV186" s="2">
        <v>2031</v>
      </c>
      <c r="AW186" s="16">
        <v>831</v>
      </c>
      <c r="AX186" s="2" t="s">
        <v>86</v>
      </c>
      <c r="AY186" s="16">
        <v>5</v>
      </c>
      <c r="AZ186" s="2">
        <v>2028</v>
      </c>
      <c r="BA186" s="16"/>
      <c r="BB186" s="2">
        <v>2031</v>
      </c>
      <c r="BC186" s="16"/>
      <c r="BD186" s="2" t="s">
        <v>86</v>
      </c>
      <c r="BE186" s="16">
        <v>5</v>
      </c>
      <c r="BF186" s="2">
        <v>2028</v>
      </c>
      <c r="BG186" s="16">
        <v>350</v>
      </c>
      <c r="BH186" s="2">
        <v>2031</v>
      </c>
      <c r="BI186" s="16">
        <v>380</v>
      </c>
      <c r="BJ186" s="2" t="s">
        <v>87</v>
      </c>
      <c r="BK186" s="8"/>
      <c r="BL186" s="8" t="str">
        <f>HYPERLINK("https://seichotoushi-hojo.jp/assets/pdf/koufu_3_4ji/outline_1.pdf","PDFを開く")</f>
        <v>PDFを開く</v>
      </c>
      <c r="BM186" s="8" t="s">
        <v>1601</v>
      </c>
      <c r="BN186" s="8" t="s">
        <v>1602</v>
      </c>
      <c r="BO186" s="8" t="s">
        <v>90</v>
      </c>
      <c r="BP186" s="8" t="s">
        <v>90</v>
      </c>
      <c r="BQ186" s="8" t="s">
        <v>91</v>
      </c>
      <c r="BR186" s="8" t="s">
        <v>92</v>
      </c>
    </row>
    <row r="187" spans="1:70" ht="45.95" customHeight="1">
      <c r="A187" s="5" t="s">
        <v>1603</v>
      </c>
      <c r="B187" s="5" t="s">
        <v>1595</v>
      </c>
      <c r="C187" s="5" t="s">
        <v>1604</v>
      </c>
      <c r="D187" s="5" t="s">
        <v>1604</v>
      </c>
      <c r="E187" s="5" t="s">
        <v>186</v>
      </c>
      <c r="F187" s="5" t="s">
        <v>1605</v>
      </c>
      <c r="G187" s="5">
        <v>2</v>
      </c>
      <c r="H187" s="5">
        <v>0</v>
      </c>
      <c r="I187" s="5">
        <v>1</v>
      </c>
      <c r="J187" s="5">
        <v>1</v>
      </c>
      <c r="K187" s="5">
        <v>0</v>
      </c>
      <c r="L187" s="17">
        <v>4000</v>
      </c>
      <c r="M187" s="17">
        <v>1300</v>
      </c>
      <c r="N187" s="9" t="s">
        <v>217</v>
      </c>
      <c r="O187" s="13">
        <f t="shared" si="2"/>
        <v>32.5</v>
      </c>
      <c r="P187" s="5">
        <v>2</v>
      </c>
      <c r="Q187" s="5" t="s">
        <v>77</v>
      </c>
      <c r="R187" s="9" t="s">
        <v>217</v>
      </c>
      <c r="S187" s="9" t="s">
        <v>217</v>
      </c>
      <c r="T187" s="9" t="s">
        <v>80</v>
      </c>
      <c r="U187" s="5" t="s">
        <v>81</v>
      </c>
      <c r="V187" s="5"/>
      <c r="W187" s="17"/>
      <c r="X187" s="5">
        <v>2031</v>
      </c>
      <c r="Y187" s="17"/>
      <c r="Z187" s="17">
        <v>263</v>
      </c>
      <c r="AA187" s="5">
        <v>2031</v>
      </c>
      <c r="AB187" s="17">
        <v>10.4</v>
      </c>
      <c r="AC187" s="5">
        <v>2031</v>
      </c>
      <c r="AD187" s="5" t="s">
        <v>82</v>
      </c>
      <c r="AE187" s="17"/>
      <c r="AF187" s="17"/>
      <c r="AG187" s="17"/>
      <c r="AH187" s="17"/>
      <c r="AI187" s="9" t="s">
        <v>83</v>
      </c>
      <c r="AJ187" s="5" t="s">
        <v>84</v>
      </c>
      <c r="AK187" s="5">
        <v>1</v>
      </c>
      <c r="AL187" s="9" t="s">
        <v>1606</v>
      </c>
      <c r="AM187" s="9"/>
      <c r="AN187" s="5">
        <v>2027</v>
      </c>
      <c r="AO187" s="17">
        <v>1385</v>
      </c>
      <c r="AP187" s="5">
        <v>2030</v>
      </c>
      <c r="AQ187" s="17">
        <v>3010</v>
      </c>
      <c r="AR187" s="5" t="s">
        <v>86</v>
      </c>
      <c r="AS187" s="17">
        <v>29.5</v>
      </c>
      <c r="AT187" s="5">
        <v>2027</v>
      </c>
      <c r="AU187" s="17">
        <v>676</v>
      </c>
      <c r="AV187" s="5">
        <v>2030</v>
      </c>
      <c r="AW187" s="17">
        <v>828</v>
      </c>
      <c r="AX187" s="5" t="s">
        <v>86</v>
      </c>
      <c r="AY187" s="17">
        <v>7</v>
      </c>
      <c r="AZ187" s="5">
        <v>2027</v>
      </c>
      <c r="BA187" s="17">
        <v>1874</v>
      </c>
      <c r="BB187" s="5">
        <v>2030</v>
      </c>
      <c r="BC187" s="17">
        <v>2169</v>
      </c>
      <c r="BD187" s="5" t="s">
        <v>86</v>
      </c>
      <c r="BE187" s="17">
        <v>5</v>
      </c>
      <c r="BF187" s="5">
        <v>2027</v>
      </c>
      <c r="BG187" s="17">
        <v>112</v>
      </c>
      <c r="BH187" s="5">
        <v>2030</v>
      </c>
      <c r="BI187" s="17">
        <v>122</v>
      </c>
      <c r="BJ187" s="5" t="s">
        <v>87</v>
      </c>
      <c r="BK187" s="9"/>
      <c r="BL187" s="9" t="str">
        <f>HYPERLINK("https://seichotoushi-hojo.jp/assets/pdf/koufu_3_4ji/outline_101.pdf","PDFを開く")</f>
        <v>PDFを開く</v>
      </c>
      <c r="BM187" s="9" t="s">
        <v>1607</v>
      </c>
      <c r="BN187" s="9" t="s">
        <v>1608</v>
      </c>
      <c r="BO187" s="9" t="s">
        <v>90</v>
      </c>
      <c r="BP187" s="9" t="s">
        <v>90</v>
      </c>
      <c r="BQ187" s="9" t="s">
        <v>90</v>
      </c>
      <c r="BR187" s="9" t="s">
        <v>92</v>
      </c>
    </row>
    <row r="188" spans="1:70" ht="45.95" customHeight="1">
      <c r="A188" s="2" t="s">
        <v>1609</v>
      </c>
      <c r="B188" s="2" t="s">
        <v>1595</v>
      </c>
      <c r="C188" s="2" t="s">
        <v>1610</v>
      </c>
      <c r="D188" s="2" t="s">
        <v>1610</v>
      </c>
      <c r="E188" s="2" t="s">
        <v>95</v>
      </c>
      <c r="F188" s="2"/>
      <c r="G188" s="2">
        <v>2</v>
      </c>
      <c r="H188" s="2">
        <v>0</v>
      </c>
      <c r="I188" s="2">
        <v>2</v>
      </c>
      <c r="J188" s="2">
        <v>0</v>
      </c>
      <c r="K188" s="2">
        <v>0</v>
      </c>
      <c r="L188" s="16">
        <v>5100</v>
      </c>
      <c r="M188" s="16">
        <v>1700</v>
      </c>
      <c r="N188" s="8" t="s">
        <v>1611</v>
      </c>
      <c r="O188" s="12">
        <f t="shared" si="2"/>
        <v>33.333333333333329</v>
      </c>
      <c r="P188" s="2">
        <v>2</v>
      </c>
      <c r="Q188" s="2" t="s">
        <v>308</v>
      </c>
      <c r="R188" s="8" t="s">
        <v>1612</v>
      </c>
      <c r="S188" s="8"/>
      <c r="T188" s="8" t="s">
        <v>310</v>
      </c>
      <c r="U188" s="2" t="s">
        <v>81</v>
      </c>
      <c r="V188" s="2"/>
      <c r="W188" s="16"/>
      <c r="X188" s="2">
        <v>2034</v>
      </c>
      <c r="Y188" s="16"/>
      <c r="Z188" s="16">
        <v>145</v>
      </c>
      <c r="AA188" s="2">
        <v>2034</v>
      </c>
      <c r="AB188" s="16"/>
      <c r="AC188" s="2"/>
      <c r="AD188" s="2"/>
      <c r="AE188" s="16"/>
      <c r="AF188" s="16"/>
      <c r="AG188" s="16"/>
      <c r="AH188" s="16"/>
      <c r="AI188" s="8" t="s">
        <v>83</v>
      </c>
      <c r="AJ188" s="2" t="s">
        <v>84</v>
      </c>
      <c r="AK188" s="2">
        <v>1</v>
      </c>
      <c r="AL188" s="8" t="s">
        <v>1613</v>
      </c>
      <c r="AM188" s="8"/>
      <c r="AN188" s="2">
        <v>2027</v>
      </c>
      <c r="AO188" s="16">
        <v>2036</v>
      </c>
      <c r="AP188" s="2">
        <v>2030</v>
      </c>
      <c r="AQ188" s="16">
        <v>3672</v>
      </c>
      <c r="AR188" s="2" t="s">
        <v>86</v>
      </c>
      <c r="AS188" s="16">
        <v>21.7</v>
      </c>
      <c r="AT188" s="2">
        <v>2027</v>
      </c>
      <c r="AU188" s="16">
        <v>410</v>
      </c>
      <c r="AV188" s="2">
        <v>2030</v>
      </c>
      <c r="AW188" s="16">
        <v>516</v>
      </c>
      <c r="AX188" s="2" t="s">
        <v>86</v>
      </c>
      <c r="AY188" s="16">
        <v>8</v>
      </c>
      <c r="AZ188" s="2"/>
      <c r="BA188" s="16"/>
      <c r="BB188" s="2"/>
      <c r="BC188" s="16"/>
      <c r="BD188" s="2"/>
      <c r="BE188" s="16"/>
      <c r="BF188" s="2">
        <v>2027</v>
      </c>
      <c r="BG188" s="16">
        <v>100</v>
      </c>
      <c r="BH188" s="2">
        <v>2030</v>
      </c>
      <c r="BI188" s="16">
        <v>125</v>
      </c>
      <c r="BJ188" s="2" t="s">
        <v>87</v>
      </c>
      <c r="BK188" s="8" t="s">
        <v>1614</v>
      </c>
      <c r="BL188" s="8" t="str">
        <f>HYPERLINK("https://seichotoushi-hojo.jp/assets/pdf/koufu_3_4ji/outline_103.pdf","PDFを開く")</f>
        <v>PDFを開く</v>
      </c>
      <c r="BM188" s="8" t="s">
        <v>1615</v>
      </c>
      <c r="BN188" s="8" t="s">
        <v>1616</v>
      </c>
      <c r="BO188" s="8" t="s">
        <v>166</v>
      </c>
      <c r="BP188" s="8" t="s">
        <v>166</v>
      </c>
      <c r="BQ188" s="8" t="s">
        <v>157</v>
      </c>
      <c r="BR188" s="8" t="s">
        <v>166</v>
      </c>
    </row>
    <row r="189" spans="1:70" ht="45.95" customHeight="1">
      <c r="A189" s="5" t="s">
        <v>1617</v>
      </c>
      <c r="B189" s="5" t="s">
        <v>1595</v>
      </c>
      <c r="C189" s="5" t="s">
        <v>1618</v>
      </c>
      <c r="D189" s="5" t="s">
        <v>1618</v>
      </c>
      <c r="E189" s="5" t="s">
        <v>75</v>
      </c>
      <c r="F189" s="5"/>
      <c r="G189" s="5">
        <v>3</v>
      </c>
      <c r="H189" s="5">
        <v>0</v>
      </c>
      <c r="I189" s="5">
        <v>2</v>
      </c>
      <c r="J189" s="5">
        <v>1</v>
      </c>
      <c r="K189" s="5">
        <v>0</v>
      </c>
      <c r="L189" s="17">
        <v>8200</v>
      </c>
      <c r="M189" s="17">
        <v>2100</v>
      </c>
      <c r="N189" s="9" t="s">
        <v>1619</v>
      </c>
      <c r="O189" s="13">
        <f t="shared" si="2"/>
        <v>25.609756097560975</v>
      </c>
      <c r="P189" s="5">
        <v>3</v>
      </c>
      <c r="Q189" s="5" t="s">
        <v>77</v>
      </c>
      <c r="R189" s="9" t="s">
        <v>1620</v>
      </c>
      <c r="S189" s="9" t="s">
        <v>1621</v>
      </c>
      <c r="T189" s="9" t="s">
        <v>80</v>
      </c>
      <c r="U189" s="5" t="s">
        <v>81</v>
      </c>
      <c r="V189" s="5"/>
      <c r="W189" s="17"/>
      <c r="X189" s="5">
        <v>2030</v>
      </c>
      <c r="Y189" s="17"/>
      <c r="Z189" s="17">
        <v>123</v>
      </c>
      <c r="AA189" s="5">
        <v>2030</v>
      </c>
      <c r="AB189" s="17">
        <v>233</v>
      </c>
      <c r="AC189" s="5">
        <v>2030</v>
      </c>
      <c r="AD189" s="5" t="s">
        <v>82</v>
      </c>
      <c r="AE189" s="17"/>
      <c r="AF189" s="17"/>
      <c r="AG189" s="17"/>
      <c r="AH189" s="17"/>
      <c r="AI189" s="9" t="s">
        <v>83</v>
      </c>
      <c r="AJ189" s="5" t="s">
        <v>84</v>
      </c>
      <c r="AK189" s="5">
        <v>1</v>
      </c>
      <c r="AL189" s="9" t="s">
        <v>1622</v>
      </c>
      <c r="AM189" s="9"/>
      <c r="AN189" s="5">
        <v>2027</v>
      </c>
      <c r="AO189" s="17">
        <v>416</v>
      </c>
      <c r="AP189" s="5">
        <v>2030</v>
      </c>
      <c r="AQ189" s="17">
        <v>660</v>
      </c>
      <c r="AR189" s="5" t="s">
        <v>86</v>
      </c>
      <c r="AS189" s="17">
        <v>16.7</v>
      </c>
      <c r="AT189" s="5">
        <v>2027</v>
      </c>
      <c r="AU189" s="17">
        <v>314</v>
      </c>
      <c r="AV189" s="5">
        <v>2030</v>
      </c>
      <c r="AW189" s="17">
        <v>374</v>
      </c>
      <c r="AX189" s="5" t="s">
        <v>86</v>
      </c>
      <c r="AY189" s="17">
        <v>6</v>
      </c>
      <c r="AZ189" s="5"/>
      <c r="BA189" s="17"/>
      <c r="BB189" s="5"/>
      <c r="BC189" s="17"/>
      <c r="BD189" s="5"/>
      <c r="BE189" s="17"/>
      <c r="BF189" s="5">
        <v>2027</v>
      </c>
      <c r="BG189" s="17">
        <v>685</v>
      </c>
      <c r="BH189" s="5">
        <v>2030</v>
      </c>
      <c r="BI189" s="17">
        <v>795</v>
      </c>
      <c r="BJ189" s="5" t="s">
        <v>87</v>
      </c>
      <c r="BK189" s="9" t="s">
        <v>181</v>
      </c>
      <c r="BL189" s="9" t="str">
        <f>HYPERLINK("https://seichotoushi-hojo.jp/assets/pdf/koufu_3_4ji/outline_104.pdf","PDFを開く")</f>
        <v>PDFを開く</v>
      </c>
      <c r="BM189" s="9" t="s">
        <v>1623</v>
      </c>
      <c r="BN189" s="9" t="s">
        <v>1624</v>
      </c>
      <c r="BO189" s="9" t="s">
        <v>90</v>
      </c>
      <c r="BP189" s="9" t="s">
        <v>90</v>
      </c>
      <c r="BQ189" s="9" t="s">
        <v>156</v>
      </c>
      <c r="BR189" s="9" t="s">
        <v>92</v>
      </c>
    </row>
    <row r="190" spans="1:70" ht="45.95" customHeight="1">
      <c r="A190" s="2" t="s">
        <v>1625</v>
      </c>
      <c r="B190" s="2" t="s">
        <v>1595</v>
      </c>
      <c r="C190" s="2" t="s">
        <v>1626</v>
      </c>
      <c r="D190" s="2" t="s">
        <v>1626</v>
      </c>
      <c r="E190" s="2" t="s">
        <v>186</v>
      </c>
      <c r="F190" s="2"/>
      <c r="G190" s="2">
        <v>2</v>
      </c>
      <c r="H190" s="2">
        <v>0</v>
      </c>
      <c r="I190" s="2">
        <v>1</v>
      </c>
      <c r="J190" s="2">
        <v>1</v>
      </c>
      <c r="K190" s="2">
        <v>0</v>
      </c>
      <c r="L190" s="16">
        <v>12700</v>
      </c>
      <c r="M190" s="16">
        <v>4100</v>
      </c>
      <c r="N190" s="8" t="s">
        <v>1627</v>
      </c>
      <c r="O190" s="12">
        <f t="shared" si="2"/>
        <v>32.283464566929133</v>
      </c>
      <c r="P190" s="2">
        <v>2</v>
      </c>
      <c r="Q190" s="2" t="s">
        <v>77</v>
      </c>
      <c r="R190" s="8" t="s">
        <v>1627</v>
      </c>
      <c r="S190" s="8" t="s">
        <v>1628</v>
      </c>
      <c r="T190" s="8" t="s">
        <v>80</v>
      </c>
      <c r="U190" s="2" t="s">
        <v>81</v>
      </c>
      <c r="V190" s="2"/>
      <c r="W190" s="16"/>
      <c r="X190" s="2">
        <v>2031</v>
      </c>
      <c r="Y190" s="16"/>
      <c r="Z190" s="16">
        <v>151</v>
      </c>
      <c r="AA190" s="2">
        <v>2031</v>
      </c>
      <c r="AB190" s="16">
        <v>6</v>
      </c>
      <c r="AC190" s="2">
        <v>2031</v>
      </c>
      <c r="AD190" s="2" t="s">
        <v>82</v>
      </c>
      <c r="AE190" s="16"/>
      <c r="AF190" s="16"/>
      <c r="AG190" s="16"/>
      <c r="AH190" s="16"/>
      <c r="AI190" s="8" t="s">
        <v>83</v>
      </c>
      <c r="AJ190" s="2" t="s">
        <v>84</v>
      </c>
      <c r="AK190" s="2">
        <v>1</v>
      </c>
      <c r="AL190" s="8" t="s">
        <v>1629</v>
      </c>
      <c r="AM190" s="8"/>
      <c r="AN190" s="2">
        <v>2027</v>
      </c>
      <c r="AO190" s="16">
        <v>1190</v>
      </c>
      <c r="AP190" s="2">
        <v>2030</v>
      </c>
      <c r="AQ190" s="16">
        <v>1385</v>
      </c>
      <c r="AR190" s="2" t="s">
        <v>86</v>
      </c>
      <c r="AS190" s="16">
        <v>5.2</v>
      </c>
      <c r="AT190" s="2">
        <v>2027</v>
      </c>
      <c r="AU190" s="16">
        <v>502</v>
      </c>
      <c r="AV190" s="2">
        <v>2030</v>
      </c>
      <c r="AW190" s="16">
        <v>589</v>
      </c>
      <c r="AX190" s="2" t="s">
        <v>86</v>
      </c>
      <c r="AY190" s="16">
        <v>5.5</v>
      </c>
      <c r="AZ190" s="2">
        <v>2027</v>
      </c>
      <c r="BA190" s="16">
        <v>716</v>
      </c>
      <c r="BB190" s="2">
        <v>2030</v>
      </c>
      <c r="BC190" s="16">
        <v>828</v>
      </c>
      <c r="BD190" s="2" t="s">
        <v>86</v>
      </c>
      <c r="BE190" s="16">
        <v>5</v>
      </c>
      <c r="BF190" s="2">
        <v>2027</v>
      </c>
      <c r="BG190" s="16">
        <v>829</v>
      </c>
      <c r="BH190" s="2">
        <v>2030</v>
      </c>
      <c r="BI190" s="16">
        <v>864</v>
      </c>
      <c r="BJ190" s="2" t="s">
        <v>87</v>
      </c>
      <c r="BK190" s="8"/>
      <c r="BL190" s="8" t="str">
        <f>HYPERLINK("https://seichotoushi-hojo.jp/assets/pdf/koufu_3_4ji/outline_105.pdf","PDFを開く")</f>
        <v>PDFを開く</v>
      </c>
      <c r="BM190" s="8" t="s">
        <v>1630</v>
      </c>
      <c r="BN190" s="8" t="s">
        <v>1631</v>
      </c>
      <c r="BO190" s="8" t="s">
        <v>90</v>
      </c>
      <c r="BP190" s="8" t="s">
        <v>90</v>
      </c>
      <c r="BQ190" s="8" t="s">
        <v>90</v>
      </c>
      <c r="BR190" s="8" t="s">
        <v>92</v>
      </c>
    </row>
    <row r="191" spans="1:70" ht="45.95" customHeight="1">
      <c r="A191" s="5" t="s">
        <v>1632</v>
      </c>
      <c r="B191" s="5" t="s">
        <v>1595</v>
      </c>
      <c r="C191" s="5" t="s">
        <v>1633</v>
      </c>
      <c r="D191" s="5" t="s">
        <v>1633</v>
      </c>
      <c r="E191" s="5" t="s">
        <v>95</v>
      </c>
      <c r="F191" s="5"/>
      <c r="G191" s="5">
        <v>2</v>
      </c>
      <c r="H191" s="5">
        <v>0</v>
      </c>
      <c r="I191" s="5">
        <v>1</v>
      </c>
      <c r="J191" s="5">
        <v>1</v>
      </c>
      <c r="K191" s="5">
        <v>0</v>
      </c>
      <c r="L191" s="17">
        <v>8500</v>
      </c>
      <c r="M191" s="17">
        <v>2300</v>
      </c>
      <c r="N191" s="9" t="s">
        <v>1634</v>
      </c>
      <c r="O191" s="13">
        <f t="shared" si="2"/>
        <v>27.058823529411764</v>
      </c>
      <c r="P191" s="5">
        <v>2</v>
      </c>
      <c r="Q191" s="5" t="s">
        <v>77</v>
      </c>
      <c r="R191" s="9" t="s">
        <v>1635</v>
      </c>
      <c r="S191" s="9" t="s">
        <v>1636</v>
      </c>
      <c r="T191" s="9" t="s">
        <v>80</v>
      </c>
      <c r="U191" s="5" t="s">
        <v>81</v>
      </c>
      <c r="V191" s="5"/>
      <c r="W191" s="17"/>
      <c r="X191" s="5">
        <v>2030</v>
      </c>
      <c r="Y191" s="17"/>
      <c r="Z191" s="17">
        <v>304</v>
      </c>
      <c r="AA191" s="5">
        <v>2030</v>
      </c>
      <c r="AB191" s="17">
        <v>39.6</v>
      </c>
      <c r="AC191" s="5">
        <v>2030</v>
      </c>
      <c r="AD191" s="5" t="s">
        <v>82</v>
      </c>
      <c r="AE191" s="17"/>
      <c r="AF191" s="17"/>
      <c r="AG191" s="17"/>
      <c r="AH191" s="17"/>
      <c r="AI191" s="9" t="s">
        <v>83</v>
      </c>
      <c r="AJ191" s="5" t="s">
        <v>84</v>
      </c>
      <c r="AK191" s="5">
        <v>1</v>
      </c>
      <c r="AL191" s="9" t="s">
        <v>1637</v>
      </c>
      <c r="AM191" s="9"/>
      <c r="AN191" s="5">
        <v>2027</v>
      </c>
      <c r="AO191" s="17">
        <v>3252</v>
      </c>
      <c r="AP191" s="5">
        <v>2030</v>
      </c>
      <c r="AQ191" s="17">
        <v>5771</v>
      </c>
      <c r="AR191" s="5" t="s">
        <v>86</v>
      </c>
      <c r="AS191" s="17">
        <v>21.1</v>
      </c>
      <c r="AT191" s="5">
        <v>2027</v>
      </c>
      <c r="AU191" s="17">
        <v>295</v>
      </c>
      <c r="AV191" s="5">
        <v>2030</v>
      </c>
      <c r="AW191" s="17">
        <v>351</v>
      </c>
      <c r="AX191" s="5" t="s">
        <v>86</v>
      </c>
      <c r="AY191" s="17">
        <v>6</v>
      </c>
      <c r="AZ191" s="5"/>
      <c r="BA191" s="17"/>
      <c r="BB191" s="5"/>
      <c r="BC191" s="17"/>
      <c r="BD191" s="5"/>
      <c r="BE191" s="17"/>
      <c r="BF191" s="5">
        <v>2027</v>
      </c>
      <c r="BG191" s="17">
        <v>62</v>
      </c>
      <c r="BH191" s="5">
        <v>2030</v>
      </c>
      <c r="BI191" s="17">
        <v>72</v>
      </c>
      <c r="BJ191" s="5" t="s">
        <v>87</v>
      </c>
      <c r="BK191" s="9"/>
      <c r="BL191" s="9" t="str">
        <f>HYPERLINK("https://seichotoushi-hojo.jp/assets/pdf/koufu_3_4ji/outline_106.pdf","PDFを開く")</f>
        <v>PDFを開く</v>
      </c>
      <c r="BM191" s="9" t="s">
        <v>1638</v>
      </c>
      <c r="BN191" s="9" t="s">
        <v>1639</v>
      </c>
      <c r="BO191" s="9" t="s">
        <v>90</v>
      </c>
      <c r="BP191" s="9" t="s">
        <v>166</v>
      </c>
      <c r="BQ191" s="9" t="s">
        <v>157</v>
      </c>
      <c r="BR191" s="9" t="s">
        <v>92</v>
      </c>
    </row>
    <row r="192" spans="1:70" ht="45.95" customHeight="1">
      <c r="A192" s="2" t="s">
        <v>1640</v>
      </c>
      <c r="B192" s="2" t="s">
        <v>1595</v>
      </c>
      <c r="C192" s="2" t="s">
        <v>1641</v>
      </c>
      <c r="D192" s="2" t="s">
        <v>1641</v>
      </c>
      <c r="E192" s="2" t="s">
        <v>75</v>
      </c>
      <c r="F192" s="2"/>
      <c r="G192" s="2">
        <v>2</v>
      </c>
      <c r="H192" s="2">
        <v>0</v>
      </c>
      <c r="I192" s="2">
        <v>1</v>
      </c>
      <c r="J192" s="2">
        <v>1</v>
      </c>
      <c r="K192" s="2">
        <v>0</v>
      </c>
      <c r="L192" s="16">
        <v>1200</v>
      </c>
      <c r="M192" s="16">
        <v>390</v>
      </c>
      <c r="N192" s="8" t="s">
        <v>1642</v>
      </c>
      <c r="O192" s="12">
        <f t="shared" si="2"/>
        <v>32.5</v>
      </c>
      <c r="P192" s="2">
        <v>2</v>
      </c>
      <c r="Q192" s="2" t="s">
        <v>77</v>
      </c>
      <c r="R192" s="8" t="s">
        <v>1643</v>
      </c>
      <c r="S192" s="8" t="s">
        <v>1644</v>
      </c>
      <c r="T192" s="8" t="s">
        <v>80</v>
      </c>
      <c r="U192" s="2" t="s">
        <v>81</v>
      </c>
      <c r="V192" s="2"/>
      <c r="W192" s="16"/>
      <c r="X192" s="2">
        <v>2030</v>
      </c>
      <c r="Y192" s="16">
        <v>1693</v>
      </c>
      <c r="Z192" s="16">
        <v>857</v>
      </c>
      <c r="AA192" s="2">
        <v>2030</v>
      </c>
      <c r="AB192" s="16">
        <v>49.4</v>
      </c>
      <c r="AC192" s="2">
        <v>2030</v>
      </c>
      <c r="AD192" s="2" t="s">
        <v>82</v>
      </c>
      <c r="AE192" s="16"/>
      <c r="AF192" s="16"/>
      <c r="AG192" s="16"/>
      <c r="AH192" s="16"/>
      <c r="AI192" s="8" t="s">
        <v>83</v>
      </c>
      <c r="AJ192" s="2" t="s">
        <v>84</v>
      </c>
      <c r="AK192" s="2">
        <v>1</v>
      </c>
      <c r="AL192" s="8" t="s">
        <v>1645</v>
      </c>
      <c r="AM192" s="8" t="s">
        <v>1646</v>
      </c>
      <c r="AN192" s="2">
        <v>2027</v>
      </c>
      <c r="AO192" s="16">
        <v>1723</v>
      </c>
      <c r="AP192" s="2">
        <v>2030</v>
      </c>
      <c r="AQ192" s="16">
        <v>2975</v>
      </c>
      <c r="AR192" s="2" t="s">
        <v>86</v>
      </c>
      <c r="AS192" s="16">
        <v>20</v>
      </c>
      <c r="AT192" s="2">
        <v>2027</v>
      </c>
      <c r="AU192" s="16">
        <v>469</v>
      </c>
      <c r="AV192" s="2">
        <v>2030</v>
      </c>
      <c r="AW192" s="16">
        <v>560</v>
      </c>
      <c r="AX192" s="2" t="s">
        <v>86</v>
      </c>
      <c r="AY192" s="16">
        <v>6.1</v>
      </c>
      <c r="AZ192" s="2"/>
      <c r="BA192" s="16"/>
      <c r="BB192" s="2"/>
      <c r="BC192" s="16"/>
      <c r="BD192" s="2"/>
      <c r="BE192" s="16"/>
      <c r="BF192" s="2">
        <v>2027</v>
      </c>
      <c r="BG192" s="16">
        <v>161</v>
      </c>
      <c r="BH192" s="2">
        <v>2030</v>
      </c>
      <c r="BI192" s="16">
        <v>167</v>
      </c>
      <c r="BJ192" s="2" t="s">
        <v>87</v>
      </c>
      <c r="BK192" s="8"/>
      <c r="BL192" s="8" t="str">
        <f>HYPERLINK("https://seichotoushi-hojo.jp/assets/pdf/koufu_3_4ji/outline_108.pdf","PDFを開く")</f>
        <v>PDFを開く</v>
      </c>
      <c r="BM192" s="8" t="s">
        <v>1647</v>
      </c>
      <c r="BN192" s="8" t="s">
        <v>1648</v>
      </c>
      <c r="BO192" s="8" t="s">
        <v>90</v>
      </c>
      <c r="BP192" s="8" t="s">
        <v>90</v>
      </c>
      <c r="BQ192" s="8" t="s">
        <v>156</v>
      </c>
      <c r="BR192" s="8" t="s">
        <v>92</v>
      </c>
    </row>
    <row r="193" spans="1:70" ht="45.95" customHeight="1">
      <c r="A193" s="5" t="s">
        <v>1649</v>
      </c>
      <c r="B193" s="5" t="s">
        <v>1595</v>
      </c>
      <c r="C193" s="5" t="s">
        <v>1650</v>
      </c>
      <c r="D193" s="5" t="s">
        <v>1650</v>
      </c>
      <c r="E193" s="5" t="s">
        <v>186</v>
      </c>
      <c r="F193" s="5"/>
      <c r="G193" s="5">
        <v>2</v>
      </c>
      <c r="H193" s="5">
        <v>0</v>
      </c>
      <c r="I193" s="5">
        <v>1</v>
      </c>
      <c r="J193" s="5">
        <v>1</v>
      </c>
      <c r="K193" s="5">
        <v>0</v>
      </c>
      <c r="L193" s="17">
        <v>2600</v>
      </c>
      <c r="M193" s="17">
        <v>770</v>
      </c>
      <c r="N193" s="9" t="s">
        <v>1651</v>
      </c>
      <c r="O193" s="13">
        <f t="shared" si="2"/>
        <v>29.615384615384617</v>
      </c>
      <c r="P193" s="5">
        <v>2</v>
      </c>
      <c r="Q193" s="5" t="s">
        <v>77</v>
      </c>
      <c r="R193" s="9" t="s">
        <v>1651</v>
      </c>
      <c r="S193" s="9" t="s">
        <v>1652</v>
      </c>
      <c r="T193" s="9" t="s">
        <v>80</v>
      </c>
      <c r="U193" s="5" t="s">
        <v>81</v>
      </c>
      <c r="V193" s="5"/>
      <c r="W193" s="17"/>
      <c r="X193" s="5">
        <v>2031</v>
      </c>
      <c r="Y193" s="17"/>
      <c r="Z193" s="17">
        <v>123</v>
      </c>
      <c r="AA193" s="5">
        <v>2031</v>
      </c>
      <c r="AB193" s="17">
        <v>10</v>
      </c>
      <c r="AC193" s="5">
        <v>2031</v>
      </c>
      <c r="AD193" s="5" t="s">
        <v>82</v>
      </c>
      <c r="AE193" s="17"/>
      <c r="AF193" s="17"/>
      <c r="AG193" s="17"/>
      <c r="AH193" s="17"/>
      <c r="AI193" s="9" t="s">
        <v>83</v>
      </c>
      <c r="AJ193" s="5" t="s">
        <v>84</v>
      </c>
      <c r="AK193" s="5">
        <v>1</v>
      </c>
      <c r="AL193" s="9" t="s">
        <v>1653</v>
      </c>
      <c r="AM193" s="9"/>
      <c r="AN193" s="5">
        <v>2027</v>
      </c>
      <c r="AO193" s="17">
        <v>523</v>
      </c>
      <c r="AP193" s="5">
        <v>2030</v>
      </c>
      <c r="AQ193" s="17">
        <v>1019</v>
      </c>
      <c r="AR193" s="5" t="s">
        <v>86</v>
      </c>
      <c r="AS193" s="17">
        <v>24.9</v>
      </c>
      <c r="AT193" s="5">
        <v>2027</v>
      </c>
      <c r="AU193" s="17">
        <v>377</v>
      </c>
      <c r="AV193" s="5">
        <v>2030</v>
      </c>
      <c r="AW193" s="17">
        <v>462</v>
      </c>
      <c r="AX193" s="5" t="s">
        <v>86</v>
      </c>
      <c r="AY193" s="17">
        <v>7</v>
      </c>
      <c r="AZ193" s="5">
        <v>2027</v>
      </c>
      <c r="BA193" s="17"/>
      <c r="BB193" s="5">
        <v>2030</v>
      </c>
      <c r="BC193" s="17"/>
      <c r="BD193" s="5" t="s">
        <v>86</v>
      </c>
      <c r="BE193" s="17">
        <v>5</v>
      </c>
      <c r="BF193" s="5">
        <v>2027</v>
      </c>
      <c r="BG193" s="17">
        <v>221</v>
      </c>
      <c r="BH193" s="5">
        <v>2030</v>
      </c>
      <c r="BI193" s="17">
        <v>230</v>
      </c>
      <c r="BJ193" s="5" t="s">
        <v>87</v>
      </c>
      <c r="BK193" s="9"/>
      <c r="BL193" s="9" t="str">
        <f>HYPERLINK("https://seichotoushi-hojo.jp/assets/pdf/koufu_3_4ji/outline_109.pdf","PDFを開く")</f>
        <v>PDFを開く</v>
      </c>
      <c r="BM193" s="9" t="s">
        <v>1654</v>
      </c>
      <c r="BN193" s="9" t="s">
        <v>1655</v>
      </c>
      <c r="BO193" s="9" t="s">
        <v>90</v>
      </c>
      <c r="BP193" s="9" t="s">
        <v>90</v>
      </c>
      <c r="BQ193" s="9" t="s">
        <v>91</v>
      </c>
      <c r="BR193" s="9" t="s">
        <v>92</v>
      </c>
    </row>
    <row r="194" spans="1:70" ht="45.95" customHeight="1">
      <c r="A194" s="2" t="s">
        <v>1656</v>
      </c>
      <c r="B194" s="2" t="s">
        <v>1595</v>
      </c>
      <c r="C194" s="2" t="s">
        <v>1657</v>
      </c>
      <c r="D194" s="2" t="s">
        <v>1657</v>
      </c>
      <c r="E194" s="2" t="s">
        <v>75</v>
      </c>
      <c r="F194" s="2"/>
      <c r="G194" s="2">
        <v>2</v>
      </c>
      <c r="H194" s="2">
        <v>0</v>
      </c>
      <c r="I194" s="2">
        <v>1</v>
      </c>
      <c r="J194" s="2">
        <v>1</v>
      </c>
      <c r="K194" s="2">
        <v>0</v>
      </c>
      <c r="L194" s="16">
        <v>7500</v>
      </c>
      <c r="M194" s="16">
        <v>2500</v>
      </c>
      <c r="N194" s="8" t="s">
        <v>1658</v>
      </c>
      <c r="O194" s="12">
        <f t="shared" si="2"/>
        <v>33.333333333333329</v>
      </c>
      <c r="P194" s="2">
        <v>2</v>
      </c>
      <c r="Q194" s="2" t="s">
        <v>77</v>
      </c>
      <c r="R194" s="8" t="s">
        <v>1658</v>
      </c>
      <c r="S194" s="8" t="s">
        <v>1659</v>
      </c>
      <c r="T194" s="8" t="s">
        <v>80</v>
      </c>
      <c r="U194" s="2" t="s">
        <v>81</v>
      </c>
      <c r="V194" s="2">
        <v>2025</v>
      </c>
      <c r="W194" s="16"/>
      <c r="X194" s="2">
        <v>2031</v>
      </c>
      <c r="Y194" s="16"/>
      <c r="Z194" s="16">
        <v>324</v>
      </c>
      <c r="AA194" s="2">
        <v>2031</v>
      </c>
      <c r="AB194" s="16">
        <v>9.6</v>
      </c>
      <c r="AC194" s="2">
        <v>2031</v>
      </c>
      <c r="AD194" s="2" t="s">
        <v>82</v>
      </c>
      <c r="AE194" s="16"/>
      <c r="AF194" s="16"/>
      <c r="AG194" s="16"/>
      <c r="AH194" s="16"/>
      <c r="AI194" s="8" t="s">
        <v>83</v>
      </c>
      <c r="AJ194" s="2" t="s">
        <v>84</v>
      </c>
      <c r="AK194" s="2">
        <v>1</v>
      </c>
      <c r="AL194" s="8" t="s">
        <v>1660</v>
      </c>
      <c r="AM194" s="8"/>
      <c r="AN194" s="2">
        <v>2028</v>
      </c>
      <c r="AO194" s="16">
        <v>658</v>
      </c>
      <c r="AP194" s="2">
        <v>2031</v>
      </c>
      <c r="AQ194" s="16">
        <v>1291</v>
      </c>
      <c r="AR194" s="2" t="s">
        <v>86</v>
      </c>
      <c r="AS194" s="16">
        <v>25.2</v>
      </c>
      <c r="AT194" s="2">
        <v>2028</v>
      </c>
      <c r="AU194" s="16">
        <v>344</v>
      </c>
      <c r="AV194" s="2">
        <v>2031</v>
      </c>
      <c r="AW194" s="16">
        <v>422</v>
      </c>
      <c r="AX194" s="2" t="s">
        <v>86</v>
      </c>
      <c r="AY194" s="16">
        <v>7</v>
      </c>
      <c r="AZ194" s="2">
        <v>2028</v>
      </c>
      <c r="BA194" s="16"/>
      <c r="BB194" s="2">
        <v>2031</v>
      </c>
      <c r="BC194" s="16"/>
      <c r="BD194" s="2" t="s">
        <v>86</v>
      </c>
      <c r="BE194" s="16">
        <v>1</v>
      </c>
      <c r="BF194" s="2">
        <v>2028</v>
      </c>
      <c r="BG194" s="16">
        <v>165</v>
      </c>
      <c r="BH194" s="2">
        <v>2031</v>
      </c>
      <c r="BI194" s="16">
        <v>180</v>
      </c>
      <c r="BJ194" s="2" t="s">
        <v>87</v>
      </c>
      <c r="BK194" s="8"/>
      <c r="BL194" s="8" t="str">
        <f>HYPERLINK("https://seichotoushi-hojo.jp/assets/pdf/koufu_3_4ji/outline_11.pdf","PDFを開く")</f>
        <v>PDFを開く</v>
      </c>
      <c r="BM194" s="8" t="s">
        <v>1661</v>
      </c>
      <c r="BN194" s="8" t="s">
        <v>1662</v>
      </c>
      <c r="BO194" s="8" t="s">
        <v>90</v>
      </c>
      <c r="BP194" s="8" t="s">
        <v>90</v>
      </c>
      <c r="BQ194" s="8" t="s">
        <v>91</v>
      </c>
      <c r="BR194" s="8" t="s">
        <v>92</v>
      </c>
    </row>
    <row r="195" spans="1:70" ht="45.95" customHeight="1">
      <c r="A195" s="5" t="s">
        <v>1663</v>
      </c>
      <c r="B195" s="5" t="s">
        <v>1595</v>
      </c>
      <c r="C195" s="5" t="s">
        <v>1664</v>
      </c>
      <c r="D195" s="5" t="s">
        <v>1664</v>
      </c>
      <c r="E195" s="5" t="s">
        <v>95</v>
      </c>
      <c r="F195" s="5"/>
      <c r="G195" s="5">
        <v>2</v>
      </c>
      <c r="H195" s="5">
        <v>0</v>
      </c>
      <c r="I195" s="5">
        <v>1</v>
      </c>
      <c r="J195" s="5">
        <v>1</v>
      </c>
      <c r="K195" s="5">
        <v>0</v>
      </c>
      <c r="L195" s="17">
        <v>2900</v>
      </c>
      <c r="M195" s="17">
        <v>680</v>
      </c>
      <c r="N195" s="9" t="s">
        <v>1665</v>
      </c>
      <c r="O195" s="13">
        <f t="shared" si="2"/>
        <v>23.448275862068964</v>
      </c>
      <c r="P195" s="5">
        <v>2</v>
      </c>
      <c r="Q195" s="5" t="s">
        <v>77</v>
      </c>
      <c r="R195" s="9" t="s">
        <v>1665</v>
      </c>
      <c r="S195" s="9" t="s">
        <v>1666</v>
      </c>
      <c r="T195" s="9" t="s">
        <v>80</v>
      </c>
      <c r="U195" s="5" t="s">
        <v>81</v>
      </c>
      <c r="V195" s="5"/>
      <c r="W195" s="17"/>
      <c r="X195" s="5">
        <v>2030</v>
      </c>
      <c r="Y195" s="17"/>
      <c r="Z195" s="17">
        <v>14</v>
      </c>
      <c r="AA195" s="5">
        <v>2030</v>
      </c>
      <c r="AB195" s="17">
        <v>110</v>
      </c>
      <c r="AC195" s="5">
        <v>2030</v>
      </c>
      <c r="AD195" s="5" t="s">
        <v>82</v>
      </c>
      <c r="AE195" s="17"/>
      <c r="AF195" s="17"/>
      <c r="AG195" s="17"/>
      <c r="AH195" s="17"/>
      <c r="AI195" s="9" t="s">
        <v>83</v>
      </c>
      <c r="AJ195" s="5" t="s">
        <v>84</v>
      </c>
      <c r="AK195" s="5">
        <v>1</v>
      </c>
      <c r="AL195" s="9" t="s">
        <v>1667</v>
      </c>
      <c r="AM195" s="9"/>
      <c r="AN195" s="5">
        <v>2026</v>
      </c>
      <c r="AO195" s="17">
        <v>1171</v>
      </c>
      <c r="AP195" s="5">
        <v>2029</v>
      </c>
      <c r="AQ195" s="17">
        <v>1815</v>
      </c>
      <c r="AR195" s="5" t="s">
        <v>86</v>
      </c>
      <c r="AS195" s="17">
        <v>15.7</v>
      </c>
      <c r="AT195" s="5">
        <v>2026</v>
      </c>
      <c r="AU195" s="17">
        <v>745</v>
      </c>
      <c r="AV195" s="5">
        <v>2029</v>
      </c>
      <c r="AW195" s="17">
        <v>887</v>
      </c>
      <c r="AX195" s="5" t="s">
        <v>86</v>
      </c>
      <c r="AY195" s="17">
        <v>6</v>
      </c>
      <c r="AZ195" s="5">
        <v>2026</v>
      </c>
      <c r="BA195" s="17">
        <v>1087</v>
      </c>
      <c r="BB195" s="5">
        <v>2029</v>
      </c>
      <c r="BC195" s="17">
        <v>1259</v>
      </c>
      <c r="BD195" s="5" t="s">
        <v>86</v>
      </c>
      <c r="BE195" s="17">
        <v>5</v>
      </c>
      <c r="BF195" s="5">
        <v>2026</v>
      </c>
      <c r="BG195" s="17">
        <v>58</v>
      </c>
      <c r="BH195" s="5">
        <v>2029</v>
      </c>
      <c r="BI195" s="17">
        <v>94</v>
      </c>
      <c r="BJ195" s="5" t="s">
        <v>87</v>
      </c>
      <c r="BK195" s="9"/>
      <c r="BL195" s="9" t="str">
        <f>HYPERLINK("https://seichotoushi-hojo.jp/assets/pdf/koufu_3_4ji/outline_110.pdf","PDFを開く")</f>
        <v>PDFを開く</v>
      </c>
      <c r="BM195" s="9" t="s">
        <v>1668</v>
      </c>
      <c r="BN195" s="9" t="s">
        <v>1669</v>
      </c>
      <c r="BO195" s="9" t="s">
        <v>90</v>
      </c>
      <c r="BP195" s="9" t="s">
        <v>90</v>
      </c>
      <c r="BQ195" s="9" t="s">
        <v>90</v>
      </c>
      <c r="BR195" s="9" t="s">
        <v>92</v>
      </c>
    </row>
    <row r="196" spans="1:70" ht="45.95" customHeight="1">
      <c r="A196" s="2" t="s">
        <v>1670</v>
      </c>
      <c r="B196" s="2" t="s">
        <v>1595</v>
      </c>
      <c r="C196" s="2" t="s">
        <v>1671</v>
      </c>
      <c r="D196" s="2" t="s">
        <v>1671</v>
      </c>
      <c r="E196" s="2" t="s">
        <v>107</v>
      </c>
      <c r="F196" s="2"/>
      <c r="G196" s="2">
        <v>3</v>
      </c>
      <c r="H196" s="2">
        <v>0</v>
      </c>
      <c r="I196" s="2">
        <v>1</v>
      </c>
      <c r="J196" s="2">
        <v>2</v>
      </c>
      <c r="K196" s="2">
        <v>0</v>
      </c>
      <c r="L196" s="16">
        <v>4300</v>
      </c>
      <c r="M196" s="16">
        <v>1400</v>
      </c>
      <c r="N196" s="8" t="s">
        <v>506</v>
      </c>
      <c r="O196" s="12">
        <f t="shared" si="2"/>
        <v>32.558139534883722</v>
      </c>
      <c r="P196" s="2">
        <v>2</v>
      </c>
      <c r="Q196" s="2" t="s">
        <v>77</v>
      </c>
      <c r="R196" s="8" t="s">
        <v>1672</v>
      </c>
      <c r="S196" s="8" t="s">
        <v>1673</v>
      </c>
      <c r="T196" s="8" t="s">
        <v>80</v>
      </c>
      <c r="U196" s="2" t="s">
        <v>81</v>
      </c>
      <c r="V196" s="2"/>
      <c r="W196" s="16"/>
      <c r="X196" s="2"/>
      <c r="Y196" s="16"/>
      <c r="Z196" s="16">
        <v>40</v>
      </c>
      <c r="AA196" s="2"/>
      <c r="AB196" s="16">
        <v>208</v>
      </c>
      <c r="AC196" s="2"/>
      <c r="AD196" s="2" t="s">
        <v>82</v>
      </c>
      <c r="AE196" s="16"/>
      <c r="AF196" s="16"/>
      <c r="AG196" s="16"/>
      <c r="AH196" s="16"/>
      <c r="AI196" s="8" t="s">
        <v>83</v>
      </c>
      <c r="AJ196" s="2" t="s">
        <v>84</v>
      </c>
      <c r="AK196" s="2">
        <v>1</v>
      </c>
      <c r="AL196" s="8" t="s">
        <v>1674</v>
      </c>
      <c r="AM196" s="8"/>
      <c r="AN196" s="2">
        <v>2026</v>
      </c>
      <c r="AO196" s="16">
        <v>723</v>
      </c>
      <c r="AP196" s="2">
        <v>2029</v>
      </c>
      <c r="AQ196" s="16">
        <v>1704</v>
      </c>
      <c r="AR196" s="2" t="s">
        <v>86</v>
      </c>
      <c r="AS196" s="16">
        <v>33.1</v>
      </c>
      <c r="AT196" s="2">
        <v>2026</v>
      </c>
      <c r="AU196" s="16">
        <v>421</v>
      </c>
      <c r="AV196" s="2">
        <v>2029</v>
      </c>
      <c r="AW196" s="16">
        <v>516</v>
      </c>
      <c r="AX196" s="2" t="s">
        <v>86</v>
      </c>
      <c r="AY196" s="16">
        <v>7</v>
      </c>
      <c r="AZ196" s="2">
        <v>2026</v>
      </c>
      <c r="BA196" s="16"/>
      <c r="BB196" s="2">
        <v>2029</v>
      </c>
      <c r="BC196" s="16"/>
      <c r="BD196" s="2" t="s">
        <v>86</v>
      </c>
      <c r="BE196" s="16">
        <v>7</v>
      </c>
      <c r="BF196" s="2">
        <v>2026</v>
      </c>
      <c r="BG196" s="16">
        <v>160</v>
      </c>
      <c r="BH196" s="2">
        <v>2029</v>
      </c>
      <c r="BI196" s="16">
        <v>190</v>
      </c>
      <c r="BJ196" s="2" t="s">
        <v>87</v>
      </c>
      <c r="BK196" s="8"/>
      <c r="BL196" s="8" t="str">
        <f>HYPERLINK("https://seichotoushi-hojo.jp/assets/pdf/koufu_3_4ji/outline_12.pdf","PDFを開く")</f>
        <v>PDFを開く</v>
      </c>
      <c r="BM196" s="8" t="s">
        <v>1675</v>
      </c>
      <c r="BN196" s="8" t="s">
        <v>1676</v>
      </c>
      <c r="BO196" s="8" t="s">
        <v>90</v>
      </c>
      <c r="BP196" s="8" t="s">
        <v>90</v>
      </c>
      <c r="BQ196" s="8" t="s">
        <v>91</v>
      </c>
      <c r="BR196" s="8" t="s">
        <v>92</v>
      </c>
    </row>
    <row r="197" spans="1:70" ht="45.95" customHeight="1">
      <c r="A197" s="5" t="s">
        <v>1677</v>
      </c>
      <c r="B197" s="5" t="s">
        <v>1595</v>
      </c>
      <c r="C197" s="5" t="s">
        <v>1678</v>
      </c>
      <c r="D197" s="5" t="s">
        <v>1678</v>
      </c>
      <c r="E197" s="5" t="s">
        <v>75</v>
      </c>
      <c r="F197" s="5" t="s">
        <v>1679</v>
      </c>
      <c r="G197" s="5">
        <v>2</v>
      </c>
      <c r="H197" s="5">
        <v>0</v>
      </c>
      <c r="I197" s="5">
        <v>1</v>
      </c>
      <c r="J197" s="5">
        <v>1</v>
      </c>
      <c r="K197" s="5">
        <v>0</v>
      </c>
      <c r="L197" s="17">
        <v>2200</v>
      </c>
      <c r="M197" s="17">
        <v>670</v>
      </c>
      <c r="N197" s="9" t="s">
        <v>1680</v>
      </c>
      <c r="O197" s="13">
        <f t="shared" ref="O197:O260" si="3">IFERROR(M197/L197*100,"")</f>
        <v>30.454545454545457</v>
      </c>
      <c r="P197" s="5">
        <v>2</v>
      </c>
      <c r="Q197" s="5" t="s">
        <v>77</v>
      </c>
      <c r="R197" s="9" t="s">
        <v>1680</v>
      </c>
      <c r="S197" s="9" t="s">
        <v>1681</v>
      </c>
      <c r="T197" s="9" t="s">
        <v>80</v>
      </c>
      <c r="U197" s="5" t="s">
        <v>81</v>
      </c>
      <c r="V197" s="5"/>
      <c r="W197" s="17"/>
      <c r="X197" s="5">
        <v>2030</v>
      </c>
      <c r="Y197" s="17"/>
      <c r="Z197" s="17">
        <v>80</v>
      </c>
      <c r="AA197" s="5">
        <v>2030</v>
      </c>
      <c r="AB197" s="17">
        <v>30.3</v>
      </c>
      <c r="AC197" s="5">
        <v>2030</v>
      </c>
      <c r="AD197" s="5" t="s">
        <v>82</v>
      </c>
      <c r="AE197" s="17"/>
      <c r="AF197" s="17"/>
      <c r="AG197" s="17"/>
      <c r="AH197" s="17"/>
      <c r="AI197" s="9" t="s">
        <v>83</v>
      </c>
      <c r="AJ197" s="5" t="s">
        <v>84</v>
      </c>
      <c r="AK197" s="5">
        <v>1</v>
      </c>
      <c r="AL197" s="9" t="s">
        <v>1682</v>
      </c>
      <c r="AM197" s="9"/>
      <c r="AN197" s="5">
        <v>2026</v>
      </c>
      <c r="AO197" s="17">
        <v>599</v>
      </c>
      <c r="AP197" s="5">
        <v>2029</v>
      </c>
      <c r="AQ197" s="17">
        <v>1707</v>
      </c>
      <c r="AR197" s="5" t="s">
        <v>86</v>
      </c>
      <c r="AS197" s="17">
        <v>41.8</v>
      </c>
      <c r="AT197" s="5">
        <v>2026</v>
      </c>
      <c r="AU197" s="17">
        <v>407</v>
      </c>
      <c r="AV197" s="5">
        <v>2029</v>
      </c>
      <c r="AW197" s="17">
        <v>512</v>
      </c>
      <c r="AX197" s="5" t="s">
        <v>86</v>
      </c>
      <c r="AY197" s="17">
        <v>8</v>
      </c>
      <c r="AZ197" s="5">
        <v>2026</v>
      </c>
      <c r="BA197" s="17">
        <v>979</v>
      </c>
      <c r="BB197" s="5">
        <v>2029</v>
      </c>
      <c r="BC197" s="17">
        <v>1133</v>
      </c>
      <c r="BD197" s="5" t="s">
        <v>86</v>
      </c>
      <c r="BE197" s="17">
        <v>5</v>
      </c>
      <c r="BF197" s="5">
        <v>2026</v>
      </c>
      <c r="BG197" s="17">
        <v>104</v>
      </c>
      <c r="BH197" s="5">
        <v>2029</v>
      </c>
      <c r="BI197" s="17">
        <v>106</v>
      </c>
      <c r="BJ197" s="5" t="s">
        <v>87</v>
      </c>
      <c r="BK197" s="9"/>
      <c r="BL197" s="9" t="str">
        <f>HYPERLINK("https://seichotoushi-hojo.jp/assets/pdf/koufu_3_4ji/outline_123.pdf","PDFを開く")</f>
        <v>PDFを開く</v>
      </c>
      <c r="BM197" s="9" t="s">
        <v>1683</v>
      </c>
      <c r="BN197" s="9" t="s">
        <v>1684</v>
      </c>
      <c r="BO197" s="9" t="s">
        <v>90</v>
      </c>
      <c r="BP197" s="9" t="s">
        <v>90</v>
      </c>
      <c r="BQ197" s="9" t="s">
        <v>90</v>
      </c>
      <c r="BR197" s="9" t="s">
        <v>92</v>
      </c>
    </row>
    <row r="198" spans="1:70" ht="45.95" customHeight="1">
      <c r="A198" s="2" t="s">
        <v>1685</v>
      </c>
      <c r="B198" s="2" t="s">
        <v>1595</v>
      </c>
      <c r="C198" s="2" t="s">
        <v>1686</v>
      </c>
      <c r="D198" s="2" t="s">
        <v>1686</v>
      </c>
      <c r="E198" s="2" t="s">
        <v>75</v>
      </c>
      <c r="F198" s="2" t="s">
        <v>1687</v>
      </c>
      <c r="G198" s="2">
        <v>2</v>
      </c>
      <c r="H198" s="2">
        <v>0</v>
      </c>
      <c r="I198" s="2">
        <v>1</v>
      </c>
      <c r="J198" s="2">
        <v>1</v>
      </c>
      <c r="K198" s="2">
        <v>0</v>
      </c>
      <c r="L198" s="16">
        <v>4600</v>
      </c>
      <c r="M198" s="16">
        <v>1400</v>
      </c>
      <c r="N198" s="8" t="s">
        <v>108</v>
      </c>
      <c r="O198" s="12">
        <f t="shared" si="3"/>
        <v>30.434782608695656</v>
      </c>
      <c r="P198" s="2">
        <v>2</v>
      </c>
      <c r="Q198" s="2" t="s">
        <v>77</v>
      </c>
      <c r="R198" s="8" t="s">
        <v>1688</v>
      </c>
      <c r="S198" s="8" t="s">
        <v>1689</v>
      </c>
      <c r="T198" s="8" t="s">
        <v>80</v>
      </c>
      <c r="U198" s="2" t="s">
        <v>81</v>
      </c>
      <c r="V198" s="2">
        <v>2024</v>
      </c>
      <c r="W198" s="16"/>
      <c r="X198" s="2">
        <v>2031</v>
      </c>
      <c r="Y198" s="16"/>
      <c r="Z198" s="16">
        <v>73.5</v>
      </c>
      <c r="AA198" s="2">
        <v>2031</v>
      </c>
      <c r="AB198" s="16">
        <v>215.6</v>
      </c>
      <c r="AC198" s="2">
        <v>2031</v>
      </c>
      <c r="AD198" s="2" t="s">
        <v>82</v>
      </c>
      <c r="AE198" s="16"/>
      <c r="AF198" s="16"/>
      <c r="AG198" s="16"/>
      <c r="AH198" s="16"/>
      <c r="AI198" s="8" t="s">
        <v>83</v>
      </c>
      <c r="AJ198" s="2" t="s">
        <v>84</v>
      </c>
      <c r="AK198" s="2">
        <v>1</v>
      </c>
      <c r="AL198" s="8" t="s">
        <v>1690</v>
      </c>
      <c r="AM198" s="8"/>
      <c r="AN198" s="2">
        <v>2028</v>
      </c>
      <c r="AO198" s="16">
        <v>714</v>
      </c>
      <c r="AP198" s="2">
        <v>2031</v>
      </c>
      <c r="AQ198" s="16">
        <v>1222</v>
      </c>
      <c r="AR198" s="2" t="s">
        <v>86</v>
      </c>
      <c r="AS198" s="16">
        <v>19.600000000000001</v>
      </c>
      <c r="AT198" s="2">
        <v>2028</v>
      </c>
      <c r="AU198" s="16">
        <v>456</v>
      </c>
      <c r="AV198" s="2">
        <v>2031</v>
      </c>
      <c r="AW198" s="16">
        <v>543</v>
      </c>
      <c r="AX198" s="2" t="s">
        <v>86</v>
      </c>
      <c r="AY198" s="16">
        <v>6</v>
      </c>
      <c r="AZ198" s="2">
        <v>2028</v>
      </c>
      <c r="BA198" s="16">
        <v>456</v>
      </c>
      <c r="BB198" s="2">
        <v>2031</v>
      </c>
      <c r="BC198" s="16">
        <v>543</v>
      </c>
      <c r="BD198" s="2" t="s">
        <v>86</v>
      </c>
      <c r="BE198" s="16">
        <v>5</v>
      </c>
      <c r="BF198" s="2">
        <v>2028</v>
      </c>
      <c r="BG198" s="16">
        <v>365</v>
      </c>
      <c r="BH198" s="2">
        <v>2031</v>
      </c>
      <c r="BI198" s="16">
        <v>368</v>
      </c>
      <c r="BJ198" s="2" t="s">
        <v>87</v>
      </c>
      <c r="BK198" s="8"/>
      <c r="BL198" s="8" t="str">
        <f>HYPERLINK("https://seichotoushi-hojo.jp/assets/pdf/koufu_3_4ji/outline_128.pdf","PDFを開く")</f>
        <v>PDFを開く</v>
      </c>
      <c r="BM198" s="8" t="s">
        <v>1691</v>
      </c>
      <c r="BN198" s="8" t="s">
        <v>1692</v>
      </c>
      <c r="BO198" s="8" t="s">
        <v>166</v>
      </c>
      <c r="BP198" s="8" t="s">
        <v>166</v>
      </c>
      <c r="BQ198" s="8" t="s">
        <v>90</v>
      </c>
      <c r="BR198" s="8" t="s">
        <v>166</v>
      </c>
    </row>
    <row r="199" spans="1:70" ht="45.95" customHeight="1">
      <c r="A199" s="5" t="s">
        <v>1693</v>
      </c>
      <c r="B199" s="5" t="s">
        <v>1595</v>
      </c>
      <c r="C199" s="5" t="s">
        <v>1694</v>
      </c>
      <c r="D199" s="5" t="s">
        <v>1694</v>
      </c>
      <c r="E199" s="5" t="s">
        <v>95</v>
      </c>
      <c r="F199" s="5"/>
      <c r="G199" s="5">
        <v>2</v>
      </c>
      <c r="H199" s="5">
        <v>0</v>
      </c>
      <c r="I199" s="5">
        <v>1</v>
      </c>
      <c r="J199" s="5">
        <v>1</v>
      </c>
      <c r="K199" s="5">
        <v>0</v>
      </c>
      <c r="L199" s="17">
        <v>1600</v>
      </c>
      <c r="M199" s="17">
        <v>500</v>
      </c>
      <c r="N199" s="9" t="s">
        <v>1695</v>
      </c>
      <c r="O199" s="13">
        <f t="shared" si="3"/>
        <v>31.25</v>
      </c>
      <c r="P199" s="5">
        <v>2</v>
      </c>
      <c r="Q199" s="5" t="s">
        <v>77</v>
      </c>
      <c r="R199" s="9" t="s">
        <v>1696</v>
      </c>
      <c r="S199" s="9" t="s">
        <v>1697</v>
      </c>
      <c r="T199" s="9" t="s">
        <v>80</v>
      </c>
      <c r="U199" s="5" t="s">
        <v>81</v>
      </c>
      <c r="V199" s="5">
        <v>2023</v>
      </c>
      <c r="W199" s="17">
        <v>23</v>
      </c>
      <c r="X199" s="5">
        <v>2029</v>
      </c>
      <c r="Y199" s="17">
        <v>11.8</v>
      </c>
      <c r="Z199" s="17">
        <v>35</v>
      </c>
      <c r="AA199" s="5">
        <v>2029</v>
      </c>
      <c r="AB199" s="17">
        <v>195</v>
      </c>
      <c r="AC199" s="5">
        <v>2029</v>
      </c>
      <c r="AD199" s="5" t="s">
        <v>82</v>
      </c>
      <c r="AE199" s="17"/>
      <c r="AF199" s="17"/>
      <c r="AG199" s="17">
        <v>-10.52692530891961</v>
      </c>
      <c r="AH199" s="17"/>
      <c r="AI199" s="9" t="s">
        <v>200</v>
      </c>
      <c r="AJ199" s="5" t="s">
        <v>84</v>
      </c>
      <c r="AK199" s="5">
        <v>1</v>
      </c>
      <c r="AL199" s="9" t="s">
        <v>1698</v>
      </c>
      <c r="AM199" s="9" t="s">
        <v>1699</v>
      </c>
      <c r="AN199" s="5">
        <v>2026</v>
      </c>
      <c r="AO199" s="17">
        <v>1049</v>
      </c>
      <c r="AP199" s="5">
        <v>2029</v>
      </c>
      <c r="AQ199" s="17">
        <v>2104</v>
      </c>
      <c r="AR199" s="5" t="s">
        <v>86</v>
      </c>
      <c r="AS199" s="17">
        <v>26.1</v>
      </c>
      <c r="AT199" s="5">
        <v>2026</v>
      </c>
      <c r="AU199" s="17">
        <v>489</v>
      </c>
      <c r="AV199" s="5">
        <v>2029</v>
      </c>
      <c r="AW199" s="17">
        <v>590</v>
      </c>
      <c r="AX199" s="5" t="s">
        <v>86</v>
      </c>
      <c r="AY199" s="17">
        <v>6.5</v>
      </c>
      <c r="AZ199" s="5">
        <v>2026</v>
      </c>
      <c r="BA199" s="17"/>
      <c r="BB199" s="5">
        <v>2029</v>
      </c>
      <c r="BC199" s="17"/>
      <c r="BD199" s="5" t="s">
        <v>86</v>
      </c>
      <c r="BE199" s="17">
        <v>6</v>
      </c>
      <c r="BF199" s="5">
        <v>2026</v>
      </c>
      <c r="BG199" s="17">
        <v>94</v>
      </c>
      <c r="BH199" s="5">
        <v>2029</v>
      </c>
      <c r="BI199" s="17">
        <v>100</v>
      </c>
      <c r="BJ199" s="5" t="s">
        <v>87</v>
      </c>
      <c r="BK199" s="9"/>
      <c r="BL199" s="9" t="str">
        <f>HYPERLINK("https://seichotoushi-hojo.jp/assets/pdf/koufu_3_4ji/outline_13.pdf","PDFを開く")</f>
        <v>PDFを開く</v>
      </c>
      <c r="BM199" s="9" t="s">
        <v>1700</v>
      </c>
      <c r="BN199" s="9" t="s">
        <v>1701</v>
      </c>
      <c r="BO199" s="9" t="s">
        <v>90</v>
      </c>
      <c r="BP199" s="9" t="s">
        <v>90</v>
      </c>
      <c r="BQ199" s="9" t="s">
        <v>91</v>
      </c>
      <c r="BR199" s="9" t="s">
        <v>92</v>
      </c>
    </row>
    <row r="200" spans="1:70" ht="45.95" customHeight="1">
      <c r="A200" s="2" t="s">
        <v>1702</v>
      </c>
      <c r="B200" s="2" t="s">
        <v>1595</v>
      </c>
      <c r="C200" s="2" t="s">
        <v>1703</v>
      </c>
      <c r="D200" s="2" t="s">
        <v>1703</v>
      </c>
      <c r="E200" s="2" t="s">
        <v>75</v>
      </c>
      <c r="F200" s="2"/>
      <c r="G200" s="2">
        <v>2</v>
      </c>
      <c r="H200" s="2">
        <v>0</v>
      </c>
      <c r="I200" s="2">
        <v>1</v>
      </c>
      <c r="J200" s="2">
        <v>1</v>
      </c>
      <c r="K200" s="2">
        <v>0</v>
      </c>
      <c r="L200" s="16">
        <v>4700</v>
      </c>
      <c r="M200" s="16">
        <v>1200</v>
      </c>
      <c r="N200" s="8" t="s">
        <v>1704</v>
      </c>
      <c r="O200" s="12">
        <f t="shared" si="3"/>
        <v>25.531914893617021</v>
      </c>
      <c r="P200" s="2">
        <v>2</v>
      </c>
      <c r="Q200" s="2" t="s">
        <v>77</v>
      </c>
      <c r="R200" s="8" t="s">
        <v>1705</v>
      </c>
      <c r="S200" s="8" t="s">
        <v>1706</v>
      </c>
      <c r="T200" s="8" t="s">
        <v>80</v>
      </c>
      <c r="U200" s="2" t="s">
        <v>81</v>
      </c>
      <c r="V200" s="2"/>
      <c r="W200" s="16"/>
      <c r="X200" s="2">
        <v>2031</v>
      </c>
      <c r="Y200" s="16">
        <v>259</v>
      </c>
      <c r="Z200" s="16">
        <v>114</v>
      </c>
      <c r="AA200" s="2">
        <v>2031</v>
      </c>
      <c r="AB200" s="16">
        <v>178.6</v>
      </c>
      <c r="AC200" s="2">
        <v>2031</v>
      </c>
      <c r="AD200" s="2" t="s">
        <v>82</v>
      </c>
      <c r="AE200" s="16"/>
      <c r="AF200" s="16"/>
      <c r="AG200" s="16"/>
      <c r="AH200" s="16"/>
      <c r="AI200" s="8" t="s">
        <v>83</v>
      </c>
      <c r="AJ200" s="2" t="s">
        <v>84</v>
      </c>
      <c r="AK200" s="2">
        <v>1</v>
      </c>
      <c r="AL200" s="8" t="s">
        <v>1707</v>
      </c>
      <c r="AM200" s="8" t="s">
        <v>1708</v>
      </c>
      <c r="AN200" s="2">
        <v>2028</v>
      </c>
      <c r="AO200" s="16">
        <v>1426</v>
      </c>
      <c r="AP200" s="2">
        <v>2031</v>
      </c>
      <c r="AQ200" s="16">
        <v>3192</v>
      </c>
      <c r="AR200" s="2" t="s">
        <v>86</v>
      </c>
      <c r="AS200" s="16">
        <v>30.8</v>
      </c>
      <c r="AT200" s="2">
        <v>2028</v>
      </c>
      <c r="AU200" s="16">
        <v>626</v>
      </c>
      <c r="AV200" s="2">
        <v>2031</v>
      </c>
      <c r="AW200" s="16">
        <v>746</v>
      </c>
      <c r="AX200" s="2" t="s">
        <v>86</v>
      </c>
      <c r="AY200" s="16">
        <v>6</v>
      </c>
      <c r="AZ200" s="2">
        <v>2028</v>
      </c>
      <c r="BA200" s="16"/>
      <c r="BB200" s="2">
        <v>2031</v>
      </c>
      <c r="BC200" s="16"/>
      <c r="BD200" s="2" t="s">
        <v>86</v>
      </c>
      <c r="BE200" s="16">
        <v>6</v>
      </c>
      <c r="BF200" s="2">
        <v>2028</v>
      </c>
      <c r="BG200" s="16">
        <v>192</v>
      </c>
      <c r="BH200" s="2">
        <v>2031</v>
      </c>
      <c r="BI200" s="16">
        <v>198</v>
      </c>
      <c r="BJ200" s="2" t="s">
        <v>87</v>
      </c>
      <c r="BK200" s="8"/>
      <c r="BL200" s="8" t="str">
        <f>HYPERLINK("https://seichotoushi-hojo.jp/assets/pdf/koufu_3_4ji/outline_14.pdf","PDFを開く")</f>
        <v>PDFを開く</v>
      </c>
      <c r="BM200" s="8" t="s">
        <v>1709</v>
      </c>
      <c r="BN200" s="8" t="s">
        <v>1710</v>
      </c>
      <c r="BO200" s="8" t="s">
        <v>90</v>
      </c>
      <c r="BP200" s="8" t="s">
        <v>90</v>
      </c>
      <c r="BQ200" s="8" t="s">
        <v>91</v>
      </c>
      <c r="BR200" s="8" t="s">
        <v>92</v>
      </c>
    </row>
    <row r="201" spans="1:70" ht="45.95" customHeight="1">
      <c r="A201" s="5" t="s">
        <v>1711</v>
      </c>
      <c r="B201" s="5" t="s">
        <v>1595</v>
      </c>
      <c r="C201" s="5" t="s">
        <v>1712</v>
      </c>
      <c r="D201" s="5" t="s">
        <v>1712</v>
      </c>
      <c r="E201" s="5" t="s">
        <v>95</v>
      </c>
      <c r="F201" s="5"/>
      <c r="G201" s="5">
        <v>2</v>
      </c>
      <c r="H201" s="5">
        <v>0</v>
      </c>
      <c r="I201" s="5">
        <v>1</v>
      </c>
      <c r="J201" s="5">
        <v>1</v>
      </c>
      <c r="K201" s="5">
        <v>0</v>
      </c>
      <c r="L201" s="17">
        <v>3200</v>
      </c>
      <c r="M201" s="17">
        <v>1000</v>
      </c>
      <c r="N201" s="9" t="s">
        <v>1713</v>
      </c>
      <c r="O201" s="13">
        <f t="shared" si="3"/>
        <v>31.25</v>
      </c>
      <c r="P201" s="5">
        <v>2</v>
      </c>
      <c r="Q201" s="5" t="s">
        <v>77</v>
      </c>
      <c r="R201" s="9" t="s">
        <v>1714</v>
      </c>
      <c r="S201" s="9" t="s">
        <v>1715</v>
      </c>
      <c r="T201" s="9" t="s">
        <v>80</v>
      </c>
      <c r="U201" s="5" t="s">
        <v>81</v>
      </c>
      <c r="V201" s="5"/>
      <c r="W201" s="17"/>
      <c r="X201" s="5"/>
      <c r="Y201" s="17"/>
      <c r="Z201" s="17">
        <v>45</v>
      </c>
      <c r="AA201" s="5"/>
      <c r="AB201" s="17">
        <v>16.89</v>
      </c>
      <c r="AC201" s="5"/>
      <c r="AD201" s="5" t="s">
        <v>210</v>
      </c>
      <c r="AE201" s="17"/>
      <c r="AF201" s="17"/>
      <c r="AG201" s="17"/>
      <c r="AH201" s="17"/>
      <c r="AI201" s="9" t="s">
        <v>83</v>
      </c>
      <c r="AJ201" s="5" t="s">
        <v>84</v>
      </c>
      <c r="AK201" s="5">
        <v>1</v>
      </c>
      <c r="AL201" s="9" t="s">
        <v>1716</v>
      </c>
      <c r="AM201" s="9"/>
      <c r="AN201" s="5">
        <v>2027</v>
      </c>
      <c r="AO201" s="17">
        <v>605</v>
      </c>
      <c r="AP201" s="5">
        <v>2030</v>
      </c>
      <c r="AQ201" s="17">
        <v>975</v>
      </c>
      <c r="AR201" s="5" t="s">
        <v>86</v>
      </c>
      <c r="AS201" s="17">
        <v>17.2</v>
      </c>
      <c r="AT201" s="5">
        <v>2027</v>
      </c>
      <c r="AU201" s="17">
        <v>357</v>
      </c>
      <c r="AV201" s="5">
        <v>2030</v>
      </c>
      <c r="AW201" s="17">
        <v>442</v>
      </c>
      <c r="AX201" s="5" t="s">
        <v>86</v>
      </c>
      <c r="AY201" s="17">
        <v>7.3</v>
      </c>
      <c r="AZ201" s="5">
        <v>2027</v>
      </c>
      <c r="BA201" s="17">
        <v>1572</v>
      </c>
      <c r="BB201" s="5">
        <v>2030</v>
      </c>
      <c r="BC201" s="17">
        <v>1872</v>
      </c>
      <c r="BD201" s="5" t="s">
        <v>86</v>
      </c>
      <c r="BE201" s="17">
        <v>6</v>
      </c>
      <c r="BF201" s="5">
        <v>2027</v>
      </c>
      <c r="BG201" s="17">
        <v>318</v>
      </c>
      <c r="BH201" s="5">
        <v>2030</v>
      </c>
      <c r="BI201" s="17">
        <v>336</v>
      </c>
      <c r="BJ201" s="5" t="s">
        <v>87</v>
      </c>
      <c r="BK201" s="9"/>
      <c r="BL201" s="9" t="str">
        <f>HYPERLINK("https://seichotoushi-hojo.jp/assets/pdf/koufu_3_4ji/outline_140.pdf","PDFを開く")</f>
        <v>PDFを開く</v>
      </c>
      <c r="BM201" s="9" t="s">
        <v>1717</v>
      </c>
      <c r="BN201" s="9" t="s">
        <v>1718</v>
      </c>
      <c r="BO201" s="9" t="s">
        <v>90</v>
      </c>
      <c r="BP201" s="9" t="s">
        <v>90</v>
      </c>
      <c r="BQ201" s="9" t="s">
        <v>90</v>
      </c>
      <c r="BR201" s="9" t="s">
        <v>92</v>
      </c>
    </row>
    <row r="202" spans="1:70" ht="45.95" customHeight="1">
      <c r="A202" s="2" t="s">
        <v>1719</v>
      </c>
      <c r="B202" s="2" t="s">
        <v>1595</v>
      </c>
      <c r="C202" s="2" t="s">
        <v>1720</v>
      </c>
      <c r="D202" s="2" t="s">
        <v>1720</v>
      </c>
      <c r="E202" s="2" t="s">
        <v>186</v>
      </c>
      <c r="F202" s="2"/>
      <c r="G202" s="2">
        <v>2</v>
      </c>
      <c r="H202" s="2">
        <v>0</v>
      </c>
      <c r="I202" s="2">
        <v>1</v>
      </c>
      <c r="J202" s="2">
        <v>1</v>
      </c>
      <c r="K202" s="2">
        <v>0</v>
      </c>
      <c r="L202" s="16">
        <v>3100</v>
      </c>
      <c r="M202" s="16">
        <v>750</v>
      </c>
      <c r="N202" s="8" t="s">
        <v>1721</v>
      </c>
      <c r="O202" s="12">
        <f t="shared" si="3"/>
        <v>24.193548387096776</v>
      </c>
      <c r="P202" s="2">
        <v>2</v>
      </c>
      <c r="Q202" s="2" t="s">
        <v>77</v>
      </c>
      <c r="R202" s="8" t="s">
        <v>1722</v>
      </c>
      <c r="S202" s="8" t="s">
        <v>1723</v>
      </c>
      <c r="T202" s="8" t="s">
        <v>80</v>
      </c>
      <c r="U202" s="2" t="s">
        <v>81</v>
      </c>
      <c r="V202" s="2"/>
      <c r="W202" s="16"/>
      <c r="X202" s="2">
        <v>2030</v>
      </c>
      <c r="Y202" s="16"/>
      <c r="Z202" s="16">
        <v>27.8</v>
      </c>
      <c r="AA202" s="2">
        <v>2030</v>
      </c>
      <c r="AB202" s="16">
        <v>17.100000000000001</v>
      </c>
      <c r="AC202" s="2">
        <v>2030</v>
      </c>
      <c r="AD202" s="2" t="s">
        <v>82</v>
      </c>
      <c r="AE202" s="16"/>
      <c r="AF202" s="16"/>
      <c r="AG202" s="16"/>
      <c r="AH202" s="16"/>
      <c r="AI202" s="8" t="s">
        <v>83</v>
      </c>
      <c r="AJ202" s="2" t="s">
        <v>84</v>
      </c>
      <c r="AK202" s="2">
        <v>1</v>
      </c>
      <c r="AL202" s="8" t="s">
        <v>1724</v>
      </c>
      <c r="AM202" s="8"/>
      <c r="AN202" s="2">
        <v>2026</v>
      </c>
      <c r="AO202" s="16">
        <v>1076</v>
      </c>
      <c r="AP202" s="2">
        <v>2029</v>
      </c>
      <c r="AQ202" s="16">
        <v>2024</v>
      </c>
      <c r="AR202" s="2" t="s">
        <v>86</v>
      </c>
      <c r="AS202" s="16">
        <v>23.4</v>
      </c>
      <c r="AT202" s="2">
        <v>2026</v>
      </c>
      <c r="AU202" s="16">
        <v>526</v>
      </c>
      <c r="AV202" s="2">
        <v>2029</v>
      </c>
      <c r="AW202" s="16">
        <v>626</v>
      </c>
      <c r="AX202" s="2" t="s">
        <v>86</v>
      </c>
      <c r="AY202" s="16">
        <v>6</v>
      </c>
      <c r="AZ202" s="2">
        <v>2026</v>
      </c>
      <c r="BA202" s="16"/>
      <c r="BB202" s="2">
        <v>2029</v>
      </c>
      <c r="BC202" s="16"/>
      <c r="BD202" s="2" t="s">
        <v>86</v>
      </c>
      <c r="BE202" s="16">
        <v>6</v>
      </c>
      <c r="BF202" s="2">
        <v>2026</v>
      </c>
      <c r="BG202" s="16">
        <v>74</v>
      </c>
      <c r="BH202" s="2">
        <v>2029</v>
      </c>
      <c r="BI202" s="16">
        <v>88</v>
      </c>
      <c r="BJ202" s="2" t="s">
        <v>87</v>
      </c>
      <c r="BK202" s="8"/>
      <c r="BL202" s="8" t="str">
        <f>HYPERLINK("https://seichotoushi-hojo.jp/assets/pdf/koufu_3_4ji/outline_15.pdf","PDFを開く")</f>
        <v>PDFを開く</v>
      </c>
      <c r="BM202" s="8" t="s">
        <v>1725</v>
      </c>
      <c r="BN202" s="8" t="s">
        <v>1726</v>
      </c>
      <c r="BO202" s="8" t="s">
        <v>90</v>
      </c>
      <c r="BP202" s="8" t="s">
        <v>90</v>
      </c>
      <c r="BQ202" s="8" t="s">
        <v>91</v>
      </c>
      <c r="BR202" s="8" t="s">
        <v>92</v>
      </c>
    </row>
    <row r="203" spans="1:70" ht="45.95" customHeight="1">
      <c r="A203" s="5" t="s">
        <v>1727</v>
      </c>
      <c r="B203" s="5" t="s">
        <v>1595</v>
      </c>
      <c r="C203" s="5" t="s">
        <v>1728</v>
      </c>
      <c r="D203" s="5" t="s">
        <v>1728</v>
      </c>
      <c r="E203" s="5" t="s">
        <v>75</v>
      </c>
      <c r="F203" s="5"/>
      <c r="G203" s="5">
        <v>2</v>
      </c>
      <c r="H203" s="5">
        <v>0</v>
      </c>
      <c r="I203" s="5">
        <v>1</v>
      </c>
      <c r="J203" s="5">
        <v>1</v>
      </c>
      <c r="K203" s="5">
        <v>0</v>
      </c>
      <c r="L203" s="17">
        <v>1500</v>
      </c>
      <c r="M203" s="17">
        <v>480</v>
      </c>
      <c r="N203" s="9" t="s">
        <v>532</v>
      </c>
      <c r="O203" s="13">
        <f t="shared" si="3"/>
        <v>32</v>
      </c>
      <c r="P203" s="5">
        <v>2</v>
      </c>
      <c r="Q203" s="5" t="s">
        <v>77</v>
      </c>
      <c r="R203" s="9" t="s">
        <v>1729</v>
      </c>
      <c r="S203" s="9" t="s">
        <v>1730</v>
      </c>
      <c r="T203" s="9" t="s">
        <v>80</v>
      </c>
      <c r="U203" s="5" t="s">
        <v>81</v>
      </c>
      <c r="V203" s="5"/>
      <c r="W203" s="17"/>
      <c r="X203" s="5">
        <v>2030</v>
      </c>
      <c r="Y203" s="17"/>
      <c r="Z203" s="17">
        <v>23</v>
      </c>
      <c r="AA203" s="5">
        <v>2030</v>
      </c>
      <c r="AB203" s="17">
        <v>159.5</v>
      </c>
      <c r="AC203" s="5">
        <v>2030</v>
      </c>
      <c r="AD203" s="5" t="s">
        <v>82</v>
      </c>
      <c r="AE203" s="17"/>
      <c r="AF203" s="17"/>
      <c r="AG203" s="17"/>
      <c r="AH203" s="17"/>
      <c r="AI203" s="9" t="s">
        <v>83</v>
      </c>
      <c r="AJ203" s="5" t="s">
        <v>84</v>
      </c>
      <c r="AK203" s="5">
        <v>1</v>
      </c>
      <c r="AL203" s="9" t="s">
        <v>1731</v>
      </c>
      <c r="AM203" s="9"/>
      <c r="AN203" s="5">
        <v>2026</v>
      </c>
      <c r="AO203" s="17">
        <v>830</v>
      </c>
      <c r="AP203" s="5">
        <v>2029</v>
      </c>
      <c r="AQ203" s="17">
        <v>1136</v>
      </c>
      <c r="AR203" s="5" t="s">
        <v>86</v>
      </c>
      <c r="AS203" s="17">
        <v>12.8</v>
      </c>
      <c r="AT203" s="5">
        <v>2026</v>
      </c>
      <c r="AU203" s="17">
        <v>512</v>
      </c>
      <c r="AV203" s="5">
        <v>2029</v>
      </c>
      <c r="AW203" s="17">
        <v>627</v>
      </c>
      <c r="AX203" s="5" t="s">
        <v>86</v>
      </c>
      <c r="AY203" s="17">
        <v>7</v>
      </c>
      <c r="AZ203" s="5"/>
      <c r="BA203" s="17"/>
      <c r="BB203" s="5"/>
      <c r="BC203" s="17"/>
      <c r="BD203" s="5"/>
      <c r="BE203" s="17"/>
      <c r="BF203" s="5">
        <v>2026</v>
      </c>
      <c r="BG203" s="17">
        <v>55</v>
      </c>
      <c r="BH203" s="5">
        <v>2029</v>
      </c>
      <c r="BI203" s="17">
        <v>60</v>
      </c>
      <c r="BJ203" s="5" t="s">
        <v>87</v>
      </c>
      <c r="BK203" s="9"/>
      <c r="BL203" s="9" t="str">
        <f>HYPERLINK("https://seichotoushi-hojo.jp/assets/pdf/koufu_3_4ji/outline_151.pdf","PDFを開く")</f>
        <v>PDFを開く</v>
      </c>
      <c r="BM203" s="9" t="s">
        <v>1732</v>
      </c>
      <c r="BN203" s="9" t="s">
        <v>1733</v>
      </c>
      <c r="BO203" s="9" t="s">
        <v>113</v>
      </c>
      <c r="BP203" s="9" t="s">
        <v>166</v>
      </c>
      <c r="BQ203" s="9" t="s">
        <v>156</v>
      </c>
      <c r="BR203" s="9" t="s">
        <v>166</v>
      </c>
    </row>
    <row r="204" spans="1:70" ht="45.95" customHeight="1">
      <c r="A204" s="2" t="s">
        <v>1734</v>
      </c>
      <c r="B204" s="2" t="s">
        <v>1595</v>
      </c>
      <c r="C204" s="2" t="s">
        <v>1735</v>
      </c>
      <c r="D204" s="2" t="s">
        <v>1735</v>
      </c>
      <c r="E204" s="2" t="s">
        <v>95</v>
      </c>
      <c r="F204" s="2"/>
      <c r="G204" s="2">
        <v>2</v>
      </c>
      <c r="H204" s="2">
        <v>0</v>
      </c>
      <c r="I204" s="2">
        <v>1</v>
      </c>
      <c r="J204" s="2">
        <v>1</v>
      </c>
      <c r="K204" s="2">
        <v>0</v>
      </c>
      <c r="L204" s="16">
        <v>4100</v>
      </c>
      <c r="M204" s="16">
        <v>1300</v>
      </c>
      <c r="N204" s="8" t="s">
        <v>1038</v>
      </c>
      <c r="O204" s="12">
        <f t="shared" si="3"/>
        <v>31.707317073170731</v>
      </c>
      <c r="P204" s="2">
        <v>2</v>
      </c>
      <c r="Q204" s="2" t="s">
        <v>77</v>
      </c>
      <c r="R204" s="8" t="s">
        <v>1038</v>
      </c>
      <c r="S204" s="8" t="s">
        <v>1736</v>
      </c>
      <c r="T204" s="8" t="s">
        <v>80</v>
      </c>
      <c r="U204" s="2" t="s">
        <v>81</v>
      </c>
      <c r="V204" s="2"/>
      <c r="W204" s="16"/>
      <c r="X204" s="2">
        <v>2030</v>
      </c>
      <c r="Y204" s="16"/>
      <c r="Z204" s="16">
        <v>37.5</v>
      </c>
      <c r="AA204" s="2">
        <v>2030</v>
      </c>
      <c r="AB204" s="16">
        <v>75</v>
      </c>
      <c r="AC204" s="2">
        <v>2030</v>
      </c>
      <c r="AD204" s="2" t="s">
        <v>82</v>
      </c>
      <c r="AE204" s="16"/>
      <c r="AF204" s="16"/>
      <c r="AG204" s="16"/>
      <c r="AH204" s="16"/>
      <c r="AI204" s="8" t="s">
        <v>83</v>
      </c>
      <c r="AJ204" s="2" t="s">
        <v>84</v>
      </c>
      <c r="AK204" s="2">
        <v>1</v>
      </c>
      <c r="AL204" s="8" t="s">
        <v>1737</v>
      </c>
      <c r="AM204" s="8"/>
      <c r="AN204" s="2">
        <v>2027</v>
      </c>
      <c r="AO204" s="16">
        <v>1439</v>
      </c>
      <c r="AP204" s="2">
        <v>2030</v>
      </c>
      <c r="AQ204" s="16">
        <v>2258</v>
      </c>
      <c r="AR204" s="2" t="s">
        <v>86</v>
      </c>
      <c r="AS204" s="16">
        <v>16.2</v>
      </c>
      <c r="AT204" s="2">
        <v>2027</v>
      </c>
      <c r="AU204" s="16">
        <v>424</v>
      </c>
      <c r="AV204" s="2">
        <v>2030</v>
      </c>
      <c r="AW204" s="16">
        <v>508</v>
      </c>
      <c r="AX204" s="2" t="s">
        <v>86</v>
      </c>
      <c r="AY204" s="16">
        <v>6.2</v>
      </c>
      <c r="AZ204" s="2">
        <v>2027</v>
      </c>
      <c r="BA204" s="16"/>
      <c r="BB204" s="2">
        <v>2030</v>
      </c>
      <c r="BC204" s="16"/>
      <c r="BD204" s="2" t="s">
        <v>86</v>
      </c>
      <c r="BE204" s="16">
        <v>6.2</v>
      </c>
      <c r="BF204" s="2">
        <v>2027</v>
      </c>
      <c r="BG204" s="16">
        <v>75</v>
      </c>
      <c r="BH204" s="2">
        <v>2030</v>
      </c>
      <c r="BI204" s="16">
        <v>111</v>
      </c>
      <c r="BJ204" s="2" t="s">
        <v>87</v>
      </c>
      <c r="BK204" s="8"/>
      <c r="BL204" s="8" t="str">
        <f>HYPERLINK("https://seichotoushi-hojo.jp/assets/pdf/koufu_3_4ji/outline_16.pdf","PDFを開く")</f>
        <v>PDFを開く</v>
      </c>
      <c r="BM204" s="8" t="s">
        <v>1738</v>
      </c>
      <c r="BN204" s="8" t="s">
        <v>1739</v>
      </c>
      <c r="BO204" s="8" t="s">
        <v>90</v>
      </c>
      <c r="BP204" s="8" t="s">
        <v>90</v>
      </c>
      <c r="BQ204" s="8" t="s">
        <v>91</v>
      </c>
      <c r="BR204" s="8" t="s">
        <v>92</v>
      </c>
    </row>
    <row r="205" spans="1:70" ht="45.95" customHeight="1">
      <c r="A205" s="5" t="s">
        <v>1740</v>
      </c>
      <c r="B205" s="5" t="s">
        <v>1595</v>
      </c>
      <c r="C205" s="5" t="s">
        <v>1741</v>
      </c>
      <c r="D205" s="5" t="s">
        <v>1741</v>
      </c>
      <c r="E205" s="5" t="s">
        <v>75</v>
      </c>
      <c r="F205" s="5"/>
      <c r="G205" s="5">
        <v>2</v>
      </c>
      <c r="H205" s="5">
        <v>0</v>
      </c>
      <c r="I205" s="5">
        <v>1</v>
      </c>
      <c r="J205" s="5">
        <v>1</v>
      </c>
      <c r="K205" s="5">
        <v>0</v>
      </c>
      <c r="L205" s="17">
        <v>8100</v>
      </c>
      <c r="M205" s="17">
        <v>1700</v>
      </c>
      <c r="N205" s="9" t="s">
        <v>1742</v>
      </c>
      <c r="O205" s="13">
        <f t="shared" si="3"/>
        <v>20.987654320987652</v>
      </c>
      <c r="P205" s="5">
        <v>2</v>
      </c>
      <c r="Q205" s="5" t="s">
        <v>77</v>
      </c>
      <c r="R205" s="9" t="s">
        <v>1743</v>
      </c>
      <c r="S205" s="9" t="s">
        <v>1744</v>
      </c>
      <c r="T205" s="9" t="s">
        <v>80</v>
      </c>
      <c r="U205" s="5" t="s">
        <v>81</v>
      </c>
      <c r="V205" s="5">
        <v>2022</v>
      </c>
      <c r="W205" s="17"/>
      <c r="X205" s="5">
        <v>2031</v>
      </c>
      <c r="Y205" s="17"/>
      <c r="Z205" s="17">
        <v>53</v>
      </c>
      <c r="AA205" s="5">
        <v>2031</v>
      </c>
      <c r="AB205" s="17">
        <v>163</v>
      </c>
      <c r="AC205" s="5">
        <v>2031</v>
      </c>
      <c r="AD205" s="5" t="s">
        <v>82</v>
      </c>
      <c r="AE205" s="17"/>
      <c r="AF205" s="17"/>
      <c r="AG205" s="17"/>
      <c r="AH205" s="17"/>
      <c r="AI205" s="9" t="s">
        <v>83</v>
      </c>
      <c r="AJ205" s="5" t="s">
        <v>84</v>
      </c>
      <c r="AK205" s="5">
        <v>1</v>
      </c>
      <c r="AL205" s="9" t="s">
        <v>1745</v>
      </c>
      <c r="AM205" s="9"/>
      <c r="AN205" s="5">
        <v>2028</v>
      </c>
      <c r="AO205" s="17">
        <v>476</v>
      </c>
      <c r="AP205" s="5">
        <v>2031</v>
      </c>
      <c r="AQ205" s="17">
        <v>1647</v>
      </c>
      <c r="AR205" s="5" t="s">
        <v>86</v>
      </c>
      <c r="AS205" s="17">
        <v>49.5</v>
      </c>
      <c r="AT205" s="5">
        <v>2028</v>
      </c>
      <c r="AU205" s="17">
        <v>427</v>
      </c>
      <c r="AV205" s="5">
        <v>2031</v>
      </c>
      <c r="AW205" s="17">
        <v>495</v>
      </c>
      <c r="AX205" s="5" t="s">
        <v>86</v>
      </c>
      <c r="AY205" s="17">
        <v>5</v>
      </c>
      <c r="AZ205" s="5"/>
      <c r="BA205" s="17"/>
      <c r="BB205" s="5"/>
      <c r="BC205" s="17"/>
      <c r="BD205" s="5"/>
      <c r="BE205" s="17"/>
      <c r="BF205" s="5">
        <v>2028</v>
      </c>
      <c r="BG205" s="17">
        <v>140</v>
      </c>
      <c r="BH205" s="5">
        <v>2031</v>
      </c>
      <c r="BI205" s="17">
        <v>268</v>
      </c>
      <c r="BJ205" s="5" t="s">
        <v>87</v>
      </c>
      <c r="BK205" s="9"/>
      <c r="BL205" s="9" t="str">
        <f>HYPERLINK("https://seichotoushi-hojo.jp/assets/pdf/koufu_3_4ji/outline_17.pdf","PDFを開く")</f>
        <v>PDFを開く</v>
      </c>
      <c r="BM205" s="9" t="s">
        <v>1746</v>
      </c>
      <c r="BN205" s="9" t="s">
        <v>1747</v>
      </c>
      <c r="BO205" s="9" t="s">
        <v>113</v>
      </c>
      <c r="BP205" s="9" t="s">
        <v>90</v>
      </c>
      <c r="BQ205" s="9" t="s">
        <v>156</v>
      </c>
      <c r="BR205" s="9" t="s">
        <v>166</v>
      </c>
    </row>
    <row r="206" spans="1:70" ht="45.95" customHeight="1">
      <c r="A206" s="2" t="s">
        <v>1748</v>
      </c>
      <c r="B206" s="2" t="s">
        <v>1595</v>
      </c>
      <c r="C206" s="2" t="s">
        <v>1749</v>
      </c>
      <c r="D206" s="2" t="s">
        <v>1749</v>
      </c>
      <c r="E206" s="2" t="s">
        <v>75</v>
      </c>
      <c r="F206" s="2"/>
      <c r="G206" s="2">
        <v>2</v>
      </c>
      <c r="H206" s="2">
        <v>0</v>
      </c>
      <c r="I206" s="2">
        <v>1</v>
      </c>
      <c r="J206" s="2">
        <v>1</v>
      </c>
      <c r="K206" s="2">
        <v>0</v>
      </c>
      <c r="L206" s="16">
        <v>6100</v>
      </c>
      <c r="M206" s="16">
        <v>2000</v>
      </c>
      <c r="N206" s="8" t="s">
        <v>1750</v>
      </c>
      <c r="O206" s="12">
        <f t="shared" si="3"/>
        <v>32.786885245901637</v>
      </c>
      <c r="P206" s="2">
        <v>2</v>
      </c>
      <c r="Q206" s="2" t="s">
        <v>77</v>
      </c>
      <c r="R206" s="8" t="s">
        <v>1750</v>
      </c>
      <c r="S206" s="8" t="s">
        <v>1751</v>
      </c>
      <c r="T206" s="8" t="s">
        <v>80</v>
      </c>
      <c r="U206" s="2" t="s">
        <v>81</v>
      </c>
      <c r="V206" s="2"/>
      <c r="W206" s="16"/>
      <c r="X206" s="2">
        <v>2031</v>
      </c>
      <c r="Y206" s="16"/>
      <c r="Z206" s="16">
        <v>129</v>
      </c>
      <c r="AA206" s="2">
        <v>2031</v>
      </c>
      <c r="AB206" s="16">
        <v>155</v>
      </c>
      <c r="AC206" s="2">
        <v>2031</v>
      </c>
      <c r="AD206" s="2" t="s">
        <v>82</v>
      </c>
      <c r="AE206" s="16"/>
      <c r="AF206" s="16"/>
      <c r="AG206" s="16"/>
      <c r="AH206" s="16"/>
      <c r="AI206" s="8" t="s">
        <v>83</v>
      </c>
      <c r="AJ206" s="2" t="s">
        <v>84</v>
      </c>
      <c r="AK206" s="2">
        <v>1</v>
      </c>
      <c r="AL206" s="8" t="s">
        <v>1752</v>
      </c>
      <c r="AM206" s="8"/>
      <c r="AN206" s="2">
        <v>2028</v>
      </c>
      <c r="AO206" s="16">
        <v>1088</v>
      </c>
      <c r="AP206" s="2">
        <v>2031</v>
      </c>
      <c r="AQ206" s="16">
        <v>2888</v>
      </c>
      <c r="AR206" s="2" t="s">
        <v>86</v>
      </c>
      <c r="AS206" s="16">
        <v>38.5</v>
      </c>
      <c r="AT206" s="2">
        <v>2028</v>
      </c>
      <c r="AU206" s="16">
        <v>444</v>
      </c>
      <c r="AV206" s="2">
        <v>2031</v>
      </c>
      <c r="AW206" s="16">
        <v>559</v>
      </c>
      <c r="AX206" s="2" t="s">
        <v>86</v>
      </c>
      <c r="AY206" s="16">
        <v>8</v>
      </c>
      <c r="AZ206" s="2">
        <v>2028</v>
      </c>
      <c r="BA206" s="16"/>
      <c r="BB206" s="2">
        <v>2031</v>
      </c>
      <c r="BC206" s="16"/>
      <c r="BD206" s="2" t="s">
        <v>86</v>
      </c>
      <c r="BE206" s="16">
        <v>6</v>
      </c>
      <c r="BF206" s="2">
        <v>2028</v>
      </c>
      <c r="BG206" s="16">
        <v>30</v>
      </c>
      <c r="BH206" s="2">
        <v>2031</v>
      </c>
      <c r="BI206" s="16">
        <v>130</v>
      </c>
      <c r="BJ206" s="2" t="s">
        <v>87</v>
      </c>
      <c r="BK206" s="8" t="s">
        <v>192</v>
      </c>
      <c r="BL206" s="8" t="str">
        <f>HYPERLINK("https://seichotoushi-hojo.jp/assets/pdf/koufu_3_4ji/outline_173.pdf","PDFを開く")</f>
        <v>PDFを開く</v>
      </c>
      <c r="BM206" s="8" t="s">
        <v>1753</v>
      </c>
      <c r="BN206" s="8" t="s">
        <v>1754</v>
      </c>
      <c r="BO206" s="8" t="s">
        <v>90</v>
      </c>
      <c r="BP206" s="8" t="s">
        <v>90</v>
      </c>
      <c r="BQ206" s="8" t="s">
        <v>91</v>
      </c>
      <c r="BR206" s="8" t="s">
        <v>92</v>
      </c>
    </row>
    <row r="207" spans="1:70" ht="45.95" customHeight="1">
      <c r="A207" s="5" t="s">
        <v>1755</v>
      </c>
      <c r="B207" s="5" t="s">
        <v>1595</v>
      </c>
      <c r="C207" s="5" t="s">
        <v>1756</v>
      </c>
      <c r="D207" s="5" t="s">
        <v>1756</v>
      </c>
      <c r="E207" s="5" t="s">
        <v>107</v>
      </c>
      <c r="F207" s="5"/>
      <c r="G207" s="5">
        <v>2</v>
      </c>
      <c r="H207" s="5">
        <v>0</v>
      </c>
      <c r="I207" s="5">
        <v>1</v>
      </c>
      <c r="J207" s="5">
        <v>1</v>
      </c>
      <c r="K207" s="5">
        <v>0</v>
      </c>
      <c r="L207" s="17">
        <v>4600</v>
      </c>
      <c r="M207" s="17">
        <v>1400</v>
      </c>
      <c r="N207" s="9" t="s">
        <v>108</v>
      </c>
      <c r="O207" s="13">
        <f t="shared" si="3"/>
        <v>30.434782608695656</v>
      </c>
      <c r="P207" s="5">
        <v>2</v>
      </c>
      <c r="Q207" s="5" t="s">
        <v>77</v>
      </c>
      <c r="R207" s="9" t="s">
        <v>108</v>
      </c>
      <c r="S207" s="9" t="s">
        <v>1757</v>
      </c>
      <c r="T207" s="9" t="s">
        <v>80</v>
      </c>
      <c r="U207" s="5" t="s">
        <v>81</v>
      </c>
      <c r="V207" s="5"/>
      <c r="W207" s="17"/>
      <c r="X207" s="5">
        <v>2030</v>
      </c>
      <c r="Y207" s="17"/>
      <c r="Z207" s="17">
        <v>92</v>
      </c>
      <c r="AA207" s="5">
        <v>2030</v>
      </c>
      <c r="AB207" s="17">
        <v>246</v>
      </c>
      <c r="AC207" s="5">
        <v>2030</v>
      </c>
      <c r="AD207" s="5" t="s">
        <v>82</v>
      </c>
      <c r="AE207" s="17"/>
      <c r="AF207" s="17"/>
      <c r="AG207" s="17"/>
      <c r="AH207" s="17"/>
      <c r="AI207" s="9" t="s">
        <v>83</v>
      </c>
      <c r="AJ207" s="5" t="s">
        <v>84</v>
      </c>
      <c r="AK207" s="5">
        <v>1</v>
      </c>
      <c r="AL207" s="9" t="s">
        <v>1758</v>
      </c>
      <c r="AM207" s="9"/>
      <c r="AN207" s="5">
        <v>2027</v>
      </c>
      <c r="AO207" s="17">
        <v>1195</v>
      </c>
      <c r="AP207" s="5">
        <v>2030</v>
      </c>
      <c r="AQ207" s="17">
        <v>2379</v>
      </c>
      <c r="AR207" s="5" t="s">
        <v>86</v>
      </c>
      <c r="AS207" s="17">
        <v>25.8</v>
      </c>
      <c r="AT207" s="5">
        <v>2027</v>
      </c>
      <c r="AU207" s="17">
        <v>493</v>
      </c>
      <c r="AV207" s="5">
        <v>2030</v>
      </c>
      <c r="AW207" s="17">
        <v>596</v>
      </c>
      <c r="AX207" s="5" t="s">
        <v>86</v>
      </c>
      <c r="AY207" s="17">
        <v>6.5</v>
      </c>
      <c r="AZ207" s="5">
        <v>2027</v>
      </c>
      <c r="BA207" s="17"/>
      <c r="BB207" s="5">
        <v>2030</v>
      </c>
      <c r="BC207" s="17"/>
      <c r="BD207" s="5" t="s">
        <v>86</v>
      </c>
      <c r="BE207" s="17">
        <v>6.5</v>
      </c>
      <c r="BF207" s="5">
        <v>2027</v>
      </c>
      <c r="BG207" s="17">
        <v>155</v>
      </c>
      <c r="BH207" s="5">
        <v>2030</v>
      </c>
      <c r="BI207" s="17">
        <v>191</v>
      </c>
      <c r="BJ207" s="5" t="s">
        <v>87</v>
      </c>
      <c r="BK207" s="9"/>
      <c r="BL207" s="9" t="str">
        <f>HYPERLINK("https://seichotoushi-hojo.jp/assets/pdf/koufu_3_4ji/outline_18.pdf","PDFを開く")</f>
        <v>PDFを開く</v>
      </c>
      <c r="BM207" s="9" t="s">
        <v>1759</v>
      </c>
      <c r="BN207" s="9" t="s">
        <v>1760</v>
      </c>
      <c r="BO207" s="9" t="s">
        <v>90</v>
      </c>
      <c r="BP207" s="9" t="s">
        <v>90</v>
      </c>
      <c r="BQ207" s="9" t="s">
        <v>91</v>
      </c>
      <c r="BR207" s="9" t="s">
        <v>92</v>
      </c>
    </row>
    <row r="208" spans="1:70" ht="45.95" customHeight="1">
      <c r="A208" s="2" t="s">
        <v>1761</v>
      </c>
      <c r="B208" s="2" t="s">
        <v>1595</v>
      </c>
      <c r="C208" s="2" t="s">
        <v>1762</v>
      </c>
      <c r="D208" s="2" t="s">
        <v>1762</v>
      </c>
      <c r="E208" s="2" t="s">
        <v>75</v>
      </c>
      <c r="F208" s="2"/>
      <c r="G208" s="2">
        <v>2</v>
      </c>
      <c r="H208" s="2">
        <v>0</v>
      </c>
      <c r="I208" s="2">
        <v>1</v>
      </c>
      <c r="J208" s="2">
        <v>1</v>
      </c>
      <c r="K208" s="2">
        <v>0</v>
      </c>
      <c r="L208" s="16">
        <v>1100</v>
      </c>
      <c r="M208" s="16">
        <v>280</v>
      </c>
      <c r="N208" s="8" t="s">
        <v>1763</v>
      </c>
      <c r="O208" s="12">
        <f t="shared" si="3"/>
        <v>25.454545454545453</v>
      </c>
      <c r="P208" s="2">
        <v>2</v>
      </c>
      <c r="Q208" s="2" t="s">
        <v>77</v>
      </c>
      <c r="R208" s="8" t="s">
        <v>1764</v>
      </c>
      <c r="S208" s="8" t="s">
        <v>1765</v>
      </c>
      <c r="T208" s="8" t="s">
        <v>80</v>
      </c>
      <c r="U208" s="2" t="s">
        <v>81</v>
      </c>
      <c r="V208" s="2"/>
      <c r="W208" s="16"/>
      <c r="X208" s="2"/>
      <c r="Y208" s="16"/>
      <c r="Z208" s="16">
        <v>11.7</v>
      </c>
      <c r="AA208" s="2"/>
      <c r="AB208" s="16">
        <v>179</v>
      </c>
      <c r="AC208" s="2"/>
      <c r="AD208" s="2" t="s">
        <v>82</v>
      </c>
      <c r="AE208" s="16"/>
      <c r="AF208" s="16"/>
      <c r="AG208" s="16"/>
      <c r="AH208" s="16">
        <v>2.79</v>
      </c>
      <c r="AI208" s="8" t="s">
        <v>83</v>
      </c>
      <c r="AJ208" s="2" t="s">
        <v>84</v>
      </c>
      <c r="AK208" s="2">
        <v>1</v>
      </c>
      <c r="AL208" s="8" t="s">
        <v>1766</v>
      </c>
      <c r="AM208" s="8"/>
      <c r="AN208" s="2">
        <v>2027</v>
      </c>
      <c r="AO208" s="16">
        <v>949</v>
      </c>
      <c r="AP208" s="2">
        <v>2030</v>
      </c>
      <c r="AQ208" s="16">
        <v>2294</v>
      </c>
      <c r="AR208" s="2" t="s">
        <v>86</v>
      </c>
      <c r="AS208" s="16">
        <v>34.200000000000003</v>
      </c>
      <c r="AT208" s="2">
        <v>2027</v>
      </c>
      <c r="AU208" s="16">
        <v>404</v>
      </c>
      <c r="AV208" s="2">
        <v>2030</v>
      </c>
      <c r="AW208" s="16">
        <v>482</v>
      </c>
      <c r="AX208" s="2" t="s">
        <v>86</v>
      </c>
      <c r="AY208" s="16">
        <v>6</v>
      </c>
      <c r="AZ208" s="2"/>
      <c r="BA208" s="16"/>
      <c r="BB208" s="2"/>
      <c r="BC208" s="16"/>
      <c r="BD208" s="2"/>
      <c r="BE208" s="16"/>
      <c r="BF208" s="2">
        <v>2027</v>
      </c>
      <c r="BG208" s="16">
        <v>7</v>
      </c>
      <c r="BH208" s="2">
        <v>2030</v>
      </c>
      <c r="BI208" s="16">
        <v>27</v>
      </c>
      <c r="BJ208" s="2" t="s">
        <v>87</v>
      </c>
      <c r="BK208" s="8"/>
      <c r="BL208" s="8" t="str">
        <f>HYPERLINK("https://seichotoushi-hojo.jp/assets/pdf/koufu_3_4ji/outline_185.pdf","PDFを開く")</f>
        <v>PDFを開く</v>
      </c>
      <c r="BM208" s="8" t="s">
        <v>1767</v>
      </c>
      <c r="BN208" s="8" t="s">
        <v>1768</v>
      </c>
      <c r="BO208" s="8" t="s">
        <v>90</v>
      </c>
      <c r="BP208" s="8" t="s">
        <v>90</v>
      </c>
      <c r="BQ208" s="8" t="s">
        <v>156</v>
      </c>
      <c r="BR208" s="8" t="s">
        <v>92</v>
      </c>
    </row>
    <row r="209" spans="1:70" ht="45.95" customHeight="1">
      <c r="A209" s="5" t="s">
        <v>1769</v>
      </c>
      <c r="B209" s="5" t="s">
        <v>1595</v>
      </c>
      <c r="C209" s="5" t="s">
        <v>1770</v>
      </c>
      <c r="D209" s="5" t="s">
        <v>1770</v>
      </c>
      <c r="E209" s="5" t="s">
        <v>186</v>
      </c>
      <c r="F209" s="5"/>
      <c r="G209" s="5">
        <v>2</v>
      </c>
      <c r="H209" s="5">
        <v>0</v>
      </c>
      <c r="I209" s="5">
        <v>1</v>
      </c>
      <c r="J209" s="5">
        <v>1</v>
      </c>
      <c r="K209" s="5">
        <v>0</v>
      </c>
      <c r="L209" s="17">
        <v>3700</v>
      </c>
      <c r="M209" s="17">
        <v>960</v>
      </c>
      <c r="N209" s="9" t="s">
        <v>1771</v>
      </c>
      <c r="O209" s="13">
        <f t="shared" si="3"/>
        <v>25.945945945945947</v>
      </c>
      <c r="P209" s="5">
        <v>2</v>
      </c>
      <c r="Q209" s="5" t="s">
        <v>77</v>
      </c>
      <c r="R209" s="9" t="s">
        <v>1771</v>
      </c>
      <c r="S209" s="9" t="s">
        <v>1772</v>
      </c>
      <c r="T209" s="9" t="s">
        <v>80</v>
      </c>
      <c r="U209" s="5" t="s">
        <v>81</v>
      </c>
      <c r="V209" s="5"/>
      <c r="W209" s="17"/>
      <c r="X209" s="5">
        <v>2030</v>
      </c>
      <c r="Y209" s="17"/>
      <c r="Z209" s="17">
        <v>235</v>
      </c>
      <c r="AA209" s="5">
        <v>2030</v>
      </c>
      <c r="AB209" s="17"/>
      <c r="AC209" s="5"/>
      <c r="AD209" s="5"/>
      <c r="AE209" s="17"/>
      <c r="AF209" s="17"/>
      <c r="AG209" s="17"/>
      <c r="AH209" s="17">
        <v>333</v>
      </c>
      <c r="AI209" s="9" t="s">
        <v>83</v>
      </c>
      <c r="AJ209" s="5" t="s">
        <v>84</v>
      </c>
      <c r="AK209" s="5">
        <v>1</v>
      </c>
      <c r="AL209" s="9" t="s">
        <v>1773</v>
      </c>
      <c r="AM209" s="9"/>
      <c r="AN209" s="5">
        <v>2027</v>
      </c>
      <c r="AO209" s="17">
        <v>7685</v>
      </c>
      <c r="AP209" s="5">
        <v>2030</v>
      </c>
      <c r="AQ209" s="17">
        <v>24892</v>
      </c>
      <c r="AR209" s="5" t="s">
        <v>86</v>
      </c>
      <c r="AS209" s="17">
        <v>48</v>
      </c>
      <c r="AT209" s="5">
        <v>2027</v>
      </c>
      <c r="AU209" s="17">
        <v>842</v>
      </c>
      <c r="AV209" s="5">
        <v>2030</v>
      </c>
      <c r="AW209" s="17">
        <v>1054</v>
      </c>
      <c r="AX209" s="5" t="s">
        <v>86</v>
      </c>
      <c r="AY209" s="17">
        <v>7.8</v>
      </c>
      <c r="AZ209" s="5">
        <v>2027</v>
      </c>
      <c r="BA209" s="17"/>
      <c r="BB209" s="5">
        <v>2030</v>
      </c>
      <c r="BC209" s="17"/>
      <c r="BD209" s="5" t="s">
        <v>86</v>
      </c>
      <c r="BE209" s="17">
        <v>5</v>
      </c>
      <c r="BF209" s="5">
        <v>2027</v>
      </c>
      <c r="BG209" s="17">
        <v>38</v>
      </c>
      <c r="BH209" s="5">
        <v>2030</v>
      </c>
      <c r="BI209" s="17">
        <v>66</v>
      </c>
      <c r="BJ209" s="5" t="s">
        <v>87</v>
      </c>
      <c r="BK209" s="9"/>
      <c r="BL209" s="9" t="str">
        <f>HYPERLINK("https://seichotoushi-hojo.jp/assets/pdf/koufu_3_4ji/outline_186.pdf","PDFを開く")</f>
        <v>PDFを開く</v>
      </c>
      <c r="BM209" s="9" t="s">
        <v>1774</v>
      </c>
      <c r="BN209" s="9" t="s">
        <v>1775</v>
      </c>
      <c r="BO209" s="9" t="s">
        <v>90</v>
      </c>
      <c r="BP209" s="9" t="s">
        <v>90</v>
      </c>
      <c r="BQ209" s="9" t="s">
        <v>91</v>
      </c>
      <c r="BR209" s="9" t="s">
        <v>92</v>
      </c>
    </row>
    <row r="210" spans="1:70" ht="45.95" customHeight="1">
      <c r="A210" s="2" t="s">
        <v>1776</v>
      </c>
      <c r="B210" s="2" t="s">
        <v>1595</v>
      </c>
      <c r="C210" s="2" t="s">
        <v>1777</v>
      </c>
      <c r="D210" s="2" t="s">
        <v>1777</v>
      </c>
      <c r="E210" s="2" t="s">
        <v>75</v>
      </c>
      <c r="F210" s="2"/>
      <c r="G210" s="2">
        <v>2</v>
      </c>
      <c r="H210" s="2">
        <v>0</v>
      </c>
      <c r="I210" s="2">
        <v>1</v>
      </c>
      <c r="J210" s="2">
        <v>1</v>
      </c>
      <c r="K210" s="2">
        <v>0</v>
      </c>
      <c r="L210" s="16">
        <v>17600</v>
      </c>
      <c r="M210" s="16">
        <v>5000</v>
      </c>
      <c r="N210" s="8" t="s">
        <v>1778</v>
      </c>
      <c r="O210" s="12">
        <f t="shared" si="3"/>
        <v>28.40909090909091</v>
      </c>
      <c r="P210" s="2">
        <v>2</v>
      </c>
      <c r="Q210" s="2" t="s">
        <v>77</v>
      </c>
      <c r="R210" s="8" t="s">
        <v>1779</v>
      </c>
      <c r="S210" s="8" t="s">
        <v>1780</v>
      </c>
      <c r="T210" s="8" t="s">
        <v>80</v>
      </c>
      <c r="U210" s="2" t="s">
        <v>81</v>
      </c>
      <c r="V210" s="2"/>
      <c r="W210" s="16"/>
      <c r="X210" s="2">
        <v>2030</v>
      </c>
      <c r="Y210" s="16"/>
      <c r="Z210" s="16">
        <v>159</v>
      </c>
      <c r="AA210" s="2">
        <v>2030</v>
      </c>
      <c r="AB210" s="16">
        <v>42</v>
      </c>
      <c r="AC210" s="2">
        <v>2030</v>
      </c>
      <c r="AD210" s="2" t="s">
        <v>82</v>
      </c>
      <c r="AE210" s="16"/>
      <c r="AF210" s="16"/>
      <c r="AG210" s="16"/>
      <c r="AH210" s="16"/>
      <c r="AI210" s="8" t="s">
        <v>83</v>
      </c>
      <c r="AJ210" s="2" t="s">
        <v>84</v>
      </c>
      <c r="AK210" s="2">
        <v>1</v>
      </c>
      <c r="AL210" s="8" t="s">
        <v>1781</v>
      </c>
      <c r="AM210" s="8"/>
      <c r="AN210" s="2">
        <v>2027</v>
      </c>
      <c r="AO210" s="16">
        <v>3220</v>
      </c>
      <c r="AP210" s="2">
        <v>2030</v>
      </c>
      <c r="AQ210" s="16">
        <v>14857</v>
      </c>
      <c r="AR210" s="2" t="s">
        <v>86</v>
      </c>
      <c r="AS210" s="16">
        <v>66.5</v>
      </c>
      <c r="AT210" s="2">
        <v>2027</v>
      </c>
      <c r="AU210" s="16">
        <v>764</v>
      </c>
      <c r="AV210" s="2">
        <v>2030</v>
      </c>
      <c r="AW210" s="16">
        <v>1017</v>
      </c>
      <c r="AX210" s="2" t="s">
        <v>86</v>
      </c>
      <c r="AY210" s="16">
        <v>10</v>
      </c>
      <c r="AZ210" s="2">
        <v>2027</v>
      </c>
      <c r="BA210" s="16"/>
      <c r="BB210" s="2">
        <v>2030</v>
      </c>
      <c r="BC210" s="16"/>
      <c r="BD210" s="2" t="s">
        <v>86</v>
      </c>
      <c r="BE210" s="16">
        <v>5</v>
      </c>
      <c r="BF210" s="2">
        <v>2027</v>
      </c>
      <c r="BG210" s="16">
        <v>47</v>
      </c>
      <c r="BH210" s="2">
        <v>2030</v>
      </c>
      <c r="BI210" s="16">
        <v>60</v>
      </c>
      <c r="BJ210" s="2" t="s">
        <v>87</v>
      </c>
      <c r="BK210" s="8"/>
      <c r="BL210" s="8" t="str">
        <f>HYPERLINK("https://seichotoushi-hojo.jp/assets/pdf/koufu_3_4ji/outline_188.pdf","PDFを開く")</f>
        <v>PDFを開く</v>
      </c>
      <c r="BM210" s="8" t="s">
        <v>1782</v>
      </c>
      <c r="BN210" s="8" t="s">
        <v>1783</v>
      </c>
      <c r="BO210" s="8" t="s">
        <v>90</v>
      </c>
      <c r="BP210" s="8" t="s">
        <v>90</v>
      </c>
      <c r="BQ210" s="8" t="s">
        <v>91</v>
      </c>
      <c r="BR210" s="8" t="s">
        <v>92</v>
      </c>
    </row>
    <row r="211" spans="1:70" ht="45.95" customHeight="1">
      <c r="A211" s="5" t="s">
        <v>1784</v>
      </c>
      <c r="B211" s="5" t="s">
        <v>1595</v>
      </c>
      <c r="C211" s="5" t="s">
        <v>1785</v>
      </c>
      <c r="D211" s="5" t="s">
        <v>1785</v>
      </c>
      <c r="E211" s="5" t="s">
        <v>95</v>
      </c>
      <c r="F211" s="5" t="s">
        <v>1786</v>
      </c>
      <c r="G211" s="5">
        <v>2</v>
      </c>
      <c r="H211" s="5">
        <v>0</v>
      </c>
      <c r="I211" s="5">
        <v>1</v>
      </c>
      <c r="J211" s="5">
        <v>1</v>
      </c>
      <c r="K211" s="5">
        <v>0</v>
      </c>
      <c r="L211" s="17">
        <v>9400</v>
      </c>
      <c r="M211" s="17">
        <v>2300</v>
      </c>
      <c r="N211" s="9" t="s">
        <v>1787</v>
      </c>
      <c r="O211" s="13">
        <f t="shared" si="3"/>
        <v>24.468085106382979</v>
      </c>
      <c r="P211" s="5">
        <v>2</v>
      </c>
      <c r="Q211" s="5" t="s">
        <v>77</v>
      </c>
      <c r="R211" s="9" t="s">
        <v>1787</v>
      </c>
      <c r="S211" s="9" t="s">
        <v>1787</v>
      </c>
      <c r="T211" s="9" t="s">
        <v>80</v>
      </c>
      <c r="U211" s="5" t="s">
        <v>81</v>
      </c>
      <c r="V211" s="5"/>
      <c r="W211" s="17"/>
      <c r="X211" s="5">
        <v>2030</v>
      </c>
      <c r="Y211" s="17"/>
      <c r="Z211" s="17">
        <v>304</v>
      </c>
      <c r="AA211" s="5">
        <v>2030</v>
      </c>
      <c r="AB211" s="17">
        <v>168</v>
      </c>
      <c r="AC211" s="5">
        <v>2030</v>
      </c>
      <c r="AD211" s="5" t="s">
        <v>82</v>
      </c>
      <c r="AE211" s="17"/>
      <c r="AF211" s="17"/>
      <c r="AG211" s="17"/>
      <c r="AH211" s="17"/>
      <c r="AI211" s="9" t="s">
        <v>83</v>
      </c>
      <c r="AJ211" s="5" t="s">
        <v>84</v>
      </c>
      <c r="AK211" s="5">
        <v>1</v>
      </c>
      <c r="AL211" s="9" t="s">
        <v>1788</v>
      </c>
      <c r="AM211" s="9"/>
      <c r="AN211" s="5">
        <v>2027</v>
      </c>
      <c r="AO211" s="17">
        <v>3668</v>
      </c>
      <c r="AP211" s="5">
        <v>2030</v>
      </c>
      <c r="AQ211" s="17">
        <v>6529</v>
      </c>
      <c r="AR211" s="5" t="s">
        <v>86</v>
      </c>
      <c r="AS211" s="17">
        <v>21.2</v>
      </c>
      <c r="AT211" s="5">
        <v>2027</v>
      </c>
      <c r="AU211" s="17">
        <v>599</v>
      </c>
      <c r="AV211" s="5">
        <v>2030</v>
      </c>
      <c r="AW211" s="17">
        <v>719</v>
      </c>
      <c r="AX211" s="5" t="s">
        <v>86</v>
      </c>
      <c r="AY211" s="17">
        <v>6.3</v>
      </c>
      <c r="AZ211" s="5">
        <v>2027</v>
      </c>
      <c r="BA211" s="17">
        <v>98</v>
      </c>
      <c r="BB211" s="5">
        <v>2030</v>
      </c>
      <c r="BC211" s="17">
        <v>101</v>
      </c>
      <c r="BD211" s="5" t="s">
        <v>86</v>
      </c>
      <c r="BE211" s="17">
        <v>1</v>
      </c>
      <c r="BF211" s="5">
        <v>2027</v>
      </c>
      <c r="BG211" s="17">
        <v>98</v>
      </c>
      <c r="BH211" s="5">
        <v>2030</v>
      </c>
      <c r="BI211" s="17">
        <v>101</v>
      </c>
      <c r="BJ211" s="5" t="s">
        <v>87</v>
      </c>
      <c r="BK211" s="9"/>
      <c r="BL211" s="9" t="str">
        <f>HYPERLINK("https://seichotoushi-hojo.jp/assets/pdf/koufu_3_4ji/outline_19.pdf","PDFを開く")</f>
        <v>PDFを開く</v>
      </c>
      <c r="BM211" s="9" t="s">
        <v>1789</v>
      </c>
      <c r="BN211" s="9" t="s">
        <v>1790</v>
      </c>
      <c r="BO211" s="9" t="s">
        <v>166</v>
      </c>
      <c r="BP211" s="9" t="s">
        <v>166</v>
      </c>
      <c r="BQ211" s="9" t="s">
        <v>166</v>
      </c>
      <c r="BR211" s="9" t="s">
        <v>166</v>
      </c>
    </row>
    <row r="212" spans="1:70" ht="45.95" customHeight="1">
      <c r="A212" s="2" t="s">
        <v>1791</v>
      </c>
      <c r="B212" s="2" t="s">
        <v>1595</v>
      </c>
      <c r="C212" s="2" t="s">
        <v>1792</v>
      </c>
      <c r="D212" s="2" t="s">
        <v>1792</v>
      </c>
      <c r="E212" s="2" t="s">
        <v>95</v>
      </c>
      <c r="F212" s="2"/>
      <c r="G212" s="2">
        <v>2</v>
      </c>
      <c r="H212" s="2">
        <v>0</v>
      </c>
      <c r="I212" s="2">
        <v>1</v>
      </c>
      <c r="J212" s="2">
        <v>1</v>
      </c>
      <c r="K212" s="2">
        <v>0</v>
      </c>
      <c r="L212" s="16">
        <v>4700</v>
      </c>
      <c r="M212" s="16">
        <v>1500</v>
      </c>
      <c r="N212" s="8" t="s">
        <v>1793</v>
      </c>
      <c r="O212" s="12">
        <f t="shared" si="3"/>
        <v>31.914893617021278</v>
      </c>
      <c r="P212" s="2">
        <v>2</v>
      </c>
      <c r="Q212" s="2" t="s">
        <v>77</v>
      </c>
      <c r="R212" s="8" t="s">
        <v>1793</v>
      </c>
      <c r="S212" s="8" t="s">
        <v>1794</v>
      </c>
      <c r="T212" s="8" t="s">
        <v>80</v>
      </c>
      <c r="U212" s="2" t="s">
        <v>81</v>
      </c>
      <c r="V212" s="2"/>
      <c r="W212" s="16"/>
      <c r="X212" s="2">
        <v>2031</v>
      </c>
      <c r="Y212" s="16"/>
      <c r="Z212" s="16">
        <v>65.900000000000006</v>
      </c>
      <c r="AA212" s="2">
        <v>2031</v>
      </c>
      <c r="AB212" s="16">
        <v>103</v>
      </c>
      <c r="AC212" s="2">
        <v>2031</v>
      </c>
      <c r="AD212" s="2" t="s">
        <v>82</v>
      </c>
      <c r="AE212" s="16"/>
      <c r="AF212" s="16"/>
      <c r="AG212" s="16"/>
      <c r="AH212" s="16"/>
      <c r="AI212" s="8" t="s">
        <v>83</v>
      </c>
      <c r="AJ212" s="2" t="s">
        <v>84</v>
      </c>
      <c r="AK212" s="2">
        <v>1</v>
      </c>
      <c r="AL212" s="8" t="s">
        <v>1795</v>
      </c>
      <c r="AM212" s="8"/>
      <c r="AN212" s="2">
        <v>2028</v>
      </c>
      <c r="AO212" s="16">
        <v>630</v>
      </c>
      <c r="AP212" s="2">
        <v>2031</v>
      </c>
      <c r="AQ212" s="16">
        <v>1208</v>
      </c>
      <c r="AR212" s="2" t="s">
        <v>86</v>
      </c>
      <c r="AS212" s="16">
        <v>24.2</v>
      </c>
      <c r="AT212" s="2">
        <v>2028</v>
      </c>
      <c r="AU212" s="16">
        <v>513</v>
      </c>
      <c r="AV212" s="2">
        <v>2031</v>
      </c>
      <c r="AW212" s="16">
        <v>602</v>
      </c>
      <c r="AX212" s="2" t="s">
        <v>86</v>
      </c>
      <c r="AY212" s="16">
        <v>5.5</v>
      </c>
      <c r="AZ212" s="2">
        <v>2028</v>
      </c>
      <c r="BA212" s="16"/>
      <c r="BB212" s="2">
        <v>2031</v>
      </c>
      <c r="BC212" s="16"/>
      <c r="BD212" s="2" t="s">
        <v>86</v>
      </c>
      <c r="BE212" s="16">
        <v>5.5</v>
      </c>
      <c r="BF212" s="2">
        <v>2028</v>
      </c>
      <c r="BG212" s="16">
        <v>349</v>
      </c>
      <c r="BH212" s="2">
        <v>2031</v>
      </c>
      <c r="BI212" s="16">
        <v>360</v>
      </c>
      <c r="BJ212" s="2" t="s">
        <v>87</v>
      </c>
      <c r="BK212" s="8"/>
      <c r="BL212" s="8" t="str">
        <f>HYPERLINK("https://seichotoushi-hojo.jp/assets/pdf/koufu_3_4ji/outline_190.pdf","PDFを開く")</f>
        <v>PDFを開く</v>
      </c>
      <c r="BM212" s="8" t="s">
        <v>1796</v>
      </c>
      <c r="BN212" s="8" t="s">
        <v>1797</v>
      </c>
      <c r="BO212" s="8" t="s">
        <v>90</v>
      </c>
      <c r="BP212" s="8" t="s">
        <v>90</v>
      </c>
      <c r="BQ212" s="8" t="s">
        <v>91</v>
      </c>
      <c r="BR212" s="8" t="s">
        <v>92</v>
      </c>
    </row>
    <row r="213" spans="1:70" ht="45.95" customHeight="1">
      <c r="A213" s="5" t="s">
        <v>1798</v>
      </c>
      <c r="B213" s="5" t="s">
        <v>1595</v>
      </c>
      <c r="C213" s="5" t="s">
        <v>1799</v>
      </c>
      <c r="D213" s="5" t="s">
        <v>1799</v>
      </c>
      <c r="E213" s="5" t="s">
        <v>75</v>
      </c>
      <c r="F213" s="5" t="s">
        <v>1800</v>
      </c>
      <c r="G213" s="5">
        <v>2</v>
      </c>
      <c r="H213" s="5">
        <v>0</v>
      </c>
      <c r="I213" s="5">
        <v>1</v>
      </c>
      <c r="J213" s="5">
        <v>1</v>
      </c>
      <c r="K213" s="5">
        <v>0</v>
      </c>
      <c r="L213" s="17">
        <v>3600</v>
      </c>
      <c r="M213" s="17">
        <v>1100</v>
      </c>
      <c r="N213" s="9" t="s">
        <v>1006</v>
      </c>
      <c r="O213" s="13">
        <f t="shared" si="3"/>
        <v>30.555555555555557</v>
      </c>
      <c r="P213" s="5">
        <v>2</v>
      </c>
      <c r="Q213" s="5" t="s">
        <v>77</v>
      </c>
      <c r="R213" s="9" t="s">
        <v>1801</v>
      </c>
      <c r="S213" s="9" t="s">
        <v>1802</v>
      </c>
      <c r="T213" s="9" t="s">
        <v>80</v>
      </c>
      <c r="U213" s="5" t="s">
        <v>81</v>
      </c>
      <c r="V213" s="5"/>
      <c r="W213" s="17"/>
      <c r="X213" s="5"/>
      <c r="Y213" s="17"/>
      <c r="Z213" s="17">
        <v>127</v>
      </c>
      <c r="AA213" s="5"/>
      <c r="AB213" s="17">
        <v>273</v>
      </c>
      <c r="AC213" s="5"/>
      <c r="AD213" s="5" t="s">
        <v>82</v>
      </c>
      <c r="AE213" s="17"/>
      <c r="AF213" s="17"/>
      <c r="AG213" s="17"/>
      <c r="AH213" s="17"/>
      <c r="AI213" s="9" t="s">
        <v>83</v>
      </c>
      <c r="AJ213" s="5" t="s">
        <v>84</v>
      </c>
      <c r="AK213" s="5">
        <v>1</v>
      </c>
      <c r="AL213" s="9" t="s">
        <v>1803</v>
      </c>
      <c r="AM213" s="9"/>
      <c r="AN213" s="5">
        <v>2028</v>
      </c>
      <c r="AO213" s="17">
        <v>895</v>
      </c>
      <c r="AP213" s="5">
        <v>2031</v>
      </c>
      <c r="AQ213" s="17">
        <v>1310</v>
      </c>
      <c r="AR213" s="5" t="s">
        <v>86</v>
      </c>
      <c r="AS213" s="17">
        <v>13.5</v>
      </c>
      <c r="AT213" s="5">
        <v>2028</v>
      </c>
      <c r="AU213" s="17">
        <v>452</v>
      </c>
      <c r="AV213" s="5">
        <v>2031</v>
      </c>
      <c r="AW213" s="17">
        <v>538</v>
      </c>
      <c r="AX213" s="5" t="s">
        <v>86</v>
      </c>
      <c r="AY213" s="17">
        <v>6</v>
      </c>
      <c r="AZ213" s="5"/>
      <c r="BA213" s="17"/>
      <c r="BB213" s="5"/>
      <c r="BC213" s="17"/>
      <c r="BD213" s="5"/>
      <c r="BE213" s="17"/>
      <c r="BF213" s="5">
        <v>2028</v>
      </c>
      <c r="BG213" s="17">
        <v>276</v>
      </c>
      <c r="BH213" s="5">
        <v>2031</v>
      </c>
      <c r="BI213" s="17">
        <v>306</v>
      </c>
      <c r="BJ213" s="5" t="s">
        <v>87</v>
      </c>
      <c r="BK213" s="9"/>
      <c r="BL213" s="9" t="str">
        <f>HYPERLINK("https://seichotoushi-hojo.jp/assets/pdf/koufu_3_4ji/outline_197.pdf","PDFを開く")</f>
        <v>PDFを開く</v>
      </c>
      <c r="BM213" s="9" t="s">
        <v>1804</v>
      </c>
      <c r="BN213" s="9" t="s">
        <v>1805</v>
      </c>
      <c r="BO213" s="9" t="s">
        <v>166</v>
      </c>
      <c r="BP213" s="9" t="s">
        <v>166</v>
      </c>
      <c r="BQ213" s="9" t="s">
        <v>156</v>
      </c>
      <c r="BR213" s="9" t="s">
        <v>166</v>
      </c>
    </row>
    <row r="214" spans="1:70" ht="45.95" customHeight="1">
      <c r="A214" s="2" t="s">
        <v>1806</v>
      </c>
      <c r="B214" s="2" t="s">
        <v>1595</v>
      </c>
      <c r="C214" s="2" t="s">
        <v>1807</v>
      </c>
      <c r="D214" s="2" t="s">
        <v>1807</v>
      </c>
      <c r="E214" s="2" t="s">
        <v>75</v>
      </c>
      <c r="F214" s="2"/>
      <c r="G214" s="2">
        <v>2</v>
      </c>
      <c r="H214" s="2">
        <v>0</v>
      </c>
      <c r="I214" s="2">
        <v>1</v>
      </c>
      <c r="J214" s="2">
        <v>1</v>
      </c>
      <c r="K214" s="2">
        <v>0</v>
      </c>
      <c r="L214" s="16">
        <v>5000</v>
      </c>
      <c r="M214" s="16">
        <v>1700</v>
      </c>
      <c r="N214" s="8" t="s">
        <v>1808</v>
      </c>
      <c r="O214" s="12">
        <f t="shared" si="3"/>
        <v>34</v>
      </c>
      <c r="P214" s="2">
        <v>2</v>
      </c>
      <c r="Q214" s="2" t="s">
        <v>77</v>
      </c>
      <c r="R214" s="8" t="s">
        <v>1808</v>
      </c>
      <c r="S214" s="8" t="s">
        <v>1809</v>
      </c>
      <c r="T214" s="8" t="s">
        <v>80</v>
      </c>
      <c r="U214" s="2" t="s">
        <v>81</v>
      </c>
      <c r="V214" s="2">
        <v>2024</v>
      </c>
      <c r="W214" s="16"/>
      <c r="X214" s="2">
        <v>2029</v>
      </c>
      <c r="Y214" s="16"/>
      <c r="Z214" s="16">
        <v>57</v>
      </c>
      <c r="AA214" s="2">
        <v>2029</v>
      </c>
      <c r="AB214" s="16">
        <v>35.6</v>
      </c>
      <c r="AC214" s="2">
        <v>2029</v>
      </c>
      <c r="AD214" s="2" t="s">
        <v>210</v>
      </c>
      <c r="AE214" s="16"/>
      <c r="AF214" s="16"/>
      <c r="AG214" s="16"/>
      <c r="AH214" s="16"/>
      <c r="AI214" s="8" t="s">
        <v>83</v>
      </c>
      <c r="AJ214" s="2" t="s">
        <v>84</v>
      </c>
      <c r="AK214" s="2">
        <v>1</v>
      </c>
      <c r="AL214" s="8" t="s">
        <v>1810</v>
      </c>
      <c r="AM214" s="8"/>
      <c r="AN214" s="2">
        <v>2026</v>
      </c>
      <c r="AO214" s="16">
        <v>963</v>
      </c>
      <c r="AP214" s="2">
        <v>2029</v>
      </c>
      <c r="AQ214" s="16">
        <v>3099</v>
      </c>
      <c r="AR214" s="2" t="s">
        <v>86</v>
      </c>
      <c r="AS214" s="16">
        <v>47.6</v>
      </c>
      <c r="AT214" s="2">
        <v>2026</v>
      </c>
      <c r="AU214" s="16">
        <v>428</v>
      </c>
      <c r="AV214" s="2">
        <v>2029</v>
      </c>
      <c r="AW214" s="16">
        <v>518</v>
      </c>
      <c r="AX214" s="2" t="s">
        <v>86</v>
      </c>
      <c r="AY214" s="16">
        <v>6.6</v>
      </c>
      <c r="AZ214" s="2"/>
      <c r="BA214" s="16"/>
      <c r="BB214" s="2"/>
      <c r="BC214" s="16"/>
      <c r="BD214" s="2"/>
      <c r="BE214" s="16"/>
      <c r="BF214" s="2">
        <v>2026</v>
      </c>
      <c r="BG214" s="16">
        <v>60</v>
      </c>
      <c r="BH214" s="2">
        <v>2029</v>
      </c>
      <c r="BI214" s="16">
        <v>84</v>
      </c>
      <c r="BJ214" s="2" t="s">
        <v>87</v>
      </c>
      <c r="BK214" s="8"/>
      <c r="BL214" s="8" t="str">
        <f>HYPERLINK("https://seichotoushi-hojo.jp/assets/pdf/koufu_3_4ji/outline_2.pdf","PDFを開く")</f>
        <v>PDFを開く</v>
      </c>
      <c r="BM214" s="8" t="s">
        <v>1811</v>
      </c>
      <c r="BN214" s="8" t="s">
        <v>1812</v>
      </c>
      <c r="BO214" s="8" t="s">
        <v>90</v>
      </c>
      <c r="BP214" s="8" t="s">
        <v>90</v>
      </c>
      <c r="BQ214" s="8" t="s">
        <v>157</v>
      </c>
      <c r="BR214" s="8" t="s">
        <v>92</v>
      </c>
    </row>
    <row r="215" spans="1:70" ht="45.95" customHeight="1">
      <c r="A215" s="5" t="s">
        <v>1813</v>
      </c>
      <c r="B215" s="5" t="s">
        <v>1595</v>
      </c>
      <c r="C215" s="5" t="s">
        <v>1814</v>
      </c>
      <c r="D215" s="5" t="s">
        <v>1814</v>
      </c>
      <c r="E215" s="5" t="s">
        <v>75</v>
      </c>
      <c r="F215" s="5"/>
      <c r="G215" s="5">
        <v>2</v>
      </c>
      <c r="H215" s="5">
        <v>0</v>
      </c>
      <c r="I215" s="5">
        <v>1</v>
      </c>
      <c r="J215" s="5">
        <v>1</v>
      </c>
      <c r="K215" s="5">
        <v>0</v>
      </c>
      <c r="L215" s="17">
        <v>2600</v>
      </c>
      <c r="M215" s="17">
        <v>650</v>
      </c>
      <c r="N215" s="9" t="s">
        <v>1815</v>
      </c>
      <c r="O215" s="13">
        <f t="shared" si="3"/>
        <v>25</v>
      </c>
      <c r="P215" s="5">
        <v>2</v>
      </c>
      <c r="Q215" s="5" t="s">
        <v>77</v>
      </c>
      <c r="R215" s="9" t="s">
        <v>1815</v>
      </c>
      <c r="S215" s="9" t="s">
        <v>1816</v>
      </c>
      <c r="T215" s="9" t="s">
        <v>80</v>
      </c>
      <c r="U215" s="5" t="s">
        <v>81</v>
      </c>
      <c r="V215" s="5"/>
      <c r="W215" s="17"/>
      <c r="X215" s="5">
        <v>2030</v>
      </c>
      <c r="Y215" s="17">
        <v>16.399999999999999</v>
      </c>
      <c r="Z215" s="17">
        <v>7.1</v>
      </c>
      <c r="AA215" s="5">
        <v>2030</v>
      </c>
      <c r="AB215" s="17">
        <v>14.28</v>
      </c>
      <c r="AC215" s="5">
        <v>2030</v>
      </c>
      <c r="AD215" s="5" t="s">
        <v>82</v>
      </c>
      <c r="AE215" s="17"/>
      <c r="AF215" s="17"/>
      <c r="AG215" s="17"/>
      <c r="AH215" s="17"/>
      <c r="AI215" s="9" t="s">
        <v>83</v>
      </c>
      <c r="AJ215" s="5" t="s">
        <v>84</v>
      </c>
      <c r="AK215" s="5">
        <v>1</v>
      </c>
      <c r="AL215" s="9" t="s">
        <v>1817</v>
      </c>
      <c r="AM215" s="9" t="s">
        <v>1818</v>
      </c>
      <c r="AN215" s="5">
        <v>2027</v>
      </c>
      <c r="AO215" s="17">
        <v>1140</v>
      </c>
      <c r="AP215" s="5">
        <v>2030</v>
      </c>
      <c r="AQ215" s="17">
        <v>1618</v>
      </c>
      <c r="AR215" s="5" t="s">
        <v>86</v>
      </c>
      <c r="AS215" s="17">
        <v>12.4</v>
      </c>
      <c r="AT215" s="5">
        <v>2027</v>
      </c>
      <c r="AU215" s="17">
        <v>407</v>
      </c>
      <c r="AV215" s="5">
        <v>2030</v>
      </c>
      <c r="AW215" s="17">
        <v>542</v>
      </c>
      <c r="AX215" s="5" t="s">
        <v>86</v>
      </c>
      <c r="AY215" s="17">
        <v>10</v>
      </c>
      <c r="AZ215" s="5">
        <v>2027</v>
      </c>
      <c r="BA215" s="17">
        <v>3396</v>
      </c>
      <c r="BB215" s="5">
        <v>2030</v>
      </c>
      <c r="BC215" s="17">
        <v>4160</v>
      </c>
      <c r="BD215" s="5" t="s">
        <v>86</v>
      </c>
      <c r="BE215" s="17">
        <v>7</v>
      </c>
      <c r="BF215" s="5">
        <v>2027</v>
      </c>
      <c r="BG215" s="17">
        <v>36</v>
      </c>
      <c r="BH215" s="5">
        <v>2030</v>
      </c>
      <c r="BI215" s="17">
        <v>42</v>
      </c>
      <c r="BJ215" s="5" t="s">
        <v>87</v>
      </c>
      <c r="BK215" s="9"/>
      <c r="BL215" s="9" t="str">
        <f>HYPERLINK("https://seichotoushi-hojo.jp/assets/pdf/koufu_3_4ji/outline_205.pdf","PDFを開く")</f>
        <v>PDFを開く</v>
      </c>
      <c r="BM215" s="9" t="s">
        <v>1819</v>
      </c>
      <c r="BN215" s="9" t="s">
        <v>1820</v>
      </c>
      <c r="BO215" s="9" t="s">
        <v>90</v>
      </c>
      <c r="BP215" s="9" t="s">
        <v>90</v>
      </c>
      <c r="BQ215" s="9" t="s">
        <v>90</v>
      </c>
      <c r="BR215" s="9" t="s">
        <v>92</v>
      </c>
    </row>
    <row r="216" spans="1:70" ht="45.95" customHeight="1">
      <c r="A216" s="2" t="s">
        <v>1821</v>
      </c>
      <c r="B216" s="2" t="s">
        <v>1595</v>
      </c>
      <c r="C216" s="2" t="s">
        <v>1822</v>
      </c>
      <c r="D216" s="2" t="s">
        <v>1822</v>
      </c>
      <c r="E216" s="2" t="s">
        <v>186</v>
      </c>
      <c r="F216" s="2"/>
      <c r="G216" s="2">
        <v>4</v>
      </c>
      <c r="H216" s="2">
        <v>0</v>
      </c>
      <c r="I216" s="2">
        <v>1</v>
      </c>
      <c r="J216" s="2">
        <v>3</v>
      </c>
      <c r="K216" s="2">
        <v>0</v>
      </c>
      <c r="L216" s="16">
        <v>3100</v>
      </c>
      <c r="M216" s="16">
        <v>1000</v>
      </c>
      <c r="N216" s="8" t="s">
        <v>1823</v>
      </c>
      <c r="O216" s="12">
        <f t="shared" si="3"/>
        <v>32.258064516129032</v>
      </c>
      <c r="P216" s="2">
        <v>2</v>
      </c>
      <c r="Q216" s="2" t="s">
        <v>77</v>
      </c>
      <c r="R216" s="8" t="s">
        <v>1824</v>
      </c>
      <c r="S216" s="8" t="s">
        <v>1825</v>
      </c>
      <c r="T216" s="8" t="s">
        <v>80</v>
      </c>
      <c r="U216" s="2" t="s">
        <v>81</v>
      </c>
      <c r="V216" s="2">
        <v>2024</v>
      </c>
      <c r="W216" s="16">
        <v>9380</v>
      </c>
      <c r="X216" s="2">
        <v>2031</v>
      </c>
      <c r="Y216" s="16">
        <v>56</v>
      </c>
      <c r="Z216" s="16">
        <v>150</v>
      </c>
      <c r="AA216" s="2">
        <v>2031</v>
      </c>
      <c r="AB216" s="16">
        <v>267</v>
      </c>
      <c r="AC216" s="2">
        <v>2031</v>
      </c>
      <c r="AD216" s="2" t="s">
        <v>82</v>
      </c>
      <c r="AE216" s="16"/>
      <c r="AF216" s="16"/>
      <c r="AG216" s="16">
        <v>-51.884655639761036</v>
      </c>
      <c r="AH216" s="16"/>
      <c r="AI216" s="8" t="s">
        <v>200</v>
      </c>
      <c r="AJ216" s="2" t="s">
        <v>84</v>
      </c>
      <c r="AK216" s="2">
        <v>1</v>
      </c>
      <c r="AL216" s="8" t="s">
        <v>1826</v>
      </c>
      <c r="AM216" s="8" t="s">
        <v>1827</v>
      </c>
      <c r="AN216" s="2">
        <v>2027</v>
      </c>
      <c r="AO216" s="16">
        <v>484</v>
      </c>
      <c r="AP216" s="2">
        <v>2030</v>
      </c>
      <c r="AQ216" s="16">
        <v>758</v>
      </c>
      <c r="AR216" s="2" t="s">
        <v>86</v>
      </c>
      <c r="AS216" s="16">
        <v>16.100000000000001</v>
      </c>
      <c r="AT216" s="2">
        <v>2027</v>
      </c>
      <c r="AU216" s="16">
        <v>322</v>
      </c>
      <c r="AV216" s="2">
        <v>2030</v>
      </c>
      <c r="AW216" s="16">
        <v>373</v>
      </c>
      <c r="AX216" s="2" t="s">
        <v>86</v>
      </c>
      <c r="AY216" s="16">
        <v>5</v>
      </c>
      <c r="AZ216" s="2">
        <v>2027</v>
      </c>
      <c r="BA216" s="16"/>
      <c r="BB216" s="2">
        <v>2030</v>
      </c>
      <c r="BC216" s="16"/>
      <c r="BD216" s="2" t="s">
        <v>86</v>
      </c>
      <c r="BE216" s="16">
        <v>4.9000000000000004</v>
      </c>
      <c r="BF216" s="2">
        <v>2027</v>
      </c>
      <c r="BG216" s="16">
        <v>380</v>
      </c>
      <c r="BH216" s="2">
        <v>2030</v>
      </c>
      <c r="BI216" s="16">
        <v>500</v>
      </c>
      <c r="BJ216" s="2" t="s">
        <v>87</v>
      </c>
      <c r="BK216" s="8"/>
      <c r="BL216" s="8" t="str">
        <f>HYPERLINK("https://seichotoushi-hojo.jp/assets/pdf/koufu_3_4ji/outline_209.pdf","PDFを開く")</f>
        <v>PDFを開く</v>
      </c>
      <c r="BM216" s="8" t="s">
        <v>1828</v>
      </c>
      <c r="BN216" s="8" t="s">
        <v>1829</v>
      </c>
      <c r="BO216" s="8" t="s">
        <v>90</v>
      </c>
      <c r="BP216" s="8" t="s">
        <v>90</v>
      </c>
      <c r="BQ216" s="8" t="s">
        <v>91</v>
      </c>
      <c r="BR216" s="8" t="s">
        <v>92</v>
      </c>
    </row>
    <row r="217" spans="1:70" ht="45.95" customHeight="1">
      <c r="A217" s="5" t="s">
        <v>1830</v>
      </c>
      <c r="B217" s="5" t="s">
        <v>1595</v>
      </c>
      <c r="C217" s="5" t="s">
        <v>1831</v>
      </c>
      <c r="D217" s="5" t="s">
        <v>1831</v>
      </c>
      <c r="E217" s="5" t="s">
        <v>75</v>
      </c>
      <c r="F217" s="5"/>
      <c r="G217" s="5">
        <v>2</v>
      </c>
      <c r="H217" s="5">
        <v>0</v>
      </c>
      <c r="I217" s="5">
        <v>1</v>
      </c>
      <c r="J217" s="5">
        <v>1</v>
      </c>
      <c r="K217" s="5">
        <v>0</v>
      </c>
      <c r="L217" s="17">
        <v>11700</v>
      </c>
      <c r="M217" s="17">
        <v>3500</v>
      </c>
      <c r="N217" s="9" t="s">
        <v>1832</v>
      </c>
      <c r="O217" s="13">
        <f t="shared" si="3"/>
        <v>29.914529914529915</v>
      </c>
      <c r="P217" s="5">
        <v>2</v>
      </c>
      <c r="Q217" s="5" t="s">
        <v>77</v>
      </c>
      <c r="R217" s="9" t="s">
        <v>1832</v>
      </c>
      <c r="S217" s="9" t="s">
        <v>1833</v>
      </c>
      <c r="T217" s="9" t="s">
        <v>80</v>
      </c>
      <c r="U217" s="5" t="s">
        <v>81</v>
      </c>
      <c r="V217" s="5">
        <v>2023</v>
      </c>
      <c r="W217" s="17"/>
      <c r="X217" s="5">
        <v>2030</v>
      </c>
      <c r="Y217" s="17"/>
      <c r="Z217" s="17">
        <v>186</v>
      </c>
      <c r="AA217" s="5">
        <v>2030</v>
      </c>
      <c r="AB217" s="17">
        <v>7.8</v>
      </c>
      <c r="AC217" s="5">
        <v>2030</v>
      </c>
      <c r="AD217" s="5" t="s">
        <v>210</v>
      </c>
      <c r="AE217" s="17"/>
      <c r="AF217" s="17"/>
      <c r="AG217" s="17"/>
      <c r="AH217" s="17"/>
      <c r="AI217" s="9" t="s">
        <v>83</v>
      </c>
      <c r="AJ217" s="5" t="s">
        <v>84</v>
      </c>
      <c r="AK217" s="5">
        <v>1</v>
      </c>
      <c r="AL217" s="9" t="s">
        <v>1834</v>
      </c>
      <c r="AM217" s="9"/>
      <c r="AN217" s="5">
        <v>2027</v>
      </c>
      <c r="AO217" s="17">
        <v>1982</v>
      </c>
      <c r="AP217" s="5">
        <v>2030</v>
      </c>
      <c r="AQ217" s="17">
        <v>2807</v>
      </c>
      <c r="AR217" s="5" t="s">
        <v>86</v>
      </c>
      <c r="AS217" s="17">
        <v>12.3</v>
      </c>
      <c r="AT217" s="5">
        <v>2027</v>
      </c>
      <c r="AU217" s="17">
        <v>433</v>
      </c>
      <c r="AV217" s="5">
        <v>2030</v>
      </c>
      <c r="AW217" s="17">
        <v>561</v>
      </c>
      <c r="AX217" s="5" t="s">
        <v>86</v>
      </c>
      <c r="AY217" s="17">
        <v>9</v>
      </c>
      <c r="AZ217" s="5">
        <v>2027</v>
      </c>
      <c r="BA217" s="17"/>
      <c r="BB217" s="5">
        <v>2030</v>
      </c>
      <c r="BC217" s="17"/>
      <c r="BD217" s="5" t="s">
        <v>86</v>
      </c>
      <c r="BE217" s="17">
        <v>6.5</v>
      </c>
      <c r="BF217" s="5">
        <v>2027</v>
      </c>
      <c r="BG217" s="17">
        <v>683</v>
      </c>
      <c r="BH217" s="5">
        <v>2030</v>
      </c>
      <c r="BI217" s="17">
        <v>716</v>
      </c>
      <c r="BJ217" s="5" t="s">
        <v>87</v>
      </c>
      <c r="BK217" s="9"/>
      <c r="BL217" s="9" t="str">
        <f>HYPERLINK("https://seichotoushi-hojo.jp/assets/pdf/koufu_3_4ji/outline_21.pdf","PDFを開く")</f>
        <v>PDFを開く</v>
      </c>
      <c r="BM217" s="9" t="s">
        <v>1835</v>
      </c>
      <c r="BN217" s="9" t="s">
        <v>1836</v>
      </c>
      <c r="BO217" s="9" t="s">
        <v>90</v>
      </c>
      <c r="BP217" s="9" t="s">
        <v>90</v>
      </c>
      <c r="BQ217" s="9" t="s">
        <v>91</v>
      </c>
      <c r="BR217" s="9" t="s">
        <v>92</v>
      </c>
    </row>
    <row r="218" spans="1:70" ht="45.95" customHeight="1">
      <c r="A218" s="2" t="s">
        <v>1837</v>
      </c>
      <c r="B218" s="2" t="s">
        <v>1595</v>
      </c>
      <c r="C218" s="2" t="s">
        <v>1838</v>
      </c>
      <c r="D218" s="2" t="s">
        <v>1838</v>
      </c>
      <c r="E218" s="2" t="s">
        <v>186</v>
      </c>
      <c r="F218" s="2"/>
      <c r="G218" s="2">
        <v>2</v>
      </c>
      <c r="H218" s="2">
        <v>0</v>
      </c>
      <c r="I218" s="2">
        <v>1</v>
      </c>
      <c r="J218" s="2">
        <v>1</v>
      </c>
      <c r="K218" s="2">
        <v>0</v>
      </c>
      <c r="L218" s="16">
        <v>3400</v>
      </c>
      <c r="M218" s="16">
        <v>1100</v>
      </c>
      <c r="N218" s="8" t="s">
        <v>141</v>
      </c>
      <c r="O218" s="12">
        <f t="shared" si="3"/>
        <v>32.352941176470587</v>
      </c>
      <c r="P218" s="2">
        <v>2</v>
      </c>
      <c r="Q218" s="2" t="s">
        <v>77</v>
      </c>
      <c r="R218" s="8" t="s">
        <v>541</v>
      </c>
      <c r="S218" s="8" t="s">
        <v>1839</v>
      </c>
      <c r="T218" s="8" t="s">
        <v>80</v>
      </c>
      <c r="U218" s="2" t="s">
        <v>81</v>
      </c>
      <c r="V218" s="2"/>
      <c r="W218" s="16"/>
      <c r="X218" s="2">
        <v>2030</v>
      </c>
      <c r="Y218" s="16"/>
      <c r="Z218" s="16">
        <v>53</v>
      </c>
      <c r="AA218" s="2">
        <v>2030</v>
      </c>
      <c r="AB218" s="16">
        <v>219</v>
      </c>
      <c r="AC218" s="2">
        <v>2030</v>
      </c>
      <c r="AD218" s="2" t="s">
        <v>82</v>
      </c>
      <c r="AE218" s="16"/>
      <c r="AF218" s="16"/>
      <c r="AG218" s="16"/>
      <c r="AH218" s="16"/>
      <c r="AI218" s="8" t="s">
        <v>83</v>
      </c>
      <c r="AJ218" s="2" t="s">
        <v>84</v>
      </c>
      <c r="AK218" s="2">
        <v>1</v>
      </c>
      <c r="AL218" s="8" t="s">
        <v>1840</v>
      </c>
      <c r="AM218" s="8"/>
      <c r="AN218" s="2">
        <v>2027</v>
      </c>
      <c r="AO218" s="16">
        <v>745</v>
      </c>
      <c r="AP218" s="2">
        <v>2030</v>
      </c>
      <c r="AQ218" s="16">
        <v>1177</v>
      </c>
      <c r="AR218" s="2" t="s">
        <v>86</v>
      </c>
      <c r="AS218" s="16">
        <v>16.5</v>
      </c>
      <c r="AT218" s="2">
        <v>2027</v>
      </c>
      <c r="AU218" s="16">
        <v>390</v>
      </c>
      <c r="AV218" s="2">
        <v>2030</v>
      </c>
      <c r="AW218" s="16">
        <v>464</v>
      </c>
      <c r="AX218" s="2" t="s">
        <v>86</v>
      </c>
      <c r="AY218" s="16">
        <v>6</v>
      </c>
      <c r="AZ218" s="2">
        <v>2027</v>
      </c>
      <c r="BA218" s="16"/>
      <c r="BB218" s="2">
        <v>2030</v>
      </c>
      <c r="BC218" s="16"/>
      <c r="BD218" s="2" t="s">
        <v>86</v>
      </c>
      <c r="BE218" s="16">
        <v>5</v>
      </c>
      <c r="BF218" s="2">
        <v>2027</v>
      </c>
      <c r="BG218" s="16">
        <v>323</v>
      </c>
      <c r="BH218" s="2">
        <v>2030</v>
      </c>
      <c r="BI218" s="16">
        <v>372</v>
      </c>
      <c r="BJ218" s="2" t="s">
        <v>87</v>
      </c>
      <c r="BK218" s="8"/>
      <c r="BL218" s="8" t="str">
        <f>HYPERLINK("https://seichotoushi-hojo.jp/assets/pdf/koufu_3_4ji/outline_212.pdf","PDFを開く")</f>
        <v>PDFを開く</v>
      </c>
      <c r="BM218" s="8" t="s">
        <v>1841</v>
      </c>
      <c r="BN218" s="8" t="s">
        <v>1842</v>
      </c>
      <c r="BO218" s="8" t="s">
        <v>90</v>
      </c>
      <c r="BP218" s="8" t="s">
        <v>90</v>
      </c>
      <c r="BQ218" s="8" t="s">
        <v>91</v>
      </c>
      <c r="BR218" s="8" t="s">
        <v>92</v>
      </c>
    </row>
    <row r="219" spans="1:70" ht="45.95" customHeight="1">
      <c r="A219" s="5" t="s">
        <v>1843</v>
      </c>
      <c r="B219" s="5" t="s">
        <v>1595</v>
      </c>
      <c r="C219" s="5" t="s">
        <v>1844</v>
      </c>
      <c r="D219" s="5" t="s">
        <v>1844</v>
      </c>
      <c r="E219" s="5" t="s">
        <v>75</v>
      </c>
      <c r="F219" s="5"/>
      <c r="G219" s="5">
        <v>2</v>
      </c>
      <c r="H219" s="5">
        <v>0</v>
      </c>
      <c r="I219" s="5">
        <v>1</v>
      </c>
      <c r="J219" s="5">
        <v>1</v>
      </c>
      <c r="K219" s="5">
        <v>0</v>
      </c>
      <c r="L219" s="17">
        <v>2600</v>
      </c>
      <c r="M219" s="17">
        <v>830</v>
      </c>
      <c r="N219" s="9" t="s">
        <v>1845</v>
      </c>
      <c r="O219" s="13">
        <f t="shared" si="3"/>
        <v>31.92307692307692</v>
      </c>
      <c r="P219" s="5">
        <v>2</v>
      </c>
      <c r="Q219" s="5" t="s">
        <v>77</v>
      </c>
      <c r="R219" s="9" t="s">
        <v>1846</v>
      </c>
      <c r="S219" s="9" t="s">
        <v>1847</v>
      </c>
      <c r="T219" s="9" t="s">
        <v>80</v>
      </c>
      <c r="U219" s="5" t="s">
        <v>81</v>
      </c>
      <c r="V219" s="5">
        <v>2023</v>
      </c>
      <c r="W219" s="17">
        <v>125</v>
      </c>
      <c r="X219" s="5">
        <v>2030</v>
      </c>
      <c r="Y219" s="17">
        <v>66</v>
      </c>
      <c r="Z219" s="17">
        <v>46</v>
      </c>
      <c r="AA219" s="5">
        <v>2030</v>
      </c>
      <c r="AB219" s="17">
        <v>23.53</v>
      </c>
      <c r="AC219" s="5">
        <v>2030</v>
      </c>
      <c r="AD219" s="5" t="s">
        <v>210</v>
      </c>
      <c r="AE219" s="17"/>
      <c r="AF219" s="17"/>
      <c r="AG219" s="17">
        <v>-8.7198648042570266</v>
      </c>
      <c r="AH219" s="17"/>
      <c r="AI219" s="9" t="s">
        <v>120</v>
      </c>
      <c r="AJ219" s="5" t="s">
        <v>84</v>
      </c>
      <c r="AK219" s="5">
        <v>1</v>
      </c>
      <c r="AL219" s="9" t="s">
        <v>1848</v>
      </c>
      <c r="AM219" s="9" t="s">
        <v>1849</v>
      </c>
      <c r="AN219" s="5">
        <v>2027</v>
      </c>
      <c r="AO219" s="17">
        <v>719</v>
      </c>
      <c r="AP219" s="5">
        <v>2030</v>
      </c>
      <c r="AQ219" s="17">
        <v>1284</v>
      </c>
      <c r="AR219" s="5" t="s">
        <v>86</v>
      </c>
      <c r="AS219" s="17">
        <v>21.3</v>
      </c>
      <c r="AT219" s="5">
        <v>2027</v>
      </c>
      <c r="AU219" s="17">
        <v>380</v>
      </c>
      <c r="AV219" s="5">
        <v>2030</v>
      </c>
      <c r="AW219" s="17">
        <v>453</v>
      </c>
      <c r="AX219" s="5" t="s">
        <v>86</v>
      </c>
      <c r="AY219" s="17">
        <v>6</v>
      </c>
      <c r="AZ219" s="5">
        <v>2027</v>
      </c>
      <c r="BA219" s="17"/>
      <c r="BB219" s="5">
        <v>2030</v>
      </c>
      <c r="BC219" s="17"/>
      <c r="BD219" s="5" t="s">
        <v>86</v>
      </c>
      <c r="BE219" s="17">
        <v>6</v>
      </c>
      <c r="BF219" s="5">
        <v>2027</v>
      </c>
      <c r="BG219" s="17">
        <v>198</v>
      </c>
      <c r="BH219" s="5">
        <v>2030</v>
      </c>
      <c r="BI219" s="17">
        <v>241</v>
      </c>
      <c r="BJ219" s="5" t="s">
        <v>87</v>
      </c>
      <c r="BK219" s="9" t="s">
        <v>181</v>
      </c>
      <c r="BL219" s="9" t="str">
        <f>HYPERLINK("https://seichotoushi-hojo.jp/assets/pdf/koufu_3_4ji/outline_214.pdf","PDFを開く")</f>
        <v>PDFを開く</v>
      </c>
      <c r="BM219" s="9" t="s">
        <v>1850</v>
      </c>
      <c r="BN219" s="9" t="s">
        <v>1851</v>
      </c>
      <c r="BO219" s="9" t="s">
        <v>166</v>
      </c>
      <c r="BP219" s="9" t="s">
        <v>166</v>
      </c>
      <c r="BQ219" s="9" t="s">
        <v>91</v>
      </c>
      <c r="BR219" s="9" t="s">
        <v>166</v>
      </c>
    </row>
    <row r="220" spans="1:70" ht="45.95" customHeight="1">
      <c r="A220" s="2" t="s">
        <v>1852</v>
      </c>
      <c r="B220" s="2" t="s">
        <v>1595</v>
      </c>
      <c r="C220" s="2" t="s">
        <v>1853</v>
      </c>
      <c r="D220" s="2" t="s">
        <v>1853</v>
      </c>
      <c r="E220" s="2" t="s">
        <v>107</v>
      </c>
      <c r="F220" s="2"/>
      <c r="G220" s="2">
        <v>2</v>
      </c>
      <c r="H220" s="2">
        <v>0</v>
      </c>
      <c r="I220" s="2">
        <v>1</v>
      </c>
      <c r="J220" s="2">
        <v>1</v>
      </c>
      <c r="K220" s="2">
        <v>0</v>
      </c>
      <c r="L220" s="16">
        <v>11200</v>
      </c>
      <c r="M220" s="16">
        <v>1800</v>
      </c>
      <c r="N220" s="8" t="s">
        <v>1854</v>
      </c>
      <c r="O220" s="12">
        <f t="shared" si="3"/>
        <v>16.071428571428573</v>
      </c>
      <c r="P220" s="2">
        <v>2</v>
      </c>
      <c r="Q220" s="2" t="s">
        <v>77</v>
      </c>
      <c r="R220" s="8" t="s">
        <v>1854</v>
      </c>
      <c r="S220" s="8" t="s">
        <v>1855</v>
      </c>
      <c r="T220" s="8" t="s">
        <v>80</v>
      </c>
      <c r="U220" s="2" t="s">
        <v>81</v>
      </c>
      <c r="V220" s="2"/>
      <c r="W220" s="16"/>
      <c r="X220" s="2">
        <v>2031</v>
      </c>
      <c r="Y220" s="16"/>
      <c r="Z220" s="16">
        <v>107</v>
      </c>
      <c r="AA220" s="2">
        <v>2031</v>
      </c>
      <c r="AB220" s="16">
        <v>98</v>
      </c>
      <c r="AC220" s="2">
        <v>2031</v>
      </c>
      <c r="AD220" s="2" t="s">
        <v>82</v>
      </c>
      <c r="AE220" s="16"/>
      <c r="AF220" s="16"/>
      <c r="AG220" s="16"/>
      <c r="AH220" s="16"/>
      <c r="AI220" s="8" t="s">
        <v>83</v>
      </c>
      <c r="AJ220" s="2" t="s">
        <v>84</v>
      </c>
      <c r="AK220" s="2">
        <v>1</v>
      </c>
      <c r="AL220" s="8" t="s">
        <v>1856</v>
      </c>
      <c r="AM220" s="8"/>
      <c r="AN220" s="2">
        <v>2028</v>
      </c>
      <c r="AO220" s="16">
        <v>1304</v>
      </c>
      <c r="AP220" s="2">
        <v>2031</v>
      </c>
      <c r="AQ220" s="16">
        <v>2715</v>
      </c>
      <c r="AR220" s="2" t="s">
        <v>86</v>
      </c>
      <c r="AS220" s="16">
        <v>27.7</v>
      </c>
      <c r="AT220" s="2">
        <v>2028</v>
      </c>
      <c r="AU220" s="16">
        <v>626</v>
      </c>
      <c r="AV220" s="2">
        <v>2031</v>
      </c>
      <c r="AW220" s="16">
        <v>767</v>
      </c>
      <c r="AX220" s="2" t="s">
        <v>86</v>
      </c>
      <c r="AY220" s="16">
        <v>7</v>
      </c>
      <c r="AZ220" s="2">
        <v>2028</v>
      </c>
      <c r="BA220" s="16"/>
      <c r="BB220" s="2">
        <v>2031</v>
      </c>
      <c r="BC220" s="16"/>
      <c r="BD220" s="2" t="s">
        <v>86</v>
      </c>
      <c r="BE220" s="16">
        <v>5</v>
      </c>
      <c r="BF220" s="2">
        <v>2028</v>
      </c>
      <c r="BG220" s="16">
        <v>160</v>
      </c>
      <c r="BH220" s="2">
        <v>2031</v>
      </c>
      <c r="BI220" s="16">
        <v>177</v>
      </c>
      <c r="BJ220" s="2" t="s">
        <v>87</v>
      </c>
      <c r="BK220" s="8"/>
      <c r="BL220" s="8" t="str">
        <f>HYPERLINK("https://seichotoushi-hojo.jp/assets/pdf/koufu_3_4ji/outline_215.pdf","PDFを開く")</f>
        <v>PDFを開く</v>
      </c>
      <c r="BM220" s="8" t="s">
        <v>1857</v>
      </c>
      <c r="BN220" s="8" t="s">
        <v>1858</v>
      </c>
      <c r="BO220" s="8" t="s">
        <v>90</v>
      </c>
      <c r="BP220" s="8" t="s">
        <v>90</v>
      </c>
      <c r="BQ220" s="8" t="s">
        <v>91</v>
      </c>
      <c r="BR220" s="8" t="s">
        <v>92</v>
      </c>
    </row>
    <row r="221" spans="1:70" ht="45.95" customHeight="1">
      <c r="A221" s="5" t="s">
        <v>1859</v>
      </c>
      <c r="B221" s="5" t="s">
        <v>1595</v>
      </c>
      <c r="C221" s="5" t="s">
        <v>1860</v>
      </c>
      <c r="D221" s="5" t="s">
        <v>1860</v>
      </c>
      <c r="E221" s="5" t="s">
        <v>95</v>
      </c>
      <c r="F221" s="5"/>
      <c r="G221" s="5">
        <v>2</v>
      </c>
      <c r="H221" s="5">
        <v>0</v>
      </c>
      <c r="I221" s="5">
        <v>1</v>
      </c>
      <c r="J221" s="5">
        <v>1</v>
      </c>
      <c r="K221" s="5">
        <v>0</v>
      </c>
      <c r="L221" s="17">
        <v>3500</v>
      </c>
      <c r="M221" s="17">
        <v>970</v>
      </c>
      <c r="N221" s="9" t="s">
        <v>1861</v>
      </c>
      <c r="O221" s="13">
        <f t="shared" si="3"/>
        <v>27.714285714285715</v>
      </c>
      <c r="P221" s="5">
        <v>2</v>
      </c>
      <c r="Q221" s="5" t="s">
        <v>77</v>
      </c>
      <c r="R221" s="9" t="s">
        <v>1862</v>
      </c>
      <c r="S221" s="9" t="s">
        <v>1863</v>
      </c>
      <c r="T221" s="9" t="s">
        <v>80</v>
      </c>
      <c r="U221" s="5" t="s">
        <v>81</v>
      </c>
      <c r="V221" s="5"/>
      <c r="W221" s="17"/>
      <c r="X221" s="5">
        <v>2030</v>
      </c>
      <c r="Y221" s="17"/>
      <c r="Z221" s="17">
        <v>33.450000000000003</v>
      </c>
      <c r="AA221" s="5">
        <v>2030</v>
      </c>
      <c r="AB221" s="17">
        <v>17.010000000000002</v>
      </c>
      <c r="AC221" s="5">
        <v>2030</v>
      </c>
      <c r="AD221" s="5" t="s">
        <v>82</v>
      </c>
      <c r="AE221" s="17"/>
      <c r="AF221" s="17"/>
      <c r="AG221" s="17"/>
      <c r="AH221" s="17"/>
      <c r="AI221" s="9" t="s">
        <v>83</v>
      </c>
      <c r="AJ221" s="5" t="s">
        <v>84</v>
      </c>
      <c r="AK221" s="5">
        <v>1</v>
      </c>
      <c r="AL221" s="9" t="s">
        <v>1864</v>
      </c>
      <c r="AM221" s="9"/>
      <c r="AN221" s="5">
        <v>2027</v>
      </c>
      <c r="AO221" s="17">
        <v>415</v>
      </c>
      <c r="AP221" s="5">
        <v>2030</v>
      </c>
      <c r="AQ221" s="17">
        <v>847</v>
      </c>
      <c r="AR221" s="5" t="s">
        <v>86</v>
      </c>
      <c r="AS221" s="17">
        <v>26.8</v>
      </c>
      <c r="AT221" s="5">
        <v>2027</v>
      </c>
      <c r="AU221" s="17">
        <v>367</v>
      </c>
      <c r="AV221" s="5">
        <v>2030</v>
      </c>
      <c r="AW221" s="17">
        <v>431</v>
      </c>
      <c r="AX221" s="5" t="s">
        <v>86</v>
      </c>
      <c r="AY221" s="17">
        <v>5.5</v>
      </c>
      <c r="AZ221" s="5">
        <v>2027</v>
      </c>
      <c r="BA221" s="17"/>
      <c r="BB221" s="5">
        <v>2030</v>
      </c>
      <c r="BC221" s="17"/>
      <c r="BD221" s="5" t="s">
        <v>86</v>
      </c>
      <c r="BE221" s="17">
        <v>5</v>
      </c>
      <c r="BF221" s="5">
        <v>2027</v>
      </c>
      <c r="BG221" s="17">
        <v>64</v>
      </c>
      <c r="BH221" s="5">
        <v>2030</v>
      </c>
      <c r="BI221" s="17">
        <v>144</v>
      </c>
      <c r="BJ221" s="5" t="s">
        <v>87</v>
      </c>
      <c r="BK221" s="9"/>
      <c r="BL221" s="9" t="str">
        <f>HYPERLINK("https://seichotoushi-hojo.jp/assets/pdf/koufu_3_4ji/outline_216.pdf","PDFを開く")</f>
        <v>PDFを開く</v>
      </c>
      <c r="BM221" s="9" t="s">
        <v>1865</v>
      </c>
      <c r="BN221" s="9" t="s">
        <v>1866</v>
      </c>
      <c r="BO221" s="9" t="s">
        <v>90</v>
      </c>
      <c r="BP221" s="9" t="s">
        <v>90</v>
      </c>
      <c r="BQ221" s="9" t="s">
        <v>91</v>
      </c>
      <c r="BR221" s="9" t="s">
        <v>92</v>
      </c>
    </row>
    <row r="222" spans="1:70" ht="45.95" customHeight="1">
      <c r="A222" s="2" t="s">
        <v>1867</v>
      </c>
      <c r="B222" s="2" t="s">
        <v>1595</v>
      </c>
      <c r="C222" s="2" t="s">
        <v>1868</v>
      </c>
      <c r="D222" s="2" t="s">
        <v>1868</v>
      </c>
      <c r="E222" s="2" t="s">
        <v>186</v>
      </c>
      <c r="F222" s="2"/>
      <c r="G222" s="2">
        <v>2</v>
      </c>
      <c r="H222" s="2">
        <v>0</v>
      </c>
      <c r="I222" s="2">
        <v>1</v>
      </c>
      <c r="J222" s="2">
        <v>1</v>
      </c>
      <c r="K222" s="2">
        <v>0</v>
      </c>
      <c r="L222" s="16">
        <v>11700</v>
      </c>
      <c r="M222" s="16">
        <v>3900</v>
      </c>
      <c r="N222" s="8" t="s">
        <v>1869</v>
      </c>
      <c r="O222" s="12">
        <f t="shared" si="3"/>
        <v>33.333333333333329</v>
      </c>
      <c r="P222" s="2">
        <v>2</v>
      </c>
      <c r="Q222" s="2" t="s">
        <v>77</v>
      </c>
      <c r="R222" s="8" t="s">
        <v>1869</v>
      </c>
      <c r="S222" s="8" t="s">
        <v>1870</v>
      </c>
      <c r="T222" s="8" t="s">
        <v>80</v>
      </c>
      <c r="U222" s="2" t="s">
        <v>81</v>
      </c>
      <c r="V222" s="2"/>
      <c r="W222" s="16"/>
      <c r="X222" s="2">
        <v>2030</v>
      </c>
      <c r="Y222" s="16"/>
      <c r="Z222" s="16">
        <v>305.8</v>
      </c>
      <c r="AA222" s="2">
        <v>2030</v>
      </c>
      <c r="AB222" s="16">
        <v>197.3</v>
      </c>
      <c r="AC222" s="2">
        <v>2030</v>
      </c>
      <c r="AD222" s="2" t="s">
        <v>82</v>
      </c>
      <c r="AE222" s="16"/>
      <c r="AF222" s="16"/>
      <c r="AG222" s="16"/>
      <c r="AH222" s="16"/>
      <c r="AI222" s="8" t="s">
        <v>83</v>
      </c>
      <c r="AJ222" s="2" t="s">
        <v>84</v>
      </c>
      <c r="AK222" s="2">
        <v>1</v>
      </c>
      <c r="AL222" s="8" t="s">
        <v>1871</v>
      </c>
      <c r="AM222" s="8"/>
      <c r="AN222" s="2">
        <v>2027</v>
      </c>
      <c r="AO222" s="16">
        <v>1331</v>
      </c>
      <c r="AP222" s="2">
        <v>2030</v>
      </c>
      <c r="AQ222" s="16">
        <v>2306</v>
      </c>
      <c r="AR222" s="2" t="s">
        <v>86</v>
      </c>
      <c r="AS222" s="16">
        <v>20.100000000000001</v>
      </c>
      <c r="AT222" s="2">
        <v>2027</v>
      </c>
      <c r="AU222" s="16">
        <v>472</v>
      </c>
      <c r="AV222" s="2">
        <v>2030</v>
      </c>
      <c r="AW222" s="16">
        <v>566</v>
      </c>
      <c r="AX222" s="2" t="s">
        <v>86</v>
      </c>
      <c r="AY222" s="16">
        <v>6.3</v>
      </c>
      <c r="AZ222" s="2"/>
      <c r="BA222" s="16"/>
      <c r="BB222" s="2"/>
      <c r="BC222" s="16"/>
      <c r="BD222" s="2"/>
      <c r="BE222" s="16"/>
      <c r="BF222" s="2">
        <v>2027</v>
      </c>
      <c r="BG222" s="16">
        <v>638</v>
      </c>
      <c r="BH222" s="2">
        <v>2030</v>
      </c>
      <c r="BI222" s="16">
        <v>742</v>
      </c>
      <c r="BJ222" s="2" t="s">
        <v>87</v>
      </c>
      <c r="BK222" s="8"/>
      <c r="BL222" s="8" t="str">
        <f>HYPERLINK("https://seichotoushi-hojo.jp/assets/pdf/koufu_3_4ji/outline_22.pdf","PDFを開く")</f>
        <v>PDFを開く</v>
      </c>
      <c r="BM222" s="8" t="s">
        <v>1872</v>
      </c>
      <c r="BN222" s="8" t="s">
        <v>1873</v>
      </c>
      <c r="BO222" s="8" t="s">
        <v>90</v>
      </c>
      <c r="BP222" s="8" t="s">
        <v>166</v>
      </c>
      <c r="BQ222" s="8" t="s">
        <v>156</v>
      </c>
      <c r="BR222" s="8" t="s">
        <v>166</v>
      </c>
    </row>
    <row r="223" spans="1:70" ht="45.95" customHeight="1">
      <c r="A223" s="5" t="s">
        <v>1874</v>
      </c>
      <c r="B223" s="5" t="s">
        <v>1595</v>
      </c>
      <c r="C223" s="5" t="s">
        <v>1875</v>
      </c>
      <c r="D223" s="5" t="s">
        <v>1875</v>
      </c>
      <c r="E223" s="5" t="s">
        <v>95</v>
      </c>
      <c r="F223" s="5"/>
      <c r="G223" s="5">
        <v>2</v>
      </c>
      <c r="H223" s="5">
        <v>0</v>
      </c>
      <c r="I223" s="5">
        <v>1</v>
      </c>
      <c r="J223" s="5">
        <v>1</v>
      </c>
      <c r="K223" s="5">
        <v>0</v>
      </c>
      <c r="L223" s="17">
        <v>3100</v>
      </c>
      <c r="M223" s="17">
        <v>1000</v>
      </c>
      <c r="N223" s="9" t="s">
        <v>1823</v>
      </c>
      <c r="O223" s="13">
        <f t="shared" si="3"/>
        <v>32.258064516129032</v>
      </c>
      <c r="P223" s="5">
        <v>2</v>
      </c>
      <c r="Q223" s="5" t="s">
        <v>77</v>
      </c>
      <c r="R223" s="9" t="s">
        <v>1876</v>
      </c>
      <c r="S223" s="9" t="s">
        <v>1877</v>
      </c>
      <c r="T223" s="9" t="s">
        <v>80</v>
      </c>
      <c r="U223" s="5" t="s">
        <v>81</v>
      </c>
      <c r="V223" s="5"/>
      <c r="W223" s="17"/>
      <c r="X223" s="5">
        <v>2030</v>
      </c>
      <c r="Y223" s="17"/>
      <c r="Z223" s="17">
        <v>101</v>
      </c>
      <c r="AA223" s="5">
        <v>2030</v>
      </c>
      <c r="AB223" s="17">
        <v>85</v>
      </c>
      <c r="AC223" s="5">
        <v>2030</v>
      </c>
      <c r="AD223" s="5" t="s">
        <v>82</v>
      </c>
      <c r="AE223" s="17"/>
      <c r="AF223" s="17"/>
      <c r="AG223" s="17"/>
      <c r="AH223" s="17"/>
      <c r="AI223" s="9" t="s">
        <v>83</v>
      </c>
      <c r="AJ223" s="5" t="s">
        <v>84</v>
      </c>
      <c r="AK223" s="5">
        <v>1</v>
      </c>
      <c r="AL223" s="9" t="s">
        <v>1878</v>
      </c>
      <c r="AM223" s="9"/>
      <c r="AN223" s="5"/>
      <c r="AO223" s="17">
        <v>762</v>
      </c>
      <c r="AP223" s="5"/>
      <c r="AQ223" s="17">
        <v>1527</v>
      </c>
      <c r="AR223" s="5" t="s">
        <v>86</v>
      </c>
      <c r="AS223" s="17">
        <v>26.1</v>
      </c>
      <c r="AT223" s="5"/>
      <c r="AU223" s="17">
        <v>409</v>
      </c>
      <c r="AV223" s="5"/>
      <c r="AW223" s="17">
        <v>488</v>
      </c>
      <c r="AX223" s="5" t="s">
        <v>86</v>
      </c>
      <c r="AY223" s="17">
        <v>6.1</v>
      </c>
      <c r="AZ223" s="5"/>
      <c r="BA223" s="17"/>
      <c r="BB223" s="5"/>
      <c r="BC223" s="17"/>
      <c r="BD223" s="5" t="s">
        <v>86</v>
      </c>
      <c r="BE223" s="17">
        <v>6.1</v>
      </c>
      <c r="BF223" s="5"/>
      <c r="BG223" s="17">
        <v>170</v>
      </c>
      <c r="BH223" s="5"/>
      <c r="BI223" s="17">
        <v>205</v>
      </c>
      <c r="BJ223" s="5" t="s">
        <v>87</v>
      </c>
      <c r="BK223" s="9"/>
      <c r="BL223" s="9" t="str">
        <f>HYPERLINK("https://seichotoushi-hojo.jp/assets/pdf/koufu_3_4ji/outline_229.pdf","PDFを開く")</f>
        <v>PDFを開く</v>
      </c>
      <c r="BM223" s="9" t="s">
        <v>1879</v>
      </c>
      <c r="BN223" s="9" t="s">
        <v>1880</v>
      </c>
      <c r="BO223" s="9" t="s">
        <v>90</v>
      </c>
      <c r="BP223" s="9" t="s">
        <v>90</v>
      </c>
      <c r="BQ223" s="9" t="s">
        <v>91</v>
      </c>
      <c r="BR223" s="9" t="s">
        <v>92</v>
      </c>
    </row>
    <row r="224" spans="1:70" ht="45.95" customHeight="1">
      <c r="A224" s="2" t="s">
        <v>1881</v>
      </c>
      <c r="B224" s="2" t="s">
        <v>1595</v>
      </c>
      <c r="C224" s="2" t="s">
        <v>1882</v>
      </c>
      <c r="D224" s="2" t="s">
        <v>1882</v>
      </c>
      <c r="E224" s="2" t="s">
        <v>95</v>
      </c>
      <c r="F224" s="2"/>
      <c r="G224" s="2">
        <v>2</v>
      </c>
      <c r="H224" s="2">
        <v>0</v>
      </c>
      <c r="I224" s="2">
        <v>1</v>
      </c>
      <c r="J224" s="2">
        <v>1</v>
      </c>
      <c r="K224" s="2">
        <v>0</v>
      </c>
      <c r="L224" s="16">
        <v>3900</v>
      </c>
      <c r="M224" s="16">
        <v>1200</v>
      </c>
      <c r="N224" s="8" t="s">
        <v>117</v>
      </c>
      <c r="O224" s="12">
        <f t="shared" si="3"/>
        <v>30.76923076923077</v>
      </c>
      <c r="P224" s="2">
        <v>2</v>
      </c>
      <c r="Q224" s="2" t="s">
        <v>77</v>
      </c>
      <c r="R224" s="8" t="s">
        <v>1883</v>
      </c>
      <c r="S224" s="8" t="s">
        <v>1884</v>
      </c>
      <c r="T224" s="8" t="s">
        <v>80</v>
      </c>
      <c r="U224" s="2" t="s">
        <v>81</v>
      </c>
      <c r="V224" s="2"/>
      <c r="W224" s="16"/>
      <c r="X224" s="2">
        <v>2030</v>
      </c>
      <c r="Y224" s="16"/>
      <c r="Z224" s="16">
        <v>47.8</v>
      </c>
      <c r="AA224" s="2">
        <v>2030</v>
      </c>
      <c r="AB224" s="16">
        <v>59.8</v>
      </c>
      <c r="AC224" s="2">
        <v>2030</v>
      </c>
      <c r="AD224" s="2" t="s">
        <v>82</v>
      </c>
      <c r="AE224" s="16"/>
      <c r="AF224" s="16"/>
      <c r="AG224" s="16"/>
      <c r="AH224" s="16"/>
      <c r="AI224" s="8" t="s">
        <v>83</v>
      </c>
      <c r="AJ224" s="2" t="s">
        <v>84</v>
      </c>
      <c r="AK224" s="2">
        <v>1</v>
      </c>
      <c r="AL224" s="8" t="s">
        <v>1885</v>
      </c>
      <c r="AM224" s="8"/>
      <c r="AN224" s="2">
        <v>2027</v>
      </c>
      <c r="AO224" s="16">
        <v>726</v>
      </c>
      <c r="AP224" s="2">
        <v>2030</v>
      </c>
      <c r="AQ224" s="16">
        <v>1802</v>
      </c>
      <c r="AR224" s="2" t="s">
        <v>86</v>
      </c>
      <c r="AS224" s="16">
        <v>35.4</v>
      </c>
      <c r="AT224" s="2">
        <v>2027</v>
      </c>
      <c r="AU224" s="16">
        <v>626</v>
      </c>
      <c r="AV224" s="2">
        <v>2030</v>
      </c>
      <c r="AW224" s="16">
        <v>777</v>
      </c>
      <c r="AX224" s="2" t="s">
        <v>86</v>
      </c>
      <c r="AY224" s="16">
        <v>7.5</v>
      </c>
      <c r="AZ224" s="2">
        <v>2027</v>
      </c>
      <c r="BA224" s="16"/>
      <c r="BB224" s="2">
        <v>2030</v>
      </c>
      <c r="BC224" s="16"/>
      <c r="BD224" s="2" t="s">
        <v>86</v>
      </c>
      <c r="BE224" s="16">
        <v>7.5</v>
      </c>
      <c r="BF224" s="2">
        <v>2027</v>
      </c>
      <c r="BG224" s="16">
        <v>135</v>
      </c>
      <c r="BH224" s="2">
        <v>2030</v>
      </c>
      <c r="BI224" s="16">
        <v>145</v>
      </c>
      <c r="BJ224" s="2" t="s">
        <v>87</v>
      </c>
      <c r="BK224" s="8"/>
      <c r="BL224" s="8" t="str">
        <f>HYPERLINK("https://seichotoushi-hojo.jp/assets/pdf/koufu_3_4ji/outline_23.pdf","PDFを開く")</f>
        <v>PDFを開く</v>
      </c>
      <c r="BM224" s="8" t="s">
        <v>1886</v>
      </c>
      <c r="BN224" s="8" t="s">
        <v>1887</v>
      </c>
      <c r="BO224" s="8" t="s">
        <v>90</v>
      </c>
      <c r="BP224" s="8" t="s">
        <v>90</v>
      </c>
      <c r="BQ224" s="8" t="s">
        <v>91</v>
      </c>
      <c r="BR224" s="8" t="s">
        <v>92</v>
      </c>
    </row>
    <row r="225" spans="1:70" ht="45.95" customHeight="1">
      <c r="A225" s="5" t="s">
        <v>1888</v>
      </c>
      <c r="B225" s="5" t="s">
        <v>1595</v>
      </c>
      <c r="C225" s="5" t="s">
        <v>1889</v>
      </c>
      <c r="D225" s="5" t="s">
        <v>1889</v>
      </c>
      <c r="E225" s="5" t="s">
        <v>95</v>
      </c>
      <c r="F225" s="5" t="s">
        <v>1890</v>
      </c>
      <c r="G225" s="5">
        <v>2</v>
      </c>
      <c r="H225" s="5">
        <v>0</v>
      </c>
      <c r="I225" s="5">
        <v>1</v>
      </c>
      <c r="J225" s="5">
        <v>1</v>
      </c>
      <c r="K225" s="5">
        <v>0</v>
      </c>
      <c r="L225" s="17">
        <v>1800</v>
      </c>
      <c r="M225" s="17">
        <v>440</v>
      </c>
      <c r="N225" s="9" t="s">
        <v>1891</v>
      </c>
      <c r="O225" s="13">
        <f t="shared" si="3"/>
        <v>24.444444444444443</v>
      </c>
      <c r="P225" s="5">
        <v>2</v>
      </c>
      <c r="Q225" s="5" t="s">
        <v>77</v>
      </c>
      <c r="R225" s="9" t="s">
        <v>1892</v>
      </c>
      <c r="S225" s="9" t="s">
        <v>1893</v>
      </c>
      <c r="T225" s="9" t="s">
        <v>80</v>
      </c>
      <c r="U225" s="5" t="s">
        <v>81</v>
      </c>
      <c r="V225" s="5"/>
      <c r="W225" s="17"/>
      <c r="X225" s="5">
        <v>2030</v>
      </c>
      <c r="Y225" s="17"/>
      <c r="Z225" s="17">
        <v>43</v>
      </c>
      <c r="AA225" s="5">
        <v>2030</v>
      </c>
      <c r="AB225" s="17">
        <v>301</v>
      </c>
      <c r="AC225" s="5">
        <v>2030</v>
      </c>
      <c r="AD225" s="5" t="s">
        <v>82</v>
      </c>
      <c r="AE225" s="17"/>
      <c r="AF225" s="17"/>
      <c r="AG225" s="17"/>
      <c r="AH225" s="17"/>
      <c r="AI225" s="9" t="s">
        <v>83</v>
      </c>
      <c r="AJ225" s="5" t="s">
        <v>84</v>
      </c>
      <c r="AK225" s="5">
        <v>1</v>
      </c>
      <c r="AL225" s="9" t="s">
        <v>1894</v>
      </c>
      <c r="AM225" s="9"/>
      <c r="AN225" s="5">
        <v>2027</v>
      </c>
      <c r="AO225" s="17">
        <v>855</v>
      </c>
      <c r="AP225" s="5">
        <v>2030</v>
      </c>
      <c r="AQ225" s="17">
        <v>1232</v>
      </c>
      <c r="AR225" s="5" t="s">
        <v>86</v>
      </c>
      <c r="AS225" s="17">
        <v>12.9</v>
      </c>
      <c r="AT225" s="5">
        <v>2027</v>
      </c>
      <c r="AU225" s="17">
        <v>431</v>
      </c>
      <c r="AV225" s="5">
        <v>2030</v>
      </c>
      <c r="AW225" s="17">
        <v>513</v>
      </c>
      <c r="AX225" s="5" t="s">
        <v>86</v>
      </c>
      <c r="AY225" s="17">
        <v>6</v>
      </c>
      <c r="AZ225" s="5">
        <v>2027</v>
      </c>
      <c r="BA225" s="17"/>
      <c r="BB225" s="5">
        <v>2030</v>
      </c>
      <c r="BC225" s="17"/>
      <c r="BD225" s="5" t="s">
        <v>86</v>
      </c>
      <c r="BE225" s="17">
        <v>6</v>
      </c>
      <c r="BF225" s="5">
        <v>2027</v>
      </c>
      <c r="BG225" s="17">
        <v>21</v>
      </c>
      <c r="BH225" s="5">
        <v>2030</v>
      </c>
      <c r="BI225" s="17">
        <v>25</v>
      </c>
      <c r="BJ225" s="5" t="s">
        <v>87</v>
      </c>
      <c r="BK225" s="9"/>
      <c r="BL225" s="9" t="str">
        <f>HYPERLINK("https://seichotoushi-hojo.jp/assets/pdf/koufu_3_4ji/outline_232.pdf","PDFを開く")</f>
        <v>PDFを開く</v>
      </c>
      <c r="BM225" s="9" t="s">
        <v>1895</v>
      </c>
      <c r="BN225" s="9" t="s">
        <v>1896</v>
      </c>
      <c r="BO225" s="9" t="s">
        <v>90</v>
      </c>
      <c r="BP225" s="9" t="s">
        <v>90</v>
      </c>
      <c r="BQ225" s="9" t="s">
        <v>91</v>
      </c>
      <c r="BR225" s="9" t="s">
        <v>92</v>
      </c>
    </row>
    <row r="226" spans="1:70" ht="45.95" customHeight="1">
      <c r="A226" s="2" t="s">
        <v>1897</v>
      </c>
      <c r="B226" s="2" t="s">
        <v>1595</v>
      </c>
      <c r="C226" s="2" t="s">
        <v>1898</v>
      </c>
      <c r="D226" s="2" t="s">
        <v>1898</v>
      </c>
      <c r="E226" s="2" t="s">
        <v>75</v>
      </c>
      <c r="F226" s="2"/>
      <c r="G226" s="2">
        <v>2</v>
      </c>
      <c r="H226" s="2">
        <v>0</v>
      </c>
      <c r="I226" s="2">
        <v>1</v>
      </c>
      <c r="J226" s="2">
        <v>1</v>
      </c>
      <c r="K226" s="2">
        <v>0</v>
      </c>
      <c r="L226" s="16">
        <v>20300</v>
      </c>
      <c r="M226" s="16">
        <v>5000</v>
      </c>
      <c r="N226" s="8" t="s">
        <v>1899</v>
      </c>
      <c r="O226" s="12">
        <f t="shared" si="3"/>
        <v>24.630541871921181</v>
      </c>
      <c r="P226" s="2">
        <v>2</v>
      </c>
      <c r="Q226" s="2" t="s">
        <v>77</v>
      </c>
      <c r="R226" s="8" t="s">
        <v>1899</v>
      </c>
      <c r="S226" s="8" t="s">
        <v>1900</v>
      </c>
      <c r="T226" s="8" t="s">
        <v>80</v>
      </c>
      <c r="U226" s="2" t="s">
        <v>81</v>
      </c>
      <c r="V226" s="2">
        <v>2024</v>
      </c>
      <c r="W226" s="16"/>
      <c r="X226" s="2">
        <v>2030</v>
      </c>
      <c r="Y226" s="16"/>
      <c r="Z226" s="16">
        <v>1022</v>
      </c>
      <c r="AA226" s="2">
        <v>2030</v>
      </c>
      <c r="AB226" s="16">
        <v>93</v>
      </c>
      <c r="AC226" s="2">
        <v>2030</v>
      </c>
      <c r="AD226" s="2" t="s">
        <v>82</v>
      </c>
      <c r="AE226" s="16"/>
      <c r="AF226" s="16"/>
      <c r="AG226" s="16"/>
      <c r="AH226" s="16"/>
      <c r="AI226" s="8" t="s">
        <v>83</v>
      </c>
      <c r="AJ226" s="2" t="s">
        <v>84</v>
      </c>
      <c r="AK226" s="2">
        <v>1</v>
      </c>
      <c r="AL226" s="8" t="s">
        <v>1901</v>
      </c>
      <c r="AM226" s="8"/>
      <c r="AN226" s="2">
        <v>2027</v>
      </c>
      <c r="AO226" s="16">
        <v>8619</v>
      </c>
      <c r="AP226" s="2">
        <v>2030</v>
      </c>
      <c r="AQ226" s="16">
        <v>24301</v>
      </c>
      <c r="AR226" s="2" t="s">
        <v>86</v>
      </c>
      <c r="AS226" s="16">
        <v>41.3</v>
      </c>
      <c r="AT226" s="2">
        <v>2027</v>
      </c>
      <c r="AU226" s="16">
        <v>871</v>
      </c>
      <c r="AV226" s="2">
        <v>2030</v>
      </c>
      <c r="AW226" s="16">
        <v>1046</v>
      </c>
      <c r="AX226" s="2" t="s">
        <v>86</v>
      </c>
      <c r="AY226" s="16">
        <v>6.5</v>
      </c>
      <c r="AZ226" s="2"/>
      <c r="BA226" s="16"/>
      <c r="BB226" s="2"/>
      <c r="BC226" s="16"/>
      <c r="BD226" s="2"/>
      <c r="BE226" s="16"/>
      <c r="BF226" s="2">
        <v>2027</v>
      </c>
      <c r="BG226" s="16">
        <v>244</v>
      </c>
      <c r="BH226" s="2">
        <v>2030</v>
      </c>
      <c r="BI226" s="16">
        <v>269</v>
      </c>
      <c r="BJ226" s="2" t="s">
        <v>87</v>
      </c>
      <c r="BK226" s="8"/>
      <c r="BL226" s="8" t="str">
        <f>HYPERLINK("https://seichotoushi-hojo.jp/assets/pdf/koufu_3_4ji/outline_234.pdf","PDFを開く")</f>
        <v>PDFを開く</v>
      </c>
      <c r="BM226" s="8" t="s">
        <v>1902</v>
      </c>
      <c r="BN226" s="8" t="s">
        <v>1903</v>
      </c>
      <c r="BO226" s="8" t="s">
        <v>90</v>
      </c>
      <c r="BP226" s="8" t="s">
        <v>90</v>
      </c>
      <c r="BQ226" s="8" t="s">
        <v>156</v>
      </c>
      <c r="BR226" s="8" t="s">
        <v>92</v>
      </c>
    </row>
    <row r="227" spans="1:70" ht="45.95" customHeight="1">
      <c r="A227" s="5" t="s">
        <v>1904</v>
      </c>
      <c r="B227" s="5" t="s">
        <v>1595</v>
      </c>
      <c r="C227" s="5" t="s">
        <v>1905</v>
      </c>
      <c r="D227" s="5" t="s">
        <v>1905</v>
      </c>
      <c r="E227" s="5" t="s">
        <v>75</v>
      </c>
      <c r="F227" s="5"/>
      <c r="G227" s="5">
        <v>2</v>
      </c>
      <c r="H227" s="5">
        <v>0</v>
      </c>
      <c r="I227" s="5">
        <v>1</v>
      </c>
      <c r="J227" s="5">
        <v>1</v>
      </c>
      <c r="K227" s="5">
        <v>0</v>
      </c>
      <c r="L227" s="17">
        <v>1700</v>
      </c>
      <c r="M227" s="17">
        <v>540</v>
      </c>
      <c r="N227" s="9" t="s">
        <v>1906</v>
      </c>
      <c r="O227" s="13">
        <f t="shared" si="3"/>
        <v>31.764705882352938</v>
      </c>
      <c r="P227" s="5">
        <v>2</v>
      </c>
      <c r="Q227" s="5" t="s">
        <v>77</v>
      </c>
      <c r="R227" s="9" t="s">
        <v>1906</v>
      </c>
      <c r="S227" s="9" t="s">
        <v>1907</v>
      </c>
      <c r="T227" s="9" t="s">
        <v>80</v>
      </c>
      <c r="U227" s="5" t="s">
        <v>81</v>
      </c>
      <c r="V227" s="5"/>
      <c r="W227" s="17"/>
      <c r="X227" s="5">
        <v>2035</v>
      </c>
      <c r="Y227" s="17">
        <v>200</v>
      </c>
      <c r="Z227" s="17">
        <v>126</v>
      </c>
      <c r="AA227" s="5">
        <v>2035</v>
      </c>
      <c r="AB227" s="17">
        <v>8.9</v>
      </c>
      <c r="AC227" s="5">
        <v>2035</v>
      </c>
      <c r="AD227" s="5" t="s">
        <v>82</v>
      </c>
      <c r="AE227" s="17"/>
      <c r="AF227" s="17"/>
      <c r="AG227" s="17"/>
      <c r="AH227" s="17"/>
      <c r="AI227" s="9" t="s">
        <v>83</v>
      </c>
      <c r="AJ227" s="5" t="s">
        <v>84</v>
      </c>
      <c r="AK227" s="5">
        <v>1</v>
      </c>
      <c r="AL227" s="9" t="s">
        <v>1908</v>
      </c>
      <c r="AM227" s="9" t="s">
        <v>1909</v>
      </c>
      <c r="AN227" s="5">
        <v>2027</v>
      </c>
      <c r="AO227" s="17">
        <v>344</v>
      </c>
      <c r="AP227" s="5">
        <v>2030</v>
      </c>
      <c r="AQ227" s="17">
        <v>523</v>
      </c>
      <c r="AR227" s="5" t="s">
        <v>86</v>
      </c>
      <c r="AS227" s="17">
        <v>15</v>
      </c>
      <c r="AT227" s="5">
        <v>2027</v>
      </c>
      <c r="AU227" s="17">
        <v>257</v>
      </c>
      <c r="AV227" s="5">
        <v>2030</v>
      </c>
      <c r="AW227" s="17">
        <v>307</v>
      </c>
      <c r="AX227" s="5" t="s">
        <v>86</v>
      </c>
      <c r="AY227" s="17">
        <v>6.1</v>
      </c>
      <c r="AZ227" s="5"/>
      <c r="BA227" s="17"/>
      <c r="BB227" s="5"/>
      <c r="BC227" s="17"/>
      <c r="BD227" s="5"/>
      <c r="BE227" s="17"/>
      <c r="BF227" s="5">
        <v>2027</v>
      </c>
      <c r="BG227" s="17">
        <v>330</v>
      </c>
      <c r="BH227" s="5">
        <v>2030</v>
      </c>
      <c r="BI227" s="17">
        <v>336</v>
      </c>
      <c r="BJ227" s="5" t="s">
        <v>87</v>
      </c>
      <c r="BK227" s="9"/>
      <c r="BL227" s="9" t="str">
        <f>HYPERLINK("https://seichotoushi-hojo.jp/assets/pdf/koufu_3_4ji/outline_24.pdf","PDFを開く")</f>
        <v>PDFを開く</v>
      </c>
      <c r="BM227" s="9" t="s">
        <v>1910</v>
      </c>
      <c r="BN227" s="9" t="s">
        <v>1911</v>
      </c>
      <c r="BO227" s="9" t="s">
        <v>90</v>
      </c>
      <c r="BP227" s="9" t="s">
        <v>166</v>
      </c>
      <c r="BQ227" s="9" t="s">
        <v>157</v>
      </c>
      <c r="BR227" s="9" t="s">
        <v>92</v>
      </c>
    </row>
    <row r="228" spans="1:70" ht="45.95" customHeight="1">
      <c r="A228" s="2" t="s">
        <v>1912</v>
      </c>
      <c r="B228" s="2" t="s">
        <v>1595</v>
      </c>
      <c r="C228" s="2" t="s">
        <v>1913</v>
      </c>
      <c r="D228" s="2" t="s">
        <v>1913</v>
      </c>
      <c r="E228" s="2" t="s">
        <v>186</v>
      </c>
      <c r="F228" s="2"/>
      <c r="G228" s="2">
        <v>5</v>
      </c>
      <c r="H228" s="2">
        <v>0</v>
      </c>
      <c r="I228" s="2">
        <v>3</v>
      </c>
      <c r="J228" s="2">
        <v>2</v>
      </c>
      <c r="K228" s="2">
        <v>0</v>
      </c>
      <c r="L228" s="16">
        <v>4500</v>
      </c>
      <c r="M228" s="16">
        <v>1300</v>
      </c>
      <c r="N228" s="8" t="s">
        <v>559</v>
      </c>
      <c r="O228" s="12">
        <f t="shared" si="3"/>
        <v>28.888888888888886</v>
      </c>
      <c r="P228" s="2">
        <v>4</v>
      </c>
      <c r="Q228" s="2" t="s">
        <v>77</v>
      </c>
      <c r="R228" s="8" t="s">
        <v>559</v>
      </c>
      <c r="S228" s="8" t="s">
        <v>1914</v>
      </c>
      <c r="T228" s="8" t="s">
        <v>80</v>
      </c>
      <c r="U228" s="2" t="s">
        <v>81</v>
      </c>
      <c r="V228" s="2"/>
      <c r="W228" s="16"/>
      <c r="X228" s="2">
        <v>2030</v>
      </c>
      <c r="Y228" s="16"/>
      <c r="Z228" s="16">
        <v>35.6</v>
      </c>
      <c r="AA228" s="2">
        <v>2030</v>
      </c>
      <c r="AB228" s="16">
        <v>280.3</v>
      </c>
      <c r="AC228" s="2">
        <v>2030</v>
      </c>
      <c r="AD228" s="2" t="s">
        <v>82</v>
      </c>
      <c r="AE228" s="16"/>
      <c r="AF228" s="16"/>
      <c r="AG228" s="16"/>
      <c r="AH228" s="16"/>
      <c r="AI228" s="8" t="s">
        <v>83</v>
      </c>
      <c r="AJ228" s="2" t="s">
        <v>84</v>
      </c>
      <c r="AK228" s="2">
        <v>2</v>
      </c>
      <c r="AL228" s="8" t="s">
        <v>1915</v>
      </c>
      <c r="AM228" s="8"/>
      <c r="AN228" s="2">
        <v>2027</v>
      </c>
      <c r="AO228" s="16">
        <v>949</v>
      </c>
      <c r="AP228" s="2">
        <v>2030</v>
      </c>
      <c r="AQ228" s="16">
        <v>2496</v>
      </c>
      <c r="AR228" s="2" t="s">
        <v>86</v>
      </c>
      <c r="AS228" s="16">
        <v>38</v>
      </c>
      <c r="AT228" s="2">
        <v>2027</v>
      </c>
      <c r="AU228" s="16">
        <v>396</v>
      </c>
      <c r="AV228" s="2">
        <v>2030</v>
      </c>
      <c r="AW228" s="16">
        <v>486</v>
      </c>
      <c r="AX228" s="2" t="s">
        <v>86</v>
      </c>
      <c r="AY228" s="16">
        <v>7</v>
      </c>
      <c r="AZ228" s="2">
        <v>2027</v>
      </c>
      <c r="BA228" s="16"/>
      <c r="BB228" s="2">
        <v>2030</v>
      </c>
      <c r="BC228" s="16"/>
      <c r="BD228" s="2" t="s">
        <v>86</v>
      </c>
      <c r="BE228" s="16">
        <v>7</v>
      </c>
      <c r="BF228" s="2">
        <v>2027</v>
      </c>
      <c r="BG228" s="16">
        <v>78</v>
      </c>
      <c r="BH228" s="2">
        <v>2030</v>
      </c>
      <c r="BI228" s="16">
        <v>90</v>
      </c>
      <c r="BJ228" s="2" t="s">
        <v>87</v>
      </c>
      <c r="BK228" s="8"/>
      <c r="BL228" s="8" t="str">
        <f>HYPERLINK("https://seichotoushi-hojo.jp/assets/pdf/koufu_3_4ji/outline_25.pdf","PDFを開く")</f>
        <v>PDFを開く</v>
      </c>
      <c r="BM228" s="8" t="s">
        <v>1916</v>
      </c>
      <c r="BN228" s="8" t="s">
        <v>1917</v>
      </c>
      <c r="BO228" s="8" t="s">
        <v>90</v>
      </c>
      <c r="BP228" s="8" t="s">
        <v>90</v>
      </c>
      <c r="BQ228" s="8" t="s">
        <v>91</v>
      </c>
      <c r="BR228" s="8" t="s">
        <v>92</v>
      </c>
    </row>
    <row r="229" spans="1:70" ht="45.95" customHeight="1">
      <c r="A229" s="5" t="s">
        <v>1918</v>
      </c>
      <c r="B229" s="5" t="s">
        <v>1595</v>
      </c>
      <c r="C229" s="5" t="s">
        <v>1919</v>
      </c>
      <c r="D229" s="5" t="s">
        <v>1919</v>
      </c>
      <c r="E229" s="5" t="s">
        <v>95</v>
      </c>
      <c r="F229" s="5"/>
      <c r="G229" s="5">
        <v>2</v>
      </c>
      <c r="H229" s="5">
        <v>0</v>
      </c>
      <c r="I229" s="5">
        <v>1</v>
      </c>
      <c r="J229" s="5">
        <v>1</v>
      </c>
      <c r="K229" s="5">
        <v>0</v>
      </c>
      <c r="L229" s="17">
        <v>2100</v>
      </c>
      <c r="M229" s="17">
        <v>500</v>
      </c>
      <c r="N229" s="9" t="s">
        <v>1920</v>
      </c>
      <c r="O229" s="13">
        <f t="shared" si="3"/>
        <v>23.809523809523807</v>
      </c>
      <c r="P229" s="5">
        <v>2</v>
      </c>
      <c r="Q229" s="5" t="s">
        <v>77</v>
      </c>
      <c r="R229" s="9" t="s">
        <v>1921</v>
      </c>
      <c r="S229" s="9" t="s">
        <v>1922</v>
      </c>
      <c r="T229" s="9" t="s">
        <v>80</v>
      </c>
      <c r="U229" s="5" t="s">
        <v>81</v>
      </c>
      <c r="V229" s="5">
        <v>2025</v>
      </c>
      <c r="W229" s="17">
        <v>112</v>
      </c>
      <c r="X229" s="5">
        <v>2030</v>
      </c>
      <c r="Y229" s="17">
        <v>112</v>
      </c>
      <c r="Z229" s="17">
        <v>50.6</v>
      </c>
      <c r="AA229" s="5">
        <v>2030</v>
      </c>
      <c r="AB229" s="17">
        <v>16.3</v>
      </c>
      <c r="AC229" s="5">
        <v>2030</v>
      </c>
      <c r="AD229" s="5" t="s">
        <v>82</v>
      </c>
      <c r="AE229" s="17"/>
      <c r="AF229" s="17"/>
      <c r="AG229" s="17">
        <v>0</v>
      </c>
      <c r="AH229" s="17"/>
      <c r="AI229" s="9" t="s">
        <v>200</v>
      </c>
      <c r="AJ229" s="5" t="s">
        <v>84</v>
      </c>
      <c r="AK229" s="5">
        <v>1</v>
      </c>
      <c r="AL229" s="9" t="s">
        <v>1923</v>
      </c>
      <c r="AM229" s="9" t="s">
        <v>1924</v>
      </c>
      <c r="AN229" s="5">
        <v>2027</v>
      </c>
      <c r="AO229" s="17">
        <v>956</v>
      </c>
      <c r="AP229" s="5">
        <v>2030</v>
      </c>
      <c r="AQ229" s="17">
        <v>2159</v>
      </c>
      <c r="AR229" s="5" t="s">
        <v>86</v>
      </c>
      <c r="AS229" s="17">
        <v>31.2</v>
      </c>
      <c r="AT229" s="5">
        <v>2027</v>
      </c>
      <c r="AU229" s="17">
        <v>349</v>
      </c>
      <c r="AV229" s="5">
        <v>2030</v>
      </c>
      <c r="AW229" s="17">
        <v>425</v>
      </c>
      <c r="AX229" s="5" t="s">
        <v>86</v>
      </c>
      <c r="AY229" s="17">
        <v>6.8</v>
      </c>
      <c r="AZ229" s="5"/>
      <c r="BA229" s="17"/>
      <c r="BB229" s="5"/>
      <c r="BC229" s="17"/>
      <c r="BD229" s="5"/>
      <c r="BE229" s="17"/>
      <c r="BF229" s="5">
        <v>2027</v>
      </c>
      <c r="BG229" s="17">
        <v>44</v>
      </c>
      <c r="BH229" s="5">
        <v>2030</v>
      </c>
      <c r="BI229" s="17">
        <v>98</v>
      </c>
      <c r="BJ229" s="5" t="s">
        <v>87</v>
      </c>
      <c r="BK229" s="9"/>
      <c r="BL229" s="9" t="str">
        <f>HYPERLINK("https://seichotoushi-hojo.jp/assets/pdf/koufu_3_4ji/outline_26.pdf","PDFを開く")</f>
        <v>PDFを開く</v>
      </c>
      <c r="BM229" s="9" t="s">
        <v>1925</v>
      </c>
      <c r="BN229" s="9" t="s">
        <v>1926</v>
      </c>
      <c r="BO229" s="9" t="s">
        <v>90</v>
      </c>
      <c r="BP229" s="9" t="s">
        <v>90</v>
      </c>
      <c r="BQ229" s="9" t="s">
        <v>156</v>
      </c>
      <c r="BR229" s="9" t="s">
        <v>92</v>
      </c>
    </row>
    <row r="230" spans="1:70" ht="45.95" customHeight="1">
      <c r="A230" s="2" t="s">
        <v>1927</v>
      </c>
      <c r="B230" s="2" t="s">
        <v>1595</v>
      </c>
      <c r="C230" s="2" t="s">
        <v>1928</v>
      </c>
      <c r="D230" s="2" t="s">
        <v>1928</v>
      </c>
      <c r="E230" s="2" t="s">
        <v>75</v>
      </c>
      <c r="F230" s="2" t="s">
        <v>1929</v>
      </c>
      <c r="G230" s="2">
        <v>2</v>
      </c>
      <c r="H230" s="2">
        <v>0</v>
      </c>
      <c r="I230" s="2">
        <v>1</v>
      </c>
      <c r="J230" s="2">
        <v>1</v>
      </c>
      <c r="K230" s="2">
        <v>0</v>
      </c>
      <c r="L230" s="16">
        <v>6600</v>
      </c>
      <c r="M230" s="16">
        <v>1600</v>
      </c>
      <c r="N230" s="8" t="s">
        <v>1930</v>
      </c>
      <c r="O230" s="12">
        <f t="shared" si="3"/>
        <v>24.242424242424242</v>
      </c>
      <c r="P230" s="2">
        <v>2</v>
      </c>
      <c r="Q230" s="2" t="s">
        <v>77</v>
      </c>
      <c r="R230" s="8" t="s">
        <v>1931</v>
      </c>
      <c r="S230" s="8" t="s">
        <v>1932</v>
      </c>
      <c r="T230" s="8" t="s">
        <v>80</v>
      </c>
      <c r="U230" s="2" t="s">
        <v>81</v>
      </c>
      <c r="V230" s="2"/>
      <c r="W230" s="16"/>
      <c r="X230" s="2"/>
      <c r="Y230" s="16">
        <v>160</v>
      </c>
      <c r="Z230" s="16"/>
      <c r="AA230" s="2"/>
      <c r="AB230" s="16"/>
      <c r="AC230" s="2"/>
      <c r="AD230" s="2"/>
      <c r="AE230" s="16"/>
      <c r="AF230" s="16"/>
      <c r="AG230" s="16"/>
      <c r="AH230" s="16">
        <v>2</v>
      </c>
      <c r="AI230" s="8" t="s">
        <v>83</v>
      </c>
      <c r="AJ230" s="2" t="s">
        <v>587</v>
      </c>
      <c r="AK230" s="2">
        <v>1</v>
      </c>
      <c r="AL230" s="8" t="s">
        <v>1933</v>
      </c>
      <c r="AM230" s="8"/>
      <c r="AN230" s="2">
        <v>2026</v>
      </c>
      <c r="AO230" s="16">
        <v>556</v>
      </c>
      <c r="AP230" s="2">
        <v>2029</v>
      </c>
      <c r="AQ230" s="16">
        <v>1281</v>
      </c>
      <c r="AR230" s="2" t="s">
        <v>86</v>
      </c>
      <c r="AS230" s="16"/>
      <c r="AT230" s="2">
        <v>2026</v>
      </c>
      <c r="AU230" s="16">
        <v>339</v>
      </c>
      <c r="AV230" s="2">
        <v>2029</v>
      </c>
      <c r="AW230" s="16">
        <v>405</v>
      </c>
      <c r="AX230" s="2" t="s">
        <v>86</v>
      </c>
      <c r="AY230" s="16">
        <v>6</v>
      </c>
      <c r="AZ230" s="2"/>
      <c r="BA230" s="16"/>
      <c r="BB230" s="2"/>
      <c r="BC230" s="16"/>
      <c r="BD230" s="2"/>
      <c r="BE230" s="16"/>
      <c r="BF230" s="2">
        <v>2026</v>
      </c>
      <c r="BG230" s="16">
        <v>368</v>
      </c>
      <c r="BH230" s="2">
        <v>2029</v>
      </c>
      <c r="BI230" s="16">
        <v>416</v>
      </c>
      <c r="BJ230" s="2" t="s">
        <v>87</v>
      </c>
      <c r="BK230" s="8"/>
      <c r="BL230" s="8" t="str">
        <f>HYPERLINK("https://seichotoushi-hojo.jp/assets/pdf/koufu_3_4ji/outline_27.pdf","PDFを開く")</f>
        <v>PDFを開く</v>
      </c>
      <c r="BM230" s="8" t="s">
        <v>1934</v>
      </c>
      <c r="BN230" s="8" t="s">
        <v>1935</v>
      </c>
      <c r="BO230" s="8" t="s">
        <v>92</v>
      </c>
      <c r="BP230" s="8" t="s">
        <v>90</v>
      </c>
      <c r="BQ230" s="8" t="s">
        <v>156</v>
      </c>
      <c r="BR230" s="8" t="s">
        <v>92</v>
      </c>
    </row>
    <row r="231" spans="1:70" ht="45.95" customHeight="1">
      <c r="A231" s="5" t="s">
        <v>1936</v>
      </c>
      <c r="B231" s="5" t="s">
        <v>1595</v>
      </c>
      <c r="C231" s="5" t="s">
        <v>1937</v>
      </c>
      <c r="D231" s="5" t="s">
        <v>1937</v>
      </c>
      <c r="E231" s="5" t="s">
        <v>186</v>
      </c>
      <c r="F231" s="5" t="s">
        <v>1938</v>
      </c>
      <c r="G231" s="5">
        <v>5</v>
      </c>
      <c r="H231" s="5">
        <v>0</v>
      </c>
      <c r="I231" s="5">
        <v>2</v>
      </c>
      <c r="J231" s="5">
        <v>3</v>
      </c>
      <c r="K231" s="5">
        <v>0</v>
      </c>
      <c r="L231" s="17">
        <v>1100</v>
      </c>
      <c r="M231" s="17">
        <v>270</v>
      </c>
      <c r="N231" s="9" t="s">
        <v>1939</v>
      </c>
      <c r="O231" s="13">
        <f t="shared" si="3"/>
        <v>24.545454545454547</v>
      </c>
      <c r="P231" s="5">
        <v>3</v>
      </c>
      <c r="Q231" s="5" t="s">
        <v>77</v>
      </c>
      <c r="R231" s="9" t="s">
        <v>1939</v>
      </c>
      <c r="S231" s="9" t="s">
        <v>1940</v>
      </c>
      <c r="T231" s="9" t="s">
        <v>80</v>
      </c>
      <c r="U231" s="5" t="s">
        <v>81</v>
      </c>
      <c r="V231" s="5"/>
      <c r="W231" s="17"/>
      <c r="X231" s="5">
        <v>2029</v>
      </c>
      <c r="Y231" s="17"/>
      <c r="Z231" s="17">
        <v>52.9</v>
      </c>
      <c r="AA231" s="5">
        <v>2029</v>
      </c>
      <c r="AB231" s="17">
        <v>19</v>
      </c>
      <c r="AC231" s="5">
        <v>2029</v>
      </c>
      <c r="AD231" s="5" t="s">
        <v>210</v>
      </c>
      <c r="AE231" s="17"/>
      <c r="AF231" s="17"/>
      <c r="AG231" s="17"/>
      <c r="AH231" s="17"/>
      <c r="AI231" s="9" t="s">
        <v>83</v>
      </c>
      <c r="AJ231" s="5" t="s">
        <v>84</v>
      </c>
      <c r="AK231" s="5">
        <v>1</v>
      </c>
      <c r="AL231" s="9" t="s">
        <v>1941</v>
      </c>
      <c r="AM231" s="9"/>
      <c r="AN231" s="5">
        <v>2026</v>
      </c>
      <c r="AO231" s="17">
        <v>583</v>
      </c>
      <c r="AP231" s="5">
        <v>2029</v>
      </c>
      <c r="AQ231" s="17">
        <v>1049</v>
      </c>
      <c r="AR231" s="5" t="s">
        <v>86</v>
      </c>
      <c r="AS231" s="17">
        <v>21.1</v>
      </c>
      <c r="AT231" s="5">
        <v>2026</v>
      </c>
      <c r="AU231" s="17">
        <v>568</v>
      </c>
      <c r="AV231" s="5">
        <v>2029</v>
      </c>
      <c r="AW231" s="17">
        <v>712</v>
      </c>
      <c r="AX231" s="5" t="s">
        <v>86</v>
      </c>
      <c r="AY231" s="17">
        <v>7.8</v>
      </c>
      <c r="AZ231" s="5">
        <v>2026</v>
      </c>
      <c r="BA231" s="17"/>
      <c r="BB231" s="5">
        <v>2029</v>
      </c>
      <c r="BC231" s="17"/>
      <c r="BD231" s="5" t="s">
        <v>86</v>
      </c>
      <c r="BE231" s="17">
        <v>5</v>
      </c>
      <c r="BF231" s="5">
        <v>2026</v>
      </c>
      <c r="BG231" s="17">
        <v>30</v>
      </c>
      <c r="BH231" s="5">
        <v>2029</v>
      </c>
      <c r="BI231" s="17">
        <v>61</v>
      </c>
      <c r="BJ231" s="5" t="s">
        <v>87</v>
      </c>
      <c r="BK231" s="9"/>
      <c r="BL231" s="9" t="str">
        <f>HYPERLINK("https://seichotoushi-hojo.jp/assets/pdf/koufu_3_4ji/outline_3.pdf","PDFを開く")</f>
        <v>PDFを開く</v>
      </c>
      <c r="BM231" s="9" t="s">
        <v>1942</v>
      </c>
      <c r="BN231" s="9" t="s">
        <v>1943</v>
      </c>
      <c r="BO231" s="9" t="s">
        <v>90</v>
      </c>
      <c r="BP231" s="9" t="s">
        <v>90</v>
      </c>
      <c r="BQ231" s="9" t="s">
        <v>91</v>
      </c>
      <c r="BR231" s="9" t="s">
        <v>92</v>
      </c>
    </row>
    <row r="232" spans="1:70" ht="45.95" customHeight="1">
      <c r="A232" s="2" t="s">
        <v>1944</v>
      </c>
      <c r="B232" s="2" t="s">
        <v>1595</v>
      </c>
      <c r="C232" s="2" t="s">
        <v>1945</v>
      </c>
      <c r="D232" s="2" t="s">
        <v>1945</v>
      </c>
      <c r="E232" s="2" t="s">
        <v>186</v>
      </c>
      <c r="F232" s="2"/>
      <c r="G232" s="2">
        <v>2</v>
      </c>
      <c r="H232" s="2">
        <v>0</v>
      </c>
      <c r="I232" s="2">
        <v>1</v>
      </c>
      <c r="J232" s="2">
        <v>1</v>
      </c>
      <c r="K232" s="2">
        <v>0</v>
      </c>
      <c r="L232" s="16">
        <v>3300</v>
      </c>
      <c r="M232" s="16">
        <v>910</v>
      </c>
      <c r="N232" s="8" t="s">
        <v>1946</v>
      </c>
      <c r="O232" s="12">
        <f t="shared" si="3"/>
        <v>27.575757575757574</v>
      </c>
      <c r="P232" s="2">
        <v>2</v>
      </c>
      <c r="Q232" s="2" t="s">
        <v>77</v>
      </c>
      <c r="R232" s="8" t="s">
        <v>1947</v>
      </c>
      <c r="S232" s="8" t="s">
        <v>1948</v>
      </c>
      <c r="T232" s="8" t="s">
        <v>80</v>
      </c>
      <c r="U232" s="2" t="s">
        <v>81</v>
      </c>
      <c r="V232" s="2"/>
      <c r="W232" s="16"/>
      <c r="X232" s="2">
        <v>2029</v>
      </c>
      <c r="Y232" s="16"/>
      <c r="Z232" s="16">
        <v>38</v>
      </c>
      <c r="AA232" s="2">
        <v>2029</v>
      </c>
      <c r="AB232" s="16">
        <v>217</v>
      </c>
      <c r="AC232" s="2">
        <v>2029</v>
      </c>
      <c r="AD232" s="2" t="s">
        <v>82</v>
      </c>
      <c r="AE232" s="16"/>
      <c r="AF232" s="16"/>
      <c r="AG232" s="16"/>
      <c r="AH232" s="16"/>
      <c r="AI232" s="8" t="s">
        <v>83</v>
      </c>
      <c r="AJ232" s="2" t="s">
        <v>84</v>
      </c>
      <c r="AK232" s="2">
        <v>1</v>
      </c>
      <c r="AL232" s="8" t="s">
        <v>1949</v>
      </c>
      <c r="AM232" s="8"/>
      <c r="AN232" s="2">
        <v>2026</v>
      </c>
      <c r="AO232" s="16">
        <v>1072</v>
      </c>
      <c r="AP232" s="2">
        <v>2029</v>
      </c>
      <c r="AQ232" s="16">
        <v>1446</v>
      </c>
      <c r="AR232" s="2" t="s">
        <v>86</v>
      </c>
      <c r="AS232" s="16">
        <v>10.5</v>
      </c>
      <c r="AT232" s="2">
        <v>2026</v>
      </c>
      <c r="AU232" s="16">
        <v>529</v>
      </c>
      <c r="AV232" s="2">
        <v>2029</v>
      </c>
      <c r="AW232" s="16">
        <v>630</v>
      </c>
      <c r="AX232" s="2" t="s">
        <v>86</v>
      </c>
      <c r="AY232" s="16">
        <v>6</v>
      </c>
      <c r="AZ232" s="2">
        <v>2026</v>
      </c>
      <c r="BA232" s="16"/>
      <c r="BB232" s="2">
        <v>2029</v>
      </c>
      <c r="BC232" s="16"/>
      <c r="BD232" s="2" t="s">
        <v>86</v>
      </c>
      <c r="BE232" s="16">
        <v>4.5</v>
      </c>
      <c r="BF232" s="2">
        <v>2026</v>
      </c>
      <c r="BG232" s="16">
        <v>112</v>
      </c>
      <c r="BH232" s="2">
        <v>2029</v>
      </c>
      <c r="BI232" s="16">
        <v>175</v>
      </c>
      <c r="BJ232" s="2" t="s">
        <v>87</v>
      </c>
      <c r="BK232" s="8"/>
      <c r="BL232" s="8" t="str">
        <f>HYPERLINK("https://seichotoushi-hojo.jp/assets/pdf/koufu_3_4ji/outline_30.pdf","PDFを開く")</f>
        <v>PDFを開く</v>
      </c>
      <c r="BM232" s="8" t="s">
        <v>1950</v>
      </c>
      <c r="BN232" s="8" t="s">
        <v>1951</v>
      </c>
      <c r="BO232" s="8" t="s">
        <v>90</v>
      </c>
      <c r="BP232" s="8" t="s">
        <v>90</v>
      </c>
      <c r="BQ232" s="8" t="s">
        <v>91</v>
      </c>
      <c r="BR232" s="8" t="s">
        <v>92</v>
      </c>
    </row>
    <row r="233" spans="1:70" ht="45.95" customHeight="1">
      <c r="A233" s="5" t="s">
        <v>1952</v>
      </c>
      <c r="B233" s="5" t="s">
        <v>1595</v>
      </c>
      <c r="C233" s="5" t="s">
        <v>1953</v>
      </c>
      <c r="D233" s="5" t="s">
        <v>1953</v>
      </c>
      <c r="E233" s="5" t="s">
        <v>95</v>
      </c>
      <c r="F233" s="5"/>
      <c r="G233" s="5">
        <v>2</v>
      </c>
      <c r="H233" s="5">
        <v>0</v>
      </c>
      <c r="I233" s="5">
        <v>1</v>
      </c>
      <c r="J233" s="5">
        <v>1</v>
      </c>
      <c r="K233" s="5">
        <v>0</v>
      </c>
      <c r="L233" s="17">
        <v>4200</v>
      </c>
      <c r="M233" s="17">
        <v>1200</v>
      </c>
      <c r="N233" s="9" t="s">
        <v>1954</v>
      </c>
      <c r="O233" s="13">
        <f t="shared" si="3"/>
        <v>28.571428571428569</v>
      </c>
      <c r="P233" s="5">
        <v>2</v>
      </c>
      <c r="Q233" s="5" t="s">
        <v>77</v>
      </c>
      <c r="R233" s="9" t="s">
        <v>1955</v>
      </c>
      <c r="S233" s="9" t="s">
        <v>1956</v>
      </c>
      <c r="T233" s="9" t="s">
        <v>80</v>
      </c>
      <c r="U233" s="5" t="s">
        <v>81</v>
      </c>
      <c r="V233" s="5"/>
      <c r="W233" s="17"/>
      <c r="X233" s="5">
        <v>2030</v>
      </c>
      <c r="Y233" s="17"/>
      <c r="Z233" s="17">
        <v>179</v>
      </c>
      <c r="AA233" s="5">
        <v>2030</v>
      </c>
      <c r="AB233" s="17">
        <v>14.5</v>
      </c>
      <c r="AC233" s="5">
        <v>2030</v>
      </c>
      <c r="AD233" s="5" t="s">
        <v>210</v>
      </c>
      <c r="AE233" s="17"/>
      <c r="AF233" s="17"/>
      <c r="AG233" s="17"/>
      <c r="AH233" s="17"/>
      <c r="AI233" s="9" t="s">
        <v>83</v>
      </c>
      <c r="AJ233" s="5" t="s">
        <v>84</v>
      </c>
      <c r="AK233" s="5">
        <v>1</v>
      </c>
      <c r="AL233" s="9" t="s">
        <v>1957</v>
      </c>
      <c r="AM233" s="9"/>
      <c r="AN233" s="5">
        <v>2026</v>
      </c>
      <c r="AO233" s="17">
        <v>563</v>
      </c>
      <c r="AP233" s="5">
        <v>2029</v>
      </c>
      <c r="AQ233" s="17">
        <v>1685</v>
      </c>
      <c r="AR233" s="5" t="s">
        <v>86</v>
      </c>
      <c r="AS233" s="17">
        <v>44.1</v>
      </c>
      <c r="AT233" s="5">
        <v>2026</v>
      </c>
      <c r="AU233" s="17">
        <v>350</v>
      </c>
      <c r="AV233" s="5">
        <v>2029</v>
      </c>
      <c r="AW233" s="17">
        <v>415</v>
      </c>
      <c r="AX233" s="5" t="s">
        <v>86</v>
      </c>
      <c r="AY233" s="17">
        <v>5.8</v>
      </c>
      <c r="AZ233" s="5">
        <v>2026</v>
      </c>
      <c r="BA233" s="17"/>
      <c r="BB233" s="5">
        <v>2029</v>
      </c>
      <c r="BC233" s="17"/>
      <c r="BD233" s="5" t="s">
        <v>86</v>
      </c>
      <c r="BE233" s="17">
        <v>5.5</v>
      </c>
      <c r="BF233" s="5">
        <v>2026</v>
      </c>
      <c r="BG233" s="17">
        <v>125</v>
      </c>
      <c r="BH233" s="5">
        <v>2029</v>
      </c>
      <c r="BI233" s="17">
        <v>170</v>
      </c>
      <c r="BJ233" s="5" t="s">
        <v>87</v>
      </c>
      <c r="BK233" s="9"/>
      <c r="BL233" s="9" t="str">
        <f>HYPERLINK("https://seichotoushi-hojo.jp/assets/pdf/koufu_3_4ji/outline_31.pdf","PDFを開く")</f>
        <v>PDFを開く</v>
      </c>
      <c r="BM233" s="9" t="s">
        <v>1958</v>
      </c>
      <c r="BN233" s="9" t="s">
        <v>1959</v>
      </c>
      <c r="BO233" s="9" t="s">
        <v>90</v>
      </c>
      <c r="BP233" s="9" t="s">
        <v>90</v>
      </c>
      <c r="BQ233" s="9" t="s">
        <v>91</v>
      </c>
      <c r="BR233" s="9" t="s">
        <v>92</v>
      </c>
    </row>
    <row r="234" spans="1:70" ht="45.95" customHeight="1">
      <c r="A234" s="2" t="s">
        <v>1960</v>
      </c>
      <c r="B234" s="2" t="s">
        <v>1595</v>
      </c>
      <c r="C234" s="2" t="s">
        <v>1961</v>
      </c>
      <c r="D234" s="2" t="s">
        <v>1961</v>
      </c>
      <c r="E234" s="2" t="s">
        <v>75</v>
      </c>
      <c r="F234" s="2"/>
      <c r="G234" s="2">
        <v>4</v>
      </c>
      <c r="H234" s="2">
        <v>0</v>
      </c>
      <c r="I234" s="2">
        <v>1</v>
      </c>
      <c r="J234" s="2">
        <v>3</v>
      </c>
      <c r="K234" s="2">
        <v>0</v>
      </c>
      <c r="L234" s="16">
        <v>1700</v>
      </c>
      <c r="M234" s="16">
        <v>550</v>
      </c>
      <c r="N234" s="8" t="s">
        <v>1962</v>
      </c>
      <c r="O234" s="12">
        <f t="shared" si="3"/>
        <v>32.352941176470587</v>
      </c>
      <c r="P234" s="2">
        <v>2</v>
      </c>
      <c r="Q234" s="2" t="s">
        <v>77</v>
      </c>
      <c r="R234" s="8" t="s">
        <v>1963</v>
      </c>
      <c r="S234" s="8" t="s">
        <v>1964</v>
      </c>
      <c r="T234" s="8" t="s">
        <v>80</v>
      </c>
      <c r="U234" s="2" t="s">
        <v>81</v>
      </c>
      <c r="V234" s="2"/>
      <c r="W234" s="16"/>
      <c r="X234" s="2">
        <v>2031</v>
      </c>
      <c r="Y234" s="16"/>
      <c r="Z234" s="16">
        <v>53.7</v>
      </c>
      <c r="AA234" s="2">
        <v>2031</v>
      </c>
      <c r="AB234" s="16">
        <v>128.4</v>
      </c>
      <c r="AC234" s="2">
        <v>2031</v>
      </c>
      <c r="AD234" s="2" t="s">
        <v>82</v>
      </c>
      <c r="AE234" s="16"/>
      <c r="AF234" s="16"/>
      <c r="AG234" s="16"/>
      <c r="AH234" s="16"/>
      <c r="AI234" s="8" t="s">
        <v>83</v>
      </c>
      <c r="AJ234" s="2" t="s">
        <v>84</v>
      </c>
      <c r="AK234" s="2">
        <v>1</v>
      </c>
      <c r="AL234" s="8" t="s">
        <v>1965</v>
      </c>
      <c r="AM234" s="8"/>
      <c r="AN234" s="2">
        <v>2028</v>
      </c>
      <c r="AO234" s="16">
        <v>667</v>
      </c>
      <c r="AP234" s="2">
        <v>2031</v>
      </c>
      <c r="AQ234" s="16">
        <v>1199</v>
      </c>
      <c r="AR234" s="2" t="s">
        <v>86</v>
      </c>
      <c r="AS234" s="16">
        <v>21.6</v>
      </c>
      <c r="AT234" s="2">
        <v>2028</v>
      </c>
      <c r="AU234" s="16">
        <v>474</v>
      </c>
      <c r="AV234" s="2">
        <v>2031</v>
      </c>
      <c r="AW234" s="16">
        <v>566</v>
      </c>
      <c r="AX234" s="2" t="s">
        <v>86</v>
      </c>
      <c r="AY234" s="16">
        <v>6.1</v>
      </c>
      <c r="AZ234" s="2">
        <v>2028</v>
      </c>
      <c r="BA234" s="16"/>
      <c r="BB234" s="2">
        <v>2031</v>
      </c>
      <c r="BC234" s="16"/>
      <c r="BD234" s="2" t="s">
        <v>86</v>
      </c>
      <c r="BE234" s="16">
        <v>6.1</v>
      </c>
      <c r="BF234" s="2">
        <v>2028</v>
      </c>
      <c r="BG234" s="16">
        <v>78</v>
      </c>
      <c r="BH234" s="2">
        <v>2031</v>
      </c>
      <c r="BI234" s="16">
        <v>125</v>
      </c>
      <c r="BJ234" s="2" t="s">
        <v>87</v>
      </c>
      <c r="BK234" s="8"/>
      <c r="BL234" s="8" t="str">
        <f>HYPERLINK("https://seichotoushi-hojo.jp/assets/pdf/koufu_3_4ji/outline_32.pdf","PDFを開く")</f>
        <v>PDFを開く</v>
      </c>
      <c r="BM234" s="8" t="s">
        <v>1966</v>
      </c>
      <c r="BN234" s="8" t="s">
        <v>1967</v>
      </c>
      <c r="BO234" s="8" t="s">
        <v>90</v>
      </c>
      <c r="BP234" s="8" t="s">
        <v>90</v>
      </c>
      <c r="BQ234" s="8" t="s">
        <v>91</v>
      </c>
      <c r="BR234" s="8" t="s">
        <v>92</v>
      </c>
    </row>
    <row r="235" spans="1:70" ht="45.95" customHeight="1">
      <c r="A235" s="5" t="s">
        <v>1968</v>
      </c>
      <c r="B235" s="5" t="s">
        <v>1595</v>
      </c>
      <c r="C235" s="5" t="s">
        <v>1969</v>
      </c>
      <c r="D235" s="5" t="s">
        <v>1969</v>
      </c>
      <c r="E235" s="5" t="s">
        <v>186</v>
      </c>
      <c r="F235" s="5"/>
      <c r="G235" s="5">
        <v>2</v>
      </c>
      <c r="H235" s="5">
        <v>0</v>
      </c>
      <c r="I235" s="5">
        <v>1</v>
      </c>
      <c r="J235" s="5">
        <v>1</v>
      </c>
      <c r="K235" s="5">
        <v>0</v>
      </c>
      <c r="L235" s="17">
        <v>3800</v>
      </c>
      <c r="M235" s="17">
        <v>880</v>
      </c>
      <c r="N235" s="9" t="s">
        <v>1970</v>
      </c>
      <c r="O235" s="13">
        <f t="shared" si="3"/>
        <v>23.157894736842106</v>
      </c>
      <c r="P235" s="5">
        <v>2</v>
      </c>
      <c r="Q235" s="5" t="s">
        <v>77</v>
      </c>
      <c r="R235" s="9" t="s">
        <v>1970</v>
      </c>
      <c r="S235" s="9" t="s">
        <v>1971</v>
      </c>
      <c r="T235" s="9" t="s">
        <v>80</v>
      </c>
      <c r="U235" s="5" t="s">
        <v>81</v>
      </c>
      <c r="V235" s="5"/>
      <c r="W235" s="17"/>
      <c r="X235" s="5">
        <v>2030</v>
      </c>
      <c r="Y235" s="17"/>
      <c r="Z235" s="17">
        <v>84</v>
      </c>
      <c r="AA235" s="5">
        <v>2030</v>
      </c>
      <c r="AB235" s="17">
        <v>20</v>
      </c>
      <c r="AC235" s="5">
        <v>2030</v>
      </c>
      <c r="AD235" s="5" t="s">
        <v>82</v>
      </c>
      <c r="AE235" s="17"/>
      <c r="AF235" s="17"/>
      <c r="AG235" s="17"/>
      <c r="AH235" s="17"/>
      <c r="AI235" s="9" t="s">
        <v>83</v>
      </c>
      <c r="AJ235" s="5" t="s">
        <v>84</v>
      </c>
      <c r="AK235" s="5">
        <v>1</v>
      </c>
      <c r="AL235" s="9" t="s">
        <v>1972</v>
      </c>
      <c r="AM235" s="9"/>
      <c r="AN235" s="5">
        <v>2027</v>
      </c>
      <c r="AO235" s="17">
        <v>856</v>
      </c>
      <c r="AP235" s="5">
        <v>2030</v>
      </c>
      <c r="AQ235" s="17">
        <v>1636</v>
      </c>
      <c r="AR235" s="5" t="s">
        <v>86</v>
      </c>
      <c r="AS235" s="17">
        <v>24.1</v>
      </c>
      <c r="AT235" s="5">
        <v>2027</v>
      </c>
      <c r="AU235" s="17">
        <v>558</v>
      </c>
      <c r="AV235" s="5">
        <v>2030</v>
      </c>
      <c r="AW235" s="17">
        <v>671</v>
      </c>
      <c r="AX235" s="5" t="s">
        <v>86</v>
      </c>
      <c r="AY235" s="17">
        <v>6.3</v>
      </c>
      <c r="AZ235" s="5"/>
      <c r="BA235" s="17"/>
      <c r="BB235" s="5"/>
      <c r="BC235" s="17"/>
      <c r="BD235" s="5"/>
      <c r="BE235" s="17"/>
      <c r="BF235" s="5">
        <v>2027</v>
      </c>
      <c r="BG235" s="17">
        <v>229</v>
      </c>
      <c r="BH235" s="5">
        <v>2030</v>
      </c>
      <c r="BI235" s="17">
        <v>235</v>
      </c>
      <c r="BJ235" s="5" t="s">
        <v>87</v>
      </c>
      <c r="BK235" s="9"/>
      <c r="BL235" s="9" t="str">
        <f>HYPERLINK("https://seichotoushi-hojo.jp/assets/pdf/koufu_3_4ji/outline_33.pdf","PDFを開く")</f>
        <v>PDFを開く</v>
      </c>
      <c r="BM235" s="9" t="s">
        <v>1973</v>
      </c>
      <c r="BN235" s="9" t="s">
        <v>1974</v>
      </c>
      <c r="BO235" s="9" t="s">
        <v>90</v>
      </c>
      <c r="BP235" s="9" t="s">
        <v>90</v>
      </c>
      <c r="BQ235" s="9" t="s">
        <v>156</v>
      </c>
      <c r="BR235" s="9" t="s">
        <v>92</v>
      </c>
    </row>
    <row r="236" spans="1:70" ht="45.95" customHeight="1">
      <c r="A236" s="2" t="s">
        <v>1975</v>
      </c>
      <c r="B236" s="2" t="s">
        <v>1595</v>
      </c>
      <c r="C236" s="2" t="s">
        <v>1976</v>
      </c>
      <c r="D236" s="2" t="s">
        <v>1976</v>
      </c>
      <c r="E236" s="2" t="s">
        <v>95</v>
      </c>
      <c r="F236" s="2"/>
      <c r="G236" s="2">
        <v>2</v>
      </c>
      <c r="H236" s="2">
        <v>0</v>
      </c>
      <c r="I236" s="2">
        <v>1</v>
      </c>
      <c r="J236" s="2">
        <v>1</v>
      </c>
      <c r="K236" s="2">
        <v>0</v>
      </c>
      <c r="L236" s="16">
        <v>16800</v>
      </c>
      <c r="M236" s="16">
        <v>5000</v>
      </c>
      <c r="N236" s="8" t="s">
        <v>1330</v>
      </c>
      <c r="O236" s="12">
        <f t="shared" si="3"/>
        <v>29.761904761904763</v>
      </c>
      <c r="P236" s="2">
        <v>2</v>
      </c>
      <c r="Q236" s="2" t="s">
        <v>77</v>
      </c>
      <c r="R236" s="8" t="s">
        <v>1977</v>
      </c>
      <c r="S236" s="8" t="s">
        <v>1978</v>
      </c>
      <c r="T236" s="8" t="s">
        <v>80</v>
      </c>
      <c r="U236" s="2" t="s">
        <v>81</v>
      </c>
      <c r="V236" s="2">
        <v>2024</v>
      </c>
      <c r="W236" s="16">
        <v>118.9</v>
      </c>
      <c r="X236" s="2">
        <v>2030</v>
      </c>
      <c r="Y236" s="16">
        <v>231.1</v>
      </c>
      <c r="Z236" s="16">
        <v>350</v>
      </c>
      <c r="AA236" s="2">
        <v>2030</v>
      </c>
      <c r="AB236" s="16">
        <v>51.4</v>
      </c>
      <c r="AC236" s="2">
        <v>2030</v>
      </c>
      <c r="AD236" s="2" t="s">
        <v>82</v>
      </c>
      <c r="AE236" s="16"/>
      <c r="AF236" s="16"/>
      <c r="AG236" s="16">
        <v>11.712820043124971</v>
      </c>
      <c r="AH236" s="16"/>
      <c r="AI236" s="8" t="s">
        <v>200</v>
      </c>
      <c r="AJ236" s="2" t="s">
        <v>84</v>
      </c>
      <c r="AK236" s="2">
        <v>1</v>
      </c>
      <c r="AL236" s="8" t="s">
        <v>1979</v>
      </c>
      <c r="AM236" s="8" t="s">
        <v>1980</v>
      </c>
      <c r="AN236" s="2">
        <v>2026</v>
      </c>
      <c r="AO236" s="16">
        <v>908</v>
      </c>
      <c r="AP236" s="2">
        <v>2029</v>
      </c>
      <c r="AQ236" s="16">
        <v>1556</v>
      </c>
      <c r="AR236" s="2" t="s">
        <v>86</v>
      </c>
      <c r="AS236" s="16">
        <v>19.899999999999999</v>
      </c>
      <c r="AT236" s="2">
        <v>2026</v>
      </c>
      <c r="AU236" s="16">
        <v>475</v>
      </c>
      <c r="AV236" s="2">
        <v>2029</v>
      </c>
      <c r="AW236" s="16">
        <v>574</v>
      </c>
      <c r="AX236" s="2" t="s">
        <v>86</v>
      </c>
      <c r="AY236" s="16">
        <v>6.5</v>
      </c>
      <c r="AZ236" s="2">
        <v>2026</v>
      </c>
      <c r="BA236" s="16"/>
      <c r="BB236" s="2">
        <v>2029</v>
      </c>
      <c r="BC236" s="16"/>
      <c r="BD236" s="2" t="s">
        <v>86</v>
      </c>
      <c r="BE236" s="16">
        <v>6</v>
      </c>
      <c r="BF236" s="2">
        <v>2026</v>
      </c>
      <c r="BG236" s="16">
        <v>437</v>
      </c>
      <c r="BH236" s="2">
        <v>2029</v>
      </c>
      <c r="BI236" s="16">
        <v>460</v>
      </c>
      <c r="BJ236" s="2" t="s">
        <v>87</v>
      </c>
      <c r="BK236" s="8"/>
      <c r="BL236" s="8" t="str">
        <f>HYPERLINK("https://seichotoushi-hojo.jp/assets/pdf/koufu_3_4ji/outline_34.pdf","PDFを開く")</f>
        <v>PDFを開く</v>
      </c>
      <c r="BM236" s="8" t="s">
        <v>1981</v>
      </c>
      <c r="BN236" s="8" t="s">
        <v>1982</v>
      </c>
      <c r="BO236" s="8" t="s">
        <v>166</v>
      </c>
      <c r="BP236" s="8" t="s">
        <v>166</v>
      </c>
      <c r="BQ236" s="8" t="s">
        <v>91</v>
      </c>
      <c r="BR236" s="8" t="s">
        <v>166</v>
      </c>
    </row>
    <row r="237" spans="1:70" ht="45.95" customHeight="1">
      <c r="A237" s="5" t="s">
        <v>1983</v>
      </c>
      <c r="B237" s="5" t="s">
        <v>1595</v>
      </c>
      <c r="C237" s="5" t="s">
        <v>1984</v>
      </c>
      <c r="D237" s="5" t="s">
        <v>1984</v>
      </c>
      <c r="E237" s="5"/>
      <c r="F237" s="5" t="s">
        <v>1985</v>
      </c>
      <c r="G237" s="5">
        <v>5</v>
      </c>
      <c r="H237" s="5">
        <v>0</v>
      </c>
      <c r="I237" s="5">
        <v>1</v>
      </c>
      <c r="J237" s="5">
        <v>4</v>
      </c>
      <c r="K237" s="5">
        <v>0</v>
      </c>
      <c r="L237" s="17">
        <v>4100</v>
      </c>
      <c r="M237" s="17">
        <v>1100</v>
      </c>
      <c r="N237" s="9" t="s">
        <v>1986</v>
      </c>
      <c r="O237" s="13">
        <f t="shared" si="3"/>
        <v>26.829268292682929</v>
      </c>
      <c r="P237" s="5">
        <v>2</v>
      </c>
      <c r="Q237" s="5" t="s">
        <v>77</v>
      </c>
      <c r="R237" s="9" t="s">
        <v>1986</v>
      </c>
      <c r="S237" s="9" t="s">
        <v>1987</v>
      </c>
      <c r="T237" s="9" t="s">
        <v>80</v>
      </c>
      <c r="U237" s="5" t="s">
        <v>1988</v>
      </c>
      <c r="V237" s="5"/>
      <c r="W237" s="17"/>
      <c r="X237" s="5">
        <v>2030</v>
      </c>
      <c r="Y237" s="17"/>
      <c r="Z237" s="17">
        <v>261</v>
      </c>
      <c r="AA237" s="5">
        <v>2030</v>
      </c>
      <c r="AB237" s="17">
        <v>176.8</v>
      </c>
      <c r="AC237" s="5">
        <v>2030</v>
      </c>
      <c r="AD237" s="5" t="s">
        <v>490</v>
      </c>
      <c r="AE237" s="17"/>
      <c r="AF237" s="17"/>
      <c r="AG237" s="17"/>
      <c r="AH237" s="17"/>
      <c r="AI237" s="9" t="s">
        <v>166</v>
      </c>
      <c r="AJ237" s="5" t="s">
        <v>292</v>
      </c>
      <c r="AK237" s="5">
        <v>1</v>
      </c>
      <c r="AL237" s="9" t="s">
        <v>1989</v>
      </c>
      <c r="AM237" s="9"/>
      <c r="AN237" s="5">
        <v>2027</v>
      </c>
      <c r="AO237" s="17">
        <v>2804</v>
      </c>
      <c r="AP237" s="5">
        <v>2030</v>
      </c>
      <c r="AQ237" s="17">
        <v>4523</v>
      </c>
      <c r="AR237" s="5" t="s">
        <v>86</v>
      </c>
      <c r="AS237" s="17">
        <v>17.2</v>
      </c>
      <c r="AT237" s="5">
        <v>2027</v>
      </c>
      <c r="AU237" s="17">
        <v>342</v>
      </c>
      <c r="AV237" s="5">
        <v>2030</v>
      </c>
      <c r="AW237" s="17">
        <v>406</v>
      </c>
      <c r="AX237" s="5" t="s">
        <v>86</v>
      </c>
      <c r="AY237" s="17">
        <v>5.9</v>
      </c>
      <c r="AZ237" s="5">
        <v>2027</v>
      </c>
      <c r="BA237" s="17"/>
      <c r="BB237" s="5">
        <v>2030</v>
      </c>
      <c r="BC237" s="17"/>
      <c r="BD237" s="5" t="s">
        <v>86</v>
      </c>
      <c r="BE237" s="17">
        <v>5.9</v>
      </c>
      <c r="BF237" s="5">
        <v>2027</v>
      </c>
      <c r="BG237" s="17">
        <v>220</v>
      </c>
      <c r="BH237" s="5">
        <v>2030</v>
      </c>
      <c r="BI237" s="17">
        <v>268</v>
      </c>
      <c r="BJ237" s="5" t="s">
        <v>87</v>
      </c>
      <c r="BK237" s="9"/>
      <c r="BL237" s="9" t="str">
        <f>HYPERLINK("https://seichotoushi-hojo.jp/assets/pdf/koufu_3_4ji/outline_35.pdf","PDFを開く")</f>
        <v>PDFを開く</v>
      </c>
      <c r="BM237" s="9" t="s">
        <v>1990</v>
      </c>
      <c r="BN237" s="9" t="s">
        <v>1991</v>
      </c>
      <c r="BO237" s="9" t="s">
        <v>90</v>
      </c>
      <c r="BP237" s="9" t="s">
        <v>90</v>
      </c>
      <c r="BQ237" s="9" t="s">
        <v>91</v>
      </c>
      <c r="BR237" s="9" t="s">
        <v>166</v>
      </c>
    </row>
    <row r="238" spans="1:70" ht="45.95" customHeight="1">
      <c r="A238" s="2" t="s">
        <v>1992</v>
      </c>
      <c r="B238" s="2" t="s">
        <v>1595</v>
      </c>
      <c r="C238" s="2" t="s">
        <v>1993</v>
      </c>
      <c r="D238" s="2" t="s">
        <v>1993</v>
      </c>
      <c r="E238" s="2" t="s">
        <v>636</v>
      </c>
      <c r="F238" s="2" t="s">
        <v>1994</v>
      </c>
      <c r="G238" s="2">
        <v>2</v>
      </c>
      <c r="H238" s="2">
        <v>0</v>
      </c>
      <c r="I238" s="2">
        <v>0</v>
      </c>
      <c r="J238" s="2">
        <v>0</v>
      </c>
      <c r="K238" s="2">
        <v>2</v>
      </c>
      <c r="L238" s="16">
        <v>1700</v>
      </c>
      <c r="M238" s="16">
        <v>480</v>
      </c>
      <c r="N238" s="8" t="s">
        <v>1995</v>
      </c>
      <c r="O238" s="12">
        <f t="shared" si="3"/>
        <v>28.235294117647058</v>
      </c>
      <c r="P238" s="2">
        <v>2</v>
      </c>
      <c r="Q238" s="2" t="s">
        <v>308</v>
      </c>
      <c r="R238" s="8"/>
      <c r="S238" s="8"/>
      <c r="T238" s="8" t="s">
        <v>310</v>
      </c>
      <c r="U238" s="2" t="s">
        <v>1996</v>
      </c>
      <c r="V238" s="2"/>
      <c r="W238" s="16"/>
      <c r="X238" s="2">
        <v>2030</v>
      </c>
      <c r="Y238" s="16">
        <v>100</v>
      </c>
      <c r="Z238" s="16">
        <v>53</v>
      </c>
      <c r="AA238" s="2">
        <v>2030</v>
      </c>
      <c r="AB238" s="16">
        <v>13.6</v>
      </c>
      <c r="AC238" s="2">
        <v>2030</v>
      </c>
      <c r="AD238" s="2" t="s">
        <v>82</v>
      </c>
      <c r="AE238" s="16"/>
      <c r="AF238" s="16"/>
      <c r="AG238" s="16"/>
      <c r="AH238" s="16"/>
      <c r="AI238" s="8" t="s">
        <v>166</v>
      </c>
      <c r="AJ238" s="2" t="s">
        <v>292</v>
      </c>
      <c r="AK238" s="2">
        <v>1</v>
      </c>
      <c r="AL238" s="8" t="s">
        <v>1997</v>
      </c>
      <c r="AM238" s="8" t="s">
        <v>1998</v>
      </c>
      <c r="AN238" s="2">
        <v>2027</v>
      </c>
      <c r="AO238" s="16">
        <v>709</v>
      </c>
      <c r="AP238" s="2">
        <v>2030</v>
      </c>
      <c r="AQ238" s="16">
        <v>1308</v>
      </c>
      <c r="AR238" s="2" t="s">
        <v>86</v>
      </c>
      <c r="AS238" s="16">
        <v>22.7</v>
      </c>
      <c r="AT238" s="2">
        <v>2027</v>
      </c>
      <c r="AU238" s="16">
        <v>510</v>
      </c>
      <c r="AV238" s="2">
        <v>2030</v>
      </c>
      <c r="AW238" s="16">
        <v>620</v>
      </c>
      <c r="AX238" s="2" t="s">
        <v>86</v>
      </c>
      <c r="AY238" s="16">
        <v>6.7</v>
      </c>
      <c r="AZ238" s="2"/>
      <c r="BA238" s="16"/>
      <c r="BB238" s="2"/>
      <c r="BC238" s="16"/>
      <c r="BD238" s="2"/>
      <c r="BE238" s="16"/>
      <c r="BF238" s="2">
        <v>2027</v>
      </c>
      <c r="BG238" s="16">
        <v>126</v>
      </c>
      <c r="BH238" s="2">
        <v>2030</v>
      </c>
      <c r="BI238" s="16">
        <v>162</v>
      </c>
      <c r="BJ238" s="2" t="s">
        <v>87</v>
      </c>
      <c r="BK238" s="8" t="s">
        <v>1077</v>
      </c>
      <c r="BL238" s="8" t="str">
        <f>HYPERLINK("https://seichotoushi-hojo.jp/assets/pdf/koufu_3_4ji/outline_37.pdf","PDFを開く")</f>
        <v>PDFを開く</v>
      </c>
      <c r="BM238" s="8" t="s">
        <v>1999</v>
      </c>
      <c r="BN238" s="8" t="s">
        <v>2000</v>
      </c>
      <c r="BO238" s="8" t="s">
        <v>166</v>
      </c>
      <c r="BP238" s="8" t="s">
        <v>166</v>
      </c>
      <c r="BQ238" s="8" t="s">
        <v>157</v>
      </c>
      <c r="BR238" s="8" t="s">
        <v>166</v>
      </c>
    </row>
    <row r="239" spans="1:70" ht="45.95" customHeight="1">
      <c r="A239" s="5" t="s">
        <v>2001</v>
      </c>
      <c r="B239" s="5" t="s">
        <v>1595</v>
      </c>
      <c r="C239" s="5" t="s">
        <v>2002</v>
      </c>
      <c r="D239" s="5" t="s">
        <v>2002</v>
      </c>
      <c r="E239" s="5" t="s">
        <v>95</v>
      </c>
      <c r="F239" s="5"/>
      <c r="G239" s="5">
        <v>2</v>
      </c>
      <c r="H239" s="5">
        <v>0</v>
      </c>
      <c r="I239" s="5">
        <v>1</v>
      </c>
      <c r="J239" s="5">
        <v>1</v>
      </c>
      <c r="K239" s="5">
        <v>0</v>
      </c>
      <c r="L239" s="17">
        <v>6500</v>
      </c>
      <c r="M239" s="17">
        <v>2100</v>
      </c>
      <c r="N239" s="9" t="s">
        <v>2003</v>
      </c>
      <c r="O239" s="13">
        <f t="shared" si="3"/>
        <v>32.307692307692307</v>
      </c>
      <c r="P239" s="5">
        <v>2</v>
      </c>
      <c r="Q239" s="5" t="s">
        <v>77</v>
      </c>
      <c r="R239" s="9" t="s">
        <v>2004</v>
      </c>
      <c r="S239" s="9" t="s">
        <v>2005</v>
      </c>
      <c r="T239" s="9" t="s">
        <v>80</v>
      </c>
      <c r="U239" s="5" t="s">
        <v>81</v>
      </c>
      <c r="V239" s="5">
        <v>2027</v>
      </c>
      <c r="W239" s="17"/>
      <c r="X239" s="5">
        <v>2031</v>
      </c>
      <c r="Y239" s="17">
        <v>453</v>
      </c>
      <c r="Z239" s="17">
        <v>190</v>
      </c>
      <c r="AA239" s="5">
        <v>2031</v>
      </c>
      <c r="AB239" s="17">
        <v>14.8</v>
      </c>
      <c r="AC239" s="5">
        <v>2031</v>
      </c>
      <c r="AD239" s="5" t="s">
        <v>82</v>
      </c>
      <c r="AE239" s="17"/>
      <c r="AF239" s="17"/>
      <c r="AG239" s="17"/>
      <c r="AH239" s="17"/>
      <c r="AI239" s="9" t="s">
        <v>83</v>
      </c>
      <c r="AJ239" s="5" t="s">
        <v>84</v>
      </c>
      <c r="AK239" s="5">
        <v>1</v>
      </c>
      <c r="AL239" s="9" t="s">
        <v>2006</v>
      </c>
      <c r="AM239" s="9" t="s">
        <v>2007</v>
      </c>
      <c r="AN239" s="5">
        <v>2028</v>
      </c>
      <c r="AO239" s="17">
        <v>884</v>
      </c>
      <c r="AP239" s="5">
        <v>2031</v>
      </c>
      <c r="AQ239" s="17">
        <v>1605</v>
      </c>
      <c r="AR239" s="5" t="s">
        <v>86</v>
      </c>
      <c r="AS239" s="17">
        <v>22</v>
      </c>
      <c r="AT239" s="5">
        <v>2028</v>
      </c>
      <c r="AU239" s="17">
        <v>569</v>
      </c>
      <c r="AV239" s="5">
        <v>2031</v>
      </c>
      <c r="AW239" s="17">
        <v>696</v>
      </c>
      <c r="AX239" s="5" t="s">
        <v>86</v>
      </c>
      <c r="AY239" s="17">
        <v>6.9</v>
      </c>
      <c r="AZ239" s="5">
        <v>2028</v>
      </c>
      <c r="BA239" s="17">
        <v>2789</v>
      </c>
      <c r="BB239" s="5">
        <v>2031</v>
      </c>
      <c r="BC239" s="17">
        <v>3276</v>
      </c>
      <c r="BD239" s="5" t="s">
        <v>86</v>
      </c>
      <c r="BE239" s="17">
        <v>5.5</v>
      </c>
      <c r="BF239" s="5">
        <v>2028</v>
      </c>
      <c r="BG239" s="17">
        <v>390</v>
      </c>
      <c r="BH239" s="5">
        <v>2031</v>
      </c>
      <c r="BI239" s="17">
        <v>424</v>
      </c>
      <c r="BJ239" s="5" t="s">
        <v>87</v>
      </c>
      <c r="BK239" s="9"/>
      <c r="BL239" s="9" t="str">
        <f>HYPERLINK("https://seichotoushi-hojo.jp/assets/pdf/koufu_3_4ji/outline_39.pdf","PDFを開く")</f>
        <v>PDFを開く</v>
      </c>
      <c r="BM239" s="9" t="s">
        <v>2008</v>
      </c>
      <c r="BN239" s="9" t="s">
        <v>2009</v>
      </c>
      <c r="BO239" s="9" t="s">
        <v>90</v>
      </c>
      <c r="BP239" s="9" t="s">
        <v>90</v>
      </c>
      <c r="BQ239" s="9" t="s">
        <v>90</v>
      </c>
      <c r="BR239" s="9" t="s">
        <v>92</v>
      </c>
    </row>
    <row r="240" spans="1:70" ht="45.95" customHeight="1">
      <c r="A240" s="2" t="s">
        <v>2010</v>
      </c>
      <c r="B240" s="2" t="s">
        <v>1595</v>
      </c>
      <c r="C240" s="2" t="s">
        <v>2011</v>
      </c>
      <c r="D240" s="2" t="s">
        <v>2011</v>
      </c>
      <c r="E240" s="2" t="s">
        <v>75</v>
      </c>
      <c r="F240" s="2"/>
      <c r="G240" s="2">
        <v>2</v>
      </c>
      <c r="H240" s="2">
        <v>0</v>
      </c>
      <c r="I240" s="2">
        <v>1</v>
      </c>
      <c r="J240" s="2">
        <v>1</v>
      </c>
      <c r="K240" s="2">
        <v>0</v>
      </c>
      <c r="L240" s="16">
        <v>1900</v>
      </c>
      <c r="M240" s="16">
        <v>630</v>
      </c>
      <c r="N240" s="8" t="s">
        <v>2012</v>
      </c>
      <c r="O240" s="12">
        <f t="shared" si="3"/>
        <v>33.157894736842103</v>
      </c>
      <c r="P240" s="2">
        <v>2</v>
      </c>
      <c r="Q240" s="2" t="s">
        <v>77</v>
      </c>
      <c r="R240" s="8" t="s">
        <v>2013</v>
      </c>
      <c r="S240" s="8" t="s">
        <v>2014</v>
      </c>
      <c r="T240" s="8" t="s">
        <v>80</v>
      </c>
      <c r="U240" s="2" t="s">
        <v>81</v>
      </c>
      <c r="V240" s="2">
        <v>2024</v>
      </c>
      <c r="W240" s="16"/>
      <c r="X240" s="2">
        <v>2030</v>
      </c>
      <c r="Y240" s="16"/>
      <c r="Z240" s="16">
        <v>31.9</v>
      </c>
      <c r="AA240" s="2">
        <v>2030</v>
      </c>
      <c r="AB240" s="16">
        <v>433.8</v>
      </c>
      <c r="AC240" s="2">
        <v>2030</v>
      </c>
      <c r="AD240" s="2" t="s">
        <v>82</v>
      </c>
      <c r="AE240" s="16"/>
      <c r="AF240" s="16"/>
      <c r="AG240" s="16"/>
      <c r="AH240" s="16"/>
      <c r="AI240" s="8" t="s">
        <v>83</v>
      </c>
      <c r="AJ240" s="2" t="s">
        <v>84</v>
      </c>
      <c r="AK240" s="2">
        <v>1</v>
      </c>
      <c r="AL240" s="8" t="s">
        <v>2015</v>
      </c>
      <c r="AM240" s="8"/>
      <c r="AN240" s="2">
        <v>2026</v>
      </c>
      <c r="AO240" s="16">
        <v>-191</v>
      </c>
      <c r="AP240" s="2">
        <v>2029</v>
      </c>
      <c r="AQ240" s="16">
        <v>1529</v>
      </c>
      <c r="AR240" s="2" t="s">
        <v>86</v>
      </c>
      <c r="AS240" s="16"/>
      <c r="AT240" s="2">
        <v>2026</v>
      </c>
      <c r="AU240" s="16">
        <v>265</v>
      </c>
      <c r="AV240" s="2">
        <v>2029</v>
      </c>
      <c r="AW240" s="16">
        <v>324</v>
      </c>
      <c r="AX240" s="2" t="s">
        <v>86</v>
      </c>
      <c r="AY240" s="16">
        <v>6.9</v>
      </c>
      <c r="AZ240" s="2">
        <v>2026</v>
      </c>
      <c r="BA240" s="16"/>
      <c r="BB240" s="2">
        <v>2029</v>
      </c>
      <c r="BC240" s="16"/>
      <c r="BD240" s="2" t="s">
        <v>86</v>
      </c>
      <c r="BE240" s="16">
        <v>10.6</v>
      </c>
      <c r="BF240" s="2">
        <v>2026</v>
      </c>
      <c r="BG240" s="16">
        <v>35</v>
      </c>
      <c r="BH240" s="2">
        <v>2029</v>
      </c>
      <c r="BI240" s="16">
        <v>59</v>
      </c>
      <c r="BJ240" s="2" t="s">
        <v>87</v>
      </c>
      <c r="BK240" s="8"/>
      <c r="BL240" s="8" t="str">
        <f>HYPERLINK("https://seichotoushi-hojo.jp/assets/pdf/koufu_3_4ji/outline_40.pdf","PDFを開く")</f>
        <v>PDFを開く</v>
      </c>
      <c r="BM240" s="8" t="s">
        <v>2016</v>
      </c>
      <c r="BN240" s="8" t="s">
        <v>2017</v>
      </c>
      <c r="BO240" s="8" t="s">
        <v>92</v>
      </c>
      <c r="BP240" s="8" t="s">
        <v>90</v>
      </c>
      <c r="BQ240" s="8" t="s">
        <v>91</v>
      </c>
      <c r="BR240" s="8" t="s">
        <v>92</v>
      </c>
    </row>
    <row r="241" spans="1:70" ht="45.95" customHeight="1">
      <c r="A241" s="5" t="s">
        <v>2018</v>
      </c>
      <c r="B241" s="5" t="s">
        <v>1595</v>
      </c>
      <c r="C241" s="5" t="s">
        <v>2019</v>
      </c>
      <c r="D241" s="5" t="s">
        <v>2019</v>
      </c>
      <c r="E241" s="5" t="s">
        <v>107</v>
      </c>
      <c r="F241" s="5"/>
      <c r="G241" s="5">
        <v>3</v>
      </c>
      <c r="H241" s="5">
        <v>0</v>
      </c>
      <c r="I241" s="5">
        <v>1</v>
      </c>
      <c r="J241" s="5">
        <v>2</v>
      </c>
      <c r="K241" s="5">
        <v>0</v>
      </c>
      <c r="L241" s="17">
        <v>14200</v>
      </c>
      <c r="M241" s="17">
        <v>4600</v>
      </c>
      <c r="N241" s="9" t="s">
        <v>2020</v>
      </c>
      <c r="O241" s="13">
        <f t="shared" si="3"/>
        <v>32.394366197183103</v>
      </c>
      <c r="P241" s="5">
        <v>2</v>
      </c>
      <c r="Q241" s="5" t="s">
        <v>77</v>
      </c>
      <c r="R241" s="9" t="s">
        <v>2020</v>
      </c>
      <c r="S241" s="9" t="s">
        <v>2021</v>
      </c>
      <c r="T241" s="9" t="s">
        <v>80</v>
      </c>
      <c r="U241" s="5" t="s">
        <v>81</v>
      </c>
      <c r="V241" s="5"/>
      <c r="W241" s="17"/>
      <c r="X241" s="5">
        <v>2035</v>
      </c>
      <c r="Y241" s="17">
        <v>500</v>
      </c>
      <c r="Z241" s="17">
        <v>314</v>
      </c>
      <c r="AA241" s="5">
        <v>2035</v>
      </c>
      <c r="AB241" s="17"/>
      <c r="AC241" s="5"/>
      <c r="AD241" s="5"/>
      <c r="AE241" s="17"/>
      <c r="AF241" s="17"/>
      <c r="AG241" s="17"/>
      <c r="AH241" s="17"/>
      <c r="AI241" s="9" t="s">
        <v>83</v>
      </c>
      <c r="AJ241" s="5" t="s">
        <v>84</v>
      </c>
      <c r="AK241" s="5">
        <v>1</v>
      </c>
      <c r="AL241" s="9" t="s">
        <v>2022</v>
      </c>
      <c r="AM241" s="9" t="s">
        <v>2023</v>
      </c>
      <c r="AN241" s="5">
        <v>2027</v>
      </c>
      <c r="AO241" s="17">
        <v>1371</v>
      </c>
      <c r="AP241" s="5">
        <v>2030</v>
      </c>
      <c r="AQ241" s="17">
        <v>3475</v>
      </c>
      <c r="AR241" s="5" t="s">
        <v>86</v>
      </c>
      <c r="AS241" s="17">
        <v>36.299999999999997</v>
      </c>
      <c r="AT241" s="5">
        <v>2027</v>
      </c>
      <c r="AU241" s="17">
        <v>708</v>
      </c>
      <c r="AV241" s="5">
        <v>2030</v>
      </c>
      <c r="AW241" s="17">
        <v>872</v>
      </c>
      <c r="AX241" s="5" t="s">
        <v>86</v>
      </c>
      <c r="AY241" s="17">
        <v>7.2</v>
      </c>
      <c r="AZ241" s="5">
        <v>2027</v>
      </c>
      <c r="BA241" s="17"/>
      <c r="BB241" s="5"/>
      <c r="BC241" s="17"/>
      <c r="BD241" s="5" t="s">
        <v>86</v>
      </c>
      <c r="BE241" s="17">
        <v>7.2</v>
      </c>
      <c r="BF241" s="5">
        <v>2027</v>
      </c>
      <c r="BG241" s="17">
        <v>20</v>
      </c>
      <c r="BH241" s="5">
        <v>2030</v>
      </c>
      <c r="BI241" s="17">
        <v>42</v>
      </c>
      <c r="BJ241" s="5" t="s">
        <v>87</v>
      </c>
      <c r="BK241" s="9"/>
      <c r="BL241" s="9" t="str">
        <f>HYPERLINK("https://seichotoushi-hojo.jp/assets/pdf/koufu_3_4ji/outline_41.pdf","PDFを開く")</f>
        <v>PDFを開く</v>
      </c>
      <c r="BM241" s="9" t="s">
        <v>2024</v>
      </c>
      <c r="BN241" s="9" t="s">
        <v>2025</v>
      </c>
      <c r="BO241" s="9" t="s">
        <v>90</v>
      </c>
      <c r="BP241" s="9" t="s">
        <v>90</v>
      </c>
      <c r="BQ241" s="9" t="s">
        <v>91</v>
      </c>
      <c r="BR241" s="9" t="s">
        <v>92</v>
      </c>
    </row>
    <row r="242" spans="1:70" ht="45.95" customHeight="1">
      <c r="A242" s="2" t="s">
        <v>2026</v>
      </c>
      <c r="B242" s="2" t="s">
        <v>1595</v>
      </c>
      <c r="C242" s="2" t="s">
        <v>2027</v>
      </c>
      <c r="D242" s="2" t="s">
        <v>2027</v>
      </c>
      <c r="E242" s="2" t="s">
        <v>95</v>
      </c>
      <c r="F242" s="2"/>
      <c r="G242" s="2">
        <v>2</v>
      </c>
      <c r="H242" s="2">
        <v>0</v>
      </c>
      <c r="I242" s="2">
        <v>1</v>
      </c>
      <c r="J242" s="2">
        <v>1</v>
      </c>
      <c r="K242" s="2">
        <v>0</v>
      </c>
      <c r="L242" s="16">
        <v>6600</v>
      </c>
      <c r="M242" s="16">
        <v>1500</v>
      </c>
      <c r="N242" s="8" t="s">
        <v>2028</v>
      </c>
      <c r="O242" s="12">
        <f t="shared" si="3"/>
        <v>22.727272727272727</v>
      </c>
      <c r="P242" s="2">
        <v>2</v>
      </c>
      <c r="Q242" s="2" t="s">
        <v>77</v>
      </c>
      <c r="R242" s="8" t="s">
        <v>2029</v>
      </c>
      <c r="S242" s="8" t="s">
        <v>2030</v>
      </c>
      <c r="T242" s="8" t="s">
        <v>80</v>
      </c>
      <c r="U242" s="2" t="s">
        <v>81</v>
      </c>
      <c r="V242" s="2"/>
      <c r="W242" s="16"/>
      <c r="X242" s="2">
        <v>2030</v>
      </c>
      <c r="Y242" s="16"/>
      <c r="Z242" s="16">
        <v>54</v>
      </c>
      <c r="AA242" s="2">
        <v>2030</v>
      </c>
      <c r="AB242" s="16">
        <v>57</v>
      </c>
      <c r="AC242" s="2">
        <v>2030</v>
      </c>
      <c r="AD242" s="2" t="s">
        <v>82</v>
      </c>
      <c r="AE242" s="16"/>
      <c r="AF242" s="16"/>
      <c r="AG242" s="16"/>
      <c r="AH242" s="16"/>
      <c r="AI242" s="8" t="s">
        <v>83</v>
      </c>
      <c r="AJ242" s="2" t="s">
        <v>84</v>
      </c>
      <c r="AK242" s="2">
        <v>1</v>
      </c>
      <c r="AL242" s="8" t="s">
        <v>2031</v>
      </c>
      <c r="AM242" s="8"/>
      <c r="AN242" s="2">
        <v>2027</v>
      </c>
      <c r="AO242" s="16">
        <v>789</v>
      </c>
      <c r="AP242" s="2">
        <v>2030</v>
      </c>
      <c r="AQ242" s="16">
        <v>1512</v>
      </c>
      <c r="AR242" s="2" t="s">
        <v>86</v>
      </c>
      <c r="AS242" s="16">
        <v>24.2</v>
      </c>
      <c r="AT242" s="2">
        <v>2027</v>
      </c>
      <c r="AU242" s="16">
        <v>548</v>
      </c>
      <c r="AV242" s="2">
        <v>2030</v>
      </c>
      <c r="AW242" s="16">
        <v>659</v>
      </c>
      <c r="AX242" s="2" t="s">
        <v>86</v>
      </c>
      <c r="AY242" s="16">
        <v>6.3</v>
      </c>
      <c r="AZ242" s="2">
        <v>2027</v>
      </c>
      <c r="BA242" s="16"/>
      <c r="BB242" s="2">
        <v>2030</v>
      </c>
      <c r="BC242" s="16"/>
      <c r="BD242" s="2" t="s">
        <v>86</v>
      </c>
      <c r="BE242" s="16">
        <v>6.3</v>
      </c>
      <c r="BF242" s="2">
        <v>2027</v>
      </c>
      <c r="BG242" s="16">
        <v>124</v>
      </c>
      <c r="BH242" s="2">
        <v>2030</v>
      </c>
      <c r="BI242" s="16">
        <v>139</v>
      </c>
      <c r="BJ242" s="2" t="s">
        <v>87</v>
      </c>
      <c r="BK242" s="8"/>
      <c r="BL242" s="8" t="str">
        <f>HYPERLINK("https://seichotoushi-hojo.jp/assets/pdf/koufu_3_4ji/outline_42.pdf","PDFを開く")</f>
        <v>PDFを開く</v>
      </c>
      <c r="BM242" s="8" t="s">
        <v>2032</v>
      </c>
      <c r="BN242" s="8" t="s">
        <v>2033</v>
      </c>
      <c r="BO242" s="8" t="s">
        <v>90</v>
      </c>
      <c r="BP242" s="8" t="s">
        <v>90</v>
      </c>
      <c r="BQ242" s="8" t="s">
        <v>91</v>
      </c>
      <c r="BR242" s="8" t="s">
        <v>92</v>
      </c>
    </row>
    <row r="243" spans="1:70" ht="45.95" customHeight="1">
      <c r="A243" s="5" t="s">
        <v>2034</v>
      </c>
      <c r="B243" s="5" t="s">
        <v>1595</v>
      </c>
      <c r="C243" s="5" t="s">
        <v>2035</v>
      </c>
      <c r="D243" s="5" t="s">
        <v>2035</v>
      </c>
      <c r="E243" s="5" t="s">
        <v>75</v>
      </c>
      <c r="F243" s="5"/>
      <c r="G243" s="5">
        <v>5</v>
      </c>
      <c r="H243" s="5">
        <v>3</v>
      </c>
      <c r="I243" s="5">
        <v>1</v>
      </c>
      <c r="J243" s="5">
        <v>1</v>
      </c>
      <c r="K243" s="5">
        <v>0</v>
      </c>
      <c r="L243" s="17">
        <v>2400</v>
      </c>
      <c r="M243" s="17">
        <v>590</v>
      </c>
      <c r="N243" s="9" t="s">
        <v>2036</v>
      </c>
      <c r="O243" s="13">
        <f t="shared" si="3"/>
        <v>24.583333333333332</v>
      </c>
      <c r="P243" s="5">
        <v>5</v>
      </c>
      <c r="Q243" s="5" t="s">
        <v>77</v>
      </c>
      <c r="R243" s="9" t="s">
        <v>2037</v>
      </c>
      <c r="S243" s="9" t="s">
        <v>2038</v>
      </c>
      <c r="T243" s="9" t="s">
        <v>80</v>
      </c>
      <c r="U243" s="5" t="s">
        <v>81</v>
      </c>
      <c r="V243" s="5"/>
      <c r="W243" s="17"/>
      <c r="X243" s="5">
        <v>2030</v>
      </c>
      <c r="Y243" s="17">
        <v>156</v>
      </c>
      <c r="Z243" s="17">
        <v>144</v>
      </c>
      <c r="AA243" s="5">
        <v>2030</v>
      </c>
      <c r="AB243" s="17">
        <v>11.5</v>
      </c>
      <c r="AC243" s="5">
        <v>2030</v>
      </c>
      <c r="AD243" s="5" t="s">
        <v>82</v>
      </c>
      <c r="AE243" s="17"/>
      <c r="AF243" s="17"/>
      <c r="AG243" s="17"/>
      <c r="AH243" s="17"/>
      <c r="AI243" s="9" t="s">
        <v>83</v>
      </c>
      <c r="AJ243" s="5" t="s">
        <v>84</v>
      </c>
      <c r="AK243" s="5">
        <v>4</v>
      </c>
      <c r="AL243" s="9" t="s">
        <v>2039</v>
      </c>
      <c r="AM243" s="9" t="s">
        <v>2040</v>
      </c>
      <c r="AN243" s="5">
        <v>2027</v>
      </c>
      <c r="AO243" s="17">
        <v>1571</v>
      </c>
      <c r="AP243" s="5">
        <v>2030</v>
      </c>
      <c r="AQ243" s="17">
        <v>2577</v>
      </c>
      <c r="AR243" s="5" t="s">
        <v>86</v>
      </c>
      <c r="AS243" s="17">
        <v>17.899999999999999</v>
      </c>
      <c r="AT243" s="5">
        <v>2027</v>
      </c>
      <c r="AU243" s="17">
        <v>780</v>
      </c>
      <c r="AV243" s="5">
        <v>2030</v>
      </c>
      <c r="AW243" s="17">
        <v>915</v>
      </c>
      <c r="AX243" s="5" t="s">
        <v>86</v>
      </c>
      <c r="AY243" s="17">
        <v>5.4</v>
      </c>
      <c r="AZ243" s="5">
        <v>2027</v>
      </c>
      <c r="BA243" s="17">
        <v>4300</v>
      </c>
      <c r="BB243" s="5">
        <v>2030</v>
      </c>
      <c r="BC243" s="17">
        <v>4971</v>
      </c>
      <c r="BD243" s="5" t="s">
        <v>86</v>
      </c>
      <c r="BE243" s="17">
        <v>5</v>
      </c>
      <c r="BF243" s="5">
        <v>2027</v>
      </c>
      <c r="BG243" s="17">
        <v>270</v>
      </c>
      <c r="BH243" s="5">
        <v>2030</v>
      </c>
      <c r="BI243" s="17">
        <v>273</v>
      </c>
      <c r="BJ243" s="5" t="s">
        <v>87</v>
      </c>
      <c r="BK243" s="9"/>
      <c r="BL243" s="9" t="str">
        <f>HYPERLINK("https://seichotoushi-hojo.jp/assets/pdf/koufu_3_4ji/outline_43.pdf","PDFを開く")</f>
        <v>PDFを開く</v>
      </c>
      <c r="BM243" s="9" t="s">
        <v>2041</v>
      </c>
      <c r="BN243" s="9" t="s">
        <v>2042</v>
      </c>
      <c r="BO243" s="9" t="s">
        <v>90</v>
      </c>
      <c r="BP243" s="9" t="s">
        <v>90</v>
      </c>
      <c r="BQ243" s="9" t="s">
        <v>90</v>
      </c>
      <c r="BR243" s="9" t="s">
        <v>92</v>
      </c>
    </row>
    <row r="244" spans="1:70" ht="45.95" customHeight="1">
      <c r="A244" s="2" t="s">
        <v>2043</v>
      </c>
      <c r="B244" s="2" t="s">
        <v>1595</v>
      </c>
      <c r="C244" s="2" t="s">
        <v>2044</v>
      </c>
      <c r="D244" s="2" t="s">
        <v>2044</v>
      </c>
      <c r="E244" s="2" t="s">
        <v>107</v>
      </c>
      <c r="F244" s="2"/>
      <c r="G244" s="2">
        <v>4</v>
      </c>
      <c r="H244" s="2">
        <v>0</v>
      </c>
      <c r="I244" s="2">
        <v>1</v>
      </c>
      <c r="J244" s="2">
        <v>3</v>
      </c>
      <c r="K244" s="2">
        <v>0</v>
      </c>
      <c r="L244" s="16">
        <v>1800</v>
      </c>
      <c r="M244" s="16">
        <v>340</v>
      </c>
      <c r="N244" s="8" t="s">
        <v>2045</v>
      </c>
      <c r="O244" s="12">
        <f t="shared" si="3"/>
        <v>18.888888888888889</v>
      </c>
      <c r="P244" s="2">
        <v>2</v>
      </c>
      <c r="Q244" s="2" t="s">
        <v>77</v>
      </c>
      <c r="R244" s="8" t="s">
        <v>2045</v>
      </c>
      <c r="S244" s="8" t="s">
        <v>2046</v>
      </c>
      <c r="T244" s="8" t="s">
        <v>80</v>
      </c>
      <c r="U244" s="2" t="s">
        <v>81</v>
      </c>
      <c r="V244" s="2">
        <v>2025</v>
      </c>
      <c r="W244" s="16"/>
      <c r="X244" s="2">
        <v>2030</v>
      </c>
      <c r="Y244" s="16"/>
      <c r="Z244" s="16">
        <v>16</v>
      </c>
      <c r="AA244" s="2">
        <v>2030</v>
      </c>
      <c r="AB244" s="16">
        <v>20</v>
      </c>
      <c r="AC244" s="2">
        <v>2030</v>
      </c>
      <c r="AD244" s="2" t="s">
        <v>210</v>
      </c>
      <c r="AE244" s="16"/>
      <c r="AF244" s="16"/>
      <c r="AG244" s="16"/>
      <c r="AH244" s="16"/>
      <c r="AI244" s="8" t="s">
        <v>83</v>
      </c>
      <c r="AJ244" s="2" t="s">
        <v>84</v>
      </c>
      <c r="AK244" s="2">
        <v>1</v>
      </c>
      <c r="AL244" s="8" t="s">
        <v>2047</v>
      </c>
      <c r="AM244" s="8"/>
      <c r="AN244" s="2">
        <v>2027</v>
      </c>
      <c r="AO244" s="16">
        <v>3135</v>
      </c>
      <c r="AP244" s="2">
        <v>2030</v>
      </c>
      <c r="AQ244" s="16">
        <v>6232</v>
      </c>
      <c r="AR244" s="2" t="s">
        <v>86</v>
      </c>
      <c r="AS244" s="16">
        <v>25.7</v>
      </c>
      <c r="AT244" s="2">
        <v>2027</v>
      </c>
      <c r="AU244" s="16">
        <v>446</v>
      </c>
      <c r="AV244" s="2">
        <v>2030</v>
      </c>
      <c r="AW244" s="16">
        <v>593</v>
      </c>
      <c r="AX244" s="2" t="s">
        <v>86</v>
      </c>
      <c r="AY244" s="16">
        <v>10</v>
      </c>
      <c r="AZ244" s="2">
        <v>2027</v>
      </c>
      <c r="BA244" s="16"/>
      <c r="BB244" s="2">
        <v>2030</v>
      </c>
      <c r="BC244" s="16"/>
      <c r="BD244" s="2" t="s">
        <v>86</v>
      </c>
      <c r="BE244" s="16">
        <v>5</v>
      </c>
      <c r="BF244" s="2">
        <v>2027</v>
      </c>
      <c r="BG244" s="16">
        <v>5</v>
      </c>
      <c r="BH244" s="2">
        <v>2030</v>
      </c>
      <c r="BI244" s="16">
        <v>9</v>
      </c>
      <c r="BJ244" s="2" t="s">
        <v>87</v>
      </c>
      <c r="BK244" s="8"/>
      <c r="BL244" s="8" t="str">
        <f>HYPERLINK("https://seichotoushi-hojo.jp/assets/pdf/koufu_3_4ji/outline_44.pdf","PDFを開く")</f>
        <v>PDFを開く</v>
      </c>
      <c r="BM244" s="8" t="s">
        <v>2048</v>
      </c>
      <c r="BN244" s="8" t="s">
        <v>2049</v>
      </c>
      <c r="BO244" s="8" t="s">
        <v>90</v>
      </c>
      <c r="BP244" s="8" t="s">
        <v>90</v>
      </c>
      <c r="BQ244" s="8" t="s">
        <v>91</v>
      </c>
      <c r="BR244" s="8" t="s">
        <v>92</v>
      </c>
    </row>
    <row r="245" spans="1:70" ht="45.95" customHeight="1">
      <c r="A245" s="5" t="s">
        <v>2050</v>
      </c>
      <c r="B245" s="5" t="s">
        <v>1595</v>
      </c>
      <c r="C245" s="5" t="s">
        <v>2051</v>
      </c>
      <c r="D245" s="5" t="s">
        <v>2051</v>
      </c>
      <c r="E245" s="5" t="s">
        <v>95</v>
      </c>
      <c r="F245" s="5"/>
      <c r="G245" s="5">
        <v>2</v>
      </c>
      <c r="H245" s="5">
        <v>0</v>
      </c>
      <c r="I245" s="5">
        <v>1</v>
      </c>
      <c r="J245" s="5">
        <v>1</v>
      </c>
      <c r="K245" s="5">
        <v>0</v>
      </c>
      <c r="L245" s="17">
        <v>2000</v>
      </c>
      <c r="M245" s="17">
        <v>660</v>
      </c>
      <c r="N245" s="9" t="s">
        <v>2052</v>
      </c>
      <c r="O245" s="13">
        <f t="shared" si="3"/>
        <v>33</v>
      </c>
      <c r="P245" s="5">
        <v>2</v>
      </c>
      <c r="Q245" s="5" t="s">
        <v>77</v>
      </c>
      <c r="R245" s="9" t="s">
        <v>2053</v>
      </c>
      <c r="S245" s="9" t="s">
        <v>2054</v>
      </c>
      <c r="T245" s="9" t="s">
        <v>80</v>
      </c>
      <c r="U245" s="5" t="s">
        <v>81</v>
      </c>
      <c r="V245" s="5">
        <v>2024</v>
      </c>
      <c r="W245" s="17"/>
      <c r="X245" s="5">
        <v>2031</v>
      </c>
      <c r="Y245" s="17"/>
      <c r="Z245" s="17">
        <v>63</v>
      </c>
      <c r="AA245" s="5">
        <v>2031</v>
      </c>
      <c r="AB245" s="17">
        <v>150</v>
      </c>
      <c r="AC245" s="5">
        <v>2031</v>
      </c>
      <c r="AD245" s="5" t="s">
        <v>82</v>
      </c>
      <c r="AE245" s="17"/>
      <c r="AF245" s="17"/>
      <c r="AG245" s="17"/>
      <c r="AH245" s="17"/>
      <c r="AI245" s="9" t="s">
        <v>83</v>
      </c>
      <c r="AJ245" s="5" t="s">
        <v>84</v>
      </c>
      <c r="AK245" s="5">
        <v>1</v>
      </c>
      <c r="AL245" s="9" t="s">
        <v>2055</v>
      </c>
      <c r="AM245" s="9"/>
      <c r="AN245" s="5">
        <v>2027</v>
      </c>
      <c r="AO245" s="17">
        <v>825</v>
      </c>
      <c r="AP245" s="5">
        <v>2030</v>
      </c>
      <c r="AQ245" s="17">
        <v>1276</v>
      </c>
      <c r="AR245" s="5" t="s">
        <v>86</v>
      </c>
      <c r="AS245" s="17">
        <v>15.7</v>
      </c>
      <c r="AT245" s="5">
        <v>2027</v>
      </c>
      <c r="AU245" s="17">
        <v>558</v>
      </c>
      <c r="AV245" s="5">
        <v>2030</v>
      </c>
      <c r="AW245" s="17">
        <v>669</v>
      </c>
      <c r="AX245" s="5" t="s">
        <v>86</v>
      </c>
      <c r="AY245" s="17">
        <v>6.2</v>
      </c>
      <c r="AZ245" s="5">
        <v>2027</v>
      </c>
      <c r="BA245" s="17"/>
      <c r="BB245" s="5">
        <v>2030</v>
      </c>
      <c r="BC245" s="17"/>
      <c r="BD245" s="5" t="s">
        <v>86</v>
      </c>
      <c r="BE245" s="17">
        <v>5</v>
      </c>
      <c r="BF245" s="5">
        <v>2027</v>
      </c>
      <c r="BG245" s="17">
        <v>326</v>
      </c>
      <c r="BH245" s="5">
        <v>2030</v>
      </c>
      <c r="BI245" s="17">
        <v>337</v>
      </c>
      <c r="BJ245" s="5" t="s">
        <v>87</v>
      </c>
      <c r="BK245" s="9"/>
      <c r="BL245" s="9" t="str">
        <f>HYPERLINK("https://seichotoushi-hojo.jp/assets/pdf/koufu_3_4ji/outline_45.pdf","PDFを開く")</f>
        <v>PDFを開く</v>
      </c>
      <c r="BM245" s="9" t="s">
        <v>2056</v>
      </c>
      <c r="BN245" s="9" t="s">
        <v>2057</v>
      </c>
      <c r="BO245" s="9" t="s">
        <v>90</v>
      </c>
      <c r="BP245" s="9" t="s">
        <v>90</v>
      </c>
      <c r="BQ245" s="9" t="s">
        <v>91</v>
      </c>
      <c r="BR245" s="9" t="s">
        <v>92</v>
      </c>
    </row>
    <row r="246" spans="1:70" ht="45.95" customHeight="1">
      <c r="A246" s="2" t="s">
        <v>2058</v>
      </c>
      <c r="B246" s="2" t="s">
        <v>1595</v>
      </c>
      <c r="C246" s="2" t="s">
        <v>2059</v>
      </c>
      <c r="D246" s="2" t="s">
        <v>2059</v>
      </c>
      <c r="E246" s="2" t="s">
        <v>75</v>
      </c>
      <c r="F246" s="2"/>
      <c r="G246" s="2">
        <v>2</v>
      </c>
      <c r="H246" s="2">
        <v>0</v>
      </c>
      <c r="I246" s="2">
        <v>1</v>
      </c>
      <c r="J246" s="2">
        <v>1</v>
      </c>
      <c r="K246" s="2">
        <v>0</v>
      </c>
      <c r="L246" s="16">
        <v>2800</v>
      </c>
      <c r="M246" s="16">
        <v>840</v>
      </c>
      <c r="N246" s="8" t="s">
        <v>2060</v>
      </c>
      <c r="O246" s="12">
        <f t="shared" si="3"/>
        <v>30</v>
      </c>
      <c r="P246" s="2">
        <v>2</v>
      </c>
      <c r="Q246" s="2" t="s">
        <v>77</v>
      </c>
      <c r="R246" s="8" t="s">
        <v>2060</v>
      </c>
      <c r="S246" s="8" t="s">
        <v>2061</v>
      </c>
      <c r="T246" s="8" t="s">
        <v>80</v>
      </c>
      <c r="U246" s="2" t="s">
        <v>81</v>
      </c>
      <c r="V246" s="2"/>
      <c r="W246" s="16"/>
      <c r="X246" s="2">
        <v>2030</v>
      </c>
      <c r="Y246" s="16"/>
      <c r="Z246" s="16">
        <v>318</v>
      </c>
      <c r="AA246" s="2">
        <v>2030</v>
      </c>
      <c r="AB246" s="16">
        <v>13.7</v>
      </c>
      <c r="AC246" s="2">
        <v>2030</v>
      </c>
      <c r="AD246" s="2" t="s">
        <v>82</v>
      </c>
      <c r="AE246" s="16"/>
      <c r="AF246" s="16"/>
      <c r="AG246" s="16"/>
      <c r="AH246" s="16"/>
      <c r="AI246" s="8" t="s">
        <v>83</v>
      </c>
      <c r="AJ246" s="2" t="s">
        <v>84</v>
      </c>
      <c r="AK246" s="2">
        <v>1</v>
      </c>
      <c r="AL246" s="8" t="s">
        <v>2062</v>
      </c>
      <c r="AM246" s="8" t="s">
        <v>2063</v>
      </c>
      <c r="AN246" s="2">
        <v>2027</v>
      </c>
      <c r="AO246" s="16">
        <v>1006</v>
      </c>
      <c r="AP246" s="2">
        <v>2030</v>
      </c>
      <c r="AQ246" s="16">
        <v>1260</v>
      </c>
      <c r="AR246" s="2" t="s">
        <v>86</v>
      </c>
      <c r="AS246" s="16">
        <v>7.8</v>
      </c>
      <c r="AT246" s="2">
        <v>2027</v>
      </c>
      <c r="AU246" s="16">
        <v>788</v>
      </c>
      <c r="AV246" s="2">
        <v>2030</v>
      </c>
      <c r="AW246" s="16">
        <v>926</v>
      </c>
      <c r="AX246" s="2" t="s">
        <v>86</v>
      </c>
      <c r="AY246" s="16">
        <v>5.5</v>
      </c>
      <c r="AZ246" s="2">
        <v>2027</v>
      </c>
      <c r="BA246" s="16"/>
      <c r="BB246" s="2"/>
      <c r="BC246" s="16"/>
      <c r="BD246" s="2" t="s">
        <v>86</v>
      </c>
      <c r="BE246" s="16">
        <v>5.3</v>
      </c>
      <c r="BF246" s="2">
        <v>2027</v>
      </c>
      <c r="BG246" s="16">
        <v>401</v>
      </c>
      <c r="BH246" s="2">
        <v>2030</v>
      </c>
      <c r="BI246" s="16">
        <v>462</v>
      </c>
      <c r="BJ246" s="2" t="s">
        <v>87</v>
      </c>
      <c r="BK246" s="8"/>
      <c r="BL246" s="8" t="str">
        <f>HYPERLINK("https://seichotoushi-hojo.jp/assets/pdf/koufu_3_4ji/outline_46.pdf","PDFを開く")</f>
        <v>PDFを開く</v>
      </c>
      <c r="BM246" s="8" t="s">
        <v>2064</v>
      </c>
      <c r="BN246" s="8" t="s">
        <v>2065</v>
      </c>
      <c r="BO246" s="8" t="s">
        <v>90</v>
      </c>
      <c r="BP246" s="8" t="s">
        <v>90</v>
      </c>
      <c r="BQ246" s="8" t="s">
        <v>91</v>
      </c>
      <c r="BR246" s="8" t="s">
        <v>92</v>
      </c>
    </row>
    <row r="247" spans="1:70" ht="45.95" customHeight="1">
      <c r="A247" s="5" t="s">
        <v>2066</v>
      </c>
      <c r="B247" s="5" t="s">
        <v>1595</v>
      </c>
      <c r="C247" s="5" t="s">
        <v>2067</v>
      </c>
      <c r="D247" s="5" t="s">
        <v>2067</v>
      </c>
      <c r="E247" s="5" t="s">
        <v>186</v>
      </c>
      <c r="F247" s="5"/>
      <c r="G247" s="5">
        <v>2</v>
      </c>
      <c r="H247" s="5">
        <v>0</v>
      </c>
      <c r="I247" s="5">
        <v>1</v>
      </c>
      <c r="J247" s="5">
        <v>1</v>
      </c>
      <c r="K247" s="5">
        <v>0</v>
      </c>
      <c r="L247" s="17">
        <v>1500</v>
      </c>
      <c r="M247" s="17">
        <v>510</v>
      </c>
      <c r="N247" s="9" t="s">
        <v>2068</v>
      </c>
      <c r="O247" s="13">
        <f t="shared" si="3"/>
        <v>34</v>
      </c>
      <c r="P247" s="5">
        <v>2</v>
      </c>
      <c r="Q247" s="5" t="s">
        <v>77</v>
      </c>
      <c r="R247" s="9" t="s">
        <v>2068</v>
      </c>
      <c r="S247" s="9" t="s">
        <v>2069</v>
      </c>
      <c r="T247" s="9" t="s">
        <v>80</v>
      </c>
      <c r="U247" s="5" t="s">
        <v>81</v>
      </c>
      <c r="V247" s="5"/>
      <c r="W247" s="17"/>
      <c r="X247" s="5">
        <v>2030</v>
      </c>
      <c r="Y247" s="17"/>
      <c r="Z247" s="17">
        <v>729</v>
      </c>
      <c r="AA247" s="5">
        <v>2030</v>
      </c>
      <c r="AB247" s="17">
        <v>24.3</v>
      </c>
      <c r="AC247" s="5">
        <v>2030</v>
      </c>
      <c r="AD247" s="5" t="s">
        <v>82</v>
      </c>
      <c r="AE247" s="17"/>
      <c r="AF247" s="17"/>
      <c r="AG247" s="17"/>
      <c r="AH247" s="17"/>
      <c r="AI247" s="9" t="s">
        <v>83</v>
      </c>
      <c r="AJ247" s="5" t="s">
        <v>84</v>
      </c>
      <c r="AK247" s="5">
        <v>1</v>
      </c>
      <c r="AL247" s="9" t="s">
        <v>2070</v>
      </c>
      <c r="AM247" s="9"/>
      <c r="AN247" s="5">
        <v>2028</v>
      </c>
      <c r="AO247" s="17">
        <v>3506</v>
      </c>
      <c r="AP247" s="5">
        <v>2031</v>
      </c>
      <c r="AQ247" s="17">
        <v>12510</v>
      </c>
      <c r="AR247" s="5" t="s">
        <v>86</v>
      </c>
      <c r="AS247" s="17">
        <v>52.8</v>
      </c>
      <c r="AT247" s="5">
        <v>2028</v>
      </c>
      <c r="AU247" s="17">
        <v>1996</v>
      </c>
      <c r="AV247" s="5">
        <v>2031</v>
      </c>
      <c r="AW247" s="17">
        <v>2348</v>
      </c>
      <c r="AX247" s="5" t="s">
        <v>86</v>
      </c>
      <c r="AY247" s="17">
        <v>5.6</v>
      </c>
      <c r="AZ247" s="5"/>
      <c r="BA247" s="17"/>
      <c r="BB247" s="5"/>
      <c r="BC247" s="17"/>
      <c r="BD247" s="5"/>
      <c r="BE247" s="17"/>
      <c r="BF247" s="5">
        <v>2028</v>
      </c>
      <c r="BG247" s="17">
        <v>21</v>
      </c>
      <c r="BH247" s="5">
        <v>2031</v>
      </c>
      <c r="BI247" s="17">
        <v>27</v>
      </c>
      <c r="BJ247" s="5" t="s">
        <v>87</v>
      </c>
      <c r="BK247" s="9"/>
      <c r="BL247" s="9" t="str">
        <f>HYPERLINK("https://seichotoushi-hojo.jp/assets/pdf/koufu_3_4ji/outline_47.pdf","PDFを開く")</f>
        <v>PDFを開く</v>
      </c>
      <c r="BM247" s="9" t="s">
        <v>2071</v>
      </c>
      <c r="BN247" s="9" t="s">
        <v>2072</v>
      </c>
      <c r="BO247" s="9" t="s">
        <v>166</v>
      </c>
      <c r="BP247" s="9" t="s">
        <v>166</v>
      </c>
      <c r="BQ247" s="9" t="s">
        <v>157</v>
      </c>
      <c r="BR247" s="9" t="s">
        <v>166</v>
      </c>
    </row>
    <row r="248" spans="1:70" ht="45.95" customHeight="1">
      <c r="A248" s="2" t="s">
        <v>2073</v>
      </c>
      <c r="B248" s="2" t="s">
        <v>1595</v>
      </c>
      <c r="C248" s="2" t="s">
        <v>2074</v>
      </c>
      <c r="D248" s="2" t="s">
        <v>2074</v>
      </c>
      <c r="E248" s="2" t="s">
        <v>95</v>
      </c>
      <c r="F248" s="2"/>
      <c r="G248" s="2">
        <v>2</v>
      </c>
      <c r="H248" s="2">
        <v>0</v>
      </c>
      <c r="I248" s="2">
        <v>1</v>
      </c>
      <c r="J248" s="2">
        <v>1</v>
      </c>
      <c r="K248" s="2">
        <v>0</v>
      </c>
      <c r="L248" s="16">
        <v>2400</v>
      </c>
      <c r="M248" s="16">
        <v>730</v>
      </c>
      <c r="N248" s="8" t="s">
        <v>2075</v>
      </c>
      <c r="O248" s="12">
        <f t="shared" si="3"/>
        <v>30.416666666666664</v>
      </c>
      <c r="P248" s="2">
        <v>2</v>
      </c>
      <c r="Q248" s="2" t="s">
        <v>77</v>
      </c>
      <c r="R248" s="8" t="s">
        <v>2076</v>
      </c>
      <c r="S248" s="8" t="s">
        <v>2077</v>
      </c>
      <c r="T248" s="8" t="s">
        <v>80</v>
      </c>
      <c r="U248" s="2" t="s">
        <v>81</v>
      </c>
      <c r="V248" s="2"/>
      <c r="W248" s="16"/>
      <c r="X248" s="2">
        <v>2031</v>
      </c>
      <c r="Y248" s="16"/>
      <c r="Z248" s="16">
        <v>46</v>
      </c>
      <c r="AA248" s="2">
        <v>2031</v>
      </c>
      <c r="AB248" s="16">
        <v>12.2</v>
      </c>
      <c r="AC248" s="2">
        <v>2031</v>
      </c>
      <c r="AD248" s="2" t="s">
        <v>82</v>
      </c>
      <c r="AE248" s="16"/>
      <c r="AF248" s="16"/>
      <c r="AG248" s="16"/>
      <c r="AH248" s="16"/>
      <c r="AI248" s="8" t="s">
        <v>83</v>
      </c>
      <c r="AJ248" s="2" t="s">
        <v>84</v>
      </c>
      <c r="AK248" s="2">
        <v>1</v>
      </c>
      <c r="AL248" s="8" t="s">
        <v>2078</v>
      </c>
      <c r="AM248" s="8"/>
      <c r="AN248" s="2">
        <v>2026</v>
      </c>
      <c r="AO248" s="16">
        <v>573</v>
      </c>
      <c r="AP248" s="2">
        <v>2029</v>
      </c>
      <c r="AQ248" s="16">
        <v>982</v>
      </c>
      <c r="AR248" s="2" t="s">
        <v>86</v>
      </c>
      <c r="AS248" s="16">
        <v>19.600000000000001</v>
      </c>
      <c r="AT248" s="2">
        <v>2026</v>
      </c>
      <c r="AU248" s="16">
        <v>420</v>
      </c>
      <c r="AV248" s="2">
        <v>2029</v>
      </c>
      <c r="AW248" s="16">
        <v>500</v>
      </c>
      <c r="AX248" s="2" t="s">
        <v>86</v>
      </c>
      <c r="AY248" s="16">
        <v>6</v>
      </c>
      <c r="AZ248" s="2">
        <v>2026</v>
      </c>
      <c r="BA248" s="16"/>
      <c r="BB248" s="2">
        <v>2029</v>
      </c>
      <c r="BC248" s="16"/>
      <c r="BD248" s="2" t="s">
        <v>86</v>
      </c>
      <c r="BE248" s="16">
        <v>5</v>
      </c>
      <c r="BF248" s="2">
        <v>2026</v>
      </c>
      <c r="BG248" s="16">
        <v>427</v>
      </c>
      <c r="BH248" s="2">
        <v>2029</v>
      </c>
      <c r="BI248" s="16">
        <v>433</v>
      </c>
      <c r="BJ248" s="2" t="s">
        <v>87</v>
      </c>
      <c r="BK248" s="8"/>
      <c r="BL248" s="8" t="str">
        <f>HYPERLINK("https://seichotoushi-hojo.jp/assets/pdf/koufu_3_4ji/outline_48.pdf","PDFを開く")</f>
        <v>PDFを開く</v>
      </c>
      <c r="BM248" s="8" t="s">
        <v>2079</v>
      </c>
      <c r="BN248" s="8" t="s">
        <v>2080</v>
      </c>
      <c r="BO248" s="8" t="s">
        <v>90</v>
      </c>
      <c r="BP248" s="8" t="s">
        <v>90</v>
      </c>
      <c r="BQ248" s="8" t="s">
        <v>91</v>
      </c>
      <c r="BR248" s="8" t="s">
        <v>92</v>
      </c>
    </row>
    <row r="249" spans="1:70" ht="45.95" customHeight="1">
      <c r="A249" s="5" t="s">
        <v>2081</v>
      </c>
      <c r="B249" s="5" t="s">
        <v>1595</v>
      </c>
      <c r="C249" s="5" t="s">
        <v>2082</v>
      </c>
      <c r="D249" s="5" t="s">
        <v>2082</v>
      </c>
      <c r="E249" s="5" t="s">
        <v>75</v>
      </c>
      <c r="F249" s="5" t="s">
        <v>2083</v>
      </c>
      <c r="G249" s="5">
        <v>2</v>
      </c>
      <c r="H249" s="5">
        <v>0</v>
      </c>
      <c r="I249" s="5">
        <v>1</v>
      </c>
      <c r="J249" s="5">
        <v>1</v>
      </c>
      <c r="K249" s="5">
        <v>0</v>
      </c>
      <c r="L249" s="17">
        <v>3600</v>
      </c>
      <c r="M249" s="17">
        <v>850</v>
      </c>
      <c r="N249" s="9" t="s">
        <v>2084</v>
      </c>
      <c r="O249" s="13">
        <f t="shared" si="3"/>
        <v>23.611111111111111</v>
      </c>
      <c r="P249" s="5">
        <v>2</v>
      </c>
      <c r="Q249" s="5" t="s">
        <v>77</v>
      </c>
      <c r="R249" s="9" t="s">
        <v>2085</v>
      </c>
      <c r="S249" s="9" t="s">
        <v>2086</v>
      </c>
      <c r="T249" s="9" t="s">
        <v>80</v>
      </c>
      <c r="U249" s="5" t="s">
        <v>81</v>
      </c>
      <c r="V249" s="5"/>
      <c r="W249" s="17"/>
      <c r="X249" s="5">
        <v>2030</v>
      </c>
      <c r="Y249" s="17"/>
      <c r="Z249" s="17">
        <v>81</v>
      </c>
      <c r="AA249" s="5">
        <v>2030</v>
      </c>
      <c r="AB249" s="17">
        <v>187</v>
      </c>
      <c r="AC249" s="5">
        <v>2030</v>
      </c>
      <c r="AD249" s="5" t="s">
        <v>82</v>
      </c>
      <c r="AE249" s="17"/>
      <c r="AF249" s="17"/>
      <c r="AG249" s="17"/>
      <c r="AH249" s="17"/>
      <c r="AI249" s="9" t="s">
        <v>83</v>
      </c>
      <c r="AJ249" s="5" t="s">
        <v>84</v>
      </c>
      <c r="AK249" s="5">
        <v>1</v>
      </c>
      <c r="AL249" s="9" t="s">
        <v>2087</v>
      </c>
      <c r="AM249" s="9"/>
      <c r="AN249" s="5">
        <v>2027</v>
      </c>
      <c r="AO249" s="17">
        <v>955</v>
      </c>
      <c r="AP249" s="5">
        <v>2030</v>
      </c>
      <c r="AQ249" s="17">
        <v>2845</v>
      </c>
      <c r="AR249" s="5" t="s">
        <v>86</v>
      </c>
      <c r="AS249" s="17">
        <v>43.9</v>
      </c>
      <c r="AT249" s="5">
        <v>2027</v>
      </c>
      <c r="AU249" s="17">
        <v>488</v>
      </c>
      <c r="AV249" s="5">
        <v>2030</v>
      </c>
      <c r="AW249" s="17">
        <v>593</v>
      </c>
      <c r="AX249" s="5" t="s">
        <v>86</v>
      </c>
      <c r="AY249" s="17">
        <v>6.7</v>
      </c>
      <c r="AZ249" s="5">
        <v>2027</v>
      </c>
      <c r="BA249" s="17"/>
      <c r="BB249" s="5">
        <v>2030</v>
      </c>
      <c r="BC249" s="17"/>
      <c r="BD249" s="5" t="s">
        <v>86</v>
      </c>
      <c r="BE249" s="17">
        <v>6.7</v>
      </c>
      <c r="BF249" s="5">
        <v>2027</v>
      </c>
      <c r="BG249" s="17">
        <v>55</v>
      </c>
      <c r="BH249" s="5">
        <v>2030</v>
      </c>
      <c r="BI249" s="17">
        <v>60</v>
      </c>
      <c r="BJ249" s="5" t="s">
        <v>87</v>
      </c>
      <c r="BK249" s="9"/>
      <c r="BL249" s="9" t="str">
        <f>HYPERLINK("https://seichotoushi-hojo.jp/assets/pdf/koufu_3_4ji/outline_49.pdf","PDFを開く")</f>
        <v>PDFを開く</v>
      </c>
      <c r="BM249" s="9" t="s">
        <v>2088</v>
      </c>
      <c r="BN249" s="9" t="s">
        <v>2089</v>
      </c>
      <c r="BO249" s="9" t="s">
        <v>90</v>
      </c>
      <c r="BP249" s="9" t="s">
        <v>90</v>
      </c>
      <c r="BQ249" s="9" t="s">
        <v>91</v>
      </c>
      <c r="BR249" s="9" t="s">
        <v>92</v>
      </c>
    </row>
    <row r="250" spans="1:70" ht="45.95" customHeight="1">
      <c r="A250" s="2" t="s">
        <v>2090</v>
      </c>
      <c r="B250" s="2" t="s">
        <v>1595</v>
      </c>
      <c r="C250" s="2" t="s">
        <v>2091</v>
      </c>
      <c r="D250" s="2" t="s">
        <v>2091</v>
      </c>
      <c r="E250" s="2" t="s">
        <v>95</v>
      </c>
      <c r="F250" s="2"/>
      <c r="G250" s="2">
        <v>2</v>
      </c>
      <c r="H250" s="2">
        <v>0</v>
      </c>
      <c r="I250" s="2">
        <v>1</v>
      </c>
      <c r="J250" s="2">
        <v>1</v>
      </c>
      <c r="K250" s="2">
        <v>0</v>
      </c>
      <c r="L250" s="16">
        <v>1300</v>
      </c>
      <c r="M250" s="16">
        <v>300</v>
      </c>
      <c r="N250" s="8" t="s">
        <v>2092</v>
      </c>
      <c r="O250" s="12">
        <f t="shared" si="3"/>
        <v>23.076923076923077</v>
      </c>
      <c r="P250" s="2">
        <v>2</v>
      </c>
      <c r="Q250" s="2" t="s">
        <v>77</v>
      </c>
      <c r="R250" s="8" t="s">
        <v>2092</v>
      </c>
      <c r="S250" s="8" t="s">
        <v>2093</v>
      </c>
      <c r="T250" s="8" t="s">
        <v>80</v>
      </c>
      <c r="U250" s="2" t="s">
        <v>81</v>
      </c>
      <c r="V250" s="2">
        <v>2024</v>
      </c>
      <c r="W250" s="16"/>
      <c r="X250" s="2">
        <v>2029</v>
      </c>
      <c r="Y250" s="16">
        <v>28.6</v>
      </c>
      <c r="Z250" s="16">
        <v>20.6</v>
      </c>
      <c r="AA250" s="2">
        <v>2029</v>
      </c>
      <c r="AB250" s="16">
        <v>358.3</v>
      </c>
      <c r="AC250" s="2">
        <v>2029</v>
      </c>
      <c r="AD250" s="2" t="s">
        <v>82</v>
      </c>
      <c r="AE250" s="16"/>
      <c r="AF250" s="16"/>
      <c r="AG250" s="16"/>
      <c r="AH250" s="16"/>
      <c r="AI250" s="8" t="s">
        <v>83</v>
      </c>
      <c r="AJ250" s="2" t="s">
        <v>84</v>
      </c>
      <c r="AK250" s="2">
        <v>1</v>
      </c>
      <c r="AL250" s="8" t="s">
        <v>2094</v>
      </c>
      <c r="AM250" s="8" t="s">
        <v>2095</v>
      </c>
      <c r="AN250" s="2">
        <v>2026</v>
      </c>
      <c r="AO250" s="16">
        <v>872</v>
      </c>
      <c r="AP250" s="2">
        <v>2029</v>
      </c>
      <c r="AQ250" s="16">
        <v>3390</v>
      </c>
      <c r="AR250" s="2" t="s">
        <v>86</v>
      </c>
      <c r="AS250" s="16">
        <v>57.2</v>
      </c>
      <c r="AT250" s="2">
        <v>2026</v>
      </c>
      <c r="AU250" s="16">
        <v>465</v>
      </c>
      <c r="AV250" s="2">
        <v>2029</v>
      </c>
      <c r="AW250" s="16">
        <v>555</v>
      </c>
      <c r="AX250" s="2" t="s">
        <v>86</v>
      </c>
      <c r="AY250" s="16">
        <v>6.1</v>
      </c>
      <c r="AZ250" s="2">
        <v>2026</v>
      </c>
      <c r="BA250" s="16"/>
      <c r="BB250" s="2">
        <v>2029</v>
      </c>
      <c r="BC250" s="16"/>
      <c r="BD250" s="2" t="s">
        <v>86</v>
      </c>
      <c r="BE250" s="16">
        <v>6.1</v>
      </c>
      <c r="BF250" s="2">
        <v>2026</v>
      </c>
      <c r="BG250" s="16">
        <v>17</v>
      </c>
      <c r="BH250" s="2">
        <v>2029</v>
      </c>
      <c r="BI250" s="16">
        <v>22</v>
      </c>
      <c r="BJ250" s="2" t="s">
        <v>87</v>
      </c>
      <c r="BK250" s="8"/>
      <c r="BL250" s="8" t="str">
        <f>HYPERLINK("https://seichotoushi-hojo.jp/assets/pdf/koufu_3_4ji/outline_5.pdf","PDFを開く")</f>
        <v>PDFを開く</v>
      </c>
      <c r="BM250" s="8" t="s">
        <v>2096</v>
      </c>
      <c r="BN250" s="8" t="s">
        <v>2097</v>
      </c>
      <c r="BO250" s="8" t="s">
        <v>90</v>
      </c>
      <c r="BP250" s="8" t="s">
        <v>90</v>
      </c>
      <c r="BQ250" s="8" t="s">
        <v>91</v>
      </c>
      <c r="BR250" s="8" t="s">
        <v>92</v>
      </c>
    </row>
    <row r="251" spans="1:70" ht="45.95" customHeight="1">
      <c r="A251" s="5" t="s">
        <v>2098</v>
      </c>
      <c r="B251" s="5" t="s">
        <v>1595</v>
      </c>
      <c r="C251" s="5" t="s">
        <v>2099</v>
      </c>
      <c r="D251" s="5" t="s">
        <v>2099</v>
      </c>
      <c r="E251" s="5" t="s">
        <v>186</v>
      </c>
      <c r="F251" s="5"/>
      <c r="G251" s="5">
        <v>3</v>
      </c>
      <c r="H251" s="5">
        <v>1</v>
      </c>
      <c r="I251" s="5">
        <v>1</v>
      </c>
      <c r="J251" s="5">
        <v>1</v>
      </c>
      <c r="K251" s="5">
        <v>0</v>
      </c>
      <c r="L251" s="17">
        <v>2500</v>
      </c>
      <c r="M251" s="17">
        <v>830</v>
      </c>
      <c r="N251" s="9" t="s">
        <v>2100</v>
      </c>
      <c r="O251" s="13">
        <f t="shared" si="3"/>
        <v>33.200000000000003</v>
      </c>
      <c r="P251" s="5">
        <v>3</v>
      </c>
      <c r="Q251" s="5" t="s">
        <v>77</v>
      </c>
      <c r="R251" s="9" t="s">
        <v>2100</v>
      </c>
      <c r="S251" s="9" t="s">
        <v>2101</v>
      </c>
      <c r="T251" s="9" t="s">
        <v>80</v>
      </c>
      <c r="U251" s="5" t="s">
        <v>81</v>
      </c>
      <c r="V251" s="5"/>
      <c r="W251" s="17"/>
      <c r="X251" s="5"/>
      <c r="Y251" s="17"/>
      <c r="Z251" s="17">
        <v>155</v>
      </c>
      <c r="AA251" s="5"/>
      <c r="AB251" s="17">
        <v>16</v>
      </c>
      <c r="AC251" s="5"/>
      <c r="AD251" s="5" t="s">
        <v>82</v>
      </c>
      <c r="AE251" s="17"/>
      <c r="AF251" s="17"/>
      <c r="AG251" s="17"/>
      <c r="AH251" s="17"/>
      <c r="AI251" s="9" t="s">
        <v>83</v>
      </c>
      <c r="AJ251" s="5" t="s">
        <v>84</v>
      </c>
      <c r="AK251" s="5">
        <v>2</v>
      </c>
      <c r="AL251" s="9" t="s">
        <v>2102</v>
      </c>
      <c r="AM251" s="9"/>
      <c r="AN251" s="5">
        <v>2027</v>
      </c>
      <c r="AO251" s="17">
        <v>1275</v>
      </c>
      <c r="AP251" s="5">
        <v>2030</v>
      </c>
      <c r="AQ251" s="17">
        <v>2396</v>
      </c>
      <c r="AR251" s="5" t="s">
        <v>86</v>
      </c>
      <c r="AS251" s="17">
        <v>23.4</v>
      </c>
      <c r="AT251" s="5">
        <v>2027</v>
      </c>
      <c r="AU251" s="17">
        <v>628</v>
      </c>
      <c r="AV251" s="5">
        <v>2030</v>
      </c>
      <c r="AW251" s="17">
        <v>748</v>
      </c>
      <c r="AX251" s="5" t="s">
        <v>86</v>
      </c>
      <c r="AY251" s="17">
        <v>6</v>
      </c>
      <c r="AZ251" s="5"/>
      <c r="BA251" s="17"/>
      <c r="BB251" s="5"/>
      <c r="BC251" s="17"/>
      <c r="BD251" s="5"/>
      <c r="BE251" s="17"/>
      <c r="BF251" s="5">
        <v>2027</v>
      </c>
      <c r="BG251" s="17">
        <v>462</v>
      </c>
      <c r="BH251" s="5">
        <v>2030</v>
      </c>
      <c r="BI251" s="17">
        <v>505</v>
      </c>
      <c r="BJ251" s="5" t="s">
        <v>87</v>
      </c>
      <c r="BK251" s="9"/>
      <c r="BL251" s="9" t="str">
        <f>HYPERLINK("https://seichotoushi-hojo.jp/assets/pdf/koufu_3_4ji/outline_51.pdf","PDFを開く")</f>
        <v>PDFを開く</v>
      </c>
      <c r="BM251" s="9" t="s">
        <v>2103</v>
      </c>
      <c r="BN251" s="9" t="s">
        <v>2104</v>
      </c>
      <c r="BO251" s="9" t="s">
        <v>166</v>
      </c>
      <c r="BP251" s="9" t="s">
        <v>166</v>
      </c>
      <c r="BQ251" s="9" t="s">
        <v>156</v>
      </c>
      <c r="BR251" s="9" t="s">
        <v>166</v>
      </c>
    </row>
    <row r="252" spans="1:70" ht="45.95" customHeight="1">
      <c r="A252" s="2" t="s">
        <v>2105</v>
      </c>
      <c r="B252" s="2" t="s">
        <v>1595</v>
      </c>
      <c r="C252" s="2" t="s">
        <v>2106</v>
      </c>
      <c r="D252" s="2" t="s">
        <v>2106</v>
      </c>
      <c r="E252" s="2"/>
      <c r="F252" s="2" t="s">
        <v>2107</v>
      </c>
      <c r="G252" s="2">
        <v>2</v>
      </c>
      <c r="H252" s="2">
        <v>0</v>
      </c>
      <c r="I252" s="2">
        <v>1</v>
      </c>
      <c r="J252" s="2">
        <v>1</v>
      </c>
      <c r="K252" s="2">
        <v>0</v>
      </c>
      <c r="L252" s="16">
        <v>9800</v>
      </c>
      <c r="M252" s="16">
        <v>2600</v>
      </c>
      <c r="N252" s="8" t="s">
        <v>2108</v>
      </c>
      <c r="O252" s="12">
        <f t="shared" si="3"/>
        <v>26.530612244897959</v>
      </c>
      <c r="P252" s="2">
        <v>2</v>
      </c>
      <c r="Q252" s="2" t="s">
        <v>77</v>
      </c>
      <c r="R252" s="8" t="s">
        <v>2109</v>
      </c>
      <c r="S252" s="8" t="s">
        <v>2110</v>
      </c>
      <c r="T252" s="8" t="s">
        <v>80</v>
      </c>
      <c r="U252" s="2" t="s">
        <v>81</v>
      </c>
      <c r="V252" s="2"/>
      <c r="W252" s="16"/>
      <c r="X252" s="2"/>
      <c r="Y252" s="16"/>
      <c r="Z252" s="16"/>
      <c r="AA252" s="2"/>
      <c r="AB252" s="16">
        <v>376.3</v>
      </c>
      <c r="AC252" s="2"/>
      <c r="AD252" s="2" t="s">
        <v>82</v>
      </c>
      <c r="AE252" s="16"/>
      <c r="AF252" s="16"/>
      <c r="AG252" s="16"/>
      <c r="AH252" s="16"/>
      <c r="AI252" s="8" t="s">
        <v>83</v>
      </c>
      <c r="AJ252" s="2" t="s">
        <v>587</v>
      </c>
      <c r="AK252" s="2">
        <v>1</v>
      </c>
      <c r="AL252" s="8" t="s">
        <v>2111</v>
      </c>
      <c r="AM252" s="8"/>
      <c r="AN252" s="2"/>
      <c r="AO252" s="16">
        <v>6751</v>
      </c>
      <c r="AP252" s="2"/>
      <c r="AQ252" s="16">
        <v>26511</v>
      </c>
      <c r="AR252" s="2" t="s">
        <v>447</v>
      </c>
      <c r="AS252" s="16">
        <v>57.8</v>
      </c>
      <c r="AT252" s="2"/>
      <c r="AU252" s="16">
        <v>4655</v>
      </c>
      <c r="AV252" s="2"/>
      <c r="AW252" s="16">
        <v>5690</v>
      </c>
      <c r="AX252" s="2" t="s">
        <v>447</v>
      </c>
      <c r="AY252" s="16">
        <v>7</v>
      </c>
      <c r="AZ252" s="2"/>
      <c r="BA252" s="16"/>
      <c r="BB252" s="2"/>
      <c r="BC252" s="16"/>
      <c r="BD252" s="2"/>
      <c r="BE252" s="16"/>
      <c r="BF252" s="2"/>
      <c r="BG252" s="16">
        <v>32.799999999999997</v>
      </c>
      <c r="BH252" s="2"/>
      <c r="BI252" s="16">
        <v>98</v>
      </c>
      <c r="BJ252" s="2" t="s">
        <v>87</v>
      </c>
      <c r="BK252" s="8"/>
      <c r="BL252" s="8" t="str">
        <f>HYPERLINK("https://seichotoushi-hojo.jp/assets/pdf/koufu_3_4ji/outline_52.pdf","PDFを開く")</f>
        <v>PDFを開く</v>
      </c>
      <c r="BM252" s="8" t="s">
        <v>2112</v>
      </c>
      <c r="BN252" s="8" t="s">
        <v>2113</v>
      </c>
      <c r="BO252" s="8" t="s">
        <v>166</v>
      </c>
      <c r="BP252" s="8" t="s">
        <v>166</v>
      </c>
      <c r="BQ252" s="8" t="s">
        <v>156</v>
      </c>
      <c r="BR252" s="8" t="s">
        <v>166</v>
      </c>
    </row>
    <row r="253" spans="1:70" ht="45.95" customHeight="1">
      <c r="A253" s="5" t="s">
        <v>2114</v>
      </c>
      <c r="B253" s="5" t="s">
        <v>1595</v>
      </c>
      <c r="C253" s="5" t="s">
        <v>2115</v>
      </c>
      <c r="D253" s="5" t="s">
        <v>2115</v>
      </c>
      <c r="E253" s="5"/>
      <c r="F253" s="5" t="s">
        <v>2116</v>
      </c>
      <c r="G253" s="5">
        <v>2</v>
      </c>
      <c r="H253" s="5">
        <v>0</v>
      </c>
      <c r="I253" s="5">
        <v>1</v>
      </c>
      <c r="J253" s="5">
        <v>1</v>
      </c>
      <c r="K253" s="5">
        <v>0</v>
      </c>
      <c r="L253" s="17">
        <v>5200</v>
      </c>
      <c r="M253" s="17">
        <v>1300</v>
      </c>
      <c r="N253" s="9" t="s">
        <v>2117</v>
      </c>
      <c r="O253" s="13">
        <f t="shared" si="3"/>
        <v>25</v>
      </c>
      <c r="P253" s="5">
        <v>2</v>
      </c>
      <c r="Q253" s="5" t="s">
        <v>77</v>
      </c>
      <c r="R253" s="9" t="s">
        <v>2117</v>
      </c>
      <c r="S253" s="9" t="s">
        <v>2118</v>
      </c>
      <c r="T253" s="9" t="s">
        <v>80</v>
      </c>
      <c r="U253" s="5" t="s">
        <v>81</v>
      </c>
      <c r="V253" s="5">
        <v>2024</v>
      </c>
      <c r="W253" s="17">
        <v>473.15</v>
      </c>
      <c r="X253" s="5">
        <v>2030</v>
      </c>
      <c r="Y253" s="17">
        <v>730</v>
      </c>
      <c r="Z253" s="17">
        <v>256.85000000000002</v>
      </c>
      <c r="AA253" s="5">
        <v>2030</v>
      </c>
      <c r="AB253" s="17">
        <v>54.3</v>
      </c>
      <c r="AC253" s="5">
        <v>2030</v>
      </c>
      <c r="AD253" s="5" t="s">
        <v>99</v>
      </c>
      <c r="AE253" s="17"/>
      <c r="AF253" s="17"/>
      <c r="AG253" s="17">
        <v>7.4947702828584983</v>
      </c>
      <c r="AH253" s="17"/>
      <c r="AI253" s="9" t="s">
        <v>100</v>
      </c>
      <c r="AJ253" s="5" t="s">
        <v>84</v>
      </c>
      <c r="AK253" s="5">
        <v>1</v>
      </c>
      <c r="AL253" s="9" t="s">
        <v>2119</v>
      </c>
      <c r="AM253" s="9" t="s">
        <v>2120</v>
      </c>
      <c r="AN253" s="5">
        <v>2027</v>
      </c>
      <c r="AO253" s="17">
        <v>1260</v>
      </c>
      <c r="AP253" s="5">
        <v>2030</v>
      </c>
      <c r="AQ253" s="17">
        <v>2011</v>
      </c>
      <c r="AR253" s="5" t="s">
        <v>86</v>
      </c>
      <c r="AS253" s="17"/>
      <c r="AT253" s="5">
        <v>2027</v>
      </c>
      <c r="AU253" s="17">
        <v>952</v>
      </c>
      <c r="AV253" s="5">
        <v>2030</v>
      </c>
      <c r="AW253" s="17">
        <v>1101</v>
      </c>
      <c r="AX253" s="5" t="s">
        <v>86</v>
      </c>
      <c r="AY253" s="17"/>
      <c r="AZ253" s="5">
        <v>2027</v>
      </c>
      <c r="BA253" s="17">
        <v>5013</v>
      </c>
      <c r="BB253" s="5">
        <v>2030</v>
      </c>
      <c r="BC253" s="17">
        <v>5803</v>
      </c>
      <c r="BD253" s="5" t="s">
        <v>86</v>
      </c>
      <c r="BE253" s="17"/>
      <c r="BF253" s="5">
        <v>2027</v>
      </c>
      <c r="BG253" s="17">
        <v>284</v>
      </c>
      <c r="BH253" s="5">
        <v>2030</v>
      </c>
      <c r="BI253" s="17">
        <v>315</v>
      </c>
      <c r="BJ253" s="5" t="s">
        <v>87</v>
      </c>
      <c r="BK253" s="9"/>
      <c r="BL253" s="9" t="str">
        <f>HYPERLINK("https://seichotoushi-hojo.jp/assets/pdf/koufu_3_4ji/outline_58.pdf","PDFを開く")</f>
        <v>PDFを開く</v>
      </c>
      <c r="BM253" s="9" t="s">
        <v>2121</v>
      </c>
      <c r="BN253" s="9" t="s">
        <v>2122</v>
      </c>
      <c r="BO253" s="9" t="s">
        <v>92</v>
      </c>
      <c r="BP253" s="9" t="s">
        <v>92</v>
      </c>
      <c r="BQ253" s="9" t="s">
        <v>92</v>
      </c>
      <c r="BR253" s="9" t="s">
        <v>92</v>
      </c>
    </row>
    <row r="254" spans="1:70" ht="45.95" customHeight="1">
      <c r="A254" s="2" t="s">
        <v>2123</v>
      </c>
      <c r="B254" s="2" t="s">
        <v>1595</v>
      </c>
      <c r="C254" s="2" t="s">
        <v>2124</v>
      </c>
      <c r="D254" s="2" t="s">
        <v>2124</v>
      </c>
      <c r="E254" s="2" t="s">
        <v>75</v>
      </c>
      <c r="F254" s="2" t="s">
        <v>2125</v>
      </c>
      <c r="G254" s="2">
        <v>2</v>
      </c>
      <c r="H254" s="2">
        <v>0</v>
      </c>
      <c r="I254" s="2">
        <v>1</v>
      </c>
      <c r="J254" s="2">
        <v>1</v>
      </c>
      <c r="K254" s="2">
        <v>0</v>
      </c>
      <c r="L254" s="16">
        <v>6300</v>
      </c>
      <c r="M254" s="16">
        <v>1800</v>
      </c>
      <c r="N254" s="8" t="s">
        <v>2126</v>
      </c>
      <c r="O254" s="12">
        <f t="shared" si="3"/>
        <v>28.571428571428569</v>
      </c>
      <c r="P254" s="2">
        <v>2</v>
      </c>
      <c r="Q254" s="2" t="s">
        <v>77</v>
      </c>
      <c r="R254" s="8" t="s">
        <v>2127</v>
      </c>
      <c r="S254" s="8" t="s">
        <v>2128</v>
      </c>
      <c r="T254" s="8" t="s">
        <v>80</v>
      </c>
      <c r="U254" s="2" t="s">
        <v>81</v>
      </c>
      <c r="V254" s="2">
        <v>2024</v>
      </c>
      <c r="W254" s="16"/>
      <c r="X254" s="2">
        <v>2031</v>
      </c>
      <c r="Y254" s="16"/>
      <c r="Z254" s="16">
        <v>85</v>
      </c>
      <c r="AA254" s="2">
        <v>2031</v>
      </c>
      <c r="AB254" s="16">
        <v>149</v>
      </c>
      <c r="AC254" s="2">
        <v>2031</v>
      </c>
      <c r="AD254" s="2" t="s">
        <v>82</v>
      </c>
      <c r="AE254" s="16"/>
      <c r="AF254" s="16"/>
      <c r="AG254" s="16"/>
      <c r="AH254" s="16"/>
      <c r="AI254" s="8" t="s">
        <v>83</v>
      </c>
      <c r="AJ254" s="2" t="s">
        <v>84</v>
      </c>
      <c r="AK254" s="2">
        <v>1</v>
      </c>
      <c r="AL254" s="8" t="s">
        <v>2129</v>
      </c>
      <c r="AM254" s="8"/>
      <c r="AN254" s="2">
        <v>2027</v>
      </c>
      <c r="AO254" s="16">
        <v>507</v>
      </c>
      <c r="AP254" s="2">
        <v>2030</v>
      </c>
      <c r="AQ254" s="16">
        <v>2136</v>
      </c>
      <c r="AR254" s="2" t="s">
        <v>86</v>
      </c>
      <c r="AS254" s="16"/>
      <c r="AT254" s="2">
        <v>2027</v>
      </c>
      <c r="AU254" s="16">
        <v>334</v>
      </c>
      <c r="AV254" s="2">
        <v>2030</v>
      </c>
      <c r="AW254" s="16">
        <v>398</v>
      </c>
      <c r="AX254" s="2" t="s">
        <v>86</v>
      </c>
      <c r="AY254" s="16">
        <v>6</v>
      </c>
      <c r="AZ254" s="2"/>
      <c r="BA254" s="16"/>
      <c r="BB254" s="2"/>
      <c r="BC254" s="16"/>
      <c r="BD254" s="2"/>
      <c r="BE254" s="16"/>
      <c r="BF254" s="2">
        <v>2027</v>
      </c>
      <c r="BG254" s="16">
        <v>181</v>
      </c>
      <c r="BH254" s="2">
        <v>2030</v>
      </c>
      <c r="BI254" s="16">
        <v>198</v>
      </c>
      <c r="BJ254" s="2" t="s">
        <v>87</v>
      </c>
      <c r="BK254" s="8"/>
      <c r="BL254" s="8" t="str">
        <f>HYPERLINK("https://seichotoushi-hojo.jp/assets/pdf/koufu_3_4ji/outline_6.pdf","PDFを開く")</f>
        <v>PDFを開く</v>
      </c>
      <c r="BM254" s="8" t="s">
        <v>2130</v>
      </c>
      <c r="BN254" s="8" t="s">
        <v>2131</v>
      </c>
      <c r="BO254" s="8" t="s">
        <v>92</v>
      </c>
      <c r="BP254" s="8" t="s">
        <v>90</v>
      </c>
      <c r="BQ254" s="8" t="s">
        <v>156</v>
      </c>
      <c r="BR254" s="8" t="s">
        <v>92</v>
      </c>
    </row>
    <row r="255" spans="1:70" ht="45.95" customHeight="1">
      <c r="A255" s="5" t="s">
        <v>2132</v>
      </c>
      <c r="B255" s="5" t="s">
        <v>1595</v>
      </c>
      <c r="C255" s="5" t="s">
        <v>2133</v>
      </c>
      <c r="D255" s="5" t="s">
        <v>2133</v>
      </c>
      <c r="E255" s="5"/>
      <c r="F255" s="5"/>
      <c r="G255" s="5">
        <v>6</v>
      </c>
      <c r="H255" s="5">
        <v>2</v>
      </c>
      <c r="I255" s="5">
        <v>1</v>
      </c>
      <c r="J255" s="5">
        <v>3</v>
      </c>
      <c r="K255" s="5">
        <v>0</v>
      </c>
      <c r="L255" s="17">
        <v>1700</v>
      </c>
      <c r="M255" s="17">
        <v>550</v>
      </c>
      <c r="N255" s="9" t="s">
        <v>1962</v>
      </c>
      <c r="O255" s="13">
        <f t="shared" si="3"/>
        <v>32.352941176470587</v>
      </c>
      <c r="P255" s="5">
        <v>4</v>
      </c>
      <c r="Q255" s="5" t="s">
        <v>77</v>
      </c>
      <c r="R255" s="9" t="s">
        <v>1962</v>
      </c>
      <c r="S255" s="9" t="s">
        <v>2134</v>
      </c>
      <c r="T255" s="9" t="s">
        <v>80</v>
      </c>
      <c r="U255" s="5" t="s">
        <v>81</v>
      </c>
      <c r="V255" s="5"/>
      <c r="W255" s="17"/>
      <c r="X255" s="5"/>
      <c r="Y255" s="17"/>
      <c r="Z255" s="17"/>
      <c r="AA255" s="5"/>
      <c r="AB255" s="17"/>
      <c r="AC255" s="5"/>
      <c r="AD255" s="5"/>
      <c r="AE255" s="17"/>
      <c r="AF255" s="17"/>
      <c r="AG255" s="17"/>
      <c r="AH255" s="17">
        <v>2.2000000000000002</v>
      </c>
      <c r="AI255" s="9" t="s">
        <v>692</v>
      </c>
      <c r="AJ255" s="5" t="s">
        <v>84</v>
      </c>
      <c r="AK255" s="5">
        <v>3</v>
      </c>
      <c r="AL255" s="9" t="s">
        <v>2135</v>
      </c>
      <c r="AM255" s="9"/>
      <c r="AN255" s="5">
        <v>2027</v>
      </c>
      <c r="AO255" s="17">
        <v>582</v>
      </c>
      <c r="AP255" s="5">
        <v>2030</v>
      </c>
      <c r="AQ255" s="17">
        <v>879</v>
      </c>
      <c r="AR255" s="5" t="s">
        <v>86</v>
      </c>
      <c r="AS255" s="17">
        <v>14.7</v>
      </c>
      <c r="AT255" s="5">
        <v>2027</v>
      </c>
      <c r="AU255" s="17">
        <v>380</v>
      </c>
      <c r="AV255" s="5">
        <v>2030</v>
      </c>
      <c r="AW255" s="17">
        <v>520</v>
      </c>
      <c r="AX255" s="5" t="s">
        <v>86</v>
      </c>
      <c r="AY255" s="17">
        <v>11.1</v>
      </c>
      <c r="AZ255" s="5"/>
      <c r="BA255" s="17"/>
      <c r="BB255" s="5"/>
      <c r="BC255" s="17"/>
      <c r="BD255" s="5"/>
      <c r="BE255" s="17"/>
      <c r="BF255" s="5">
        <v>2027</v>
      </c>
      <c r="BG255" s="17">
        <v>195</v>
      </c>
      <c r="BH255" s="5">
        <v>2030</v>
      </c>
      <c r="BI255" s="17">
        <v>294</v>
      </c>
      <c r="BJ255" s="5" t="s">
        <v>87</v>
      </c>
      <c r="BK255" s="9"/>
      <c r="BL255" s="9" t="str">
        <f>HYPERLINK("https://seichotoushi-hojo.jp/assets/pdf/koufu_3_4ji/outline_60.pdf","PDFを開く")</f>
        <v>PDFを開く</v>
      </c>
      <c r="BM255" s="9" t="s">
        <v>2136</v>
      </c>
      <c r="BN255" s="9" t="s">
        <v>2137</v>
      </c>
      <c r="BO255" s="9" t="s">
        <v>90</v>
      </c>
      <c r="BP255" s="9" t="s">
        <v>166</v>
      </c>
      <c r="BQ255" s="9" t="s">
        <v>156</v>
      </c>
      <c r="BR255" s="9" t="s">
        <v>166</v>
      </c>
    </row>
    <row r="256" spans="1:70" ht="45.95" customHeight="1">
      <c r="A256" s="2" t="s">
        <v>2138</v>
      </c>
      <c r="B256" s="2" t="s">
        <v>1595</v>
      </c>
      <c r="C256" s="2" t="s">
        <v>2139</v>
      </c>
      <c r="D256" s="2" t="s">
        <v>2139</v>
      </c>
      <c r="E256" s="2" t="s">
        <v>95</v>
      </c>
      <c r="F256" s="2"/>
      <c r="G256" s="2">
        <v>2</v>
      </c>
      <c r="H256" s="2">
        <v>0</v>
      </c>
      <c r="I256" s="2">
        <v>1</v>
      </c>
      <c r="J256" s="2">
        <v>1</v>
      </c>
      <c r="K256" s="2">
        <v>0</v>
      </c>
      <c r="L256" s="16">
        <v>4000</v>
      </c>
      <c r="M256" s="16">
        <v>1100</v>
      </c>
      <c r="N256" s="8" t="s">
        <v>2140</v>
      </c>
      <c r="O256" s="12">
        <f t="shared" si="3"/>
        <v>27.500000000000004</v>
      </c>
      <c r="P256" s="2">
        <v>2</v>
      </c>
      <c r="Q256" s="2" t="s">
        <v>77</v>
      </c>
      <c r="R256" s="8" t="s">
        <v>2140</v>
      </c>
      <c r="S256" s="8" t="s">
        <v>2141</v>
      </c>
      <c r="T256" s="8" t="s">
        <v>80</v>
      </c>
      <c r="U256" s="2" t="s">
        <v>81</v>
      </c>
      <c r="V256" s="2"/>
      <c r="W256" s="16"/>
      <c r="X256" s="2">
        <v>2030</v>
      </c>
      <c r="Y256" s="16"/>
      <c r="Z256" s="16">
        <v>95</v>
      </c>
      <c r="AA256" s="2">
        <v>2030</v>
      </c>
      <c r="AB256" s="16">
        <v>173</v>
      </c>
      <c r="AC256" s="2">
        <v>2030</v>
      </c>
      <c r="AD256" s="2" t="s">
        <v>210</v>
      </c>
      <c r="AE256" s="16"/>
      <c r="AF256" s="16"/>
      <c r="AG256" s="16"/>
      <c r="AH256" s="16"/>
      <c r="AI256" s="8" t="s">
        <v>83</v>
      </c>
      <c r="AJ256" s="2" t="s">
        <v>84</v>
      </c>
      <c r="AK256" s="2">
        <v>1</v>
      </c>
      <c r="AL256" s="8" t="s">
        <v>2142</v>
      </c>
      <c r="AM256" s="8"/>
      <c r="AN256" s="2">
        <v>2028</v>
      </c>
      <c r="AO256" s="16">
        <v>2333</v>
      </c>
      <c r="AP256" s="2">
        <v>2031</v>
      </c>
      <c r="AQ256" s="16">
        <v>3624</v>
      </c>
      <c r="AR256" s="2" t="s">
        <v>86</v>
      </c>
      <c r="AS256" s="16">
        <v>15.8</v>
      </c>
      <c r="AT256" s="2">
        <v>2028</v>
      </c>
      <c r="AU256" s="16">
        <v>691</v>
      </c>
      <c r="AV256" s="2">
        <v>2031</v>
      </c>
      <c r="AW256" s="16">
        <v>810</v>
      </c>
      <c r="AX256" s="2" t="s">
        <v>86</v>
      </c>
      <c r="AY256" s="16">
        <v>5.5</v>
      </c>
      <c r="AZ256" s="2"/>
      <c r="BA256" s="16"/>
      <c r="BB256" s="2"/>
      <c r="BC256" s="16"/>
      <c r="BD256" s="2"/>
      <c r="BE256" s="16"/>
      <c r="BF256" s="2">
        <v>2028</v>
      </c>
      <c r="BG256" s="16">
        <v>182</v>
      </c>
      <c r="BH256" s="2">
        <v>2031</v>
      </c>
      <c r="BI256" s="16">
        <v>198</v>
      </c>
      <c r="BJ256" s="2" t="s">
        <v>87</v>
      </c>
      <c r="BK256" s="8"/>
      <c r="BL256" s="8" t="str">
        <f>HYPERLINK("https://seichotoushi-hojo.jp/assets/pdf/koufu_3_4ji/outline_61.pdf","PDFを開く")</f>
        <v>PDFを開く</v>
      </c>
      <c r="BM256" s="8" t="s">
        <v>2143</v>
      </c>
      <c r="BN256" s="8" t="s">
        <v>2144</v>
      </c>
      <c r="BO256" s="8" t="s">
        <v>166</v>
      </c>
      <c r="BP256" s="8" t="s">
        <v>166</v>
      </c>
      <c r="BQ256" s="8" t="s">
        <v>157</v>
      </c>
      <c r="BR256" s="8" t="s">
        <v>166</v>
      </c>
    </row>
    <row r="257" spans="1:70" ht="45.95" customHeight="1">
      <c r="A257" s="5" t="s">
        <v>2145</v>
      </c>
      <c r="B257" s="5" t="s">
        <v>1595</v>
      </c>
      <c r="C257" s="5" t="s">
        <v>2146</v>
      </c>
      <c r="D257" s="5" t="s">
        <v>2146</v>
      </c>
      <c r="E257" s="5" t="s">
        <v>75</v>
      </c>
      <c r="F257" s="5"/>
      <c r="G257" s="5">
        <v>2</v>
      </c>
      <c r="H257" s="5">
        <v>0</v>
      </c>
      <c r="I257" s="5">
        <v>1</v>
      </c>
      <c r="J257" s="5">
        <v>1</v>
      </c>
      <c r="K257" s="5">
        <v>0</v>
      </c>
      <c r="L257" s="17">
        <v>8700</v>
      </c>
      <c r="M257" s="17">
        <v>2600</v>
      </c>
      <c r="N257" s="9" t="s">
        <v>2147</v>
      </c>
      <c r="O257" s="13">
        <f t="shared" si="3"/>
        <v>29.885057471264371</v>
      </c>
      <c r="P257" s="5">
        <v>2</v>
      </c>
      <c r="Q257" s="5" t="s">
        <v>77</v>
      </c>
      <c r="R257" s="9" t="s">
        <v>2147</v>
      </c>
      <c r="S257" s="9" t="s">
        <v>2148</v>
      </c>
      <c r="T257" s="9" t="s">
        <v>80</v>
      </c>
      <c r="U257" s="5" t="s">
        <v>81</v>
      </c>
      <c r="V257" s="5"/>
      <c r="W257" s="17"/>
      <c r="X257" s="5">
        <v>2030</v>
      </c>
      <c r="Y257" s="17"/>
      <c r="Z257" s="17">
        <v>602</v>
      </c>
      <c r="AA257" s="5">
        <v>2030</v>
      </c>
      <c r="AB257" s="17">
        <v>753</v>
      </c>
      <c r="AC257" s="5">
        <v>2030</v>
      </c>
      <c r="AD257" s="5" t="s">
        <v>82</v>
      </c>
      <c r="AE257" s="17"/>
      <c r="AF257" s="17"/>
      <c r="AG257" s="17"/>
      <c r="AH257" s="17"/>
      <c r="AI257" s="9" t="s">
        <v>83</v>
      </c>
      <c r="AJ257" s="5" t="s">
        <v>84</v>
      </c>
      <c r="AK257" s="5">
        <v>1</v>
      </c>
      <c r="AL257" s="9" t="s">
        <v>2149</v>
      </c>
      <c r="AM257" s="9"/>
      <c r="AN257" s="5">
        <v>2027</v>
      </c>
      <c r="AO257" s="17">
        <v>3144</v>
      </c>
      <c r="AP257" s="5">
        <v>2030</v>
      </c>
      <c r="AQ257" s="17">
        <v>10294</v>
      </c>
      <c r="AR257" s="5" t="s">
        <v>86</v>
      </c>
      <c r="AS257" s="17">
        <v>48.5</v>
      </c>
      <c r="AT257" s="5">
        <v>2027</v>
      </c>
      <c r="AU257" s="17">
        <v>497</v>
      </c>
      <c r="AV257" s="5">
        <v>2030</v>
      </c>
      <c r="AW257" s="17">
        <v>592</v>
      </c>
      <c r="AX257" s="5" t="s">
        <v>86</v>
      </c>
      <c r="AY257" s="17">
        <v>6</v>
      </c>
      <c r="AZ257" s="5"/>
      <c r="BA257" s="17"/>
      <c r="BB257" s="5"/>
      <c r="BC257" s="17"/>
      <c r="BD257" s="5"/>
      <c r="BE257" s="17"/>
      <c r="BF257" s="5">
        <v>2027</v>
      </c>
      <c r="BG257" s="17">
        <v>82</v>
      </c>
      <c r="BH257" s="5">
        <v>2030</v>
      </c>
      <c r="BI257" s="17">
        <v>87</v>
      </c>
      <c r="BJ257" s="5" t="s">
        <v>87</v>
      </c>
      <c r="BK257" s="9"/>
      <c r="BL257" s="9" t="str">
        <f>HYPERLINK("https://seichotoushi-hojo.jp/assets/pdf/koufu_3_4ji/outline_62.pdf","PDFを開く")</f>
        <v>PDFを開く</v>
      </c>
      <c r="BM257" s="9" t="s">
        <v>2150</v>
      </c>
      <c r="BN257" s="9" t="s">
        <v>2151</v>
      </c>
      <c r="BO257" s="9" t="s">
        <v>90</v>
      </c>
      <c r="BP257" s="9" t="s">
        <v>90</v>
      </c>
      <c r="BQ257" s="9" t="s">
        <v>156</v>
      </c>
      <c r="BR257" s="9" t="s">
        <v>92</v>
      </c>
    </row>
    <row r="258" spans="1:70" ht="45.95" customHeight="1">
      <c r="A258" s="2" t="s">
        <v>2152</v>
      </c>
      <c r="B258" s="2" t="s">
        <v>1595</v>
      </c>
      <c r="C258" s="2" t="s">
        <v>2153</v>
      </c>
      <c r="D258" s="2" t="s">
        <v>2153</v>
      </c>
      <c r="E258" s="2" t="s">
        <v>186</v>
      </c>
      <c r="F258" s="2" t="s">
        <v>2154</v>
      </c>
      <c r="G258" s="2">
        <v>3</v>
      </c>
      <c r="H258" s="2">
        <v>0</v>
      </c>
      <c r="I258" s="2">
        <v>2</v>
      </c>
      <c r="J258" s="2">
        <v>1</v>
      </c>
      <c r="K258" s="2">
        <v>0</v>
      </c>
      <c r="L258" s="16">
        <v>3500</v>
      </c>
      <c r="M258" s="16">
        <v>680</v>
      </c>
      <c r="N258" s="8" t="s">
        <v>2155</v>
      </c>
      <c r="O258" s="12">
        <f t="shared" si="3"/>
        <v>19.428571428571427</v>
      </c>
      <c r="P258" s="2">
        <v>3</v>
      </c>
      <c r="Q258" s="2" t="s">
        <v>77</v>
      </c>
      <c r="R258" s="8" t="s">
        <v>2156</v>
      </c>
      <c r="S258" s="8" t="s">
        <v>2157</v>
      </c>
      <c r="T258" s="8" t="s">
        <v>80</v>
      </c>
      <c r="U258" s="2" t="s">
        <v>81</v>
      </c>
      <c r="V258" s="2">
        <v>2024</v>
      </c>
      <c r="W258" s="16">
        <v>300</v>
      </c>
      <c r="X258" s="2">
        <v>2030</v>
      </c>
      <c r="Y258" s="16">
        <v>300</v>
      </c>
      <c r="Z258" s="16">
        <v>223</v>
      </c>
      <c r="AA258" s="2">
        <v>2030</v>
      </c>
      <c r="AB258" s="16">
        <v>130</v>
      </c>
      <c r="AC258" s="2">
        <v>2030</v>
      </c>
      <c r="AD258" s="2" t="s">
        <v>210</v>
      </c>
      <c r="AE258" s="16"/>
      <c r="AF258" s="16"/>
      <c r="AG258" s="16">
        <v>0</v>
      </c>
      <c r="AH258" s="16"/>
      <c r="AI258" s="8" t="s">
        <v>120</v>
      </c>
      <c r="AJ258" s="2" t="s">
        <v>84</v>
      </c>
      <c r="AK258" s="2">
        <v>1</v>
      </c>
      <c r="AL258" s="8" t="s">
        <v>2158</v>
      </c>
      <c r="AM258" s="8" t="s">
        <v>2159</v>
      </c>
      <c r="AN258" s="2">
        <v>2026</v>
      </c>
      <c r="AO258" s="16">
        <v>3654</v>
      </c>
      <c r="AP258" s="2">
        <v>2029</v>
      </c>
      <c r="AQ258" s="16">
        <v>13918</v>
      </c>
      <c r="AR258" s="2" t="s">
        <v>86</v>
      </c>
      <c r="AS258" s="16">
        <v>56.2</v>
      </c>
      <c r="AT258" s="2">
        <v>2026</v>
      </c>
      <c r="AU258" s="16">
        <v>695</v>
      </c>
      <c r="AV258" s="2">
        <v>2029</v>
      </c>
      <c r="AW258" s="16">
        <v>925</v>
      </c>
      <c r="AX258" s="2" t="s">
        <v>86</v>
      </c>
      <c r="AY258" s="16">
        <v>10</v>
      </c>
      <c r="AZ258" s="2"/>
      <c r="BA258" s="16"/>
      <c r="BB258" s="2"/>
      <c r="BC258" s="16"/>
      <c r="BD258" s="2"/>
      <c r="BE258" s="16"/>
      <c r="BF258" s="2">
        <v>2026</v>
      </c>
      <c r="BG258" s="16">
        <v>15</v>
      </c>
      <c r="BH258" s="2">
        <v>2029</v>
      </c>
      <c r="BI258" s="16">
        <v>30</v>
      </c>
      <c r="BJ258" s="2" t="s">
        <v>87</v>
      </c>
      <c r="BK258" s="8"/>
      <c r="BL258" s="8" t="str">
        <f>HYPERLINK("https://seichotoushi-hojo.jp/assets/pdf/koufu_3_4ji/outline_63.pdf","PDFを開く")</f>
        <v>PDFを開く</v>
      </c>
      <c r="BM258" s="8" t="s">
        <v>2160</v>
      </c>
      <c r="BN258" s="8" t="s">
        <v>2161</v>
      </c>
      <c r="BO258" s="8" t="s">
        <v>166</v>
      </c>
      <c r="BP258" s="8" t="s">
        <v>90</v>
      </c>
      <c r="BQ258" s="8" t="s">
        <v>156</v>
      </c>
      <c r="BR258" s="8" t="s">
        <v>92</v>
      </c>
    </row>
    <row r="259" spans="1:70" ht="45.95" customHeight="1">
      <c r="A259" s="5" t="s">
        <v>2162</v>
      </c>
      <c r="B259" s="5" t="s">
        <v>1595</v>
      </c>
      <c r="C259" s="5" t="s">
        <v>2163</v>
      </c>
      <c r="D259" s="5" t="s">
        <v>2163</v>
      </c>
      <c r="E259" s="5" t="s">
        <v>95</v>
      </c>
      <c r="F259" s="5"/>
      <c r="G259" s="5">
        <v>2</v>
      </c>
      <c r="H259" s="5">
        <v>0</v>
      </c>
      <c r="I259" s="5">
        <v>1</v>
      </c>
      <c r="J259" s="5">
        <v>1</v>
      </c>
      <c r="K259" s="5">
        <v>0</v>
      </c>
      <c r="L259" s="17">
        <v>3600</v>
      </c>
      <c r="M259" s="17">
        <v>980</v>
      </c>
      <c r="N259" s="9" t="s">
        <v>2164</v>
      </c>
      <c r="O259" s="13">
        <f t="shared" si="3"/>
        <v>27.222222222222221</v>
      </c>
      <c r="P259" s="5">
        <v>2</v>
      </c>
      <c r="Q259" s="5" t="s">
        <v>77</v>
      </c>
      <c r="R259" s="9" t="s">
        <v>2164</v>
      </c>
      <c r="S259" s="9" t="s">
        <v>2164</v>
      </c>
      <c r="T259" s="9" t="s">
        <v>80</v>
      </c>
      <c r="U259" s="5" t="s">
        <v>81</v>
      </c>
      <c r="V259" s="5"/>
      <c r="W259" s="17"/>
      <c r="X259" s="5">
        <v>2030</v>
      </c>
      <c r="Y259" s="17"/>
      <c r="Z259" s="17">
        <v>75</v>
      </c>
      <c r="AA259" s="5">
        <v>2030</v>
      </c>
      <c r="AB259" s="17">
        <v>14</v>
      </c>
      <c r="AC259" s="5">
        <v>2030</v>
      </c>
      <c r="AD259" s="5" t="s">
        <v>210</v>
      </c>
      <c r="AE259" s="17"/>
      <c r="AF259" s="17"/>
      <c r="AG259" s="17"/>
      <c r="AH259" s="17"/>
      <c r="AI259" s="9" t="s">
        <v>83</v>
      </c>
      <c r="AJ259" s="5" t="s">
        <v>587</v>
      </c>
      <c r="AK259" s="5">
        <v>1</v>
      </c>
      <c r="AL259" s="9" t="s">
        <v>2165</v>
      </c>
      <c r="AM259" s="9"/>
      <c r="AN259" s="5">
        <v>2027</v>
      </c>
      <c r="AO259" s="17">
        <v>1249</v>
      </c>
      <c r="AP259" s="5">
        <v>2030</v>
      </c>
      <c r="AQ259" s="17">
        <v>1863</v>
      </c>
      <c r="AR259" s="5" t="s">
        <v>86</v>
      </c>
      <c r="AS259" s="17">
        <v>14.3</v>
      </c>
      <c r="AT259" s="5">
        <v>2027</v>
      </c>
      <c r="AU259" s="17">
        <v>639</v>
      </c>
      <c r="AV259" s="5">
        <v>2030</v>
      </c>
      <c r="AW259" s="17">
        <v>751</v>
      </c>
      <c r="AX259" s="5" t="s">
        <v>86</v>
      </c>
      <c r="AY259" s="17">
        <v>5.5</v>
      </c>
      <c r="AZ259" s="5">
        <v>2027</v>
      </c>
      <c r="BA259" s="17"/>
      <c r="BB259" s="5">
        <v>2030</v>
      </c>
      <c r="BC259" s="17"/>
      <c r="BD259" s="5" t="s">
        <v>86</v>
      </c>
      <c r="BE259" s="17">
        <v>4.5</v>
      </c>
      <c r="BF259" s="5">
        <v>2027</v>
      </c>
      <c r="BG259" s="17">
        <v>220</v>
      </c>
      <c r="BH259" s="5">
        <v>2030</v>
      </c>
      <c r="BI259" s="17">
        <v>237</v>
      </c>
      <c r="BJ259" s="5" t="s">
        <v>87</v>
      </c>
      <c r="BK259" s="9"/>
      <c r="BL259" s="9" t="str">
        <f>HYPERLINK("https://seichotoushi-hojo.jp/assets/pdf/koufu_3_4ji/outline_65.pdf","PDFを開く")</f>
        <v>PDFを開く</v>
      </c>
      <c r="BM259" s="9" t="s">
        <v>2166</v>
      </c>
      <c r="BN259" s="9" t="s">
        <v>2167</v>
      </c>
      <c r="BO259" s="9" t="s">
        <v>90</v>
      </c>
      <c r="BP259" s="9" t="s">
        <v>90</v>
      </c>
      <c r="BQ259" s="9" t="s">
        <v>91</v>
      </c>
      <c r="BR259" s="9" t="s">
        <v>92</v>
      </c>
    </row>
    <row r="260" spans="1:70" ht="45.95" customHeight="1">
      <c r="A260" s="2" t="s">
        <v>2168</v>
      </c>
      <c r="B260" s="2" t="s">
        <v>1595</v>
      </c>
      <c r="C260" s="2" t="s">
        <v>2169</v>
      </c>
      <c r="D260" s="2" t="s">
        <v>2169</v>
      </c>
      <c r="E260" s="2" t="s">
        <v>75</v>
      </c>
      <c r="F260" s="2"/>
      <c r="G260" s="2">
        <v>2</v>
      </c>
      <c r="H260" s="2">
        <v>0</v>
      </c>
      <c r="I260" s="2">
        <v>1</v>
      </c>
      <c r="J260" s="2">
        <v>1</v>
      </c>
      <c r="K260" s="2">
        <v>0</v>
      </c>
      <c r="L260" s="16">
        <v>4500</v>
      </c>
      <c r="M260" s="16">
        <v>990</v>
      </c>
      <c r="N260" s="8" t="s">
        <v>2170</v>
      </c>
      <c r="O260" s="12">
        <f t="shared" si="3"/>
        <v>22</v>
      </c>
      <c r="P260" s="2">
        <v>2</v>
      </c>
      <c r="Q260" s="2" t="s">
        <v>77</v>
      </c>
      <c r="R260" s="8" t="s">
        <v>2171</v>
      </c>
      <c r="S260" s="8" t="s">
        <v>2172</v>
      </c>
      <c r="T260" s="8" t="s">
        <v>228</v>
      </c>
      <c r="U260" s="2" t="s">
        <v>81</v>
      </c>
      <c r="V260" s="2">
        <v>2023</v>
      </c>
      <c r="W260" s="16">
        <v>250</v>
      </c>
      <c r="X260" s="2">
        <v>2030</v>
      </c>
      <c r="Y260" s="16">
        <v>371</v>
      </c>
      <c r="Z260" s="16">
        <v>121</v>
      </c>
      <c r="AA260" s="2">
        <v>2030</v>
      </c>
      <c r="AB260" s="16">
        <v>48</v>
      </c>
      <c r="AC260" s="2">
        <v>2030</v>
      </c>
      <c r="AD260" s="2" t="s">
        <v>490</v>
      </c>
      <c r="AE260" s="16"/>
      <c r="AF260" s="16"/>
      <c r="AG260" s="16">
        <v>5.8011911740283084</v>
      </c>
      <c r="AH260" s="16"/>
      <c r="AI260" s="8" t="s">
        <v>166</v>
      </c>
      <c r="AJ260" s="2" t="s">
        <v>292</v>
      </c>
      <c r="AK260" s="2">
        <v>1</v>
      </c>
      <c r="AL260" s="8" t="s">
        <v>2173</v>
      </c>
      <c r="AM260" s="8" t="s">
        <v>2174</v>
      </c>
      <c r="AN260" s="2">
        <v>2027</v>
      </c>
      <c r="AO260" s="16">
        <v>1212</v>
      </c>
      <c r="AP260" s="2">
        <v>2030</v>
      </c>
      <c r="AQ260" s="16">
        <v>2589</v>
      </c>
      <c r="AR260" s="2" t="s">
        <v>86</v>
      </c>
      <c r="AS260" s="16">
        <v>28.8</v>
      </c>
      <c r="AT260" s="2">
        <v>2027</v>
      </c>
      <c r="AU260" s="16">
        <v>562</v>
      </c>
      <c r="AV260" s="2">
        <v>2030</v>
      </c>
      <c r="AW260" s="16">
        <v>669</v>
      </c>
      <c r="AX260" s="2" t="s">
        <v>86</v>
      </c>
      <c r="AY260" s="16">
        <v>6</v>
      </c>
      <c r="AZ260" s="2">
        <v>2027</v>
      </c>
      <c r="BA260" s="16"/>
      <c r="BB260" s="2">
        <v>2030</v>
      </c>
      <c r="BC260" s="16"/>
      <c r="BD260" s="2" t="s">
        <v>86</v>
      </c>
      <c r="BE260" s="16">
        <v>6</v>
      </c>
      <c r="BF260" s="2">
        <v>2027</v>
      </c>
      <c r="BG260" s="16">
        <v>111</v>
      </c>
      <c r="BH260" s="2">
        <v>2030</v>
      </c>
      <c r="BI260" s="16">
        <v>135</v>
      </c>
      <c r="BJ260" s="2" t="s">
        <v>87</v>
      </c>
      <c r="BK260" s="8"/>
      <c r="BL260" s="8" t="str">
        <f>HYPERLINK("https://seichotoushi-hojo.jp/assets/pdf/koufu_3_4ji/outline_66.pdf","PDFを開く")</f>
        <v>PDFを開く</v>
      </c>
      <c r="BM260" s="8" t="s">
        <v>2175</v>
      </c>
      <c r="BN260" s="8" t="s">
        <v>2176</v>
      </c>
      <c r="BO260" s="8" t="s">
        <v>90</v>
      </c>
      <c r="BP260" s="8" t="s">
        <v>90</v>
      </c>
      <c r="BQ260" s="8" t="s">
        <v>91</v>
      </c>
      <c r="BR260" s="8" t="s">
        <v>92</v>
      </c>
    </row>
    <row r="261" spans="1:70" ht="45.95" customHeight="1">
      <c r="A261" s="5" t="s">
        <v>2177</v>
      </c>
      <c r="B261" s="5" t="s">
        <v>1595</v>
      </c>
      <c r="C261" s="5" t="s">
        <v>2178</v>
      </c>
      <c r="D261" s="5" t="s">
        <v>2178</v>
      </c>
      <c r="E261" s="5" t="s">
        <v>186</v>
      </c>
      <c r="F261" s="5"/>
      <c r="G261" s="5">
        <v>5</v>
      </c>
      <c r="H261" s="5">
        <v>0</v>
      </c>
      <c r="I261" s="5">
        <v>4</v>
      </c>
      <c r="J261" s="5">
        <v>1</v>
      </c>
      <c r="K261" s="5">
        <v>0</v>
      </c>
      <c r="L261" s="17">
        <v>1500</v>
      </c>
      <c r="M261" s="17">
        <v>460</v>
      </c>
      <c r="N261" s="9" t="s">
        <v>2179</v>
      </c>
      <c r="O261" s="13">
        <f t="shared" ref="O261:O324" si="4">IFERROR(M261/L261*100,"")</f>
        <v>30.666666666666664</v>
      </c>
      <c r="P261" s="5">
        <v>5</v>
      </c>
      <c r="Q261" s="5" t="s">
        <v>77</v>
      </c>
      <c r="R261" s="9" t="s">
        <v>2180</v>
      </c>
      <c r="S261" s="9" t="s">
        <v>2181</v>
      </c>
      <c r="T261" s="9" t="s">
        <v>80</v>
      </c>
      <c r="U261" s="5" t="s">
        <v>81</v>
      </c>
      <c r="V261" s="5"/>
      <c r="W261" s="17"/>
      <c r="X261" s="5">
        <v>2030</v>
      </c>
      <c r="Y261" s="17"/>
      <c r="Z261" s="17">
        <v>80</v>
      </c>
      <c r="AA261" s="5">
        <v>2030</v>
      </c>
      <c r="AB261" s="17">
        <v>21.3</v>
      </c>
      <c r="AC261" s="5">
        <v>2030</v>
      </c>
      <c r="AD261" s="5" t="s">
        <v>82</v>
      </c>
      <c r="AE261" s="17"/>
      <c r="AF261" s="17"/>
      <c r="AG261" s="17"/>
      <c r="AH261" s="17"/>
      <c r="AI261" s="9" t="s">
        <v>83</v>
      </c>
      <c r="AJ261" s="5" t="s">
        <v>84</v>
      </c>
      <c r="AK261" s="5">
        <v>1</v>
      </c>
      <c r="AL261" s="9" t="s">
        <v>2182</v>
      </c>
      <c r="AM261" s="9"/>
      <c r="AN261" s="5">
        <v>2026</v>
      </c>
      <c r="AO261" s="17">
        <v>699</v>
      </c>
      <c r="AP261" s="5">
        <v>2029</v>
      </c>
      <c r="AQ261" s="17">
        <v>1653</v>
      </c>
      <c r="AR261" s="5" t="s">
        <v>86</v>
      </c>
      <c r="AS261" s="17">
        <v>33.200000000000003</v>
      </c>
      <c r="AT261" s="5">
        <v>2026</v>
      </c>
      <c r="AU261" s="17">
        <v>440</v>
      </c>
      <c r="AV261" s="5">
        <v>2029</v>
      </c>
      <c r="AW261" s="17">
        <v>516</v>
      </c>
      <c r="AX261" s="5" t="s">
        <v>86</v>
      </c>
      <c r="AY261" s="17">
        <v>5.5</v>
      </c>
      <c r="AZ261" s="5">
        <v>2026</v>
      </c>
      <c r="BA261" s="17"/>
      <c r="BB261" s="5">
        <v>2029</v>
      </c>
      <c r="BC261" s="17"/>
      <c r="BD261" s="5" t="s">
        <v>86</v>
      </c>
      <c r="BE261" s="17">
        <v>5</v>
      </c>
      <c r="BF261" s="5">
        <v>2026</v>
      </c>
      <c r="BG261" s="17">
        <v>240</v>
      </c>
      <c r="BH261" s="5">
        <v>2029</v>
      </c>
      <c r="BI261" s="17">
        <v>280</v>
      </c>
      <c r="BJ261" s="5" t="s">
        <v>87</v>
      </c>
      <c r="BK261" s="9"/>
      <c r="BL261" s="9" t="str">
        <f>HYPERLINK("https://seichotoushi-hojo.jp/assets/pdf/koufu_3_4ji/outline_67.pdf","PDFを開く")</f>
        <v>PDFを開く</v>
      </c>
      <c r="BM261" s="9" t="s">
        <v>2183</v>
      </c>
      <c r="BN261" s="9" t="s">
        <v>2184</v>
      </c>
      <c r="BO261" s="9" t="s">
        <v>90</v>
      </c>
      <c r="BP261" s="9" t="s">
        <v>90</v>
      </c>
      <c r="BQ261" s="9" t="s">
        <v>91</v>
      </c>
      <c r="BR261" s="9" t="s">
        <v>92</v>
      </c>
    </row>
    <row r="262" spans="1:70" ht="45.95" customHeight="1">
      <c r="A262" s="2" t="s">
        <v>2185</v>
      </c>
      <c r="B262" s="2" t="s">
        <v>1595</v>
      </c>
      <c r="C262" s="2" t="s">
        <v>2186</v>
      </c>
      <c r="D262" s="2" t="s">
        <v>2186</v>
      </c>
      <c r="E262" s="2" t="s">
        <v>95</v>
      </c>
      <c r="F262" s="2"/>
      <c r="G262" s="2">
        <v>2</v>
      </c>
      <c r="H262" s="2">
        <v>0</v>
      </c>
      <c r="I262" s="2">
        <v>1</v>
      </c>
      <c r="J262" s="2">
        <v>1</v>
      </c>
      <c r="K262" s="2">
        <v>0</v>
      </c>
      <c r="L262" s="16">
        <v>6400</v>
      </c>
      <c r="M262" s="16">
        <v>1900</v>
      </c>
      <c r="N262" s="8" t="s">
        <v>2187</v>
      </c>
      <c r="O262" s="12">
        <f t="shared" si="4"/>
        <v>29.6875</v>
      </c>
      <c r="P262" s="2">
        <v>2</v>
      </c>
      <c r="Q262" s="2" t="s">
        <v>77</v>
      </c>
      <c r="R262" s="8" t="s">
        <v>2188</v>
      </c>
      <c r="S262" s="8" t="s">
        <v>2189</v>
      </c>
      <c r="T262" s="8" t="s">
        <v>80</v>
      </c>
      <c r="U262" s="2" t="s">
        <v>81</v>
      </c>
      <c r="V262" s="2"/>
      <c r="W262" s="16"/>
      <c r="X262" s="2">
        <v>2030</v>
      </c>
      <c r="Y262" s="16"/>
      <c r="Z262" s="16">
        <v>56</v>
      </c>
      <c r="AA262" s="2">
        <v>2030</v>
      </c>
      <c r="AB262" s="16">
        <v>68</v>
      </c>
      <c r="AC262" s="2">
        <v>2030</v>
      </c>
      <c r="AD262" s="2" t="s">
        <v>82</v>
      </c>
      <c r="AE262" s="16"/>
      <c r="AF262" s="16"/>
      <c r="AG262" s="16"/>
      <c r="AH262" s="16"/>
      <c r="AI262" s="8" t="s">
        <v>83</v>
      </c>
      <c r="AJ262" s="2" t="s">
        <v>84</v>
      </c>
      <c r="AK262" s="2">
        <v>1</v>
      </c>
      <c r="AL262" s="8" t="s">
        <v>2190</v>
      </c>
      <c r="AM262" s="8"/>
      <c r="AN262" s="2">
        <v>2027</v>
      </c>
      <c r="AO262" s="16">
        <v>1150</v>
      </c>
      <c r="AP262" s="2">
        <v>2030</v>
      </c>
      <c r="AQ262" s="16">
        <v>2142</v>
      </c>
      <c r="AR262" s="2" t="s">
        <v>86</v>
      </c>
      <c r="AS262" s="16">
        <v>23</v>
      </c>
      <c r="AT262" s="2">
        <v>2027</v>
      </c>
      <c r="AU262" s="16">
        <v>530</v>
      </c>
      <c r="AV262" s="2">
        <v>2030</v>
      </c>
      <c r="AW262" s="16">
        <v>634</v>
      </c>
      <c r="AX262" s="2" t="s">
        <v>86</v>
      </c>
      <c r="AY262" s="16">
        <v>6.1</v>
      </c>
      <c r="AZ262" s="2">
        <v>2027</v>
      </c>
      <c r="BA262" s="16">
        <v>1885</v>
      </c>
      <c r="BB262" s="2">
        <v>2030</v>
      </c>
      <c r="BC262" s="16">
        <v>2183</v>
      </c>
      <c r="BD262" s="2" t="s">
        <v>86</v>
      </c>
      <c r="BE262" s="16">
        <v>5</v>
      </c>
      <c r="BF262" s="2">
        <v>2027</v>
      </c>
      <c r="BG262" s="16">
        <v>237</v>
      </c>
      <c r="BH262" s="2">
        <v>2030</v>
      </c>
      <c r="BI262" s="16">
        <v>274</v>
      </c>
      <c r="BJ262" s="2" t="s">
        <v>87</v>
      </c>
      <c r="BK262" s="8"/>
      <c r="BL262" s="8" t="str">
        <f>HYPERLINK("https://seichotoushi-hojo.jp/assets/pdf/koufu_3_4ji/outline_68.pdf","PDFを開く")</f>
        <v>PDFを開く</v>
      </c>
      <c r="BM262" s="8" t="s">
        <v>2191</v>
      </c>
      <c r="BN262" s="8" t="s">
        <v>2192</v>
      </c>
      <c r="BO262" s="8" t="s">
        <v>90</v>
      </c>
      <c r="BP262" s="8" t="s">
        <v>90</v>
      </c>
      <c r="BQ262" s="8" t="s">
        <v>90</v>
      </c>
      <c r="BR262" s="8" t="s">
        <v>92</v>
      </c>
    </row>
    <row r="263" spans="1:70" ht="45.95" customHeight="1">
      <c r="A263" s="5" t="s">
        <v>2193</v>
      </c>
      <c r="B263" s="5" t="s">
        <v>1595</v>
      </c>
      <c r="C263" s="5" t="s">
        <v>2194</v>
      </c>
      <c r="D263" s="5" t="s">
        <v>2194</v>
      </c>
      <c r="E263" s="5" t="s">
        <v>75</v>
      </c>
      <c r="F263" s="5"/>
      <c r="G263" s="5">
        <v>2</v>
      </c>
      <c r="H263" s="5">
        <v>0</v>
      </c>
      <c r="I263" s="5">
        <v>1</v>
      </c>
      <c r="J263" s="5">
        <v>1</v>
      </c>
      <c r="K263" s="5">
        <v>0</v>
      </c>
      <c r="L263" s="17">
        <v>5000</v>
      </c>
      <c r="M263" s="17">
        <v>1200</v>
      </c>
      <c r="N263" s="9" t="s">
        <v>2195</v>
      </c>
      <c r="O263" s="13">
        <f t="shared" si="4"/>
        <v>24</v>
      </c>
      <c r="P263" s="5">
        <v>2</v>
      </c>
      <c r="Q263" s="5" t="s">
        <v>77</v>
      </c>
      <c r="R263" s="9" t="s">
        <v>2195</v>
      </c>
      <c r="S263" s="9" t="s">
        <v>2196</v>
      </c>
      <c r="T263" s="9" t="s">
        <v>80</v>
      </c>
      <c r="U263" s="5" t="s">
        <v>81</v>
      </c>
      <c r="V263" s="5"/>
      <c r="W263" s="17"/>
      <c r="X263" s="5"/>
      <c r="Y263" s="17"/>
      <c r="Z263" s="17">
        <v>176.4</v>
      </c>
      <c r="AA263" s="5"/>
      <c r="AB263" s="17">
        <v>16.7</v>
      </c>
      <c r="AC263" s="5"/>
      <c r="AD263" s="5" t="s">
        <v>82</v>
      </c>
      <c r="AE263" s="17"/>
      <c r="AF263" s="17"/>
      <c r="AG263" s="17"/>
      <c r="AH263" s="17"/>
      <c r="AI263" s="9" t="s">
        <v>83</v>
      </c>
      <c r="AJ263" s="5" t="s">
        <v>84</v>
      </c>
      <c r="AK263" s="5">
        <v>1</v>
      </c>
      <c r="AL263" s="9" t="s">
        <v>2197</v>
      </c>
      <c r="AM263" s="9"/>
      <c r="AN263" s="5">
        <v>2028</v>
      </c>
      <c r="AO263" s="17">
        <v>1415</v>
      </c>
      <c r="AP263" s="5">
        <v>2031</v>
      </c>
      <c r="AQ263" s="17">
        <v>3340</v>
      </c>
      <c r="AR263" s="5" t="s">
        <v>86</v>
      </c>
      <c r="AS263" s="17">
        <v>33.1</v>
      </c>
      <c r="AT263" s="5">
        <v>2028</v>
      </c>
      <c r="AU263" s="17">
        <v>518</v>
      </c>
      <c r="AV263" s="5">
        <v>2031</v>
      </c>
      <c r="AW263" s="17">
        <v>632</v>
      </c>
      <c r="AX263" s="5" t="s">
        <v>86</v>
      </c>
      <c r="AY263" s="17">
        <v>6.8</v>
      </c>
      <c r="AZ263" s="5">
        <v>2028</v>
      </c>
      <c r="BA263" s="17"/>
      <c r="BB263" s="5">
        <v>2031</v>
      </c>
      <c r="BC263" s="17"/>
      <c r="BD263" s="5" t="s">
        <v>86</v>
      </c>
      <c r="BE263" s="17">
        <v>4.5999999999999996</v>
      </c>
      <c r="BF263" s="5">
        <v>2028</v>
      </c>
      <c r="BG263" s="17">
        <v>10</v>
      </c>
      <c r="BH263" s="5">
        <v>2031</v>
      </c>
      <c r="BI263" s="17">
        <v>30</v>
      </c>
      <c r="BJ263" s="5" t="s">
        <v>87</v>
      </c>
      <c r="BK263" s="9"/>
      <c r="BL263" s="9" t="str">
        <f>HYPERLINK("https://seichotoushi-hojo.jp/assets/pdf/koufu_3_4ji/outline_69.pdf","PDFを開く")</f>
        <v>PDFを開く</v>
      </c>
      <c r="BM263" s="9" t="s">
        <v>2198</v>
      </c>
      <c r="BN263" s="9" t="s">
        <v>2199</v>
      </c>
      <c r="BO263" s="9" t="s">
        <v>90</v>
      </c>
      <c r="BP263" s="9" t="s">
        <v>90</v>
      </c>
      <c r="BQ263" s="9" t="s">
        <v>91</v>
      </c>
      <c r="BR263" s="9" t="s">
        <v>92</v>
      </c>
    </row>
    <row r="264" spans="1:70" ht="45.95" customHeight="1">
      <c r="A264" s="2" t="s">
        <v>2200</v>
      </c>
      <c r="B264" s="2" t="s">
        <v>1595</v>
      </c>
      <c r="C264" s="2" t="s">
        <v>706</v>
      </c>
      <c r="D264" s="2" t="s">
        <v>706</v>
      </c>
      <c r="E264" s="2" t="s">
        <v>107</v>
      </c>
      <c r="F264" s="2"/>
      <c r="G264" s="2">
        <v>2</v>
      </c>
      <c r="H264" s="2">
        <v>0</v>
      </c>
      <c r="I264" s="2">
        <v>1</v>
      </c>
      <c r="J264" s="2">
        <v>1</v>
      </c>
      <c r="K264" s="2">
        <v>0</v>
      </c>
      <c r="L264" s="16">
        <v>4800</v>
      </c>
      <c r="M264" s="16">
        <v>1200</v>
      </c>
      <c r="N264" s="8" t="s">
        <v>2201</v>
      </c>
      <c r="O264" s="12">
        <f t="shared" si="4"/>
        <v>25</v>
      </c>
      <c r="P264" s="2">
        <v>2</v>
      </c>
      <c r="Q264" s="2" t="s">
        <v>77</v>
      </c>
      <c r="R264" s="8" t="s">
        <v>2202</v>
      </c>
      <c r="S264" s="8" t="s">
        <v>2203</v>
      </c>
      <c r="T264" s="8" t="s">
        <v>80</v>
      </c>
      <c r="U264" s="2" t="s">
        <v>81</v>
      </c>
      <c r="V264" s="2"/>
      <c r="W264" s="16"/>
      <c r="X264" s="2">
        <v>2030</v>
      </c>
      <c r="Y264" s="16"/>
      <c r="Z264" s="16">
        <v>77.8</v>
      </c>
      <c r="AA264" s="2">
        <v>2030</v>
      </c>
      <c r="AB264" s="16">
        <v>82.6</v>
      </c>
      <c r="AC264" s="2">
        <v>2030</v>
      </c>
      <c r="AD264" s="2" t="s">
        <v>82</v>
      </c>
      <c r="AE264" s="16"/>
      <c r="AF264" s="16"/>
      <c r="AG264" s="16"/>
      <c r="AH264" s="16"/>
      <c r="AI264" s="8" t="s">
        <v>83</v>
      </c>
      <c r="AJ264" s="2" t="s">
        <v>84</v>
      </c>
      <c r="AK264" s="2">
        <v>1</v>
      </c>
      <c r="AL264" s="8" t="s">
        <v>2204</v>
      </c>
      <c r="AM264" s="8"/>
      <c r="AN264" s="2">
        <v>2027</v>
      </c>
      <c r="AO264" s="16">
        <v>1597</v>
      </c>
      <c r="AP264" s="2">
        <v>2030</v>
      </c>
      <c r="AQ264" s="16">
        <v>2409</v>
      </c>
      <c r="AR264" s="2" t="s">
        <v>86</v>
      </c>
      <c r="AS264" s="16">
        <v>14.7</v>
      </c>
      <c r="AT264" s="2">
        <v>2027</v>
      </c>
      <c r="AU264" s="16">
        <v>694</v>
      </c>
      <c r="AV264" s="2">
        <v>2030</v>
      </c>
      <c r="AW264" s="16">
        <v>811</v>
      </c>
      <c r="AX264" s="2" t="s">
        <v>86</v>
      </c>
      <c r="AY264" s="16">
        <v>5.3</v>
      </c>
      <c r="AZ264" s="2">
        <v>2027</v>
      </c>
      <c r="BA264" s="16"/>
      <c r="BB264" s="2">
        <v>2030</v>
      </c>
      <c r="BC264" s="16"/>
      <c r="BD264" s="2" t="s">
        <v>86</v>
      </c>
      <c r="BE264" s="16">
        <v>5.2</v>
      </c>
      <c r="BF264" s="2">
        <v>2027</v>
      </c>
      <c r="BG264" s="16">
        <v>126</v>
      </c>
      <c r="BH264" s="2">
        <v>2030</v>
      </c>
      <c r="BI264" s="16">
        <v>158</v>
      </c>
      <c r="BJ264" s="2" t="s">
        <v>87</v>
      </c>
      <c r="BK264" s="8"/>
      <c r="BL264" s="8" t="str">
        <f>HYPERLINK("https://seichotoushi-hojo.jp/assets/pdf/koufu_3_4ji/outline_70.pdf","PDFを開く")</f>
        <v>PDFを開く</v>
      </c>
      <c r="BM264" s="8" t="s">
        <v>2205</v>
      </c>
      <c r="BN264" s="8" t="s">
        <v>2206</v>
      </c>
      <c r="BO264" s="8" t="s">
        <v>90</v>
      </c>
      <c r="BP264" s="8" t="s">
        <v>90</v>
      </c>
      <c r="BQ264" s="8" t="s">
        <v>91</v>
      </c>
      <c r="BR264" s="8" t="s">
        <v>92</v>
      </c>
    </row>
    <row r="265" spans="1:70" ht="45.95" customHeight="1">
      <c r="A265" s="5" t="s">
        <v>2207</v>
      </c>
      <c r="B265" s="5" t="s">
        <v>1595</v>
      </c>
      <c r="C265" s="5" t="s">
        <v>2208</v>
      </c>
      <c r="D265" s="5" t="s">
        <v>2208</v>
      </c>
      <c r="E265" s="5" t="s">
        <v>95</v>
      </c>
      <c r="F265" s="5"/>
      <c r="G265" s="5">
        <v>2</v>
      </c>
      <c r="H265" s="5">
        <v>0</v>
      </c>
      <c r="I265" s="5">
        <v>1</v>
      </c>
      <c r="J265" s="5">
        <v>1</v>
      </c>
      <c r="K265" s="5">
        <v>0</v>
      </c>
      <c r="L265" s="17">
        <v>5800</v>
      </c>
      <c r="M265" s="17">
        <v>1600</v>
      </c>
      <c r="N265" s="9" t="s">
        <v>2209</v>
      </c>
      <c r="O265" s="13">
        <f t="shared" si="4"/>
        <v>27.586206896551722</v>
      </c>
      <c r="P265" s="5">
        <v>2</v>
      </c>
      <c r="Q265" s="5" t="s">
        <v>77</v>
      </c>
      <c r="R265" s="9" t="s">
        <v>2210</v>
      </c>
      <c r="S265" s="9" t="s">
        <v>2211</v>
      </c>
      <c r="T265" s="9" t="s">
        <v>80</v>
      </c>
      <c r="U265" s="5" t="s">
        <v>81</v>
      </c>
      <c r="V265" s="5"/>
      <c r="W265" s="17"/>
      <c r="X265" s="5">
        <v>2031</v>
      </c>
      <c r="Y265" s="17"/>
      <c r="Z265" s="17">
        <v>68.2</v>
      </c>
      <c r="AA265" s="5">
        <v>2031</v>
      </c>
      <c r="AB265" s="17">
        <v>244.8</v>
      </c>
      <c r="AC265" s="5">
        <v>2031</v>
      </c>
      <c r="AD265" s="5" t="s">
        <v>82</v>
      </c>
      <c r="AE265" s="17"/>
      <c r="AF265" s="17"/>
      <c r="AG265" s="17"/>
      <c r="AH265" s="17"/>
      <c r="AI265" s="9" t="s">
        <v>83</v>
      </c>
      <c r="AJ265" s="5" t="s">
        <v>84</v>
      </c>
      <c r="AK265" s="5">
        <v>1</v>
      </c>
      <c r="AL265" s="9" t="s">
        <v>2212</v>
      </c>
      <c r="AM265" s="9"/>
      <c r="AN265" s="5">
        <v>2028</v>
      </c>
      <c r="AO265" s="17">
        <v>552</v>
      </c>
      <c r="AP265" s="5">
        <v>2031</v>
      </c>
      <c r="AQ265" s="17">
        <v>2422</v>
      </c>
      <c r="AR265" s="5" t="s">
        <v>86</v>
      </c>
      <c r="AS265" s="17">
        <v>63.7</v>
      </c>
      <c r="AT265" s="5">
        <v>2028</v>
      </c>
      <c r="AU265" s="17">
        <v>458</v>
      </c>
      <c r="AV265" s="5">
        <v>2031</v>
      </c>
      <c r="AW265" s="17">
        <v>569</v>
      </c>
      <c r="AX265" s="5" t="s">
        <v>86</v>
      </c>
      <c r="AY265" s="17">
        <v>7.5</v>
      </c>
      <c r="AZ265" s="5">
        <v>2028</v>
      </c>
      <c r="BA265" s="17"/>
      <c r="BB265" s="5">
        <v>2031</v>
      </c>
      <c r="BC265" s="17"/>
      <c r="BD265" s="5" t="s">
        <v>86</v>
      </c>
      <c r="BE265" s="17">
        <v>7.5</v>
      </c>
      <c r="BF265" s="5">
        <v>2028</v>
      </c>
      <c r="BG265" s="17">
        <v>110</v>
      </c>
      <c r="BH265" s="5">
        <v>2031</v>
      </c>
      <c r="BI265" s="17">
        <v>140</v>
      </c>
      <c r="BJ265" s="5" t="s">
        <v>87</v>
      </c>
      <c r="BK265" s="9"/>
      <c r="BL265" s="9" t="str">
        <f>HYPERLINK("https://seichotoushi-hojo.jp/assets/pdf/koufu_3_4ji/outline_71.pdf","PDFを開く")</f>
        <v>PDFを開く</v>
      </c>
      <c r="BM265" s="9" t="s">
        <v>2213</v>
      </c>
      <c r="BN265" s="9" t="s">
        <v>2214</v>
      </c>
      <c r="BO265" s="9" t="s">
        <v>90</v>
      </c>
      <c r="BP265" s="9" t="s">
        <v>90</v>
      </c>
      <c r="BQ265" s="9" t="s">
        <v>91</v>
      </c>
      <c r="BR265" s="9" t="s">
        <v>92</v>
      </c>
    </row>
    <row r="266" spans="1:70" ht="45.95" customHeight="1">
      <c r="A266" s="2" t="s">
        <v>2215</v>
      </c>
      <c r="B266" s="2" t="s">
        <v>1595</v>
      </c>
      <c r="C266" s="2" t="s">
        <v>2216</v>
      </c>
      <c r="D266" s="2" t="s">
        <v>2216</v>
      </c>
      <c r="E266" s="2" t="s">
        <v>75</v>
      </c>
      <c r="F266" s="2"/>
      <c r="G266" s="2">
        <v>2</v>
      </c>
      <c r="H266" s="2">
        <v>0</v>
      </c>
      <c r="I266" s="2">
        <v>1</v>
      </c>
      <c r="J266" s="2">
        <v>1</v>
      </c>
      <c r="K266" s="2">
        <v>0</v>
      </c>
      <c r="L266" s="16">
        <v>1000</v>
      </c>
      <c r="M266" s="16">
        <v>250</v>
      </c>
      <c r="N266" s="8" t="s">
        <v>2217</v>
      </c>
      <c r="O266" s="12">
        <f t="shared" si="4"/>
        <v>25</v>
      </c>
      <c r="P266" s="2">
        <v>2</v>
      </c>
      <c r="Q266" s="2" t="s">
        <v>77</v>
      </c>
      <c r="R266" s="8" t="s">
        <v>2217</v>
      </c>
      <c r="S266" s="8" t="s">
        <v>2218</v>
      </c>
      <c r="T266" s="8" t="s">
        <v>80</v>
      </c>
      <c r="U266" s="2" t="s">
        <v>81</v>
      </c>
      <c r="V266" s="2"/>
      <c r="W266" s="16"/>
      <c r="X266" s="2">
        <v>2029</v>
      </c>
      <c r="Y266" s="16"/>
      <c r="Z266" s="16">
        <v>23.9</v>
      </c>
      <c r="AA266" s="2">
        <v>2029</v>
      </c>
      <c r="AB266" s="16">
        <v>25.99</v>
      </c>
      <c r="AC266" s="2">
        <v>2029</v>
      </c>
      <c r="AD266" s="2" t="s">
        <v>210</v>
      </c>
      <c r="AE266" s="16"/>
      <c r="AF266" s="16"/>
      <c r="AG266" s="16"/>
      <c r="AH266" s="16"/>
      <c r="AI266" s="8" t="s">
        <v>83</v>
      </c>
      <c r="AJ266" s="2" t="s">
        <v>84</v>
      </c>
      <c r="AK266" s="2">
        <v>1</v>
      </c>
      <c r="AL266" s="8" t="s">
        <v>2219</v>
      </c>
      <c r="AM266" s="8"/>
      <c r="AN266" s="2">
        <v>2026</v>
      </c>
      <c r="AO266" s="16">
        <v>695</v>
      </c>
      <c r="AP266" s="2">
        <v>2029</v>
      </c>
      <c r="AQ266" s="16">
        <v>1461</v>
      </c>
      <c r="AR266" s="2" t="s">
        <v>86</v>
      </c>
      <c r="AS266" s="16">
        <v>28.1</v>
      </c>
      <c r="AT266" s="2">
        <v>2026</v>
      </c>
      <c r="AU266" s="16">
        <v>475</v>
      </c>
      <c r="AV266" s="2">
        <v>2029</v>
      </c>
      <c r="AW266" s="16">
        <v>548</v>
      </c>
      <c r="AX266" s="2" t="s">
        <v>86</v>
      </c>
      <c r="AY266" s="16"/>
      <c r="AZ266" s="2">
        <v>2026</v>
      </c>
      <c r="BA266" s="16"/>
      <c r="BB266" s="2">
        <v>2029</v>
      </c>
      <c r="BC266" s="16"/>
      <c r="BD266" s="2" t="s">
        <v>86</v>
      </c>
      <c r="BE266" s="16">
        <v>4.8</v>
      </c>
      <c r="BF266" s="2">
        <v>2026</v>
      </c>
      <c r="BG266" s="16">
        <v>59</v>
      </c>
      <c r="BH266" s="2">
        <v>2029</v>
      </c>
      <c r="BI266" s="16">
        <v>80</v>
      </c>
      <c r="BJ266" s="2" t="s">
        <v>87</v>
      </c>
      <c r="BK266" s="8"/>
      <c r="BL266" s="8" t="str">
        <f>HYPERLINK("https://seichotoushi-hojo.jp/assets/pdf/koufu_3_4ji/outline_72.pdf","PDFを開く")</f>
        <v>PDFを開く</v>
      </c>
      <c r="BM266" s="8" t="s">
        <v>2220</v>
      </c>
      <c r="BN266" s="8" t="s">
        <v>2221</v>
      </c>
      <c r="BO266" s="8" t="s">
        <v>90</v>
      </c>
      <c r="BP266" s="8" t="s">
        <v>92</v>
      </c>
      <c r="BQ266" s="8" t="s">
        <v>91</v>
      </c>
      <c r="BR266" s="8" t="s">
        <v>92</v>
      </c>
    </row>
    <row r="267" spans="1:70" ht="45.95" customHeight="1">
      <c r="A267" s="5" t="s">
        <v>2222</v>
      </c>
      <c r="B267" s="5" t="s">
        <v>1595</v>
      </c>
      <c r="C267" s="5" t="s">
        <v>2223</v>
      </c>
      <c r="D267" s="5" t="s">
        <v>2223</v>
      </c>
      <c r="E267" s="5" t="s">
        <v>186</v>
      </c>
      <c r="F267" s="5"/>
      <c r="G267" s="5">
        <v>4</v>
      </c>
      <c r="H267" s="5">
        <v>0</v>
      </c>
      <c r="I267" s="5">
        <v>2</v>
      </c>
      <c r="J267" s="5">
        <v>2</v>
      </c>
      <c r="K267" s="5">
        <v>0</v>
      </c>
      <c r="L267" s="17">
        <v>3300</v>
      </c>
      <c r="M267" s="17">
        <v>1100</v>
      </c>
      <c r="N267" s="9" t="s">
        <v>1065</v>
      </c>
      <c r="O267" s="13">
        <f t="shared" si="4"/>
        <v>33.333333333333329</v>
      </c>
      <c r="P267" s="5">
        <v>3</v>
      </c>
      <c r="Q267" s="5" t="s">
        <v>77</v>
      </c>
      <c r="R267" s="9" t="s">
        <v>1065</v>
      </c>
      <c r="S267" s="9" t="s">
        <v>2224</v>
      </c>
      <c r="T267" s="9" t="s">
        <v>80</v>
      </c>
      <c r="U267" s="5" t="s">
        <v>81</v>
      </c>
      <c r="V267" s="5"/>
      <c r="W267" s="17"/>
      <c r="X267" s="5">
        <v>2031</v>
      </c>
      <c r="Y267" s="17"/>
      <c r="Z267" s="17">
        <v>51</v>
      </c>
      <c r="AA267" s="5">
        <v>2031</v>
      </c>
      <c r="AB267" s="17">
        <v>133</v>
      </c>
      <c r="AC267" s="5">
        <v>2031</v>
      </c>
      <c r="AD267" s="5" t="s">
        <v>82</v>
      </c>
      <c r="AE267" s="17"/>
      <c r="AF267" s="17"/>
      <c r="AG267" s="17"/>
      <c r="AH267" s="17"/>
      <c r="AI267" s="9" t="s">
        <v>83</v>
      </c>
      <c r="AJ267" s="5" t="s">
        <v>84</v>
      </c>
      <c r="AK267" s="5">
        <v>1</v>
      </c>
      <c r="AL267" s="9" t="s">
        <v>2225</v>
      </c>
      <c r="AM267" s="9"/>
      <c r="AN267" s="5">
        <v>2028</v>
      </c>
      <c r="AO267" s="17">
        <v>539</v>
      </c>
      <c r="AP267" s="5">
        <v>2031</v>
      </c>
      <c r="AQ267" s="17">
        <v>713</v>
      </c>
      <c r="AR267" s="5" t="s">
        <v>86</v>
      </c>
      <c r="AS267" s="17">
        <v>9.8000000000000007</v>
      </c>
      <c r="AT267" s="5">
        <v>2028</v>
      </c>
      <c r="AU267" s="17">
        <v>339</v>
      </c>
      <c r="AV267" s="5">
        <v>2031</v>
      </c>
      <c r="AW267" s="17">
        <v>437</v>
      </c>
      <c r="AX267" s="5" t="s">
        <v>86</v>
      </c>
      <c r="AY267" s="17">
        <v>8.9</v>
      </c>
      <c r="AZ267" s="5"/>
      <c r="BA267" s="17"/>
      <c r="BB267" s="5"/>
      <c r="BC267" s="17"/>
      <c r="BD267" s="5"/>
      <c r="BE267" s="17"/>
      <c r="BF267" s="5">
        <v>2028</v>
      </c>
      <c r="BG267" s="17">
        <v>490</v>
      </c>
      <c r="BH267" s="5">
        <v>2031</v>
      </c>
      <c r="BI267" s="17">
        <v>674</v>
      </c>
      <c r="BJ267" s="5" t="s">
        <v>87</v>
      </c>
      <c r="BK267" s="9"/>
      <c r="BL267" s="9" t="str">
        <f>HYPERLINK("https://seichotoushi-hojo.jp/assets/pdf/koufu_3_4ji/outline_73.pdf","PDFを開く")</f>
        <v>PDFを開く</v>
      </c>
      <c r="BM267" s="9" t="s">
        <v>2226</v>
      </c>
      <c r="BN267" s="9" t="s">
        <v>2227</v>
      </c>
      <c r="BO267" s="9" t="s">
        <v>90</v>
      </c>
      <c r="BP267" s="9" t="s">
        <v>90</v>
      </c>
      <c r="BQ267" s="9" t="s">
        <v>156</v>
      </c>
      <c r="BR267" s="9" t="s">
        <v>92</v>
      </c>
    </row>
    <row r="268" spans="1:70" ht="45.95" customHeight="1">
      <c r="A268" s="2" t="s">
        <v>2228</v>
      </c>
      <c r="B268" s="2" t="s">
        <v>1595</v>
      </c>
      <c r="C268" s="2" t="s">
        <v>2229</v>
      </c>
      <c r="D268" s="2" t="s">
        <v>2229</v>
      </c>
      <c r="E268" s="2" t="s">
        <v>95</v>
      </c>
      <c r="F268" s="2" t="s">
        <v>2230</v>
      </c>
      <c r="G268" s="2">
        <v>3</v>
      </c>
      <c r="H268" s="2">
        <v>0</v>
      </c>
      <c r="I268" s="2">
        <v>2</v>
      </c>
      <c r="J268" s="2">
        <v>1</v>
      </c>
      <c r="K268" s="2">
        <v>0</v>
      </c>
      <c r="L268" s="16">
        <v>5100</v>
      </c>
      <c r="M268" s="16">
        <v>1600</v>
      </c>
      <c r="N268" s="8" t="s">
        <v>2231</v>
      </c>
      <c r="O268" s="12">
        <f t="shared" si="4"/>
        <v>31.372549019607842</v>
      </c>
      <c r="P268" s="2">
        <v>3</v>
      </c>
      <c r="Q268" s="2" t="s">
        <v>77</v>
      </c>
      <c r="R268" s="8" t="s">
        <v>2231</v>
      </c>
      <c r="S268" s="8" t="s">
        <v>2232</v>
      </c>
      <c r="T268" s="8" t="s">
        <v>80</v>
      </c>
      <c r="U268" s="2" t="s">
        <v>81</v>
      </c>
      <c r="V268" s="2">
        <v>2027</v>
      </c>
      <c r="W268" s="16">
        <v>509</v>
      </c>
      <c r="X268" s="2">
        <v>2031</v>
      </c>
      <c r="Y268" s="16">
        <v>197</v>
      </c>
      <c r="Z268" s="16">
        <v>503</v>
      </c>
      <c r="AA268" s="2">
        <v>2031</v>
      </c>
      <c r="AB268" s="16">
        <v>13.4</v>
      </c>
      <c r="AC268" s="2">
        <v>2031</v>
      </c>
      <c r="AD268" s="2" t="s">
        <v>82</v>
      </c>
      <c r="AE268" s="16"/>
      <c r="AF268" s="16"/>
      <c r="AG268" s="16">
        <v>-21.125410687364642</v>
      </c>
      <c r="AH268" s="16"/>
      <c r="AI268" s="8" t="s">
        <v>200</v>
      </c>
      <c r="AJ268" s="2" t="s">
        <v>84</v>
      </c>
      <c r="AK268" s="2">
        <v>2</v>
      </c>
      <c r="AL268" s="8" t="s">
        <v>2233</v>
      </c>
      <c r="AM268" s="8" t="s">
        <v>2234</v>
      </c>
      <c r="AN268" s="2">
        <v>2027</v>
      </c>
      <c r="AO268" s="16">
        <v>822</v>
      </c>
      <c r="AP268" s="2">
        <v>2030</v>
      </c>
      <c r="AQ268" s="16">
        <v>1587</v>
      </c>
      <c r="AR268" s="2" t="s">
        <v>86</v>
      </c>
      <c r="AS268" s="16">
        <v>24.5</v>
      </c>
      <c r="AT268" s="2">
        <v>2027</v>
      </c>
      <c r="AU268" s="16">
        <v>386</v>
      </c>
      <c r="AV268" s="2">
        <v>2030</v>
      </c>
      <c r="AW268" s="16">
        <v>470</v>
      </c>
      <c r="AX268" s="2" t="s">
        <v>86</v>
      </c>
      <c r="AY268" s="16">
        <v>6</v>
      </c>
      <c r="AZ268" s="2">
        <v>2027</v>
      </c>
      <c r="BA268" s="16">
        <v>1603</v>
      </c>
      <c r="BB268" s="2">
        <v>2030</v>
      </c>
      <c r="BC268" s="16">
        <v>1829</v>
      </c>
      <c r="BD268" s="2" t="s">
        <v>86</v>
      </c>
      <c r="BE268" s="16">
        <v>4.5</v>
      </c>
      <c r="BF268" s="2">
        <v>2027</v>
      </c>
      <c r="BG268" s="16">
        <v>324</v>
      </c>
      <c r="BH268" s="2">
        <v>2030</v>
      </c>
      <c r="BI268" s="16">
        <v>355</v>
      </c>
      <c r="BJ268" s="2" t="s">
        <v>87</v>
      </c>
      <c r="BK268" s="8"/>
      <c r="BL268" s="8" t="str">
        <f>HYPERLINK("https://seichotoushi-hojo.jp/assets/pdf/koufu_3_4ji/outline_74.pdf","PDFを開く")</f>
        <v>PDFを開く</v>
      </c>
      <c r="BM268" s="8" t="s">
        <v>2235</v>
      </c>
      <c r="BN268" s="8" t="s">
        <v>2236</v>
      </c>
      <c r="BO268" s="8" t="s">
        <v>90</v>
      </c>
      <c r="BP268" s="8" t="s">
        <v>90</v>
      </c>
      <c r="BQ268" s="8" t="s">
        <v>90</v>
      </c>
      <c r="BR268" s="8" t="s">
        <v>92</v>
      </c>
    </row>
    <row r="269" spans="1:70" ht="45.95" customHeight="1">
      <c r="A269" s="5" t="s">
        <v>2237</v>
      </c>
      <c r="B269" s="5" t="s">
        <v>1595</v>
      </c>
      <c r="C269" s="5" t="s">
        <v>2238</v>
      </c>
      <c r="D269" s="5" t="s">
        <v>2238</v>
      </c>
      <c r="E269" s="5" t="s">
        <v>75</v>
      </c>
      <c r="F269" s="5"/>
      <c r="G269" s="5">
        <v>2</v>
      </c>
      <c r="H269" s="5">
        <v>0</v>
      </c>
      <c r="I269" s="5">
        <v>1</v>
      </c>
      <c r="J269" s="5">
        <v>1</v>
      </c>
      <c r="K269" s="5">
        <v>0</v>
      </c>
      <c r="L269" s="17">
        <v>5600</v>
      </c>
      <c r="M269" s="17">
        <v>1800</v>
      </c>
      <c r="N269" s="9" t="s">
        <v>2239</v>
      </c>
      <c r="O269" s="13">
        <f t="shared" si="4"/>
        <v>32.142857142857146</v>
      </c>
      <c r="P269" s="5">
        <v>2</v>
      </c>
      <c r="Q269" s="5" t="s">
        <v>77</v>
      </c>
      <c r="R269" s="9" t="s">
        <v>2239</v>
      </c>
      <c r="S269" s="9" t="s">
        <v>2240</v>
      </c>
      <c r="T269" s="9" t="s">
        <v>80</v>
      </c>
      <c r="U269" s="5" t="s">
        <v>81</v>
      </c>
      <c r="V269" s="5">
        <v>2024</v>
      </c>
      <c r="W269" s="17">
        <v>203</v>
      </c>
      <c r="X269" s="5">
        <v>2030</v>
      </c>
      <c r="Y269" s="17">
        <v>475.3</v>
      </c>
      <c r="Z269" s="17">
        <v>272.3</v>
      </c>
      <c r="AA269" s="5">
        <v>2030</v>
      </c>
      <c r="AB269" s="17">
        <v>16.7</v>
      </c>
      <c r="AC269" s="5">
        <v>2030</v>
      </c>
      <c r="AD269" s="5" t="s">
        <v>210</v>
      </c>
      <c r="AE269" s="17"/>
      <c r="AF269" s="17">
        <v>16.7</v>
      </c>
      <c r="AG269" s="17"/>
      <c r="AH269" s="17"/>
      <c r="AI269" s="9" t="s">
        <v>166</v>
      </c>
      <c r="AJ269" s="5" t="s">
        <v>292</v>
      </c>
      <c r="AK269" s="5">
        <v>1</v>
      </c>
      <c r="AL269" s="9" t="s">
        <v>2241</v>
      </c>
      <c r="AM269" s="9" t="s">
        <v>2242</v>
      </c>
      <c r="AN269" s="5">
        <v>2027</v>
      </c>
      <c r="AO269" s="17">
        <v>1401</v>
      </c>
      <c r="AP269" s="5">
        <v>2030</v>
      </c>
      <c r="AQ269" s="17">
        <v>3079</v>
      </c>
      <c r="AR269" s="5" t="s">
        <v>86</v>
      </c>
      <c r="AS269" s="17">
        <v>30</v>
      </c>
      <c r="AT269" s="5">
        <v>2027</v>
      </c>
      <c r="AU269" s="17">
        <v>350</v>
      </c>
      <c r="AV269" s="5">
        <v>2030</v>
      </c>
      <c r="AW269" s="17">
        <v>426</v>
      </c>
      <c r="AX269" s="5" t="s">
        <v>86</v>
      </c>
      <c r="AY269" s="17">
        <v>6.8</v>
      </c>
      <c r="AZ269" s="5"/>
      <c r="BA269" s="17"/>
      <c r="BB269" s="5"/>
      <c r="BC269" s="17"/>
      <c r="BD269" s="5"/>
      <c r="BE269" s="17"/>
      <c r="BF269" s="5">
        <v>2027</v>
      </c>
      <c r="BG269" s="17">
        <v>115</v>
      </c>
      <c r="BH269" s="5">
        <v>2030</v>
      </c>
      <c r="BI269" s="17">
        <v>203</v>
      </c>
      <c r="BJ269" s="5" t="s">
        <v>87</v>
      </c>
      <c r="BK269" s="9"/>
      <c r="BL269" s="9" t="str">
        <f>HYPERLINK("https://seichotoushi-hojo.jp/assets/pdf/koufu_3_4ji/outline_77.pdf","PDFを開く")</f>
        <v>PDFを開く</v>
      </c>
      <c r="BM269" s="9" t="s">
        <v>2243</v>
      </c>
      <c r="BN269" s="9" t="s">
        <v>2244</v>
      </c>
      <c r="BO269" s="9" t="s">
        <v>90</v>
      </c>
      <c r="BP269" s="9" t="s">
        <v>90</v>
      </c>
      <c r="BQ269" s="9" t="s">
        <v>156</v>
      </c>
      <c r="BR269" s="9" t="s">
        <v>92</v>
      </c>
    </row>
    <row r="270" spans="1:70" ht="45.95" customHeight="1">
      <c r="A270" s="2" t="s">
        <v>2245</v>
      </c>
      <c r="B270" s="2" t="s">
        <v>1595</v>
      </c>
      <c r="C270" s="2" t="s">
        <v>2246</v>
      </c>
      <c r="D270" s="2" t="s">
        <v>2246</v>
      </c>
      <c r="E270" s="2" t="s">
        <v>186</v>
      </c>
      <c r="F270" s="2"/>
      <c r="G270" s="2">
        <v>2</v>
      </c>
      <c r="H270" s="2">
        <v>0</v>
      </c>
      <c r="I270" s="2">
        <v>1</v>
      </c>
      <c r="J270" s="2">
        <v>1</v>
      </c>
      <c r="K270" s="2">
        <v>0</v>
      </c>
      <c r="L270" s="16">
        <v>2500</v>
      </c>
      <c r="M270" s="16">
        <v>800</v>
      </c>
      <c r="N270" s="8" t="s">
        <v>2247</v>
      </c>
      <c r="O270" s="12">
        <f t="shared" si="4"/>
        <v>32</v>
      </c>
      <c r="P270" s="2">
        <v>2</v>
      </c>
      <c r="Q270" s="2" t="s">
        <v>77</v>
      </c>
      <c r="R270" s="8" t="s">
        <v>2247</v>
      </c>
      <c r="S270" s="8" t="s">
        <v>2248</v>
      </c>
      <c r="T270" s="8" t="s">
        <v>80</v>
      </c>
      <c r="U270" s="2" t="s">
        <v>81</v>
      </c>
      <c r="V270" s="2"/>
      <c r="W270" s="16"/>
      <c r="X270" s="2">
        <v>2029</v>
      </c>
      <c r="Y270" s="16"/>
      <c r="Z270" s="16">
        <v>80</v>
      </c>
      <c r="AA270" s="2">
        <v>2029</v>
      </c>
      <c r="AB270" s="16">
        <v>217</v>
      </c>
      <c r="AC270" s="2">
        <v>2029</v>
      </c>
      <c r="AD270" s="2" t="s">
        <v>82</v>
      </c>
      <c r="AE270" s="16"/>
      <c r="AF270" s="16"/>
      <c r="AG270" s="16"/>
      <c r="AH270" s="16"/>
      <c r="AI270" s="8" t="s">
        <v>83</v>
      </c>
      <c r="AJ270" s="2" t="s">
        <v>84</v>
      </c>
      <c r="AK270" s="2">
        <v>1</v>
      </c>
      <c r="AL270" s="8" t="s">
        <v>2249</v>
      </c>
      <c r="AM270" s="8"/>
      <c r="AN270" s="2">
        <v>2026</v>
      </c>
      <c r="AO270" s="16">
        <v>1548</v>
      </c>
      <c r="AP270" s="2">
        <v>2029</v>
      </c>
      <c r="AQ270" s="16">
        <v>2949</v>
      </c>
      <c r="AR270" s="2" t="s">
        <v>86</v>
      </c>
      <c r="AS270" s="16">
        <v>24</v>
      </c>
      <c r="AT270" s="2">
        <v>2026</v>
      </c>
      <c r="AU270" s="16">
        <v>456</v>
      </c>
      <c r="AV270" s="2">
        <v>2029</v>
      </c>
      <c r="AW270" s="16">
        <v>559</v>
      </c>
      <c r="AX270" s="2" t="s">
        <v>86</v>
      </c>
      <c r="AY270" s="16">
        <v>7</v>
      </c>
      <c r="AZ270" s="2"/>
      <c r="BA270" s="16"/>
      <c r="BB270" s="2"/>
      <c r="BC270" s="16"/>
      <c r="BD270" s="2"/>
      <c r="BE270" s="16"/>
      <c r="BF270" s="2">
        <v>2026</v>
      </c>
      <c r="BG270" s="16">
        <v>108</v>
      </c>
      <c r="BH270" s="2">
        <v>2029</v>
      </c>
      <c r="BI270" s="16">
        <v>131</v>
      </c>
      <c r="BJ270" s="2" t="s">
        <v>87</v>
      </c>
      <c r="BK270" s="8"/>
      <c r="BL270" s="8" t="str">
        <f>HYPERLINK("https://seichotoushi-hojo.jp/assets/pdf/koufu_3_4ji/outline_78.pdf","PDFを開く")</f>
        <v>PDFを開く</v>
      </c>
      <c r="BM270" s="8" t="s">
        <v>2250</v>
      </c>
      <c r="BN270" s="8" t="s">
        <v>2251</v>
      </c>
      <c r="BO270" s="8" t="s">
        <v>90</v>
      </c>
      <c r="BP270" s="8" t="s">
        <v>90</v>
      </c>
      <c r="BQ270" s="8" t="s">
        <v>156</v>
      </c>
      <c r="BR270" s="8" t="s">
        <v>92</v>
      </c>
    </row>
    <row r="271" spans="1:70" ht="45.95" customHeight="1">
      <c r="A271" s="5" t="s">
        <v>2252</v>
      </c>
      <c r="B271" s="5" t="s">
        <v>1595</v>
      </c>
      <c r="C271" s="5" t="s">
        <v>2253</v>
      </c>
      <c r="D271" s="5" t="s">
        <v>2253</v>
      </c>
      <c r="E271" s="5" t="s">
        <v>95</v>
      </c>
      <c r="F271" s="5"/>
      <c r="G271" s="5">
        <v>3</v>
      </c>
      <c r="H271" s="5">
        <v>0</v>
      </c>
      <c r="I271" s="5">
        <v>1</v>
      </c>
      <c r="J271" s="5">
        <v>2</v>
      </c>
      <c r="K271" s="5">
        <v>0</v>
      </c>
      <c r="L271" s="17">
        <v>6100</v>
      </c>
      <c r="M271" s="17">
        <v>2000</v>
      </c>
      <c r="N271" s="9" t="s">
        <v>1750</v>
      </c>
      <c r="O271" s="13">
        <f t="shared" si="4"/>
        <v>32.786885245901637</v>
      </c>
      <c r="P271" s="5">
        <v>2</v>
      </c>
      <c r="Q271" s="5" t="s">
        <v>77</v>
      </c>
      <c r="R271" s="9" t="s">
        <v>2254</v>
      </c>
      <c r="S271" s="9" t="s">
        <v>2255</v>
      </c>
      <c r="T271" s="9" t="s">
        <v>80</v>
      </c>
      <c r="U271" s="5" t="s">
        <v>81</v>
      </c>
      <c r="V271" s="5"/>
      <c r="W271" s="17"/>
      <c r="X271" s="5">
        <v>2029</v>
      </c>
      <c r="Y271" s="17"/>
      <c r="Z271" s="17">
        <v>208</v>
      </c>
      <c r="AA271" s="5">
        <v>2029</v>
      </c>
      <c r="AB271" s="17">
        <v>65</v>
      </c>
      <c r="AC271" s="5">
        <v>2029</v>
      </c>
      <c r="AD271" s="5" t="s">
        <v>82</v>
      </c>
      <c r="AE271" s="17"/>
      <c r="AF271" s="17"/>
      <c r="AG271" s="17"/>
      <c r="AH271" s="17"/>
      <c r="AI271" s="9" t="s">
        <v>83</v>
      </c>
      <c r="AJ271" s="5" t="s">
        <v>84</v>
      </c>
      <c r="AK271" s="5">
        <v>1</v>
      </c>
      <c r="AL271" s="9" t="s">
        <v>2256</v>
      </c>
      <c r="AM271" s="9"/>
      <c r="AN271" s="5">
        <v>2026</v>
      </c>
      <c r="AO271" s="17">
        <v>560</v>
      </c>
      <c r="AP271" s="5">
        <v>2029</v>
      </c>
      <c r="AQ271" s="17">
        <v>1055</v>
      </c>
      <c r="AR271" s="5" t="s">
        <v>86</v>
      </c>
      <c r="AS271" s="17">
        <v>23.5</v>
      </c>
      <c r="AT271" s="5">
        <v>2026</v>
      </c>
      <c r="AU271" s="17">
        <v>379</v>
      </c>
      <c r="AV271" s="5">
        <v>2029</v>
      </c>
      <c r="AW271" s="17">
        <v>478</v>
      </c>
      <c r="AX271" s="5" t="s">
        <v>86</v>
      </c>
      <c r="AY271" s="17">
        <v>8</v>
      </c>
      <c r="AZ271" s="5">
        <v>2026</v>
      </c>
      <c r="BA271" s="17"/>
      <c r="BB271" s="5">
        <v>2029</v>
      </c>
      <c r="BC271" s="17"/>
      <c r="BD271" s="5" t="s">
        <v>86</v>
      </c>
      <c r="BE271" s="17">
        <v>8</v>
      </c>
      <c r="BF271" s="5">
        <v>2026</v>
      </c>
      <c r="BG271" s="17">
        <v>563</v>
      </c>
      <c r="BH271" s="5">
        <v>2029</v>
      </c>
      <c r="BI271" s="17">
        <v>610</v>
      </c>
      <c r="BJ271" s="5" t="s">
        <v>87</v>
      </c>
      <c r="BK271" s="9"/>
      <c r="BL271" s="9" t="str">
        <f>HYPERLINK("https://seichotoushi-hojo.jp/assets/pdf/koufu_3_4ji/outline_79.pdf","PDFを開く")</f>
        <v>PDFを開く</v>
      </c>
      <c r="BM271" s="9" t="s">
        <v>2257</v>
      </c>
      <c r="BN271" s="9" t="s">
        <v>2258</v>
      </c>
      <c r="BO271" s="9" t="s">
        <v>90</v>
      </c>
      <c r="BP271" s="9" t="s">
        <v>90</v>
      </c>
      <c r="BQ271" s="9" t="s">
        <v>91</v>
      </c>
      <c r="BR271" s="9" t="s">
        <v>92</v>
      </c>
    </row>
    <row r="272" spans="1:70" ht="45.95" customHeight="1">
      <c r="A272" s="2" t="s">
        <v>2259</v>
      </c>
      <c r="B272" s="2" t="s">
        <v>1595</v>
      </c>
      <c r="C272" s="2" t="s">
        <v>2260</v>
      </c>
      <c r="D272" s="2" t="s">
        <v>2260</v>
      </c>
      <c r="E272" s="2" t="s">
        <v>107</v>
      </c>
      <c r="F272" s="2"/>
      <c r="G272" s="2">
        <v>2</v>
      </c>
      <c r="H272" s="2">
        <v>0</v>
      </c>
      <c r="I272" s="2">
        <v>1</v>
      </c>
      <c r="J272" s="2">
        <v>1</v>
      </c>
      <c r="K272" s="2">
        <v>0</v>
      </c>
      <c r="L272" s="16">
        <v>14500</v>
      </c>
      <c r="M272" s="16">
        <v>4600</v>
      </c>
      <c r="N272" s="8" t="s">
        <v>2261</v>
      </c>
      <c r="O272" s="12">
        <f t="shared" si="4"/>
        <v>31.724137931034484</v>
      </c>
      <c r="P272" s="2">
        <v>2</v>
      </c>
      <c r="Q272" s="2" t="s">
        <v>77</v>
      </c>
      <c r="R272" s="8" t="s">
        <v>2261</v>
      </c>
      <c r="S272" s="8" t="s">
        <v>2262</v>
      </c>
      <c r="T272" s="8" t="s">
        <v>80</v>
      </c>
      <c r="U272" s="2" t="s">
        <v>81</v>
      </c>
      <c r="V272" s="2"/>
      <c r="W272" s="16"/>
      <c r="X272" s="2">
        <v>2030</v>
      </c>
      <c r="Y272" s="16"/>
      <c r="Z272" s="16">
        <v>167</v>
      </c>
      <c r="AA272" s="2">
        <v>2030</v>
      </c>
      <c r="AB272" s="16">
        <v>18.899999999999999</v>
      </c>
      <c r="AC272" s="2">
        <v>2030</v>
      </c>
      <c r="AD272" s="2" t="s">
        <v>82</v>
      </c>
      <c r="AE272" s="16"/>
      <c r="AF272" s="16"/>
      <c r="AG272" s="16"/>
      <c r="AH272" s="16"/>
      <c r="AI272" s="8" t="s">
        <v>83</v>
      </c>
      <c r="AJ272" s="2" t="s">
        <v>84</v>
      </c>
      <c r="AK272" s="2">
        <v>1</v>
      </c>
      <c r="AL272" s="8" t="s">
        <v>2263</v>
      </c>
      <c r="AM272" s="8"/>
      <c r="AN272" s="2">
        <v>2027</v>
      </c>
      <c r="AO272" s="16">
        <v>1655</v>
      </c>
      <c r="AP272" s="2">
        <v>2030</v>
      </c>
      <c r="AQ272" s="16">
        <v>3256</v>
      </c>
      <c r="AR272" s="2" t="s">
        <v>86</v>
      </c>
      <c r="AS272" s="16">
        <v>25.3</v>
      </c>
      <c r="AT272" s="2">
        <v>2027</v>
      </c>
      <c r="AU272" s="16">
        <v>760</v>
      </c>
      <c r="AV272" s="2">
        <v>2030</v>
      </c>
      <c r="AW272" s="16">
        <v>957</v>
      </c>
      <c r="AX272" s="2" t="s">
        <v>86</v>
      </c>
      <c r="AY272" s="16">
        <v>8</v>
      </c>
      <c r="AZ272" s="2"/>
      <c r="BA272" s="16"/>
      <c r="BB272" s="2"/>
      <c r="BC272" s="16"/>
      <c r="BD272" s="2"/>
      <c r="BE272" s="16"/>
      <c r="BF272" s="2">
        <v>2027</v>
      </c>
      <c r="BG272" s="16">
        <v>324</v>
      </c>
      <c r="BH272" s="2">
        <v>2030</v>
      </c>
      <c r="BI272" s="16">
        <v>350</v>
      </c>
      <c r="BJ272" s="2" t="s">
        <v>87</v>
      </c>
      <c r="BK272" s="8"/>
      <c r="BL272" s="8" t="str">
        <f>HYPERLINK("https://seichotoushi-hojo.jp/assets/pdf/koufu_3_4ji/outline_8.pdf","PDFを開く")</f>
        <v>PDFを開く</v>
      </c>
      <c r="BM272" s="8" t="s">
        <v>2264</v>
      </c>
      <c r="BN272" s="8" t="s">
        <v>2265</v>
      </c>
      <c r="BO272" s="8" t="s">
        <v>90</v>
      </c>
      <c r="BP272" s="8" t="s">
        <v>90</v>
      </c>
      <c r="BQ272" s="8" t="s">
        <v>156</v>
      </c>
      <c r="BR272" s="8" t="s">
        <v>92</v>
      </c>
    </row>
    <row r="273" spans="1:70" ht="45.95" customHeight="1">
      <c r="A273" s="5" t="s">
        <v>2266</v>
      </c>
      <c r="B273" s="5" t="s">
        <v>1595</v>
      </c>
      <c r="C273" s="5" t="s">
        <v>2267</v>
      </c>
      <c r="D273" s="5" t="s">
        <v>2267</v>
      </c>
      <c r="E273" s="5" t="s">
        <v>75</v>
      </c>
      <c r="F273" s="5"/>
      <c r="G273" s="5">
        <v>2</v>
      </c>
      <c r="H273" s="5">
        <v>0</v>
      </c>
      <c r="I273" s="5">
        <v>1</v>
      </c>
      <c r="J273" s="5">
        <v>1</v>
      </c>
      <c r="K273" s="5">
        <v>0</v>
      </c>
      <c r="L273" s="17">
        <v>3700</v>
      </c>
      <c r="M273" s="17">
        <v>1200</v>
      </c>
      <c r="N273" s="9" t="s">
        <v>1274</v>
      </c>
      <c r="O273" s="13">
        <f t="shared" si="4"/>
        <v>32.432432432432435</v>
      </c>
      <c r="P273" s="5">
        <v>2</v>
      </c>
      <c r="Q273" s="5" t="s">
        <v>77</v>
      </c>
      <c r="R273" s="9" t="s">
        <v>2268</v>
      </c>
      <c r="S273" s="9" t="s">
        <v>2269</v>
      </c>
      <c r="T273" s="9" t="s">
        <v>80</v>
      </c>
      <c r="U273" s="5" t="s">
        <v>81</v>
      </c>
      <c r="V273" s="5">
        <v>2029</v>
      </c>
      <c r="W273" s="17"/>
      <c r="X273" s="5">
        <v>2034</v>
      </c>
      <c r="Y273" s="17">
        <v>500</v>
      </c>
      <c r="Z273" s="17">
        <v>103</v>
      </c>
      <c r="AA273" s="5">
        <v>2034</v>
      </c>
      <c r="AB273" s="17">
        <v>222</v>
      </c>
      <c r="AC273" s="5">
        <v>2034</v>
      </c>
      <c r="AD273" s="5" t="s">
        <v>82</v>
      </c>
      <c r="AE273" s="17"/>
      <c r="AF273" s="17"/>
      <c r="AG273" s="17"/>
      <c r="AH273" s="17"/>
      <c r="AI273" s="9" t="s">
        <v>83</v>
      </c>
      <c r="AJ273" s="5" t="s">
        <v>84</v>
      </c>
      <c r="AK273" s="5">
        <v>1</v>
      </c>
      <c r="AL273" s="9" t="s">
        <v>2270</v>
      </c>
      <c r="AM273" s="9" t="s">
        <v>2271</v>
      </c>
      <c r="AN273" s="5">
        <v>2026</v>
      </c>
      <c r="AO273" s="17">
        <v>1408</v>
      </c>
      <c r="AP273" s="5">
        <v>2029</v>
      </c>
      <c r="AQ273" s="17">
        <v>2803</v>
      </c>
      <c r="AR273" s="5" t="s">
        <v>86</v>
      </c>
      <c r="AS273" s="17">
        <v>25.8</v>
      </c>
      <c r="AT273" s="5">
        <v>2026</v>
      </c>
      <c r="AU273" s="17">
        <v>465</v>
      </c>
      <c r="AV273" s="5">
        <v>2029</v>
      </c>
      <c r="AW273" s="17">
        <v>570</v>
      </c>
      <c r="AX273" s="5" t="s">
        <v>86</v>
      </c>
      <c r="AY273" s="17">
        <v>7</v>
      </c>
      <c r="AZ273" s="5"/>
      <c r="BA273" s="17"/>
      <c r="BB273" s="5"/>
      <c r="BC273" s="17"/>
      <c r="BD273" s="5"/>
      <c r="BE273" s="17"/>
      <c r="BF273" s="5">
        <v>2026</v>
      </c>
      <c r="BG273" s="17">
        <v>110</v>
      </c>
      <c r="BH273" s="5">
        <v>2029</v>
      </c>
      <c r="BI273" s="17">
        <v>150</v>
      </c>
      <c r="BJ273" s="5" t="s">
        <v>87</v>
      </c>
      <c r="BK273" s="9"/>
      <c r="BL273" s="9" t="str">
        <f>HYPERLINK("https://seichotoushi-hojo.jp/assets/pdf/koufu_3_4ji/outline_80.pdf","PDFを開く")</f>
        <v>PDFを開く</v>
      </c>
      <c r="BM273" s="9" t="s">
        <v>2272</v>
      </c>
      <c r="BN273" s="9" t="s">
        <v>2273</v>
      </c>
      <c r="BO273" s="9" t="s">
        <v>90</v>
      </c>
      <c r="BP273" s="9" t="s">
        <v>90</v>
      </c>
      <c r="BQ273" s="9" t="s">
        <v>156</v>
      </c>
      <c r="BR273" s="9" t="s">
        <v>92</v>
      </c>
    </row>
    <row r="274" spans="1:70" ht="45.95" customHeight="1">
      <c r="A274" s="2" t="s">
        <v>2274</v>
      </c>
      <c r="B274" s="2" t="s">
        <v>1595</v>
      </c>
      <c r="C274" s="2" t="s">
        <v>2275</v>
      </c>
      <c r="D274" s="2" t="s">
        <v>2275</v>
      </c>
      <c r="E274" s="2" t="s">
        <v>186</v>
      </c>
      <c r="F274" s="2"/>
      <c r="G274" s="2">
        <v>2</v>
      </c>
      <c r="H274" s="2">
        <v>0</v>
      </c>
      <c r="I274" s="2">
        <v>1</v>
      </c>
      <c r="J274" s="2">
        <v>1</v>
      </c>
      <c r="K274" s="2">
        <v>0</v>
      </c>
      <c r="L274" s="16">
        <v>19000</v>
      </c>
      <c r="M274" s="16">
        <v>4600</v>
      </c>
      <c r="N274" s="8" t="s">
        <v>2276</v>
      </c>
      <c r="O274" s="12">
        <f t="shared" si="4"/>
        <v>24.210526315789473</v>
      </c>
      <c r="P274" s="2">
        <v>2</v>
      </c>
      <c r="Q274" s="2" t="s">
        <v>77</v>
      </c>
      <c r="R274" s="8" t="s">
        <v>2277</v>
      </c>
      <c r="S274" s="8" t="s">
        <v>2278</v>
      </c>
      <c r="T274" s="8" t="s">
        <v>80</v>
      </c>
      <c r="U274" s="2" t="s">
        <v>81</v>
      </c>
      <c r="V274" s="2">
        <v>2023</v>
      </c>
      <c r="W274" s="16"/>
      <c r="X274" s="2">
        <v>2036</v>
      </c>
      <c r="Y274" s="16">
        <v>215</v>
      </c>
      <c r="Z274" s="16"/>
      <c r="AA274" s="2"/>
      <c r="AB274" s="16">
        <v>156</v>
      </c>
      <c r="AC274" s="2">
        <v>2036</v>
      </c>
      <c r="AD274" s="2" t="s">
        <v>82</v>
      </c>
      <c r="AE274" s="16"/>
      <c r="AF274" s="16"/>
      <c r="AG274" s="16"/>
      <c r="AH274" s="16"/>
      <c r="AI274" s="8" t="s">
        <v>83</v>
      </c>
      <c r="AJ274" s="2" t="s">
        <v>84</v>
      </c>
      <c r="AK274" s="2">
        <v>1</v>
      </c>
      <c r="AL274" s="8" t="s">
        <v>2279</v>
      </c>
      <c r="AM274" s="8" t="s">
        <v>2280</v>
      </c>
      <c r="AN274" s="2">
        <v>2027</v>
      </c>
      <c r="AO274" s="16">
        <v>1617</v>
      </c>
      <c r="AP274" s="2">
        <v>2030</v>
      </c>
      <c r="AQ274" s="16">
        <v>1969</v>
      </c>
      <c r="AR274" s="2" t="s">
        <v>86</v>
      </c>
      <c r="AS274" s="16">
        <v>6.8</v>
      </c>
      <c r="AT274" s="2">
        <v>2027</v>
      </c>
      <c r="AU274" s="16">
        <v>510</v>
      </c>
      <c r="AV274" s="2">
        <v>2030</v>
      </c>
      <c r="AW274" s="16">
        <v>604</v>
      </c>
      <c r="AX274" s="2" t="s">
        <v>86</v>
      </c>
      <c r="AY274" s="16">
        <v>5.8</v>
      </c>
      <c r="AZ274" s="2"/>
      <c r="BA274" s="16"/>
      <c r="BB274" s="2"/>
      <c r="BC274" s="16"/>
      <c r="BD274" s="2"/>
      <c r="BE274" s="16"/>
      <c r="BF274" s="2">
        <v>2027</v>
      </c>
      <c r="BG274" s="16">
        <v>640</v>
      </c>
      <c r="BH274" s="2">
        <v>2030</v>
      </c>
      <c r="BI274" s="16">
        <v>670</v>
      </c>
      <c r="BJ274" s="2" t="s">
        <v>87</v>
      </c>
      <c r="BK274" s="8"/>
      <c r="BL274" s="8" t="str">
        <f>HYPERLINK("https://seichotoushi-hojo.jp/assets/pdf/koufu_3_4ji/outline_81.pdf","PDFを開く")</f>
        <v>PDFを開く</v>
      </c>
      <c r="BM274" s="8" t="s">
        <v>2281</v>
      </c>
      <c r="BN274" s="8" t="s">
        <v>2282</v>
      </c>
      <c r="BO274" s="8" t="s">
        <v>90</v>
      </c>
      <c r="BP274" s="8" t="s">
        <v>90</v>
      </c>
      <c r="BQ274" s="8" t="s">
        <v>157</v>
      </c>
      <c r="BR274" s="8" t="s">
        <v>92</v>
      </c>
    </row>
    <row r="275" spans="1:70" ht="45.95" customHeight="1">
      <c r="A275" s="5" t="s">
        <v>2283</v>
      </c>
      <c r="B275" s="5" t="s">
        <v>1595</v>
      </c>
      <c r="C275" s="5" t="s">
        <v>2284</v>
      </c>
      <c r="D275" s="5" t="s">
        <v>2284</v>
      </c>
      <c r="E275" s="5" t="s">
        <v>95</v>
      </c>
      <c r="F275" s="5"/>
      <c r="G275" s="5">
        <v>2</v>
      </c>
      <c r="H275" s="5">
        <v>0</v>
      </c>
      <c r="I275" s="5">
        <v>1</v>
      </c>
      <c r="J275" s="5">
        <v>1</v>
      </c>
      <c r="K275" s="5">
        <v>0</v>
      </c>
      <c r="L275" s="17">
        <v>10600</v>
      </c>
      <c r="M275" s="17">
        <v>3500</v>
      </c>
      <c r="N275" s="9" t="s">
        <v>2285</v>
      </c>
      <c r="O275" s="13">
        <f t="shared" si="4"/>
        <v>33.018867924528301</v>
      </c>
      <c r="P275" s="5">
        <v>2</v>
      </c>
      <c r="Q275" s="5" t="s">
        <v>77</v>
      </c>
      <c r="R275" s="9" t="s">
        <v>2286</v>
      </c>
      <c r="S275" s="9" t="s">
        <v>2286</v>
      </c>
      <c r="T275" s="9" t="s">
        <v>80</v>
      </c>
      <c r="U275" s="5" t="s">
        <v>81</v>
      </c>
      <c r="V275" s="5">
        <v>2024</v>
      </c>
      <c r="W275" s="17">
        <v>119</v>
      </c>
      <c r="X275" s="5">
        <v>2031</v>
      </c>
      <c r="Y275" s="17">
        <v>119</v>
      </c>
      <c r="Z275" s="17">
        <v>266</v>
      </c>
      <c r="AA275" s="5">
        <v>2031</v>
      </c>
      <c r="AB275" s="17">
        <v>124</v>
      </c>
      <c r="AC275" s="5">
        <v>2031</v>
      </c>
      <c r="AD275" s="5" t="s">
        <v>82</v>
      </c>
      <c r="AE275" s="17"/>
      <c r="AF275" s="17"/>
      <c r="AG275" s="17">
        <v>0</v>
      </c>
      <c r="AH275" s="17"/>
      <c r="AI275" s="9" t="s">
        <v>200</v>
      </c>
      <c r="AJ275" s="5" t="s">
        <v>84</v>
      </c>
      <c r="AK275" s="5">
        <v>1</v>
      </c>
      <c r="AL275" s="9" t="s">
        <v>2287</v>
      </c>
      <c r="AM275" s="9" t="s">
        <v>2288</v>
      </c>
      <c r="AN275" s="5">
        <v>2027</v>
      </c>
      <c r="AO275" s="17">
        <v>1957</v>
      </c>
      <c r="AP275" s="5">
        <v>2030</v>
      </c>
      <c r="AQ275" s="17">
        <v>4384</v>
      </c>
      <c r="AR275" s="5" t="s">
        <v>86</v>
      </c>
      <c r="AS275" s="17">
        <v>30.8</v>
      </c>
      <c r="AT275" s="5">
        <v>2027</v>
      </c>
      <c r="AU275" s="17">
        <v>588</v>
      </c>
      <c r="AV275" s="5">
        <v>2030</v>
      </c>
      <c r="AW275" s="17">
        <v>721</v>
      </c>
      <c r="AX275" s="5" t="s">
        <v>86</v>
      </c>
      <c r="AY275" s="17">
        <v>7</v>
      </c>
      <c r="AZ275" s="5"/>
      <c r="BA275" s="17"/>
      <c r="BB275" s="5"/>
      <c r="BC275" s="17"/>
      <c r="BD275" s="5"/>
      <c r="BE275" s="17"/>
      <c r="BF275" s="5">
        <v>2027</v>
      </c>
      <c r="BG275" s="17">
        <v>318</v>
      </c>
      <c r="BH275" s="5">
        <v>2030</v>
      </c>
      <c r="BI275" s="17">
        <v>328</v>
      </c>
      <c r="BJ275" s="5" t="s">
        <v>87</v>
      </c>
      <c r="BK275" s="9"/>
      <c r="BL275" s="9" t="str">
        <f>HYPERLINK("https://seichotoushi-hojo.jp/assets/pdf/koufu_3_4ji/outline_82.pdf","PDFを開く")</f>
        <v>PDFを開く</v>
      </c>
      <c r="BM275" s="9" t="s">
        <v>2289</v>
      </c>
      <c r="BN275" s="9" t="s">
        <v>2290</v>
      </c>
      <c r="BO275" s="9" t="s">
        <v>90</v>
      </c>
      <c r="BP275" s="9" t="s">
        <v>90</v>
      </c>
      <c r="BQ275" s="9" t="s">
        <v>156</v>
      </c>
      <c r="BR275" s="9" t="s">
        <v>92</v>
      </c>
    </row>
    <row r="276" spans="1:70" ht="45.95" customHeight="1">
      <c r="A276" s="2" t="s">
        <v>2291</v>
      </c>
      <c r="B276" s="2" t="s">
        <v>1595</v>
      </c>
      <c r="C276" s="2" t="s">
        <v>2292</v>
      </c>
      <c r="D276" s="2" t="s">
        <v>2292</v>
      </c>
      <c r="E276" s="2" t="s">
        <v>75</v>
      </c>
      <c r="F276" s="2"/>
      <c r="G276" s="2">
        <v>4</v>
      </c>
      <c r="H276" s="2">
        <v>0</v>
      </c>
      <c r="I276" s="2">
        <v>1</v>
      </c>
      <c r="J276" s="2">
        <v>3</v>
      </c>
      <c r="K276" s="2">
        <v>0</v>
      </c>
      <c r="L276" s="16">
        <v>2600</v>
      </c>
      <c r="M276" s="16">
        <v>570</v>
      </c>
      <c r="N276" s="8" t="s">
        <v>2293</v>
      </c>
      <c r="O276" s="12">
        <f t="shared" si="4"/>
        <v>21.923076923076923</v>
      </c>
      <c r="P276" s="2">
        <v>2</v>
      </c>
      <c r="Q276" s="2" t="s">
        <v>77</v>
      </c>
      <c r="R276" s="8" t="s">
        <v>2293</v>
      </c>
      <c r="S276" s="8" t="s">
        <v>2294</v>
      </c>
      <c r="T276" s="8" t="s">
        <v>80</v>
      </c>
      <c r="U276" s="2" t="s">
        <v>81</v>
      </c>
      <c r="V276" s="2"/>
      <c r="W276" s="16"/>
      <c r="X276" s="2">
        <v>2030</v>
      </c>
      <c r="Y276" s="16"/>
      <c r="Z276" s="16">
        <v>30.2</v>
      </c>
      <c r="AA276" s="2">
        <v>2030</v>
      </c>
      <c r="AB276" s="16">
        <v>163.19999999999999</v>
      </c>
      <c r="AC276" s="2">
        <v>2030</v>
      </c>
      <c r="AD276" s="2" t="s">
        <v>210</v>
      </c>
      <c r="AE276" s="16"/>
      <c r="AF276" s="16"/>
      <c r="AG276" s="16"/>
      <c r="AH276" s="16"/>
      <c r="AI276" s="8" t="s">
        <v>83</v>
      </c>
      <c r="AJ276" s="2" t="s">
        <v>84</v>
      </c>
      <c r="AK276" s="2">
        <v>1</v>
      </c>
      <c r="AL276" s="8" t="s">
        <v>2295</v>
      </c>
      <c r="AM276" s="8"/>
      <c r="AN276" s="2">
        <v>2027</v>
      </c>
      <c r="AO276" s="16">
        <v>1082</v>
      </c>
      <c r="AP276" s="2">
        <v>2030</v>
      </c>
      <c r="AQ276" s="16">
        <v>1825</v>
      </c>
      <c r="AR276" s="2" t="s">
        <v>86</v>
      </c>
      <c r="AS276" s="16">
        <v>19</v>
      </c>
      <c r="AT276" s="2">
        <v>2027</v>
      </c>
      <c r="AU276" s="16">
        <v>599</v>
      </c>
      <c r="AV276" s="2">
        <v>2030</v>
      </c>
      <c r="AW276" s="16">
        <v>713</v>
      </c>
      <c r="AX276" s="2" t="s">
        <v>86</v>
      </c>
      <c r="AY276" s="16">
        <v>6</v>
      </c>
      <c r="AZ276" s="2">
        <v>2027</v>
      </c>
      <c r="BA276" s="16">
        <v>719</v>
      </c>
      <c r="BB276" s="2">
        <v>2030</v>
      </c>
      <c r="BC276" s="16">
        <v>832</v>
      </c>
      <c r="BD276" s="2" t="s">
        <v>86</v>
      </c>
      <c r="BE276" s="16">
        <v>5</v>
      </c>
      <c r="BF276" s="2">
        <v>2027</v>
      </c>
      <c r="BG276" s="16">
        <v>86</v>
      </c>
      <c r="BH276" s="2">
        <v>2030</v>
      </c>
      <c r="BI276" s="16">
        <v>112</v>
      </c>
      <c r="BJ276" s="2" t="s">
        <v>87</v>
      </c>
      <c r="BK276" s="8"/>
      <c r="BL276" s="8" t="str">
        <f>HYPERLINK("https://seichotoushi-hojo.jp/assets/pdf/koufu_3_4ji/outline_83.pdf","PDFを開く")</f>
        <v>PDFを開く</v>
      </c>
      <c r="BM276" s="8" t="s">
        <v>2296</v>
      </c>
      <c r="BN276" s="8" t="s">
        <v>2297</v>
      </c>
      <c r="BO276" s="8" t="s">
        <v>90</v>
      </c>
      <c r="BP276" s="8" t="s">
        <v>90</v>
      </c>
      <c r="BQ276" s="8" t="s">
        <v>90</v>
      </c>
      <c r="BR276" s="8" t="s">
        <v>92</v>
      </c>
    </row>
    <row r="277" spans="1:70" ht="45.95" customHeight="1">
      <c r="A277" s="5" t="s">
        <v>2298</v>
      </c>
      <c r="B277" s="5" t="s">
        <v>1595</v>
      </c>
      <c r="C277" s="5" t="s">
        <v>2299</v>
      </c>
      <c r="D277" s="5" t="s">
        <v>2299</v>
      </c>
      <c r="E277" s="5" t="s">
        <v>186</v>
      </c>
      <c r="F277" s="5"/>
      <c r="G277" s="5">
        <v>3</v>
      </c>
      <c r="H277" s="5">
        <v>0</v>
      </c>
      <c r="I277" s="5">
        <v>1</v>
      </c>
      <c r="J277" s="5">
        <v>2</v>
      </c>
      <c r="K277" s="5">
        <v>0</v>
      </c>
      <c r="L277" s="17">
        <v>16500</v>
      </c>
      <c r="M277" s="17">
        <v>3000</v>
      </c>
      <c r="N277" s="9" t="s">
        <v>2300</v>
      </c>
      <c r="O277" s="13">
        <f t="shared" si="4"/>
        <v>18.181818181818183</v>
      </c>
      <c r="P277" s="5">
        <v>3</v>
      </c>
      <c r="Q277" s="5" t="s">
        <v>77</v>
      </c>
      <c r="R277" s="9" t="s">
        <v>2300</v>
      </c>
      <c r="S277" s="9"/>
      <c r="T277" s="9" t="s">
        <v>80</v>
      </c>
      <c r="U277" s="5" t="s">
        <v>81</v>
      </c>
      <c r="V277" s="5">
        <v>2024</v>
      </c>
      <c r="W277" s="17">
        <v>882</v>
      </c>
      <c r="X277" s="5">
        <v>2031</v>
      </c>
      <c r="Y277" s="17">
        <v>2441</v>
      </c>
      <c r="Z277" s="17"/>
      <c r="AA277" s="5"/>
      <c r="AB277" s="17"/>
      <c r="AC277" s="5"/>
      <c r="AD277" s="5"/>
      <c r="AE277" s="17"/>
      <c r="AF277" s="17"/>
      <c r="AG277" s="17">
        <v>15.653033300720098</v>
      </c>
      <c r="AH277" s="17"/>
      <c r="AI277" s="9" t="s">
        <v>100</v>
      </c>
      <c r="AJ277" s="5" t="s">
        <v>84</v>
      </c>
      <c r="AK277" s="5">
        <v>1</v>
      </c>
      <c r="AL277" s="9" t="s">
        <v>2301</v>
      </c>
      <c r="AM277" s="9" t="s">
        <v>2302</v>
      </c>
      <c r="AN277" s="5">
        <v>2028</v>
      </c>
      <c r="AO277" s="17">
        <v>3829</v>
      </c>
      <c r="AP277" s="5">
        <v>2031</v>
      </c>
      <c r="AQ277" s="17">
        <v>3863</v>
      </c>
      <c r="AR277" s="5" t="s">
        <v>86</v>
      </c>
      <c r="AS277" s="17">
        <v>0.3</v>
      </c>
      <c r="AT277" s="5">
        <v>2028</v>
      </c>
      <c r="AU277" s="17">
        <v>1233</v>
      </c>
      <c r="AV277" s="5">
        <v>2031</v>
      </c>
      <c r="AW277" s="17">
        <v>1536</v>
      </c>
      <c r="AX277" s="5" t="s">
        <v>86</v>
      </c>
      <c r="AY277" s="17">
        <v>7.6</v>
      </c>
      <c r="AZ277" s="5">
        <v>2028</v>
      </c>
      <c r="BA277" s="17">
        <v>1172</v>
      </c>
      <c r="BB277" s="5">
        <v>2031</v>
      </c>
      <c r="BC277" s="17">
        <v>1442</v>
      </c>
      <c r="BD277" s="5" t="s">
        <v>86</v>
      </c>
      <c r="BE277" s="17">
        <v>7.1</v>
      </c>
      <c r="BF277" s="5">
        <v>2028</v>
      </c>
      <c r="BG277" s="17">
        <v>135</v>
      </c>
      <c r="BH277" s="5">
        <v>2031</v>
      </c>
      <c r="BI277" s="17">
        <v>155</v>
      </c>
      <c r="BJ277" s="5" t="s">
        <v>87</v>
      </c>
      <c r="BK277" s="9" t="s">
        <v>212</v>
      </c>
      <c r="BL277" s="9" t="str">
        <f>HYPERLINK("https://seichotoushi-hojo.jp/assets/pdf/koufu_3_4ji/outline_84.pdf","PDFを開く")</f>
        <v>PDFを開く</v>
      </c>
      <c r="BM277" s="9" t="s">
        <v>2303</v>
      </c>
      <c r="BN277" s="9" t="s">
        <v>2304</v>
      </c>
      <c r="BO277" s="9" t="s">
        <v>90</v>
      </c>
      <c r="BP277" s="9" t="s">
        <v>90</v>
      </c>
      <c r="BQ277" s="9" t="s">
        <v>90</v>
      </c>
      <c r="BR277" s="9" t="s">
        <v>92</v>
      </c>
    </row>
    <row r="278" spans="1:70" ht="45.95" customHeight="1">
      <c r="A278" s="2" t="s">
        <v>2305</v>
      </c>
      <c r="B278" s="2" t="s">
        <v>1595</v>
      </c>
      <c r="C278" s="2" t="s">
        <v>2306</v>
      </c>
      <c r="D278" s="2" t="s">
        <v>2306</v>
      </c>
      <c r="E278" s="2" t="s">
        <v>95</v>
      </c>
      <c r="F278" s="2"/>
      <c r="G278" s="2">
        <v>2</v>
      </c>
      <c r="H278" s="2">
        <v>0</v>
      </c>
      <c r="I278" s="2">
        <v>1</v>
      </c>
      <c r="J278" s="2">
        <v>1</v>
      </c>
      <c r="K278" s="2">
        <v>0</v>
      </c>
      <c r="L278" s="16">
        <v>4600</v>
      </c>
      <c r="M278" s="16">
        <v>1400</v>
      </c>
      <c r="N278" s="8" t="s">
        <v>108</v>
      </c>
      <c r="O278" s="12">
        <f t="shared" si="4"/>
        <v>30.434782608695656</v>
      </c>
      <c r="P278" s="2">
        <v>2</v>
      </c>
      <c r="Q278" s="2" t="s">
        <v>77</v>
      </c>
      <c r="R278" s="8" t="s">
        <v>2307</v>
      </c>
      <c r="S278" s="8" t="s">
        <v>2308</v>
      </c>
      <c r="T278" s="8" t="s">
        <v>80</v>
      </c>
      <c r="U278" s="2" t="s">
        <v>81</v>
      </c>
      <c r="V278" s="2">
        <v>2014</v>
      </c>
      <c r="W278" s="16"/>
      <c r="X278" s="2">
        <v>2034</v>
      </c>
      <c r="Y278" s="16"/>
      <c r="Z278" s="16">
        <v>47</v>
      </c>
      <c r="AA278" s="2">
        <v>2034</v>
      </c>
      <c r="AB278" s="16">
        <v>107.5</v>
      </c>
      <c r="AC278" s="2">
        <v>2034</v>
      </c>
      <c r="AD278" s="2" t="s">
        <v>82</v>
      </c>
      <c r="AE278" s="16"/>
      <c r="AF278" s="16"/>
      <c r="AG278" s="16"/>
      <c r="AH278" s="16"/>
      <c r="AI278" s="8" t="s">
        <v>83</v>
      </c>
      <c r="AJ278" s="2" t="s">
        <v>84</v>
      </c>
      <c r="AK278" s="2">
        <v>1</v>
      </c>
      <c r="AL278" s="8" t="s">
        <v>2309</v>
      </c>
      <c r="AM278" s="8" t="s">
        <v>2310</v>
      </c>
      <c r="AN278" s="2">
        <v>2027</v>
      </c>
      <c r="AO278" s="16">
        <v>577</v>
      </c>
      <c r="AP278" s="2">
        <v>2030</v>
      </c>
      <c r="AQ278" s="16">
        <v>947</v>
      </c>
      <c r="AR278" s="2" t="s">
        <v>86</v>
      </c>
      <c r="AS278" s="16"/>
      <c r="AT278" s="2">
        <v>2027</v>
      </c>
      <c r="AU278" s="16">
        <v>349</v>
      </c>
      <c r="AV278" s="2">
        <v>2030</v>
      </c>
      <c r="AW278" s="16">
        <v>433</v>
      </c>
      <c r="AX278" s="2" t="s">
        <v>86</v>
      </c>
      <c r="AY278" s="16"/>
      <c r="AZ278" s="2"/>
      <c r="BA278" s="16"/>
      <c r="BB278" s="2"/>
      <c r="BC278" s="16"/>
      <c r="BD278" s="2"/>
      <c r="BE278" s="16"/>
      <c r="BF278" s="2">
        <v>2027</v>
      </c>
      <c r="BG278" s="16">
        <v>77</v>
      </c>
      <c r="BH278" s="2">
        <v>2030</v>
      </c>
      <c r="BI278" s="16">
        <v>125</v>
      </c>
      <c r="BJ278" s="2" t="s">
        <v>87</v>
      </c>
      <c r="BK278" s="8"/>
      <c r="BL278" s="8" t="str">
        <f>HYPERLINK("https://seichotoushi-hojo.jp/assets/pdf/koufu_3_4ji/outline_85.pdf","PDFを開く")</f>
        <v>PDFを開く</v>
      </c>
      <c r="BM278" s="8" t="s">
        <v>2311</v>
      </c>
      <c r="BN278" s="8" t="s">
        <v>2312</v>
      </c>
      <c r="BO278" s="8" t="s">
        <v>92</v>
      </c>
      <c r="BP278" s="8" t="s">
        <v>92</v>
      </c>
      <c r="BQ278" s="8" t="s">
        <v>157</v>
      </c>
      <c r="BR278" s="8" t="s">
        <v>92</v>
      </c>
    </row>
    <row r="279" spans="1:70" ht="45.95" customHeight="1">
      <c r="A279" s="5" t="s">
        <v>2313</v>
      </c>
      <c r="B279" s="5" t="s">
        <v>1595</v>
      </c>
      <c r="C279" s="5" t="s">
        <v>2314</v>
      </c>
      <c r="D279" s="5" t="s">
        <v>2314</v>
      </c>
      <c r="E279" s="5"/>
      <c r="F279" s="5"/>
      <c r="G279" s="5">
        <v>2</v>
      </c>
      <c r="H279" s="5">
        <v>0</v>
      </c>
      <c r="I279" s="5">
        <v>1</v>
      </c>
      <c r="J279" s="5">
        <v>1</v>
      </c>
      <c r="K279" s="5">
        <v>0</v>
      </c>
      <c r="L279" s="17">
        <v>13300</v>
      </c>
      <c r="M279" s="17">
        <v>4100</v>
      </c>
      <c r="N279" s="9" t="s">
        <v>2315</v>
      </c>
      <c r="O279" s="13">
        <f t="shared" si="4"/>
        <v>30.82706766917293</v>
      </c>
      <c r="P279" s="5">
        <v>2</v>
      </c>
      <c r="Q279" s="5" t="s">
        <v>77</v>
      </c>
      <c r="R279" s="9" t="s">
        <v>2315</v>
      </c>
      <c r="S279" s="9" t="s">
        <v>2316</v>
      </c>
      <c r="T279" s="9" t="s">
        <v>80</v>
      </c>
      <c r="U279" s="5" t="s">
        <v>81</v>
      </c>
      <c r="V279" s="5"/>
      <c r="W279" s="17"/>
      <c r="X279" s="5">
        <v>2030</v>
      </c>
      <c r="Y279" s="17"/>
      <c r="Z279" s="17">
        <v>420</v>
      </c>
      <c r="AA279" s="5">
        <v>2030</v>
      </c>
      <c r="AB279" s="17">
        <v>10</v>
      </c>
      <c r="AC279" s="5">
        <v>2030</v>
      </c>
      <c r="AD279" s="5" t="s">
        <v>82</v>
      </c>
      <c r="AE279" s="17"/>
      <c r="AF279" s="17"/>
      <c r="AG279" s="17"/>
      <c r="AH279" s="17"/>
      <c r="AI279" s="9" t="s">
        <v>83</v>
      </c>
      <c r="AJ279" s="5" t="s">
        <v>84</v>
      </c>
      <c r="AK279" s="5">
        <v>1</v>
      </c>
      <c r="AL279" s="9" t="s">
        <v>2317</v>
      </c>
      <c r="AM279" s="9"/>
      <c r="AN279" s="5">
        <v>2027</v>
      </c>
      <c r="AO279" s="17">
        <v>5828</v>
      </c>
      <c r="AP279" s="5">
        <v>2030</v>
      </c>
      <c r="AQ279" s="17">
        <v>9849</v>
      </c>
      <c r="AR279" s="5" t="s">
        <v>86</v>
      </c>
      <c r="AS279" s="17">
        <v>19.100000000000001</v>
      </c>
      <c r="AT279" s="5">
        <v>2027</v>
      </c>
      <c r="AU279" s="17">
        <v>866</v>
      </c>
      <c r="AV279" s="5">
        <v>2030</v>
      </c>
      <c r="AW279" s="17">
        <v>1076</v>
      </c>
      <c r="AX279" s="5" t="s">
        <v>86</v>
      </c>
      <c r="AY279" s="17">
        <v>7.5</v>
      </c>
      <c r="AZ279" s="5"/>
      <c r="BA279" s="17"/>
      <c r="BB279" s="5"/>
      <c r="BC279" s="17"/>
      <c r="BD279" s="5"/>
      <c r="BE279" s="17"/>
      <c r="BF279" s="5">
        <v>2027</v>
      </c>
      <c r="BG279" s="17">
        <v>219</v>
      </c>
      <c r="BH279" s="5">
        <v>2030</v>
      </c>
      <c r="BI279" s="17">
        <v>230</v>
      </c>
      <c r="BJ279" s="5" t="s">
        <v>87</v>
      </c>
      <c r="BK279" s="9" t="s">
        <v>589</v>
      </c>
      <c r="BL279" s="9" t="str">
        <f>HYPERLINK("https://seichotoushi-hojo.jp/assets/pdf/koufu_3_4ji/outline_86.pdf","PDFを開く")</f>
        <v>PDFを開く</v>
      </c>
      <c r="BM279" s="9" t="s">
        <v>2318</v>
      </c>
      <c r="BN279" s="9" t="s">
        <v>2319</v>
      </c>
      <c r="BO279" s="9" t="s">
        <v>90</v>
      </c>
      <c r="BP279" s="9" t="s">
        <v>90</v>
      </c>
      <c r="BQ279" s="9" t="s">
        <v>156</v>
      </c>
      <c r="BR279" s="9" t="s">
        <v>92</v>
      </c>
    </row>
    <row r="280" spans="1:70" ht="45.95" customHeight="1">
      <c r="A280" s="2" t="s">
        <v>2320</v>
      </c>
      <c r="B280" s="2" t="s">
        <v>1595</v>
      </c>
      <c r="C280" s="2" t="s">
        <v>2321</v>
      </c>
      <c r="D280" s="2" t="s">
        <v>2321</v>
      </c>
      <c r="E280" s="2" t="s">
        <v>186</v>
      </c>
      <c r="F280" s="2"/>
      <c r="G280" s="2">
        <v>3</v>
      </c>
      <c r="H280" s="2">
        <v>0</v>
      </c>
      <c r="I280" s="2">
        <v>1</v>
      </c>
      <c r="J280" s="2">
        <v>2</v>
      </c>
      <c r="K280" s="2">
        <v>0</v>
      </c>
      <c r="L280" s="16">
        <v>8900</v>
      </c>
      <c r="M280" s="16">
        <v>2200</v>
      </c>
      <c r="N280" s="8" t="s">
        <v>2322</v>
      </c>
      <c r="O280" s="12">
        <f t="shared" si="4"/>
        <v>24.719101123595504</v>
      </c>
      <c r="P280" s="2">
        <v>2</v>
      </c>
      <c r="Q280" s="2" t="s">
        <v>77</v>
      </c>
      <c r="R280" s="8" t="s">
        <v>2323</v>
      </c>
      <c r="S280" s="8" t="s">
        <v>2324</v>
      </c>
      <c r="T280" s="8" t="s">
        <v>80</v>
      </c>
      <c r="U280" s="2" t="s">
        <v>81</v>
      </c>
      <c r="V280" s="2">
        <v>2030</v>
      </c>
      <c r="W280" s="16"/>
      <c r="X280" s="2">
        <v>2033</v>
      </c>
      <c r="Y280" s="16">
        <v>200</v>
      </c>
      <c r="Z280" s="16">
        <v>99</v>
      </c>
      <c r="AA280" s="2">
        <v>2033</v>
      </c>
      <c r="AB280" s="16">
        <v>122</v>
      </c>
      <c r="AC280" s="2">
        <v>2033</v>
      </c>
      <c r="AD280" s="2" t="s">
        <v>82</v>
      </c>
      <c r="AE280" s="16"/>
      <c r="AF280" s="16"/>
      <c r="AG280" s="16"/>
      <c r="AH280" s="16"/>
      <c r="AI280" s="8" t="s">
        <v>83</v>
      </c>
      <c r="AJ280" s="2" t="s">
        <v>84</v>
      </c>
      <c r="AK280" s="2">
        <v>1</v>
      </c>
      <c r="AL280" s="8" t="s">
        <v>2325</v>
      </c>
      <c r="AM280" s="8" t="s">
        <v>1190</v>
      </c>
      <c r="AN280" s="2">
        <v>2027</v>
      </c>
      <c r="AO280" s="16">
        <v>2662</v>
      </c>
      <c r="AP280" s="2">
        <v>2030</v>
      </c>
      <c r="AQ280" s="16">
        <v>5699</v>
      </c>
      <c r="AR280" s="2" t="s">
        <v>86</v>
      </c>
      <c r="AS280" s="16">
        <v>28.9</v>
      </c>
      <c r="AT280" s="2">
        <v>2027</v>
      </c>
      <c r="AU280" s="16">
        <v>398</v>
      </c>
      <c r="AV280" s="2">
        <v>2030</v>
      </c>
      <c r="AW280" s="16">
        <v>473</v>
      </c>
      <c r="AX280" s="2" t="s">
        <v>86</v>
      </c>
      <c r="AY280" s="16">
        <v>6</v>
      </c>
      <c r="AZ280" s="2">
        <v>2027</v>
      </c>
      <c r="BA280" s="16"/>
      <c r="BB280" s="2">
        <v>2030</v>
      </c>
      <c r="BC280" s="16"/>
      <c r="BD280" s="2" t="s">
        <v>86</v>
      </c>
      <c r="BE280" s="16">
        <v>5</v>
      </c>
      <c r="BF280" s="2">
        <v>2027</v>
      </c>
      <c r="BG280" s="16">
        <v>40</v>
      </c>
      <c r="BH280" s="2">
        <v>2030</v>
      </c>
      <c r="BI280" s="16">
        <v>49</v>
      </c>
      <c r="BJ280" s="2" t="s">
        <v>87</v>
      </c>
      <c r="BK280" s="8"/>
      <c r="BL280" s="8" t="str">
        <f>HYPERLINK("https://seichotoushi-hojo.jp/assets/pdf/koufu_3_4ji/outline_87.pdf","PDFを開く")</f>
        <v>PDFを開く</v>
      </c>
      <c r="BM280" s="8" t="s">
        <v>2326</v>
      </c>
      <c r="BN280" s="8" t="s">
        <v>2327</v>
      </c>
      <c r="BO280" s="8" t="s">
        <v>90</v>
      </c>
      <c r="BP280" s="8" t="s">
        <v>90</v>
      </c>
      <c r="BQ280" s="8" t="s">
        <v>91</v>
      </c>
      <c r="BR280" s="8" t="s">
        <v>92</v>
      </c>
    </row>
    <row r="281" spans="1:70" ht="45.95" customHeight="1">
      <c r="A281" s="5" t="s">
        <v>2328</v>
      </c>
      <c r="B281" s="5" t="s">
        <v>1595</v>
      </c>
      <c r="C281" s="5" t="s">
        <v>2329</v>
      </c>
      <c r="D281" s="5" t="s">
        <v>2329</v>
      </c>
      <c r="E281" s="5" t="s">
        <v>95</v>
      </c>
      <c r="F281" s="5"/>
      <c r="G281" s="5">
        <v>2</v>
      </c>
      <c r="H281" s="5">
        <v>0</v>
      </c>
      <c r="I281" s="5">
        <v>1</v>
      </c>
      <c r="J281" s="5">
        <v>1</v>
      </c>
      <c r="K281" s="5">
        <v>0</v>
      </c>
      <c r="L281" s="17">
        <v>1800</v>
      </c>
      <c r="M281" s="17">
        <v>590</v>
      </c>
      <c r="N281" s="9" t="s">
        <v>903</v>
      </c>
      <c r="O281" s="13">
        <f t="shared" si="4"/>
        <v>32.777777777777779</v>
      </c>
      <c r="P281" s="5">
        <v>2</v>
      </c>
      <c r="Q281" s="5" t="s">
        <v>77</v>
      </c>
      <c r="R281" s="9" t="s">
        <v>2330</v>
      </c>
      <c r="S281" s="9" t="s">
        <v>2331</v>
      </c>
      <c r="T281" s="9" t="s">
        <v>80</v>
      </c>
      <c r="U281" s="5" t="s">
        <v>81</v>
      </c>
      <c r="V281" s="5"/>
      <c r="W281" s="17"/>
      <c r="X281" s="5">
        <v>2031</v>
      </c>
      <c r="Y281" s="17">
        <v>100</v>
      </c>
      <c r="Z281" s="17">
        <v>82.1</v>
      </c>
      <c r="AA281" s="5">
        <v>2031</v>
      </c>
      <c r="AB281" s="17">
        <v>459</v>
      </c>
      <c r="AC281" s="5">
        <v>2031</v>
      </c>
      <c r="AD281" s="5" t="s">
        <v>82</v>
      </c>
      <c r="AE281" s="17"/>
      <c r="AF281" s="17"/>
      <c r="AG281" s="17"/>
      <c r="AH281" s="17"/>
      <c r="AI281" s="9" t="s">
        <v>83</v>
      </c>
      <c r="AJ281" s="5" t="s">
        <v>84</v>
      </c>
      <c r="AK281" s="5">
        <v>1</v>
      </c>
      <c r="AL281" s="9" t="s">
        <v>2332</v>
      </c>
      <c r="AM281" s="9" t="s">
        <v>2333</v>
      </c>
      <c r="AN281" s="5">
        <v>2027</v>
      </c>
      <c r="AO281" s="17">
        <v>447</v>
      </c>
      <c r="AP281" s="5">
        <v>2030</v>
      </c>
      <c r="AQ281" s="17">
        <v>991</v>
      </c>
      <c r="AR281" s="5" t="s">
        <v>86</v>
      </c>
      <c r="AS281" s="17">
        <v>30.4</v>
      </c>
      <c r="AT281" s="5">
        <v>2027</v>
      </c>
      <c r="AU281" s="17">
        <v>320</v>
      </c>
      <c r="AV281" s="5">
        <v>2030</v>
      </c>
      <c r="AW281" s="17">
        <v>377</v>
      </c>
      <c r="AX281" s="5" t="s">
        <v>86</v>
      </c>
      <c r="AY281" s="17">
        <v>5.6</v>
      </c>
      <c r="AZ281" s="5">
        <v>2027</v>
      </c>
      <c r="BA281" s="17"/>
      <c r="BB281" s="5">
        <v>2030</v>
      </c>
      <c r="BC281" s="17"/>
      <c r="BD281" s="5" t="s">
        <v>86</v>
      </c>
      <c r="BE281" s="17">
        <v>5</v>
      </c>
      <c r="BF281" s="5">
        <v>2027</v>
      </c>
      <c r="BG281" s="17">
        <v>159</v>
      </c>
      <c r="BH281" s="5">
        <v>2030</v>
      </c>
      <c r="BI281" s="17">
        <v>253</v>
      </c>
      <c r="BJ281" s="5" t="s">
        <v>87</v>
      </c>
      <c r="BK281" s="9"/>
      <c r="BL281" s="9" t="str">
        <f>HYPERLINK("https://seichotoushi-hojo.jp/assets/pdf/koufu_3_4ji/outline_88.pdf","PDFを開く")</f>
        <v>PDFを開く</v>
      </c>
      <c r="BM281" s="9" t="s">
        <v>2334</v>
      </c>
      <c r="BN281" s="9" t="s">
        <v>2335</v>
      </c>
      <c r="BO281" s="9" t="s">
        <v>90</v>
      </c>
      <c r="BP281" s="9" t="s">
        <v>90</v>
      </c>
      <c r="BQ281" s="9" t="s">
        <v>91</v>
      </c>
      <c r="BR281" s="9" t="s">
        <v>92</v>
      </c>
    </row>
    <row r="282" spans="1:70" ht="45.95" customHeight="1">
      <c r="A282" s="2" t="s">
        <v>2336</v>
      </c>
      <c r="B282" s="2" t="s">
        <v>1595</v>
      </c>
      <c r="C282" s="2" t="s">
        <v>2337</v>
      </c>
      <c r="D282" s="2" t="s">
        <v>2337</v>
      </c>
      <c r="E282" s="2" t="s">
        <v>75</v>
      </c>
      <c r="F282" s="2"/>
      <c r="G282" s="2">
        <v>2</v>
      </c>
      <c r="H282" s="2">
        <v>0</v>
      </c>
      <c r="I282" s="2">
        <v>1</v>
      </c>
      <c r="J282" s="2">
        <v>1</v>
      </c>
      <c r="K282" s="2">
        <v>0</v>
      </c>
      <c r="L282" s="16">
        <v>9700</v>
      </c>
      <c r="M282" s="16">
        <v>2900</v>
      </c>
      <c r="N282" s="8" t="s">
        <v>2338</v>
      </c>
      <c r="O282" s="12">
        <f t="shared" si="4"/>
        <v>29.896907216494846</v>
      </c>
      <c r="P282" s="2">
        <v>2</v>
      </c>
      <c r="Q282" s="2" t="s">
        <v>77</v>
      </c>
      <c r="R282" s="8" t="s">
        <v>2338</v>
      </c>
      <c r="S282" s="8" t="s">
        <v>2339</v>
      </c>
      <c r="T282" s="8" t="s">
        <v>80</v>
      </c>
      <c r="U282" s="2" t="s">
        <v>81</v>
      </c>
      <c r="V282" s="2">
        <v>2023</v>
      </c>
      <c r="W282" s="16">
        <v>316</v>
      </c>
      <c r="X282" s="2">
        <v>2030</v>
      </c>
      <c r="Y282" s="16">
        <v>665</v>
      </c>
      <c r="Z282" s="16"/>
      <c r="AA282" s="2"/>
      <c r="AB282" s="16">
        <v>90.8</v>
      </c>
      <c r="AC282" s="2">
        <v>2030</v>
      </c>
      <c r="AD282" s="2" t="s">
        <v>82</v>
      </c>
      <c r="AE282" s="16"/>
      <c r="AF282" s="16"/>
      <c r="AG282" s="16">
        <v>11.214670730140996</v>
      </c>
      <c r="AH282" s="16"/>
      <c r="AI282" s="8" t="s">
        <v>418</v>
      </c>
      <c r="AJ282" s="2" t="s">
        <v>587</v>
      </c>
      <c r="AK282" s="2">
        <v>1</v>
      </c>
      <c r="AL282" s="8" t="s">
        <v>2340</v>
      </c>
      <c r="AM282" s="8" t="s">
        <v>2341</v>
      </c>
      <c r="AN282" s="2">
        <v>2027</v>
      </c>
      <c r="AO282" s="16">
        <v>1332</v>
      </c>
      <c r="AP282" s="2">
        <v>2030</v>
      </c>
      <c r="AQ282" s="16">
        <v>2935</v>
      </c>
      <c r="AR282" s="2" t="s">
        <v>86</v>
      </c>
      <c r="AS282" s="16">
        <v>30.1</v>
      </c>
      <c r="AT282" s="2">
        <v>2027</v>
      </c>
      <c r="AU282" s="16">
        <v>437</v>
      </c>
      <c r="AV282" s="2">
        <v>2030</v>
      </c>
      <c r="AW282" s="16">
        <v>551</v>
      </c>
      <c r="AX282" s="2" t="s">
        <v>86</v>
      </c>
      <c r="AY282" s="16">
        <v>8</v>
      </c>
      <c r="AZ282" s="2"/>
      <c r="BA282" s="16"/>
      <c r="BB282" s="2"/>
      <c r="BC282" s="16"/>
      <c r="BD282" s="2"/>
      <c r="BE282" s="16"/>
      <c r="BF282" s="2">
        <v>2027</v>
      </c>
      <c r="BG282" s="16">
        <v>304</v>
      </c>
      <c r="BH282" s="2">
        <v>2030</v>
      </c>
      <c r="BI282" s="16">
        <v>321</v>
      </c>
      <c r="BJ282" s="2" t="s">
        <v>87</v>
      </c>
      <c r="BK282" s="8" t="s">
        <v>2342</v>
      </c>
      <c r="BL282" s="8" t="str">
        <f>HYPERLINK("https://seichotoushi-hojo.jp/assets/pdf/koufu_3_4ji/outline_89.pdf","PDFを開く")</f>
        <v>PDFを開く</v>
      </c>
      <c r="BM282" s="8" t="s">
        <v>2343</v>
      </c>
      <c r="BN282" s="8" t="s">
        <v>2344</v>
      </c>
      <c r="BO282" s="8" t="s">
        <v>90</v>
      </c>
      <c r="BP282" s="8" t="s">
        <v>90</v>
      </c>
      <c r="BQ282" s="8" t="s">
        <v>156</v>
      </c>
      <c r="BR282" s="8" t="s">
        <v>92</v>
      </c>
    </row>
    <row r="283" spans="1:70" ht="45.95" customHeight="1">
      <c r="A283" s="5" t="s">
        <v>2345</v>
      </c>
      <c r="B283" s="5" t="s">
        <v>1595</v>
      </c>
      <c r="C283" s="5" t="s">
        <v>2346</v>
      </c>
      <c r="D283" s="5" t="s">
        <v>2346</v>
      </c>
      <c r="E283" s="5" t="s">
        <v>95</v>
      </c>
      <c r="F283" s="5" t="s">
        <v>2347</v>
      </c>
      <c r="G283" s="5">
        <v>3</v>
      </c>
      <c r="H283" s="5">
        <v>0</v>
      </c>
      <c r="I283" s="5">
        <v>1</v>
      </c>
      <c r="J283" s="5">
        <v>2</v>
      </c>
      <c r="K283" s="5">
        <v>0</v>
      </c>
      <c r="L283" s="17">
        <v>4500</v>
      </c>
      <c r="M283" s="17">
        <v>1500</v>
      </c>
      <c r="N283" s="9" t="s">
        <v>2348</v>
      </c>
      <c r="O283" s="13">
        <f t="shared" si="4"/>
        <v>33.333333333333329</v>
      </c>
      <c r="P283" s="5">
        <v>2</v>
      </c>
      <c r="Q283" s="5" t="s">
        <v>77</v>
      </c>
      <c r="R283" s="9" t="s">
        <v>2348</v>
      </c>
      <c r="S283" s="9" t="s">
        <v>2349</v>
      </c>
      <c r="T283" s="9" t="s">
        <v>80</v>
      </c>
      <c r="U283" s="5" t="s">
        <v>81</v>
      </c>
      <c r="V283" s="5">
        <v>2024</v>
      </c>
      <c r="W283" s="17"/>
      <c r="X283" s="5">
        <v>2031</v>
      </c>
      <c r="Y283" s="17"/>
      <c r="Z283" s="17">
        <v>255</v>
      </c>
      <c r="AA283" s="5">
        <v>2031</v>
      </c>
      <c r="AB283" s="17">
        <v>97.2</v>
      </c>
      <c r="AC283" s="5">
        <v>2031</v>
      </c>
      <c r="AD283" s="5" t="s">
        <v>82</v>
      </c>
      <c r="AE283" s="17"/>
      <c r="AF283" s="17"/>
      <c r="AG283" s="17"/>
      <c r="AH283" s="17"/>
      <c r="AI283" s="9" t="s">
        <v>83</v>
      </c>
      <c r="AJ283" s="5" t="s">
        <v>84</v>
      </c>
      <c r="AK283" s="5">
        <v>1</v>
      </c>
      <c r="AL283" s="9" t="s">
        <v>2350</v>
      </c>
      <c r="AM283" s="9"/>
      <c r="AN283" s="5">
        <v>2028</v>
      </c>
      <c r="AO283" s="17">
        <v>1095</v>
      </c>
      <c r="AP283" s="5">
        <v>2031</v>
      </c>
      <c r="AQ283" s="17">
        <v>1898</v>
      </c>
      <c r="AR283" s="5" t="s">
        <v>86</v>
      </c>
      <c r="AS283" s="17">
        <v>20.100000000000001</v>
      </c>
      <c r="AT283" s="5">
        <v>2028</v>
      </c>
      <c r="AU283" s="17">
        <v>655</v>
      </c>
      <c r="AV283" s="5">
        <v>2031</v>
      </c>
      <c r="AW283" s="17">
        <v>769</v>
      </c>
      <c r="AX283" s="5" t="s">
        <v>86</v>
      </c>
      <c r="AY283" s="17">
        <v>5.5</v>
      </c>
      <c r="AZ283" s="5">
        <v>2028</v>
      </c>
      <c r="BA283" s="17">
        <v>2436</v>
      </c>
      <c r="BB283" s="5">
        <v>2031</v>
      </c>
      <c r="BC283" s="17">
        <v>2820</v>
      </c>
      <c r="BD283" s="5" t="s">
        <v>86</v>
      </c>
      <c r="BE283" s="17">
        <v>5</v>
      </c>
      <c r="BF283" s="5">
        <v>2028</v>
      </c>
      <c r="BG283" s="17">
        <v>282</v>
      </c>
      <c r="BH283" s="5">
        <v>2031</v>
      </c>
      <c r="BI283" s="17">
        <v>349</v>
      </c>
      <c r="BJ283" s="5" t="s">
        <v>87</v>
      </c>
      <c r="BK283" s="9"/>
      <c r="BL283" s="9" t="str">
        <f>HYPERLINK("https://seichotoushi-hojo.jp/assets/pdf/koufu_3_4ji/outline_9.pdf","PDFを開く")</f>
        <v>PDFを開く</v>
      </c>
      <c r="BM283" s="9" t="s">
        <v>2351</v>
      </c>
      <c r="BN283" s="9" t="s">
        <v>2352</v>
      </c>
      <c r="BO283" s="9" t="s">
        <v>90</v>
      </c>
      <c r="BP283" s="9" t="s">
        <v>90</v>
      </c>
      <c r="BQ283" s="9" t="s">
        <v>90</v>
      </c>
      <c r="BR283" s="9" t="s">
        <v>92</v>
      </c>
    </row>
    <row r="284" spans="1:70" ht="45.95" customHeight="1">
      <c r="A284" s="2" t="s">
        <v>2353</v>
      </c>
      <c r="B284" s="2" t="s">
        <v>1595</v>
      </c>
      <c r="C284" s="2" t="s">
        <v>2354</v>
      </c>
      <c r="D284" s="2" t="s">
        <v>2355</v>
      </c>
      <c r="E284" s="2" t="s">
        <v>107</v>
      </c>
      <c r="F284" s="2"/>
      <c r="G284" s="2">
        <v>2</v>
      </c>
      <c r="H284" s="2">
        <v>0</v>
      </c>
      <c r="I284" s="2">
        <v>1</v>
      </c>
      <c r="J284" s="2">
        <v>1</v>
      </c>
      <c r="K284" s="2">
        <v>0</v>
      </c>
      <c r="L284" s="16">
        <v>4200</v>
      </c>
      <c r="M284" s="16">
        <v>1200</v>
      </c>
      <c r="N284" s="8" t="s">
        <v>1954</v>
      </c>
      <c r="O284" s="12">
        <f t="shared" si="4"/>
        <v>28.571428571428569</v>
      </c>
      <c r="P284" s="2">
        <v>2</v>
      </c>
      <c r="Q284" s="2" t="s">
        <v>77</v>
      </c>
      <c r="R284" s="8" t="s">
        <v>2356</v>
      </c>
      <c r="S284" s="8" t="s">
        <v>2357</v>
      </c>
      <c r="T284" s="8" t="s">
        <v>80</v>
      </c>
      <c r="U284" s="2" t="s">
        <v>81</v>
      </c>
      <c r="V284" s="2">
        <v>2024</v>
      </c>
      <c r="W284" s="16"/>
      <c r="X284" s="2">
        <v>2031</v>
      </c>
      <c r="Y284" s="16">
        <v>45.67</v>
      </c>
      <c r="Z284" s="16"/>
      <c r="AA284" s="2"/>
      <c r="AB284" s="16">
        <v>13.38</v>
      </c>
      <c r="AC284" s="2">
        <v>2031</v>
      </c>
      <c r="AD284" s="2" t="s">
        <v>210</v>
      </c>
      <c r="AE284" s="16"/>
      <c r="AF284" s="16"/>
      <c r="AG284" s="16"/>
      <c r="AH284" s="16"/>
      <c r="AI284" s="8" t="s">
        <v>83</v>
      </c>
      <c r="AJ284" s="2" t="s">
        <v>587</v>
      </c>
      <c r="AK284" s="2">
        <v>1</v>
      </c>
      <c r="AL284" s="8" t="s">
        <v>2358</v>
      </c>
      <c r="AM284" s="8" t="s">
        <v>2359</v>
      </c>
      <c r="AN284" s="2">
        <v>2028</v>
      </c>
      <c r="AO284" s="16">
        <v>3128</v>
      </c>
      <c r="AP284" s="2">
        <v>2031</v>
      </c>
      <c r="AQ284" s="16">
        <v>5705</v>
      </c>
      <c r="AR284" s="2" t="s">
        <v>86</v>
      </c>
      <c r="AS284" s="16">
        <v>22.2</v>
      </c>
      <c r="AT284" s="2">
        <v>2028</v>
      </c>
      <c r="AU284" s="16">
        <v>302</v>
      </c>
      <c r="AV284" s="2">
        <v>2031</v>
      </c>
      <c r="AW284" s="16">
        <v>374</v>
      </c>
      <c r="AX284" s="2" t="s">
        <v>86</v>
      </c>
      <c r="AY284" s="16">
        <v>7.4</v>
      </c>
      <c r="AZ284" s="2">
        <v>2028</v>
      </c>
      <c r="BA284" s="16"/>
      <c r="BB284" s="2">
        <v>2031</v>
      </c>
      <c r="BC284" s="16"/>
      <c r="BD284" s="2" t="s">
        <v>86</v>
      </c>
      <c r="BE284" s="16">
        <v>15</v>
      </c>
      <c r="BF284" s="2">
        <v>2028</v>
      </c>
      <c r="BG284" s="16">
        <v>25</v>
      </c>
      <c r="BH284" s="2">
        <v>2031</v>
      </c>
      <c r="BI284" s="16">
        <v>95</v>
      </c>
      <c r="BJ284" s="2" t="s">
        <v>87</v>
      </c>
      <c r="BK284" s="8"/>
      <c r="BL284" s="8" t="str">
        <f>HYPERLINK("https://seichotoushi-hojo.jp/assets/pdf/koufu_3_4ji/outline_90.pdf","PDFを開く")</f>
        <v>PDFを開く</v>
      </c>
      <c r="BM284" s="8" t="s">
        <v>2360</v>
      </c>
      <c r="BN284" s="8" t="s">
        <v>2361</v>
      </c>
      <c r="BO284" s="8" t="s">
        <v>166</v>
      </c>
      <c r="BP284" s="8" t="s">
        <v>166</v>
      </c>
      <c r="BQ284" s="8" t="s">
        <v>91</v>
      </c>
      <c r="BR284" s="8" t="s">
        <v>166</v>
      </c>
    </row>
    <row r="285" spans="1:70" ht="45.95" customHeight="1">
      <c r="A285" s="5" t="s">
        <v>2362</v>
      </c>
      <c r="B285" s="5" t="s">
        <v>1595</v>
      </c>
      <c r="C285" s="5" t="s">
        <v>2363</v>
      </c>
      <c r="D285" s="5" t="s">
        <v>2364</v>
      </c>
      <c r="E285" s="5" t="s">
        <v>107</v>
      </c>
      <c r="F285" s="5" t="s">
        <v>2365</v>
      </c>
      <c r="G285" s="5">
        <v>2</v>
      </c>
      <c r="H285" s="5">
        <v>0</v>
      </c>
      <c r="I285" s="5">
        <v>1</v>
      </c>
      <c r="J285" s="5">
        <v>1</v>
      </c>
      <c r="K285" s="5">
        <v>0</v>
      </c>
      <c r="L285" s="17">
        <v>4600</v>
      </c>
      <c r="M285" s="17">
        <v>1500</v>
      </c>
      <c r="N285" s="9" t="s">
        <v>2366</v>
      </c>
      <c r="O285" s="13">
        <f t="shared" si="4"/>
        <v>32.608695652173914</v>
      </c>
      <c r="P285" s="5">
        <v>2</v>
      </c>
      <c r="Q285" s="5" t="s">
        <v>77</v>
      </c>
      <c r="R285" s="9" t="s">
        <v>2367</v>
      </c>
      <c r="S285" s="9" t="s">
        <v>2368</v>
      </c>
      <c r="T285" s="9" t="s">
        <v>80</v>
      </c>
      <c r="U285" s="5" t="s">
        <v>81</v>
      </c>
      <c r="V285" s="5"/>
      <c r="W285" s="17"/>
      <c r="X285" s="5"/>
      <c r="Y285" s="17"/>
      <c r="Z285" s="17">
        <v>73</v>
      </c>
      <c r="AA285" s="5"/>
      <c r="AB285" s="17">
        <v>16.899999999999999</v>
      </c>
      <c r="AC285" s="5"/>
      <c r="AD285" s="5" t="s">
        <v>210</v>
      </c>
      <c r="AE285" s="17"/>
      <c r="AF285" s="17"/>
      <c r="AG285" s="17"/>
      <c r="AH285" s="17"/>
      <c r="AI285" s="9" t="s">
        <v>83</v>
      </c>
      <c r="AJ285" s="5" t="s">
        <v>84</v>
      </c>
      <c r="AK285" s="5">
        <v>1</v>
      </c>
      <c r="AL285" s="9" t="s">
        <v>2369</v>
      </c>
      <c r="AM285" s="9"/>
      <c r="AN285" s="5">
        <v>2028</v>
      </c>
      <c r="AO285" s="17">
        <v>1154</v>
      </c>
      <c r="AP285" s="5">
        <v>2031</v>
      </c>
      <c r="AQ285" s="17">
        <v>1891</v>
      </c>
      <c r="AR285" s="5" t="s">
        <v>86</v>
      </c>
      <c r="AS285" s="17">
        <v>17.899999999999999</v>
      </c>
      <c r="AT285" s="5">
        <v>2028</v>
      </c>
      <c r="AU285" s="17">
        <v>605</v>
      </c>
      <c r="AV285" s="5">
        <v>2031</v>
      </c>
      <c r="AW285" s="17">
        <v>711</v>
      </c>
      <c r="AX285" s="5" t="s">
        <v>86</v>
      </c>
      <c r="AY285" s="17">
        <v>5.5</v>
      </c>
      <c r="AZ285" s="5">
        <v>2028</v>
      </c>
      <c r="BA285" s="17"/>
      <c r="BB285" s="5">
        <v>2031</v>
      </c>
      <c r="BC285" s="17"/>
      <c r="BD285" s="5" t="s">
        <v>86</v>
      </c>
      <c r="BE285" s="17">
        <v>5.5</v>
      </c>
      <c r="BF285" s="5">
        <v>2028</v>
      </c>
      <c r="BG285" s="17">
        <v>230</v>
      </c>
      <c r="BH285" s="5">
        <v>2031</v>
      </c>
      <c r="BI285" s="17">
        <v>239</v>
      </c>
      <c r="BJ285" s="5" t="s">
        <v>87</v>
      </c>
      <c r="BK285" s="9"/>
      <c r="BL285" s="9" t="str">
        <f>HYPERLINK("https://seichotoushi-hojo.jp/assets/pdf/koufu_3_4ji/outline_91.pdf","PDFを開く")</f>
        <v>PDFを開く</v>
      </c>
      <c r="BM285" s="9" t="s">
        <v>2370</v>
      </c>
      <c r="BN285" s="9" t="s">
        <v>2371</v>
      </c>
      <c r="BO285" s="9" t="s">
        <v>90</v>
      </c>
      <c r="BP285" s="9" t="s">
        <v>90</v>
      </c>
      <c r="BQ285" s="9" t="s">
        <v>91</v>
      </c>
      <c r="BR285" s="9" t="s">
        <v>92</v>
      </c>
    </row>
    <row r="286" spans="1:70" ht="45.95" customHeight="1">
      <c r="A286" s="2" t="s">
        <v>2372</v>
      </c>
      <c r="B286" s="2" t="s">
        <v>1595</v>
      </c>
      <c r="C286" s="2" t="s">
        <v>2373</v>
      </c>
      <c r="D286" s="2" t="s">
        <v>2373</v>
      </c>
      <c r="E286" s="2" t="s">
        <v>75</v>
      </c>
      <c r="F286" s="2"/>
      <c r="G286" s="2">
        <v>2</v>
      </c>
      <c r="H286" s="2">
        <v>0</v>
      </c>
      <c r="I286" s="2">
        <v>1</v>
      </c>
      <c r="J286" s="2">
        <v>1</v>
      </c>
      <c r="K286" s="2">
        <v>0</v>
      </c>
      <c r="L286" s="16">
        <v>5700</v>
      </c>
      <c r="M286" s="16">
        <v>1900</v>
      </c>
      <c r="N286" s="8" t="s">
        <v>2374</v>
      </c>
      <c r="O286" s="12">
        <f t="shared" si="4"/>
        <v>33.333333333333329</v>
      </c>
      <c r="P286" s="2">
        <v>2</v>
      </c>
      <c r="Q286" s="2" t="s">
        <v>77</v>
      </c>
      <c r="R286" s="8" t="s">
        <v>2375</v>
      </c>
      <c r="S286" s="8" t="s">
        <v>2376</v>
      </c>
      <c r="T286" s="8" t="s">
        <v>80</v>
      </c>
      <c r="U286" s="2" t="s">
        <v>81</v>
      </c>
      <c r="V286" s="2"/>
      <c r="W286" s="16"/>
      <c r="X286" s="2">
        <v>2030</v>
      </c>
      <c r="Y286" s="16"/>
      <c r="Z286" s="16">
        <v>163</v>
      </c>
      <c r="AA286" s="2">
        <v>2030</v>
      </c>
      <c r="AB286" s="16">
        <v>20.32</v>
      </c>
      <c r="AC286" s="2">
        <v>2030</v>
      </c>
      <c r="AD286" s="2" t="s">
        <v>82</v>
      </c>
      <c r="AE286" s="16"/>
      <c r="AF286" s="16"/>
      <c r="AG286" s="16"/>
      <c r="AH286" s="16"/>
      <c r="AI286" s="8" t="s">
        <v>83</v>
      </c>
      <c r="AJ286" s="2" t="s">
        <v>84</v>
      </c>
      <c r="AK286" s="2">
        <v>1</v>
      </c>
      <c r="AL286" s="8" t="s">
        <v>2377</v>
      </c>
      <c r="AM286" s="8"/>
      <c r="AN286" s="2">
        <v>2027</v>
      </c>
      <c r="AO286" s="16">
        <v>1728</v>
      </c>
      <c r="AP286" s="2">
        <v>2030</v>
      </c>
      <c r="AQ286" s="16">
        <v>1822</v>
      </c>
      <c r="AR286" s="2" t="s">
        <v>86</v>
      </c>
      <c r="AS286" s="16">
        <v>1.8</v>
      </c>
      <c r="AT286" s="2">
        <v>2027</v>
      </c>
      <c r="AU286" s="16">
        <v>580</v>
      </c>
      <c r="AV286" s="2">
        <v>2030</v>
      </c>
      <c r="AW286" s="16">
        <v>680</v>
      </c>
      <c r="AX286" s="2" t="s">
        <v>86</v>
      </c>
      <c r="AY286" s="16">
        <v>5.5</v>
      </c>
      <c r="AZ286" s="2"/>
      <c r="BA286" s="16"/>
      <c r="BB286" s="2"/>
      <c r="BC286" s="16"/>
      <c r="BD286" s="2"/>
      <c r="BE286" s="16"/>
      <c r="BF286" s="2">
        <v>2027</v>
      </c>
      <c r="BG286" s="16">
        <v>258</v>
      </c>
      <c r="BH286" s="2">
        <v>2030</v>
      </c>
      <c r="BI286" s="16">
        <v>742</v>
      </c>
      <c r="BJ286" s="2" t="s">
        <v>87</v>
      </c>
      <c r="BK286" s="8"/>
      <c r="BL286" s="8" t="str">
        <f>HYPERLINK("https://seichotoushi-hojo.jp/assets/pdf/koufu_3_4ji/outline_93.pdf","PDFを開く")</f>
        <v>PDFを開く</v>
      </c>
      <c r="BM286" s="8" t="s">
        <v>2378</v>
      </c>
      <c r="BN286" s="8" t="s">
        <v>2379</v>
      </c>
      <c r="BO286" s="8" t="s">
        <v>90</v>
      </c>
      <c r="BP286" s="8" t="s">
        <v>90</v>
      </c>
      <c r="BQ286" s="8" t="s">
        <v>156</v>
      </c>
      <c r="BR286" s="8" t="s">
        <v>92</v>
      </c>
    </row>
    <row r="287" spans="1:70" ht="45.95" customHeight="1">
      <c r="A287" s="5" t="s">
        <v>2380</v>
      </c>
      <c r="B287" s="5" t="s">
        <v>1595</v>
      </c>
      <c r="C287" s="5" t="s">
        <v>2381</v>
      </c>
      <c r="D287" s="5" t="s">
        <v>2381</v>
      </c>
      <c r="E287" s="5" t="s">
        <v>116</v>
      </c>
      <c r="F287" s="5"/>
      <c r="G287" s="5">
        <v>2</v>
      </c>
      <c r="H287" s="5">
        <v>0</v>
      </c>
      <c r="I287" s="5">
        <v>1</v>
      </c>
      <c r="J287" s="5">
        <v>1</v>
      </c>
      <c r="K287" s="5">
        <v>0</v>
      </c>
      <c r="L287" s="17">
        <v>5200</v>
      </c>
      <c r="M287" s="17">
        <v>1500</v>
      </c>
      <c r="N287" s="9" t="s">
        <v>1360</v>
      </c>
      <c r="O287" s="13">
        <f t="shared" si="4"/>
        <v>28.846153846153843</v>
      </c>
      <c r="P287" s="5">
        <v>2</v>
      </c>
      <c r="Q287" s="5" t="s">
        <v>77</v>
      </c>
      <c r="R287" s="9" t="s">
        <v>2382</v>
      </c>
      <c r="S287" s="9" t="s">
        <v>2383</v>
      </c>
      <c r="T287" s="9" t="s">
        <v>80</v>
      </c>
      <c r="U287" s="5" t="s">
        <v>116</v>
      </c>
      <c r="V287" s="5">
        <v>2024</v>
      </c>
      <c r="W287" s="17">
        <v>49.42</v>
      </c>
      <c r="X287" s="5">
        <v>2030</v>
      </c>
      <c r="Y287" s="17">
        <v>154.47</v>
      </c>
      <c r="Z287" s="17">
        <v>105.04</v>
      </c>
      <c r="AA287" s="5">
        <v>2030</v>
      </c>
      <c r="AB287" s="17">
        <v>312.5</v>
      </c>
      <c r="AC287" s="5">
        <v>2030</v>
      </c>
      <c r="AD287" s="5" t="s">
        <v>2384</v>
      </c>
      <c r="AE287" s="17"/>
      <c r="AF287" s="17"/>
      <c r="AG287" s="17">
        <v>20.917799248350576</v>
      </c>
      <c r="AH287" s="17"/>
      <c r="AI287" s="9" t="s">
        <v>166</v>
      </c>
      <c r="AJ287" s="5" t="s">
        <v>292</v>
      </c>
      <c r="AK287" s="5">
        <v>1</v>
      </c>
      <c r="AL287" s="9" t="s">
        <v>2385</v>
      </c>
      <c r="AM287" s="9" t="s">
        <v>2386</v>
      </c>
      <c r="AN287" s="5">
        <v>2027</v>
      </c>
      <c r="AO287" s="17">
        <v>606</v>
      </c>
      <c r="AP287" s="5">
        <v>2030</v>
      </c>
      <c r="AQ287" s="17">
        <v>1090</v>
      </c>
      <c r="AR287" s="5" t="s">
        <v>86</v>
      </c>
      <c r="AS287" s="17">
        <v>21.6</v>
      </c>
      <c r="AT287" s="5">
        <v>2027</v>
      </c>
      <c r="AU287" s="17">
        <v>500</v>
      </c>
      <c r="AV287" s="5">
        <v>2030</v>
      </c>
      <c r="AW287" s="17">
        <v>598</v>
      </c>
      <c r="AX287" s="5" t="s">
        <v>86</v>
      </c>
      <c r="AY287" s="17">
        <v>6.2</v>
      </c>
      <c r="AZ287" s="5">
        <v>2027</v>
      </c>
      <c r="BA287" s="17"/>
      <c r="BB287" s="5">
        <v>2030</v>
      </c>
      <c r="BC287" s="17"/>
      <c r="BD287" s="5" t="s">
        <v>86</v>
      </c>
      <c r="BE287" s="17">
        <v>4.5</v>
      </c>
      <c r="BF287" s="5">
        <v>2027</v>
      </c>
      <c r="BG287" s="17">
        <v>176</v>
      </c>
      <c r="BH287" s="5">
        <v>2030</v>
      </c>
      <c r="BI287" s="17">
        <v>256</v>
      </c>
      <c r="BJ287" s="5" t="s">
        <v>87</v>
      </c>
      <c r="BK287" s="9"/>
      <c r="BL287" s="9" t="str">
        <f>HYPERLINK("https://seichotoushi-hojo.jp/assets/pdf/koufu_3_4ji/outline_94.pdf","PDFを開く")</f>
        <v>PDFを開く</v>
      </c>
      <c r="BM287" s="9" t="s">
        <v>2387</v>
      </c>
      <c r="BN287" s="9" t="s">
        <v>2388</v>
      </c>
      <c r="BO287" s="9" t="s">
        <v>90</v>
      </c>
      <c r="BP287" s="9" t="s">
        <v>90</v>
      </c>
      <c r="BQ287" s="9" t="s">
        <v>91</v>
      </c>
      <c r="BR287" s="9" t="s">
        <v>92</v>
      </c>
    </row>
    <row r="288" spans="1:70" ht="45.95" customHeight="1">
      <c r="A288" s="2" t="s">
        <v>2389</v>
      </c>
      <c r="B288" s="2" t="s">
        <v>1595</v>
      </c>
      <c r="C288" s="2" t="s">
        <v>2390</v>
      </c>
      <c r="D288" s="2" t="s">
        <v>2390</v>
      </c>
      <c r="E288" s="2" t="s">
        <v>95</v>
      </c>
      <c r="F288" s="2"/>
      <c r="G288" s="2">
        <v>2</v>
      </c>
      <c r="H288" s="2">
        <v>0</v>
      </c>
      <c r="I288" s="2">
        <v>1</v>
      </c>
      <c r="J288" s="2">
        <v>1</v>
      </c>
      <c r="K288" s="2">
        <v>0</v>
      </c>
      <c r="L288" s="16">
        <v>2600</v>
      </c>
      <c r="M288" s="16">
        <v>850</v>
      </c>
      <c r="N288" s="8" t="s">
        <v>2391</v>
      </c>
      <c r="O288" s="12">
        <f t="shared" si="4"/>
        <v>32.692307692307693</v>
      </c>
      <c r="P288" s="2">
        <v>2</v>
      </c>
      <c r="Q288" s="2" t="s">
        <v>77</v>
      </c>
      <c r="R288" s="8" t="s">
        <v>2391</v>
      </c>
      <c r="S288" s="8" t="s">
        <v>2392</v>
      </c>
      <c r="T288" s="8" t="s">
        <v>80</v>
      </c>
      <c r="U288" s="2" t="s">
        <v>81</v>
      </c>
      <c r="V288" s="2"/>
      <c r="W288" s="16"/>
      <c r="X288" s="2">
        <v>2031</v>
      </c>
      <c r="Y288" s="16"/>
      <c r="Z288" s="16">
        <v>36.6</v>
      </c>
      <c r="AA288" s="2">
        <v>2031</v>
      </c>
      <c r="AB288" s="16">
        <v>25</v>
      </c>
      <c r="AC288" s="2">
        <v>2031</v>
      </c>
      <c r="AD288" s="2" t="s">
        <v>82</v>
      </c>
      <c r="AE288" s="16"/>
      <c r="AF288" s="16"/>
      <c r="AG288" s="16"/>
      <c r="AH288" s="16"/>
      <c r="AI288" s="8" t="s">
        <v>83</v>
      </c>
      <c r="AJ288" s="2" t="s">
        <v>587</v>
      </c>
      <c r="AK288" s="2">
        <v>1</v>
      </c>
      <c r="AL288" s="8" t="s">
        <v>2393</v>
      </c>
      <c r="AM288" s="8"/>
      <c r="AN288" s="2">
        <v>2028</v>
      </c>
      <c r="AO288" s="16">
        <v>871</v>
      </c>
      <c r="AP288" s="2">
        <v>2031</v>
      </c>
      <c r="AQ288" s="16">
        <v>1546</v>
      </c>
      <c r="AR288" s="2" t="s">
        <v>86</v>
      </c>
      <c r="AS288" s="16">
        <v>21.1</v>
      </c>
      <c r="AT288" s="2">
        <v>2028</v>
      </c>
      <c r="AU288" s="16">
        <v>457</v>
      </c>
      <c r="AV288" s="2">
        <v>2031</v>
      </c>
      <c r="AW288" s="16">
        <v>560</v>
      </c>
      <c r="AX288" s="2" t="s">
        <v>86</v>
      </c>
      <c r="AY288" s="16">
        <v>7</v>
      </c>
      <c r="AZ288" s="2">
        <v>2028</v>
      </c>
      <c r="BA288" s="16"/>
      <c r="BB288" s="2">
        <v>2031</v>
      </c>
      <c r="BC288" s="16"/>
      <c r="BD288" s="2" t="s">
        <v>86</v>
      </c>
      <c r="BE288" s="16">
        <v>5</v>
      </c>
      <c r="BF288" s="2">
        <v>2028</v>
      </c>
      <c r="BG288" s="16">
        <v>92</v>
      </c>
      <c r="BH288" s="2">
        <v>2031</v>
      </c>
      <c r="BI288" s="16">
        <v>110</v>
      </c>
      <c r="BJ288" s="2" t="s">
        <v>87</v>
      </c>
      <c r="BK288" s="8"/>
      <c r="BL288" s="8" t="str">
        <f>HYPERLINK("https://seichotoushi-hojo.jp/assets/pdf/koufu_3_4ji/outline_95.pdf","PDFを開く")</f>
        <v>PDFを開く</v>
      </c>
      <c r="BM288" s="8" t="s">
        <v>2394</v>
      </c>
      <c r="BN288" s="8" t="s">
        <v>2395</v>
      </c>
      <c r="BO288" s="8" t="s">
        <v>90</v>
      </c>
      <c r="BP288" s="8" t="s">
        <v>90</v>
      </c>
      <c r="BQ288" s="8" t="s">
        <v>91</v>
      </c>
      <c r="BR288" s="8" t="s">
        <v>92</v>
      </c>
    </row>
    <row r="289" spans="1:70" ht="45.95" customHeight="1">
      <c r="A289" s="5" t="s">
        <v>2396</v>
      </c>
      <c r="B289" s="5" t="s">
        <v>1595</v>
      </c>
      <c r="C289" s="5" t="s">
        <v>2397</v>
      </c>
      <c r="D289" s="5" t="s">
        <v>2397</v>
      </c>
      <c r="E289" s="5" t="s">
        <v>75</v>
      </c>
      <c r="F289" s="5"/>
      <c r="G289" s="5">
        <v>3</v>
      </c>
      <c r="H289" s="5">
        <v>0</v>
      </c>
      <c r="I289" s="5">
        <v>1</v>
      </c>
      <c r="J289" s="5">
        <v>2</v>
      </c>
      <c r="K289" s="5">
        <v>0</v>
      </c>
      <c r="L289" s="17">
        <v>3600</v>
      </c>
      <c r="M289" s="17">
        <v>730</v>
      </c>
      <c r="N289" s="9" t="s">
        <v>2398</v>
      </c>
      <c r="O289" s="13">
        <f t="shared" si="4"/>
        <v>20.277777777777779</v>
      </c>
      <c r="P289" s="5">
        <v>2</v>
      </c>
      <c r="Q289" s="5" t="s">
        <v>77</v>
      </c>
      <c r="R289" s="9" t="s">
        <v>2399</v>
      </c>
      <c r="S289" s="9" t="s">
        <v>2400</v>
      </c>
      <c r="T289" s="9" t="s">
        <v>80</v>
      </c>
      <c r="U289" s="5" t="s">
        <v>81</v>
      </c>
      <c r="V289" s="5"/>
      <c r="W289" s="17"/>
      <c r="X289" s="5">
        <v>2029</v>
      </c>
      <c r="Y289" s="17"/>
      <c r="Z289" s="17">
        <v>52.67</v>
      </c>
      <c r="AA289" s="5">
        <v>2029</v>
      </c>
      <c r="AB289" s="17">
        <v>81.88</v>
      </c>
      <c r="AC289" s="5">
        <v>2029</v>
      </c>
      <c r="AD289" s="5" t="s">
        <v>82</v>
      </c>
      <c r="AE289" s="17"/>
      <c r="AF289" s="17"/>
      <c r="AG289" s="17"/>
      <c r="AH289" s="17"/>
      <c r="AI289" s="9" t="s">
        <v>83</v>
      </c>
      <c r="AJ289" s="5" t="s">
        <v>84</v>
      </c>
      <c r="AK289" s="5">
        <v>1</v>
      </c>
      <c r="AL289" s="9" t="s">
        <v>2401</v>
      </c>
      <c r="AM289" s="9"/>
      <c r="AN289" s="5">
        <v>2026</v>
      </c>
      <c r="AO289" s="17">
        <v>658</v>
      </c>
      <c r="AP289" s="5">
        <v>2029</v>
      </c>
      <c r="AQ289" s="17">
        <v>3206</v>
      </c>
      <c r="AR289" s="5" t="s">
        <v>86</v>
      </c>
      <c r="AS289" s="17">
        <v>69.5</v>
      </c>
      <c r="AT289" s="5">
        <v>2026</v>
      </c>
      <c r="AU289" s="17">
        <v>480</v>
      </c>
      <c r="AV289" s="5">
        <v>2029</v>
      </c>
      <c r="AW289" s="17">
        <v>607</v>
      </c>
      <c r="AX289" s="5" t="s">
        <v>86</v>
      </c>
      <c r="AY289" s="17">
        <v>8.1</v>
      </c>
      <c r="AZ289" s="5">
        <v>2026</v>
      </c>
      <c r="BA289" s="17"/>
      <c r="BB289" s="5">
        <v>2029</v>
      </c>
      <c r="BC289" s="17"/>
      <c r="BD289" s="5" t="s">
        <v>86</v>
      </c>
      <c r="BE289" s="17">
        <v>14.5</v>
      </c>
      <c r="BF289" s="5">
        <v>2026</v>
      </c>
      <c r="BG289" s="17">
        <v>0.4</v>
      </c>
      <c r="BH289" s="5">
        <v>2029</v>
      </c>
      <c r="BI289" s="17">
        <v>21</v>
      </c>
      <c r="BJ289" s="5" t="s">
        <v>87</v>
      </c>
      <c r="BK289" s="9"/>
      <c r="BL289" s="9" t="str">
        <f>HYPERLINK("https://seichotoushi-hojo.jp/assets/pdf/koufu_3_4ji/outline_96.pdf","PDFを開く")</f>
        <v>PDFを開く</v>
      </c>
      <c r="BM289" s="9" t="s">
        <v>2402</v>
      </c>
      <c r="BN289" s="9" t="s">
        <v>2403</v>
      </c>
      <c r="BO289" s="9" t="s">
        <v>90</v>
      </c>
      <c r="BP289" s="9" t="s">
        <v>90</v>
      </c>
      <c r="BQ289" s="9" t="s">
        <v>91</v>
      </c>
      <c r="BR289" s="9" t="s">
        <v>92</v>
      </c>
    </row>
    <row r="290" spans="1:70" ht="45.95" customHeight="1">
      <c r="A290" s="2" t="s">
        <v>2404</v>
      </c>
      <c r="B290" s="2" t="s">
        <v>1595</v>
      </c>
      <c r="C290" s="2" t="s">
        <v>2405</v>
      </c>
      <c r="D290" s="2" t="s">
        <v>2405</v>
      </c>
      <c r="E290" s="2" t="s">
        <v>186</v>
      </c>
      <c r="F290" s="2"/>
      <c r="G290" s="2">
        <v>2</v>
      </c>
      <c r="H290" s="2">
        <v>0</v>
      </c>
      <c r="I290" s="2">
        <v>1</v>
      </c>
      <c r="J290" s="2">
        <v>1</v>
      </c>
      <c r="K290" s="2">
        <v>0</v>
      </c>
      <c r="L290" s="16">
        <v>2000</v>
      </c>
      <c r="M290" s="16">
        <v>470</v>
      </c>
      <c r="N290" s="8" t="s">
        <v>2406</v>
      </c>
      <c r="O290" s="12">
        <f t="shared" si="4"/>
        <v>23.5</v>
      </c>
      <c r="P290" s="2">
        <v>2</v>
      </c>
      <c r="Q290" s="2" t="s">
        <v>77</v>
      </c>
      <c r="R290" s="8" t="s">
        <v>2407</v>
      </c>
      <c r="S290" s="8" t="s">
        <v>2408</v>
      </c>
      <c r="T290" s="8" t="s">
        <v>80</v>
      </c>
      <c r="U290" s="2" t="s">
        <v>81</v>
      </c>
      <c r="V290" s="2">
        <v>2024</v>
      </c>
      <c r="W290" s="16"/>
      <c r="X290" s="2">
        <v>2030</v>
      </c>
      <c r="Y290" s="16"/>
      <c r="Z290" s="16">
        <v>129</v>
      </c>
      <c r="AA290" s="2">
        <v>2030</v>
      </c>
      <c r="AB290" s="16">
        <v>214</v>
      </c>
      <c r="AC290" s="2">
        <v>2030</v>
      </c>
      <c r="AD290" s="2" t="s">
        <v>82</v>
      </c>
      <c r="AE290" s="16"/>
      <c r="AF290" s="16"/>
      <c r="AG290" s="16"/>
      <c r="AH290" s="16"/>
      <c r="AI290" s="8" t="s">
        <v>83</v>
      </c>
      <c r="AJ290" s="2" t="s">
        <v>84</v>
      </c>
      <c r="AK290" s="2">
        <v>1</v>
      </c>
      <c r="AL290" s="8" t="s">
        <v>2409</v>
      </c>
      <c r="AM290" s="8"/>
      <c r="AN290" s="2">
        <v>2027</v>
      </c>
      <c r="AO290" s="16">
        <v>1265</v>
      </c>
      <c r="AP290" s="2">
        <v>2030</v>
      </c>
      <c r="AQ290" s="16">
        <v>3099</v>
      </c>
      <c r="AR290" s="2" t="s">
        <v>86</v>
      </c>
      <c r="AS290" s="16">
        <v>34.799999999999997</v>
      </c>
      <c r="AT290" s="2">
        <v>2027</v>
      </c>
      <c r="AU290" s="16">
        <v>617</v>
      </c>
      <c r="AV290" s="2">
        <v>2030</v>
      </c>
      <c r="AW290" s="16">
        <v>727</v>
      </c>
      <c r="AX290" s="2" t="s">
        <v>86</v>
      </c>
      <c r="AY290" s="16">
        <v>5.6</v>
      </c>
      <c r="AZ290" s="2">
        <v>2027</v>
      </c>
      <c r="BA290" s="16"/>
      <c r="BB290" s="2">
        <v>2030</v>
      </c>
      <c r="BC290" s="16"/>
      <c r="BD290" s="2" t="s">
        <v>86</v>
      </c>
      <c r="BE290" s="16">
        <v>5</v>
      </c>
      <c r="BF290" s="2">
        <v>2027</v>
      </c>
      <c r="BG290" s="16">
        <v>86</v>
      </c>
      <c r="BH290" s="2">
        <v>2030</v>
      </c>
      <c r="BI290" s="16">
        <v>120</v>
      </c>
      <c r="BJ290" s="2" t="s">
        <v>87</v>
      </c>
      <c r="BK290" s="8"/>
      <c r="BL290" s="8" t="str">
        <f>HYPERLINK("https://seichotoushi-hojo.jp/assets/pdf/koufu_3_4ji/outline_97.pdf","PDFを開く")</f>
        <v>PDFを開く</v>
      </c>
      <c r="BM290" s="8" t="s">
        <v>2410</v>
      </c>
      <c r="BN290" s="8" t="s">
        <v>2411</v>
      </c>
      <c r="BO290" s="8" t="s">
        <v>90</v>
      </c>
      <c r="BP290" s="8" t="s">
        <v>90</v>
      </c>
      <c r="BQ290" s="8" t="s">
        <v>91</v>
      </c>
      <c r="BR290" s="8" t="s">
        <v>92</v>
      </c>
    </row>
    <row r="291" spans="1:70" ht="45.95" customHeight="1">
      <c r="A291" s="5" t="s">
        <v>2412</v>
      </c>
      <c r="B291" s="5" t="s">
        <v>1595</v>
      </c>
      <c r="C291" s="5" t="s">
        <v>2413</v>
      </c>
      <c r="D291" s="5" t="s">
        <v>2413</v>
      </c>
      <c r="E291" s="5" t="s">
        <v>95</v>
      </c>
      <c r="F291" s="5"/>
      <c r="G291" s="5">
        <v>2</v>
      </c>
      <c r="H291" s="5">
        <v>0</v>
      </c>
      <c r="I291" s="5">
        <v>1</v>
      </c>
      <c r="J291" s="5">
        <v>1</v>
      </c>
      <c r="K291" s="5">
        <v>0</v>
      </c>
      <c r="L291" s="17">
        <v>3000</v>
      </c>
      <c r="M291" s="17">
        <v>710</v>
      </c>
      <c r="N291" s="9" t="s">
        <v>2414</v>
      </c>
      <c r="O291" s="13">
        <f t="shared" si="4"/>
        <v>23.666666666666668</v>
      </c>
      <c r="P291" s="5">
        <v>2</v>
      </c>
      <c r="Q291" s="5" t="s">
        <v>77</v>
      </c>
      <c r="R291" s="9" t="s">
        <v>2415</v>
      </c>
      <c r="S291" s="9" t="s">
        <v>2416</v>
      </c>
      <c r="T291" s="9" t="s">
        <v>80</v>
      </c>
      <c r="U291" s="5" t="s">
        <v>81</v>
      </c>
      <c r="V291" s="5"/>
      <c r="W291" s="17"/>
      <c r="X291" s="5">
        <v>2029</v>
      </c>
      <c r="Y291" s="17"/>
      <c r="Z291" s="17">
        <v>167</v>
      </c>
      <c r="AA291" s="5">
        <v>2029</v>
      </c>
      <c r="AB291" s="17">
        <v>169</v>
      </c>
      <c r="AC291" s="5">
        <v>2029</v>
      </c>
      <c r="AD291" s="5" t="s">
        <v>82</v>
      </c>
      <c r="AE291" s="17"/>
      <c r="AF291" s="17"/>
      <c r="AG291" s="17"/>
      <c r="AH291" s="17"/>
      <c r="AI291" s="9" t="s">
        <v>83</v>
      </c>
      <c r="AJ291" s="5" t="s">
        <v>84</v>
      </c>
      <c r="AK291" s="5">
        <v>1</v>
      </c>
      <c r="AL291" s="9" t="s">
        <v>2417</v>
      </c>
      <c r="AM291" s="9"/>
      <c r="AN291" s="5">
        <v>2026</v>
      </c>
      <c r="AO291" s="17">
        <v>862</v>
      </c>
      <c r="AP291" s="5">
        <v>2029</v>
      </c>
      <c r="AQ291" s="17">
        <v>1281</v>
      </c>
      <c r="AR291" s="5" t="s">
        <v>86</v>
      </c>
      <c r="AS291" s="17">
        <v>14.1</v>
      </c>
      <c r="AT291" s="5">
        <v>2026</v>
      </c>
      <c r="AU291" s="17">
        <v>565</v>
      </c>
      <c r="AV291" s="5">
        <v>2029</v>
      </c>
      <c r="AW291" s="17">
        <v>663</v>
      </c>
      <c r="AX291" s="5" t="s">
        <v>86</v>
      </c>
      <c r="AY291" s="17">
        <v>5.5</v>
      </c>
      <c r="AZ291" s="5"/>
      <c r="BA291" s="17"/>
      <c r="BB291" s="5"/>
      <c r="BC291" s="17"/>
      <c r="BD291" s="5"/>
      <c r="BE291" s="17"/>
      <c r="BF291" s="5">
        <v>2026</v>
      </c>
      <c r="BG291" s="17">
        <v>753</v>
      </c>
      <c r="BH291" s="5">
        <v>2029</v>
      </c>
      <c r="BI291" s="17">
        <v>780</v>
      </c>
      <c r="BJ291" s="5" t="s">
        <v>87</v>
      </c>
      <c r="BK291" s="9"/>
      <c r="BL291" s="9" t="str">
        <f>HYPERLINK("https://seichotoushi-hojo.jp/assets/pdf/koufu_3_4ji/outline_98.pdf","PDFを開く")</f>
        <v>PDFを開く</v>
      </c>
      <c r="BM291" s="9" t="s">
        <v>2418</v>
      </c>
      <c r="BN291" s="9" t="s">
        <v>2419</v>
      </c>
      <c r="BO291" s="9" t="s">
        <v>90</v>
      </c>
      <c r="BP291" s="9" t="s">
        <v>90</v>
      </c>
      <c r="BQ291" s="9" t="s">
        <v>156</v>
      </c>
      <c r="BR291" s="9" t="s">
        <v>92</v>
      </c>
    </row>
    <row r="292" spans="1:70" ht="45.95" customHeight="1">
      <c r="A292" s="2" t="s">
        <v>2420</v>
      </c>
      <c r="B292" s="2" t="s">
        <v>1595</v>
      </c>
      <c r="C292" s="2" t="s">
        <v>2421</v>
      </c>
      <c r="D292" s="2" t="s">
        <v>2421</v>
      </c>
      <c r="E292" s="2" t="s">
        <v>75</v>
      </c>
      <c r="F292" s="2" t="s">
        <v>2422</v>
      </c>
      <c r="G292" s="2">
        <v>5</v>
      </c>
      <c r="H292" s="2">
        <v>0</v>
      </c>
      <c r="I292" s="2">
        <v>3</v>
      </c>
      <c r="J292" s="2">
        <v>2</v>
      </c>
      <c r="K292" s="2">
        <v>0</v>
      </c>
      <c r="L292" s="16">
        <v>10400</v>
      </c>
      <c r="M292" s="16">
        <v>3400</v>
      </c>
      <c r="N292" s="8" t="s">
        <v>2423</v>
      </c>
      <c r="O292" s="12">
        <f t="shared" si="4"/>
        <v>32.692307692307693</v>
      </c>
      <c r="P292" s="2">
        <v>4</v>
      </c>
      <c r="Q292" s="2" t="s">
        <v>77</v>
      </c>
      <c r="R292" s="8" t="s">
        <v>2423</v>
      </c>
      <c r="S292" s="8" t="s">
        <v>2424</v>
      </c>
      <c r="T292" s="8" t="s">
        <v>80</v>
      </c>
      <c r="U292" s="2" t="s">
        <v>81</v>
      </c>
      <c r="V292" s="2"/>
      <c r="W292" s="16"/>
      <c r="X292" s="2">
        <v>2030</v>
      </c>
      <c r="Y292" s="16"/>
      <c r="Z292" s="16">
        <v>135</v>
      </c>
      <c r="AA292" s="2">
        <v>2030</v>
      </c>
      <c r="AB292" s="16">
        <v>84</v>
      </c>
      <c r="AC292" s="2">
        <v>2030</v>
      </c>
      <c r="AD292" s="2" t="s">
        <v>82</v>
      </c>
      <c r="AE292" s="16"/>
      <c r="AF292" s="16"/>
      <c r="AG292" s="16"/>
      <c r="AH292" s="16"/>
      <c r="AI292" s="8" t="s">
        <v>83</v>
      </c>
      <c r="AJ292" s="2" t="s">
        <v>84</v>
      </c>
      <c r="AK292" s="2">
        <v>2</v>
      </c>
      <c r="AL292" s="8" t="s">
        <v>2425</v>
      </c>
      <c r="AM292" s="8"/>
      <c r="AN292" s="2">
        <v>2027</v>
      </c>
      <c r="AO292" s="16">
        <v>1261</v>
      </c>
      <c r="AP292" s="2">
        <v>2030</v>
      </c>
      <c r="AQ292" s="16">
        <v>1383</v>
      </c>
      <c r="AR292" s="2" t="s">
        <v>86</v>
      </c>
      <c r="AS292" s="16">
        <v>3.1</v>
      </c>
      <c r="AT292" s="2">
        <v>2027</v>
      </c>
      <c r="AU292" s="16">
        <v>523</v>
      </c>
      <c r="AV292" s="2">
        <v>2030</v>
      </c>
      <c r="AW292" s="16">
        <v>606</v>
      </c>
      <c r="AX292" s="2" t="s">
        <v>86</v>
      </c>
      <c r="AY292" s="16">
        <v>5</v>
      </c>
      <c r="AZ292" s="2">
        <v>2027</v>
      </c>
      <c r="BA292" s="16"/>
      <c r="BB292" s="2">
        <v>2030</v>
      </c>
      <c r="BC292" s="16"/>
      <c r="BD292" s="2" t="s">
        <v>86</v>
      </c>
      <c r="BE292" s="16"/>
      <c r="BF292" s="2">
        <v>2027</v>
      </c>
      <c r="BG292" s="16">
        <v>84</v>
      </c>
      <c r="BH292" s="2">
        <v>2030</v>
      </c>
      <c r="BI292" s="16">
        <v>112</v>
      </c>
      <c r="BJ292" s="2" t="s">
        <v>87</v>
      </c>
      <c r="BK292" s="8"/>
      <c r="BL292" s="8" t="str">
        <f>HYPERLINK("https://seichotoushi-hojo.jp/assets/pdf/koufu_3_4ji/outline_99.pdf","PDFを開く")</f>
        <v>PDFを開く</v>
      </c>
      <c r="BM292" s="8" t="s">
        <v>2426</v>
      </c>
      <c r="BN292" s="8" t="s">
        <v>2427</v>
      </c>
      <c r="BO292" s="8" t="s">
        <v>166</v>
      </c>
      <c r="BP292" s="8" t="s">
        <v>166</v>
      </c>
      <c r="BQ292" s="8" t="s">
        <v>2428</v>
      </c>
      <c r="BR292" s="8" t="s">
        <v>166</v>
      </c>
    </row>
    <row r="293" spans="1:70" ht="45.95" customHeight="1">
      <c r="A293" s="5" t="s">
        <v>2429</v>
      </c>
      <c r="B293" s="5" t="s">
        <v>2430</v>
      </c>
      <c r="C293" s="5" t="s">
        <v>2431</v>
      </c>
      <c r="D293" s="5" t="s">
        <v>2431</v>
      </c>
      <c r="E293" s="5" t="s">
        <v>75</v>
      </c>
      <c r="F293" s="5"/>
      <c r="G293" s="5">
        <v>2</v>
      </c>
      <c r="H293" s="5">
        <v>0</v>
      </c>
      <c r="I293" s="5">
        <v>1</v>
      </c>
      <c r="J293" s="5">
        <v>1</v>
      </c>
      <c r="K293" s="5">
        <v>0</v>
      </c>
      <c r="L293" s="17">
        <v>1736</v>
      </c>
      <c r="M293" s="17">
        <v>409</v>
      </c>
      <c r="N293" s="9" t="s">
        <v>2432</v>
      </c>
      <c r="O293" s="13">
        <f t="shared" si="4"/>
        <v>23.559907834101381</v>
      </c>
      <c r="P293" s="5">
        <v>2</v>
      </c>
      <c r="Q293" s="5" t="s">
        <v>77</v>
      </c>
      <c r="R293" s="9" t="s">
        <v>2432</v>
      </c>
      <c r="S293" s="9" t="s">
        <v>2433</v>
      </c>
      <c r="T293" s="9" t="s">
        <v>80</v>
      </c>
      <c r="U293" s="5" t="s">
        <v>81</v>
      </c>
      <c r="V293" s="5"/>
      <c r="W293" s="17"/>
      <c r="X293" s="5">
        <v>2030</v>
      </c>
      <c r="Y293" s="17"/>
      <c r="Z293" s="17">
        <v>78.33</v>
      </c>
      <c r="AA293" s="5">
        <v>2030</v>
      </c>
      <c r="AB293" s="17">
        <v>14.3</v>
      </c>
      <c r="AC293" s="5">
        <v>2030</v>
      </c>
      <c r="AD293" s="5" t="s">
        <v>210</v>
      </c>
      <c r="AE293" s="17"/>
      <c r="AF293" s="17"/>
      <c r="AG293" s="17"/>
      <c r="AH293" s="17"/>
      <c r="AI293" s="9" t="s">
        <v>83</v>
      </c>
      <c r="AJ293" s="5" t="s">
        <v>84</v>
      </c>
      <c r="AK293" s="5">
        <v>1</v>
      </c>
      <c r="AL293" s="9" t="s">
        <v>2434</v>
      </c>
      <c r="AM293" s="9"/>
      <c r="AN293" s="5">
        <v>2028</v>
      </c>
      <c r="AO293" s="17">
        <v>15513</v>
      </c>
      <c r="AP293" s="5">
        <v>2031</v>
      </c>
      <c r="AQ293" s="17">
        <v>29768</v>
      </c>
      <c r="AR293" s="5" t="s">
        <v>447</v>
      </c>
      <c r="AS293" s="17">
        <v>24.3</v>
      </c>
      <c r="AT293" s="5">
        <v>2028</v>
      </c>
      <c r="AU293" s="17">
        <v>3813</v>
      </c>
      <c r="AV293" s="5">
        <v>2031</v>
      </c>
      <c r="AW293" s="17">
        <v>4606</v>
      </c>
      <c r="AX293" s="5" t="s">
        <v>447</v>
      </c>
      <c r="AY293" s="17">
        <v>6.5</v>
      </c>
      <c r="AZ293" s="5">
        <v>2028</v>
      </c>
      <c r="BA293" s="17"/>
      <c r="BB293" s="5">
        <v>2031</v>
      </c>
      <c r="BC293" s="17"/>
      <c r="BD293" s="5" t="s">
        <v>447</v>
      </c>
      <c r="BE293" s="17">
        <v>6.5</v>
      </c>
      <c r="BF293" s="5">
        <v>2028</v>
      </c>
      <c r="BG293" s="17">
        <v>55</v>
      </c>
      <c r="BH293" s="5">
        <v>2031</v>
      </c>
      <c r="BI293" s="17">
        <v>75</v>
      </c>
      <c r="BJ293" s="5" t="s">
        <v>87</v>
      </c>
      <c r="BK293" s="9"/>
      <c r="BL293" s="9" t="str">
        <f>HYPERLINK("https://seichotoushi-hojo.jp/assets/pdf/koufu_3_4ji/outline_113.pdf","PDFを開く")</f>
        <v>PDFを開く</v>
      </c>
      <c r="BM293" s="9" t="s">
        <v>2435</v>
      </c>
      <c r="BN293" s="9" t="s">
        <v>2436</v>
      </c>
      <c r="BO293" s="9" t="s">
        <v>90</v>
      </c>
      <c r="BP293" s="9" t="s">
        <v>90</v>
      </c>
      <c r="BQ293" s="9" t="s">
        <v>91</v>
      </c>
      <c r="BR293" s="9" t="s">
        <v>92</v>
      </c>
    </row>
    <row r="294" spans="1:70" ht="45.95" customHeight="1">
      <c r="A294" s="2" t="s">
        <v>2437</v>
      </c>
      <c r="B294" s="2" t="s">
        <v>2430</v>
      </c>
      <c r="C294" s="2" t="s">
        <v>2438</v>
      </c>
      <c r="D294" s="2" t="s">
        <v>2438</v>
      </c>
      <c r="E294" s="2" t="s">
        <v>186</v>
      </c>
      <c r="F294" s="2"/>
      <c r="G294" s="2">
        <v>2</v>
      </c>
      <c r="H294" s="2">
        <v>0</v>
      </c>
      <c r="I294" s="2">
        <v>1</v>
      </c>
      <c r="J294" s="2">
        <v>1</v>
      </c>
      <c r="K294" s="2">
        <v>0</v>
      </c>
      <c r="L294" s="16">
        <v>1684</v>
      </c>
      <c r="M294" s="16">
        <v>392</v>
      </c>
      <c r="N294" s="8" t="s">
        <v>2439</v>
      </c>
      <c r="O294" s="12">
        <f t="shared" si="4"/>
        <v>23.277909738717341</v>
      </c>
      <c r="P294" s="2">
        <v>2</v>
      </c>
      <c r="Q294" s="2" t="s">
        <v>77</v>
      </c>
      <c r="R294" s="8" t="s">
        <v>2439</v>
      </c>
      <c r="S294" s="8" t="s">
        <v>2440</v>
      </c>
      <c r="T294" s="8" t="s">
        <v>80</v>
      </c>
      <c r="U294" s="2" t="s">
        <v>81</v>
      </c>
      <c r="V294" s="2"/>
      <c r="W294" s="16"/>
      <c r="X294" s="2">
        <v>2030</v>
      </c>
      <c r="Y294" s="16"/>
      <c r="Z294" s="16">
        <v>37.06</v>
      </c>
      <c r="AA294" s="2">
        <v>2030</v>
      </c>
      <c r="AB294" s="16">
        <v>10.02</v>
      </c>
      <c r="AC294" s="2">
        <v>2030</v>
      </c>
      <c r="AD294" s="2" t="s">
        <v>210</v>
      </c>
      <c r="AE294" s="16"/>
      <c r="AF294" s="16"/>
      <c r="AG294" s="16"/>
      <c r="AH294" s="16"/>
      <c r="AI294" s="8" t="s">
        <v>83</v>
      </c>
      <c r="AJ294" s="2" t="s">
        <v>84</v>
      </c>
      <c r="AK294" s="2">
        <v>1</v>
      </c>
      <c r="AL294" s="8" t="s">
        <v>2441</v>
      </c>
      <c r="AM294" s="8"/>
      <c r="AN294" s="2"/>
      <c r="AO294" s="16">
        <v>11310</v>
      </c>
      <c r="AP294" s="2"/>
      <c r="AQ294" s="16">
        <v>14984</v>
      </c>
      <c r="AR294" s="2" t="s">
        <v>447</v>
      </c>
      <c r="AS294" s="16">
        <v>9.8000000000000007</v>
      </c>
      <c r="AT294" s="2"/>
      <c r="AU294" s="16">
        <v>6042</v>
      </c>
      <c r="AV294" s="2"/>
      <c r="AW294" s="16">
        <v>7847</v>
      </c>
      <c r="AX294" s="2" t="s">
        <v>447</v>
      </c>
      <c r="AY294" s="16">
        <v>9.1</v>
      </c>
      <c r="AZ294" s="2"/>
      <c r="BA294" s="16"/>
      <c r="BB294" s="2"/>
      <c r="BC294" s="16"/>
      <c r="BD294" s="2" t="s">
        <v>447</v>
      </c>
      <c r="BE294" s="16">
        <v>4.5</v>
      </c>
      <c r="BF294" s="2"/>
      <c r="BG294" s="16">
        <v>159</v>
      </c>
      <c r="BH294" s="2"/>
      <c r="BI294" s="16">
        <v>164</v>
      </c>
      <c r="BJ294" s="2" t="s">
        <v>87</v>
      </c>
      <c r="BK294" s="8"/>
      <c r="BL294" s="8" t="str">
        <f>HYPERLINK("https://seichotoushi-hojo.jp/assets/pdf/koufu_3_4ji/outline_115.pdf","PDFを開く")</f>
        <v>PDFを開く</v>
      </c>
      <c r="BM294" s="8" t="s">
        <v>2442</v>
      </c>
      <c r="BN294" s="8" t="s">
        <v>2443</v>
      </c>
      <c r="BO294" s="8" t="s">
        <v>90</v>
      </c>
      <c r="BP294" s="8" t="s">
        <v>90</v>
      </c>
      <c r="BQ294" s="8" t="s">
        <v>91</v>
      </c>
      <c r="BR294" s="8" t="s">
        <v>92</v>
      </c>
    </row>
    <row r="295" spans="1:70" ht="45.95" customHeight="1">
      <c r="A295" s="5" t="s">
        <v>2444</v>
      </c>
      <c r="B295" s="5" t="s">
        <v>2430</v>
      </c>
      <c r="C295" s="5" t="s">
        <v>2445</v>
      </c>
      <c r="D295" s="5" t="s">
        <v>2445</v>
      </c>
      <c r="E295" s="5" t="s">
        <v>95</v>
      </c>
      <c r="F295" s="5"/>
      <c r="G295" s="5">
        <v>3</v>
      </c>
      <c r="H295" s="5">
        <v>0</v>
      </c>
      <c r="I295" s="5">
        <v>1</v>
      </c>
      <c r="J295" s="5">
        <v>2</v>
      </c>
      <c r="K295" s="5">
        <v>0</v>
      </c>
      <c r="L295" s="17">
        <v>2094</v>
      </c>
      <c r="M295" s="17">
        <v>670</v>
      </c>
      <c r="N295" s="9" t="s">
        <v>2446</v>
      </c>
      <c r="O295" s="13">
        <f t="shared" si="4"/>
        <v>31.996179560649473</v>
      </c>
      <c r="P295" s="5">
        <v>2</v>
      </c>
      <c r="Q295" s="5" t="s">
        <v>77</v>
      </c>
      <c r="R295" s="9" t="s">
        <v>2446</v>
      </c>
      <c r="S295" s="9" t="s">
        <v>2447</v>
      </c>
      <c r="T295" s="9" t="s">
        <v>80</v>
      </c>
      <c r="U295" s="5" t="s">
        <v>81</v>
      </c>
      <c r="V295" s="5">
        <v>2024</v>
      </c>
      <c r="W295" s="17"/>
      <c r="X295" s="5">
        <v>2030</v>
      </c>
      <c r="Y295" s="17"/>
      <c r="Z295" s="17">
        <v>73.2</v>
      </c>
      <c r="AA295" s="5">
        <v>2030</v>
      </c>
      <c r="AB295" s="17">
        <v>31.3</v>
      </c>
      <c r="AC295" s="5">
        <v>2030</v>
      </c>
      <c r="AD295" s="5" t="s">
        <v>82</v>
      </c>
      <c r="AE295" s="17"/>
      <c r="AF295" s="17"/>
      <c r="AG295" s="17"/>
      <c r="AH295" s="17"/>
      <c r="AI295" s="9" t="s">
        <v>83</v>
      </c>
      <c r="AJ295" s="5" t="s">
        <v>84</v>
      </c>
      <c r="AK295" s="5">
        <v>1</v>
      </c>
      <c r="AL295" s="9" t="s">
        <v>2448</v>
      </c>
      <c r="AM295" s="9"/>
      <c r="AN295" s="5"/>
      <c r="AO295" s="17">
        <v>31158</v>
      </c>
      <c r="AP295" s="5"/>
      <c r="AQ295" s="17">
        <v>41836</v>
      </c>
      <c r="AR295" s="5" t="s">
        <v>86</v>
      </c>
      <c r="AS295" s="17">
        <v>10.3</v>
      </c>
      <c r="AT295" s="5"/>
      <c r="AU295" s="17">
        <v>4808</v>
      </c>
      <c r="AV295" s="5"/>
      <c r="AW295" s="17">
        <v>5906</v>
      </c>
      <c r="AX295" s="5" t="s">
        <v>86</v>
      </c>
      <c r="AY295" s="17">
        <v>7.1</v>
      </c>
      <c r="AZ295" s="5"/>
      <c r="BA295" s="17">
        <v>12515</v>
      </c>
      <c r="BB295" s="5"/>
      <c r="BC295" s="17">
        <v>14613</v>
      </c>
      <c r="BD295" s="5" t="s">
        <v>86</v>
      </c>
      <c r="BE295" s="17">
        <v>5.3</v>
      </c>
      <c r="BF295" s="5"/>
      <c r="BG295" s="17">
        <v>50</v>
      </c>
      <c r="BH295" s="5"/>
      <c r="BI295" s="17">
        <v>56</v>
      </c>
      <c r="BJ295" s="5" t="s">
        <v>87</v>
      </c>
      <c r="BK295" s="9"/>
      <c r="BL295" s="9" t="str">
        <f>HYPERLINK("https://seichotoushi-hojo.jp/assets/pdf/koufu_3_4ji/outline_116.pdf","PDFを開く")</f>
        <v>PDFを開く</v>
      </c>
      <c r="BM295" s="9" t="s">
        <v>2449</v>
      </c>
      <c r="BN295" s="9" t="s">
        <v>2450</v>
      </c>
      <c r="BO295" s="9" t="s">
        <v>166</v>
      </c>
      <c r="BP295" s="9" t="s">
        <v>166</v>
      </c>
      <c r="BQ295" s="9" t="s">
        <v>166</v>
      </c>
      <c r="BR295" s="9" t="s">
        <v>166</v>
      </c>
    </row>
    <row r="296" spans="1:70" ht="45.95" customHeight="1">
      <c r="A296" s="2" t="s">
        <v>2451</v>
      </c>
      <c r="B296" s="2" t="s">
        <v>2430</v>
      </c>
      <c r="C296" s="2" t="s">
        <v>2452</v>
      </c>
      <c r="D296" s="2" t="s">
        <v>2452</v>
      </c>
      <c r="E296" s="2" t="s">
        <v>75</v>
      </c>
      <c r="F296" s="2"/>
      <c r="G296" s="2">
        <v>2</v>
      </c>
      <c r="H296" s="2">
        <v>0</v>
      </c>
      <c r="I296" s="2">
        <v>1</v>
      </c>
      <c r="J296" s="2">
        <v>1</v>
      </c>
      <c r="K296" s="2">
        <v>0</v>
      </c>
      <c r="L296" s="16">
        <v>4380</v>
      </c>
      <c r="M296" s="16">
        <v>1360</v>
      </c>
      <c r="N296" s="8" t="s">
        <v>2453</v>
      </c>
      <c r="O296" s="12">
        <f t="shared" si="4"/>
        <v>31.05022831050228</v>
      </c>
      <c r="P296" s="2">
        <v>2</v>
      </c>
      <c r="Q296" s="2" t="s">
        <v>77</v>
      </c>
      <c r="R296" s="8" t="s">
        <v>2454</v>
      </c>
      <c r="S296" s="8" t="s">
        <v>2455</v>
      </c>
      <c r="T296" s="8" t="s">
        <v>80</v>
      </c>
      <c r="U296" s="2" t="s">
        <v>81</v>
      </c>
      <c r="V296" s="2"/>
      <c r="W296" s="16"/>
      <c r="X296" s="2">
        <v>2030</v>
      </c>
      <c r="Y296" s="16"/>
      <c r="Z296" s="16">
        <v>71.3</v>
      </c>
      <c r="AA296" s="2">
        <v>2030</v>
      </c>
      <c r="AB296" s="16">
        <v>282.8</v>
      </c>
      <c r="AC296" s="2">
        <v>2030</v>
      </c>
      <c r="AD296" s="2" t="s">
        <v>210</v>
      </c>
      <c r="AE296" s="16"/>
      <c r="AF296" s="16"/>
      <c r="AG296" s="16"/>
      <c r="AH296" s="16"/>
      <c r="AI296" s="8" t="s">
        <v>83</v>
      </c>
      <c r="AJ296" s="2" t="s">
        <v>84</v>
      </c>
      <c r="AK296" s="2">
        <v>1</v>
      </c>
      <c r="AL296" s="8" t="s">
        <v>2456</v>
      </c>
      <c r="AM296" s="8"/>
      <c r="AN296" s="2"/>
      <c r="AO296" s="16">
        <v>18038</v>
      </c>
      <c r="AP296" s="2"/>
      <c r="AQ296" s="16">
        <v>44423</v>
      </c>
      <c r="AR296" s="2" t="s">
        <v>447</v>
      </c>
      <c r="AS296" s="16">
        <v>35</v>
      </c>
      <c r="AT296" s="2"/>
      <c r="AU296" s="16">
        <v>5967</v>
      </c>
      <c r="AV296" s="2"/>
      <c r="AW296" s="16">
        <v>7758</v>
      </c>
      <c r="AX296" s="2" t="s">
        <v>447</v>
      </c>
      <c r="AY296" s="16">
        <v>9.1</v>
      </c>
      <c r="AZ296" s="2"/>
      <c r="BA296" s="16"/>
      <c r="BB296" s="2"/>
      <c r="BC296" s="16"/>
      <c r="BD296" s="2" t="s">
        <v>447</v>
      </c>
      <c r="BE296" s="16">
        <v>7</v>
      </c>
      <c r="BF296" s="2"/>
      <c r="BG296" s="16">
        <v>60</v>
      </c>
      <c r="BH296" s="2"/>
      <c r="BI296" s="16">
        <v>76</v>
      </c>
      <c r="BJ296" s="2" t="s">
        <v>87</v>
      </c>
      <c r="BK296" s="8"/>
      <c r="BL296" s="8" t="str">
        <f>HYPERLINK("https://seichotoushi-hojo.jp/assets/pdf/koufu_3_4ji/outline_117.pdf","PDFを開く")</f>
        <v>PDFを開く</v>
      </c>
      <c r="BM296" s="8" t="s">
        <v>2457</v>
      </c>
      <c r="BN296" s="8" t="s">
        <v>2458</v>
      </c>
      <c r="BO296" s="8" t="s">
        <v>90</v>
      </c>
      <c r="BP296" s="8" t="s">
        <v>90</v>
      </c>
      <c r="BQ296" s="8" t="s">
        <v>91</v>
      </c>
      <c r="BR296" s="8" t="s">
        <v>92</v>
      </c>
    </row>
    <row r="297" spans="1:70" ht="45.95" customHeight="1">
      <c r="A297" s="5" t="s">
        <v>2459</v>
      </c>
      <c r="B297" s="5" t="s">
        <v>2430</v>
      </c>
      <c r="C297" s="5" t="s">
        <v>2460</v>
      </c>
      <c r="D297" s="5" t="s">
        <v>2460</v>
      </c>
      <c r="E297" s="5" t="s">
        <v>186</v>
      </c>
      <c r="F297" s="5"/>
      <c r="G297" s="5">
        <v>2</v>
      </c>
      <c r="H297" s="5">
        <v>0</v>
      </c>
      <c r="I297" s="5">
        <v>1</v>
      </c>
      <c r="J297" s="5">
        <v>1</v>
      </c>
      <c r="K297" s="5">
        <v>0</v>
      </c>
      <c r="L297" s="17">
        <v>5191</v>
      </c>
      <c r="M297" s="17">
        <v>1134</v>
      </c>
      <c r="N297" s="9" t="s">
        <v>2461</v>
      </c>
      <c r="O297" s="13">
        <f t="shared" si="4"/>
        <v>21.845501830090541</v>
      </c>
      <c r="P297" s="5">
        <v>2</v>
      </c>
      <c r="Q297" s="5" t="s">
        <v>77</v>
      </c>
      <c r="R297" s="9" t="s">
        <v>2462</v>
      </c>
      <c r="S297" s="9" t="s">
        <v>2463</v>
      </c>
      <c r="T297" s="9" t="s">
        <v>80</v>
      </c>
      <c r="U297" s="5" t="s">
        <v>81</v>
      </c>
      <c r="V297" s="5"/>
      <c r="W297" s="17"/>
      <c r="X297" s="5">
        <v>2031</v>
      </c>
      <c r="Y297" s="17"/>
      <c r="Z297" s="17">
        <v>246</v>
      </c>
      <c r="AA297" s="5">
        <v>2031</v>
      </c>
      <c r="AB297" s="17">
        <v>8.6</v>
      </c>
      <c r="AC297" s="5">
        <v>2031</v>
      </c>
      <c r="AD297" s="5" t="s">
        <v>210</v>
      </c>
      <c r="AE297" s="17"/>
      <c r="AF297" s="17"/>
      <c r="AG297" s="17"/>
      <c r="AH297" s="17"/>
      <c r="AI297" s="9" t="s">
        <v>83</v>
      </c>
      <c r="AJ297" s="5" t="s">
        <v>84</v>
      </c>
      <c r="AK297" s="5">
        <v>1</v>
      </c>
      <c r="AL297" s="9" t="s">
        <v>2464</v>
      </c>
      <c r="AM297" s="9"/>
      <c r="AN297" s="5"/>
      <c r="AO297" s="17">
        <v>14658</v>
      </c>
      <c r="AP297" s="5"/>
      <c r="AQ297" s="17">
        <v>28579</v>
      </c>
      <c r="AR297" s="5" t="s">
        <v>447</v>
      </c>
      <c r="AS297" s="17">
        <v>24.9</v>
      </c>
      <c r="AT297" s="5"/>
      <c r="AU297" s="17">
        <v>5313</v>
      </c>
      <c r="AV297" s="5"/>
      <c r="AW297" s="17">
        <v>6418</v>
      </c>
      <c r="AX297" s="5" t="s">
        <v>447</v>
      </c>
      <c r="AY297" s="17">
        <v>6.5</v>
      </c>
      <c r="AZ297" s="5"/>
      <c r="BA297" s="17"/>
      <c r="BB297" s="5"/>
      <c r="BC297" s="17"/>
      <c r="BD297" s="5" t="s">
        <v>447</v>
      </c>
      <c r="BE297" s="17">
        <v>5</v>
      </c>
      <c r="BF297" s="5"/>
      <c r="BG297" s="17">
        <v>176</v>
      </c>
      <c r="BH297" s="5"/>
      <c r="BI297" s="17">
        <v>214</v>
      </c>
      <c r="BJ297" s="5" t="s">
        <v>87</v>
      </c>
      <c r="BK297" s="9"/>
      <c r="BL297" s="9" t="str">
        <f>HYPERLINK("https://seichotoushi-hojo.jp/assets/pdf/koufu_3_4ji/outline_118.pdf","PDFを開く")</f>
        <v>PDFを開く</v>
      </c>
      <c r="BM297" s="9" t="s">
        <v>2465</v>
      </c>
      <c r="BN297" s="9" t="s">
        <v>2466</v>
      </c>
      <c r="BO297" s="9" t="s">
        <v>90</v>
      </c>
      <c r="BP297" s="9" t="s">
        <v>90</v>
      </c>
      <c r="BQ297" s="9" t="s">
        <v>91</v>
      </c>
      <c r="BR297" s="9" t="s">
        <v>92</v>
      </c>
    </row>
    <row r="298" spans="1:70" ht="45.95" customHeight="1">
      <c r="A298" s="2" t="s">
        <v>2467</v>
      </c>
      <c r="B298" s="2" t="s">
        <v>2430</v>
      </c>
      <c r="C298" s="2" t="s">
        <v>2468</v>
      </c>
      <c r="D298" s="2" t="s">
        <v>2468</v>
      </c>
      <c r="E298" s="2" t="s">
        <v>259</v>
      </c>
      <c r="F298" s="2"/>
      <c r="G298" s="2">
        <v>2</v>
      </c>
      <c r="H298" s="2">
        <v>0</v>
      </c>
      <c r="I298" s="2">
        <v>1</v>
      </c>
      <c r="J298" s="2">
        <v>1</v>
      </c>
      <c r="K298" s="2">
        <v>0</v>
      </c>
      <c r="L298" s="16">
        <v>1612</v>
      </c>
      <c r="M298" s="16">
        <v>403</v>
      </c>
      <c r="N298" s="8" t="s">
        <v>2469</v>
      </c>
      <c r="O298" s="12">
        <f t="shared" si="4"/>
        <v>25</v>
      </c>
      <c r="P298" s="2">
        <v>2</v>
      </c>
      <c r="Q298" s="2" t="s">
        <v>77</v>
      </c>
      <c r="R298" s="8" t="s">
        <v>2469</v>
      </c>
      <c r="S298" s="8" t="s">
        <v>2470</v>
      </c>
      <c r="T298" s="8" t="s">
        <v>80</v>
      </c>
      <c r="U298" s="2" t="s">
        <v>81</v>
      </c>
      <c r="V298" s="2">
        <v>2024</v>
      </c>
      <c r="W298" s="16">
        <v>22.26</v>
      </c>
      <c r="X298" s="2">
        <v>2030</v>
      </c>
      <c r="Y298" s="16">
        <v>51.96</v>
      </c>
      <c r="Z298" s="16">
        <v>29.7</v>
      </c>
      <c r="AA298" s="2">
        <v>2030</v>
      </c>
      <c r="AB298" s="16">
        <v>15.2</v>
      </c>
      <c r="AC298" s="2">
        <v>2030</v>
      </c>
      <c r="AD298" s="2" t="s">
        <v>543</v>
      </c>
      <c r="AE298" s="16"/>
      <c r="AF298" s="16"/>
      <c r="AG298" s="16">
        <v>15.17476383297678</v>
      </c>
      <c r="AH298" s="16"/>
      <c r="AI298" s="8" t="s">
        <v>100</v>
      </c>
      <c r="AJ298" s="2" t="s">
        <v>84</v>
      </c>
      <c r="AK298" s="2">
        <v>1</v>
      </c>
      <c r="AL298" s="8" t="s">
        <v>2471</v>
      </c>
      <c r="AM298" s="8" t="s">
        <v>2472</v>
      </c>
      <c r="AN298" s="2"/>
      <c r="AO298" s="16">
        <v>5511</v>
      </c>
      <c r="AP298" s="2"/>
      <c r="AQ298" s="16">
        <v>13782</v>
      </c>
      <c r="AR298" s="2" t="s">
        <v>447</v>
      </c>
      <c r="AS298" s="16">
        <v>35.700000000000003</v>
      </c>
      <c r="AT298" s="2"/>
      <c r="AU298" s="16">
        <v>4848</v>
      </c>
      <c r="AV298" s="2"/>
      <c r="AW298" s="16">
        <v>5938</v>
      </c>
      <c r="AX298" s="2" t="s">
        <v>447</v>
      </c>
      <c r="AY298" s="16">
        <v>7</v>
      </c>
      <c r="AZ298" s="2"/>
      <c r="BA298" s="16"/>
      <c r="BB298" s="2"/>
      <c r="BC298" s="16"/>
      <c r="BD298" s="2"/>
      <c r="BE298" s="16"/>
      <c r="BF298" s="2"/>
      <c r="BG298" s="16">
        <v>67</v>
      </c>
      <c r="BH298" s="2"/>
      <c r="BI298" s="16">
        <v>103</v>
      </c>
      <c r="BJ298" s="2" t="s">
        <v>87</v>
      </c>
      <c r="BK298" s="8"/>
      <c r="BL298" s="8" t="str">
        <f>HYPERLINK("https://seichotoushi-hojo.jp/assets/pdf/koufu_3_4ji/outline_119.pdf","PDFを開く")</f>
        <v>PDFを開く</v>
      </c>
      <c r="BM298" s="8" t="s">
        <v>2473</v>
      </c>
      <c r="BN298" s="8" t="s">
        <v>2474</v>
      </c>
      <c r="BO298" s="8" t="s">
        <v>90</v>
      </c>
      <c r="BP298" s="8" t="s">
        <v>90</v>
      </c>
      <c r="BQ298" s="8" t="s">
        <v>157</v>
      </c>
      <c r="BR298" s="8" t="s">
        <v>92</v>
      </c>
    </row>
    <row r="299" spans="1:70" ht="45.95" customHeight="1">
      <c r="A299" s="5" t="s">
        <v>2475</v>
      </c>
      <c r="B299" s="5" t="s">
        <v>2430</v>
      </c>
      <c r="C299" s="5" t="s">
        <v>2476</v>
      </c>
      <c r="D299" s="5" t="s">
        <v>2476</v>
      </c>
      <c r="E299" s="5" t="s">
        <v>75</v>
      </c>
      <c r="F299" s="5"/>
      <c r="G299" s="5">
        <v>2</v>
      </c>
      <c r="H299" s="5">
        <v>0</v>
      </c>
      <c r="I299" s="5">
        <v>1</v>
      </c>
      <c r="J299" s="5">
        <v>1</v>
      </c>
      <c r="K299" s="5">
        <v>0</v>
      </c>
      <c r="L299" s="17">
        <v>1387</v>
      </c>
      <c r="M299" s="17">
        <v>338</v>
      </c>
      <c r="N299" s="9" t="s">
        <v>2477</v>
      </c>
      <c r="O299" s="13">
        <f t="shared" si="4"/>
        <v>24.369142033165105</v>
      </c>
      <c r="P299" s="5">
        <v>2</v>
      </c>
      <c r="Q299" s="5" t="s">
        <v>77</v>
      </c>
      <c r="R299" s="9" t="s">
        <v>2478</v>
      </c>
      <c r="S299" s="9" t="s">
        <v>2479</v>
      </c>
      <c r="T299" s="9" t="s">
        <v>80</v>
      </c>
      <c r="U299" s="5" t="s">
        <v>81</v>
      </c>
      <c r="V299" s="5"/>
      <c r="W299" s="17"/>
      <c r="X299" s="5">
        <v>2029</v>
      </c>
      <c r="Y299" s="17"/>
      <c r="Z299" s="17">
        <v>46.91</v>
      </c>
      <c r="AA299" s="5">
        <v>2029</v>
      </c>
      <c r="AB299" s="17">
        <v>17.8</v>
      </c>
      <c r="AC299" s="5">
        <v>2029</v>
      </c>
      <c r="AD299" s="5" t="s">
        <v>82</v>
      </c>
      <c r="AE299" s="17"/>
      <c r="AF299" s="17"/>
      <c r="AG299" s="17"/>
      <c r="AH299" s="17"/>
      <c r="AI299" s="9" t="s">
        <v>83</v>
      </c>
      <c r="AJ299" s="5" t="s">
        <v>84</v>
      </c>
      <c r="AK299" s="5">
        <v>1</v>
      </c>
      <c r="AL299" s="9" t="s">
        <v>2480</v>
      </c>
      <c r="AM299" s="9"/>
      <c r="AN299" s="5"/>
      <c r="AO299" s="17">
        <v>9727</v>
      </c>
      <c r="AP299" s="5"/>
      <c r="AQ299" s="17">
        <v>46613</v>
      </c>
      <c r="AR299" s="5" t="s">
        <v>447</v>
      </c>
      <c r="AS299" s="17">
        <v>68.599999999999994</v>
      </c>
      <c r="AT299" s="5"/>
      <c r="AU299" s="17">
        <v>3818</v>
      </c>
      <c r="AV299" s="5"/>
      <c r="AW299" s="17">
        <v>4944</v>
      </c>
      <c r="AX299" s="5" t="s">
        <v>447</v>
      </c>
      <c r="AY299" s="17">
        <v>9</v>
      </c>
      <c r="AZ299" s="5"/>
      <c r="BA299" s="17"/>
      <c r="BB299" s="5"/>
      <c r="BC299" s="17"/>
      <c r="BD299" s="5"/>
      <c r="BE299" s="17"/>
      <c r="BF299" s="5"/>
      <c r="BG299" s="17">
        <v>11</v>
      </c>
      <c r="BH299" s="5"/>
      <c r="BI299" s="17">
        <v>39</v>
      </c>
      <c r="BJ299" s="5" t="s">
        <v>87</v>
      </c>
      <c r="BK299" s="9"/>
      <c r="BL299" s="9" t="str">
        <f>HYPERLINK("https://seichotoushi-hojo.jp/assets/pdf/koufu_3_4ji/outline_120.pdf","PDFを開く")</f>
        <v>PDFを開く</v>
      </c>
      <c r="BM299" s="9" t="s">
        <v>2481</v>
      </c>
      <c r="BN299" s="9" t="s">
        <v>2482</v>
      </c>
      <c r="BO299" s="9" t="s">
        <v>90</v>
      </c>
      <c r="BP299" s="9" t="s">
        <v>90</v>
      </c>
      <c r="BQ299" s="9" t="s">
        <v>156</v>
      </c>
      <c r="BR299" s="9" t="s">
        <v>92</v>
      </c>
    </row>
    <row r="300" spans="1:70" ht="45.95" customHeight="1">
      <c r="A300" s="2" t="s">
        <v>2483</v>
      </c>
      <c r="B300" s="2" t="s">
        <v>2430</v>
      </c>
      <c r="C300" s="2" t="s">
        <v>2484</v>
      </c>
      <c r="D300" s="2" t="s">
        <v>2484</v>
      </c>
      <c r="E300" s="2" t="s">
        <v>186</v>
      </c>
      <c r="F300" s="2"/>
      <c r="G300" s="2">
        <v>2</v>
      </c>
      <c r="H300" s="2">
        <v>0</v>
      </c>
      <c r="I300" s="2">
        <v>1</v>
      </c>
      <c r="J300" s="2">
        <v>1</v>
      </c>
      <c r="K300" s="2">
        <v>0</v>
      </c>
      <c r="L300" s="16">
        <v>2994</v>
      </c>
      <c r="M300" s="16">
        <v>736</v>
      </c>
      <c r="N300" s="8" t="s">
        <v>2485</v>
      </c>
      <c r="O300" s="12">
        <f t="shared" si="4"/>
        <v>24.582498329993317</v>
      </c>
      <c r="P300" s="2">
        <v>2</v>
      </c>
      <c r="Q300" s="2" t="s">
        <v>77</v>
      </c>
      <c r="R300" s="8" t="s">
        <v>2486</v>
      </c>
      <c r="S300" s="8" t="s">
        <v>2487</v>
      </c>
      <c r="T300" s="8" t="s">
        <v>80</v>
      </c>
      <c r="U300" s="2" t="s">
        <v>81</v>
      </c>
      <c r="V300" s="2"/>
      <c r="W300" s="16"/>
      <c r="X300" s="2">
        <v>2030</v>
      </c>
      <c r="Y300" s="16"/>
      <c r="Z300" s="16">
        <v>24.39</v>
      </c>
      <c r="AA300" s="2">
        <v>2030</v>
      </c>
      <c r="AB300" s="16">
        <v>12.7</v>
      </c>
      <c r="AC300" s="2">
        <v>2030</v>
      </c>
      <c r="AD300" s="2" t="s">
        <v>210</v>
      </c>
      <c r="AE300" s="16"/>
      <c r="AF300" s="16"/>
      <c r="AG300" s="16"/>
      <c r="AH300" s="16"/>
      <c r="AI300" s="8" t="s">
        <v>83</v>
      </c>
      <c r="AJ300" s="2" t="s">
        <v>84</v>
      </c>
      <c r="AK300" s="2">
        <v>1</v>
      </c>
      <c r="AL300" s="8" t="s">
        <v>2488</v>
      </c>
      <c r="AM300" s="8"/>
      <c r="AN300" s="2"/>
      <c r="AO300" s="16">
        <v>6886</v>
      </c>
      <c r="AP300" s="2"/>
      <c r="AQ300" s="16">
        <v>14227</v>
      </c>
      <c r="AR300" s="2" t="s">
        <v>447</v>
      </c>
      <c r="AS300" s="16">
        <v>27.4</v>
      </c>
      <c r="AT300" s="2"/>
      <c r="AU300" s="16">
        <v>3670</v>
      </c>
      <c r="AV300" s="2"/>
      <c r="AW300" s="16">
        <v>4433</v>
      </c>
      <c r="AX300" s="2" t="s">
        <v>447</v>
      </c>
      <c r="AY300" s="16">
        <v>6.5</v>
      </c>
      <c r="AZ300" s="2"/>
      <c r="BA300" s="16"/>
      <c r="BB300" s="2"/>
      <c r="BC300" s="16"/>
      <c r="BD300" s="2" t="s">
        <v>447</v>
      </c>
      <c r="BE300" s="16">
        <v>6.5</v>
      </c>
      <c r="BF300" s="2"/>
      <c r="BG300" s="16">
        <v>105</v>
      </c>
      <c r="BH300" s="2"/>
      <c r="BI300" s="16">
        <v>120</v>
      </c>
      <c r="BJ300" s="2" t="s">
        <v>87</v>
      </c>
      <c r="BK300" s="8"/>
      <c r="BL300" s="8" t="str">
        <f>HYPERLINK("https://seichotoushi-hojo.jp/assets/pdf/koufu_3_4ji/outline_121.pdf","PDFを開く")</f>
        <v>PDFを開く</v>
      </c>
      <c r="BM300" s="8" t="s">
        <v>2489</v>
      </c>
      <c r="BN300" s="8" t="s">
        <v>2490</v>
      </c>
      <c r="BO300" s="8" t="s">
        <v>90</v>
      </c>
      <c r="BP300" s="8" t="s">
        <v>90</v>
      </c>
      <c r="BQ300" s="8" t="s">
        <v>91</v>
      </c>
      <c r="BR300" s="8" t="s">
        <v>92</v>
      </c>
    </row>
    <row r="301" spans="1:70" ht="45.95" customHeight="1">
      <c r="A301" s="5" t="s">
        <v>2491</v>
      </c>
      <c r="B301" s="5" t="s">
        <v>2430</v>
      </c>
      <c r="C301" s="5" t="s">
        <v>2492</v>
      </c>
      <c r="D301" s="5" t="s">
        <v>2492</v>
      </c>
      <c r="E301" s="5" t="s">
        <v>95</v>
      </c>
      <c r="F301" s="5"/>
      <c r="G301" s="5">
        <v>2</v>
      </c>
      <c r="H301" s="5">
        <v>0</v>
      </c>
      <c r="I301" s="5">
        <v>1</v>
      </c>
      <c r="J301" s="5">
        <v>1</v>
      </c>
      <c r="K301" s="5">
        <v>0</v>
      </c>
      <c r="L301" s="17">
        <v>2000</v>
      </c>
      <c r="M301" s="17">
        <v>490</v>
      </c>
      <c r="N301" s="9" t="s">
        <v>2493</v>
      </c>
      <c r="O301" s="13">
        <f t="shared" si="4"/>
        <v>24.5</v>
      </c>
      <c r="P301" s="5">
        <v>2</v>
      </c>
      <c r="Q301" s="5" t="s">
        <v>77</v>
      </c>
      <c r="R301" s="9" t="s">
        <v>2494</v>
      </c>
      <c r="S301" s="9" t="s">
        <v>2495</v>
      </c>
      <c r="T301" s="9" t="s">
        <v>80</v>
      </c>
      <c r="U301" s="5" t="s">
        <v>81</v>
      </c>
      <c r="V301" s="5"/>
      <c r="W301" s="17"/>
      <c r="X301" s="5">
        <v>2030</v>
      </c>
      <c r="Y301" s="17"/>
      <c r="Z301" s="17">
        <v>42.42</v>
      </c>
      <c r="AA301" s="5">
        <v>2030</v>
      </c>
      <c r="AB301" s="17">
        <v>268.60000000000002</v>
      </c>
      <c r="AC301" s="5">
        <v>2030</v>
      </c>
      <c r="AD301" s="5" t="s">
        <v>82</v>
      </c>
      <c r="AE301" s="17"/>
      <c r="AF301" s="17"/>
      <c r="AG301" s="17"/>
      <c r="AH301" s="17"/>
      <c r="AI301" s="9" t="s">
        <v>83</v>
      </c>
      <c r="AJ301" s="5" t="s">
        <v>587</v>
      </c>
      <c r="AK301" s="5">
        <v>1</v>
      </c>
      <c r="AL301" s="9" t="s">
        <v>2496</v>
      </c>
      <c r="AM301" s="9"/>
      <c r="AN301" s="5">
        <v>2027</v>
      </c>
      <c r="AO301" s="17">
        <v>7397</v>
      </c>
      <c r="AP301" s="5">
        <v>2030</v>
      </c>
      <c r="AQ301" s="17">
        <v>14899</v>
      </c>
      <c r="AR301" s="5" t="s">
        <v>447</v>
      </c>
      <c r="AS301" s="17">
        <v>26.3</v>
      </c>
      <c r="AT301" s="5">
        <v>2027</v>
      </c>
      <c r="AU301" s="17">
        <v>4704</v>
      </c>
      <c r="AV301" s="5">
        <v>2030</v>
      </c>
      <c r="AW301" s="17">
        <v>5699</v>
      </c>
      <c r="AX301" s="5" t="s">
        <v>447</v>
      </c>
      <c r="AY301" s="17">
        <v>6.6</v>
      </c>
      <c r="AZ301" s="5">
        <v>2027</v>
      </c>
      <c r="BA301" s="17"/>
      <c r="BB301" s="5">
        <v>2030</v>
      </c>
      <c r="BC301" s="17"/>
      <c r="BD301" s="5" t="s">
        <v>447</v>
      </c>
      <c r="BE301" s="17">
        <v>6.6</v>
      </c>
      <c r="BF301" s="5">
        <v>2027</v>
      </c>
      <c r="BG301" s="17">
        <v>106</v>
      </c>
      <c r="BH301" s="5">
        <v>2030</v>
      </c>
      <c r="BI301" s="17">
        <v>112</v>
      </c>
      <c r="BJ301" s="5" t="s">
        <v>87</v>
      </c>
      <c r="BK301" s="9" t="s">
        <v>181</v>
      </c>
      <c r="BL301" s="9" t="str">
        <f>HYPERLINK("https://seichotoushi-hojo.jp/assets/pdf/koufu_3_4ji/outline_122.pdf","PDFを開く")</f>
        <v>PDFを開く</v>
      </c>
      <c r="BM301" s="9" t="s">
        <v>2497</v>
      </c>
      <c r="BN301" s="9" t="s">
        <v>2498</v>
      </c>
      <c r="BO301" s="9" t="s">
        <v>90</v>
      </c>
      <c r="BP301" s="9" t="s">
        <v>90</v>
      </c>
      <c r="BQ301" s="9" t="s">
        <v>91</v>
      </c>
      <c r="BR301" s="9" t="s">
        <v>92</v>
      </c>
    </row>
    <row r="302" spans="1:70" ht="45.95" customHeight="1">
      <c r="A302" s="2" t="s">
        <v>2499</v>
      </c>
      <c r="B302" s="2" t="s">
        <v>2430</v>
      </c>
      <c r="C302" s="2" t="s">
        <v>2500</v>
      </c>
      <c r="D302" s="2" t="s">
        <v>2500</v>
      </c>
      <c r="E302" s="2" t="s">
        <v>186</v>
      </c>
      <c r="F302" s="2"/>
      <c r="G302" s="2">
        <v>2</v>
      </c>
      <c r="H302" s="2">
        <v>0</v>
      </c>
      <c r="I302" s="2">
        <v>1</v>
      </c>
      <c r="J302" s="2">
        <v>1</v>
      </c>
      <c r="K302" s="2">
        <v>0</v>
      </c>
      <c r="L302" s="16">
        <v>4181</v>
      </c>
      <c r="M302" s="16">
        <v>1269</v>
      </c>
      <c r="N302" s="8" t="s">
        <v>2501</v>
      </c>
      <c r="O302" s="12">
        <f t="shared" si="4"/>
        <v>30.351590528581678</v>
      </c>
      <c r="P302" s="2">
        <v>2</v>
      </c>
      <c r="Q302" s="2" t="s">
        <v>77</v>
      </c>
      <c r="R302" s="8" t="s">
        <v>2502</v>
      </c>
      <c r="S302" s="8" t="s">
        <v>2503</v>
      </c>
      <c r="T302" s="8" t="s">
        <v>228</v>
      </c>
      <c r="U302" s="2" t="s">
        <v>81</v>
      </c>
      <c r="V302" s="2"/>
      <c r="W302" s="16"/>
      <c r="X302" s="2"/>
      <c r="Y302" s="16"/>
      <c r="Z302" s="16">
        <v>64.430000000000007</v>
      </c>
      <c r="AA302" s="2"/>
      <c r="AB302" s="16">
        <v>12.3</v>
      </c>
      <c r="AC302" s="2"/>
      <c r="AD302" s="2" t="s">
        <v>210</v>
      </c>
      <c r="AE302" s="16"/>
      <c r="AF302" s="16"/>
      <c r="AG302" s="16"/>
      <c r="AH302" s="16"/>
      <c r="AI302" s="8" t="s">
        <v>83</v>
      </c>
      <c r="AJ302" s="2" t="s">
        <v>84</v>
      </c>
      <c r="AK302" s="2">
        <v>1</v>
      </c>
      <c r="AL302" s="8" t="s">
        <v>2504</v>
      </c>
      <c r="AM302" s="8"/>
      <c r="AN302" s="2">
        <v>2028</v>
      </c>
      <c r="AO302" s="16">
        <v>11873</v>
      </c>
      <c r="AP302" s="2">
        <v>2031</v>
      </c>
      <c r="AQ302" s="16">
        <v>23050</v>
      </c>
      <c r="AR302" s="2" t="s">
        <v>447</v>
      </c>
      <c r="AS302" s="16">
        <v>24.7</v>
      </c>
      <c r="AT302" s="2">
        <v>2028</v>
      </c>
      <c r="AU302" s="16">
        <v>7292</v>
      </c>
      <c r="AV302" s="2">
        <v>2031</v>
      </c>
      <c r="AW302" s="16">
        <v>8735</v>
      </c>
      <c r="AX302" s="2" t="s">
        <v>447</v>
      </c>
      <c r="AY302" s="16">
        <v>6.2</v>
      </c>
      <c r="AZ302" s="2">
        <v>2028</v>
      </c>
      <c r="BA302" s="16"/>
      <c r="BB302" s="2">
        <v>2031</v>
      </c>
      <c r="BC302" s="16"/>
      <c r="BD302" s="2" t="s">
        <v>447</v>
      </c>
      <c r="BE302" s="16">
        <v>6.2</v>
      </c>
      <c r="BF302" s="2">
        <v>2028</v>
      </c>
      <c r="BG302" s="16">
        <v>250</v>
      </c>
      <c r="BH302" s="2">
        <v>2031</v>
      </c>
      <c r="BI302" s="16">
        <v>272</v>
      </c>
      <c r="BJ302" s="2" t="s">
        <v>87</v>
      </c>
      <c r="BK302" s="8"/>
      <c r="BL302" s="8" t="str">
        <f>HYPERLINK("https://seichotoushi-hojo.jp/assets/pdf/koufu_3_4ji/outline_125.pdf","PDFを開く")</f>
        <v>PDFを開く</v>
      </c>
      <c r="BM302" s="8" t="s">
        <v>2505</v>
      </c>
      <c r="BN302" s="8" t="s">
        <v>2506</v>
      </c>
      <c r="BO302" s="8" t="s">
        <v>90</v>
      </c>
      <c r="BP302" s="8" t="s">
        <v>90</v>
      </c>
      <c r="BQ302" s="8" t="s">
        <v>91</v>
      </c>
      <c r="BR302" s="8" t="s">
        <v>92</v>
      </c>
    </row>
    <row r="303" spans="1:70" ht="45.95" customHeight="1">
      <c r="A303" s="5" t="s">
        <v>2507</v>
      </c>
      <c r="B303" s="5" t="s">
        <v>2430</v>
      </c>
      <c r="C303" s="5" t="s">
        <v>2508</v>
      </c>
      <c r="D303" s="5" t="s">
        <v>2508</v>
      </c>
      <c r="E303" s="5" t="s">
        <v>95</v>
      </c>
      <c r="F303" s="5"/>
      <c r="G303" s="5">
        <v>2</v>
      </c>
      <c r="H303" s="5">
        <v>0</v>
      </c>
      <c r="I303" s="5">
        <v>1</v>
      </c>
      <c r="J303" s="5">
        <v>1</v>
      </c>
      <c r="K303" s="5">
        <v>0</v>
      </c>
      <c r="L303" s="17">
        <v>3700</v>
      </c>
      <c r="M303" s="17">
        <v>910</v>
      </c>
      <c r="N303" s="9" t="s">
        <v>2509</v>
      </c>
      <c r="O303" s="13">
        <f t="shared" si="4"/>
        <v>24.594594594594597</v>
      </c>
      <c r="P303" s="5">
        <v>2</v>
      </c>
      <c r="Q303" s="5" t="s">
        <v>308</v>
      </c>
      <c r="R303" s="9"/>
      <c r="S303" s="9"/>
      <c r="T303" s="9" t="s">
        <v>310</v>
      </c>
      <c r="U303" s="5" t="s">
        <v>81</v>
      </c>
      <c r="V303" s="5">
        <v>2025</v>
      </c>
      <c r="W303" s="17">
        <v>38.409999999999997</v>
      </c>
      <c r="X303" s="5">
        <v>2030</v>
      </c>
      <c r="Y303" s="17">
        <v>55.07</v>
      </c>
      <c r="Z303" s="17"/>
      <c r="AA303" s="5"/>
      <c r="AB303" s="17">
        <v>32.840000000000003</v>
      </c>
      <c r="AC303" s="5">
        <v>2030</v>
      </c>
      <c r="AD303" s="5" t="s">
        <v>210</v>
      </c>
      <c r="AE303" s="17"/>
      <c r="AF303" s="17"/>
      <c r="AG303" s="17">
        <v>7.4717087133261639</v>
      </c>
      <c r="AH303" s="17"/>
      <c r="AI303" s="9" t="s">
        <v>100</v>
      </c>
      <c r="AJ303" s="5" t="s">
        <v>84</v>
      </c>
      <c r="AK303" s="5">
        <v>1</v>
      </c>
      <c r="AL303" s="9" t="s">
        <v>2510</v>
      </c>
      <c r="AM303" s="9" t="s">
        <v>2511</v>
      </c>
      <c r="AN303" s="5">
        <v>2026</v>
      </c>
      <c r="AO303" s="17">
        <v>6025906</v>
      </c>
      <c r="AP303" s="5">
        <v>2029</v>
      </c>
      <c r="AQ303" s="17">
        <v>15331462</v>
      </c>
      <c r="AR303" s="5" t="s">
        <v>2512</v>
      </c>
      <c r="AS303" s="17">
        <v>36.5</v>
      </c>
      <c r="AT303" s="5">
        <v>2026</v>
      </c>
      <c r="AU303" s="17">
        <v>3740890</v>
      </c>
      <c r="AV303" s="5">
        <v>2029</v>
      </c>
      <c r="AW303" s="17">
        <v>4518969</v>
      </c>
      <c r="AX303" s="5" t="s">
        <v>2512</v>
      </c>
      <c r="AY303" s="17">
        <v>6.5</v>
      </c>
      <c r="AZ303" s="5">
        <v>2026</v>
      </c>
      <c r="BA303" s="17"/>
      <c r="BB303" s="5">
        <v>2029</v>
      </c>
      <c r="BC303" s="17"/>
      <c r="BD303" s="5" t="s">
        <v>2513</v>
      </c>
      <c r="BE303" s="17">
        <v>4.5</v>
      </c>
      <c r="BF303" s="5">
        <v>2026</v>
      </c>
      <c r="BG303" s="17">
        <v>90</v>
      </c>
      <c r="BH303" s="5">
        <v>2029</v>
      </c>
      <c r="BI303" s="17">
        <v>146</v>
      </c>
      <c r="BJ303" s="5" t="s">
        <v>87</v>
      </c>
      <c r="BK303" s="9" t="s">
        <v>212</v>
      </c>
      <c r="BL303" s="9" t="str">
        <f>HYPERLINK("https://seichotoushi-hojo.jp/assets/pdf/koufu_3_4ji/outline_127.pdf","PDFを開く")</f>
        <v>PDFを開く</v>
      </c>
      <c r="BM303" s="9" t="s">
        <v>2514</v>
      </c>
      <c r="BN303" s="9" t="s">
        <v>2515</v>
      </c>
      <c r="BO303" s="9" t="s">
        <v>90</v>
      </c>
      <c r="BP303" s="9" t="s">
        <v>90</v>
      </c>
      <c r="BQ303" s="9" t="s">
        <v>91</v>
      </c>
      <c r="BR303" s="9" t="s">
        <v>92</v>
      </c>
    </row>
    <row r="304" spans="1:70" ht="45.95" customHeight="1">
      <c r="A304" s="2" t="s">
        <v>2516</v>
      </c>
      <c r="B304" s="2" t="s">
        <v>2430</v>
      </c>
      <c r="C304" s="2" t="s">
        <v>2517</v>
      </c>
      <c r="D304" s="2" t="s">
        <v>2517</v>
      </c>
      <c r="E304" s="2" t="s">
        <v>186</v>
      </c>
      <c r="F304" s="2"/>
      <c r="G304" s="2">
        <v>2</v>
      </c>
      <c r="H304" s="2">
        <v>0</v>
      </c>
      <c r="I304" s="2">
        <v>1</v>
      </c>
      <c r="J304" s="2">
        <v>1</v>
      </c>
      <c r="K304" s="2">
        <v>0</v>
      </c>
      <c r="L304" s="16">
        <v>5900</v>
      </c>
      <c r="M304" s="16">
        <v>1900</v>
      </c>
      <c r="N304" s="8" t="s">
        <v>2518</v>
      </c>
      <c r="O304" s="12">
        <f t="shared" si="4"/>
        <v>32.20338983050847</v>
      </c>
      <c r="P304" s="2">
        <v>2</v>
      </c>
      <c r="Q304" s="2" t="s">
        <v>77</v>
      </c>
      <c r="R304" s="8" t="s">
        <v>2518</v>
      </c>
      <c r="S304" s="8" t="s">
        <v>2519</v>
      </c>
      <c r="T304" s="8" t="s">
        <v>80</v>
      </c>
      <c r="U304" s="2" t="s">
        <v>81</v>
      </c>
      <c r="V304" s="2"/>
      <c r="W304" s="16"/>
      <c r="X304" s="2">
        <v>2030</v>
      </c>
      <c r="Y304" s="16">
        <v>160</v>
      </c>
      <c r="Z304" s="16">
        <v>149</v>
      </c>
      <c r="AA304" s="2">
        <v>2030</v>
      </c>
      <c r="AB304" s="16">
        <v>55</v>
      </c>
      <c r="AC304" s="2">
        <v>2030</v>
      </c>
      <c r="AD304" s="2" t="s">
        <v>82</v>
      </c>
      <c r="AE304" s="16"/>
      <c r="AF304" s="16"/>
      <c r="AG304" s="16"/>
      <c r="AH304" s="16"/>
      <c r="AI304" s="8" t="s">
        <v>83</v>
      </c>
      <c r="AJ304" s="2" t="s">
        <v>84</v>
      </c>
      <c r="AK304" s="2">
        <v>1</v>
      </c>
      <c r="AL304" s="8" t="s">
        <v>2520</v>
      </c>
      <c r="AM304" s="8" t="s">
        <v>2521</v>
      </c>
      <c r="AN304" s="2">
        <v>2027</v>
      </c>
      <c r="AO304" s="16">
        <v>3568</v>
      </c>
      <c r="AP304" s="2">
        <v>2030</v>
      </c>
      <c r="AQ304" s="16">
        <v>7360</v>
      </c>
      <c r="AR304" s="2" t="s">
        <v>86</v>
      </c>
      <c r="AS304" s="16">
        <v>27.3</v>
      </c>
      <c r="AT304" s="2">
        <v>2027</v>
      </c>
      <c r="AU304" s="16">
        <v>738</v>
      </c>
      <c r="AV304" s="2">
        <v>2030</v>
      </c>
      <c r="AW304" s="16">
        <v>920</v>
      </c>
      <c r="AX304" s="2" t="s">
        <v>86</v>
      </c>
      <c r="AY304" s="16">
        <v>7.6</v>
      </c>
      <c r="AZ304" s="2">
        <v>2027</v>
      </c>
      <c r="BA304" s="16"/>
      <c r="BB304" s="2">
        <v>2030</v>
      </c>
      <c r="BC304" s="16"/>
      <c r="BD304" s="2" t="s">
        <v>86</v>
      </c>
      <c r="BE304" s="16">
        <v>7.5</v>
      </c>
      <c r="BF304" s="2">
        <v>2027</v>
      </c>
      <c r="BG304" s="16">
        <v>11</v>
      </c>
      <c r="BH304" s="2">
        <v>2030</v>
      </c>
      <c r="BI304" s="16">
        <v>62</v>
      </c>
      <c r="BJ304" s="2" t="s">
        <v>87</v>
      </c>
      <c r="BK304" s="8"/>
      <c r="BL304" s="8" t="str">
        <f>HYPERLINK("https://seichotoushi-hojo.jp/assets/pdf/koufu_3_4ji/outline_130.pdf","PDFを開く")</f>
        <v>PDFを開く</v>
      </c>
      <c r="BM304" s="8" t="s">
        <v>2522</v>
      </c>
      <c r="BN304" s="8" t="s">
        <v>2523</v>
      </c>
      <c r="BO304" s="8" t="s">
        <v>90</v>
      </c>
      <c r="BP304" s="8" t="s">
        <v>90</v>
      </c>
      <c r="BQ304" s="8" t="s">
        <v>91</v>
      </c>
      <c r="BR304" s="8" t="s">
        <v>92</v>
      </c>
    </row>
    <row r="305" spans="1:70" ht="45.95" customHeight="1">
      <c r="A305" s="5" t="s">
        <v>2524</v>
      </c>
      <c r="B305" s="5" t="s">
        <v>2430</v>
      </c>
      <c r="C305" s="5" t="s">
        <v>2525</v>
      </c>
      <c r="D305" s="5" t="s">
        <v>2525</v>
      </c>
      <c r="E305" s="5" t="s">
        <v>95</v>
      </c>
      <c r="F305" s="5"/>
      <c r="G305" s="5">
        <v>2</v>
      </c>
      <c r="H305" s="5">
        <v>0</v>
      </c>
      <c r="I305" s="5">
        <v>1</v>
      </c>
      <c r="J305" s="5">
        <v>1</v>
      </c>
      <c r="K305" s="5">
        <v>0</v>
      </c>
      <c r="L305" s="17">
        <v>2138</v>
      </c>
      <c r="M305" s="17">
        <v>712</v>
      </c>
      <c r="N305" s="9" t="s">
        <v>2526</v>
      </c>
      <c r="O305" s="13">
        <f t="shared" si="4"/>
        <v>33.302151543498596</v>
      </c>
      <c r="P305" s="5">
        <v>2</v>
      </c>
      <c r="Q305" s="5" t="s">
        <v>77</v>
      </c>
      <c r="R305" s="9" t="s">
        <v>2526</v>
      </c>
      <c r="S305" s="9" t="s">
        <v>2527</v>
      </c>
      <c r="T305" s="9" t="s">
        <v>80</v>
      </c>
      <c r="U305" s="5" t="s">
        <v>81</v>
      </c>
      <c r="V305" s="5"/>
      <c r="W305" s="17"/>
      <c r="X305" s="5">
        <v>2030</v>
      </c>
      <c r="Y305" s="17"/>
      <c r="Z305" s="17">
        <v>208.36</v>
      </c>
      <c r="AA305" s="5">
        <v>2030</v>
      </c>
      <c r="AB305" s="17">
        <v>18.3</v>
      </c>
      <c r="AC305" s="5">
        <v>2030</v>
      </c>
      <c r="AD305" s="5" t="s">
        <v>210</v>
      </c>
      <c r="AE305" s="17"/>
      <c r="AF305" s="17"/>
      <c r="AG305" s="17"/>
      <c r="AH305" s="17"/>
      <c r="AI305" s="9" t="s">
        <v>83</v>
      </c>
      <c r="AJ305" s="5" t="s">
        <v>84</v>
      </c>
      <c r="AK305" s="5">
        <v>1</v>
      </c>
      <c r="AL305" s="9" t="s">
        <v>2528</v>
      </c>
      <c r="AM305" s="9"/>
      <c r="AN305" s="5">
        <v>2027</v>
      </c>
      <c r="AO305" s="17">
        <v>11314</v>
      </c>
      <c r="AP305" s="5">
        <v>2030</v>
      </c>
      <c r="AQ305" s="17">
        <v>45711</v>
      </c>
      <c r="AR305" s="5" t="s">
        <v>447</v>
      </c>
      <c r="AS305" s="17">
        <v>59.3</v>
      </c>
      <c r="AT305" s="5">
        <v>2027</v>
      </c>
      <c r="AU305" s="17">
        <v>4238</v>
      </c>
      <c r="AV305" s="5">
        <v>2030</v>
      </c>
      <c r="AW305" s="17">
        <v>5264</v>
      </c>
      <c r="AX305" s="5" t="s">
        <v>447</v>
      </c>
      <c r="AY305" s="17">
        <v>7.5</v>
      </c>
      <c r="AZ305" s="5">
        <v>2027</v>
      </c>
      <c r="BA305" s="17"/>
      <c r="BB305" s="5">
        <v>2030</v>
      </c>
      <c r="BC305" s="17"/>
      <c r="BD305" s="5" t="s">
        <v>447</v>
      </c>
      <c r="BE305" s="17">
        <v>6</v>
      </c>
      <c r="BF305" s="5">
        <v>2027</v>
      </c>
      <c r="BG305" s="17">
        <v>48</v>
      </c>
      <c r="BH305" s="5">
        <v>2030</v>
      </c>
      <c r="BI305" s="17">
        <v>62</v>
      </c>
      <c r="BJ305" s="5" t="s">
        <v>87</v>
      </c>
      <c r="BK305" s="9"/>
      <c r="BL305" s="9" t="str">
        <f>HYPERLINK("https://seichotoushi-hojo.jp/assets/pdf/koufu_3_4ji/outline_131.pdf","PDFを開く")</f>
        <v>PDFを開く</v>
      </c>
      <c r="BM305" s="9" t="s">
        <v>2529</v>
      </c>
      <c r="BN305" s="9" t="s">
        <v>2530</v>
      </c>
      <c r="BO305" s="9" t="s">
        <v>90</v>
      </c>
      <c r="BP305" s="9" t="s">
        <v>90</v>
      </c>
      <c r="BQ305" s="9" t="s">
        <v>91</v>
      </c>
      <c r="BR305" s="9" t="s">
        <v>92</v>
      </c>
    </row>
    <row r="306" spans="1:70" ht="45.95" customHeight="1">
      <c r="A306" s="2" t="s">
        <v>2531</v>
      </c>
      <c r="B306" s="2" t="s">
        <v>2430</v>
      </c>
      <c r="C306" s="2" t="s">
        <v>2532</v>
      </c>
      <c r="D306" s="2" t="s">
        <v>2532</v>
      </c>
      <c r="E306" s="2" t="s">
        <v>75</v>
      </c>
      <c r="F306" s="2"/>
      <c r="G306" s="2">
        <v>2</v>
      </c>
      <c r="H306" s="2">
        <v>0</v>
      </c>
      <c r="I306" s="2">
        <v>1</v>
      </c>
      <c r="J306" s="2">
        <v>1</v>
      </c>
      <c r="K306" s="2">
        <v>0</v>
      </c>
      <c r="L306" s="16">
        <v>1618</v>
      </c>
      <c r="M306" s="16">
        <v>488</v>
      </c>
      <c r="N306" s="8" t="s">
        <v>2533</v>
      </c>
      <c r="O306" s="12">
        <f t="shared" si="4"/>
        <v>30.160692212608158</v>
      </c>
      <c r="P306" s="2">
        <v>2</v>
      </c>
      <c r="Q306" s="2" t="s">
        <v>77</v>
      </c>
      <c r="R306" s="8" t="s">
        <v>2533</v>
      </c>
      <c r="S306" s="8" t="s">
        <v>2534</v>
      </c>
      <c r="T306" s="8" t="s">
        <v>80</v>
      </c>
      <c r="U306" s="2" t="s">
        <v>81</v>
      </c>
      <c r="V306" s="2"/>
      <c r="W306" s="16"/>
      <c r="X306" s="2">
        <v>2030</v>
      </c>
      <c r="Y306" s="16">
        <v>136.80000000000001</v>
      </c>
      <c r="Z306" s="16"/>
      <c r="AA306" s="2"/>
      <c r="AB306" s="16"/>
      <c r="AC306" s="2"/>
      <c r="AD306" s="2"/>
      <c r="AE306" s="16"/>
      <c r="AF306" s="16"/>
      <c r="AG306" s="16"/>
      <c r="AH306" s="16"/>
      <c r="AI306" s="8" t="s">
        <v>83</v>
      </c>
      <c r="AJ306" s="2" t="s">
        <v>587</v>
      </c>
      <c r="AK306" s="2">
        <v>1</v>
      </c>
      <c r="AL306" s="8" t="s">
        <v>2535</v>
      </c>
      <c r="AM306" s="8" t="s">
        <v>2536</v>
      </c>
      <c r="AN306" s="2"/>
      <c r="AO306" s="16">
        <v>12426</v>
      </c>
      <c r="AP306" s="2"/>
      <c r="AQ306" s="16">
        <v>26105</v>
      </c>
      <c r="AR306" s="2" t="s">
        <v>447</v>
      </c>
      <c r="AS306" s="16">
        <v>28.1</v>
      </c>
      <c r="AT306" s="2"/>
      <c r="AU306" s="16">
        <v>5675</v>
      </c>
      <c r="AV306" s="2"/>
      <c r="AW306" s="16">
        <v>6953</v>
      </c>
      <c r="AX306" s="2" t="s">
        <v>447</v>
      </c>
      <c r="AY306" s="16">
        <v>7</v>
      </c>
      <c r="AZ306" s="2"/>
      <c r="BA306" s="16"/>
      <c r="BB306" s="2"/>
      <c r="BC306" s="16"/>
      <c r="BD306" s="2" t="s">
        <v>447</v>
      </c>
      <c r="BE306" s="16">
        <v>7</v>
      </c>
      <c r="BF306" s="2"/>
      <c r="BG306" s="16">
        <v>74</v>
      </c>
      <c r="BH306" s="2"/>
      <c r="BI306" s="16">
        <v>86</v>
      </c>
      <c r="BJ306" s="2" t="s">
        <v>87</v>
      </c>
      <c r="BK306" s="8" t="s">
        <v>181</v>
      </c>
      <c r="BL306" s="8" t="str">
        <f>HYPERLINK("https://seichotoushi-hojo.jp/assets/pdf/koufu_3_4ji/outline_132.pdf","PDFを開く")</f>
        <v>PDFを開く</v>
      </c>
      <c r="BM306" s="8" t="s">
        <v>2537</v>
      </c>
      <c r="BN306" s="8" t="s">
        <v>2538</v>
      </c>
      <c r="BO306" s="8" t="s">
        <v>90</v>
      </c>
      <c r="BP306" s="8" t="s">
        <v>90</v>
      </c>
      <c r="BQ306" s="8" t="s">
        <v>91</v>
      </c>
      <c r="BR306" s="8" t="s">
        <v>92</v>
      </c>
    </row>
    <row r="307" spans="1:70" ht="45.95" customHeight="1">
      <c r="A307" s="5" t="s">
        <v>2539</v>
      </c>
      <c r="B307" s="5" t="s">
        <v>2430</v>
      </c>
      <c r="C307" s="5" t="s">
        <v>2540</v>
      </c>
      <c r="D307" s="5" t="s">
        <v>2540</v>
      </c>
      <c r="E307" s="5" t="s">
        <v>186</v>
      </c>
      <c r="F307" s="5"/>
      <c r="G307" s="5">
        <v>2</v>
      </c>
      <c r="H307" s="5">
        <v>0</v>
      </c>
      <c r="I307" s="5">
        <v>1</v>
      </c>
      <c r="J307" s="5">
        <v>1</v>
      </c>
      <c r="K307" s="5">
        <v>0</v>
      </c>
      <c r="L307" s="17">
        <v>1613</v>
      </c>
      <c r="M307" s="17">
        <v>536</v>
      </c>
      <c r="N307" s="9" t="s">
        <v>2541</v>
      </c>
      <c r="O307" s="13">
        <f t="shared" si="4"/>
        <v>33.230006199628022</v>
      </c>
      <c r="P307" s="5">
        <v>2</v>
      </c>
      <c r="Q307" s="5" t="s">
        <v>77</v>
      </c>
      <c r="R307" s="9" t="s">
        <v>2541</v>
      </c>
      <c r="S307" s="9" t="s">
        <v>2542</v>
      </c>
      <c r="T307" s="9" t="s">
        <v>80</v>
      </c>
      <c r="U307" s="5" t="s">
        <v>81</v>
      </c>
      <c r="V307" s="5"/>
      <c r="W307" s="17"/>
      <c r="X307" s="5"/>
      <c r="Y307" s="17"/>
      <c r="Z307" s="17">
        <v>43.4</v>
      </c>
      <c r="AA307" s="5"/>
      <c r="AB307" s="17">
        <v>212.6</v>
      </c>
      <c r="AC307" s="5"/>
      <c r="AD307" s="5" t="s">
        <v>210</v>
      </c>
      <c r="AE307" s="17"/>
      <c r="AF307" s="17"/>
      <c r="AG307" s="17"/>
      <c r="AH307" s="17"/>
      <c r="AI307" s="9" t="s">
        <v>83</v>
      </c>
      <c r="AJ307" s="5" t="s">
        <v>84</v>
      </c>
      <c r="AK307" s="5">
        <v>1</v>
      </c>
      <c r="AL307" s="9" t="s">
        <v>2543</v>
      </c>
      <c r="AM307" s="9"/>
      <c r="AN307" s="5"/>
      <c r="AO307" s="17">
        <v>10686</v>
      </c>
      <c r="AP307" s="5"/>
      <c r="AQ307" s="17">
        <v>23668</v>
      </c>
      <c r="AR307" s="5" t="s">
        <v>447</v>
      </c>
      <c r="AS307" s="17">
        <v>30.4</v>
      </c>
      <c r="AT307" s="5"/>
      <c r="AU307" s="17">
        <v>4681</v>
      </c>
      <c r="AV307" s="5"/>
      <c r="AW307" s="17">
        <v>5734</v>
      </c>
      <c r="AX307" s="5" t="s">
        <v>447</v>
      </c>
      <c r="AY307" s="17">
        <v>7</v>
      </c>
      <c r="AZ307" s="5"/>
      <c r="BA307" s="17"/>
      <c r="BB307" s="5"/>
      <c r="BC307" s="17"/>
      <c r="BD307" s="5" t="s">
        <v>447</v>
      </c>
      <c r="BE307" s="17">
        <v>7</v>
      </c>
      <c r="BF307" s="5"/>
      <c r="BG307" s="17">
        <v>197</v>
      </c>
      <c r="BH307" s="5"/>
      <c r="BI307" s="17">
        <v>207</v>
      </c>
      <c r="BJ307" s="5" t="s">
        <v>87</v>
      </c>
      <c r="BK307" s="9" t="s">
        <v>181</v>
      </c>
      <c r="BL307" s="9" t="str">
        <f>HYPERLINK("https://seichotoushi-hojo.jp/assets/pdf/koufu_3_4ji/outline_133.pdf","PDFを開く")</f>
        <v>PDFを開く</v>
      </c>
      <c r="BM307" s="9" t="s">
        <v>2544</v>
      </c>
      <c r="BN307" s="9" t="s">
        <v>2545</v>
      </c>
      <c r="BO307" s="9" t="s">
        <v>90</v>
      </c>
      <c r="BP307" s="9" t="s">
        <v>90</v>
      </c>
      <c r="BQ307" s="9" t="s">
        <v>91</v>
      </c>
      <c r="BR307" s="9" t="s">
        <v>92</v>
      </c>
    </row>
    <row r="308" spans="1:70" ht="45.95" customHeight="1">
      <c r="A308" s="2" t="s">
        <v>2546</v>
      </c>
      <c r="B308" s="2" t="s">
        <v>2430</v>
      </c>
      <c r="C308" s="2" t="s">
        <v>2547</v>
      </c>
      <c r="D308" s="2" t="s">
        <v>2547</v>
      </c>
      <c r="E308" s="2" t="s">
        <v>95</v>
      </c>
      <c r="F308" s="2"/>
      <c r="G308" s="2">
        <v>2</v>
      </c>
      <c r="H308" s="2">
        <v>0</v>
      </c>
      <c r="I308" s="2">
        <v>1</v>
      </c>
      <c r="J308" s="2">
        <v>1</v>
      </c>
      <c r="K308" s="2">
        <v>0</v>
      </c>
      <c r="L308" s="16">
        <v>3000</v>
      </c>
      <c r="M308" s="16">
        <v>750</v>
      </c>
      <c r="N308" s="8" t="s">
        <v>2548</v>
      </c>
      <c r="O308" s="12">
        <f t="shared" si="4"/>
        <v>25</v>
      </c>
      <c r="P308" s="2">
        <v>2</v>
      </c>
      <c r="Q308" s="2" t="s">
        <v>77</v>
      </c>
      <c r="R308" s="8" t="s">
        <v>2549</v>
      </c>
      <c r="S308" s="8" t="s">
        <v>2550</v>
      </c>
      <c r="T308" s="8" t="s">
        <v>80</v>
      </c>
      <c r="U308" s="2" t="s">
        <v>81</v>
      </c>
      <c r="V308" s="2"/>
      <c r="W308" s="16"/>
      <c r="X308" s="2">
        <v>2030</v>
      </c>
      <c r="Y308" s="16">
        <v>50.709963209999998</v>
      </c>
      <c r="Z308" s="16"/>
      <c r="AA308" s="2"/>
      <c r="AB308" s="16">
        <v>54.6</v>
      </c>
      <c r="AC308" s="2">
        <v>2030</v>
      </c>
      <c r="AD308" s="2" t="s">
        <v>210</v>
      </c>
      <c r="AE308" s="16"/>
      <c r="AF308" s="16"/>
      <c r="AG308" s="16"/>
      <c r="AH308" s="16"/>
      <c r="AI308" s="8" t="s">
        <v>83</v>
      </c>
      <c r="AJ308" s="2" t="s">
        <v>84</v>
      </c>
      <c r="AK308" s="2">
        <v>1</v>
      </c>
      <c r="AL308" s="8" t="s">
        <v>2551</v>
      </c>
      <c r="AM308" s="8" t="s">
        <v>2552</v>
      </c>
      <c r="AN308" s="2">
        <v>2026</v>
      </c>
      <c r="AO308" s="16">
        <v>5246825</v>
      </c>
      <c r="AP308" s="2">
        <v>2029</v>
      </c>
      <c r="AQ308" s="16">
        <v>22368578</v>
      </c>
      <c r="AR308" s="2" t="s">
        <v>2512</v>
      </c>
      <c r="AS308" s="16">
        <v>62.1</v>
      </c>
      <c r="AT308" s="2">
        <v>2026</v>
      </c>
      <c r="AU308" s="16">
        <v>3998288</v>
      </c>
      <c r="AV308" s="2">
        <v>2029</v>
      </c>
      <c r="AW308" s="16">
        <v>4694730</v>
      </c>
      <c r="AX308" s="2" t="s">
        <v>2512</v>
      </c>
      <c r="AY308" s="16">
        <v>5.5</v>
      </c>
      <c r="AZ308" s="2">
        <v>2026</v>
      </c>
      <c r="BA308" s="16"/>
      <c r="BB308" s="2">
        <v>2029</v>
      </c>
      <c r="BC308" s="16"/>
      <c r="BD308" s="2" t="s">
        <v>2513</v>
      </c>
      <c r="BE308" s="16">
        <v>4.5</v>
      </c>
      <c r="BF308" s="2">
        <v>2026</v>
      </c>
      <c r="BG308" s="16">
        <v>32</v>
      </c>
      <c r="BH308" s="2">
        <v>2029</v>
      </c>
      <c r="BI308" s="16">
        <v>63</v>
      </c>
      <c r="BJ308" s="2" t="s">
        <v>87</v>
      </c>
      <c r="BK308" s="8"/>
      <c r="BL308" s="8" t="str">
        <f>HYPERLINK("https://seichotoushi-hojo.jp/assets/pdf/koufu_3_4ji/outline_134.pdf","PDFを開く")</f>
        <v>PDFを開く</v>
      </c>
      <c r="BM308" s="8" t="s">
        <v>2553</v>
      </c>
      <c r="BN308" s="8" t="s">
        <v>2554</v>
      </c>
      <c r="BO308" s="8" t="s">
        <v>90</v>
      </c>
      <c r="BP308" s="8" t="s">
        <v>90</v>
      </c>
      <c r="BQ308" s="8" t="s">
        <v>91</v>
      </c>
      <c r="BR308" s="8" t="s">
        <v>92</v>
      </c>
    </row>
    <row r="309" spans="1:70" ht="45.95" customHeight="1">
      <c r="A309" s="5" t="s">
        <v>2555</v>
      </c>
      <c r="B309" s="5" t="s">
        <v>2430</v>
      </c>
      <c r="C309" s="5" t="s">
        <v>2556</v>
      </c>
      <c r="D309" s="5" t="s">
        <v>2556</v>
      </c>
      <c r="E309" s="5" t="s">
        <v>75</v>
      </c>
      <c r="F309" s="5"/>
      <c r="G309" s="5">
        <v>2</v>
      </c>
      <c r="H309" s="5">
        <v>0</v>
      </c>
      <c r="I309" s="5">
        <v>1</v>
      </c>
      <c r="J309" s="5">
        <v>1</v>
      </c>
      <c r="K309" s="5">
        <v>0</v>
      </c>
      <c r="L309" s="17">
        <v>4900</v>
      </c>
      <c r="M309" s="17">
        <v>1400</v>
      </c>
      <c r="N309" s="9" t="s">
        <v>2557</v>
      </c>
      <c r="O309" s="13">
        <f t="shared" si="4"/>
        <v>28.571428571428569</v>
      </c>
      <c r="P309" s="5">
        <v>2</v>
      </c>
      <c r="Q309" s="5" t="s">
        <v>77</v>
      </c>
      <c r="R309" s="9" t="s">
        <v>2558</v>
      </c>
      <c r="S309" s="9" t="s">
        <v>2559</v>
      </c>
      <c r="T309" s="9" t="s">
        <v>80</v>
      </c>
      <c r="U309" s="5" t="s">
        <v>81</v>
      </c>
      <c r="V309" s="5">
        <v>2025</v>
      </c>
      <c r="W309" s="17">
        <v>11.2</v>
      </c>
      <c r="X309" s="5">
        <v>2031</v>
      </c>
      <c r="Y309" s="17">
        <v>27.8</v>
      </c>
      <c r="Z309" s="17">
        <v>16.600000000000001</v>
      </c>
      <c r="AA309" s="5">
        <v>2031</v>
      </c>
      <c r="AB309" s="17">
        <v>16.3</v>
      </c>
      <c r="AC309" s="5">
        <v>2031</v>
      </c>
      <c r="AD309" s="5" t="s">
        <v>210</v>
      </c>
      <c r="AE309" s="17"/>
      <c r="AF309" s="17"/>
      <c r="AG309" s="17"/>
      <c r="AH309" s="17"/>
      <c r="AI309" s="9" t="s">
        <v>166</v>
      </c>
      <c r="AJ309" s="5" t="s">
        <v>292</v>
      </c>
      <c r="AK309" s="5">
        <v>1</v>
      </c>
      <c r="AL309" s="9" t="s">
        <v>2560</v>
      </c>
      <c r="AM309" s="9" t="s">
        <v>2561</v>
      </c>
      <c r="AN309" s="5">
        <v>2028</v>
      </c>
      <c r="AO309" s="17">
        <v>11947</v>
      </c>
      <c r="AP309" s="5">
        <v>2031</v>
      </c>
      <c r="AQ309" s="17">
        <v>22602</v>
      </c>
      <c r="AR309" s="5" t="s">
        <v>447</v>
      </c>
      <c r="AS309" s="17">
        <v>23.7</v>
      </c>
      <c r="AT309" s="5">
        <v>2028</v>
      </c>
      <c r="AU309" s="17">
        <v>5067</v>
      </c>
      <c r="AV309" s="5">
        <v>2031</v>
      </c>
      <c r="AW309" s="17">
        <v>6223</v>
      </c>
      <c r="AX309" s="5" t="s">
        <v>447</v>
      </c>
      <c r="AY309" s="17">
        <v>7.1</v>
      </c>
      <c r="AZ309" s="5"/>
      <c r="BA309" s="17"/>
      <c r="BB309" s="5"/>
      <c r="BC309" s="17"/>
      <c r="BD309" s="5"/>
      <c r="BE309" s="17"/>
      <c r="BF309" s="5">
        <v>2028</v>
      </c>
      <c r="BG309" s="17">
        <v>27</v>
      </c>
      <c r="BH309" s="5">
        <v>2031</v>
      </c>
      <c r="BI309" s="17">
        <v>57</v>
      </c>
      <c r="BJ309" s="5" t="s">
        <v>87</v>
      </c>
      <c r="BK309" s="9"/>
      <c r="BL309" s="9" t="str">
        <f>HYPERLINK("https://seichotoushi-hojo.jp/assets/pdf/koufu_3_4ji/outline_135.pdf","PDFを開く")</f>
        <v>PDFを開く</v>
      </c>
      <c r="BM309" s="9" t="s">
        <v>2562</v>
      </c>
      <c r="BN309" s="9" t="s">
        <v>2563</v>
      </c>
      <c r="BO309" s="9" t="s">
        <v>166</v>
      </c>
      <c r="BP309" s="9" t="s">
        <v>166</v>
      </c>
      <c r="BQ309" s="9" t="s">
        <v>157</v>
      </c>
      <c r="BR309" s="9" t="s">
        <v>166</v>
      </c>
    </row>
    <row r="310" spans="1:70" ht="45.95" customHeight="1">
      <c r="A310" s="2" t="s">
        <v>2564</v>
      </c>
      <c r="B310" s="2" t="s">
        <v>2430</v>
      </c>
      <c r="C310" s="2" t="s">
        <v>2565</v>
      </c>
      <c r="D310" s="2" t="s">
        <v>2565</v>
      </c>
      <c r="E310" s="2"/>
      <c r="F310" s="2"/>
      <c r="G310" s="2">
        <v>2</v>
      </c>
      <c r="H310" s="2">
        <v>0</v>
      </c>
      <c r="I310" s="2">
        <v>1</v>
      </c>
      <c r="J310" s="2">
        <v>1</v>
      </c>
      <c r="K310" s="2">
        <v>0</v>
      </c>
      <c r="L310" s="16">
        <v>4900</v>
      </c>
      <c r="M310" s="16">
        <v>750</v>
      </c>
      <c r="N310" s="8" t="s">
        <v>2566</v>
      </c>
      <c r="O310" s="12">
        <f t="shared" si="4"/>
        <v>15.306122448979592</v>
      </c>
      <c r="P310" s="2">
        <v>2</v>
      </c>
      <c r="Q310" s="2" t="s">
        <v>77</v>
      </c>
      <c r="R310" s="8" t="s">
        <v>2567</v>
      </c>
      <c r="S310" s="8" t="s">
        <v>2568</v>
      </c>
      <c r="T310" s="8" t="s">
        <v>80</v>
      </c>
      <c r="U310" s="2" t="s">
        <v>81</v>
      </c>
      <c r="V310" s="2"/>
      <c r="W310" s="16"/>
      <c r="X310" s="2">
        <v>2030</v>
      </c>
      <c r="Y310" s="16"/>
      <c r="Z310" s="16">
        <v>11.37</v>
      </c>
      <c r="AA310" s="2">
        <v>2030</v>
      </c>
      <c r="AB310" s="16">
        <v>17.68</v>
      </c>
      <c r="AC310" s="2">
        <v>2030</v>
      </c>
      <c r="AD310" s="2" t="s">
        <v>210</v>
      </c>
      <c r="AE310" s="16">
        <v>163</v>
      </c>
      <c r="AF310" s="16"/>
      <c r="AG310" s="16"/>
      <c r="AH310" s="16"/>
      <c r="AI310" s="8" t="s">
        <v>166</v>
      </c>
      <c r="AJ310" s="2" t="s">
        <v>292</v>
      </c>
      <c r="AK310" s="2">
        <v>1</v>
      </c>
      <c r="AL310" s="8" t="s">
        <v>2569</v>
      </c>
      <c r="AM310" s="8"/>
      <c r="AN310" s="2"/>
      <c r="AO310" s="16">
        <v>9860</v>
      </c>
      <c r="AP310" s="2"/>
      <c r="AQ310" s="16">
        <v>15912</v>
      </c>
      <c r="AR310" s="2" t="s">
        <v>447</v>
      </c>
      <c r="AS310" s="16">
        <v>17.3</v>
      </c>
      <c r="AT310" s="2"/>
      <c r="AU310" s="16">
        <v>4828</v>
      </c>
      <c r="AV310" s="2"/>
      <c r="AW310" s="16">
        <v>5991</v>
      </c>
      <c r="AX310" s="2" t="s">
        <v>447</v>
      </c>
      <c r="AY310" s="16">
        <v>7.5</v>
      </c>
      <c r="AZ310" s="2"/>
      <c r="BA310" s="16"/>
      <c r="BB310" s="2"/>
      <c r="BC310" s="16"/>
      <c r="BD310" s="2" t="s">
        <v>447</v>
      </c>
      <c r="BE310" s="16">
        <v>4.9000000000000004</v>
      </c>
      <c r="BF310" s="2"/>
      <c r="BG310" s="16">
        <v>70</v>
      </c>
      <c r="BH310" s="2"/>
      <c r="BI310" s="16">
        <v>93</v>
      </c>
      <c r="BJ310" s="2" t="s">
        <v>87</v>
      </c>
      <c r="BK310" s="8" t="s">
        <v>1325</v>
      </c>
      <c r="BL310" s="8" t="str">
        <f>HYPERLINK("https://seichotoushi-hojo.jp/assets/pdf/koufu_3_4ji/outline_136.pdf","PDFを開く")</f>
        <v>PDFを開く</v>
      </c>
      <c r="BM310" s="8" t="s">
        <v>2570</v>
      </c>
      <c r="BN310" s="8" t="s">
        <v>2571</v>
      </c>
      <c r="BO310" s="8" t="s">
        <v>90</v>
      </c>
      <c r="BP310" s="8" t="s">
        <v>90</v>
      </c>
      <c r="BQ310" s="8" t="s">
        <v>91</v>
      </c>
      <c r="BR310" s="8" t="s">
        <v>92</v>
      </c>
    </row>
    <row r="311" spans="1:70" ht="45.95" customHeight="1">
      <c r="A311" s="5" t="s">
        <v>2572</v>
      </c>
      <c r="B311" s="5" t="s">
        <v>2430</v>
      </c>
      <c r="C311" s="5" t="s">
        <v>2573</v>
      </c>
      <c r="D311" s="5" t="s">
        <v>2574</v>
      </c>
      <c r="E311" s="5" t="s">
        <v>95</v>
      </c>
      <c r="F311" s="5"/>
      <c r="G311" s="5">
        <v>2</v>
      </c>
      <c r="H311" s="5">
        <v>0</v>
      </c>
      <c r="I311" s="5">
        <v>1</v>
      </c>
      <c r="J311" s="5">
        <v>1</v>
      </c>
      <c r="K311" s="5">
        <v>0</v>
      </c>
      <c r="L311" s="17">
        <v>1200</v>
      </c>
      <c r="M311" s="17">
        <v>400</v>
      </c>
      <c r="N311" s="9" t="s">
        <v>603</v>
      </c>
      <c r="O311" s="13">
        <f t="shared" si="4"/>
        <v>33.333333333333329</v>
      </c>
      <c r="P311" s="5">
        <v>2</v>
      </c>
      <c r="Q311" s="5" t="s">
        <v>77</v>
      </c>
      <c r="R311" s="9" t="s">
        <v>603</v>
      </c>
      <c r="S311" s="9" t="s">
        <v>2575</v>
      </c>
      <c r="T311" s="9" t="s">
        <v>80</v>
      </c>
      <c r="U311" s="5" t="s">
        <v>81</v>
      </c>
      <c r="V311" s="5">
        <v>2025</v>
      </c>
      <c r="W311" s="17">
        <v>13.4</v>
      </c>
      <c r="X311" s="5">
        <v>2029</v>
      </c>
      <c r="Y311" s="17">
        <v>13.4</v>
      </c>
      <c r="Z311" s="17">
        <v>2.4</v>
      </c>
      <c r="AA311" s="5">
        <v>2029</v>
      </c>
      <c r="AB311" s="17">
        <v>148.1</v>
      </c>
      <c r="AC311" s="5">
        <v>2029</v>
      </c>
      <c r="AD311" s="5" t="s">
        <v>82</v>
      </c>
      <c r="AE311" s="17"/>
      <c r="AF311" s="17"/>
      <c r="AG311" s="17">
        <v>0</v>
      </c>
      <c r="AH311" s="17"/>
      <c r="AI311" s="9" t="s">
        <v>200</v>
      </c>
      <c r="AJ311" s="5" t="s">
        <v>84</v>
      </c>
      <c r="AK311" s="5">
        <v>1</v>
      </c>
      <c r="AL311" s="9" t="s">
        <v>2576</v>
      </c>
      <c r="AM311" s="9" t="s">
        <v>2577</v>
      </c>
      <c r="AN311" s="5">
        <v>2028</v>
      </c>
      <c r="AO311" s="17">
        <v>780</v>
      </c>
      <c r="AP311" s="5">
        <v>2031</v>
      </c>
      <c r="AQ311" s="17">
        <v>1078</v>
      </c>
      <c r="AR311" s="5" t="s">
        <v>86</v>
      </c>
      <c r="AS311" s="17">
        <v>11.4</v>
      </c>
      <c r="AT311" s="5">
        <v>2028</v>
      </c>
      <c r="AU311" s="17">
        <v>262</v>
      </c>
      <c r="AV311" s="5">
        <v>2031</v>
      </c>
      <c r="AW311" s="17">
        <v>321</v>
      </c>
      <c r="AX311" s="5" t="s">
        <v>86</v>
      </c>
      <c r="AY311" s="17">
        <v>7</v>
      </c>
      <c r="AZ311" s="5">
        <v>2028</v>
      </c>
      <c r="BA311" s="17">
        <v>870</v>
      </c>
      <c r="BB311" s="5">
        <v>2031</v>
      </c>
      <c r="BC311" s="17">
        <v>1056</v>
      </c>
      <c r="BD311" s="5" t="s">
        <v>86</v>
      </c>
      <c r="BE311" s="17">
        <v>7</v>
      </c>
      <c r="BF311" s="5">
        <v>2028</v>
      </c>
      <c r="BG311" s="17">
        <v>57</v>
      </c>
      <c r="BH311" s="5">
        <v>2031</v>
      </c>
      <c r="BI311" s="17">
        <v>63</v>
      </c>
      <c r="BJ311" s="5" t="s">
        <v>87</v>
      </c>
      <c r="BK311" s="9"/>
      <c r="BL311" s="9" t="str">
        <f>HYPERLINK("https://seichotoushi-hojo.jp/assets/pdf/koufu_3_4ji/outline_137.pdf","PDFを開く")</f>
        <v>PDFを開く</v>
      </c>
      <c r="BM311" s="9" t="s">
        <v>2578</v>
      </c>
      <c r="BN311" s="9" t="s">
        <v>2579</v>
      </c>
      <c r="BO311" s="9" t="s">
        <v>90</v>
      </c>
      <c r="BP311" s="9" t="s">
        <v>166</v>
      </c>
      <c r="BQ311" s="9" t="s">
        <v>166</v>
      </c>
      <c r="BR311" s="9" t="s">
        <v>92</v>
      </c>
    </row>
    <row r="312" spans="1:70" ht="45.95" customHeight="1">
      <c r="A312" s="2" t="s">
        <v>2580</v>
      </c>
      <c r="B312" s="2" t="s">
        <v>2430</v>
      </c>
      <c r="C312" s="2" t="s">
        <v>2581</v>
      </c>
      <c r="D312" s="2" t="s">
        <v>2581</v>
      </c>
      <c r="E312" s="2" t="s">
        <v>75</v>
      </c>
      <c r="F312" s="2"/>
      <c r="G312" s="2">
        <v>4</v>
      </c>
      <c r="H312" s="2">
        <v>0</v>
      </c>
      <c r="I312" s="2">
        <v>2</v>
      </c>
      <c r="J312" s="2">
        <v>2</v>
      </c>
      <c r="K312" s="2">
        <v>0</v>
      </c>
      <c r="L312" s="16">
        <v>2495</v>
      </c>
      <c r="M312" s="16">
        <v>832</v>
      </c>
      <c r="N312" s="8" t="s">
        <v>2582</v>
      </c>
      <c r="O312" s="12">
        <f t="shared" si="4"/>
        <v>33.346693386773545</v>
      </c>
      <c r="P312" s="2">
        <v>3</v>
      </c>
      <c r="Q312" s="2" t="s">
        <v>77</v>
      </c>
      <c r="R312" s="8" t="s">
        <v>2582</v>
      </c>
      <c r="S312" s="8" t="s">
        <v>2583</v>
      </c>
      <c r="T312" s="8" t="s">
        <v>80</v>
      </c>
      <c r="U312" s="2" t="s">
        <v>81</v>
      </c>
      <c r="V312" s="2">
        <v>2024</v>
      </c>
      <c r="W312" s="16"/>
      <c r="X312" s="2">
        <v>2031</v>
      </c>
      <c r="Y312" s="16"/>
      <c r="Z312" s="16">
        <v>232.83</v>
      </c>
      <c r="AA312" s="2">
        <v>2031</v>
      </c>
      <c r="AB312" s="16">
        <v>15.9</v>
      </c>
      <c r="AC312" s="2">
        <v>2031</v>
      </c>
      <c r="AD312" s="2" t="s">
        <v>82</v>
      </c>
      <c r="AE312" s="16"/>
      <c r="AF312" s="16"/>
      <c r="AG312" s="16"/>
      <c r="AH312" s="16"/>
      <c r="AI312" s="8" t="s">
        <v>83</v>
      </c>
      <c r="AJ312" s="2" t="s">
        <v>84</v>
      </c>
      <c r="AK312" s="2">
        <v>1</v>
      </c>
      <c r="AL312" s="8" t="s">
        <v>2584</v>
      </c>
      <c r="AM312" s="8"/>
      <c r="AN312" s="2">
        <v>2028</v>
      </c>
      <c r="AO312" s="16">
        <v>6539</v>
      </c>
      <c r="AP312" s="2">
        <v>2031</v>
      </c>
      <c r="AQ312" s="16">
        <v>21814</v>
      </c>
      <c r="AR312" s="2" t="s">
        <v>447</v>
      </c>
      <c r="AS312" s="16">
        <v>49.4</v>
      </c>
      <c r="AT312" s="2">
        <v>2028</v>
      </c>
      <c r="AU312" s="16">
        <v>4682</v>
      </c>
      <c r="AV312" s="2">
        <v>2031</v>
      </c>
      <c r="AW312" s="16">
        <v>5735</v>
      </c>
      <c r="AX312" s="2" t="s">
        <v>447</v>
      </c>
      <c r="AY312" s="16">
        <v>7</v>
      </c>
      <c r="AZ312" s="2">
        <v>2028</v>
      </c>
      <c r="BA312" s="16">
        <v>17310</v>
      </c>
      <c r="BB312" s="2">
        <v>2031</v>
      </c>
      <c r="BC312" s="16">
        <v>20211</v>
      </c>
      <c r="BD312" s="2" t="s">
        <v>447</v>
      </c>
      <c r="BE312" s="16">
        <v>5.3</v>
      </c>
      <c r="BF312" s="2">
        <v>2028</v>
      </c>
      <c r="BG312" s="16">
        <v>270</v>
      </c>
      <c r="BH312" s="2">
        <v>2031</v>
      </c>
      <c r="BI312" s="16">
        <v>294</v>
      </c>
      <c r="BJ312" s="2" t="s">
        <v>87</v>
      </c>
      <c r="BK312" s="8"/>
      <c r="BL312" s="8" t="str">
        <f>HYPERLINK("https://seichotoushi-hojo.jp/assets/pdf/koufu_3_4ji/outline_138.pdf","PDFを開く")</f>
        <v>PDFを開く</v>
      </c>
      <c r="BM312" s="8" t="s">
        <v>2585</v>
      </c>
      <c r="BN312" s="8" t="s">
        <v>2586</v>
      </c>
      <c r="BO312" s="8" t="s">
        <v>90</v>
      </c>
      <c r="BP312" s="8" t="s">
        <v>90</v>
      </c>
      <c r="BQ312" s="8" t="s">
        <v>90</v>
      </c>
      <c r="BR312" s="8" t="s">
        <v>92</v>
      </c>
    </row>
    <row r="313" spans="1:70" ht="45.95" customHeight="1">
      <c r="A313" s="5" t="s">
        <v>2587</v>
      </c>
      <c r="B313" s="5" t="s">
        <v>2430</v>
      </c>
      <c r="C313" s="5" t="s">
        <v>2588</v>
      </c>
      <c r="D313" s="5" t="s">
        <v>2588</v>
      </c>
      <c r="E313" s="5" t="s">
        <v>186</v>
      </c>
      <c r="F313" s="5"/>
      <c r="G313" s="5">
        <v>2</v>
      </c>
      <c r="H313" s="5">
        <v>0</v>
      </c>
      <c r="I313" s="5">
        <v>1</v>
      </c>
      <c r="J313" s="5">
        <v>1</v>
      </c>
      <c r="K313" s="5">
        <v>0</v>
      </c>
      <c r="L313" s="17">
        <v>2151</v>
      </c>
      <c r="M313" s="17">
        <v>640</v>
      </c>
      <c r="N313" s="9" t="s">
        <v>2589</v>
      </c>
      <c r="O313" s="13">
        <f t="shared" si="4"/>
        <v>29.753602975360298</v>
      </c>
      <c r="P313" s="5">
        <v>2</v>
      </c>
      <c r="Q313" s="5" t="s">
        <v>77</v>
      </c>
      <c r="R313" s="9" t="s">
        <v>2589</v>
      </c>
      <c r="S313" s="9" t="s">
        <v>2590</v>
      </c>
      <c r="T313" s="9" t="s">
        <v>80</v>
      </c>
      <c r="U313" s="5" t="s">
        <v>81</v>
      </c>
      <c r="V313" s="5">
        <v>2025</v>
      </c>
      <c r="W313" s="17"/>
      <c r="X313" s="5">
        <v>2029</v>
      </c>
      <c r="Y313" s="17">
        <v>108.84</v>
      </c>
      <c r="Z313" s="17"/>
      <c r="AA313" s="5"/>
      <c r="AB313" s="17">
        <v>26</v>
      </c>
      <c r="AC313" s="5">
        <v>2029</v>
      </c>
      <c r="AD313" s="5" t="s">
        <v>210</v>
      </c>
      <c r="AE313" s="17"/>
      <c r="AF313" s="17"/>
      <c r="AG313" s="17"/>
      <c r="AH313" s="17"/>
      <c r="AI313" s="9" t="s">
        <v>83</v>
      </c>
      <c r="AJ313" s="5" t="s">
        <v>587</v>
      </c>
      <c r="AK313" s="5">
        <v>1</v>
      </c>
      <c r="AL313" s="9" t="s">
        <v>2591</v>
      </c>
      <c r="AM313" s="9" t="s">
        <v>2592</v>
      </c>
      <c r="AN313" s="5"/>
      <c r="AO313" s="17">
        <v>6647</v>
      </c>
      <c r="AP313" s="5"/>
      <c r="AQ313" s="17">
        <v>15637</v>
      </c>
      <c r="AR313" s="5" t="s">
        <v>447</v>
      </c>
      <c r="AS313" s="17">
        <v>33</v>
      </c>
      <c r="AT313" s="5"/>
      <c r="AU313" s="17">
        <v>3874</v>
      </c>
      <c r="AV313" s="5"/>
      <c r="AW313" s="17">
        <v>4746</v>
      </c>
      <c r="AX313" s="5" t="s">
        <v>447</v>
      </c>
      <c r="AY313" s="17">
        <v>7</v>
      </c>
      <c r="AZ313" s="5"/>
      <c r="BA313" s="17"/>
      <c r="BB313" s="5"/>
      <c r="BC313" s="17"/>
      <c r="BD313" s="5" t="s">
        <v>447</v>
      </c>
      <c r="BE313" s="17">
        <v>7</v>
      </c>
      <c r="BF313" s="5"/>
      <c r="BG313" s="17">
        <v>252</v>
      </c>
      <c r="BH313" s="5"/>
      <c r="BI313" s="17">
        <v>274</v>
      </c>
      <c r="BJ313" s="5" t="s">
        <v>87</v>
      </c>
      <c r="BK313" s="9" t="s">
        <v>181</v>
      </c>
      <c r="BL313" s="9" t="str">
        <f>HYPERLINK("https://seichotoushi-hojo.jp/assets/pdf/koufu_3_4ji/outline_139.pdf","PDFを開く")</f>
        <v>PDFを開く</v>
      </c>
      <c r="BM313" s="9" t="s">
        <v>2593</v>
      </c>
      <c r="BN313" s="9" t="s">
        <v>2594</v>
      </c>
      <c r="BO313" s="9" t="s">
        <v>90</v>
      </c>
      <c r="BP313" s="9" t="s">
        <v>90</v>
      </c>
      <c r="BQ313" s="9" t="s">
        <v>91</v>
      </c>
      <c r="BR313" s="9" t="s">
        <v>92</v>
      </c>
    </row>
    <row r="314" spans="1:70" ht="45.95" customHeight="1">
      <c r="A314" s="2" t="s">
        <v>2595</v>
      </c>
      <c r="B314" s="2" t="s">
        <v>2430</v>
      </c>
      <c r="C314" s="2" t="s">
        <v>2596</v>
      </c>
      <c r="D314" s="2" t="s">
        <v>2596</v>
      </c>
      <c r="E314" s="2" t="s">
        <v>75</v>
      </c>
      <c r="F314" s="2" t="s">
        <v>2597</v>
      </c>
      <c r="G314" s="2">
        <v>3</v>
      </c>
      <c r="H314" s="2">
        <v>0</v>
      </c>
      <c r="I314" s="2">
        <v>1</v>
      </c>
      <c r="J314" s="2">
        <v>2</v>
      </c>
      <c r="K314" s="2">
        <v>0</v>
      </c>
      <c r="L314" s="16">
        <v>2131</v>
      </c>
      <c r="M314" s="16">
        <v>596</v>
      </c>
      <c r="N314" s="8" t="s">
        <v>2598</v>
      </c>
      <c r="O314" s="12">
        <f t="shared" si="4"/>
        <v>27.968090098545282</v>
      </c>
      <c r="P314" s="2">
        <v>2</v>
      </c>
      <c r="Q314" s="2" t="s">
        <v>77</v>
      </c>
      <c r="R314" s="8" t="s">
        <v>2599</v>
      </c>
      <c r="S314" s="8" t="s">
        <v>2600</v>
      </c>
      <c r="T314" s="8" t="s">
        <v>80</v>
      </c>
      <c r="U314" s="2" t="s">
        <v>81</v>
      </c>
      <c r="V314" s="2">
        <v>2025</v>
      </c>
      <c r="W314" s="16">
        <v>122.52</v>
      </c>
      <c r="X314" s="2">
        <v>2032</v>
      </c>
      <c r="Y314" s="16">
        <v>200</v>
      </c>
      <c r="Z314" s="16">
        <v>99.82</v>
      </c>
      <c r="AA314" s="2">
        <v>2032</v>
      </c>
      <c r="AB314" s="16">
        <v>14.5</v>
      </c>
      <c r="AC314" s="2">
        <v>2032</v>
      </c>
      <c r="AD314" s="2" t="s">
        <v>210</v>
      </c>
      <c r="AE314" s="16"/>
      <c r="AF314" s="16"/>
      <c r="AG314" s="16">
        <v>7.2514782498567243</v>
      </c>
      <c r="AH314" s="16"/>
      <c r="AI314" s="8" t="s">
        <v>120</v>
      </c>
      <c r="AJ314" s="2" t="s">
        <v>84</v>
      </c>
      <c r="AK314" s="2">
        <v>1</v>
      </c>
      <c r="AL314" s="8" t="s">
        <v>2601</v>
      </c>
      <c r="AM314" s="8" t="s">
        <v>2602</v>
      </c>
      <c r="AN314" s="2"/>
      <c r="AO314" s="16">
        <v>12519</v>
      </c>
      <c r="AP314" s="2"/>
      <c r="AQ314" s="16">
        <v>28886</v>
      </c>
      <c r="AR314" s="2" t="s">
        <v>447</v>
      </c>
      <c r="AS314" s="16">
        <v>32.1</v>
      </c>
      <c r="AT314" s="2"/>
      <c r="AU314" s="16">
        <v>5651</v>
      </c>
      <c r="AV314" s="2"/>
      <c r="AW314" s="16">
        <v>7001</v>
      </c>
      <c r="AX314" s="2" t="s">
        <v>447</v>
      </c>
      <c r="AY314" s="16">
        <v>7.4</v>
      </c>
      <c r="AZ314" s="2"/>
      <c r="BA314" s="16"/>
      <c r="BB314" s="2"/>
      <c r="BC314" s="16"/>
      <c r="BD314" s="2" t="s">
        <v>447</v>
      </c>
      <c r="BE314" s="16">
        <v>6.6</v>
      </c>
      <c r="BF314" s="2"/>
      <c r="BG314" s="16">
        <v>209</v>
      </c>
      <c r="BH314" s="2"/>
      <c r="BI314" s="16">
        <v>213</v>
      </c>
      <c r="BJ314" s="2" t="s">
        <v>87</v>
      </c>
      <c r="BK314" s="8"/>
      <c r="BL314" s="8" t="str">
        <f>HYPERLINK("https://seichotoushi-hojo.jp/assets/pdf/koufu_3_4ji/outline_141.pdf","PDFを開く")</f>
        <v>PDFを開く</v>
      </c>
      <c r="BM314" s="8" t="s">
        <v>2603</v>
      </c>
      <c r="BN314" s="8" t="s">
        <v>2604</v>
      </c>
      <c r="BO314" s="8" t="s">
        <v>90</v>
      </c>
      <c r="BP314" s="8" t="s">
        <v>90</v>
      </c>
      <c r="BQ314" s="8" t="s">
        <v>91</v>
      </c>
      <c r="BR314" s="8" t="s">
        <v>92</v>
      </c>
    </row>
    <row r="315" spans="1:70" ht="45.95" customHeight="1">
      <c r="A315" s="5" t="s">
        <v>2605</v>
      </c>
      <c r="B315" s="5" t="s">
        <v>2430</v>
      </c>
      <c r="C315" s="5" t="s">
        <v>2606</v>
      </c>
      <c r="D315" s="5" t="s">
        <v>2606</v>
      </c>
      <c r="E315" s="5" t="s">
        <v>186</v>
      </c>
      <c r="F315" s="5"/>
      <c r="G315" s="5">
        <v>2</v>
      </c>
      <c r="H315" s="5">
        <v>0</v>
      </c>
      <c r="I315" s="5">
        <v>1</v>
      </c>
      <c r="J315" s="5">
        <v>1</v>
      </c>
      <c r="K315" s="5">
        <v>0</v>
      </c>
      <c r="L315" s="17">
        <v>2630</v>
      </c>
      <c r="M315" s="17">
        <v>859</v>
      </c>
      <c r="N315" s="9" t="s">
        <v>2607</v>
      </c>
      <c r="O315" s="13">
        <f t="shared" si="4"/>
        <v>32.661596958174904</v>
      </c>
      <c r="P315" s="5">
        <v>2</v>
      </c>
      <c r="Q315" s="5" t="s">
        <v>77</v>
      </c>
      <c r="R315" s="9" t="s">
        <v>2607</v>
      </c>
      <c r="S315" s="9" t="s">
        <v>2608</v>
      </c>
      <c r="T315" s="9" t="s">
        <v>80</v>
      </c>
      <c r="U315" s="5" t="s">
        <v>81</v>
      </c>
      <c r="V315" s="5"/>
      <c r="W315" s="17"/>
      <c r="X315" s="5">
        <v>2030</v>
      </c>
      <c r="Y315" s="17"/>
      <c r="Z315" s="17">
        <v>114</v>
      </c>
      <c r="AA315" s="5">
        <v>2030</v>
      </c>
      <c r="AB315" s="17">
        <v>21.8</v>
      </c>
      <c r="AC315" s="5">
        <v>2030</v>
      </c>
      <c r="AD315" s="5" t="s">
        <v>82</v>
      </c>
      <c r="AE315" s="17"/>
      <c r="AF315" s="17"/>
      <c r="AG315" s="17"/>
      <c r="AH315" s="17"/>
      <c r="AI315" s="9" t="s">
        <v>83</v>
      </c>
      <c r="AJ315" s="5" t="s">
        <v>84</v>
      </c>
      <c r="AK315" s="5">
        <v>1</v>
      </c>
      <c r="AL315" s="9" t="s">
        <v>2609</v>
      </c>
      <c r="AM315" s="9"/>
      <c r="AN315" s="5">
        <v>2026</v>
      </c>
      <c r="AO315" s="17">
        <v>9669</v>
      </c>
      <c r="AP315" s="5">
        <v>2029</v>
      </c>
      <c r="AQ315" s="17">
        <v>17259</v>
      </c>
      <c r="AR315" s="5" t="s">
        <v>447</v>
      </c>
      <c r="AS315" s="17">
        <v>21.3</v>
      </c>
      <c r="AT315" s="5">
        <v>2026</v>
      </c>
      <c r="AU315" s="17">
        <v>2329</v>
      </c>
      <c r="AV315" s="5">
        <v>2029</v>
      </c>
      <c r="AW315" s="17">
        <v>2837</v>
      </c>
      <c r="AX315" s="5" t="s">
        <v>447</v>
      </c>
      <c r="AY315" s="17">
        <v>6.8</v>
      </c>
      <c r="AZ315" s="5">
        <v>2026</v>
      </c>
      <c r="BA315" s="17"/>
      <c r="BB315" s="5">
        <v>2029</v>
      </c>
      <c r="BC315" s="17"/>
      <c r="BD315" s="5" t="s">
        <v>447</v>
      </c>
      <c r="BE315" s="17">
        <v>6.8</v>
      </c>
      <c r="BF315" s="5">
        <v>2026</v>
      </c>
      <c r="BG315" s="17">
        <v>175</v>
      </c>
      <c r="BH315" s="5">
        <v>2029</v>
      </c>
      <c r="BI315" s="17">
        <v>192</v>
      </c>
      <c r="BJ315" s="5" t="s">
        <v>87</v>
      </c>
      <c r="BK315" s="9"/>
      <c r="BL315" s="9" t="str">
        <f>HYPERLINK("https://seichotoushi-hojo.jp/assets/pdf/koufu_3_4ji/outline_143.pdf","PDFを開く")</f>
        <v>PDFを開く</v>
      </c>
      <c r="BM315" s="9" t="s">
        <v>2610</v>
      </c>
      <c r="BN315" s="9" t="s">
        <v>2611</v>
      </c>
      <c r="BO315" s="9" t="s">
        <v>90</v>
      </c>
      <c r="BP315" s="9" t="s">
        <v>90</v>
      </c>
      <c r="BQ315" s="9" t="s">
        <v>91</v>
      </c>
      <c r="BR315" s="9" t="s">
        <v>92</v>
      </c>
    </row>
    <row r="316" spans="1:70" ht="45.95" customHeight="1">
      <c r="A316" s="2" t="s">
        <v>2612</v>
      </c>
      <c r="B316" s="2" t="s">
        <v>2430</v>
      </c>
      <c r="C316" s="2" t="s">
        <v>2613</v>
      </c>
      <c r="D316" s="2" t="s">
        <v>2613</v>
      </c>
      <c r="E316" s="2" t="s">
        <v>95</v>
      </c>
      <c r="F316" s="2"/>
      <c r="G316" s="2">
        <v>2</v>
      </c>
      <c r="H316" s="2">
        <v>0</v>
      </c>
      <c r="I316" s="2">
        <v>1</v>
      </c>
      <c r="J316" s="2">
        <v>1</v>
      </c>
      <c r="K316" s="2">
        <v>0</v>
      </c>
      <c r="L316" s="16">
        <v>1769</v>
      </c>
      <c r="M316" s="16">
        <v>590</v>
      </c>
      <c r="N316" s="8" t="s">
        <v>2614</v>
      </c>
      <c r="O316" s="12">
        <f t="shared" si="4"/>
        <v>33.352176370830975</v>
      </c>
      <c r="P316" s="2">
        <v>2</v>
      </c>
      <c r="Q316" s="2" t="s">
        <v>77</v>
      </c>
      <c r="R316" s="8" t="s">
        <v>2615</v>
      </c>
      <c r="S316" s="8" t="s">
        <v>2616</v>
      </c>
      <c r="T316" s="8" t="s">
        <v>80</v>
      </c>
      <c r="U316" s="2" t="s">
        <v>81</v>
      </c>
      <c r="V316" s="2"/>
      <c r="W316" s="16"/>
      <c r="X316" s="2">
        <v>2030</v>
      </c>
      <c r="Y316" s="16"/>
      <c r="Z316" s="16">
        <v>109</v>
      </c>
      <c r="AA316" s="2">
        <v>2030</v>
      </c>
      <c r="AB316" s="16">
        <v>30</v>
      </c>
      <c r="AC316" s="2">
        <v>2030</v>
      </c>
      <c r="AD316" s="2" t="s">
        <v>82</v>
      </c>
      <c r="AE316" s="16"/>
      <c r="AF316" s="16"/>
      <c r="AG316" s="16"/>
      <c r="AH316" s="16"/>
      <c r="AI316" s="8" t="s">
        <v>83</v>
      </c>
      <c r="AJ316" s="2" t="s">
        <v>84</v>
      </c>
      <c r="AK316" s="2">
        <v>1</v>
      </c>
      <c r="AL316" s="8" t="s">
        <v>2617</v>
      </c>
      <c r="AM316" s="8"/>
      <c r="AN316" s="2"/>
      <c r="AO316" s="16">
        <v>10990</v>
      </c>
      <c r="AP316" s="2"/>
      <c r="AQ316" s="16">
        <v>22268</v>
      </c>
      <c r="AR316" s="2" t="s">
        <v>447</v>
      </c>
      <c r="AS316" s="16">
        <v>26.5</v>
      </c>
      <c r="AT316" s="2"/>
      <c r="AU316" s="16">
        <v>4743</v>
      </c>
      <c r="AV316" s="2"/>
      <c r="AW316" s="16">
        <v>5810</v>
      </c>
      <c r="AX316" s="2" t="s">
        <v>447</v>
      </c>
      <c r="AY316" s="16">
        <v>7</v>
      </c>
      <c r="AZ316" s="2"/>
      <c r="BA316" s="16"/>
      <c r="BB316" s="2"/>
      <c r="BC316" s="16"/>
      <c r="BD316" s="2" t="s">
        <v>447</v>
      </c>
      <c r="BE316" s="16">
        <v>7</v>
      </c>
      <c r="BF316" s="2"/>
      <c r="BG316" s="16">
        <v>123</v>
      </c>
      <c r="BH316" s="2"/>
      <c r="BI316" s="16">
        <v>168</v>
      </c>
      <c r="BJ316" s="2" t="s">
        <v>87</v>
      </c>
      <c r="BK316" s="8"/>
      <c r="BL316" s="8" t="str">
        <f>HYPERLINK("https://seichotoushi-hojo.jp/assets/pdf/koufu_3_4ji/outline_144.pdf","PDFを開く")</f>
        <v>PDFを開く</v>
      </c>
      <c r="BM316" s="8" t="s">
        <v>2618</v>
      </c>
      <c r="BN316" s="8" t="s">
        <v>2619</v>
      </c>
      <c r="BO316" s="8" t="s">
        <v>90</v>
      </c>
      <c r="BP316" s="8" t="s">
        <v>90</v>
      </c>
      <c r="BQ316" s="8" t="s">
        <v>91</v>
      </c>
      <c r="BR316" s="8" t="s">
        <v>92</v>
      </c>
    </row>
    <row r="317" spans="1:70" ht="45.95" customHeight="1">
      <c r="A317" s="5" t="s">
        <v>2620</v>
      </c>
      <c r="B317" s="5" t="s">
        <v>2430</v>
      </c>
      <c r="C317" s="5" t="s">
        <v>2621</v>
      </c>
      <c r="D317" s="5" t="s">
        <v>2621</v>
      </c>
      <c r="E317" s="5" t="s">
        <v>75</v>
      </c>
      <c r="F317" s="5"/>
      <c r="G317" s="5">
        <v>2</v>
      </c>
      <c r="H317" s="5">
        <v>0</v>
      </c>
      <c r="I317" s="5">
        <v>1</v>
      </c>
      <c r="J317" s="5">
        <v>1</v>
      </c>
      <c r="K317" s="5">
        <v>0</v>
      </c>
      <c r="L317" s="17">
        <v>3100</v>
      </c>
      <c r="M317" s="17">
        <v>980</v>
      </c>
      <c r="N317" s="9" t="s">
        <v>2622</v>
      </c>
      <c r="O317" s="13">
        <f t="shared" si="4"/>
        <v>31.612903225806448</v>
      </c>
      <c r="P317" s="5">
        <v>2</v>
      </c>
      <c r="Q317" s="5" t="s">
        <v>77</v>
      </c>
      <c r="R317" s="9" t="s">
        <v>2623</v>
      </c>
      <c r="S317" s="9" t="s">
        <v>2624</v>
      </c>
      <c r="T317" s="9" t="s">
        <v>80</v>
      </c>
      <c r="U317" s="5" t="s">
        <v>81</v>
      </c>
      <c r="V317" s="5">
        <v>2025</v>
      </c>
      <c r="W317" s="17">
        <v>16.86</v>
      </c>
      <c r="X317" s="5">
        <v>2031</v>
      </c>
      <c r="Y317" s="17">
        <v>16.86</v>
      </c>
      <c r="Z317" s="17">
        <v>1.67</v>
      </c>
      <c r="AA317" s="5">
        <v>2031</v>
      </c>
      <c r="AB317" s="17">
        <v>301.89999999999998</v>
      </c>
      <c r="AC317" s="5">
        <v>2031</v>
      </c>
      <c r="AD317" s="5" t="s">
        <v>82</v>
      </c>
      <c r="AE317" s="17"/>
      <c r="AF317" s="17"/>
      <c r="AG317" s="17">
        <v>0</v>
      </c>
      <c r="AH317" s="17"/>
      <c r="AI317" s="9" t="s">
        <v>200</v>
      </c>
      <c r="AJ317" s="5" t="s">
        <v>84</v>
      </c>
      <c r="AK317" s="5">
        <v>1</v>
      </c>
      <c r="AL317" s="9" t="s">
        <v>2625</v>
      </c>
      <c r="AM317" s="9" t="s">
        <v>2626</v>
      </c>
      <c r="AN317" s="5"/>
      <c r="AO317" s="17">
        <v>2872</v>
      </c>
      <c r="AP317" s="5"/>
      <c r="AQ317" s="17">
        <v>5843</v>
      </c>
      <c r="AR317" s="5" t="s">
        <v>447</v>
      </c>
      <c r="AS317" s="17">
        <v>26.7</v>
      </c>
      <c r="AT317" s="5"/>
      <c r="AU317" s="17">
        <v>1723</v>
      </c>
      <c r="AV317" s="5"/>
      <c r="AW317" s="17">
        <v>2099</v>
      </c>
      <c r="AX317" s="5" t="s">
        <v>447</v>
      </c>
      <c r="AY317" s="17">
        <v>6.8</v>
      </c>
      <c r="AZ317" s="5"/>
      <c r="BA317" s="17">
        <v>7166</v>
      </c>
      <c r="BB317" s="5"/>
      <c r="BC317" s="17">
        <v>8415</v>
      </c>
      <c r="BD317" s="5" t="s">
        <v>447</v>
      </c>
      <c r="BE317" s="17">
        <v>5.5</v>
      </c>
      <c r="BF317" s="5"/>
      <c r="BG317" s="17">
        <v>345</v>
      </c>
      <c r="BH317" s="5"/>
      <c r="BI317" s="17">
        <v>370</v>
      </c>
      <c r="BJ317" s="5" t="s">
        <v>87</v>
      </c>
      <c r="BK317" s="9"/>
      <c r="BL317" s="9" t="str">
        <f>HYPERLINK("https://seichotoushi-hojo.jp/assets/pdf/koufu_3_4ji/outline_145.pdf","PDFを開く")</f>
        <v>PDFを開く</v>
      </c>
      <c r="BM317" s="9" t="s">
        <v>2627</v>
      </c>
      <c r="BN317" s="9" t="s">
        <v>2628</v>
      </c>
      <c r="BO317" s="9" t="s">
        <v>90</v>
      </c>
      <c r="BP317" s="9" t="s">
        <v>90</v>
      </c>
      <c r="BQ317" s="9" t="s">
        <v>90</v>
      </c>
      <c r="BR317" s="9" t="s">
        <v>92</v>
      </c>
    </row>
    <row r="318" spans="1:70" ht="45.95" customHeight="1">
      <c r="A318" s="2" t="s">
        <v>2629</v>
      </c>
      <c r="B318" s="2" t="s">
        <v>2430</v>
      </c>
      <c r="C318" s="2" t="s">
        <v>2630</v>
      </c>
      <c r="D318" s="2" t="s">
        <v>2630</v>
      </c>
      <c r="E318" s="2" t="s">
        <v>186</v>
      </c>
      <c r="F318" s="2"/>
      <c r="G318" s="2">
        <v>2</v>
      </c>
      <c r="H318" s="2">
        <v>0</v>
      </c>
      <c r="I318" s="2">
        <v>1</v>
      </c>
      <c r="J318" s="2">
        <v>1</v>
      </c>
      <c r="K318" s="2">
        <v>0</v>
      </c>
      <c r="L318" s="16">
        <v>4353</v>
      </c>
      <c r="M318" s="16">
        <v>1411</v>
      </c>
      <c r="N318" s="8" t="s">
        <v>2631</v>
      </c>
      <c r="O318" s="12">
        <f t="shared" si="4"/>
        <v>32.414426832069836</v>
      </c>
      <c r="P318" s="2">
        <v>2</v>
      </c>
      <c r="Q318" s="2" t="s">
        <v>77</v>
      </c>
      <c r="R318" s="8" t="s">
        <v>2631</v>
      </c>
      <c r="S318" s="8" t="s">
        <v>2632</v>
      </c>
      <c r="T318" s="8" t="s">
        <v>80</v>
      </c>
      <c r="U318" s="2" t="s">
        <v>81</v>
      </c>
      <c r="V318" s="2">
        <v>2024</v>
      </c>
      <c r="W318" s="16"/>
      <c r="X318" s="2">
        <v>2030</v>
      </c>
      <c r="Y318" s="16"/>
      <c r="Z318" s="16">
        <v>46</v>
      </c>
      <c r="AA318" s="2">
        <v>2030</v>
      </c>
      <c r="AB318" s="16">
        <v>19</v>
      </c>
      <c r="AC318" s="2">
        <v>2030</v>
      </c>
      <c r="AD318" s="2" t="s">
        <v>210</v>
      </c>
      <c r="AE318" s="16"/>
      <c r="AF318" s="16"/>
      <c r="AG318" s="16"/>
      <c r="AH318" s="16"/>
      <c r="AI318" s="8" t="s">
        <v>83</v>
      </c>
      <c r="AJ318" s="2" t="s">
        <v>84</v>
      </c>
      <c r="AK318" s="2">
        <v>1</v>
      </c>
      <c r="AL318" s="8" t="s">
        <v>2633</v>
      </c>
      <c r="AM318" s="8"/>
      <c r="AN318" s="2"/>
      <c r="AO318" s="16">
        <v>16588</v>
      </c>
      <c r="AP318" s="2"/>
      <c r="AQ318" s="16">
        <v>42499</v>
      </c>
      <c r="AR318" s="2" t="s">
        <v>447</v>
      </c>
      <c r="AS318" s="16">
        <v>36.799999999999997</v>
      </c>
      <c r="AT318" s="2"/>
      <c r="AU318" s="16">
        <v>5660</v>
      </c>
      <c r="AV318" s="2"/>
      <c r="AW318" s="16">
        <v>6992</v>
      </c>
      <c r="AX318" s="2" t="s">
        <v>447</v>
      </c>
      <c r="AY318" s="16">
        <v>7.3</v>
      </c>
      <c r="AZ318" s="2"/>
      <c r="BA318" s="16"/>
      <c r="BB318" s="2"/>
      <c r="BC318" s="16"/>
      <c r="BD318" s="2" t="s">
        <v>447</v>
      </c>
      <c r="BE318" s="16">
        <v>7.3</v>
      </c>
      <c r="BF318" s="2"/>
      <c r="BG318" s="16">
        <v>58</v>
      </c>
      <c r="BH318" s="2"/>
      <c r="BI318" s="16">
        <v>69</v>
      </c>
      <c r="BJ318" s="2" t="s">
        <v>87</v>
      </c>
      <c r="BK318" s="8"/>
      <c r="BL318" s="8" t="str">
        <f>HYPERLINK("https://seichotoushi-hojo.jp/assets/pdf/koufu_3_4ji/outline_146.pdf","PDFを開く")</f>
        <v>PDFを開く</v>
      </c>
      <c r="BM318" s="8" t="s">
        <v>2634</v>
      </c>
      <c r="BN318" s="8" t="s">
        <v>2635</v>
      </c>
      <c r="BO318" s="8" t="s">
        <v>90</v>
      </c>
      <c r="BP318" s="8" t="s">
        <v>90</v>
      </c>
      <c r="BQ318" s="8" t="s">
        <v>91</v>
      </c>
      <c r="BR318" s="8" t="s">
        <v>92</v>
      </c>
    </row>
    <row r="319" spans="1:70" ht="45.95" customHeight="1">
      <c r="A319" s="5" t="s">
        <v>2636</v>
      </c>
      <c r="B319" s="5" t="s">
        <v>2430</v>
      </c>
      <c r="C319" s="5" t="s">
        <v>2637</v>
      </c>
      <c r="D319" s="5" t="s">
        <v>2638</v>
      </c>
      <c r="E319" s="5" t="s">
        <v>107</v>
      </c>
      <c r="F319" s="5"/>
      <c r="G319" s="5">
        <v>2</v>
      </c>
      <c r="H319" s="5">
        <v>0</v>
      </c>
      <c r="I319" s="5">
        <v>1</v>
      </c>
      <c r="J319" s="5">
        <v>1</v>
      </c>
      <c r="K319" s="5">
        <v>0</v>
      </c>
      <c r="L319" s="17">
        <v>3473</v>
      </c>
      <c r="M319" s="17">
        <v>699</v>
      </c>
      <c r="N319" s="9" t="s">
        <v>2639</v>
      </c>
      <c r="O319" s="13">
        <f t="shared" si="4"/>
        <v>20.12669162107688</v>
      </c>
      <c r="P319" s="5">
        <v>2</v>
      </c>
      <c r="Q319" s="5" t="s">
        <v>77</v>
      </c>
      <c r="R319" s="9" t="s">
        <v>2640</v>
      </c>
      <c r="S319" s="9" t="s">
        <v>2641</v>
      </c>
      <c r="T319" s="9" t="s">
        <v>80</v>
      </c>
      <c r="U319" s="5" t="s">
        <v>81</v>
      </c>
      <c r="V319" s="5"/>
      <c r="W319" s="17"/>
      <c r="X319" s="5">
        <v>2031</v>
      </c>
      <c r="Y319" s="17"/>
      <c r="Z319" s="17">
        <v>335</v>
      </c>
      <c r="AA319" s="5">
        <v>2031</v>
      </c>
      <c r="AB319" s="17">
        <v>10.3</v>
      </c>
      <c r="AC319" s="5">
        <v>2031</v>
      </c>
      <c r="AD319" s="5" t="s">
        <v>2642</v>
      </c>
      <c r="AE319" s="17"/>
      <c r="AF319" s="17"/>
      <c r="AG319" s="17"/>
      <c r="AH319" s="17"/>
      <c r="AI319" s="9" t="s">
        <v>166</v>
      </c>
      <c r="AJ319" s="5" t="s">
        <v>292</v>
      </c>
      <c r="AK319" s="5">
        <v>1</v>
      </c>
      <c r="AL319" s="9" t="s">
        <v>2643</v>
      </c>
      <c r="AM319" s="9"/>
      <c r="AN319" s="5">
        <v>2028</v>
      </c>
      <c r="AO319" s="17">
        <v>14191</v>
      </c>
      <c r="AP319" s="5">
        <v>2031</v>
      </c>
      <c r="AQ319" s="17">
        <v>24643</v>
      </c>
      <c r="AR319" s="5" t="s">
        <v>447</v>
      </c>
      <c r="AS319" s="17">
        <v>20.2</v>
      </c>
      <c r="AT319" s="5">
        <v>2028</v>
      </c>
      <c r="AU319" s="17">
        <v>6710</v>
      </c>
      <c r="AV319" s="5">
        <v>2031</v>
      </c>
      <c r="AW319" s="17">
        <v>8111</v>
      </c>
      <c r="AX319" s="5" t="s">
        <v>447</v>
      </c>
      <c r="AY319" s="17">
        <v>6.5</v>
      </c>
      <c r="AZ319" s="5"/>
      <c r="BA319" s="17"/>
      <c r="BB319" s="5"/>
      <c r="BC319" s="17"/>
      <c r="BD319" s="5"/>
      <c r="BE319" s="17"/>
      <c r="BF319" s="5">
        <v>2028</v>
      </c>
      <c r="BG319" s="17">
        <v>154</v>
      </c>
      <c r="BH319" s="5">
        <v>2031</v>
      </c>
      <c r="BI319" s="17">
        <v>210</v>
      </c>
      <c r="BJ319" s="5" t="s">
        <v>87</v>
      </c>
      <c r="BK319" s="9"/>
      <c r="BL319" s="9" t="str">
        <f>HYPERLINK("https://seichotoushi-hojo.jp/assets/pdf/koufu_3_4ji/outline_147.pdf","PDFを開く")</f>
        <v>PDFを開く</v>
      </c>
      <c r="BM319" s="9" t="s">
        <v>2644</v>
      </c>
      <c r="BN319" s="9" t="s">
        <v>2645</v>
      </c>
      <c r="BO319" s="9" t="s">
        <v>90</v>
      </c>
      <c r="BP319" s="9" t="s">
        <v>90</v>
      </c>
      <c r="BQ319" s="9" t="s">
        <v>156</v>
      </c>
      <c r="BR319" s="9" t="s">
        <v>92</v>
      </c>
    </row>
    <row r="320" spans="1:70" ht="45.95" customHeight="1">
      <c r="A320" s="2" t="s">
        <v>2646</v>
      </c>
      <c r="B320" s="2" t="s">
        <v>2430</v>
      </c>
      <c r="C320" s="2" t="s">
        <v>2647</v>
      </c>
      <c r="D320" s="2" t="s">
        <v>2647</v>
      </c>
      <c r="E320" s="2" t="s">
        <v>75</v>
      </c>
      <c r="F320" s="2"/>
      <c r="G320" s="2">
        <v>2</v>
      </c>
      <c r="H320" s="2">
        <v>0</v>
      </c>
      <c r="I320" s="2">
        <v>1</v>
      </c>
      <c r="J320" s="2">
        <v>1</v>
      </c>
      <c r="K320" s="2">
        <v>0</v>
      </c>
      <c r="L320" s="16">
        <v>1300</v>
      </c>
      <c r="M320" s="16">
        <v>372</v>
      </c>
      <c r="N320" s="8" t="s">
        <v>2648</v>
      </c>
      <c r="O320" s="12">
        <f t="shared" si="4"/>
        <v>28.615384615384613</v>
      </c>
      <c r="P320" s="2">
        <v>2</v>
      </c>
      <c r="Q320" s="2" t="s">
        <v>77</v>
      </c>
      <c r="R320" s="8" t="s">
        <v>2648</v>
      </c>
      <c r="S320" s="8" t="s">
        <v>2649</v>
      </c>
      <c r="T320" s="8" t="s">
        <v>80</v>
      </c>
      <c r="U320" s="2" t="s">
        <v>81</v>
      </c>
      <c r="V320" s="2"/>
      <c r="W320" s="16"/>
      <c r="X320" s="2">
        <v>2030</v>
      </c>
      <c r="Y320" s="16">
        <v>180</v>
      </c>
      <c r="Z320" s="16">
        <v>99</v>
      </c>
      <c r="AA320" s="2">
        <v>2030</v>
      </c>
      <c r="AB320" s="16">
        <v>121.5</v>
      </c>
      <c r="AC320" s="2">
        <v>2030</v>
      </c>
      <c r="AD320" s="2" t="s">
        <v>210</v>
      </c>
      <c r="AE320" s="16"/>
      <c r="AF320" s="16"/>
      <c r="AG320" s="16"/>
      <c r="AH320" s="16"/>
      <c r="AI320" s="8" t="s">
        <v>83</v>
      </c>
      <c r="AJ320" s="2" t="s">
        <v>84</v>
      </c>
      <c r="AK320" s="2">
        <v>1</v>
      </c>
      <c r="AL320" s="8" t="s">
        <v>2650</v>
      </c>
      <c r="AM320" s="8" t="s">
        <v>2651</v>
      </c>
      <c r="AN320" s="2"/>
      <c r="AO320" s="16">
        <v>9492</v>
      </c>
      <c r="AP320" s="2"/>
      <c r="AQ320" s="16">
        <v>16350</v>
      </c>
      <c r="AR320" s="2" t="s">
        <v>447</v>
      </c>
      <c r="AS320" s="16">
        <v>19.899999999999999</v>
      </c>
      <c r="AT320" s="2"/>
      <c r="AU320" s="16">
        <v>4941</v>
      </c>
      <c r="AV320" s="2"/>
      <c r="AW320" s="16">
        <v>5948</v>
      </c>
      <c r="AX320" s="2" t="s">
        <v>447</v>
      </c>
      <c r="AY320" s="16">
        <v>6.4</v>
      </c>
      <c r="AZ320" s="2"/>
      <c r="BA320" s="16">
        <v>19726</v>
      </c>
      <c r="BB320" s="2"/>
      <c r="BC320" s="16">
        <v>23642</v>
      </c>
      <c r="BD320" s="2" t="s">
        <v>447</v>
      </c>
      <c r="BE320" s="16">
        <v>6.2</v>
      </c>
      <c r="BF320" s="2"/>
      <c r="BG320" s="16">
        <v>177</v>
      </c>
      <c r="BH320" s="2"/>
      <c r="BI320" s="16">
        <v>183</v>
      </c>
      <c r="BJ320" s="2" t="s">
        <v>87</v>
      </c>
      <c r="BK320" s="8"/>
      <c r="BL320" s="8" t="str">
        <f>HYPERLINK("https://seichotoushi-hojo.jp/assets/pdf/koufu_3_4ji/outline_148.pdf","PDFを開く")</f>
        <v>PDFを開く</v>
      </c>
      <c r="BM320" s="8" t="s">
        <v>2652</v>
      </c>
      <c r="BN320" s="8" t="s">
        <v>2653</v>
      </c>
      <c r="BO320" s="8" t="s">
        <v>90</v>
      </c>
      <c r="BP320" s="8" t="s">
        <v>90</v>
      </c>
      <c r="BQ320" s="8" t="s">
        <v>90</v>
      </c>
      <c r="BR320" s="8" t="s">
        <v>92</v>
      </c>
    </row>
    <row r="321" spans="1:70" ht="45.95" customHeight="1">
      <c r="A321" s="5" t="s">
        <v>2654</v>
      </c>
      <c r="B321" s="5" t="s">
        <v>2430</v>
      </c>
      <c r="C321" s="5" t="s">
        <v>2655</v>
      </c>
      <c r="D321" s="5" t="s">
        <v>2655</v>
      </c>
      <c r="E321" s="5" t="s">
        <v>186</v>
      </c>
      <c r="F321" s="5"/>
      <c r="G321" s="5">
        <v>2</v>
      </c>
      <c r="H321" s="5">
        <v>0</v>
      </c>
      <c r="I321" s="5">
        <v>1</v>
      </c>
      <c r="J321" s="5">
        <v>1</v>
      </c>
      <c r="K321" s="5">
        <v>0</v>
      </c>
      <c r="L321" s="17">
        <v>1388</v>
      </c>
      <c r="M321" s="17">
        <v>426</v>
      </c>
      <c r="N321" s="9" t="s">
        <v>2656</v>
      </c>
      <c r="O321" s="13">
        <f t="shared" si="4"/>
        <v>30.691642651296831</v>
      </c>
      <c r="P321" s="5">
        <v>2</v>
      </c>
      <c r="Q321" s="5" t="s">
        <v>77</v>
      </c>
      <c r="R321" s="9" t="s">
        <v>2657</v>
      </c>
      <c r="S321" s="9" t="s">
        <v>2658</v>
      </c>
      <c r="T321" s="9" t="s">
        <v>80</v>
      </c>
      <c r="U321" s="5" t="s">
        <v>81</v>
      </c>
      <c r="V321" s="5">
        <v>2025</v>
      </c>
      <c r="W321" s="17"/>
      <c r="X321" s="5">
        <v>2030</v>
      </c>
      <c r="Y321" s="17"/>
      <c r="Z321" s="17">
        <v>31.39</v>
      </c>
      <c r="AA321" s="5">
        <v>2030</v>
      </c>
      <c r="AB321" s="17">
        <v>14</v>
      </c>
      <c r="AC321" s="5">
        <v>2030</v>
      </c>
      <c r="AD321" s="5" t="s">
        <v>210</v>
      </c>
      <c r="AE321" s="17"/>
      <c r="AF321" s="17"/>
      <c r="AG321" s="17"/>
      <c r="AH321" s="17"/>
      <c r="AI321" s="9" t="s">
        <v>83</v>
      </c>
      <c r="AJ321" s="5" t="s">
        <v>84</v>
      </c>
      <c r="AK321" s="5">
        <v>1</v>
      </c>
      <c r="AL321" s="9" t="s">
        <v>2659</v>
      </c>
      <c r="AM321" s="9"/>
      <c r="AN321" s="5"/>
      <c r="AO321" s="17">
        <v>4211</v>
      </c>
      <c r="AP321" s="5"/>
      <c r="AQ321" s="17">
        <v>11494</v>
      </c>
      <c r="AR321" s="5" t="s">
        <v>447</v>
      </c>
      <c r="AS321" s="17">
        <v>39.799999999999997</v>
      </c>
      <c r="AT321" s="5"/>
      <c r="AU321" s="17">
        <v>3229</v>
      </c>
      <c r="AV321" s="5"/>
      <c r="AW321" s="17">
        <v>3845</v>
      </c>
      <c r="AX321" s="5" t="s">
        <v>447</v>
      </c>
      <c r="AY321" s="17">
        <v>6</v>
      </c>
      <c r="AZ321" s="5"/>
      <c r="BA321" s="17"/>
      <c r="BB321" s="5"/>
      <c r="BC321" s="17"/>
      <c r="BD321" s="5" t="s">
        <v>447</v>
      </c>
      <c r="BE321" s="17">
        <v>5</v>
      </c>
      <c r="BF321" s="5"/>
      <c r="BG321" s="17">
        <v>72</v>
      </c>
      <c r="BH321" s="5"/>
      <c r="BI321" s="17">
        <v>72</v>
      </c>
      <c r="BJ321" s="5" t="s">
        <v>87</v>
      </c>
      <c r="BK321" s="9"/>
      <c r="BL321" s="9" t="str">
        <f>HYPERLINK("https://seichotoushi-hojo.jp/assets/pdf/koufu_3_4ji/outline_149.pdf","PDFを開く")</f>
        <v>PDFを開く</v>
      </c>
      <c r="BM321" s="9" t="s">
        <v>2660</v>
      </c>
      <c r="BN321" s="9" t="s">
        <v>2661</v>
      </c>
      <c r="BO321" s="9" t="s">
        <v>90</v>
      </c>
      <c r="BP321" s="9" t="s">
        <v>90</v>
      </c>
      <c r="BQ321" s="9" t="s">
        <v>91</v>
      </c>
      <c r="BR321" s="9" t="s">
        <v>92</v>
      </c>
    </row>
    <row r="322" spans="1:70" ht="45.95" customHeight="1">
      <c r="A322" s="2" t="s">
        <v>2662</v>
      </c>
      <c r="B322" s="2" t="s">
        <v>2430</v>
      </c>
      <c r="C322" s="2" t="s">
        <v>2663</v>
      </c>
      <c r="D322" s="2" t="s">
        <v>2663</v>
      </c>
      <c r="E322" s="2" t="s">
        <v>95</v>
      </c>
      <c r="F322" s="2"/>
      <c r="G322" s="2">
        <v>2</v>
      </c>
      <c r="H322" s="2">
        <v>0</v>
      </c>
      <c r="I322" s="2">
        <v>1</v>
      </c>
      <c r="J322" s="2">
        <v>1</v>
      </c>
      <c r="K322" s="2">
        <v>0</v>
      </c>
      <c r="L322" s="16">
        <v>3400</v>
      </c>
      <c r="M322" s="16">
        <v>1000</v>
      </c>
      <c r="N322" s="8" t="s">
        <v>1022</v>
      </c>
      <c r="O322" s="12">
        <f t="shared" si="4"/>
        <v>29.411764705882355</v>
      </c>
      <c r="P322" s="2">
        <v>2</v>
      </c>
      <c r="Q322" s="2" t="s">
        <v>77</v>
      </c>
      <c r="R322" s="8" t="s">
        <v>1022</v>
      </c>
      <c r="S322" s="8" t="s">
        <v>2664</v>
      </c>
      <c r="T322" s="8" t="s">
        <v>80</v>
      </c>
      <c r="U322" s="2" t="s">
        <v>81</v>
      </c>
      <c r="V322" s="2"/>
      <c r="W322" s="16"/>
      <c r="X322" s="2">
        <v>2030</v>
      </c>
      <c r="Y322" s="16"/>
      <c r="Z322" s="16">
        <v>82.12</v>
      </c>
      <c r="AA322" s="2">
        <v>2030</v>
      </c>
      <c r="AB322" s="16">
        <v>155</v>
      </c>
      <c r="AC322" s="2">
        <v>2030</v>
      </c>
      <c r="AD322" s="2" t="s">
        <v>82</v>
      </c>
      <c r="AE322" s="16"/>
      <c r="AF322" s="16"/>
      <c r="AG322" s="16"/>
      <c r="AH322" s="16"/>
      <c r="AI322" s="8" t="s">
        <v>83</v>
      </c>
      <c r="AJ322" s="2" t="s">
        <v>84</v>
      </c>
      <c r="AK322" s="2">
        <v>1</v>
      </c>
      <c r="AL322" s="8" t="s">
        <v>2665</v>
      </c>
      <c r="AM322" s="8"/>
      <c r="AN322" s="2">
        <v>2027</v>
      </c>
      <c r="AO322" s="16">
        <v>4234</v>
      </c>
      <c r="AP322" s="2">
        <v>2030</v>
      </c>
      <c r="AQ322" s="16">
        <v>9610</v>
      </c>
      <c r="AR322" s="2" t="s">
        <v>447</v>
      </c>
      <c r="AS322" s="16">
        <v>31.4</v>
      </c>
      <c r="AT322" s="2">
        <v>2027</v>
      </c>
      <c r="AU322" s="16">
        <v>3585</v>
      </c>
      <c r="AV322" s="2">
        <v>2030</v>
      </c>
      <c r="AW322" s="16">
        <v>4270</v>
      </c>
      <c r="AX322" s="2" t="s">
        <v>447</v>
      </c>
      <c r="AY322" s="16">
        <v>6</v>
      </c>
      <c r="AZ322" s="2">
        <v>2027</v>
      </c>
      <c r="BA322" s="16"/>
      <c r="BB322" s="2">
        <v>2030</v>
      </c>
      <c r="BC322" s="16"/>
      <c r="BD322" s="2" t="s">
        <v>447</v>
      </c>
      <c r="BE322" s="16">
        <v>6</v>
      </c>
      <c r="BF322" s="2">
        <v>2027</v>
      </c>
      <c r="BG322" s="16">
        <v>200</v>
      </c>
      <c r="BH322" s="2">
        <v>2030</v>
      </c>
      <c r="BI322" s="16">
        <v>270</v>
      </c>
      <c r="BJ322" s="2" t="s">
        <v>87</v>
      </c>
      <c r="BK322" s="8"/>
      <c r="BL322" s="8" t="str">
        <f>HYPERLINK("https://seichotoushi-hojo.jp/assets/pdf/koufu_3_4ji/outline_150.pdf","PDFを開く")</f>
        <v>PDFを開く</v>
      </c>
      <c r="BM322" s="8" t="s">
        <v>2666</v>
      </c>
      <c r="BN322" s="8" t="s">
        <v>2667</v>
      </c>
      <c r="BO322" s="8" t="s">
        <v>90</v>
      </c>
      <c r="BP322" s="8" t="s">
        <v>90</v>
      </c>
      <c r="BQ322" s="8" t="s">
        <v>91</v>
      </c>
      <c r="BR322" s="8" t="s">
        <v>92</v>
      </c>
    </row>
    <row r="323" spans="1:70" ht="45.95" customHeight="1">
      <c r="A323" s="5" t="s">
        <v>2668</v>
      </c>
      <c r="B323" s="5" t="s">
        <v>2430</v>
      </c>
      <c r="C323" s="5" t="s">
        <v>2669</v>
      </c>
      <c r="D323" s="5" t="s">
        <v>2669</v>
      </c>
      <c r="E323" s="5" t="s">
        <v>186</v>
      </c>
      <c r="F323" s="5"/>
      <c r="G323" s="5">
        <v>2</v>
      </c>
      <c r="H323" s="5">
        <v>0</v>
      </c>
      <c r="I323" s="5">
        <v>1</v>
      </c>
      <c r="J323" s="5">
        <v>1</v>
      </c>
      <c r="K323" s="5">
        <v>0</v>
      </c>
      <c r="L323" s="17">
        <v>4775</v>
      </c>
      <c r="M323" s="17">
        <v>1533</v>
      </c>
      <c r="N323" s="9" t="s">
        <v>2670</v>
      </c>
      <c r="O323" s="13">
        <f t="shared" si="4"/>
        <v>32.104712041884817</v>
      </c>
      <c r="P323" s="5">
        <v>2</v>
      </c>
      <c r="Q323" s="5" t="s">
        <v>77</v>
      </c>
      <c r="R323" s="9" t="s">
        <v>2671</v>
      </c>
      <c r="S323" s="9" t="s">
        <v>2672</v>
      </c>
      <c r="T323" s="9" t="s">
        <v>80</v>
      </c>
      <c r="U323" s="5" t="s">
        <v>81</v>
      </c>
      <c r="V323" s="5">
        <v>2027</v>
      </c>
      <c r="W323" s="17"/>
      <c r="X323" s="5">
        <v>2030</v>
      </c>
      <c r="Y323" s="17"/>
      <c r="Z323" s="17">
        <v>80.94</v>
      </c>
      <c r="AA323" s="5">
        <v>2030</v>
      </c>
      <c r="AB323" s="17">
        <v>298.10000000000002</v>
      </c>
      <c r="AC323" s="5">
        <v>2030</v>
      </c>
      <c r="AD323" s="5" t="s">
        <v>82</v>
      </c>
      <c r="AE323" s="17"/>
      <c r="AF323" s="17"/>
      <c r="AG323" s="17"/>
      <c r="AH323" s="17"/>
      <c r="AI323" s="9" t="s">
        <v>83</v>
      </c>
      <c r="AJ323" s="5" t="s">
        <v>84</v>
      </c>
      <c r="AK323" s="5">
        <v>1</v>
      </c>
      <c r="AL323" s="9" t="s">
        <v>2673</v>
      </c>
      <c r="AM323" s="9"/>
      <c r="AN323" s="5"/>
      <c r="AO323" s="17">
        <v>7087</v>
      </c>
      <c r="AP323" s="5"/>
      <c r="AQ323" s="17">
        <v>20505</v>
      </c>
      <c r="AR323" s="5" t="s">
        <v>447</v>
      </c>
      <c r="AS323" s="17">
        <v>42.5</v>
      </c>
      <c r="AT323" s="5"/>
      <c r="AU323" s="17">
        <v>4979</v>
      </c>
      <c r="AV323" s="5"/>
      <c r="AW323" s="17">
        <v>5973</v>
      </c>
      <c r="AX323" s="5" t="s">
        <v>447</v>
      </c>
      <c r="AY323" s="17">
        <v>6.3</v>
      </c>
      <c r="AZ323" s="5"/>
      <c r="BA323" s="17">
        <v>19721</v>
      </c>
      <c r="BB323" s="5"/>
      <c r="BC323" s="17">
        <v>23483</v>
      </c>
      <c r="BD323" s="5" t="s">
        <v>447</v>
      </c>
      <c r="BE323" s="17">
        <v>6</v>
      </c>
      <c r="BF323" s="5"/>
      <c r="BG323" s="17">
        <v>128</v>
      </c>
      <c r="BH323" s="5"/>
      <c r="BI323" s="17">
        <v>193</v>
      </c>
      <c r="BJ323" s="5" t="s">
        <v>87</v>
      </c>
      <c r="BK323" s="9"/>
      <c r="BL323" s="9" t="str">
        <f>HYPERLINK("https://seichotoushi-hojo.jp/assets/pdf/koufu_3_4ji/outline_152.pdf","PDFを開く")</f>
        <v>PDFを開く</v>
      </c>
      <c r="BM323" s="9" t="s">
        <v>2674</v>
      </c>
      <c r="BN323" s="9" t="s">
        <v>2675</v>
      </c>
      <c r="BO323" s="9" t="s">
        <v>90</v>
      </c>
      <c r="BP323" s="9" t="s">
        <v>90</v>
      </c>
      <c r="BQ323" s="9" t="s">
        <v>90</v>
      </c>
      <c r="BR323" s="9" t="s">
        <v>92</v>
      </c>
    </row>
    <row r="324" spans="1:70" ht="45.95" customHeight="1">
      <c r="A324" s="2" t="s">
        <v>2676</v>
      </c>
      <c r="B324" s="2" t="s">
        <v>2430</v>
      </c>
      <c r="C324" s="2" t="s">
        <v>2677</v>
      </c>
      <c r="D324" s="2" t="s">
        <v>2677</v>
      </c>
      <c r="E324" s="2" t="s">
        <v>95</v>
      </c>
      <c r="F324" s="2"/>
      <c r="G324" s="2">
        <v>2</v>
      </c>
      <c r="H324" s="2">
        <v>0</v>
      </c>
      <c r="I324" s="2">
        <v>1</v>
      </c>
      <c r="J324" s="2">
        <v>1</v>
      </c>
      <c r="K324" s="2">
        <v>0</v>
      </c>
      <c r="L324" s="16">
        <v>3200</v>
      </c>
      <c r="M324" s="16">
        <v>1060</v>
      </c>
      <c r="N324" s="8" t="s">
        <v>2678</v>
      </c>
      <c r="O324" s="12">
        <f t="shared" si="4"/>
        <v>33.125</v>
      </c>
      <c r="P324" s="2">
        <v>2</v>
      </c>
      <c r="Q324" s="2" t="s">
        <v>77</v>
      </c>
      <c r="R324" s="8" t="s">
        <v>2679</v>
      </c>
      <c r="S324" s="8" t="s">
        <v>2680</v>
      </c>
      <c r="T324" s="8" t="s">
        <v>80</v>
      </c>
      <c r="U324" s="2" t="s">
        <v>81</v>
      </c>
      <c r="V324" s="2">
        <v>2023</v>
      </c>
      <c r="W324" s="16"/>
      <c r="X324" s="2">
        <v>2030</v>
      </c>
      <c r="Y324" s="16"/>
      <c r="Z324" s="16">
        <v>225.42</v>
      </c>
      <c r="AA324" s="2">
        <v>2030</v>
      </c>
      <c r="AB324" s="16">
        <v>302.2</v>
      </c>
      <c r="AC324" s="2">
        <v>2030</v>
      </c>
      <c r="AD324" s="2" t="s">
        <v>82</v>
      </c>
      <c r="AE324" s="16"/>
      <c r="AF324" s="16"/>
      <c r="AG324" s="16"/>
      <c r="AH324" s="16"/>
      <c r="AI324" s="8" t="s">
        <v>83</v>
      </c>
      <c r="AJ324" s="2" t="s">
        <v>84</v>
      </c>
      <c r="AK324" s="2">
        <v>1</v>
      </c>
      <c r="AL324" s="8" t="s">
        <v>2681</v>
      </c>
      <c r="AM324" s="8"/>
      <c r="AN324" s="2"/>
      <c r="AO324" s="16">
        <v>14378</v>
      </c>
      <c r="AP324" s="2"/>
      <c r="AQ324" s="16">
        <v>29954</v>
      </c>
      <c r="AR324" s="2" t="s">
        <v>447</v>
      </c>
      <c r="AS324" s="16">
        <v>27.7</v>
      </c>
      <c r="AT324" s="2"/>
      <c r="AU324" s="16">
        <v>6413</v>
      </c>
      <c r="AV324" s="2"/>
      <c r="AW324" s="16">
        <v>7969</v>
      </c>
      <c r="AX324" s="2" t="s">
        <v>447</v>
      </c>
      <c r="AY324" s="16">
        <v>7.5</v>
      </c>
      <c r="AZ324" s="2"/>
      <c r="BA324" s="16"/>
      <c r="BB324" s="2"/>
      <c r="BC324" s="16"/>
      <c r="BD324" s="2" t="s">
        <v>447</v>
      </c>
      <c r="BE324" s="16">
        <v>5.5</v>
      </c>
      <c r="BF324" s="2"/>
      <c r="BG324" s="16">
        <v>63</v>
      </c>
      <c r="BH324" s="2"/>
      <c r="BI324" s="16">
        <v>115</v>
      </c>
      <c r="BJ324" s="2" t="s">
        <v>87</v>
      </c>
      <c r="BK324" s="8"/>
      <c r="BL324" s="8" t="str">
        <f>HYPERLINK("https://seichotoushi-hojo.jp/assets/pdf/koufu_3_4ji/outline_153.pdf","PDFを開く")</f>
        <v>PDFを開く</v>
      </c>
      <c r="BM324" s="8" t="s">
        <v>2682</v>
      </c>
      <c r="BN324" s="8" t="s">
        <v>2683</v>
      </c>
      <c r="BO324" s="8" t="s">
        <v>90</v>
      </c>
      <c r="BP324" s="8" t="s">
        <v>90</v>
      </c>
      <c r="BQ324" s="8" t="s">
        <v>91</v>
      </c>
      <c r="BR324" s="8" t="s">
        <v>92</v>
      </c>
    </row>
    <row r="325" spans="1:70" ht="45.95" customHeight="1">
      <c r="A325" s="5" t="s">
        <v>2684</v>
      </c>
      <c r="B325" s="5" t="s">
        <v>2430</v>
      </c>
      <c r="C325" s="5" t="s">
        <v>2685</v>
      </c>
      <c r="D325" s="5" t="s">
        <v>2685</v>
      </c>
      <c r="E325" s="5"/>
      <c r="F325" s="5"/>
      <c r="G325" s="5">
        <v>4</v>
      </c>
      <c r="H325" s="5">
        <v>0</v>
      </c>
      <c r="I325" s="5">
        <v>3</v>
      </c>
      <c r="J325" s="5">
        <v>1</v>
      </c>
      <c r="K325" s="5">
        <v>0</v>
      </c>
      <c r="L325" s="17">
        <v>1635</v>
      </c>
      <c r="M325" s="17">
        <v>516</v>
      </c>
      <c r="N325" s="9" t="s">
        <v>2686</v>
      </c>
      <c r="O325" s="13">
        <f t="shared" ref="O325:O385" si="5">IFERROR(M325/L325*100,"")</f>
        <v>31.559633027522938</v>
      </c>
      <c r="P325" s="5">
        <v>4</v>
      </c>
      <c r="Q325" s="5" t="s">
        <v>77</v>
      </c>
      <c r="R325" s="9" t="s">
        <v>2687</v>
      </c>
      <c r="S325" s="9" t="s">
        <v>2688</v>
      </c>
      <c r="T325" s="9" t="s">
        <v>80</v>
      </c>
      <c r="U325" s="5" t="s">
        <v>81</v>
      </c>
      <c r="V325" s="5">
        <v>2024</v>
      </c>
      <c r="W325" s="17">
        <v>7</v>
      </c>
      <c r="X325" s="5">
        <v>2030</v>
      </c>
      <c r="Y325" s="17">
        <v>50</v>
      </c>
      <c r="Z325" s="17">
        <v>43</v>
      </c>
      <c r="AA325" s="5">
        <v>2030</v>
      </c>
      <c r="AB325" s="17"/>
      <c r="AC325" s="5"/>
      <c r="AD325" s="5"/>
      <c r="AE325" s="17"/>
      <c r="AF325" s="17"/>
      <c r="AG325" s="17">
        <v>38.775242228366459</v>
      </c>
      <c r="AH325" s="17"/>
      <c r="AI325" s="9" t="s">
        <v>166</v>
      </c>
      <c r="AJ325" s="5" t="s">
        <v>292</v>
      </c>
      <c r="AK325" s="5">
        <v>1</v>
      </c>
      <c r="AL325" s="9" t="s">
        <v>2689</v>
      </c>
      <c r="AM325" s="9" t="s">
        <v>2690</v>
      </c>
      <c r="AN325" s="5"/>
      <c r="AO325" s="17">
        <v>21403</v>
      </c>
      <c r="AP325" s="5"/>
      <c r="AQ325" s="17">
        <v>33275</v>
      </c>
      <c r="AR325" s="5" t="s">
        <v>447</v>
      </c>
      <c r="AS325" s="17">
        <v>15.8</v>
      </c>
      <c r="AT325" s="5"/>
      <c r="AU325" s="17">
        <v>7512</v>
      </c>
      <c r="AV325" s="5"/>
      <c r="AW325" s="17">
        <v>10029</v>
      </c>
      <c r="AX325" s="5" t="s">
        <v>447</v>
      </c>
      <c r="AY325" s="17">
        <v>10.1</v>
      </c>
      <c r="AZ325" s="5"/>
      <c r="BA325" s="17">
        <v>23716</v>
      </c>
      <c r="BB325" s="5"/>
      <c r="BC325" s="17">
        <v>31566</v>
      </c>
      <c r="BD325" s="5" t="s">
        <v>447</v>
      </c>
      <c r="BE325" s="17">
        <v>10</v>
      </c>
      <c r="BF325" s="5"/>
      <c r="BG325" s="17">
        <v>104</v>
      </c>
      <c r="BH325" s="5"/>
      <c r="BI325" s="17">
        <v>140</v>
      </c>
      <c r="BJ325" s="5" t="s">
        <v>87</v>
      </c>
      <c r="BK325" s="9"/>
      <c r="BL325" s="9" t="str">
        <f>HYPERLINK("https://seichotoushi-hojo.jp/assets/pdf/koufu_3_4ji/outline_154.pdf","PDFを開く")</f>
        <v>PDFを開く</v>
      </c>
      <c r="BM325" s="9" t="s">
        <v>2691</v>
      </c>
      <c r="BN325" s="9" t="s">
        <v>2692</v>
      </c>
      <c r="BO325" s="9" t="s">
        <v>90</v>
      </c>
      <c r="BP325" s="9" t="s">
        <v>90</v>
      </c>
      <c r="BQ325" s="9" t="s">
        <v>90</v>
      </c>
      <c r="BR325" s="9" t="s">
        <v>92</v>
      </c>
    </row>
    <row r="326" spans="1:70" ht="45.95" customHeight="1">
      <c r="A326" s="2" t="s">
        <v>2693</v>
      </c>
      <c r="B326" s="2" t="s">
        <v>2430</v>
      </c>
      <c r="C326" s="2" t="s">
        <v>2694</v>
      </c>
      <c r="D326" s="2" t="s">
        <v>2694</v>
      </c>
      <c r="E326" s="2" t="s">
        <v>107</v>
      </c>
      <c r="F326" s="2"/>
      <c r="G326" s="2">
        <v>3</v>
      </c>
      <c r="H326" s="2">
        <v>0</v>
      </c>
      <c r="I326" s="2">
        <v>1</v>
      </c>
      <c r="J326" s="2">
        <v>2</v>
      </c>
      <c r="K326" s="2">
        <v>0</v>
      </c>
      <c r="L326" s="16">
        <v>1510</v>
      </c>
      <c r="M326" s="16">
        <v>429</v>
      </c>
      <c r="N326" s="8" t="s">
        <v>2695</v>
      </c>
      <c r="O326" s="12">
        <f t="shared" si="5"/>
        <v>28.410596026490065</v>
      </c>
      <c r="P326" s="2">
        <v>2</v>
      </c>
      <c r="Q326" s="2" t="s">
        <v>77</v>
      </c>
      <c r="R326" s="8" t="s">
        <v>2695</v>
      </c>
      <c r="S326" s="8" t="s">
        <v>2696</v>
      </c>
      <c r="T326" s="8" t="s">
        <v>80</v>
      </c>
      <c r="U326" s="2" t="s">
        <v>81</v>
      </c>
      <c r="V326" s="2"/>
      <c r="W326" s="16"/>
      <c r="X326" s="2">
        <v>2030</v>
      </c>
      <c r="Y326" s="16"/>
      <c r="Z326" s="16">
        <v>9.08</v>
      </c>
      <c r="AA326" s="2">
        <v>2030</v>
      </c>
      <c r="AB326" s="16">
        <v>15</v>
      </c>
      <c r="AC326" s="2">
        <v>2030</v>
      </c>
      <c r="AD326" s="2" t="s">
        <v>82</v>
      </c>
      <c r="AE326" s="16"/>
      <c r="AF326" s="16"/>
      <c r="AG326" s="16"/>
      <c r="AH326" s="16"/>
      <c r="AI326" s="8" t="s">
        <v>83</v>
      </c>
      <c r="AJ326" s="2" t="s">
        <v>84</v>
      </c>
      <c r="AK326" s="2">
        <v>1</v>
      </c>
      <c r="AL326" s="8" t="s">
        <v>2697</v>
      </c>
      <c r="AM326" s="8"/>
      <c r="AN326" s="2"/>
      <c r="AO326" s="16">
        <v>12516</v>
      </c>
      <c r="AP326" s="2"/>
      <c r="AQ326" s="16">
        <v>24779</v>
      </c>
      <c r="AR326" s="2" t="s">
        <v>447</v>
      </c>
      <c r="AS326" s="16">
        <v>25.6</v>
      </c>
      <c r="AT326" s="2"/>
      <c r="AU326" s="16">
        <v>5613</v>
      </c>
      <c r="AV326" s="2"/>
      <c r="AW326" s="16">
        <v>7136</v>
      </c>
      <c r="AX326" s="2" t="s">
        <v>447</v>
      </c>
      <c r="AY326" s="16">
        <v>8.3000000000000007</v>
      </c>
      <c r="AZ326" s="2"/>
      <c r="BA326" s="16"/>
      <c r="BB326" s="2"/>
      <c r="BC326" s="16"/>
      <c r="BD326" s="2" t="s">
        <v>447</v>
      </c>
      <c r="BE326" s="16">
        <v>5.7</v>
      </c>
      <c r="BF326" s="2"/>
      <c r="BG326" s="16">
        <v>40</v>
      </c>
      <c r="BH326" s="2"/>
      <c r="BI326" s="16">
        <v>49</v>
      </c>
      <c r="BJ326" s="2" t="s">
        <v>87</v>
      </c>
      <c r="BK326" s="8"/>
      <c r="BL326" s="8" t="str">
        <f>HYPERLINK("https://seichotoushi-hojo.jp/assets/pdf/koufu_3_4ji/outline_155.pdf","PDFを開く")</f>
        <v>PDFを開く</v>
      </c>
      <c r="BM326" s="8" t="s">
        <v>2698</v>
      </c>
      <c r="BN326" s="8" t="s">
        <v>2699</v>
      </c>
      <c r="BO326" s="8" t="s">
        <v>90</v>
      </c>
      <c r="BP326" s="8" t="s">
        <v>90</v>
      </c>
      <c r="BQ326" s="8" t="s">
        <v>91</v>
      </c>
      <c r="BR326" s="8" t="s">
        <v>92</v>
      </c>
    </row>
    <row r="327" spans="1:70" ht="45.95" customHeight="1">
      <c r="A327" s="5" t="s">
        <v>2700</v>
      </c>
      <c r="B327" s="5" t="s">
        <v>2430</v>
      </c>
      <c r="C327" s="5" t="s">
        <v>2701</v>
      </c>
      <c r="D327" s="5" t="s">
        <v>2701</v>
      </c>
      <c r="E327" s="5" t="s">
        <v>95</v>
      </c>
      <c r="F327" s="5"/>
      <c r="G327" s="5">
        <v>3</v>
      </c>
      <c r="H327" s="5">
        <v>0</v>
      </c>
      <c r="I327" s="5">
        <v>1</v>
      </c>
      <c r="J327" s="5">
        <v>2</v>
      </c>
      <c r="K327" s="5">
        <v>0</v>
      </c>
      <c r="L327" s="17">
        <v>3541</v>
      </c>
      <c r="M327" s="17">
        <v>943</v>
      </c>
      <c r="N327" s="9" t="s">
        <v>2702</v>
      </c>
      <c r="O327" s="13">
        <f t="shared" si="5"/>
        <v>26.630895227336911</v>
      </c>
      <c r="P327" s="5">
        <v>2</v>
      </c>
      <c r="Q327" s="5" t="s">
        <v>77</v>
      </c>
      <c r="R327" s="9" t="s">
        <v>2703</v>
      </c>
      <c r="S327" s="9" t="s">
        <v>2704</v>
      </c>
      <c r="T327" s="9" t="s">
        <v>80</v>
      </c>
      <c r="U327" s="5" t="s">
        <v>81</v>
      </c>
      <c r="V327" s="5">
        <v>2023</v>
      </c>
      <c r="W327" s="17"/>
      <c r="X327" s="5">
        <v>2030</v>
      </c>
      <c r="Y327" s="17">
        <v>75</v>
      </c>
      <c r="Z327" s="17"/>
      <c r="AA327" s="5"/>
      <c r="AB327" s="17"/>
      <c r="AC327" s="5"/>
      <c r="AD327" s="5"/>
      <c r="AE327" s="17"/>
      <c r="AF327" s="17"/>
      <c r="AG327" s="17"/>
      <c r="AH327" s="17"/>
      <c r="AI327" s="9" t="s">
        <v>83</v>
      </c>
      <c r="AJ327" s="5" t="s">
        <v>84</v>
      </c>
      <c r="AK327" s="5">
        <v>1</v>
      </c>
      <c r="AL327" s="9" t="s">
        <v>2705</v>
      </c>
      <c r="AM327" s="9" t="s">
        <v>2706</v>
      </c>
      <c r="AN327" s="5"/>
      <c r="AO327" s="17">
        <v>29819</v>
      </c>
      <c r="AP327" s="5"/>
      <c r="AQ327" s="17">
        <v>46030</v>
      </c>
      <c r="AR327" s="5" t="s">
        <v>447</v>
      </c>
      <c r="AS327" s="17">
        <v>15.6</v>
      </c>
      <c r="AT327" s="5"/>
      <c r="AU327" s="17">
        <v>6506</v>
      </c>
      <c r="AV327" s="5"/>
      <c r="AW327" s="17">
        <v>7971</v>
      </c>
      <c r="AX327" s="5" t="s">
        <v>447</v>
      </c>
      <c r="AY327" s="17">
        <v>7</v>
      </c>
      <c r="AZ327" s="5"/>
      <c r="BA327" s="17"/>
      <c r="BB327" s="5"/>
      <c r="BC327" s="17"/>
      <c r="BD327" s="5"/>
      <c r="BE327" s="17"/>
      <c r="BF327" s="5"/>
      <c r="BG327" s="17">
        <v>16</v>
      </c>
      <c r="BH327" s="5"/>
      <c r="BI327" s="17">
        <v>46</v>
      </c>
      <c r="BJ327" s="5" t="s">
        <v>87</v>
      </c>
      <c r="BK327" s="9"/>
      <c r="BL327" s="9" t="str">
        <f>HYPERLINK("https://seichotoushi-hojo.jp/assets/pdf/koufu_3_4ji/outline_156.pdf","PDFを開く")</f>
        <v>PDFを開く</v>
      </c>
      <c r="BM327" s="9" t="s">
        <v>2707</v>
      </c>
      <c r="BN327" s="9" t="s">
        <v>2708</v>
      </c>
      <c r="BO327" s="9" t="s">
        <v>90</v>
      </c>
      <c r="BP327" s="9" t="s">
        <v>90</v>
      </c>
      <c r="BQ327" s="9" t="s">
        <v>156</v>
      </c>
      <c r="BR327" s="9" t="s">
        <v>92</v>
      </c>
    </row>
    <row r="328" spans="1:70" ht="45.95" customHeight="1">
      <c r="A328" s="2" t="s">
        <v>2709</v>
      </c>
      <c r="B328" s="2" t="s">
        <v>2430</v>
      </c>
      <c r="C328" s="2" t="s">
        <v>2710</v>
      </c>
      <c r="D328" s="2" t="s">
        <v>2710</v>
      </c>
      <c r="E328" s="2" t="s">
        <v>75</v>
      </c>
      <c r="F328" s="2"/>
      <c r="G328" s="2">
        <v>2</v>
      </c>
      <c r="H328" s="2">
        <v>0</v>
      </c>
      <c r="I328" s="2">
        <v>1</v>
      </c>
      <c r="J328" s="2">
        <v>1</v>
      </c>
      <c r="K328" s="2">
        <v>0</v>
      </c>
      <c r="L328" s="16">
        <v>5818</v>
      </c>
      <c r="M328" s="16">
        <v>1917</v>
      </c>
      <c r="N328" s="8" t="s">
        <v>2711</v>
      </c>
      <c r="O328" s="12">
        <f t="shared" si="5"/>
        <v>32.94946717084909</v>
      </c>
      <c r="P328" s="2">
        <v>2</v>
      </c>
      <c r="Q328" s="2" t="s">
        <v>77</v>
      </c>
      <c r="R328" s="8" t="s">
        <v>2712</v>
      </c>
      <c r="S328" s="8" t="s">
        <v>2713</v>
      </c>
      <c r="T328" s="8" t="s">
        <v>80</v>
      </c>
      <c r="U328" s="2" t="s">
        <v>81</v>
      </c>
      <c r="V328" s="2">
        <v>2027</v>
      </c>
      <c r="W328" s="16"/>
      <c r="X328" s="2">
        <v>2030</v>
      </c>
      <c r="Y328" s="16"/>
      <c r="Z328" s="16">
        <v>259</v>
      </c>
      <c r="AA328" s="2">
        <v>2030</v>
      </c>
      <c r="AB328" s="16">
        <v>13</v>
      </c>
      <c r="AC328" s="2">
        <v>2030</v>
      </c>
      <c r="AD328" s="2" t="s">
        <v>82</v>
      </c>
      <c r="AE328" s="16"/>
      <c r="AF328" s="16"/>
      <c r="AG328" s="16"/>
      <c r="AH328" s="16"/>
      <c r="AI328" s="8" t="s">
        <v>83</v>
      </c>
      <c r="AJ328" s="2" t="s">
        <v>84</v>
      </c>
      <c r="AK328" s="2">
        <v>1</v>
      </c>
      <c r="AL328" s="8" t="s">
        <v>2714</v>
      </c>
      <c r="AM328" s="8"/>
      <c r="AN328" s="2">
        <v>2027</v>
      </c>
      <c r="AO328" s="16">
        <v>648</v>
      </c>
      <c r="AP328" s="2">
        <v>2030</v>
      </c>
      <c r="AQ328" s="16">
        <v>877</v>
      </c>
      <c r="AR328" s="2" t="s">
        <v>86</v>
      </c>
      <c r="AS328" s="16">
        <v>10.6</v>
      </c>
      <c r="AT328" s="2">
        <v>2027</v>
      </c>
      <c r="AU328" s="16">
        <v>455</v>
      </c>
      <c r="AV328" s="2">
        <v>2030</v>
      </c>
      <c r="AW328" s="16">
        <v>573</v>
      </c>
      <c r="AX328" s="2" t="s">
        <v>86</v>
      </c>
      <c r="AY328" s="16">
        <v>8</v>
      </c>
      <c r="AZ328" s="2">
        <v>2027</v>
      </c>
      <c r="BA328" s="16">
        <v>1902</v>
      </c>
      <c r="BB328" s="2">
        <v>2030</v>
      </c>
      <c r="BC328" s="16">
        <v>2396</v>
      </c>
      <c r="BD328" s="2" t="s">
        <v>86</v>
      </c>
      <c r="BE328" s="16">
        <v>8</v>
      </c>
      <c r="BF328" s="2">
        <v>2027</v>
      </c>
      <c r="BG328" s="16">
        <v>1332</v>
      </c>
      <c r="BH328" s="2">
        <v>2030</v>
      </c>
      <c r="BI328" s="16">
        <v>1857</v>
      </c>
      <c r="BJ328" s="2" t="s">
        <v>87</v>
      </c>
      <c r="BK328" s="8"/>
      <c r="BL328" s="8" t="str">
        <f>HYPERLINK("https://seichotoushi-hojo.jp/assets/pdf/koufu_3_4ji/outline_157.pdf","PDFを開く")</f>
        <v>PDFを開く</v>
      </c>
      <c r="BM328" s="8" t="s">
        <v>2715</v>
      </c>
      <c r="BN328" s="8" t="s">
        <v>2716</v>
      </c>
      <c r="BO328" s="8" t="s">
        <v>90</v>
      </c>
      <c r="BP328" s="8" t="s">
        <v>90</v>
      </c>
      <c r="BQ328" s="8" t="s">
        <v>90</v>
      </c>
      <c r="BR328" s="8" t="s">
        <v>92</v>
      </c>
    </row>
    <row r="329" spans="1:70" ht="45.95" customHeight="1">
      <c r="A329" s="5" t="s">
        <v>2717</v>
      </c>
      <c r="B329" s="5" t="s">
        <v>2430</v>
      </c>
      <c r="C329" s="5" t="s">
        <v>2718</v>
      </c>
      <c r="D329" s="5" t="s">
        <v>2718</v>
      </c>
      <c r="E329" s="5" t="s">
        <v>186</v>
      </c>
      <c r="F329" s="5"/>
      <c r="G329" s="5">
        <v>4</v>
      </c>
      <c r="H329" s="5">
        <v>0</v>
      </c>
      <c r="I329" s="5">
        <v>1</v>
      </c>
      <c r="J329" s="5">
        <v>3</v>
      </c>
      <c r="K329" s="5">
        <v>0</v>
      </c>
      <c r="L329" s="17">
        <v>3023</v>
      </c>
      <c r="M329" s="17">
        <v>625</v>
      </c>
      <c r="N329" s="9" t="s">
        <v>2719</v>
      </c>
      <c r="O329" s="13">
        <f t="shared" si="5"/>
        <v>20.674826331458814</v>
      </c>
      <c r="P329" s="5">
        <v>2</v>
      </c>
      <c r="Q329" s="5" t="s">
        <v>77</v>
      </c>
      <c r="R329" s="9" t="s">
        <v>2719</v>
      </c>
      <c r="S329" s="9" t="s">
        <v>2720</v>
      </c>
      <c r="T329" s="9" t="s">
        <v>80</v>
      </c>
      <c r="U329" s="5" t="s">
        <v>81</v>
      </c>
      <c r="V329" s="5"/>
      <c r="W329" s="17"/>
      <c r="X329" s="5">
        <v>2030</v>
      </c>
      <c r="Y329" s="17">
        <v>108.42</v>
      </c>
      <c r="Z329" s="17"/>
      <c r="AA329" s="5"/>
      <c r="AB329" s="17">
        <v>15</v>
      </c>
      <c r="AC329" s="5">
        <v>2030</v>
      </c>
      <c r="AD329" s="5" t="s">
        <v>210</v>
      </c>
      <c r="AE329" s="17"/>
      <c r="AF329" s="17"/>
      <c r="AG329" s="17"/>
      <c r="AH329" s="17"/>
      <c r="AI329" s="9" t="s">
        <v>83</v>
      </c>
      <c r="AJ329" s="5" t="s">
        <v>587</v>
      </c>
      <c r="AK329" s="5">
        <v>1</v>
      </c>
      <c r="AL329" s="9" t="s">
        <v>2721</v>
      </c>
      <c r="AM329" s="9" t="s">
        <v>2722</v>
      </c>
      <c r="AN329" s="5"/>
      <c r="AO329" s="17">
        <v>5031</v>
      </c>
      <c r="AP329" s="5"/>
      <c r="AQ329" s="17">
        <v>11248</v>
      </c>
      <c r="AR329" s="5" t="s">
        <v>447</v>
      </c>
      <c r="AS329" s="17">
        <v>30.8</v>
      </c>
      <c r="AT329" s="5"/>
      <c r="AU329" s="17">
        <v>3481</v>
      </c>
      <c r="AV329" s="5"/>
      <c r="AW329" s="17">
        <v>4205</v>
      </c>
      <c r="AX329" s="5" t="s">
        <v>447</v>
      </c>
      <c r="AY329" s="17">
        <v>6.5</v>
      </c>
      <c r="AZ329" s="5"/>
      <c r="BA329" s="17"/>
      <c r="BB329" s="5"/>
      <c r="BC329" s="17"/>
      <c r="BD329" s="5" t="s">
        <v>447</v>
      </c>
      <c r="BE329" s="17">
        <v>6.5</v>
      </c>
      <c r="BF329" s="5"/>
      <c r="BG329" s="17">
        <v>123</v>
      </c>
      <c r="BH329" s="5"/>
      <c r="BI329" s="17">
        <v>132</v>
      </c>
      <c r="BJ329" s="5" t="s">
        <v>87</v>
      </c>
      <c r="BK329" s="9" t="s">
        <v>181</v>
      </c>
      <c r="BL329" s="9" t="str">
        <f>HYPERLINK("https://seichotoushi-hojo.jp/assets/pdf/koufu_3_4ji/outline_158.pdf","PDFを開く")</f>
        <v>PDFを開く</v>
      </c>
      <c r="BM329" s="9" t="s">
        <v>2723</v>
      </c>
      <c r="BN329" s="9" t="s">
        <v>2724</v>
      </c>
      <c r="BO329" s="9" t="s">
        <v>90</v>
      </c>
      <c r="BP329" s="9" t="s">
        <v>90</v>
      </c>
      <c r="BQ329" s="9" t="s">
        <v>91</v>
      </c>
      <c r="BR329" s="9" t="s">
        <v>92</v>
      </c>
    </row>
    <row r="330" spans="1:70" ht="45.95" customHeight="1">
      <c r="A330" s="2" t="s">
        <v>2725</v>
      </c>
      <c r="B330" s="2" t="s">
        <v>2430</v>
      </c>
      <c r="C330" s="2" t="s">
        <v>2726</v>
      </c>
      <c r="D330" s="2" t="s">
        <v>2727</v>
      </c>
      <c r="E330" s="2" t="s">
        <v>95</v>
      </c>
      <c r="F330" s="2"/>
      <c r="G330" s="2">
        <v>4</v>
      </c>
      <c r="H330" s="2">
        <v>0</v>
      </c>
      <c r="I330" s="2">
        <v>1</v>
      </c>
      <c r="J330" s="2">
        <v>3</v>
      </c>
      <c r="K330" s="2">
        <v>0</v>
      </c>
      <c r="L330" s="16">
        <v>1624</v>
      </c>
      <c r="M330" s="16">
        <v>397</v>
      </c>
      <c r="N330" s="8" t="s">
        <v>2728</v>
      </c>
      <c r="O330" s="12">
        <f t="shared" si="5"/>
        <v>24.445812807881772</v>
      </c>
      <c r="P330" s="2">
        <v>2</v>
      </c>
      <c r="Q330" s="2" t="s">
        <v>77</v>
      </c>
      <c r="R330" s="8" t="s">
        <v>2729</v>
      </c>
      <c r="S330" s="8" t="s">
        <v>2730</v>
      </c>
      <c r="T330" s="8" t="s">
        <v>80</v>
      </c>
      <c r="U330" s="2" t="s">
        <v>81</v>
      </c>
      <c r="V330" s="2">
        <v>2027</v>
      </c>
      <c r="W330" s="16"/>
      <c r="X330" s="2">
        <v>2030</v>
      </c>
      <c r="Y330" s="16"/>
      <c r="Z330" s="16">
        <v>10.6</v>
      </c>
      <c r="AA330" s="2">
        <v>2030</v>
      </c>
      <c r="AB330" s="16">
        <v>18</v>
      </c>
      <c r="AC330" s="2">
        <v>2030</v>
      </c>
      <c r="AD330" s="2" t="s">
        <v>82</v>
      </c>
      <c r="AE330" s="16"/>
      <c r="AF330" s="16"/>
      <c r="AG330" s="16"/>
      <c r="AH330" s="16"/>
      <c r="AI330" s="8" t="s">
        <v>83</v>
      </c>
      <c r="AJ330" s="2" t="s">
        <v>84</v>
      </c>
      <c r="AK330" s="2">
        <v>1</v>
      </c>
      <c r="AL330" s="8" t="s">
        <v>2731</v>
      </c>
      <c r="AM330" s="8"/>
      <c r="AN330" s="2"/>
      <c r="AO330" s="16">
        <v>10694</v>
      </c>
      <c r="AP330" s="2"/>
      <c r="AQ330" s="16">
        <v>16855</v>
      </c>
      <c r="AR330" s="2" t="s">
        <v>447</v>
      </c>
      <c r="AS330" s="16">
        <v>16.399999999999999</v>
      </c>
      <c r="AT330" s="2"/>
      <c r="AU330" s="16">
        <v>3878</v>
      </c>
      <c r="AV330" s="2"/>
      <c r="AW330" s="16">
        <v>4685</v>
      </c>
      <c r="AX330" s="2" t="s">
        <v>447</v>
      </c>
      <c r="AY330" s="16">
        <v>6.5</v>
      </c>
      <c r="AZ330" s="2"/>
      <c r="BA330" s="16">
        <v>11109</v>
      </c>
      <c r="BB330" s="2"/>
      <c r="BC330" s="16">
        <v>12970</v>
      </c>
      <c r="BD330" s="2" t="s">
        <v>447</v>
      </c>
      <c r="BE330" s="16">
        <v>5.3</v>
      </c>
      <c r="BF330" s="2"/>
      <c r="BG330" s="16">
        <v>70</v>
      </c>
      <c r="BH330" s="2"/>
      <c r="BI330" s="16">
        <v>75</v>
      </c>
      <c r="BJ330" s="2" t="s">
        <v>87</v>
      </c>
      <c r="BK330" s="8"/>
      <c r="BL330" s="8" t="str">
        <f>HYPERLINK("https://seichotoushi-hojo.jp/assets/pdf/koufu_3_4ji/outline_159.pdf","PDFを開く")</f>
        <v>PDFを開く</v>
      </c>
      <c r="BM330" s="8" t="s">
        <v>2732</v>
      </c>
      <c r="BN330" s="8" t="s">
        <v>2733</v>
      </c>
      <c r="BO330" s="8" t="s">
        <v>90</v>
      </c>
      <c r="BP330" s="8" t="s">
        <v>90</v>
      </c>
      <c r="BQ330" s="8" t="s">
        <v>90</v>
      </c>
      <c r="BR330" s="8" t="s">
        <v>92</v>
      </c>
    </row>
    <row r="331" spans="1:70" ht="45.95" customHeight="1">
      <c r="A331" s="5" t="s">
        <v>2734</v>
      </c>
      <c r="B331" s="5" t="s">
        <v>2430</v>
      </c>
      <c r="C331" s="5" t="s">
        <v>2735</v>
      </c>
      <c r="D331" s="5" t="s">
        <v>2735</v>
      </c>
      <c r="E331" s="5" t="s">
        <v>75</v>
      </c>
      <c r="F331" s="5"/>
      <c r="G331" s="5">
        <v>2</v>
      </c>
      <c r="H331" s="5">
        <v>0</v>
      </c>
      <c r="I331" s="5">
        <v>1</v>
      </c>
      <c r="J331" s="5">
        <v>1</v>
      </c>
      <c r="K331" s="5">
        <v>0</v>
      </c>
      <c r="L331" s="17">
        <v>1569</v>
      </c>
      <c r="M331" s="17">
        <v>371</v>
      </c>
      <c r="N331" s="9" t="s">
        <v>2736</v>
      </c>
      <c r="O331" s="13">
        <f t="shared" si="5"/>
        <v>23.645634161886552</v>
      </c>
      <c r="P331" s="5">
        <v>2</v>
      </c>
      <c r="Q331" s="5" t="s">
        <v>77</v>
      </c>
      <c r="R331" s="9" t="s">
        <v>2736</v>
      </c>
      <c r="S331" s="9" t="s">
        <v>2737</v>
      </c>
      <c r="T331" s="9" t="s">
        <v>80</v>
      </c>
      <c r="U331" s="5" t="s">
        <v>81</v>
      </c>
      <c r="V331" s="5">
        <v>2023</v>
      </c>
      <c r="W331" s="17"/>
      <c r="X331" s="5">
        <v>2029</v>
      </c>
      <c r="Y331" s="17"/>
      <c r="Z331" s="17">
        <v>74.069999999999993</v>
      </c>
      <c r="AA331" s="5">
        <v>2029</v>
      </c>
      <c r="AB331" s="17">
        <v>23.1</v>
      </c>
      <c r="AC331" s="5">
        <v>2029</v>
      </c>
      <c r="AD331" s="5" t="s">
        <v>210</v>
      </c>
      <c r="AE331" s="17"/>
      <c r="AF331" s="17"/>
      <c r="AG331" s="17"/>
      <c r="AH331" s="17"/>
      <c r="AI331" s="9" t="s">
        <v>83</v>
      </c>
      <c r="AJ331" s="5" t="s">
        <v>84</v>
      </c>
      <c r="AK331" s="5">
        <v>1</v>
      </c>
      <c r="AL331" s="9" t="s">
        <v>2738</v>
      </c>
      <c r="AM331" s="9"/>
      <c r="AN331" s="5"/>
      <c r="AO331" s="17">
        <v>7920</v>
      </c>
      <c r="AP331" s="5"/>
      <c r="AQ331" s="17">
        <v>13621</v>
      </c>
      <c r="AR331" s="5" t="s">
        <v>447</v>
      </c>
      <c r="AS331" s="17">
        <v>19.8</v>
      </c>
      <c r="AT331" s="5"/>
      <c r="AU331" s="17">
        <v>5527</v>
      </c>
      <c r="AV331" s="5"/>
      <c r="AW331" s="17">
        <v>6678</v>
      </c>
      <c r="AX331" s="5" t="s">
        <v>447</v>
      </c>
      <c r="AY331" s="17">
        <v>6.5</v>
      </c>
      <c r="AZ331" s="5"/>
      <c r="BA331" s="17"/>
      <c r="BB331" s="5"/>
      <c r="BC331" s="17"/>
      <c r="BD331" s="5" t="s">
        <v>447</v>
      </c>
      <c r="BE331" s="17">
        <v>6.5</v>
      </c>
      <c r="BF331" s="5"/>
      <c r="BG331" s="17">
        <v>275</v>
      </c>
      <c r="BH331" s="5"/>
      <c r="BI331" s="17">
        <v>284</v>
      </c>
      <c r="BJ331" s="5" t="s">
        <v>87</v>
      </c>
      <c r="BK331" s="9"/>
      <c r="BL331" s="9" t="str">
        <f>HYPERLINK("https://seichotoushi-hojo.jp/assets/pdf/koufu_3_4ji/outline_160.pdf","PDFを開く")</f>
        <v>PDFを開く</v>
      </c>
      <c r="BM331" s="9" t="s">
        <v>2739</v>
      </c>
      <c r="BN331" s="9" t="s">
        <v>2740</v>
      </c>
      <c r="BO331" s="9" t="s">
        <v>90</v>
      </c>
      <c r="BP331" s="9" t="s">
        <v>90</v>
      </c>
      <c r="BQ331" s="9" t="s">
        <v>91</v>
      </c>
      <c r="BR331" s="9" t="s">
        <v>92</v>
      </c>
    </row>
    <row r="332" spans="1:70" ht="45.95" customHeight="1">
      <c r="A332" s="2" t="s">
        <v>2741</v>
      </c>
      <c r="B332" s="2" t="s">
        <v>2430</v>
      </c>
      <c r="C332" s="2" t="s">
        <v>2742</v>
      </c>
      <c r="D332" s="2" t="s">
        <v>2742</v>
      </c>
      <c r="E332" s="2" t="s">
        <v>107</v>
      </c>
      <c r="F332" s="2"/>
      <c r="G332" s="2">
        <v>2</v>
      </c>
      <c r="H332" s="2">
        <v>0</v>
      </c>
      <c r="I332" s="2">
        <v>1</v>
      </c>
      <c r="J332" s="2">
        <v>1</v>
      </c>
      <c r="K332" s="2">
        <v>0</v>
      </c>
      <c r="L332" s="16">
        <v>3042</v>
      </c>
      <c r="M332" s="16">
        <v>974</v>
      </c>
      <c r="N332" s="8" t="s">
        <v>2743</v>
      </c>
      <c r="O332" s="12">
        <f t="shared" si="5"/>
        <v>32.018408941485866</v>
      </c>
      <c r="P332" s="2">
        <v>2</v>
      </c>
      <c r="Q332" s="2" t="s">
        <v>77</v>
      </c>
      <c r="R332" s="8" t="s">
        <v>2744</v>
      </c>
      <c r="S332" s="8" t="s">
        <v>2745</v>
      </c>
      <c r="T332" s="8" t="s">
        <v>80</v>
      </c>
      <c r="U332" s="2" t="s">
        <v>81</v>
      </c>
      <c r="V332" s="2"/>
      <c r="W332" s="16"/>
      <c r="X332" s="2">
        <v>2029</v>
      </c>
      <c r="Y332" s="16">
        <v>290</v>
      </c>
      <c r="Z332" s="16">
        <v>101</v>
      </c>
      <c r="AA332" s="2">
        <v>2029</v>
      </c>
      <c r="AB332" s="16">
        <v>7.4</v>
      </c>
      <c r="AC332" s="2">
        <v>2029</v>
      </c>
      <c r="AD332" s="2" t="s">
        <v>82</v>
      </c>
      <c r="AE332" s="16"/>
      <c r="AF332" s="16"/>
      <c r="AG332" s="16"/>
      <c r="AH332" s="16"/>
      <c r="AI332" s="8" t="s">
        <v>83</v>
      </c>
      <c r="AJ332" s="2" t="s">
        <v>84</v>
      </c>
      <c r="AK332" s="2">
        <v>1</v>
      </c>
      <c r="AL332" s="8" t="s">
        <v>2746</v>
      </c>
      <c r="AM332" s="8" t="s">
        <v>2747</v>
      </c>
      <c r="AN332" s="2"/>
      <c r="AO332" s="16">
        <v>16910</v>
      </c>
      <c r="AP332" s="2"/>
      <c r="AQ332" s="16">
        <v>57002</v>
      </c>
      <c r="AR332" s="2" t="s">
        <v>447</v>
      </c>
      <c r="AS332" s="16">
        <v>49.9</v>
      </c>
      <c r="AT332" s="2"/>
      <c r="AU332" s="16">
        <v>4738</v>
      </c>
      <c r="AV332" s="2"/>
      <c r="AW332" s="16">
        <v>5820</v>
      </c>
      <c r="AX332" s="2" t="s">
        <v>447</v>
      </c>
      <c r="AY332" s="16">
        <v>7.1</v>
      </c>
      <c r="AZ332" s="2"/>
      <c r="BA332" s="16"/>
      <c r="BB332" s="2"/>
      <c r="BC332" s="16"/>
      <c r="BD332" s="2" t="s">
        <v>447</v>
      </c>
      <c r="BE332" s="16">
        <v>5.5</v>
      </c>
      <c r="BF332" s="2"/>
      <c r="BG332" s="16">
        <v>25</v>
      </c>
      <c r="BH332" s="2"/>
      <c r="BI332" s="16">
        <v>35</v>
      </c>
      <c r="BJ332" s="2" t="s">
        <v>87</v>
      </c>
      <c r="BK332" s="8"/>
      <c r="BL332" s="8" t="str">
        <f>HYPERLINK("https://seichotoushi-hojo.jp/assets/pdf/koufu_3_4ji/outline_161.pdf","PDFを開く")</f>
        <v>PDFを開く</v>
      </c>
      <c r="BM332" s="8" t="s">
        <v>2748</v>
      </c>
      <c r="BN332" s="8" t="s">
        <v>2749</v>
      </c>
      <c r="BO332" s="8" t="s">
        <v>90</v>
      </c>
      <c r="BP332" s="8" t="s">
        <v>90</v>
      </c>
      <c r="BQ332" s="8" t="s">
        <v>91</v>
      </c>
      <c r="BR332" s="8" t="s">
        <v>92</v>
      </c>
    </row>
    <row r="333" spans="1:70" ht="45.95" customHeight="1">
      <c r="A333" s="5" t="s">
        <v>2750</v>
      </c>
      <c r="B333" s="5" t="s">
        <v>2430</v>
      </c>
      <c r="C333" s="5" t="s">
        <v>2751</v>
      </c>
      <c r="D333" s="5" t="s">
        <v>2751</v>
      </c>
      <c r="E333" s="5" t="s">
        <v>95</v>
      </c>
      <c r="F333" s="5"/>
      <c r="G333" s="5">
        <v>2</v>
      </c>
      <c r="H333" s="5">
        <v>0</v>
      </c>
      <c r="I333" s="5">
        <v>1</v>
      </c>
      <c r="J333" s="5">
        <v>1</v>
      </c>
      <c r="K333" s="5">
        <v>0</v>
      </c>
      <c r="L333" s="17">
        <v>4764</v>
      </c>
      <c r="M333" s="17">
        <v>1170</v>
      </c>
      <c r="N333" s="9" t="s">
        <v>2752</v>
      </c>
      <c r="O333" s="13">
        <f t="shared" si="5"/>
        <v>24.55919395465995</v>
      </c>
      <c r="P333" s="5">
        <v>2</v>
      </c>
      <c r="Q333" s="5" t="s">
        <v>77</v>
      </c>
      <c r="R333" s="9" t="s">
        <v>2753</v>
      </c>
      <c r="S333" s="9" t="s">
        <v>2754</v>
      </c>
      <c r="T333" s="9" t="s">
        <v>80</v>
      </c>
      <c r="U333" s="5" t="s">
        <v>81</v>
      </c>
      <c r="V333" s="5"/>
      <c r="W333" s="17"/>
      <c r="X333" s="5">
        <v>2031</v>
      </c>
      <c r="Y333" s="17"/>
      <c r="Z333" s="17">
        <v>120</v>
      </c>
      <c r="AA333" s="5">
        <v>2031</v>
      </c>
      <c r="AB333" s="17">
        <v>8.9</v>
      </c>
      <c r="AC333" s="5">
        <v>2031</v>
      </c>
      <c r="AD333" s="5" t="s">
        <v>210</v>
      </c>
      <c r="AE333" s="17"/>
      <c r="AF333" s="17"/>
      <c r="AG333" s="17"/>
      <c r="AH333" s="17"/>
      <c r="AI333" s="9" t="s">
        <v>83</v>
      </c>
      <c r="AJ333" s="5" t="s">
        <v>84</v>
      </c>
      <c r="AK333" s="5">
        <v>1</v>
      </c>
      <c r="AL333" s="9" t="s">
        <v>2755</v>
      </c>
      <c r="AM333" s="9"/>
      <c r="AN333" s="5"/>
      <c r="AO333" s="17">
        <v>10225</v>
      </c>
      <c r="AP333" s="5"/>
      <c r="AQ333" s="17">
        <v>16783</v>
      </c>
      <c r="AR333" s="5" t="s">
        <v>447</v>
      </c>
      <c r="AS333" s="17">
        <v>18</v>
      </c>
      <c r="AT333" s="5"/>
      <c r="AU333" s="17">
        <v>4103</v>
      </c>
      <c r="AV333" s="5"/>
      <c r="AW333" s="17">
        <v>5026</v>
      </c>
      <c r="AX333" s="5" t="s">
        <v>447</v>
      </c>
      <c r="AY333" s="17">
        <v>7</v>
      </c>
      <c r="AZ333" s="5"/>
      <c r="BA333" s="17"/>
      <c r="BB333" s="5"/>
      <c r="BC333" s="17"/>
      <c r="BD333" s="5"/>
      <c r="BE333" s="17"/>
      <c r="BF333" s="5"/>
      <c r="BG333" s="17">
        <v>327</v>
      </c>
      <c r="BH333" s="5"/>
      <c r="BI333" s="17">
        <v>350</v>
      </c>
      <c r="BJ333" s="5" t="s">
        <v>87</v>
      </c>
      <c r="BK333" s="9" t="s">
        <v>589</v>
      </c>
      <c r="BL333" s="9" t="str">
        <f>HYPERLINK("https://seichotoushi-hojo.jp/assets/pdf/koufu_3_4ji/outline_162.pdf","PDFを開く")</f>
        <v>PDFを開く</v>
      </c>
      <c r="BM333" s="9" t="s">
        <v>2756</v>
      </c>
      <c r="BN333" s="9" t="s">
        <v>2757</v>
      </c>
      <c r="BO333" s="9" t="s">
        <v>90</v>
      </c>
      <c r="BP333" s="9" t="s">
        <v>90</v>
      </c>
      <c r="BQ333" s="9" t="s">
        <v>156</v>
      </c>
      <c r="BR333" s="9" t="s">
        <v>92</v>
      </c>
    </row>
    <row r="334" spans="1:70" ht="45.95" customHeight="1">
      <c r="A334" s="2" t="s">
        <v>2758</v>
      </c>
      <c r="B334" s="2" t="s">
        <v>2430</v>
      </c>
      <c r="C334" s="2" t="s">
        <v>2759</v>
      </c>
      <c r="D334" s="2" t="s">
        <v>2759</v>
      </c>
      <c r="E334" s="2" t="s">
        <v>75</v>
      </c>
      <c r="F334" s="2"/>
      <c r="G334" s="2">
        <v>3</v>
      </c>
      <c r="H334" s="2">
        <v>0</v>
      </c>
      <c r="I334" s="2">
        <v>1</v>
      </c>
      <c r="J334" s="2">
        <v>2</v>
      </c>
      <c r="K334" s="2">
        <v>0</v>
      </c>
      <c r="L334" s="16">
        <v>1524</v>
      </c>
      <c r="M334" s="16">
        <v>375</v>
      </c>
      <c r="N334" s="8" t="s">
        <v>2760</v>
      </c>
      <c r="O334" s="12">
        <f t="shared" si="5"/>
        <v>24.606299212598426</v>
      </c>
      <c r="P334" s="2">
        <v>2</v>
      </c>
      <c r="Q334" s="2" t="s">
        <v>77</v>
      </c>
      <c r="R334" s="8" t="s">
        <v>2760</v>
      </c>
      <c r="S334" s="8" t="s">
        <v>2761</v>
      </c>
      <c r="T334" s="8" t="s">
        <v>80</v>
      </c>
      <c r="U334" s="2" t="s">
        <v>81</v>
      </c>
      <c r="V334" s="2">
        <v>2024</v>
      </c>
      <c r="W334" s="16">
        <v>75</v>
      </c>
      <c r="X334" s="2">
        <v>2030</v>
      </c>
      <c r="Y334" s="16">
        <v>75</v>
      </c>
      <c r="Z334" s="16">
        <v>75</v>
      </c>
      <c r="AA334" s="2">
        <v>2030</v>
      </c>
      <c r="AB334" s="16">
        <v>100</v>
      </c>
      <c r="AC334" s="2">
        <v>2030</v>
      </c>
      <c r="AD334" s="2" t="s">
        <v>82</v>
      </c>
      <c r="AE334" s="16"/>
      <c r="AF334" s="16"/>
      <c r="AG334" s="16">
        <v>0</v>
      </c>
      <c r="AH334" s="16"/>
      <c r="AI334" s="8" t="s">
        <v>200</v>
      </c>
      <c r="AJ334" s="2" t="s">
        <v>84</v>
      </c>
      <c r="AK334" s="2">
        <v>1</v>
      </c>
      <c r="AL334" s="8" t="s">
        <v>2762</v>
      </c>
      <c r="AM334" s="8" t="s">
        <v>2763</v>
      </c>
      <c r="AN334" s="2"/>
      <c r="AO334" s="16">
        <v>8056</v>
      </c>
      <c r="AP334" s="2"/>
      <c r="AQ334" s="16">
        <v>24654</v>
      </c>
      <c r="AR334" s="2" t="s">
        <v>86</v>
      </c>
      <c r="AS334" s="16">
        <v>45.2</v>
      </c>
      <c r="AT334" s="2"/>
      <c r="AU334" s="16">
        <v>5221</v>
      </c>
      <c r="AV334" s="2"/>
      <c r="AW334" s="16">
        <v>6282</v>
      </c>
      <c r="AX334" s="2" t="s">
        <v>86</v>
      </c>
      <c r="AY334" s="16">
        <v>6.4</v>
      </c>
      <c r="AZ334" s="2"/>
      <c r="BA334" s="16"/>
      <c r="BB334" s="2"/>
      <c r="BC334" s="16"/>
      <c r="BD334" s="2"/>
      <c r="BE334" s="16"/>
      <c r="BF334" s="2"/>
      <c r="BG334" s="16">
        <v>136</v>
      </c>
      <c r="BH334" s="2"/>
      <c r="BI334" s="16">
        <v>142</v>
      </c>
      <c r="BJ334" s="2" t="s">
        <v>87</v>
      </c>
      <c r="BK334" s="8"/>
      <c r="BL334" s="8" t="str">
        <f>HYPERLINK("https://seichotoushi-hojo.jp/assets/pdf/koufu_3_4ji/outline_163.pdf","PDFを開く")</f>
        <v>PDFを開く</v>
      </c>
      <c r="BM334" s="8" t="s">
        <v>2764</v>
      </c>
      <c r="BN334" s="8" t="s">
        <v>2765</v>
      </c>
      <c r="BO334" s="8" t="s">
        <v>166</v>
      </c>
      <c r="BP334" s="8" t="s">
        <v>166</v>
      </c>
      <c r="BQ334" s="8" t="s">
        <v>156</v>
      </c>
      <c r="BR334" s="8" t="s">
        <v>166</v>
      </c>
    </row>
    <row r="335" spans="1:70" ht="45.95" customHeight="1">
      <c r="A335" s="5" t="s">
        <v>2766</v>
      </c>
      <c r="B335" s="5" t="s">
        <v>2430</v>
      </c>
      <c r="C335" s="5" t="s">
        <v>2767</v>
      </c>
      <c r="D335" s="5" t="s">
        <v>2767</v>
      </c>
      <c r="E335" s="5" t="s">
        <v>186</v>
      </c>
      <c r="F335" s="5"/>
      <c r="G335" s="5">
        <v>2</v>
      </c>
      <c r="H335" s="5">
        <v>0</v>
      </c>
      <c r="I335" s="5">
        <v>1</v>
      </c>
      <c r="J335" s="5">
        <v>1</v>
      </c>
      <c r="K335" s="5">
        <v>0</v>
      </c>
      <c r="L335" s="17">
        <v>2331</v>
      </c>
      <c r="M335" s="17">
        <v>550</v>
      </c>
      <c r="N335" s="9" t="s">
        <v>2768</v>
      </c>
      <c r="O335" s="13">
        <f t="shared" si="5"/>
        <v>23.595023595023594</v>
      </c>
      <c r="P335" s="5">
        <v>2</v>
      </c>
      <c r="Q335" s="5" t="s">
        <v>77</v>
      </c>
      <c r="R335" s="9" t="s">
        <v>2768</v>
      </c>
      <c r="S335" s="9" t="s">
        <v>2769</v>
      </c>
      <c r="T335" s="9" t="s">
        <v>80</v>
      </c>
      <c r="U335" s="5" t="s">
        <v>81</v>
      </c>
      <c r="V335" s="5"/>
      <c r="W335" s="17"/>
      <c r="X335" s="5">
        <v>2030</v>
      </c>
      <c r="Y335" s="17"/>
      <c r="Z335" s="17">
        <v>21.4</v>
      </c>
      <c r="AA335" s="5">
        <v>2030</v>
      </c>
      <c r="AB335" s="17">
        <v>14.8</v>
      </c>
      <c r="AC335" s="5">
        <v>2030</v>
      </c>
      <c r="AD335" s="5" t="s">
        <v>82</v>
      </c>
      <c r="AE335" s="17"/>
      <c r="AF335" s="17"/>
      <c r="AG335" s="17"/>
      <c r="AH335" s="17"/>
      <c r="AI335" s="9" t="s">
        <v>83</v>
      </c>
      <c r="AJ335" s="5" t="s">
        <v>84</v>
      </c>
      <c r="AK335" s="5">
        <v>1</v>
      </c>
      <c r="AL335" s="9" t="s">
        <v>2770</v>
      </c>
      <c r="AM335" s="9"/>
      <c r="AN335" s="5"/>
      <c r="AO335" s="17">
        <v>6483</v>
      </c>
      <c r="AP335" s="5"/>
      <c r="AQ335" s="17">
        <v>13953</v>
      </c>
      <c r="AR335" s="5" t="s">
        <v>447</v>
      </c>
      <c r="AS335" s="17">
        <v>29.1</v>
      </c>
      <c r="AT335" s="5"/>
      <c r="AU335" s="17">
        <v>4500</v>
      </c>
      <c r="AV335" s="5"/>
      <c r="AW335" s="17">
        <v>5360</v>
      </c>
      <c r="AX335" s="5" t="s">
        <v>447</v>
      </c>
      <c r="AY335" s="17">
        <v>6</v>
      </c>
      <c r="AZ335" s="5"/>
      <c r="BA335" s="17"/>
      <c r="BB335" s="5"/>
      <c r="BC335" s="17"/>
      <c r="BD335" s="5" t="s">
        <v>447</v>
      </c>
      <c r="BE335" s="17">
        <v>6</v>
      </c>
      <c r="BF335" s="5">
        <v>2028</v>
      </c>
      <c r="BG335" s="17">
        <v>97</v>
      </c>
      <c r="BH335" s="5">
        <v>2031</v>
      </c>
      <c r="BI335" s="17">
        <v>127</v>
      </c>
      <c r="BJ335" s="5" t="s">
        <v>87</v>
      </c>
      <c r="BK335" s="9"/>
      <c r="BL335" s="9" t="str">
        <f>HYPERLINK("https://seichotoushi-hojo.jp/assets/pdf/koufu_3_4ji/outline_164.pdf","PDFを開く")</f>
        <v>PDFを開く</v>
      </c>
      <c r="BM335" s="9" t="s">
        <v>2771</v>
      </c>
      <c r="BN335" s="9" t="s">
        <v>2772</v>
      </c>
      <c r="BO335" s="9" t="s">
        <v>90</v>
      </c>
      <c r="BP335" s="9" t="s">
        <v>90</v>
      </c>
      <c r="BQ335" s="9" t="s">
        <v>91</v>
      </c>
      <c r="BR335" s="9" t="s">
        <v>166</v>
      </c>
    </row>
    <row r="336" spans="1:70" ht="45.95" customHeight="1">
      <c r="A336" s="2" t="s">
        <v>2773</v>
      </c>
      <c r="B336" s="2" t="s">
        <v>2430</v>
      </c>
      <c r="C336" s="2" t="s">
        <v>2774</v>
      </c>
      <c r="D336" s="2" t="s">
        <v>2774</v>
      </c>
      <c r="E336" s="2" t="s">
        <v>95</v>
      </c>
      <c r="F336" s="2"/>
      <c r="G336" s="2">
        <v>2</v>
      </c>
      <c r="H336" s="2">
        <v>0</v>
      </c>
      <c r="I336" s="2">
        <v>1</v>
      </c>
      <c r="J336" s="2">
        <v>1</v>
      </c>
      <c r="K336" s="2">
        <v>0</v>
      </c>
      <c r="L336" s="16">
        <v>2214</v>
      </c>
      <c r="M336" s="16">
        <v>648</v>
      </c>
      <c r="N336" s="8" t="s">
        <v>2775</v>
      </c>
      <c r="O336" s="12">
        <f t="shared" si="5"/>
        <v>29.268292682926827</v>
      </c>
      <c r="P336" s="2">
        <v>2</v>
      </c>
      <c r="Q336" s="2" t="s">
        <v>77</v>
      </c>
      <c r="R336" s="8" t="s">
        <v>2776</v>
      </c>
      <c r="S336" s="8" t="s">
        <v>2777</v>
      </c>
      <c r="T336" s="8" t="s">
        <v>80</v>
      </c>
      <c r="U336" s="2" t="s">
        <v>81</v>
      </c>
      <c r="V336" s="2">
        <v>2024</v>
      </c>
      <c r="W336" s="16"/>
      <c r="X336" s="2">
        <v>2031</v>
      </c>
      <c r="Y336" s="16"/>
      <c r="Z336" s="16">
        <v>206.51</v>
      </c>
      <c r="AA336" s="2">
        <v>2031</v>
      </c>
      <c r="AB336" s="16">
        <v>106</v>
      </c>
      <c r="AC336" s="2">
        <v>2031</v>
      </c>
      <c r="AD336" s="2" t="s">
        <v>82</v>
      </c>
      <c r="AE336" s="16"/>
      <c r="AF336" s="16"/>
      <c r="AG336" s="16"/>
      <c r="AH336" s="16"/>
      <c r="AI336" s="8" t="s">
        <v>83</v>
      </c>
      <c r="AJ336" s="2" t="s">
        <v>84</v>
      </c>
      <c r="AK336" s="2">
        <v>1</v>
      </c>
      <c r="AL336" s="8" t="s">
        <v>2778</v>
      </c>
      <c r="AM336" s="8"/>
      <c r="AN336" s="2"/>
      <c r="AO336" s="16">
        <v>24686</v>
      </c>
      <c r="AP336" s="2"/>
      <c r="AQ336" s="16">
        <v>60676</v>
      </c>
      <c r="AR336" s="2" t="s">
        <v>447</v>
      </c>
      <c r="AS336" s="16">
        <v>35</v>
      </c>
      <c r="AT336" s="2"/>
      <c r="AU336" s="16">
        <v>7187</v>
      </c>
      <c r="AV336" s="2"/>
      <c r="AW336" s="16">
        <v>8676</v>
      </c>
      <c r="AX336" s="2" t="s">
        <v>447</v>
      </c>
      <c r="AY336" s="16">
        <v>6.5</v>
      </c>
      <c r="AZ336" s="2"/>
      <c r="BA336" s="16"/>
      <c r="BB336" s="2"/>
      <c r="BC336" s="16"/>
      <c r="BD336" s="2"/>
      <c r="BE336" s="16"/>
      <c r="BF336" s="2"/>
      <c r="BG336" s="16">
        <v>117</v>
      </c>
      <c r="BH336" s="2"/>
      <c r="BI336" s="16">
        <v>134</v>
      </c>
      <c r="BJ336" s="2" t="s">
        <v>87</v>
      </c>
      <c r="BK336" s="8"/>
      <c r="BL336" s="8" t="str">
        <f>HYPERLINK("https://seichotoushi-hojo.jp/assets/pdf/koufu_3_4ji/outline_165.pdf","PDFを開く")</f>
        <v>PDFを開く</v>
      </c>
      <c r="BM336" s="8" t="s">
        <v>2779</v>
      </c>
      <c r="BN336" s="8" t="s">
        <v>2780</v>
      </c>
      <c r="BO336" s="8" t="s">
        <v>90</v>
      </c>
      <c r="BP336" s="8" t="s">
        <v>90</v>
      </c>
      <c r="BQ336" s="8" t="s">
        <v>156</v>
      </c>
      <c r="BR336" s="8" t="s">
        <v>92</v>
      </c>
    </row>
    <row r="337" spans="1:70" ht="45.95" customHeight="1">
      <c r="A337" s="5" t="s">
        <v>2781</v>
      </c>
      <c r="B337" s="5" t="s">
        <v>2430</v>
      </c>
      <c r="C337" s="5" t="s">
        <v>2782</v>
      </c>
      <c r="D337" s="5" t="s">
        <v>2782</v>
      </c>
      <c r="E337" s="5" t="s">
        <v>75</v>
      </c>
      <c r="F337" s="5"/>
      <c r="G337" s="5">
        <v>2</v>
      </c>
      <c r="H337" s="5">
        <v>0</v>
      </c>
      <c r="I337" s="5">
        <v>1</v>
      </c>
      <c r="J337" s="5">
        <v>1</v>
      </c>
      <c r="K337" s="5">
        <v>0</v>
      </c>
      <c r="L337" s="17">
        <v>3109</v>
      </c>
      <c r="M337" s="17">
        <v>1015</v>
      </c>
      <c r="N337" s="9" t="s">
        <v>2783</v>
      </c>
      <c r="O337" s="13">
        <f t="shared" si="5"/>
        <v>32.647153425538761</v>
      </c>
      <c r="P337" s="5">
        <v>2</v>
      </c>
      <c r="Q337" s="5" t="s">
        <v>77</v>
      </c>
      <c r="R337" s="9" t="s">
        <v>2784</v>
      </c>
      <c r="S337" s="9" t="s">
        <v>2785</v>
      </c>
      <c r="T337" s="9" t="s">
        <v>80</v>
      </c>
      <c r="U337" s="5" t="s">
        <v>81</v>
      </c>
      <c r="V337" s="5"/>
      <c r="W337" s="17"/>
      <c r="X337" s="5">
        <v>2031</v>
      </c>
      <c r="Y337" s="17">
        <v>240</v>
      </c>
      <c r="Z337" s="17">
        <v>99.1</v>
      </c>
      <c r="AA337" s="5">
        <v>2031</v>
      </c>
      <c r="AB337" s="17">
        <v>9.3000000000000007</v>
      </c>
      <c r="AC337" s="5">
        <v>2031</v>
      </c>
      <c r="AD337" s="5" t="s">
        <v>82</v>
      </c>
      <c r="AE337" s="17"/>
      <c r="AF337" s="17"/>
      <c r="AG337" s="17"/>
      <c r="AH337" s="17"/>
      <c r="AI337" s="9" t="s">
        <v>83</v>
      </c>
      <c r="AJ337" s="5" t="s">
        <v>84</v>
      </c>
      <c r="AK337" s="5">
        <v>1</v>
      </c>
      <c r="AL337" s="9" t="s">
        <v>2786</v>
      </c>
      <c r="AM337" s="9" t="s">
        <v>2787</v>
      </c>
      <c r="AN337" s="5"/>
      <c r="AO337" s="17">
        <v>6383</v>
      </c>
      <c r="AP337" s="5"/>
      <c r="AQ337" s="17">
        <v>8567</v>
      </c>
      <c r="AR337" s="5" t="s">
        <v>447</v>
      </c>
      <c r="AS337" s="17">
        <v>10.3</v>
      </c>
      <c r="AT337" s="5"/>
      <c r="AU337" s="17">
        <v>4536</v>
      </c>
      <c r="AV337" s="5"/>
      <c r="AW337" s="17">
        <v>5479</v>
      </c>
      <c r="AX337" s="5" t="s">
        <v>447</v>
      </c>
      <c r="AY337" s="17">
        <v>6.5</v>
      </c>
      <c r="AZ337" s="5"/>
      <c r="BA337" s="17"/>
      <c r="BB337" s="5"/>
      <c r="BC337" s="17"/>
      <c r="BD337" s="5" t="s">
        <v>447</v>
      </c>
      <c r="BE337" s="17">
        <v>6.5</v>
      </c>
      <c r="BF337" s="5"/>
      <c r="BG337" s="17">
        <v>697</v>
      </c>
      <c r="BH337" s="5"/>
      <c r="BI337" s="17">
        <v>750</v>
      </c>
      <c r="BJ337" s="5" t="s">
        <v>87</v>
      </c>
      <c r="BK337" s="9"/>
      <c r="BL337" s="9" t="str">
        <f>HYPERLINK("https://seichotoushi-hojo.jp/assets/pdf/koufu_3_4ji/outline_166.pdf","PDFを開く")</f>
        <v>PDFを開く</v>
      </c>
      <c r="BM337" s="9" t="s">
        <v>2788</v>
      </c>
      <c r="BN337" s="9" t="s">
        <v>2789</v>
      </c>
      <c r="BO337" s="9" t="s">
        <v>90</v>
      </c>
      <c r="BP337" s="9" t="s">
        <v>90</v>
      </c>
      <c r="BQ337" s="9" t="s">
        <v>91</v>
      </c>
      <c r="BR337" s="9" t="s">
        <v>92</v>
      </c>
    </row>
    <row r="338" spans="1:70" ht="45.95" customHeight="1">
      <c r="A338" s="2" t="s">
        <v>2790</v>
      </c>
      <c r="B338" s="2" t="s">
        <v>2430</v>
      </c>
      <c r="C338" s="2" t="s">
        <v>2791</v>
      </c>
      <c r="D338" s="2" t="s">
        <v>2791</v>
      </c>
      <c r="E338" s="2" t="s">
        <v>107</v>
      </c>
      <c r="F338" s="2"/>
      <c r="G338" s="2">
        <v>2</v>
      </c>
      <c r="H338" s="2">
        <v>0</v>
      </c>
      <c r="I338" s="2">
        <v>1</v>
      </c>
      <c r="J338" s="2">
        <v>1</v>
      </c>
      <c r="K338" s="2">
        <v>0</v>
      </c>
      <c r="L338" s="16">
        <v>1243</v>
      </c>
      <c r="M338" s="16">
        <v>309</v>
      </c>
      <c r="N338" s="8" t="s">
        <v>2792</v>
      </c>
      <c r="O338" s="12">
        <f t="shared" si="5"/>
        <v>24.8592115848753</v>
      </c>
      <c r="P338" s="2">
        <v>2</v>
      </c>
      <c r="Q338" s="2" t="s">
        <v>77</v>
      </c>
      <c r="R338" s="8" t="s">
        <v>2793</v>
      </c>
      <c r="S338" s="8" t="s">
        <v>2794</v>
      </c>
      <c r="T338" s="8" t="s">
        <v>80</v>
      </c>
      <c r="U338" s="2" t="s">
        <v>81</v>
      </c>
      <c r="V338" s="2"/>
      <c r="W338" s="16"/>
      <c r="X338" s="2">
        <v>2030</v>
      </c>
      <c r="Y338" s="16"/>
      <c r="Z338" s="16">
        <v>52</v>
      </c>
      <c r="AA338" s="2">
        <v>2030</v>
      </c>
      <c r="AB338" s="16">
        <v>10.8</v>
      </c>
      <c r="AC338" s="2">
        <v>2030</v>
      </c>
      <c r="AD338" s="2" t="s">
        <v>210</v>
      </c>
      <c r="AE338" s="16"/>
      <c r="AF338" s="16"/>
      <c r="AG338" s="16"/>
      <c r="AH338" s="16"/>
      <c r="AI338" s="8" t="s">
        <v>83</v>
      </c>
      <c r="AJ338" s="2" t="s">
        <v>84</v>
      </c>
      <c r="AK338" s="2">
        <v>1</v>
      </c>
      <c r="AL338" s="8" t="s">
        <v>2795</v>
      </c>
      <c r="AM338" s="8"/>
      <c r="AN338" s="2"/>
      <c r="AO338" s="16">
        <v>9544</v>
      </c>
      <c r="AP338" s="2"/>
      <c r="AQ338" s="16">
        <v>26440</v>
      </c>
      <c r="AR338" s="2" t="s">
        <v>447</v>
      </c>
      <c r="AS338" s="16">
        <v>40.4</v>
      </c>
      <c r="AT338" s="2"/>
      <c r="AU338" s="16">
        <v>6106</v>
      </c>
      <c r="AV338" s="2"/>
      <c r="AW338" s="16">
        <v>7375</v>
      </c>
      <c r="AX338" s="2" t="s">
        <v>447</v>
      </c>
      <c r="AY338" s="16">
        <v>6.5</v>
      </c>
      <c r="AZ338" s="2"/>
      <c r="BA338" s="16"/>
      <c r="BB338" s="2"/>
      <c r="BC338" s="16"/>
      <c r="BD338" s="2" t="s">
        <v>447</v>
      </c>
      <c r="BE338" s="16">
        <v>6.5</v>
      </c>
      <c r="BF338" s="2"/>
      <c r="BG338" s="16">
        <v>82</v>
      </c>
      <c r="BH338" s="2"/>
      <c r="BI338" s="16">
        <v>88</v>
      </c>
      <c r="BJ338" s="2" t="s">
        <v>87</v>
      </c>
      <c r="BK338" s="8"/>
      <c r="BL338" s="8" t="str">
        <f>HYPERLINK("https://seichotoushi-hojo.jp/assets/pdf/koufu_3_4ji/outline_167.pdf","PDFを開く")</f>
        <v>PDFを開く</v>
      </c>
      <c r="BM338" s="8" t="s">
        <v>2796</v>
      </c>
      <c r="BN338" s="8" t="s">
        <v>2797</v>
      </c>
      <c r="BO338" s="8" t="s">
        <v>90</v>
      </c>
      <c r="BP338" s="8" t="s">
        <v>90</v>
      </c>
      <c r="BQ338" s="8" t="s">
        <v>91</v>
      </c>
      <c r="BR338" s="8" t="s">
        <v>92</v>
      </c>
    </row>
    <row r="339" spans="1:70" ht="45.95" customHeight="1">
      <c r="A339" s="5" t="s">
        <v>2798</v>
      </c>
      <c r="B339" s="5" t="s">
        <v>2430</v>
      </c>
      <c r="C339" s="5" t="s">
        <v>2799</v>
      </c>
      <c r="D339" s="5" t="s">
        <v>2799</v>
      </c>
      <c r="E339" s="5" t="s">
        <v>95</v>
      </c>
      <c r="F339" s="5" t="s">
        <v>2800</v>
      </c>
      <c r="G339" s="5">
        <v>3</v>
      </c>
      <c r="H339" s="5">
        <v>0</v>
      </c>
      <c r="I339" s="5">
        <v>1</v>
      </c>
      <c r="J339" s="5">
        <v>2</v>
      </c>
      <c r="K339" s="5">
        <v>0</v>
      </c>
      <c r="L339" s="17">
        <v>2195</v>
      </c>
      <c r="M339" s="17">
        <v>712</v>
      </c>
      <c r="N339" s="9" t="s">
        <v>2801</v>
      </c>
      <c r="O339" s="13">
        <f t="shared" si="5"/>
        <v>32.437357630979498</v>
      </c>
      <c r="P339" s="5">
        <v>2</v>
      </c>
      <c r="Q339" s="5" t="s">
        <v>77</v>
      </c>
      <c r="R339" s="9" t="s">
        <v>2802</v>
      </c>
      <c r="S339" s="9" t="s">
        <v>2803</v>
      </c>
      <c r="T339" s="9" t="s">
        <v>80</v>
      </c>
      <c r="U339" s="5" t="s">
        <v>81</v>
      </c>
      <c r="V339" s="5">
        <v>2025</v>
      </c>
      <c r="W339" s="17">
        <v>168.4</v>
      </c>
      <c r="X339" s="5">
        <v>2031</v>
      </c>
      <c r="Y339" s="17">
        <v>247.5</v>
      </c>
      <c r="Z339" s="17">
        <v>35.6</v>
      </c>
      <c r="AA339" s="5">
        <v>2031</v>
      </c>
      <c r="AB339" s="17">
        <v>20.9</v>
      </c>
      <c r="AC339" s="5">
        <v>2031</v>
      </c>
      <c r="AD339" s="5" t="s">
        <v>210</v>
      </c>
      <c r="AE339" s="17"/>
      <c r="AF339" s="17"/>
      <c r="AG339" s="17">
        <v>6.6282265436735432</v>
      </c>
      <c r="AH339" s="17"/>
      <c r="AI339" s="9" t="s">
        <v>120</v>
      </c>
      <c r="AJ339" s="5" t="s">
        <v>84</v>
      </c>
      <c r="AK339" s="5">
        <v>1</v>
      </c>
      <c r="AL339" s="9" t="s">
        <v>2804</v>
      </c>
      <c r="AM339" s="9" t="s">
        <v>2805</v>
      </c>
      <c r="AN339" s="5"/>
      <c r="AO339" s="17">
        <v>14783</v>
      </c>
      <c r="AP339" s="5"/>
      <c r="AQ339" s="17">
        <v>21274</v>
      </c>
      <c r="AR339" s="5" t="s">
        <v>447</v>
      </c>
      <c r="AS339" s="17">
        <v>12.9</v>
      </c>
      <c r="AT339" s="5"/>
      <c r="AU339" s="17">
        <v>4692</v>
      </c>
      <c r="AV339" s="5"/>
      <c r="AW339" s="17">
        <v>5515</v>
      </c>
      <c r="AX339" s="5" t="s">
        <v>447</v>
      </c>
      <c r="AY339" s="17">
        <v>5.5</v>
      </c>
      <c r="AZ339" s="5">
        <v>2027</v>
      </c>
      <c r="BA339" s="17"/>
      <c r="BB339" s="5"/>
      <c r="BC339" s="17"/>
      <c r="BD339" s="5" t="s">
        <v>447</v>
      </c>
      <c r="BE339" s="17">
        <v>0</v>
      </c>
      <c r="BF339" s="5"/>
      <c r="BG339" s="17">
        <v>54</v>
      </c>
      <c r="BH339" s="5"/>
      <c r="BI339" s="17">
        <v>84</v>
      </c>
      <c r="BJ339" s="5" t="s">
        <v>87</v>
      </c>
      <c r="BK339" s="9" t="s">
        <v>2806</v>
      </c>
      <c r="BL339" s="9" t="str">
        <f>HYPERLINK("https://seichotoushi-hojo.jp/assets/pdf/koufu_3_4ji/outline_168.pdf","PDFを開く")</f>
        <v>PDFを開く</v>
      </c>
      <c r="BM339" s="9" t="s">
        <v>2807</v>
      </c>
      <c r="BN339" s="9" t="s">
        <v>2808</v>
      </c>
      <c r="BO339" s="9" t="s">
        <v>90</v>
      </c>
      <c r="BP339" s="9" t="s">
        <v>90</v>
      </c>
      <c r="BQ339" s="9" t="s">
        <v>91</v>
      </c>
      <c r="BR339" s="9" t="s">
        <v>92</v>
      </c>
    </row>
    <row r="340" spans="1:70" ht="45.95" customHeight="1">
      <c r="A340" s="2" t="s">
        <v>2809</v>
      </c>
      <c r="B340" s="2" t="s">
        <v>2430</v>
      </c>
      <c r="C340" s="2" t="s">
        <v>2810</v>
      </c>
      <c r="D340" s="2" t="s">
        <v>2810</v>
      </c>
      <c r="E340" s="2" t="s">
        <v>75</v>
      </c>
      <c r="F340" s="2"/>
      <c r="G340" s="2">
        <v>2</v>
      </c>
      <c r="H340" s="2">
        <v>0</v>
      </c>
      <c r="I340" s="2">
        <v>1</v>
      </c>
      <c r="J340" s="2">
        <v>1</v>
      </c>
      <c r="K340" s="2">
        <v>0</v>
      </c>
      <c r="L340" s="16">
        <v>2535</v>
      </c>
      <c r="M340" s="16">
        <v>843</v>
      </c>
      <c r="N340" s="8" t="s">
        <v>2811</v>
      </c>
      <c r="O340" s="12">
        <f t="shared" si="5"/>
        <v>33.254437869822482</v>
      </c>
      <c r="P340" s="2">
        <v>2</v>
      </c>
      <c r="Q340" s="2" t="s">
        <v>308</v>
      </c>
      <c r="R340" s="8" t="s">
        <v>2812</v>
      </c>
      <c r="S340" s="8" t="s">
        <v>2813</v>
      </c>
      <c r="T340" s="8" t="s">
        <v>310</v>
      </c>
      <c r="U340" s="2" t="s">
        <v>81</v>
      </c>
      <c r="V340" s="2"/>
      <c r="W340" s="16"/>
      <c r="X340" s="2">
        <v>2031</v>
      </c>
      <c r="Y340" s="16"/>
      <c r="Z340" s="16">
        <v>152</v>
      </c>
      <c r="AA340" s="2">
        <v>2031</v>
      </c>
      <c r="AB340" s="16">
        <v>12.5</v>
      </c>
      <c r="AC340" s="2">
        <v>2031</v>
      </c>
      <c r="AD340" s="2" t="s">
        <v>210</v>
      </c>
      <c r="AE340" s="16"/>
      <c r="AF340" s="16"/>
      <c r="AG340" s="16"/>
      <c r="AH340" s="16"/>
      <c r="AI340" s="8" t="s">
        <v>83</v>
      </c>
      <c r="AJ340" s="2" t="s">
        <v>84</v>
      </c>
      <c r="AK340" s="2">
        <v>1</v>
      </c>
      <c r="AL340" s="8" t="s">
        <v>2814</v>
      </c>
      <c r="AM340" s="8"/>
      <c r="AN340" s="2"/>
      <c r="AO340" s="16">
        <v>66170</v>
      </c>
      <c r="AP340" s="2"/>
      <c r="AQ340" s="16">
        <v>125750</v>
      </c>
      <c r="AR340" s="2" t="s">
        <v>447</v>
      </c>
      <c r="AS340" s="16">
        <v>23.9</v>
      </c>
      <c r="AT340" s="2"/>
      <c r="AU340" s="16">
        <v>5067</v>
      </c>
      <c r="AV340" s="2"/>
      <c r="AW340" s="16">
        <v>6383</v>
      </c>
      <c r="AX340" s="2" t="s">
        <v>447</v>
      </c>
      <c r="AY340" s="16">
        <v>8</v>
      </c>
      <c r="AZ340" s="2"/>
      <c r="BA340" s="16"/>
      <c r="BB340" s="2"/>
      <c r="BC340" s="16"/>
      <c r="BD340" s="2" t="s">
        <v>447</v>
      </c>
      <c r="BE340" s="16">
        <v>6.5</v>
      </c>
      <c r="BF340" s="2"/>
      <c r="BG340" s="16">
        <v>38</v>
      </c>
      <c r="BH340" s="2"/>
      <c r="BI340" s="16">
        <v>40</v>
      </c>
      <c r="BJ340" s="2" t="s">
        <v>87</v>
      </c>
      <c r="BK340" s="8"/>
      <c r="BL340" s="8" t="str">
        <f>HYPERLINK("https://seichotoushi-hojo.jp/assets/pdf/koufu_3_4ji/outline_170.pdf","PDFを開く")</f>
        <v>PDFを開く</v>
      </c>
      <c r="BM340" s="8" t="s">
        <v>2815</v>
      </c>
      <c r="BN340" s="8" t="s">
        <v>2816</v>
      </c>
      <c r="BO340" s="8" t="s">
        <v>90</v>
      </c>
      <c r="BP340" s="8" t="s">
        <v>90</v>
      </c>
      <c r="BQ340" s="8" t="s">
        <v>91</v>
      </c>
      <c r="BR340" s="8" t="s">
        <v>92</v>
      </c>
    </row>
    <row r="341" spans="1:70" ht="45.95" customHeight="1">
      <c r="A341" s="5" t="s">
        <v>2817</v>
      </c>
      <c r="B341" s="5" t="s">
        <v>2430</v>
      </c>
      <c r="C341" s="5" t="s">
        <v>2818</v>
      </c>
      <c r="D341" s="5" t="s">
        <v>2818</v>
      </c>
      <c r="E341" s="5" t="s">
        <v>186</v>
      </c>
      <c r="F341" s="5"/>
      <c r="G341" s="5">
        <v>2</v>
      </c>
      <c r="H341" s="5">
        <v>0</v>
      </c>
      <c r="I341" s="5">
        <v>1</v>
      </c>
      <c r="J341" s="5">
        <v>1</v>
      </c>
      <c r="K341" s="5">
        <v>0</v>
      </c>
      <c r="L341" s="17">
        <v>4192</v>
      </c>
      <c r="M341" s="17">
        <v>1171</v>
      </c>
      <c r="N341" s="9" t="s">
        <v>2819</v>
      </c>
      <c r="O341" s="13">
        <f t="shared" si="5"/>
        <v>27.934160305343514</v>
      </c>
      <c r="P341" s="5">
        <v>2</v>
      </c>
      <c r="Q341" s="5" t="s">
        <v>77</v>
      </c>
      <c r="R341" s="9" t="s">
        <v>2820</v>
      </c>
      <c r="S341" s="9" t="s">
        <v>2821</v>
      </c>
      <c r="T341" s="9" t="s">
        <v>80</v>
      </c>
      <c r="U341" s="5" t="s">
        <v>81</v>
      </c>
      <c r="V341" s="5"/>
      <c r="W341" s="17"/>
      <c r="X341" s="5">
        <v>2030</v>
      </c>
      <c r="Y341" s="17"/>
      <c r="Z341" s="17">
        <v>31.43</v>
      </c>
      <c r="AA341" s="5">
        <v>2030</v>
      </c>
      <c r="AB341" s="17">
        <v>49.4</v>
      </c>
      <c r="AC341" s="5">
        <v>2030</v>
      </c>
      <c r="AD341" s="5" t="s">
        <v>82</v>
      </c>
      <c r="AE341" s="17"/>
      <c r="AF341" s="17"/>
      <c r="AG341" s="17"/>
      <c r="AH341" s="17"/>
      <c r="AI341" s="9" t="s">
        <v>83</v>
      </c>
      <c r="AJ341" s="5" t="s">
        <v>84</v>
      </c>
      <c r="AK341" s="5">
        <v>1</v>
      </c>
      <c r="AL341" s="9" t="s">
        <v>2822</v>
      </c>
      <c r="AM341" s="9"/>
      <c r="AN341" s="5"/>
      <c r="AO341" s="17">
        <v>5866</v>
      </c>
      <c r="AP341" s="5"/>
      <c r="AQ341" s="17">
        <v>16506</v>
      </c>
      <c r="AR341" s="5" t="s">
        <v>447</v>
      </c>
      <c r="AS341" s="17">
        <v>41.2</v>
      </c>
      <c r="AT341" s="5"/>
      <c r="AU341" s="17">
        <v>3463</v>
      </c>
      <c r="AV341" s="5"/>
      <c r="AW341" s="17">
        <v>4148</v>
      </c>
      <c r="AX341" s="5" t="s">
        <v>447</v>
      </c>
      <c r="AY341" s="17">
        <v>6.2</v>
      </c>
      <c r="AZ341" s="5"/>
      <c r="BA341" s="17"/>
      <c r="BB341" s="5"/>
      <c r="BC341" s="17"/>
      <c r="BD341" s="5" t="s">
        <v>447</v>
      </c>
      <c r="BE341" s="17">
        <v>6.2</v>
      </c>
      <c r="BF341" s="5"/>
      <c r="BG341" s="17">
        <v>58</v>
      </c>
      <c r="BH341" s="5"/>
      <c r="BI341" s="17">
        <v>91</v>
      </c>
      <c r="BJ341" s="5" t="s">
        <v>87</v>
      </c>
      <c r="BK341" s="9"/>
      <c r="BL341" s="9" t="str">
        <f>HYPERLINK("https://seichotoushi-hojo.jp/assets/pdf/koufu_3_4ji/outline_171.pdf","PDFを開く")</f>
        <v>PDFを開く</v>
      </c>
      <c r="BM341" s="9" t="s">
        <v>2823</v>
      </c>
      <c r="BN341" s="9" t="s">
        <v>2824</v>
      </c>
      <c r="BO341" s="9" t="s">
        <v>90</v>
      </c>
      <c r="BP341" s="9" t="s">
        <v>90</v>
      </c>
      <c r="BQ341" s="9" t="s">
        <v>91</v>
      </c>
      <c r="BR341" s="9" t="s">
        <v>92</v>
      </c>
    </row>
    <row r="342" spans="1:70" ht="45.95" customHeight="1">
      <c r="A342" s="2" t="s">
        <v>2825</v>
      </c>
      <c r="B342" s="2" t="s">
        <v>2430</v>
      </c>
      <c r="C342" s="2" t="s">
        <v>2826</v>
      </c>
      <c r="D342" s="2" t="s">
        <v>2826</v>
      </c>
      <c r="E342" s="2" t="s">
        <v>95</v>
      </c>
      <c r="F342" s="2"/>
      <c r="G342" s="2">
        <v>2</v>
      </c>
      <c r="H342" s="2">
        <v>0</v>
      </c>
      <c r="I342" s="2">
        <v>1</v>
      </c>
      <c r="J342" s="2">
        <v>1</v>
      </c>
      <c r="K342" s="2">
        <v>0</v>
      </c>
      <c r="L342" s="16">
        <v>1777</v>
      </c>
      <c r="M342" s="16">
        <v>557</v>
      </c>
      <c r="N342" s="8" t="s">
        <v>2827</v>
      </c>
      <c r="O342" s="12">
        <f t="shared" si="5"/>
        <v>31.344963421496907</v>
      </c>
      <c r="P342" s="2">
        <v>2</v>
      </c>
      <c r="Q342" s="2" t="s">
        <v>77</v>
      </c>
      <c r="R342" s="8" t="s">
        <v>2828</v>
      </c>
      <c r="S342" s="8" t="s">
        <v>2829</v>
      </c>
      <c r="T342" s="8" t="s">
        <v>80</v>
      </c>
      <c r="U342" s="2" t="s">
        <v>81</v>
      </c>
      <c r="V342" s="2">
        <v>2024</v>
      </c>
      <c r="W342" s="16"/>
      <c r="X342" s="2">
        <v>2030</v>
      </c>
      <c r="Y342" s="16"/>
      <c r="Z342" s="16">
        <v>22.8</v>
      </c>
      <c r="AA342" s="2">
        <v>2030</v>
      </c>
      <c r="AB342" s="16">
        <v>12</v>
      </c>
      <c r="AC342" s="2">
        <v>2030</v>
      </c>
      <c r="AD342" s="2" t="s">
        <v>210</v>
      </c>
      <c r="AE342" s="16"/>
      <c r="AF342" s="16"/>
      <c r="AG342" s="16"/>
      <c r="AH342" s="16"/>
      <c r="AI342" s="8" t="s">
        <v>83</v>
      </c>
      <c r="AJ342" s="2" t="s">
        <v>84</v>
      </c>
      <c r="AK342" s="2">
        <v>1</v>
      </c>
      <c r="AL342" s="8" t="s">
        <v>2830</v>
      </c>
      <c r="AM342" s="8"/>
      <c r="AN342" s="2"/>
      <c r="AO342" s="16">
        <v>10345</v>
      </c>
      <c r="AP342" s="2"/>
      <c r="AQ342" s="16">
        <v>20065</v>
      </c>
      <c r="AR342" s="2" t="s">
        <v>447</v>
      </c>
      <c r="AS342" s="16">
        <v>24.7</v>
      </c>
      <c r="AT342" s="2"/>
      <c r="AU342" s="16">
        <v>3869</v>
      </c>
      <c r="AV342" s="2"/>
      <c r="AW342" s="16">
        <v>4674</v>
      </c>
      <c r="AX342" s="2" t="s">
        <v>447</v>
      </c>
      <c r="AY342" s="16">
        <v>6.5</v>
      </c>
      <c r="AZ342" s="2"/>
      <c r="BA342" s="16"/>
      <c r="BB342" s="2"/>
      <c r="BC342" s="16"/>
      <c r="BD342" s="2" t="s">
        <v>447</v>
      </c>
      <c r="BE342" s="16">
        <v>5.8</v>
      </c>
      <c r="BF342" s="2"/>
      <c r="BG342" s="16">
        <v>55</v>
      </c>
      <c r="BH342" s="2"/>
      <c r="BI342" s="16">
        <v>65</v>
      </c>
      <c r="BJ342" s="2" t="s">
        <v>87</v>
      </c>
      <c r="BK342" s="8"/>
      <c r="BL342" s="8" t="str">
        <f>HYPERLINK("https://seichotoushi-hojo.jp/assets/pdf/koufu_3_4ji/outline_172.pdf","PDFを開く")</f>
        <v>PDFを開く</v>
      </c>
      <c r="BM342" s="8" t="s">
        <v>2831</v>
      </c>
      <c r="BN342" s="8" t="s">
        <v>2832</v>
      </c>
      <c r="BO342" s="8" t="s">
        <v>90</v>
      </c>
      <c r="BP342" s="8" t="s">
        <v>90</v>
      </c>
      <c r="BQ342" s="8" t="s">
        <v>91</v>
      </c>
      <c r="BR342" s="8" t="s">
        <v>92</v>
      </c>
    </row>
    <row r="343" spans="1:70" ht="45.95" customHeight="1">
      <c r="A343" s="5" t="s">
        <v>2833</v>
      </c>
      <c r="B343" s="5" t="s">
        <v>2430</v>
      </c>
      <c r="C343" s="5" t="s">
        <v>2834</v>
      </c>
      <c r="D343" s="5" t="s">
        <v>2834</v>
      </c>
      <c r="E343" s="5" t="s">
        <v>186</v>
      </c>
      <c r="F343" s="5"/>
      <c r="G343" s="5">
        <v>2</v>
      </c>
      <c r="H343" s="5">
        <v>0</v>
      </c>
      <c r="I343" s="5">
        <v>1</v>
      </c>
      <c r="J343" s="5">
        <v>1</v>
      </c>
      <c r="K343" s="5">
        <v>0</v>
      </c>
      <c r="L343" s="17">
        <v>2268</v>
      </c>
      <c r="M343" s="17">
        <v>709</v>
      </c>
      <c r="N343" s="9" t="s">
        <v>2835</v>
      </c>
      <c r="O343" s="13">
        <f t="shared" si="5"/>
        <v>31.261022927689595</v>
      </c>
      <c r="P343" s="5">
        <v>2</v>
      </c>
      <c r="Q343" s="5" t="s">
        <v>77</v>
      </c>
      <c r="R343" s="9" t="s">
        <v>2835</v>
      </c>
      <c r="S343" s="9" t="s">
        <v>2836</v>
      </c>
      <c r="T343" s="9" t="s">
        <v>80</v>
      </c>
      <c r="U343" s="5" t="s">
        <v>81</v>
      </c>
      <c r="V343" s="5"/>
      <c r="W343" s="17"/>
      <c r="X343" s="5">
        <v>2030</v>
      </c>
      <c r="Y343" s="17">
        <v>171</v>
      </c>
      <c r="Z343" s="17">
        <v>106</v>
      </c>
      <c r="AA343" s="5">
        <v>2030</v>
      </c>
      <c r="AB343" s="17">
        <v>163</v>
      </c>
      <c r="AC343" s="5">
        <v>2030</v>
      </c>
      <c r="AD343" s="5" t="s">
        <v>82</v>
      </c>
      <c r="AE343" s="17"/>
      <c r="AF343" s="17"/>
      <c r="AG343" s="17"/>
      <c r="AH343" s="17"/>
      <c r="AI343" s="9" t="s">
        <v>83</v>
      </c>
      <c r="AJ343" s="5" t="s">
        <v>84</v>
      </c>
      <c r="AK343" s="5">
        <v>1</v>
      </c>
      <c r="AL343" s="9" t="s">
        <v>2837</v>
      </c>
      <c r="AM343" s="9" t="s">
        <v>2838</v>
      </c>
      <c r="AN343" s="5"/>
      <c r="AO343" s="17">
        <v>9956</v>
      </c>
      <c r="AP343" s="5"/>
      <c r="AQ343" s="17">
        <v>28294</v>
      </c>
      <c r="AR343" s="5" t="s">
        <v>447</v>
      </c>
      <c r="AS343" s="17">
        <v>41.6</v>
      </c>
      <c r="AT343" s="5"/>
      <c r="AU343" s="17">
        <v>6046</v>
      </c>
      <c r="AV343" s="5"/>
      <c r="AW343" s="17">
        <v>7305</v>
      </c>
      <c r="AX343" s="5" t="s">
        <v>447</v>
      </c>
      <c r="AY343" s="17">
        <v>6.5</v>
      </c>
      <c r="AZ343" s="5"/>
      <c r="BA343" s="17"/>
      <c r="BB343" s="5"/>
      <c r="BC343" s="17"/>
      <c r="BD343" s="5" t="s">
        <v>447</v>
      </c>
      <c r="BE343" s="17">
        <v>6.5</v>
      </c>
      <c r="BF343" s="5"/>
      <c r="BG343" s="17">
        <v>75</v>
      </c>
      <c r="BH343" s="5"/>
      <c r="BI343" s="17">
        <v>90</v>
      </c>
      <c r="BJ343" s="5" t="s">
        <v>87</v>
      </c>
      <c r="BK343" s="9"/>
      <c r="BL343" s="9" t="str">
        <f>HYPERLINK("https://seichotoushi-hojo.jp/assets/pdf/koufu_3_4ji/outline_174.pdf","PDFを開く")</f>
        <v>PDFを開く</v>
      </c>
      <c r="BM343" s="9" t="s">
        <v>2839</v>
      </c>
      <c r="BN343" s="9" t="s">
        <v>2840</v>
      </c>
      <c r="BO343" s="9" t="s">
        <v>90</v>
      </c>
      <c r="BP343" s="9" t="s">
        <v>90</v>
      </c>
      <c r="BQ343" s="9" t="s">
        <v>91</v>
      </c>
      <c r="BR343" s="9" t="s">
        <v>92</v>
      </c>
    </row>
    <row r="344" spans="1:70" ht="45.95" customHeight="1">
      <c r="A344" s="2" t="s">
        <v>2841</v>
      </c>
      <c r="B344" s="2" t="s">
        <v>2430</v>
      </c>
      <c r="C344" s="2" t="s">
        <v>2842</v>
      </c>
      <c r="D344" s="2" t="s">
        <v>2842</v>
      </c>
      <c r="E344" s="2" t="s">
        <v>95</v>
      </c>
      <c r="F344" s="2"/>
      <c r="G344" s="2">
        <v>2</v>
      </c>
      <c r="H344" s="2">
        <v>0</v>
      </c>
      <c r="I344" s="2">
        <v>1</v>
      </c>
      <c r="J344" s="2">
        <v>1</v>
      </c>
      <c r="K344" s="2">
        <v>0</v>
      </c>
      <c r="L344" s="16">
        <v>1702</v>
      </c>
      <c r="M344" s="16">
        <v>398</v>
      </c>
      <c r="N344" s="8" t="s">
        <v>2843</v>
      </c>
      <c r="O344" s="12">
        <f t="shared" si="5"/>
        <v>23.384253819036427</v>
      </c>
      <c r="P344" s="2">
        <v>2</v>
      </c>
      <c r="Q344" s="2" t="s">
        <v>77</v>
      </c>
      <c r="R344" s="8" t="s">
        <v>2843</v>
      </c>
      <c r="S344" s="8" t="s">
        <v>2844</v>
      </c>
      <c r="T344" s="8" t="s">
        <v>80</v>
      </c>
      <c r="U344" s="2" t="s">
        <v>81</v>
      </c>
      <c r="V344" s="2">
        <v>2025</v>
      </c>
      <c r="W344" s="16">
        <v>58.6</v>
      </c>
      <c r="X344" s="2">
        <v>2031</v>
      </c>
      <c r="Y344" s="16">
        <v>114.7</v>
      </c>
      <c r="Z344" s="16">
        <v>56.1</v>
      </c>
      <c r="AA344" s="2">
        <v>2031</v>
      </c>
      <c r="AB344" s="16">
        <v>11.8</v>
      </c>
      <c r="AC344" s="2">
        <v>2031</v>
      </c>
      <c r="AD344" s="2" t="s">
        <v>543</v>
      </c>
      <c r="AE344" s="16"/>
      <c r="AF344" s="16"/>
      <c r="AG344" s="16">
        <v>11.843556057198645</v>
      </c>
      <c r="AH344" s="16"/>
      <c r="AI344" s="8" t="s">
        <v>100</v>
      </c>
      <c r="AJ344" s="2" t="s">
        <v>587</v>
      </c>
      <c r="AK344" s="2">
        <v>1</v>
      </c>
      <c r="AL344" s="8" t="s">
        <v>2845</v>
      </c>
      <c r="AM344" s="8" t="s">
        <v>2846</v>
      </c>
      <c r="AN344" s="2"/>
      <c r="AO344" s="16">
        <v>9341</v>
      </c>
      <c r="AP344" s="2"/>
      <c r="AQ344" s="16">
        <v>16690</v>
      </c>
      <c r="AR344" s="2" t="s">
        <v>447</v>
      </c>
      <c r="AS344" s="16">
        <v>21.3</v>
      </c>
      <c r="AT344" s="2"/>
      <c r="AU344" s="16">
        <v>4136</v>
      </c>
      <c r="AV344" s="2"/>
      <c r="AW344" s="16">
        <v>5067</v>
      </c>
      <c r="AX344" s="2" t="s">
        <v>447</v>
      </c>
      <c r="AY344" s="16">
        <v>7</v>
      </c>
      <c r="AZ344" s="2"/>
      <c r="BA344" s="16"/>
      <c r="BB344" s="2"/>
      <c r="BC344" s="16"/>
      <c r="BD344" s="2" t="s">
        <v>447</v>
      </c>
      <c r="BE344" s="16">
        <v>5.3</v>
      </c>
      <c r="BF344" s="2"/>
      <c r="BG344" s="16">
        <v>190</v>
      </c>
      <c r="BH344" s="2"/>
      <c r="BI344" s="16">
        <v>199</v>
      </c>
      <c r="BJ344" s="2" t="s">
        <v>87</v>
      </c>
      <c r="BK344" s="8"/>
      <c r="BL344" s="8" t="str">
        <f>HYPERLINK("https://seichotoushi-hojo.jp/assets/pdf/koufu_3_4ji/outline_175.pdf","PDFを開く")</f>
        <v>PDFを開く</v>
      </c>
      <c r="BM344" s="8" t="s">
        <v>2847</v>
      </c>
      <c r="BN344" s="8" t="s">
        <v>2848</v>
      </c>
      <c r="BO344" s="8" t="s">
        <v>90</v>
      </c>
      <c r="BP344" s="8" t="s">
        <v>90</v>
      </c>
      <c r="BQ344" s="8" t="s">
        <v>91</v>
      </c>
      <c r="BR344" s="8" t="s">
        <v>92</v>
      </c>
    </row>
    <row r="345" spans="1:70" ht="45.95" customHeight="1">
      <c r="A345" s="5" t="s">
        <v>2849</v>
      </c>
      <c r="B345" s="5" t="s">
        <v>2430</v>
      </c>
      <c r="C345" s="5" t="s">
        <v>2850</v>
      </c>
      <c r="D345" s="5" t="s">
        <v>2850</v>
      </c>
      <c r="E345" s="5" t="s">
        <v>75</v>
      </c>
      <c r="F345" s="5"/>
      <c r="G345" s="5">
        <v>2</v>
      </c>
      <c r="H345" s="5">
        <v>0</v>
      </c>
      <c r="I345" s="5">
        <v>1</v>
      </c>
      <c r="J345" s="5">
        <v>1</v>
      </c>
      <c r="K345" s="5">
        <v>0</v>
      </c>
      <c r="L345" s="17">
        <v>13200</v>
      </c>
      <c r="M345" s="17">
        <v>4000</v>
      </c>
      <c r="N345" s="9" t="s">
        <v>2851</v>
      </c>
      <c r="O345" s="13">
        <f t="shared" si="5"/>
        <v>30.303030303030305</v>
      </c>
      <c r="P345" s="5">
        <v>2</v>
      </c>
      <c r="Q345" s="5" t="s">
        <v>77</v>
      </c>
      <c r="R345" s="9" t="s">
        <v>2852</v>
      </c>
      <c r="S345" s="9" t="s">
        <v>2853</v>
      </c>
      <c r="T345" s="9" t="s">
        <v>80</v>
      </c>
      <c r="U345" s="5" t="s">
        <v>81</v>
      </c>
      <c r="V345" s="5"/>
      <c r="W345" s="17"/>
      <c r="X345" s="5">
        <v>2030</v>
      </c>
      <c r="Y345" s="17"/>
      <c r="Z345" s="17">
        <v>63.82</v>
      </c>
      <c r="AA345" s="5">
        <v>2030</v>
      </c>
      <c r="AB345" s="17">
        <v>480</v>
      </c>
      <c r="AC345" s="5">
        <v>2030</v>
      </c>
      <c r="AD345" s="5" t="s">
        <v>82</v>
      </c>
      <c r="AE345" s="17"/>
      <c r="AF345" s="17"/>
      <c r="AG345" s="17"/>
      <c r="AH345" s="17"/>
      <c r="AI345" s="9" t="s">
        <v>83</v>
      </c>
      <c r="AJ345" s="5" t="s">
        <v>84</v>
      </c>
      <c r="AK345" s="5">
        <v>1</v>
      </c>
      <c r="AL345" s="9" t="s">
        <v>2854</v>
      </c>
      <c r="AM345" s="9"/>
      <c r="AN345" s="5"/>
      <c r="AO345" s="17">
        <v>51556</v>
      </c>
      <c r="AP345" s="5"/>
      <c r="AQ345" s="17">
        <v>162123</v>
      </c>
      <c r="AR345" s="5" t="s">
        <v>447</v>
      </c>
      <c r="AS345" s="17">
        <v>46.5</v>
      </c>
      <c r="AT345" s="5"/>
      <c r="AU345" s="17">
        <v>2640</v>
      </c>
      <c r="AV345" s="5"/>
      <c r="AW345" s="17">
        <v>4630</v>
      </c>
      <c r="AX345" s="5" t="s">
        <v>447</v>
      </c>
      <c r="AY345" s="17">
        <v>20.6</v>
      </c>
      <c r="AZ345" s="5"/>
      <c r="BA345" s="17">
        <v>18000</v>
      </c>
      <c r="BB345" s="5"/>
      <c r="BC345" s="17">
        <v>60000</v>
      </c>
      <c r="BD345" s="5" t="s">
        <v>447</v>
      </c>
      <c r="BE345" s="17">
        <v>49.4</v>
      </c>
      <c r="BF345" s="5"/>
      <c r="BG345" s="17">
        <v>16</v>
      </c>
      <c r="BH345" s="5"/>
      <c r="BI345" s="17">
        <v>33</v>
      </c>
      <c r="BJ345" s="5" t="s">
        <v>87</v>
      </c>
      <c r="BK345" s="9"/>
      <c r="BL345" s="9" t="str">
        <f>HYPERLINK("https://seichotoushi-hojo.jp/assets/pdf/koufu_3_4ji/outline_176.pdf","PDFを開く")</f>
        <v>PDFを開く</v>
      </c>
      <c r="BM345" s="9" t="s">
        <v>2855</v>
      </c>
      <c r="BN345" s="9" t="s">
        <v>2856</v>
      </c>
      <c r="BO345" s="9" t="s">
        <v>90</v>
      </c>
      <c r="BP345" s="9" t="s">
        <v>90</v>
      </c>
      <c r="BQ345" s="9" t="s">
        <v>90</v>
      </c>
      <c r="BR345" s="9" t="s">
        <v>92</v>
      </c>
    </row>
    <row r="346" spans="1:70" ht="45.95" customHeight="1">
      <c r="A346" s="2" t="s">
        <v>2857</v>
      </c>
      <c r="B346" s="2" t="s">
        <v>2430</v>
      </c>
      <c r="C346" s="2" t="s">
        <v>2858</v>
      </c>
      <c r="D346" s="2" t="s">
        <v>2858</v>
      </c>
      <c r="E346" s="2" t="s">
        <v>186</v>
      </c>
      <c r="F346" s="2"/>
      <c r="G346" s="2">
        <v>2</v>
      </c>
      <c r="H346" s="2">
        <v>0</v>
      </c>
      <c r="I346" s="2">
        <v>1</v>
      </c>
      <c r="J346" s="2">
        <v>1</v>
      </c>
      <c r="K346" s="2">
        <v>0</v>
      </c>
      <c r="L346" s="16">
        <v>9544</v>
      </c>
      <c r="M346" s="16">
        <v>2333</v>
      </c>
      <c r="N346" s="8" t="s">
        <v>2859</v>
      </c>
      <c r="O346" s="12">
        <f t="shared" si="5"/>
        <v>24.444677284157589</v>
      </c>
      <c r="P346" s="2">
        <v>2</v>
      </c>
      <c r="Q346" s="2" t="s">
        <v>77</v>
      </c>
      <c r="R346" s="8" t="s">
        <v>2860</v>
      </c>
      <c r="S346" s="8" t="s">
        <v>2861</v>
      </c>
      <c r="T346" s="8" t="s">
        <v>80</v>
      </c>
      <c r="U346" s="2" t="s">
        <v>81</v>
      </c>
      <c r="V346" s="2"/>
      <c r="W346" s="16"/>
      <c r="X346" s="2">
        <v>2030</v>
      </c>
      <c r="Y346" s="16"/>
      <c r="Z346" s="16">
        <v>127.09</v>
      </c>
      <c r="AA346" s="2">
        <v>2030</v>
      </c>
      <c r="AB346" s="16">
        <v>7.9</v>
      </c>
      <c r="AC346" s="2">
        <v>2030</v>
      </c>
      <c r="AD346" s="2" t="s">
        <v>82</v>
      </c>
      <c r="AE346" s="16"/>
      <c r="AF346" s="16"/>
      <c r="AG346" s="16"/>
      <c r="AH346" s="16"/>
      <c r="AI346" s="8" t="s">
        <v>83</v>
      </c>
      <c r="AJ346" s="2" t="s">
        <v>84</v>
      </c>
      <c r="AK346" s="2">
        <v>1</v>
      </c>
      <c r="AL346" s="8" t="s">
        <v>2862</v>
      </c>
      <c r="AM346" s="8"/>
      <c r="AN346" s="2">
        <v>2027</v>
      </c>
      <c r="AO346" s="16">
        <v>1881</v>
      </c>
      <c r="AP346" s="2">
        <v>2030</v>
      </c>
      <c r="AQ346" s="16">
        <v>2512</v>
      </c>
      <c r="AR346" s="2" t="s">
        <v>86</v>
      </c>
      <c r="AS346" s="16">
        <v>10.1</v>
      </c>
      <c r="AT346" s="2">
        <v>2027</v>
      </c>
      <c r="AU346" s="16">
        <v>8089</v>
      </c>
      <c r="AV346" s="2">
        <v>2030</v>
      </c>
      <c r="AW346" s="16">
        <v>9893</v>
      </c>
      <c r="AX346" s="2" t="s">
        <v>86</v>
      </c>
      <c r="AY346" s="16">
        <v>6.9</v>
      </c>
      <c r="AZ346" s="2"/>
      <c r="BA346" s="16"/>
      <c r="BB346" s="2"/>
      <c r="BC346" s="16"/>
      <c r="BD346" s="2"/>
      <c r="BE346" s="16"/>
      <c r="BF346" s="2">
        <v>2027</v>
      </c>
      <c r="BG346" s="16">
        <v>47</v>
      </c>
      <c r="BH346" s="2">
        <v>2030</v>
      </c>
      <c r="BI346" s="16">
        <v>138</v>
      </c>
      <c r="BJ346" s="2" t="s">
        <v>87</v>
      </c>
      <c r="BK346" s="8"/>
      <c r="BL346" s="8" t="str">
        <f>HYPERLINK("https://seichotoushi-hojo.jp/assets/pdf/koufu_3_4ji/outline_177.pdf","PDFを開く")</f>
        <v>PDFを開く</v>
      </c>
      <c r="BM346" s="8" t="s">
        <v>2863</v>
      </c>
      <c r="BN346" s="8" t="s">
        <v>2864</v>
      </c>
      <c r="BO346" s="8" t="s">
        <v>166</v>
      </c>
      <c r="BP346" s="8" t="s">
        <v>166</v>
      </c>
      <c r="BQ346" s="8" t="s">
        <v>156</v>
      </c>
      <c r="BR346" s="8" t="s">
        <v>166</v>
      </c>
    </row>
    <row r="347" spans="1:70" ht="45.95" customHeight="1">
      <c r="A347" s="5" t="s">
        <v>2865</v>
      </c>
      <c r="B347" s="5" t="s">
        <v>2430</v>
      </c>
      <c r="C347" s="5" t="s">
        <v>2866</v>
      </c>
      <c r="D347" s="5" t="s">
        <v>2866</v>
      </c>
      <c r="E347" s="5" t="s">
        <v>95</v>
      </c>
      <c r="F347" s="5"/>
      <c r="G347" s="5">
        <v>3</v>
      </c>
      <c r="H347" s="5">
        <v>0</v>
      </c>
      <c r="I347" s="5">
        <v>1</v>
      </c>
      <c r="J347" s="5">
        <v>2</v>
      </c>
      <c r="K347" s="5">
        <v>0</v>
      </c>
      <c r="L347" s="17">
        <v>2369</v>
      </c>
      <c r="M347" s="17">
        <v>581</v>
      </c>
      <c r="N347" s="9" t="s">
        <v>2867</v>
      </c>
      <c r="O347" s="13">
        <f t="shared" si="5"/>
        <v>24.52511608273533</v>
      </c>
      <c r="P347" s="5">
        <v>2</v>
      </c>
      <c r="Q347" s="5" t="s">
        <v>77</v>
      </c>
      <c r="R347" s="9" t="s">
        <v>2868</v>
      </c>
      <c r="S347" s="9" t="s">
        <v>2869</v>
      </c>
      <c r="T347" s="9" t="s">
        <v>80</v>
      </c>
      <c r="U347" s="5" t="s">
        <v>81</v>
      </c>
      <c r="V347" s="5"/>
      <c r="W347" s="17"/>
      <c r="X347" s="5">
        <v>2030</v>
      </c>
      <c r="Y347" s="17"/>
      <c r="Z347" s="17">
        <v>159</v>
      </c>
      <c r="AA347" s="5">
        <v>2030</v>
      </c>
      <c r="AB347" s="17">
        <v>8.1999999999999993</v>
      </c>
      <c r="AC347" s="5">
        <v>2030</v>
      </c>
      <c r="AD347" s="5" t="s">
        <v>82</v>
      </c>
      <c r="AE347" s="17"/>
      <c r="AF347" s="17"/>
      <c r="AG347" s="17"/>
      <c r="AH347" s="17"/>
      <c r="AI347" s="9" t="s">
        <v>83</v>
      </c>
      <c r="AJ347" s="5" t="s">
        <v>84</v>
      </c>
      <c r="AK347" s="5">
        <v>1</v>
      </c>
      <c r="AL347" s="9" t="s">
        <v>2870</v>
      </c>
      <c r="AM347" s="9"/>
      <c r="AN347" s="5"/>
      <c r="AO347" s="17">
        <v>9008</v>
      </c>
      <c r="AP347" s="5"/>
      <c r="AQ347" s="17">
        <v>14366</v>
      </c>
      <c r="AR347" s="5" t="s">
        <v>447</v>
      </c>
      <c r="AS347" s="17">
        <v>16.8</v>
      </c>
      <c r="AT347" s="5"/>
      <c r="AU347" s="17">
        <v>6037</v>
      </c>
      <c r="AV347" s="5"/>
      <c r="AW347" s="17">
        <v>7089</v>
      </c>
      <c r="AX347" s="5" t="s">
        <v>447</v>
      </c>
      <c r="AY347" s="17">
        <v>5.5</v>
      </c>
      <c r="AZ347" s="5"/>
      <c r="BA347" s="17"/>
      <c r="BB347" s="5"/>
      <c r="BC347" s="17"/>
      <c r="BD347" s="5" t="s">
        <v>447</v>
      </c>
      <c r="BE347" s="17">
        <v>5</v>
      </c>
      <c r="BF347" s="5"/>
      <c r="BG347" s="17">
        <v>442</v>
      </c>
      <c r="BH347" s="5"/>
      <c r="BI347" s="17">
        <v>451</v>
      </c>
      <c r="BJ347" s="5" t="s">
        <v>87</v>
      </c>
      <c r="BK347" s="9"/>
      <c r="BL347" s="9" t="str">
        <f>HYPERLINK("https://seichotoushi-hojo.jp/assets/pdf/koufu_3_4ji/outline_178.pdf","PDFを開く")</f>
        <v>PDFを開く</v>
      </c>
      <c r="BM347" s="9" t="s">
        <v>2871</v>
      </c>
      <c r="BN347" s="9" t="s">
        <v>2872</v>
      </c>
      <c r="BO347" s="9" t="s">
        <v>90</v>
      </c>
      <c r="BP347" s="9" t="s">
        <v>90</v>
      </c>
      <c r="BQ347" s="9" t="s">
        <v>91</v>
      </c>
      <c r="BR347" s="9" t="s">
        <v>92</v>
      </c>
    </row>
    <row r="348" spans="1:70" ht="45.95" customHeight="1">
      <c r="A348" s="2" t="s">
        <v>2873</v>
      </c>
      <c r="B348" s="2" t="s">
        <v>2430</v>
      </c>
      <c r="C348" s="2" t="s">
        <v>2874</v>
      </c>
      <c r="D348" s="2" t="s">
        <v>2874</v>
      </c>
      <c r="E348" s="2" t="s">
        <v>75</v>
      </c>
      <c r="F348" s="2"/>
      <c r="G348" s="2">
        <v>2</v>
      </c>
      <c r="H348" s="2">
        <v>0</v>
      </c>
      <c r="I348" s="2">
        <v>1</v>
      </c>
      <c r="J348" s="2">
        <v>1</v>
      </c>
      <c r="K348" s="2">
        <v>0</v>
      </c>
      <c r="L348" s="16">
        <v>2499</v>
      </c>
      <c r="M348" s="16">
        <v>590</v>
      </c>
      <c r="N348" s="8" t="s">
        <v>2875</v>
      </c>
      <c r="O348" s="12">
        <f t="shared" si="5"/>
        <v>23.609443777511004</v>
      </c>
      <c r="P348" s="2">
        <v>2</v>
      </c>
      <c r="Q348" s="2" t="s">
        <v>77</v>
      </c>
      <c r="R348" s="8" t="s">
        <v>2876</v>
      </c>
      <c r="S348" s="8" t="s">
        <v>2877</v>
      </c>
      <c r="T348" s="8" t="s">
        <v>80</v>
      </c>
      <c r="U348" s="2" t="s">
        <v>81</v>
      </c>
      <c r="V348" s="2"/>
      <c r="W348" s="16"/>
      <c r="X348" s="2">
        <v>2030</v>
      </c>
      <c r="Y348" s="16"/>
      <c r="Z348" s="16">
        <v>15.8</v>
      </c>
      <c r="AA348" s="2">
        <v>2030</v>
      </c>
      <c r="AB348" s="16">
        <v>40.1</v>
      </c>
      <c r="AC348" s="2">
        <v>2030</v>
      </c>
      <c r="AD348" s="2" t="s">
        <v>82</v>
      </c>
      <c r="AE348" s="16"/>
      <c r="AF348" s="16"/>
      <c r="AG348" s="16"/>
      <c r="AH348" s="16"/>
      <c r="AI348" s="8" t="s">
        <v>83</v>
      </c>
      <c r="AJ348" s="2" t="s">
        <v>84</v>
      </c>
      <c r="AK348" s="2">
        <v>1</v>
      </c>
      <c r="AL348" s="8" t="s">
        <v>2878</v>
      </c>
      <c r="AM348" s="8"/>
      <c r="AN348" s="2"/>
      <c r="AO348" s="16">
        <v>9985</v>
      </c>
      <c r="AP348" s="2"/>
      <c r="AQ348" s="16">
        <v>23175</v>
      </c>
      <c r="AR348" s="2" t="s">
        <v>447</v>
      </c>
      <c r="AS348" s="16">
        <v>32.4</v>
      </c>
      <c r="AT348" s="2"/>
      <c r="AU348" s="16">
        <v>4748</v>
      </c>
      <c r="AV348" s="2"/>
      <c r="AW348" s="16">
        <v>5998</v>
      </c>
      <c r="AX348" s="2" t="s">
        <v>447</v>
      </c>
      <c r="AY348" s="16">
        <v>8.1</v>
      </c>
      <c r="AZ348" s="2"/>
      <c r="BA348" s="16"/>
      <c r="BB348" s="2"/>
      <c r="BC348" s="16"/>
      <c r="BD348" s="2" t="s">
        <v>447</v>
      </c>
      <c r="BE348" s="16">
        <v>5.5</v>
      </c>
      <c r="BF348" s="2"/>
      <c r="BG348" s="16">
        <v>83</v>
      </c>
      <c r="BH348" s="2"/>
      <c r="BI348" s="16">
        <v>94</v>
      </c>
      <c r="BJ348" s="2" t="s">
        <v>87</v>
      </c>
      <c r="BK348" s="8"/>
      <c r="BL348" s="8" t="str">
        <f>HYPERLINK("https://seichotoushi-hojo.jp/assets/pdf/koufu_3_4ji/outline_179.pdf","PDFを開く")</f>
        <v>PDFを開く</v>
      </c>
      <c r="BM348" s="8" t="s">
        <v>2879</v>
      </c>
      <c r="BN348" s="8" t="s">
        <v>2880</v>
      </c>
      <c r="BO348" s="8" t="s">
        <v>90</v>
      </c>
      <c r="BP348" s="8" t="s">
        <v>90</v>
      </c>
      <c r="BQ348" s="8" t="s">
        <v>91</v>
      </c>
      <c r="BR348" s="8" t="s">
        <v>92</v>
      </c>
    </row>
    <row r="349" spans="1:70" ht="45.95" customHeight="1">
      <c r="A349" s="5" t="s">
        <v>2881</v>
      </c>
      <c r="B349" s="5" t="s">
        <v>2430</v>
      </c>
      <c r="C349" s="5" t="s">
        <v>2882</v>
      </c>
      <c r="D349" s="5" t="s">
        <v>2882</v>
      </c>
      <c r="E349" s="5" t="s">
        <v>186</v>
      </c>
      <c r="F349" s="5"/>
      <c r="G349" s="5">
        <v>2</v>
      </c>
      <c r="H349" s="5">
        <v>0</v>
      </c>
      <c r="I349" s="5">
        <v>1</v>
      </c>
      <c r="J349" s="5">
        <v>1</v>
      </c>
      <c r="K349" s="5">
        <v>0</v>
      </c>
      <c r="L349" s="17">
        <v>5315</v>
      </c>
      <c r="M349" s="17">
        <v>1271</v>
      </c>
      <c r="N349" s="9" t="s">
        <v>2883</v>
      </c>
      <c r="O349" s="13">
        <f t="shared" si="5"/>
        <v>23.913452492944497</v>
      </c>
      <c r="P349" s="5">
        <v>2</v>
      </c>
      <c r="Q349" s="5" t="s">
        <v>77</v>
      </c>
      <c r="R349" s="9" t="s">
        <v>2884</v>
      </c>
      <c r="S349" s="9" t="s">
        <v>2885</v>
      </c>
      <c r="T349" s="9" t="s">
        <v>80</v>
      </c>
      <c r="U349" s="5" t="s">
        <v>81</v>
      </c>
      <c r="V349" s="5">
        <v>2024</v>
      </c>
      <c r="W349" s="17"/>
      <c r="X349" s="5">
        <v>2030</v>
      </c>
      <c r="Y349" s="17"/>
      <c r="Z349" s="17">
        <v>73.760000000000005</v>
      </c>
      <c r="AA349" s="5">
        <v>2030</v>
      </c>
      <c r="AB349" s="17">
        <v>9</v>
      </c>
      <c r="AC349" s="5">
        <v>2030</v>
      </c>
      <c r="AD349" s="5" t="s">
        <v>210</v>
      </c>
      <c r="AE349" s="17"/>
      <c r="AF349" s="17"/>
      <c r="AG349" s="17"/>
      <c r="AH349" s="17"/>
      <c r="AI349" s="9" t="s">
        <v>83</v>
      </c>
      <c r="AJ349" s="5" t="s">
        <v>84</v>
      </c>
      <c r="AK349" s="5">
        <v>1</v>
      </c>
      <c r="AL349" s="9" t="s">
        <v>2886</v>
      </c>
      <c r="AM349" s="9"/>
      <c r="AN349" s="5">
        <v>2027</v>
      </c>
      <c r="AO349" s="17">
        <v>5804</v>
      </c>
      <c r="AP349" s="5">
        <v>2030</v>
      </c>
      <c r="AQ349" s="17">
        <v>10024</v>
      </c>
      <c r="AR349" s="5" t="s">
        <v>447</v>
      </c>
      <c r="AS349" s="17">
        <v>20</v>
      </c>
      <c r="AT349" s="5">
        <v>2027</v>
      </c>
      <c r="AU349" s="17">
        <v>3942</v>
      </c>
      <c r="AV349" s="5">
        <v>2030</v>
      </c>
      <c r="AW349" s="17">
        <v>4619</v>
      </c>
      <c r="AX349" s="5" t="s">
        <v>447</v>
      </c>
      <c r="AY349" s="17">
        <v>5.4</v>
      </c>
      <c r="AZ349" s="5">
        <v>2027</v>
      </c>
      <c r="BA349" s="17"/>
      <c r="BB349" s="5">
        <v>2030</v>
      </c>
      <c r="BC349" s="17"/>
      <c r="BD349" s="5" t="s">
        <v>447</v>
      </c>
      <c r="BE349" s="17">
        <v>7</v>
      </c>
      <c r="BF349" s="5">
        <v>2027</v>
      </c>
      <c r="BG349" s="17">
        <v>554</v>
      </c>
      <c r="BH349" s="5">
        <v>2030</v>
      </c>
      <c r="BI349" s="17">
        <v>599</v>
      </c>
      <c r="BJ349" s="5" t="s">
        <v>87</v>
      </c>
      <c r="BK349" s="9"/>
      <c r="BL349" s="9" t="str">
        <f>HYPERLINK("https://seichotoushi-hojo.jp/assets/pdf/koufu_3_4ji/outline_180.pdf","PDFを開く")</f>
        <v>PDFを開く</v>
      </c>
      <c r="BM349" s="9" t="s">
        <v>2887</v>
      </c>
      <c r="BN349" s="9" t="s">
        <v>2888</v>
      </c>
      <c r="BO349" s="9" t="s">
        <v>90</v>
      </c>
      <c r="BP349" s="9" t="s">
        <v>90</v>
      </c>
      <c r="BQ349" s="9" t="s">
        <v>91</v>
      </c>
      <c r="BR349" s="9" t="s">
        <v>92</v>
      </c>
    </row>
    <row r="350" spans="1:70" ht="45.95" customHeight="1">
      <c r="A350" s="2" t="s">
        <v>2889</v>
      </c>
      <c r="B350" s="2" t="s">
        <v>2430</v>
      </c>
      <c r="C350" s="2" t="s">
        <v>2890</v>
      </c>
      <c r="D350" s="2" t="s">
        <v>2890</v>
      </c>
      <c r="E350" s="2" t="s">
        <v>95</v>
      </c>
      <c r="F350" s="2"/>
      <c r="G350" s="2">
        <v>2</v>
      </c>
      <c r="H350" s="2">
        <v>0</v>
      </c>
      <c r="I350" s="2">
        <v>1</v>
      </c>
      <c r="J350" s="2">
        <v>1</v>
      </c>
      <c r="K350" s="2">
        <v>0</v>
      </c>
      <c r="L350" s="16">
        <v>1789</v>
      </c>
      <c r="M350" s="16">
        <v>418</v>
      </c>
      <c r="N350" s="8" t="s">
        <v>2891</v>
      </c>
      <c r="O350" s="12">
        <f t="shared" si="5"/>
        <v>23.365008384572388</v>
      </c>
      <c r="P350" s="2">
        <v>2</v>
      </c>
      <c r="Q350" s="2" t="s">
        <v>77</v>
      </c>
      <c r="R350" s="8" t="s">
        <v>2892</v>
      </c>
      <c r="S350" s="8" t="s">
        <v>2893</v>
      </c>
      <c r="T350" s="8" t="s">
        <v>80</v>
      </c>
      <c r="U350" s="2" t="s">
        <v>81</v>
      </c>
      <c r="V350" s="2"/>
      <c r="W350" s="16"/>
      <c r="X350" s="2">
        <v>2030</v>
      </c>
      <c r="Y350" s="16"/>
      <c r="Z350" s="16">
        <v>36.31</v>
      </c>
      <c r="AA350" s="2">
        <v>2030</v>
      </c>
      <c r="AB350" s="16">
        <v>9.01</v>
      </c>
      <c r="AC350" s="2">
        <v>2030</v>
      </c>
      <c r="AD350" s="2" t="s">
        <v>82</v>
      </c>
      <c r="AE350" s="16"/>
      <c r="AF350" s="16"/>
      <c r="AG350" s="16"/>
      <c r="AH350" s="16"/>
      <c r="AI350" s="8" t="s">
        <v>83</v>
      </c>
      <c r="AJ350" s="2" t="s">
        <v>84</v>
      </c>
      <c r="AK350" s="2">
        <v>1</v>
      </c>
      <c r="AL350" s="8" t="s">
        <v>2894</v>
      </c>
      <c r="AM350" s="8"/>
      <c r="AN350" s="2"/>
      <c r="AO350" s="16">
        <v>5394</v>
      </c>
      <c r="AP350" s="2"/>
      <c r="AQ350" s="16">
        <v>8492</v>
      </c>
      <c r="AR350" s="2" t="s">
        <v>447</v>
      </c>
      <c r="AS350" s="16">
        <v>16.3</v>
      </c>
      <c r="AT350" s="2"/>
      <c r="AU350" s="16">
        <v>2625</v>
      </c>
      <c r="AV350" s="2"/>
      <c r="AW350" s="16">
        <v>3329</v>
      </c>
      <c r="AX350" s="2" t="s">
        <v>447</v>
      </c>
      <c r="AY350" s="16">
        <v>8.1999999999999993</v>
      </c>
      <c r="AZ350" s="2"/>
      <c r="BA350" s="16"/>
      <c r="BB350" s="2"/>
      <c r="BC350" s="16"/>
      <c r="BD350" s="2"/>
      <c r="BE350" s="16"/>
      <c r="BF350" s="2"/>
      <c r="BG350" s="16">
        <v>359</v>
      </c>
      <c r="BH350" s="2"/>
      <c r="BI350" s="16">
        <v>329</v>
      </c>
      <c r="BJ350" s="2" t="s">
        <v>87</v>
      </c>
      <c r="BK350" s="8" t="s">
        <v>192</v>
      </c>
      <c r="BL350" s="8" t="str">
        <f>HYPERLINK("https://seichotoushi-hojo.jp/assets/pdf/koufu_3_4ji/outline_181.pdf","PDFを開く")</f>
        <v>PDFを開く</v>
      </c>
      <c r="BM350" s="8" t="s">
        <v>2895</v>
      </c>
      <c r="BN350" s="8" t="s">
        <v>2896</v>
      </c>
      <c r="BO350" s="8" t="s">
        <v>90</v>
      </c>
      <c r="BP350" s="8" t="s">
        <v>90</v>
      </c>
      <c r="BQ350" s="8" t="s">
        <v>156</v>
      </c>
      <c r="BR350" s="8" t="s">
        <v>92</v>
      </c>
    </row>
    <row r="351" spans="1:70" ht="45.95" customHeight="1">
      <c r="A351" s="5" t="s">
        <v>2897</v>
      </c>
      <c r="B351" s="5" t="s">
        <v>2430</v>
      </c>
      <c r="C351" s="5" t="s">
        <v>2898</v>
      </c>
      <c r="D351" s="5" t="s">
        <v>2898</v>
      </c>
      <c r="E351" s="5" t="s">
        <v>75</v>
      </c>
      <c r="F351" s="5"/>
      <c r="G351" s="5">
        <v>2</v>
      </c>
      <c r="H351" s="5">
        <v>0</v>
      </c>
      <c r="I351" s="5">
        <v>1</v>
      </c>
      <c r="J351" s="5">
        <v>1</v>
      </c>
      <c r="K351" s="5">
        <v>0</v>
      </c>
      <c r="L351" s="17">
        <v>1000</v>
      </c>
      <c r="M351" s="17">
        <v>250</v>
      </c>
      <c r="N351" s="9" t="s">
        <v>2217</v>
      </c>
      <c r="O351" s="13">
        <f t="shared" si="5"/>
        <v>25</v>
      </c>
      <c r="P351" s="5">
        <v>2</v>
      </c>
      <c r="Q351" s="5" t="s">
        <v>77</v>
      </c>
      <c r="R351" s="9" t="s">
        <v>2217</v>
      </c>
      <c r="S351" s="9" t="s">
        <v>2899</v>
      </c>
      <c r="T351" s="9" t="s">
        <v>80</v>
      </c>
      <c r="U351" s="5" t="s">
        <v>81</v>
      </c>
      <c r="V351" s="5"/>
      <c r="W351" s="17"/>
      <c r="X351" s="5">
        <v>2030</v>
      </c>
      <c r="Y351" s="17"/>
      <c r="Z351" s="17">
        <v>20.77</v>
      </c>
      <c r="AA351" s="5">
        <v>2030</v>
      </c>
      <c r="AB351" s="17">
        <v>23.8</v>
      </c>
      <c r="AC351" s="5">
        <v>2030</v>
      </c>
      <c r="AD351" s="5" t="s">
        <v>82</v>
      </c>
      <c r="AE351" s="17"/>
      <c r="AF351" s="17"/>
      <c r="AG351" s="17"/>
      <c r="AH351" s="17"/>
      <c r="AI351" s="9" t="s">
        <v>83</v>
      </c>
      <c r="AJ351" s="5" t="s">
        <v>84</v>
      </c>
      <c r="AK351" s="5">
        <v>1</v>
      </c>
      <c r="AL351" s="9" t="s">
        <v>2900</v>
      </c>
      <c r="AM351" s="9"/>
      <c r="AN351" s="5">
        <v>2027</v>
      </c>
      <c r="AO351" s="17">
        <v>1074</v>
      </c>
      <c r="AP351" s="5">
        <v>2030</v>
      </c>
      <c r="AQ351" s="17">
        <v>2821</v>
      </c>
      <c r="AR351" s="5" t="s">
        <v>86</v>
      </c>
      <c r="AS351" s="17">
        <v>38</v>
      </c>
      <c r="AT351" s="5">
        <v>2027</v>
      </c>
      <c r="AU351" s="17">
        <v>445</v>
      </c>
      <c r="AV351" s="5">
        <v>2030</v>
      </c>
      <c r="AW351" s="17">
        <v>568</v>
      </c>
      <c r="AX351" s="5" t="s">
        <v>86</v>
      </c>
      <c r="AY351" s="17">
        <v>8.5</v>
      </c>
      <c r="AZ351" s="5">
        <v>2027</v>
      </c>
      <c r="BA351" s="17"/>
      <c r="BB351" s="5">
        <v>2030</v>
      </c>
      <c r="BC351" s="17"/>
      <c r="BD351" s="5" t="s">
        <v>86</v>
      </c>
      <c r="BE351" s="17">
        <v>7</v>
      </c>
      <c r="BF351" s="5">
        <v>2027</v>
      </c>
      <c r="BG351" s="17">
        <v>12</v>
      </c>
      <c r="BH351" s="5">
        <v>2030</v>
      </c>
      <c r="BI351" s="17">
        <v>18</v>
      </c>
      <c r="BJ351" s="5" t="s">
        <v>87</v>
      </c>
      <c r="BK351" s="9"/>
      <c r="BL351" s="9" t="str">
        <f>HYPERLINK("https://seichotoushi-hojo.jp/assets/pdf/koufu_3_4ji/outline_182.pdf","PDFを開く")</f>
        <v>PDFを開く</v>
      </c>
      <c r="BM351" s="9" t="s">
        <v>2901</v>
      </c>
      <c r="BN351" s="9" t="s">
        <v>2902</v>
      </c>
      <c r="BO351" s="9" t="s">
        <v>90</v>
      </c>
      <c r="BP351" s="9" t="s">
        <v>90</v>
      </c>
      <c r="BQ351" s="9" t="s">
        <v>91</v>
      </c>
      <c r="BR351" s="9" t="s">
        <v>92</v>
      </c>
    </row>
    <row r="352" spans="1:70" ht="45.95" customHeight="1">
      <c r="A352" s="2" t="s">
        <v>2903</v>
      </c>
      <c r="B352" s="2" t="s">
        <v>2430</v>
      </c>
      <c r="C352" s="2" t="s">
        <v>2904</v>
      </c>
      <c r="D352" s="2" t="s">
        <v>2904</v>
      </c>
      <c r="E352" s="2" t="s">
        <v>186</v>
      </c>
      <c r="F352" s="2"/>
      <c r="G352" s="2">
        <v>5</v>
      </c>
      <c r="H352" s="2">
        <v>0</v>
      </c>
      <c r="I352" s="2">
        <v>1</v>
      </c>
      <c r="J352" s="2">
        <v>4</v>
      </c>
      <c r="K352" s="2">
        <v>0</v>
      </c>
      <c r="L352" s="16">
        <v>9804</v>
      </c>
      <c r="M352" s="16">
        <v>2680</v>
      </c>
      <c r="N352" s="8" t="s">
        <v>2905</v>
      </c>
      <c r="O352" s="12">
        <f t="shared" si="5"/>
        <v>27.335781313749489</v>
      </c>
      <c r="P352" s="2">
        <v>2</v>
      </c>
      <c r="Q352" s="2" t="s">
        <v>77</v>
      </c>
      <c r="R352" s="8" t="s">
        <v>2905</v>
      </c>
      <c r="S352" s="8" t="s">
        <v>2906</v>
      </c>
      <c r="T352" s="8" t="s">
        <v>80</v>
      </c>
      <c r="U352" s="2" t="s">
        <v>81</v>
      </c>
      <c r="V352" s="2"/>
      <c r="W352" s="16"/>
      <c r="X352" s="2">
        <v>2030</v>
      </c>
      <c r="Y352" s="16"/>
      <c r="Z352" s="16">
        <v>185.98</v>
      </c>
      <c r="AA352" s="2">
        <v>2030</v>
      </c>
      <c r="AB352" s="16">
        <v>18.399999999999999</v>
      </c>
      <c r="AC352" s="2">
        <v>2030</v>
      </c>
      <c r="AD352" s="2" t="s">
        <v>210</v>
      </c>
      <c r="AE352" s="16"/>
      <c r="AF352" s="16"/>
      <c r="AG352" s="16"/>
      <c r="AH352" s="16"/>
      <c r="AI352" s="8" t="s">
        <v>83</v>
      </c>
      <c r="AJ352" s="2" t="s">
        <v>84</v>
      </c>
      <c r="AK352" s="2">
        <v>1</v>
      </c>
      <c r="AL352" s="8" t="s">
        <v>2907</v>
      </c>
      <c r="AM352" s="8"/>
      <c r="AN352" s="2">
        <v>2027</v>
      </c>
      <c r="AO352" s="16">
        <v>15758</v>
      </c>
      <c r="AP352" s="2">
        <v>2030</v>
      </c>
      <c r="AQ352" s="16">
        <v>22484</v>
      </c>
      <c r="AR352" s="2" t="s">
        <v>447</v>
      </c>
      <c r="AS352" s="16">
        <v>12.6</v>
      </c>
      <c r="AT352" s="2">
        <v>2027</v>
      </c>
      <c r="AU352" s="16">
        <v>6164</v>
      </c>
      <c r="AV352" s="2">
        <v>2030</v>
      </c>
      <c r="AW352" s="16">
        <v>7445</v>
      </c>
      <c r="AX352" s="2" t="s">
        <v>447</v>
      </c>
      <c r="AY352" s="16">
        <v>6.5</v>
      </c>
      <c r="AZ352" s="2">
        <v>2027</v>
      </c>
      <c r="BA352" s="16"/>
      <c r="BB352" s="2">
        <v>2030</v>
      </c>
      <c r="BC352" s="16"/>
      <c r="BD352" s="2" t="s">
        <v>447</v>
      </c>
      <c r="BE352" s="16">
        <v>6.5</v>
      </c>
      <c r="BF352" s="2">
        <v>2027</v>
      </c>
      <c r="BG352" s="16">
        <v>425</v>
      </c>
      <c r="BH352" s="2">
        <v>2030</v>
      </c>
      <c r="BI352" s="16">
        <v>613</v>
      </c>
      <c r="BJ352" s="2" t="s">
        <v>87</v>
      </c>
      <c r="BK352" s="8"/>
      <c r="BL352" s="8" t="str">
        <f>HYPERLINK("https://seichotoushi-hojo.jp/assets/pdf/koufu_3_4ji/outline_183.pdf","PDFを開く")</f>
        <v>PDFを開く</v>
      </c>
      <c r="BM352" s="8" t="s">
        <v>2908</v>
      </c>
      <c r="BN352" s="8" t="s">
        <v>2909</v>
      </c>
      <c r="BO352" s="8" t="s">
        <v>90</v>
      </c>
      <c r="BP352" s="8" t="s">
        <v>90</v>
      </c>
      <c r="BQ352" s="8" t="s">
        <v>91</v>
      </c>
      <c r="BR352" s="8" t="s">
        <v>92</v>
      </c>
    </row>
    <row r="353" spans="1:70" ht="45.95" customHeight="1">
      <c r="A353" s="5" t="s">
        <v>2910</v>
      </c>
      <c r="B353" s="5" t="s">
        <v>2430</v>
      </c>
      <c r="C353" s="5" t="s">
        <v>2911</v>
      </c>
      <c r="D353" s="5" t="s">
        <v>2911</v>
      </c>
      <c r="E353" s="5" t="s">
        <v>95</v>
      </c>
      <c r="F353" s="5"/>
      <c r="G353" s="5">
        <v>2</v>
      </c>
      <c r="H353" s="5">
        <v>0</v>
      </c>
      <c r="I353" s="5">
        <v>1</v>
      </c>
      <c r="J353" s="5">
        <v>1</v>
      </c>
      <c r="K353" s="5">
        <v>0</v>
      </c>
      <c r="L353" s="17">
        <v>3717</v>
      </c>
      <c r="M353" s="17">
        <v>1184</v>
      </c>
      <c r="N353" s="9" t="s">
        <v>2912</v>
      </c>
      <c r="O353" s="13">
        <f t="shared" si="5"/>
        <v>31.853645412967445</v>
      </c>
      <c r="P353" s="5">
        <v>2</v>
      </c>
      <c r="Q353" s="5" t="s">
        <v>77</v>
      </c>
      <c r="R353" s="9" t="s">
        <v>2913</v>
      </c>
      <c r="S353" s="9" t="s">
        <v>2914</v>
      </c>
      <c r="T353" s="9" t="s">
        <v>80</v>
      </c>
      <c r="U353" s="5" t="s">
        <v>81</v>
      </c>
      <c r="V353" s="5"/>
      <c r="W353" s="17"/>
      <c r="X353" s="5">
        <v>2030</v>
      </c>
      <c r="Y353" s="17"/>
      <c r="Z353" s="17">
        <v>60.21</v>
      </c>
      <c r="AA353" s="5">
        <v>2030</v>
      </c>
      <c r="AB353" s="17">
        <v>10.8</v>
      </c>
      <c r="AC353" s="5">
        <v>2030</v>
      </c>
      <c r="AD353" s="5" t="s">
        <v>210</v>
      </c>
      <c r="AE353" s="17"/>
      <c r="AF353" s="17"/>
      <c r="AG353" s="17"/>
      <c r="AH353" s="17">
        <v>1.85</v>
      </c>
      <c r="AI353" s="9" t="s">
        <v>83</v>
      </c>
      <c r="AJ353" s="5" t="s">
        <v>84</v>
      </c>
      <c r="AK353" s="5">
        <v>1</v>
      </c>
      <c r="AL353" s="9" t="s">
        <v>2915</v>
      </c>
      <c r="AM353" s="9"/>
      <c r="AN353" s="5"/>
      <c r="AO353" s="17">
        <v>6972</v>
      </c>
      <c r="AP353" s="5"/>
      <c r="AQ353" s="17">
        <v>14561</v>
      </c>
      <c r="AR353" s="5" t="s">
        <v>447</v>
      </c>
      <c r="AS353" s="17">
        <v>27.8</v>
      </c>
      <c r="AT353" s="5"/>
      <c r="AU353" s="17">
        <v>5031</v>
      </c>
      <c r="AV353" s="5"/>
      <c r="AW353" s="17">
        <v>6163</v>
      </c>
      <c r="AX353" s="5" t="s">
        <v>447</v>
      </c>
      <c r="AY353" s="17">
        <v>7</v>
      </c>
      <c r="AZ353" s="5"/>
      <c r="BA353" s="17"/>
      <c r="BB353" s="5"/>
      <c r="BC353" s="17"/>
      <c r="BD353" s="5"/>
      <c r="BE353" s="17"/>
      <c r="BF353" s="5"/>
      <c r="BG353" s="17">
        <v>240</v>
      </c>
      <c r="BH353" s="5"/>
      <c r="BI353" s="17">
        <v>261</v>
      </c>
      <c r="BJ353" s="5" t="s">
        <v>87</v>
      </c>
      <c r="BK353" s="9"/>
      <c r="BL353" s="9" t="str">
        <f>HYPERLINK("https://seichotoushi-hojo.jp/assets/pdf/koufu_3_4ji/outline_184.pdf","PDFを開く")</f>
        <v>PDFを開く</v>
      </c>
      <c r="BM353" s="9" t="s">
        <v>2916</v>
      </c>
      <c r="BN353" s="9" t="s">
        <v>2917</v>
      </c>
      <c r="BO353" s="9" t="s">
        <v>166</v>
      </c>
      <c r="BP353" s="9" t="s">
        <v>166</v>
      </c>
      <c r="BQ353" s="9" t="s">
        <v>157</v>
      </c>
      <c r="BR353" s="9" t="s">
        <v>166</v>
      </c>
    </row>
    <row r="354" spans="1:70" ht="45.95" customHeight="1">
      <c r="A354" s="2" t="s">
        <v>2918</v>
      </c>
      <c r="B354" s="2" t="s">
        <v>2430</v>
      </c>
      <c r="C354" s="2" t="s">
        <v>2919</v>
      </c>
      <c r="D354" s="2" t="s">
        <v>2919</v>
      </c>
      <c r="E354" s="2" t="s">
        <v>95</v>
      </c>
      <c r="F354" s="2"/>
      <c r="G354" s="2">
        <v>2</v>
      </c>
      <c r="H354" s="2">
        <v>0</v>
      </c>
      <c r="I354" s="2">
        <v>1</v>
      </c>
      <c r="J354" s="2">
        <v>1</v>
      </c>
      <c r="K354" s="2">
        <v>0</v>
      </c>
      <c r="L354" s="16">
        <v>4922</v>
      </c>
      <c r="M354" s="16">
        <v>1641</v>
      </c>
      <c r="N354" s="8" t="s">
        <v>2920</v>
      </c>
      <c r="O354" s="12">
        <f t="shared" si="5"/>
        <v>33.340105648110523</v>
      </c>
      <c r="P354" s="2">
        <v>2</v>
      </c>
      <c r="Q354" s="2" t="s">
        <v>77</v>
      </c>
      <c r="R354" s="8" t="s">
        <v>2921</v>
      </c>
      <c r="S354" s="8" t="s">
        <v>2922</v>
      </c>
      <c r="T354" s="8" t="s">
        <v>80</v>
      </c>
      <c r="U354" s="2" t="s">
        <v>81</v>
      </c>
      <c r="V354" s="2"/>
      <c r="W354" s="16"/>
      <c r="X354" s="2">
        <v>2030</v>
      </c>
      <c r="Y354" s="16"/>
      <c r="Z354" s="16">
        <v>85.36</v>
      </c>
      <c r="AA354" s="2">
        <v>2030</v>
      </c>
      <c r="AB354" s="16">
        <v>12.4</v>
      </c>
      <c r="AC354" s="2">
        <v>2030</v>
      </c>
      <c r="AD354" s="2" t="s">
        <v>82</v>
      </c>
      <c r="AE354" s="16"/>
      <c r="AF354" s="16"/>
      <c r="AG354" s="16"/>
      <c r="AH354" s="16"/>
      <c r="AI354" s="8" t="s">
        <v>83</v>
      </c>
      <c r="AJ354" s="2" t="s">
        <v>84</v>
      </c>
      <c r="AK354" s="2">
        <v>1</v>
      </c>
      <c r="AL354" s="8" t="s">
        <v>2923</v>
      </c>
      <c r="AM354" s="8"/>
      <c r="AN354" s="2"/>
      <c r="AO354" s="16">
        <v>15160</v>
      </c>
      <c r="AP354" s="2"/>
      <c r="AQ354" s="16">
        <v>32134</v>
      </c>
      <c r="AR354" s="2" t="s">
        <v>447</v>
      </c>
      <c r="AS354" s="16">
        <v>28.5</v>
      </c>
      <c r="AT354" s="2"/>
      <c r="AU354" s="16">
        <v>6264</v>
      </c>
      <c r="AV354" s="2"/>
      <c r="AW354" s="16">
        <v>7891</v>
      </c>
      <c r="AX354" s="2" t="s">
        <v>447</v>
      </c>
      <c r="AY354" s="16">
        <v>8</v>
      </c>
      <c r="AZ354" s="2"/>
      <c r="BA354" s="16"/>
      <c r="BB354" s="2"/>
      <c r="BC354" s="16"/>
      <c r="BD354" s="2" t="s">
        <v>447</v>
      </c>
      <c r="BE354" s="16">
        <v>6</v>
      </c>
      <c r="BF354" s="2"/>
      <c r="BG354" s="16">
        <v>145</v>
      </c>
      <c r="BH354" s="2"/>
      <c r="BI354" s="16">
        <v>180</v>
      </c>
      <c r="BJ354" s="2" t="s">
        <v>87</v>
      </c>
      <c r="BK354" s="8"/>
      <c r="BL354" s="8" t="str">
        <f>HYPERLINK("https://seichotoushi-hojo.jp/assets/pdf/koufu_3_4ji/outline_187.pdf","PDFを開く")</f>
        <v>PDFを開く</v>
      </c>
      <c r="BM354" s="8" t="s">
        <v>2924</v>
      </c>
      <c r="BN354" s="8" t="s">
        <v>2925</v>
      </c>
      <c r="BO354" s="8" t="s">
        <v>166</v>
      </c>
      <c r="BP354" s="8" t="s">
        <v>166</v>
      </c>
      <c r="BQ354" s="8" t="s">
        <v>91</v>
      </c>
      <c r="BR354" s="8" t="s">
        <v>166</v>
      </c>
    </row>
    <row r="355" spans="1:70" ht="45.95" customHeight="1">
      <c r="A355" s="5" t="s">
        <v>2926</v>
      </c>
      <c r="B355" s="5" t="s">
        <v>2430</v>
      </c>
      <c r="C355" s="5" t="s">
        <v>2927</v>
      </c>
      <c r="D355" s="5" t="s">
        <v>2927</v>
      </c>
      <c r="E355" s="5" t="s">
        <v>107</v>
      </c>
      <c r="F355" s="5"/>
      <c r="G355" s="5">
        <v>2</v>
      </c>
      <c r="H355" s="5">
        <v>0</v>
      </c>
      <c r="I355" s="5">
        <v>1</v>
      </c>
      <c r="J355" s="5">
        <v>1</v>
      </c>
      <c r="K355" s="5">
        <v>0</v>
      </c>
      <c r="L355" s="17">
        <v>2284</v>
      </c>
      <c r="M355" s="17">
        <v>761</v>
      </c>
      <c r="N355" s="9" t="s">
        <v>2928</v>
      </c>
      <c r="O355" s="13">
        <f t="shared" si="5"/>
        <v>33.318739054290717</v>
      </c>
      <c r="P355" s="5">
        <v>2</v>
      </c>
      <c r="Q355" s="5" t="s">
        <v>308</v>
      </c>
      <c r="R355" s="9" t="s">
        <v>2929</v>
      </c>
      <c r="S355" s="9" t="s">
        <v>2930</v>
      </c>
      <c r="T355" s="9" t="s">
        <v>310</v>
      </c>
      <c r="U355" s="5" t="s">
        <v>81</v>
      </c>
      <c r="V355" s="5"/>
      <c r="W355" s="17"/>
      <c r="X355" s="5">
        <v>2030</v>
      </c>
      <c r="Y355" s="17">
        <v>157</v>
      </c>
      <c r="Z355" s="17">
        <v>93</v>
      </c>
      <c r="AA355" s="5">
        <v>2030</v>
      </c>
      <c r="AB355" s="17">
        <v>25</v>
      </c>
      <c r="AC355" s="5">
        <v>2030</v>
      </c>
      <c r="AD355" s="5" t="s">
        <v>210</v>
      </c>
      <c r="AE355" s="17"/>
      <c r="AF355" s="17"/>
      <c r="AG355" s="17"/>
      <c r="AH355" s="17"/>
      <c r="AI355" s="9" t="s">
        <v>83</v>
      </c>
      <c r="AJ355" s="5" t="s">
        <v>84</v>
      </c>
      <c r="AK355" s="5">
        <v>1</v>
      </c>
      <c r="AL355" s="9" t="s">
        <v>2931</v>
      </c>
      <c r="AM355" s="9" t="s">
        <v>2932</v>
      </c>
      <c r="AN355" s="5">
        <v>2027</v>
      </c>
      <c r="AO355" s="17">
        <v>4602</v>
      </c>
      <c r="AP355" s="5">
        <v>2030</v>
      </c>
      <c r="AQ355" s="17">
        <v>9039</v>
      </c>
      <c r="AR355" s="5" t="s">
        <v>86</v>
      </c>
      <c r="AS355" s="17">
        <v>25.2</v>
      </c>
      <c r="AT355" s="5">
        <v>2027</v>
      </c>
      <c r="AU355" s="17">
        <v>3298</v>
      </c>
      <c r="AV355" s="5">
        <v>2030</v>
      </c>
      <c r="AW355" s="17">
        <v>4040</v>
      </c>
      <c r="AX355" s="5" t="s">
        <v>86</v>
      </c>
      <c r="AY355" s="17">
        <v>7</v>
      </c>
      <c r="AZ355" s="5">
        <v>2027</v>
      </c>
      <c r="BA355" s="17">
        <v>10000</v>
      </c>
      <c r="BB355" s="5">
        <v>2030</v>
      </c>
      <c r="BC355" s="17">
        <v>12250</v>
      </c>
      <c r="BD355" s="5" t="s">
        <v>86</v>
      </c>
      <c r="BE355" s="17">
        <v>7</v>
      </c>
      <c r="BF355" s="5">
        <v>2027</v>
      </c>
      <c r="BG355" s="17">
        <v>687</v>
      </c>
      <c r="BH355" s="5">
        <v>2030</v>
      </c>
      <c r="BI355" s="17">
        <v>724</v>
      </c>
      <c r="BJ355" s="5" t="s">
        <v>87</v>
      </c>
      <c r="BK355" s="9"/>
      <c r="BL355" s="9" t="str">
        <f>HYPERLINK("https://seichotoushi-hojo.jp/assets/pdf/koufu_3_4ji/outline_189.pdf","PDFを開く")</f>
        <v>PDFを開く</v>
      </c>
      <c r="BM355" s="9" t="s">
        <v>2933</v>
      </c>
      <c r="BN355" s="9" t="s">
        <v>2934</v>
      </c>
      <c r="BO355" s="9" t="s">
        <v>166</v>
      </c>
      <c r="BP355" s="9" t="s">
        <v>166</v>
      </c>
      <c r="BQ355" s="9" t="s">
        <v>166</v>
      </c>
      <c r="BR355" s="9" t="s">
        <v>166</v>
      </c>
    </row>
    <row r="356" spans="1:70" ht="45.95" customHeight="1">
      <c r="A356" s="2" t="s">
        <v>2935</v>
      </c>
      <c r="B356" s="2" t="s">
        <v>2430</v>
      </c>
      <c r="C356" s="2" t="s">
        <v>2936</v>
      </c>
      <c r="D356" s="2" t="s">
        <v>2936</v>
      </c>
      <c r="E356" s="2" t="s">
        <v>75</v>
      </c>
      <c r="F356" s="2"/>
      <c r="G356" s="2">
        <v>2</v>
      </c>
      <c r="H356" s="2">
        <v>0</v>
      </c>
      <c r="I356" s="2">
        <v>1</v>
      </c>
      <c r="J356" s="2">
        <v>1</v>
      </c>
      <c r="K356" s="2">
        <v>0</v>
      </c>
      <c r="L356" s="16">
        <v>16500</v>
      </c>
      <c r="M356" s="16">
        <v>4999</v>
      </c>
      <c r="N356" s="8" t="s">
        <v>2937</v>
      </c>
      <c r="O356" s="12">
        <f t="shared" si="5"/>
        <v>30.296969696969693</v>
      </c>
      <c r="P356" s="2">
        <v>2</v>
      </c>
      <c r="Q356" s="2" t="s">
        <v>77</v>
      </c>
      <c r="R356" s="8" t="s">
        <v>2938</v>
      </c>
      <c r="S356" s="8" t="s">
        <v>2939</v>
      </c>
      <c r="T356" s="8" t="s">
        <v>80</v>
      </c>
      <c r="U356" s="2" t="s">
        <v>81</v>
      </c>
      <c r="V356" s="2">
        <v>2025</v>
      </c>
      <c r="W356" s="16"/>
      <c r="X356" s="2">
        <v>2031</v>
      </c>
      <c r="Y356" s="16"/>
      <c r="Z356" s="16">
        <v>186.61</v>
      </c>
      <c r="AA356" s="2">
        <v>2031</v>
      </c>
      <c r="AB356" s="16">
        <v>24.6</v>
      </c>
      <c r="AC356" s="2">
        <v>2031</v>
      </c>
      <c r="AD356" s="2" t="s">
        <v>210</v>
      </c>
      <c r="AE356" s="16"/>
      <c r="AF356" s="16"/>
      <c r="AG356" s="16"/>
      <c r="AH356" s="16"/>
      <c r="AI356" s="8" t="s">
        <v>83</v>
      </c>
      <c r="AJ356" s="2" t="s">
        <v>84</v>
      </c>
      <c r="AK356" s="2">
        <v>1</v>
      </c>
      <c r="AL356" s="8" t="s">
        <v>2940</v>
      </c>
      <c r="AM356" s="8"/>
      <c r="AN356" s="2">
        <v>2028</v>
      </c>
      <c r="AO356" s="16">
        <v>36767</v>
      </c>
      <c r="AP356" s="2">
        <v>2031</v>
      </c>
      <c r="AQ356" s="16">
        <v>66038</v>
      </c>
      <c r="AR356" s="2" t="s">
        <v>86</v>
      </c>
      <c r="AS356" s="16">
        <v>21.6</v>
      </c>
      <c r="AT356" s="2">
        <v>2028</v>
      </c>
      <c r="AU356" s="16">
        <v>4342</v>
      </c>
      <c r="AV356" s="2">
        <v>2031</v>
      </c>
      <c r="AW356" s="16">
        <v>5470</v>
      </c>
      <c r="AX356" s="2" t="s">
        <v>86</v>
      </c>
      <c r="AY356" s="16">
        <v>8</v>
      </c>
      <c r="AZ356" s="2"/>
      <c r="BA356" s="16"/>
      <c r="BB356" s="2"/>
      <c r="BC356" s="16"/>
      <c r="BD356" s="2" t="s">
        <v>447</v>
      </c>
      <c r="BE356" s="16">
        <v>8</v>
      </c>
      <c r="BF356" s="2">
        <v>2028</v>
      </c>
      <c r="BG356" s="16">
        <v>35</v>
      </c>
      <c r="BH356" s="2">
        <v>2031</v>
      </c>
      <c r="BI356" s="16">
        <v>100</v>
      </c>
      <c r="BJ356" s="2" t="s">
        <v>87</v>
      </c>
      <c r="BK356" s="8"/>
      <c r="BL356" s="8" t="str">
        <f>HYPERLINK("https://seichotoushi-hojo.jp/assets/pdf/koufu_3_4ji/outline_191.pdf","PDFを開く")</f>
        <v>PDFを開く</v>
      </c>
      <c r="BM356" s="8" t="s">
        <v>2941</v>
      </c>
      <c r="BN356" s="8" t="s">
        <v>2942</v>
      </c>
      <c r="BO356" s="8" t="s">
        <v>166</v>
      </c>
      <c r="BP356" s="8" t="s">
        <v>166</v>
      </c>
      <c r="BQ356" s="8" t="s">
        <v>91</v>
      </c>
      <c r="BR356" s="8" t="s">
        <v>166</v>
      </c>
    </row>
    <row r="357" spans="1:70" ht="45.95" customHeight="1">
      <c r="A357" s="5" t="s">
        <v>2943</v>
      </c>
      <c r="B357" s="5" t="s">
        <v>2430</v>
      </c>
      <c r="C357" s="5" t="s">
        <v>2944</v>
      </c>
      <c r="D357" s="5" t="s">
        <v>2944</v>
      </c>
      <c r="E357" s="5" t="s">
        <v>186</v>
      </c>
      <c r="F357" s="5"/>
      <c r="G357" s="5">
        <v>2</v>
      </c>
      <c r="H357" s="5">
        <v>0</v>
      </c>
      <c r="I357" s="5">
        <v>1</v>
      </c>
      <c r="J357" s="5">
        <v>1</v>
      </c>
      <c r="K357" s="5">
        <v>0</v>
      </c>
      <c r="L357" s="17">
        <v>3652</v>
      </c>
      <c r="M357" s="17">
        <v>900</v>
      </c>
      <c r="N357" s="9" t="s">
        <v>2945</v>
      </c>
      <c r="O357" s="13">
        <f t="shared" si="5"/>
        <v>24.644030668127055</v>
      </c>
      <c r="P357" s="5">
        <v>2</v>
      </c>
      <c r="Q357" s="5" t="s">
        <v>77</v>
      </c>
      <c r="R357" s="9" t="s">
        <v>2945</v>
      </c>
      <c r="S357" s="9" t="s">
        <v>2946</v>
      </c>
      <c r="T357" s="9" t="s">
        <v>80</v>
      </c>
      <c r="U357" s="5" t="s">
        <v>81</v>
      </c>
      <c r="V357" s="5">
        <v>2025</v>
      </c>
      <c r="W357" s="17"/>
      <c r="X357" s="5">
        <v>2030</v>
      </c>
      <c r="Y357" s="17"/>
      <c r="Z357" s="17">
        <v>35.4</v>
      </c>
      <c r="AA357" s="5">
        <v>2030</v>
      </c>
      <c r="AB357" s="17">
        <v>230.8</v>
      </c>
      <c r="AC357" s="5">
        <v>2030</v>
      </c>
      <c r="AD357" s="5" t="s">
        <v>82</v>
      </c>
      <c r="AE357" s="17"/>
      <c r="AF357" s="17"/>
      <c r="AG357" s="17"/>
      <c r="AH357" s="17"/>
      <c r="AI357" s="9" t="s">
        <v>83</v>
      </c>
      <c r="AJ357" s="5" t="s">
        <v>84</v>
      </c>
      <c r="AK357" s="5">
        <v>1</v>
      </c>
      <c r="AL357" s="9" t="s">
        <v>2947</v>
      </c>
      <c r="AM357" s="9"/>
      <c r="AN357" s="5"/>
      <c r="AO357" s="17">
        <v>17445</v>
      </c>
      <c r="AP357" s="5"/>
      <c r="AQ357" s="17">
        <v>32752</v>
      </c>
      <c r="AR357" s="5" t="s">
        <v>447</v>
      </c>
      <c r="AS357" s="17">
        <v>23.4</v>
      </c>
      <c r="AT357" s="5"/>
      <c r="AU357" s="17">
        <v>5242</v>
      </c>
      <c r="AV357" s="5"/>
      <c r="AW357" s="17">
        <v>6279</v>
      </c>
      <c r="AX357" s="5" t="s">
        <v>447</v>
      </c>
      <c r="AY357" s="17">
        <v>6.2</v>
      </c>
      <c r="AZ357" s="5"/>
      <c r="BA357" s="17"/>
      <c r="BB357" s="5"/>
      <c r="BC357" s="17"/>
      <c r="BD357" s="5" t="s">
        <v>447</v>
      </c>
      <c r="BE357" s="17">
        <v>6.2</v>
      </c>
      <c r="BF357" s="5"/>
      <c r="BG357" s="17">
        <v>40</v>
      </c>
      <c r="BH357" s="5"/>
      <c r="BI357" s="17">
        <v>60</v>
      </c>
      <c r="BJ357" s="5" t="s">
        <v>87</v>
      </c>
      <c r="BK357" s="9"/>
      <c r="BL357" s="9" t="str">
        <f>HYPERLINK("https://seichotoushi-hojo.jp/assets/pdf/koufu_3_4ji/outline_192.pdf","PDFを開く")</f>
        <v>PDFを開く</v>
      </c>
      <c r="BM357" s="9" t="s">
        <v>2948</v>
      </c>
      <c r="BN357" s="9" t="s">
        <v>2949</v>
      </c>
      <c r="BO357" s="9" t="s">
        <v>90</v>
      </c>
      <c r="BP357" s="9" t="s">
        <v>90</v>
      </c>
      <c r="BQ357" s="9" t="s">
        <v>91</v>
      </c>
      <c r="BR357" s="9" t="s">
        <v>92</v>
      </c>
    </row>
    <row r="358" spans="1:70" ht="45.95" customHeight="1">
      <c r="A358" s="2" t="s">
        <v>2950</v>
      </c>
      <c r="B358" s="2" t="s">
        <v>2430</v>
      </c>
      <c r="C358" s="2" t="s">
        <v>2951</v>
      </c>
      <c r="D358" s="2" t="s">
        <v>2951</v>
      </c>
      <c r="E358" s="2" t="s">
        <v>95</v>
      </c>
      <c r="F358" s="2"/>
      <c r="G358" s="2">
        <v>2</v>
      </c>
      <c r="H358" s="2">
        <v>0</v>
      </c>
      <c r="I358" s="2">
        <v>1</v>
      </c>
      <c r="J358" s="2">
        <v>1</v>
      </c>
      <c r="K358" s="2">
        <v>0</v>
      </c>
      <c r="L358" s="16">
        <v>13005</v>
      </c>
      <c r="M358" s="16">
        <v>3909</v>
      </c>
      <c r="N358" s="8" t="s">
        <v>2952</v>
      </c>
      <c r="O358" s="12">
        <f t="shared" si="5"/>
        <v>30.057670126874282</v>
      </c>
      <c r="P358" s="2">
        <v>2</v>
      </c>
      <c r="Q358" s="2" t="s">
        <v>77</v>
      </c>
      <c r="R358" s="8" t="s">
        <v>2953</v>
      </c>
      <c r="S358" s="8" t="s">
        <v>2954</v>
      </c>
      <c r="T358" s="8" t="s">
        <v>80</v>
      </c>
      <c r="U358" s="2" t="s">
        <v>81</v>
      </c>
      <c r="V358" s="2"/>
      <c r="W358" s="16"/>
      <c r="X358" s="2">
        <v>2031</v>
      </c>
      <c r="Y358" s="16"/>
      <c r="Z358" s="16">
        <v>248</v>
      </c>
      <c r="AA358" s="2">
        <v>2031</v>
      </c>
      <c r="AB358" s="16">
        <v>9.8000000000000007</v>
      </c>
      <c r="AC358" s="2">
        <v>2031</v>
      </c>
      <c r="AD358" s="2" t="s">
        <v>210</v>
      </c>
      <c r="AE358" s="16"/>
      <c r="AF358" s="16"/>
      <c r="AG358" s="16"/>
      <c r="AH358" s="16"/>
      <c r="AI358" s="8" t="s">
        <v>83</v>
      </c>
      <c r="AJ358" s="2" t="s">
        <v>84</v>
      </c>
      <c r="AK358" s="2">
        <v>1</v>
      </c>
      <c r="AL358" s="8" t="s">
        <v>2955</v>
      </c>
      <c r="AM358" s="8"/>
      <c r="AN358" s="2"/>
      <c r="AO358" s="16">
        <v>10270</v>
      </c>
      <c r="AP358" s="2"/>
      <c r="AQ358" s="16">
        <v>19298</v>
      </c>
      <c r="AR358" s="2" t="s">
        <v>447</v>
      </c>
      <c r="AS358" s="16">
        <v>23.4</v>
      </c>
      <c r="AT358" s="2"/>
      <c r="AU358" s="16">
        <v>5497</v>
      </c>
      <c r="AV358" s="2"/>
      <c r="AW358" s="16">
        <v>6640</v>
      </c>
      <c r="AX358" s="2" t="s">
        <v>447</v>
      </c>
      <c r="AY358" s="16">
        <v>6.5</v>
      </c>
      <c r="AZ358" s="2"/>
      <c r="BA358" s="16"/>
      <c r="BB358" s="2"/>
      <c r="BC358" s="16"/>
      <c r="BD358" s="2" t="s">
        <v>447</v>
      </c>
      <c r="BE358" s="16">
        <v>5</v>
      </c>
      <c r="BF358" s="2"/>
      <c r="BG358" s="16">
        <v>595</v>
      </c>
      <c r="BH358" s="2"/>
      <c r="BI358" s="16">
        <v>631</v>
      </c>
      <c r="BJ358" s="2" t="s">
        <v>87</v>
      </c>
      <c r="BK358" s="8"/>
      <c r="BL358" s="8" t="str">
        <f>HYPERLINK("https://seichotoushi-hojo.jp/assets/pdf/koufu_3_4ji/outline_193.pdf","PDFを開く")</f>
        <v>PDFを開く</v>
      </c>
      <c r="BM358" s="8" t="s">
        <v>2956</v>
      </c>
      <c r="BN358" s="8" t="s">
        <v>2957</v>
      </c>
      <c r="BO358" s="8" t="s">
        <v>90</v>
      </c>
      <c r="BP358" s="8" t="s">
        <v>90</v>
      </c>
      <c r="BQ358" s="8" t="s">
        <v>91</v>
      </c>
      <c r="BR358" s="8" t="s">
        <v>92</v>
      </c>
    </row>
    <row r="359" spans="1:70" ht="45.95" customHeight="1">
      <c r="A359" s="5" t="s">
        <v>2958</v>
      </c>
      <c r="B359" s="5" t="s">
        <v>2430</v>
      </c>
      <c r="C359" s="5" t="s">
        <v>2959</v>
      </c>
      <c r="D359" s="5" t="s">
        <v>2959</v>
      </c>
      <c r="E359" s="5" t="s">
        <v>75</v>
      </c>
      <c r="F359" s="5"/>
      <c r="G359" s="5">
        <v>2</v>
      </c>
      <c r="H359" s="5">
        <v>0</v>
      </c>
      <c r="I359" s="5">
        <v>1</v>
      </c>
      <c r="J359" s="5">
        <v>1</v>
      </c>
      <c r="K359" s="5">
        <v>0</v>
      </c>
      <c r="L359" s="17">
        <v>5918</v>
      </c>
      <c r="M359" s="17">
        <v>1860</v>
      </c>
      <c r="N359" s="9" t="s">
        <v>2960</v>
      </c>
      <c r="O359" s="13">
        <f t="shared" si="5"/>
        <v>31.429537005745185</v>
      </c>
      <c r="P359" s="5">
        <v>2</v>
      </c>
      <c r="Q359" s="5" t="s">
        <v>77</v>
      </c>
      <c r="R359" s="9" t="s">
        <v>2960</v>
      </c>
      <c r="S359" s="9" t="s">
        <v>2961</v>
      </c>
      <c r="T359" s="9" t="s">
        <v>80</v>
      </c>
      <c r="U359" s="5" t="s">
        <v>81</v>
      </c>
      <c r="V359" s="5"/>
      <c r="W359" s="17"/>
      <c r="X359" s="5">
        <v>2030</v>
      </c>
      <c r="Y359" s="17"/>
      <c r="Z359" s="17">
        <v>27.8</v>
      </c>
      <c r="AA359" s="5">
        <v>2030</v>
      </c>
      <c r="AB359" s="17">
        <v>272</v>
      </c>
      <c r="AC359" s="5">
        <v>2030</v>
      </c>
      <c r="AD359" s="5" t="s">
        <v>82</v>
      </c>
      <c r="AE359" s="17"/>
      <c r="AF359" s="17"/>
      <c r="AG359" s="17"/>
      <c r="AH359" s="17"/>
      <c r="AI359" s="9" t="s">
        <v>83</v>
      </c>
      <c r="AJ359" s="5" t="s">
        <v>84</v>
      </c>
      <c r="AK359" s="5">
        <v>1</v>
      </c>
      <c r="AL359" s="9" t="s">
        <v>2962</v>
      </c>
      <c r="AM359" s="9"/>
      <c r="AN359" s="5"/>
      <c r="AO359" s="17">
        <v>10647</v>
      </c>
      <c r="AP359" s="5"/>
      <c r="AQ359" s="17">
        <v>13174</v>
      </c>
      <c r="AR359" s="5" t="s">
        <v>447</v>
      </c>
      <c r="AS359" s="17">
        <v>7.4</v>
      </c>
      <c r="AT359" s="5"/>
      <c r="AU359" s="17">
        <v>3728</v>
      </c>
      <c r="AV359" s="5"/>
      <c r="AW359" s="17">
        <v>4609</v>
      </c>
      <c r="AX359" s="5" t="s">
        <v>447</v>
      </c>
      <c r="AY359" s="17">
        <v>7.3</v>
      </c>
      <c r="AZ359" s="5"/>
      <c r="BA359" s="17"/>
      <c r="BB359" s="5"/>
      <c r="BC359" s="17"/>
      <c r="BD359" s="5" t="s">
        <v>447</v>
      </c>
      <c r="BE359" s="17">
        <v>6</v>
      </c>
      <c r="BF359" s="5"/>
      <c r="BG359" s="17">
        <v>120</v>
      </c>
      <c r="BH359" s="5"/>
      <c r="BI359" s="17">
        <v>135</v>
      </c>
      <c r="BJ359" s="5" t="s">
        <v>87</v>
      </c>
      <c r="BK359" s="9"/>
      <c r="BL359" s="9" t="str">
        <f>HYPERLINK("https://seichotoushi-hojo.jp/assets/pdf/koufu_3_4ji/outline_194.pdf","PDFを開く")</f>
        <v>PDFを開く</v>
      </c>
      <c r="BM359" s="9" t="s">
        <v>2963</v>
      </c>
      <c r="BN359" s="9" t="s">
        <v>2964</v>
      </c>
      <c r="BO359" s="9" t="s">
        <v>90</v>
      </c>
      <c r="BP359" s="9" t="s">
        <v>90</v>
      </c>
      <c r="BQ359" s="9" t="s">
        <v>91</v>
      </c>
      <c r="BR359" s="9" t="s">
        <v>92</v>
      </c>
    </row>
    <row r="360" spans="1:70" ht="45.95" customHeight="1">
      <c r="A360" s="2" t="s">
        <v>2965</v>
      </c>
      <c r="B360" s="2" t="s">
        <v>2430</v>
      </c>
      <c r="C360" s="2" t="s">
        <v>2966</v>
      </c>
      <c r="D360" s="2" t="s">
        <v>2966</v>
      </c>
      <c r="E360" s="2" t="s">
        <v>186</v>
      </c>
      <c r="F360" s="2"/>
      <c r="G360" s="2">
        <v>2</v>
      </c>
      <c r="H360" s="2">
        <v>0</v>
      </c>
      <c r="I360" s="2">
        <v>1</v>
      </c>
      <c r="J360" s="2">
        <v>1</v>
      </c>
      <c r="K360" s="2">
        <v>0</v>
      </c>
      <c r="L360" s="16">
        <v>1900</v>
      </c>
      <c r="M360" s="16">
        <v>450</v>
      </c>
      <c r="N360" s="8" t="s">
        <v>2967</v>
      </c>
      <c r="O360" s="12">
        <f t="shared" si="5"/>
        <v>23.684210526315788</v>
      </c>
      <c r="P360" s="2">
        <v>2</v>
      </c>
      <c r="Q360" s="2" t="s">
        <v>77</v>
      </c>
      <c r="R360" s="8" t="s">
        <v>2967</v>
      </c>
      <c r="S360" s="8" t="s">
        <v>2968</v>
      </c>
      <c r="T360" s="8" t="s">
        <v>80</v>
      </c>
      <c r="U360" s="2" t="s">
        <v>81</v>
      </c>
      <c r="V360" s="2"/>
      <c r="W360" s="16"/>
      <c r="X360" s="2">
        <v>2030</v>
      </c>
      <c r="Y360" s="16"/>
      <c r="Z360" s="16">
        <v>100</v>
      </c>
      <c r="AA360" s="2">
        <v>2030</v>
      </c>
      <c r="AB360" s="16">
        <v>11.5</v>
      </c>
      <c r="AC360" s="2">
        <v>2030</v>
      </c>
      <c r="AD360" s="2" t="s">
        <v>82</v>
      </c>
      <c r="AE360" s="16"/>
      <c r="AF360" s="16"/>
      <c r="AG360" s="16"/>
      <c r="AH360" s="16"/>
      <c r="AI360" s="8" t="s">
        <v>83</v>
      </c>
      <c r="AJ360" s="2" t="s">
        <v>84</v>
      </c>
      <c r="AK360" s="2">
        <v>1</v>
      </c>
      <c r="AL360" s="8" t="s">
        <v>2969</v>
      </c>
      <c r="AM360" s="8"/>
      <c r="AN360" s="2">
        <v>2026</v>
      </c>
      <c r="AO360" s="16">
        <v>410</v>
      </c>
      <c r="AP360" s="2">
        <v>2029</v>
      </c>
      <c r="AQ360" s="16">
        <v>795</v>
      </c>
      <c r="AR360" s="2" t="s">
        <v>86</v>
      </c>
      <c r="AS360" s="16">
        <v>24.7</v>
      </c>
      <c r="AT360" s="2">
        <v>2026</v>
      </c>
      <c r="AU360" s="16">
        <v>331</v>
      </c>
      <c r="AV360" s="2">
        <v>2029</v>
      </c>
      <c r="AW360" s="16">
        <v>397</v>
      </c>
      <c r="AX360" s="2" t="s">
        <v>86</v>
      </c>
      <c r="AY360" s="16">
        <v>6.2</v>
      </c>
      <c r="AZ360" s="2"/>
      <c r="BA360" s="16"/>
      <c r="BB360" s="2"/>
      <c r="BC360" s="16"/>
      <c r="BD360" s="2"/>
      <c r="BE360" s="16"/>
      <c r="BF360" s="2">
        <v>2026</v>
      </c>
      <c r="BG360" s="16">
        <v>102</v>
      </c>
      <c r="BH360" s="2">
        <v>2029</v>
      </c>
      <c r="BI360" s="16">
        <v>108</v>
      </c>
      <c r="BJ360" s="2" t="s">
        <v>87</v>
      </c>
      <c r="BK360" s="8"/>
      <c r="BL360" s="8" t="str">
        <f>HYPERLINK("https://seichotoushi-hojo.jp/assets/pdf/koufu_3_4ji/outline_195.pdf","PDFを開く")</f>
        <v>PDFを開く</v>
      </c>
      <c r="BM360" s="8" t="s">
        <v>2970</v>
      </c>
      <c r="BN360" s="8" t="s">
        <v>2971</v>
      </c>
      <c r="BO360" s="8" t="s">
        <v>90</v>
      </c>
      <c r="BP360" s="8" t="s">
        <v>90</v>
      </c>
      <c r="BQ360" s="8" t="s">
        <v>156</v>
      </c>
      <c r="BR360" s="8" t="s">
        <v>92</v>
      </c>
    </row>
    <row r="361" spans="1:70" ht="45.95" customHeight="1">
      <c r="A361" s="5" t="s">
        <v>2972</v>
      </c>
      <c r="B361" s="5" t="s">
        <v>2430</v>
      </c>
      <c r="C361" s="5" t="s">
        <v>2973</v>
      </c>
      <c r="D361" s="5" t="s">
        <v>2973</v>
      </c>
      <c r="E361" s="5" t="s">
        <v>95</v>
      </c>
      <c r="F361" s="5"/>
      <c r="G361" s="5">
        <v>2</v>
      </c>
      <c r="H361" s="5">
        <v>0</v>
      </c>
      <c r="I361" s="5">
        <v>1</v>
      </c>
      <c r="J361" s="5">
        <v>1</v>
      </c>
      <c r="K361" s="5">
        <v>0</v>
      </c>
      <c r="L361" s="17">
        <v>8569</v>
      </c>
      <c r="M361" s="17">
        <v>1975</v>
      </c>
      <c r="N361" s="9" t="s">
        <v>2974</v>
      </c>
      <c r="O361" s="13">
        <f t="shared" si="5"/>
        <v>23.048196989146923</v>
      </c>
      <c r="P361" s="5">
        <v>2</v>
      </c>
      <c r="Q361" s="5" t="s">
        <v>77</v>
      </c>
      <c r="R361" s="9" t="s">
        <v>2975</v>
      </c>
      <c r="S361" s="9" t="s">
        <v>2976</v>
      </c>
      <c r="T361" s="9" t="s">
        <v>80</v>
      </c>
      <c r="U361" s="5" t="s">
        <v>81</v>
      </c>
      <c r="V361" s="5"/>
      <c r="W361" s="17"/>
      <c r="X361" s="5">
        <v>2031</v>
      </c>
      <c r="Y361" s="17"/>
      <c r="Z361" s="17">
        <v>48</v>
      </c>
      <c r="AA361" s="5">
        <v>2031</v>
      </c>
      <c r="AB361" s="17">
        <v>25.79</v>
      </c>
      <c r="AC361" s="5">
        <v>2031</v>
      </c>
      <c r="AD361" s="5" t="s">
        <v>82</v>
      </c>
      <c r="AE361" s="17"/>
      <c r="AF361" s="17"/>
      <c r="AG361" s="17"/>
      <c r="AH361" s="17"/>
      <c r="AI361" s="9" t="s">
        <v>83</v>
      </c>
      <c r="AJ361" s="5" t="s">
        <v>84</v>
      </c>
      <c r="AK361" s="5">
        <v>1</v>
      </c>
      <c r="AL361" s="9" t="s">
        <v>2977</v>
      </c>
      <c r="AM361" s="9"/>
      <c r="AN361" s="5"/>
      <c r="AO361" s="17">
        <v>4766</v>
      </c>
      <c r="AP361" s="5"/>
      <c r="AQ361" s="17">
        <v>10804</v>
      </c>
      <c r="AR361" s="5" t="s">
        <v>447</v>
      </c>
      <c r="AS361" s="17">
        <v>31.4</v>
      </c>
      <c r="AT361" s="5"/>
      <c r="AU361" s="17">
        <v>4007</v>
      </c>
      <c r="AV361" s="5"/>
      <c r="AW361" s="17">
        <v>4694</v>
      </c>
      <c r="AX361" s="5" t="s">
        <v>447</v>
      </c>
      <c r="AY361" s="17">
        <v>5.4</v>
      </c>
      <c r="AZ361" s="5"/>
      <c r="BA361" s="17"/>
      <c r="BB361" s="5"/>
      <c r="BC361" s="17"/>
      <c r="BD361" s="5" t="s">
        <v>447</v>
      </c>
      <c r="BE361" s="17">
        <v>4.5999999999999996</v>
      </c>
      <c r="BF361" s="5"/>
      <c r="BG361" s="17">
        <v>306</v>
      </c>
      <c r="BH361" s="5"/>
      <c r="BI361" s="17">
        <v>393</v>
      </c>
      <c r="BJ361" s="5" t="s">
        <v>87</v>
      </c>
      <c r="BK361" s="9"/>
      <c r="BL361" s="9" t="str">
        <f>HYPERLINK("https://seichotoushi-hojo.jp/assets/pdf/koufu_3_4ji/outline_196.pdf","PDFを開く")</f>
        <v>PDFを開く</v>
      </c>
      <c r="BM361" s="9" t="s">
        <v>2978</v>
      </c>
      <c r="BN361" s="9" t="s">
        <v>2979</v>
      </c>
      <c r="BO361" s="9" t="s">
        <v>90</v>
      </c>
      <c r="BP361" s="9" t="s">
        <v>90</v>
      </c>
      <c r="BQ361" s="9" t="s">
        <v>91</v>
      </c>
      <c r="BR361" s="9" t="s">
        <v>92</v>
      </c>
    </row>
    <row r="362" spans="1:70" ht="45.95" customHeight="1">
      <c r="A362" s="2" t="s">
        <v>2980</v>
      </c>
      <c r="B362" s="2" t="s">
        <v>2430</v>
      </c>
      <c r="C362" s="2" t="s">
        <v>2981</v>
      </c>
      <c r="D362" s="2" t="s">
        <v>2981</v>
      </c>
      <c r="E362" s="2" t="s">
        <v>186</v>
      </c>
      <c r="F362" s="2"/>
      <c r="G362" s="2">
        <v>2</v>
      </c>
      <c r="H362" s="2">
        <v>0</v>
      </c>
      <c r="I362" s="2">
        <v>1</v>
      </c>
      <c r="J362" s="2">
        <v>1</v>
      </c>
      <c r="K362" s="2">
        <v>0</v>
      </c>
      <c r="L362" s="16">
        <v>2600</v>
      </c>
      <c r="M362" s="16">
        <v>480</v>
      </c>
      <c r="N362" s="8" t="s">
        <v>2982</v>
      </c>
      <c r="O362" s="12">
        <f t="shared" si="5"/>
        <v>18.461538461538463</v>
      </c>
      <c r="P362" s="2">
        <v>2</v>
      </c>
      <c r="Q362" s="2" t="s">
        <v>77</v>
      </c>
      <c r="R362" s="8" t="s">
        <v>2982</v>
      </c>
      <c r="S362" s="8" t="s">
        <v>2983</v>
      </c>
      <c r="T362" s="8" t="s">
        <v>80</v>
      </c>
      <c r="U362" s="2" t="s">
        <v>81</v>
      </c>
      <c r="V362" s="2"/>
      <c r="W362" s="16"/>
      <c r="X362" s="2">
        <v>2036</v>
      </c>
      <c r="Y362" s="16"/>
      <c r="Z362" s="16">
        <v>846</v>
      </c>
      <c r="AA362" s="2">
        <v>2036</v>
      </c>
      <c r="AB362" s="16">
        <v>73</v>
      </c>
      <c r="AC362" s="2">
        <v>2036</v>
      </c>
      <c r="AD362" s="2" t="s">
        <v>210</v>
      </c>
      <c r="AE362" s="16"/>
      <c r="AF362" s="16"/>
      <c r="AG362" s="16"/>
      <c r="AH362" s="16"/>
      <c r="AI362" s="8" t="s">
        <v>83</v>
      </c>
      <c r="AJ362" s="2" t="s">
        <v>84</v>
      </c>
      <c r="AK362" s="2">
        <v>1</v>
      </c>
      <c r="AL362" s="8" t="s">
        <v>2984</v>
      </c>
      <c r="AM362" s="8"/>
      <c r="AN362" s="2"/>
      <c r="AO362" s="16">
        <v>14945</v>
      </c>
      <c r="AP362" s="2"/>
      <c r="AQ362" s="16">
        <v>23446</v>
      </c>
      <c r="AR362" s="2" t="s">
        <v>447</v>
      </c>
      <c r="AS362" s="16">
        <v>16.2</v>
      </c>
      <c r="AT362" s="2"/>
      <c r="AU362" s="16">
        <v>7029</v>
      </c>
      <c r="AV362" s="2"/>
      <c r="AW362" s="16">
        <v>8424</v>
      </c>
      <c r="AX362" s="2" t="s">
        <v>447</v>
      </c>
      <c r="AY362" s="16">
        <v>6.2</v>
      </c>
      <c r="AZ362" s="2"/>
      <c r="BA362" s="16"/>
      <c r="BB362" s="2"/>
      <c r="BC362" s="16"/>
      <c r="BD362" s="2" t="s">
        <v>447</v>
      </c>
      <c r="BE362" s="16">
        <v>5</v>
      </c>
      <c r="BF362" s="2"/>
      <c r="BG362" s="16">
        <v>340</v>
      </c>
      <c r="BH362" s="2"/>
      <c r="BI362" s="16">
        <v>330</v>
      </c>
      <c r="BJ362" s="2" t="s">
        <v>87</v>
      </c>
      <c r="BK362" s="8"/>
      <c r="BL362" s="8" t="str">
        <f>HYPERLINK("https://seichotoushi-hojo.jp/assets/pdf/koufu_3_4ji/outline_199.pdf","PDFを開く")</f>
        <v>PDFを開く</v>
      </c>
      <c r="BM362" s="8" t="s">
        <v>2985</v>
      </c>
      <c r="BN362" s="8" t="s">
        <v>2986</v>
      </c>
      <c r="BO362" s="8" t="s">
        <v>90</v>
      </c>
      <c r="BP362" s="8" t="s">
        <v>90</v>
      </c>
      <c r="BQ362" s="8" t="s">
        <v>91</v>
      </c>
      <c r="BR362" s="8" t="s">
        <v>92</v>
      </c>
    </row>
    <row r="363" spans="1:70" ht="45.95" customHeight="1">
      <c r="A363" s="5" t="s">
        <v>2987</v>
      </c>
      <c r="B363" s="5" t="s">
        <v>2430</v>
      </c>
      <c r="C363" s="5" t="s">
        <v>2988</v>
      </c>
      <c r="D363" s="5" t="s">
        <v>2988</v>
      </c>
      <c r="E363" s="5" t="s">
        <v>95</v>
      </c>
      <c r="F363" s="5"/>
      <c r="G363" s="5">
        <v>2</v>
      </c>
      <c r="H363" s="5">
        <v>0</v>
      </c>
      <c r="I363" s="5">
        <v>1</v>
      </c>
      <c r="J363" s="5">
        <v>1</v>
      </c>
      <c r="K363" s="5">
        <v>0</v>
      </c>
      <c r="L363" s="17">
        <v>3831</v>
      </c>
      <c r="M363" s="17">
        <v>1112</v>
      </c>
      <c r="N363" s="9" t="s">
        <v>2989</v>
      </c>
      <c r="O363" s="13">
        <f t="shared" si="5"/>
        <v>29.02636387366223</v>
      </c>
      <c r="P363" s="5">
        <v>2</v>
      </c>
      <c r="Q363" s="5" t="s">
        <v>77</v>
      </c>
      <c r="R363" s="9" t="s">
        <v>2990</v>
      </c>
      <c r="S363" s="9" t="s">
        <v>2991</v>
      </c>
      <c r="T363" s="9" t="s">
        <v>80</v>
      </c>
      <c r="U363" s="5" t="s">
        <v>81</v>
      </c>
      <c r="V363" s="5"/>
      <c r="W363" s="17"/>
      <c r="X363" s="5">
        <v>2030</v>
      </c>
      <c r="Y363" s="17"/>
      <c r="Z363" s="17">
        <v>35.549999999999997</v>
      </c>
      <c r="AA363" s="5">
        <v>2030</v>
      </c>
      <c r="AB363" s="17">
        <v>17</v>
      </c>
      <c r="AC363" s="5">
        <v>2030</v>
      </c>
      <c r="AD363" s="5" t="s">
        <v>210</v>
      </c>
      <c r="AE363" s="17"/>
      <c r="AF363" s="17"/>
      <c r="AG363" s="17"/>
      <c r="AH363" s="17"/>
      <c r="AI363" s="9" t="s">
        <v>83</v>
      </c>
      <c r="AJ363" s="5" t="s">
        <v>84</v>
      </c>
      <c r="AK363" s="5">
        <v>1</v>
      </c>
      <c r="AL363" s="9" t="s">
        <v>2992</v>
      </c>
      <c r="AM363" s="9"/>
      <c r="AN363" s="5">
        <v>2027</v>
      </c>
      <c r="AO363" s="17">
        <v>8512</v>
      </c>
      <c r="AP363" s="5">
        <v>2030</v>
      </c>
      <c r="AQ363" s="17">
        <v>12833</v>
      </c>
      <c r="AR363" s="5" t="s">
        <v>447</v>
      </c>
      <c r="AS363" s="17">
        <v>14.7</v>
      </c>
      <c r="AT363" s="5">
        <v>2027</v>
      </c>
      <c r="AU363" s="17">
        <v>5629</v>
      </c>
      <c r="AV363" s="5">
        <v>2030</v>
      </c>
      <c r="AW363" s="17">
        <v>6898</v>
      </c>
      <c r="AX363" s="5" t="s">
        <v>447</v>
      </c>
      <c r="AY363" s="17">
        <v>7</v>
      </c>
      <c r="AZ363" s="5">
        <v>2027</v>
      </c>
      <c r="BA363" s="17"/>
      <c r="BB363" s="5">
        <v>2030</v>
      </c>
      <c r="BC363" s="17"/>
      <c r="BD363" s="5" t="s">
        <v>447</v>
      </c>
      <c r="BE363" s="17">
        <v>5</v>
      </c>
      <c r="BF363" s="5">
        <v>2027</v>
      </c>
      <c r="BG363" s="17">
        <v>150</v>
      </c>
      <c r="BH363" s="5">
        <v>2030</v>
      </c>
      <c r="BI363" s="17">
        <v>212</v>
      </c>
      <c r="BJ363" s="5" t="s">
        <v>87</v>
      </c>
      <c r="BK363" s="9"/>
      <c r="BL363" s="9" t="str">
        <f>HYPERLINK("https://seichotoushi-hojo.jp/assets/pdf/koufu_3_4ji/outline_200.pdf","PDFを開く")</f>
        <v>PDFを開く</v>
      </c>
      <c r="BM363" s="9" t="s">
        <v>2993</v>
      </c>
      <c r="BN363" s="9" t="s">
        <v>2994</v>
      </c>
      <c r="BO363" s="9" t="s">
        <v>90</v>
      </c>
      <c r="BP363" s="9" t="s">
        <v>90</v>
      </c>
      <c r="BQ363" s="9" t="s">
        <v>91</v>
      </c>
      <c r="BR363" s="9" t="s">
        <v>92</v>
      </c>
    </row>
    <row r="364" spans="1:70" ht="45.95" customHeight="1">
      <c r="A364" s="2" t="s">
        <v>2995</v>
      </c>
      <c r="B364" s="2" t="s">
        <v>2430</v>
      </c>
      <c r="C364" s="2" t="s">
        <v>2996</v>
      </c>
      <c r="D364" s="2" t="s">
        <v>2996</v>
      </c>
      <c r="E364" s="2" t="s">
        <v>75</v>
      </c>
      <c r="F364" s="2"/>
      <c r="G364" s="2">
        <v>4</v>
      </c>
      <c r="H364" s="2">
        <v>0</v>
      </c>
      <c r="I364" s="2">
        <v>2</v>
      </c>
      <c r="J364" s="2">
        <v>2</v>
      </c>
      <c r="K364" s="2">
        <v>0</v>
      </c>
      <c r="L364" s="16">
        <v>2367</v>
      </c>
      <c r="M364" s="16">
        <v>729</v>
      </c>
      <c r="N364" s="8" t="s">
        <v>2997</v>
      </c>
      <c r="O364" s="12">
        <f t="shared" si="5"/>
        <v>30.798479087452474</v>
      </c>
      <c r="P364" s="2">
        <v>3</v>
      </c>
      <c r="Q364" s="2" t="s">
        <v>77</v>
      </c>
      <c r="R364" s="8" t="s">
        <v>2997</v>
      </c>
      <c r="S364" s="8" t="s">
        <v>2998</v>
      </c>
      <c r="T364" s="8" t="s">
        <v>80</v>
      </c>
      <c r="U364" s="2" t="s">
        <v>81</v>
      </c>
      <c r="V364" s="2">
        <v>2025</v>
      </c>
      <c r="W364" s="16"/>
      <c r="X364" s="2">
        <v>2030</v>
      </c>
      <c r="Y364" s="16"/>
      <c r="Z364" s="16">
        <v>55.58</v>
      </c>
      <c r="AA364" s="2">
        <v>2030</v>
      </c>
      <c r="AB364" s="16">
        <v>282</v>
      </c>
      <c r="AC364" s="2">
        <v>2030</v>
      </c>
      <c r="AD364" s="2" t="s">
        <v>82</v>
      </c>
      <c r="AE364" s="16"/>
      <c r="AF364" s="16"/>
      <c r="AG364" s="16"/>
      <c r="AH364" s="16"/>
      <c r="AI364" s="8" t="s">
        <v>83</v>
      </c>
      <c r="AJ364" s="2" t="s">
        <v>84</v>
      </c>
      <c r="AK364" s="2">
        <v>1</v>
      </c>
      <c r="AL364" s="8" t="s">
        <v>2999</v>
      </c>
      <c r="AM364" s="8"/>
      <c r="AN364" s="2">
        <v>2027</v>
      </c>
      <c r="AO364" s="16">
        <v>811</v>
      </c>
      <c r="AP364" s="2">
        <v>2030</v>
      </c>
      <c r="AQ364" s="16">
        <v>1608</v>
      </c>
      <c r="AR364" s="2" t="s">
        <v>86</v>
      </c>
      <c r="AS364" s="16">
        <v>25.6</v>
      </c>
      <c r="AT364" s="2">
        <v>2027</v>
      </c>
      <c r="AU364" s="16">
        <v>457</v>
      </c>
      <c r="AV364" s="2">
        <v>2030</v>
      </c>
      <c r="AW364" s="16">
        <v>552</v>
      </c>
      <c r="AX364" s="2" t="s">
        <v>86</v>
      </c>
      <c r="AY364" s="16">
        <v>6.5</v>
      </c>
      <c r="AZ364" s="2"/>
      <c r="BA364" s="16"/>
      <c r="BB364" s="2"/>
      <c r="BC364" s="16"/>
      <c r="BD364" s="2"/>
      <c r="BE364" s="16"/>
      <c r="BF364" s="2">
        <v>2027</v>
      </c>
      <c r="BG364" s="16">
        <v>205</v>
      </c>
      <c r="BH364" s="2">
        <v>2030</v>
      </c>
      <c r="BI364" s="16">
        <v>227</v>
      </c>
      <c r="BJ364" s="2" t="s">
        <v>87</v>
      </c>
      <c r="BK364" s="8" t="s">
        <v>937</v>
      </c>
      <c r="BL364" s="8" t="str">
        <f>HYPERLINK("https://seichotoushi-hojo.jp/assets/pdf/koufu_3_4ji/outline_201.pdf","PDFを開く")</f>
        <v>PDFを開く</v>
      </c>
      <c r="BM364" s="8" t="s">
        <v>3000</v>
      </c>
      <c r="BN364" s="8" t="s">
        <v>3001</v>
      </c>
      <c r="BO364" s="8" t="s">
        <v>90</v>
      </c>
      <c r="BP364" s="8" t="s">
        <v>90</v>
      </c>
      <c r="BQ364" s="8" t="s">
        <v>156</v>
      </c>
      <c r="BR364" s="8" t="s">
        <v>92</v>
      </c>
    </row>
    <row r="365" spans="1:70" ht="45.95" customHeight="1">
      <c r="A365" s="5" t="s">
        <v>3002</v>
      </c>
      <c r="B365" s="5" t="s">
        <v>2430</v>
      </c>
      <c r="C365" s="5" t="s">
        <v>3003</v>
      </c>
      <c r="D365" s="5" t="s">
        <v>3003</v>
      </c>
      <c r="E365" s="5" t="s">
        <v>186</v>
      </c>
      <c r="F365" s="5"/>
      <c r="G365" s="5">
        <v>2</v>
      </c>
      <c r="H365" s="5">
        <v>0</v>
      </c>
      <c r="I365" s="5">
        <v>1</v>
      </c>
      <c r="J365" s="5">
        <v>1</v>
      </c>
      <c r="K365" s="5">
        <v>0</v>
      </c>
      <c r="L365" s="17">
        <v>2744</v>
      </c>
      <c r="M365" s="17">
        <v>431</v>
      </c>
      <c r="N365" s="9" t="s">
        <v>3004</v>
      </c>
      <c r="O365" s="13">
        <f t="shared" si="5"/>
        <v>15.706997084548105</v>
      </c>
      <c r="P365" s="5">
        <v>2</v>
      </c>
      <c r="Q365" s="5" t="s">
        <v>308</v>
      </c>
      <c r="R365" s="9" t="s">
        <v>3005</v>
      </c>
      <c r="S365" s="9" t="s">
        <v>3006</v>
      </c>
      <c r="T365" s="9" t="s">
        <v>310</v>
      </c>
      <c r="U365" s="5" t="s">
        <v>81</v>
      </c>
      <c r="V365" s="5"/>
      <c r="W365" s="17"/>
      <c r="X365" s="5">
        <v>2031</v>
      </c>
      <c r="Y365" s="17"/>
      <c r="Z365" s="17">
        <v>77.81</v>
      </c>
      <c r="AA365" s="5">
        <v>2031</v>
      </c>
      <c r="AB365" s="17">
        <v>10.6</v>
      </c>
      <c r="AC365" s="5">
        <v>2031</v>
      </c>
      <c r="AD365" s="5" t="s">
        <v>210</v>
      </c>
      <c r="AE365" s="17"/>
      <c r="AF365" s="17"/>
      <c r="AG365" s="17"/>
      <c r="AH365" s="17"/>
      <c r="AI365" s="9" t="s">
        <v>83</v>
      </c>
      <c r="AJ365" s="5" t="s">
        <v>84</v>
      </c>
      <c r="AK365" s="5">
        <v>1</v>
      </c>
      <c r="AL365" s="9" t="s">
        <v>3007</v>
      </c>
      <c r="AM365" s="9"/>
      <c r="AN365" s="5"/>
      <c r="AO365" s="17">
        <v>11134</v>
      </c>
      <c r="AP365" s="5"/>
      <c r="AQ365" s="17">
        <v>48228</v>
      </c>
      <c r="AR365" s="5" t="s">
        <v>447</v>
      </c>
      <c r="AS365" s="17">
        <v>63</v>
      </c>
      <c r="AT365" s="5"/>
      <c r="AU365" s="17">
        <v>4833</v>
      </c>
      <c r="AV365" s="5"/>
      <c r="AW365" s="17">
        <v>5838</v>
      </c>
      <c r="AX365" s="5" t="s">
        <v>447</v>
      </c>
      <c r="AY365" s="17">
        <v>6.5</v>
      </c>
      <c r="AZ365" s="5"/>
      <c r="BA365" s="17"/>
      <c r="BB365" s="5"/>
      <c r="BC365" s="17"/>
      <c r="BD365" s="5" t="s">
        <v>447</v>
      </c>
      <c r="BE365" s="17">
        <v>6.5</v>
      </c>
      <c r="BF365" s="5"/>
      <c r="BG365" s="17">
        <v>11</v>
      </c>
      <c r="BH365" s="5"/>
      <c r="BI365" s="17">
        <v>23</v>
      </c>
      <c r="BJ365" s="5" t="s">
        <v>87</v>
      </c>
      <c r="BK365" s="9"/>
      <c r="BL365" s="9" t="str">
        <f>HYPERLINK("https://seichotoushi-hojo.jp/assets/pdf/koufu_3_4ji/outline_202.pdf","PDFを開く")</f>
        <v>PDFを開く</v>
      </c>
      <c r="BM365" s="9" t="s">
        <v>3008</v>
      </c>
      <c r="BN365" s="9" t="s">
        <v>3009</v>
      </c>
      <c r="BO365" s="9" t="s">
        <v>90</v>
      </c>
      <c r="BP365" s="9" t="s">
        <v>90</v>
      </c>
      <c r="BQ365" s="9" t="s">
        <v>91</v>
      </c>
      <c r="BR365" s="9" t="s">
        <v>92</v>
      </c>
    </row>
    <row r="366" spans="1:70" ht="45.95" customHeight="1">
      <c r="A366" s="2" t="s">
        <v>3010</v>
      </c>
      <c r="B366" s="2" t="s">
        <v>2430</v>
      </c>
      <c r="C366" s="2" t="s">
        <v>3011</v>
      </c>
      <c r="D366" s="2" t="s">
        <v>3011</v>
      </c>
      <c r="E366" s="2" t="s">
        <v>95</v>
      </c>
      <c r="F366" s="2"/>
      <c r="G366" s="2">
        <v>2</v>
      </c>
      <c r="H366" s="2">
        <v>0</v>
      </c>
      <c r="I366" s="2">
        <v>1</v>
      </c>
      <c r="J366" s="2">
        <v>1</v>
      </c>
      <c r="K366" s="2">
        <v>0</v>
      </c>
      <c r="L366" s="16">
        <v>10951</v>
      </c>
      <c r="M366" s="16">
        <v>3381</v>
      </c>
      <c r="N366" s="8" t="s">
        <v>3012</v>
      </c>
      <c r="O366" s="12">
        <f t="shared" si="5"/>
        <v>30.87389279517852</v>
      </c>
      <c r="P366" s="2">
        <v>2</v>
      </c>
      <c r="Q366" s="2" t="s">
        <v>77</v>
      </c>
      <c r="R366" s="8" t="s">
        <v>3013</v>
      </c>
      <c r="S366" s="8" t="s">
        <v>3014</v>
      </c>
      <c r="T366" s="8" t="s">
        <v>80</v>
      </c>
      <c r="U366" s="2" t="s">
        <v>81</v>
      </c>
      <c r="V366" s="2">
        <v>2025</v>
      </c>
      <c r="W366" s="16"/>
      <c r="X366" s="2">
        <v>2030</v>
      </c>
      <c r="Y366" s="16">
        <v>1100</v>
      </c>
      <c r="Z366" s="16"/>
      <c r="AA366" s="2"/>
      <c r="AB366" s="16"/>
      <c r="AC366" s="2"/>
      <c r="AD366" s="2"/>
      <c r="AE366" s="16"/>
      <c r="AF366" s="16"/>
      <c r="AG366" s="16"/>
      <c r="AH366" s="16"/>
      <c r="AI366" s="8" t="s">
        <v>83</v>
      </c>
      <c r="AJ366" s="2" t="s">
        <v>587</v>
      </c>
      <c r="AK366" s="2">
        <v>1</v>
      </c>
      <c r="AL366" s="8" t="s">
        <v>3015</v>
      </c>
      <c r="AM366" s="8" t="s">
        <v>3016</v>
      </c>
      <c r="AN366" s="2">
        <v>2027</v>
      </c>
      <c r="AO366" s="16">
        <v>1997</v>
      </c>
      <c r="AP366" s="2">
        <v>2030</v>
      </c>
      <c r="AQ366" s="16">
        <v>3167</v>
      </c>
      <c r="AR366" s="2" t="s">
        <v>86</v>
      </c>
      <c r="AS366" s="16">
        <v>16.600000000000001</v>
      </c>
      <c r="AT366" s="2">
        <v>2027</v>
      </c>
      <c r="AU366" s="16">
        <v>780</v>
      </c>
      <c r="AV366" s="2">
        <v>2030</v>
      </c>
      <c r="AW366" s="16">
        <v>942</v>
      </c>
      <c r="AX366" s="2" t="s">
        <v>86</v>
      </c>
      <c r="AY366" s="16">
        <v>6.5</v>
      </c>
      <c r="AZ366" s="2"/>
      <c r="BA366" s="16"/>
      <c r="BB366" s="2"/>
      <c r="BC366" s="16"/>
      <c r="BD366" s="2"/>
      <c r="BE366" s="16"/>
      <c r="BF366" s="2">
        <v>2027</v>
      </c>
      <c r="BG366" s="16">
        <v>801</v>
      </c>
      <c r="BH366" s="2">
        <v>2030</v>
      </c>
      <c r="BI366" s="16">
        <v>890</v>
      </c>
      <c r="BJ366" s="2" t="s">
        <v>87</v>
      </c>
      <c r="BK366" s="8"/>
      <c r="BL366" s="8" t="str">
        <f>HYPERLINK("https://seichotoushi-hojo.jp/assets/pdf/koufu_3_4ji/outline_204.pdf","PDFを開く")</f>
        <v>PDFを開く</v>
      </c>
      <c r="BM366" s="8" t="s">
        <v>3017</v>
      </c>
      <c r="BN366" s="8" t="s">
        <v>3018</v>
      </c>
      <c r="BO366" s="8" t="s">
        <v>90</v>
      </c>
      <c r="BP366" s="8" t="s">
        <v>90</v>
      </c>
      <c r="BQ366" s="8" t="s">
        <v>156</v>
      </c>
      <c r="BR366" s="8" t="s">
        <v>92</v>
      </c>
    </row>
    <row r="367" spans="1:70" ht="45.95" customHeight="1">
      <c r="A367" s="5" t="s">
        <v>3019</v>
      </c>
      <c r="B367" s="5" t="s">
        <v>2430</v>
      </c>
      <c r="C367" s="5" t="s">
        <v>3020</v>
      </c>
      <c r="D367" s="5" t="s">
        <v>3020</v>
      </c>
      <c r="E367" s="5" t="s">
        <v>186</v>
      </c>
      <c r="F367" s="5"/>
      <c r="G367" s="5">
        <v>2</v>
      </c>
      <c r="H367" s="5">
        <v>0</v>
      </c>
      <c r="I367" s="5">
        <v>1</v>
      </c>
      <c r="J367" s="5">
        <v>1</v>
      </c>
      <c r="K367" s="5">
        <v>0</v>
      </c>
      <c r="L367" s="17">
        <v>1885</v>
      </c>
      <c r="M367" s="17">
        <v>507</v>
      </c>
      <c r="N367" s="9" t="s">
        <v>3021</v>
      </c>
      <c r="O367" s="13">
        <f t="shared" si="5"/>
        <v>26.896551724137929</v>
      </c>
      <c r="P367" s="5">
        <v>2</v>
      </c>
      <c r="Q367" s="5" t="s">
        <v>77</v>
      </c>
      <c r="R367" s="9" t="s">
        <v>3021</v>
      </c>
      <c r="S367" s="9" t="s">
        <v>3022</v>
      </c>
      <c r="T367" s="9" t="s">
        <v>80</v>
      </c>
      <c r="U367" s="5" t="s">
        <v>81</v>
      </c>
      <c r="V367" s="5"/>
      <c r="W367" s="17"/>
      <c r="X367" s="5">
        <v>2030</v>
      </c>
      <c r="Y367" s="17"/>
      <c r="Z367" s="17">
        <v>23.5</v>
      </c>
      <c r="AA367" s="5">
        <v>2030</v>
      </c>
      <c r="AB367" s="17">
        <v>414</v>
      </c>
      <c r="AC367" s="5">
        <v>2030</v>
      </c>
      <c r="AD367" s="5" t="s">
        <v>82</v>
      </c>
      <c r="AE367" s="17"/>
      <c r="AF367" s="17"/>
      <c r="AG367" s="17"/>
      <c r="AH367" s="17"/>
      <c r="AI367" s="9" t="s">
        <v>83</v>
      </c>
      <c r="AJ367" s="5" t="s">
        <v>84</v>
      </c>
      <c r="AK367" s="5">
        <v>1</v>
      </c>
      <c r="AL367" s="9" t="s">
        <v>3023</v>
      </c>
      <c r="AM367" s="9"/>
      <c r="AN367" s="5"/>
      <c r="AO367" s="17">
        <v>9529</v>
      </c>
      <c r="AP367" s="5"/>
      <c r="AQ367" s="17">
        <v>19550</v>
      </c>
      <c r="AR367" s="5" t="s">
        <v>447</v>
      </c>
      <c r="AS367" s="17">
        <v>27.1</v>
      </c>
      <c r="AT367" s="5"/>
      <c r="AU367" s="17">
        <v>3873</v>
      </c>
      <c r="AV367" s="5"/>
      <c r="AW367" s="17">
        <v>4687</v>
      </c>
      <c r="AX367" s="5" t="s">
        <v>447</v>
      </c>
      <c r="AY367" s="17">
        <v>6.6</v>
      </c>
      <c r="AZ367" s="5"/>
      <c r="BA367" s="17"/>
      <c r="BB367" s="5"/>
      <c r="BC367" s="17"/>
      <c r="BD367" s="5"/>
      <c r="BE367" s="17"/>
      <c r="BF367" s="5"/>
      <c r="BG367" s="17">
        <v>54</v>
      </c>
      <c r="BH367" s="5"/>
      <c r="BI367" s="17">
        <v>31</v>
      </c>
      <c r="BJ367" s="5" t="s">
        <v>87</v>
      </c>
      <c r="BK367" s="9"/>
      <c r="BL367" s="9" t="str">
        <f>HYPERLINK("https://seichotoushi-hojo.jp/assets/pdf/koufu_3_4ji/outline_206.pdf","PDFを開く")</f>
        <v>PDFを開く</v>
      </c>
      <c r="BM367" s="9" t="s">
        <v>3024</v>
      </c>
      <c r="BN367" s="9" t="s">
        <v>3025</v>
      </c>
      <c r="BO367" s="9" t="s">
        <v>90</v>
      </c>
      <c r="BP367" s="9" t="s">
        <v>90</v>
      </c>
      <c r="BQ367" s="9" t="s">
        <v>156</v>
      </c>
      <c r="BR367" s="9" t="s">
        <v>92</v>
      </c>
    </row>
    <row r="368" spans="1:70" ht="45.95" customHeight="1">
      <c r="A368" s="2" t="s">
        <v>3026</v>
      </c>
      <c r="B368" s="2" t="s">
        <v>2430</v>
      </c>
      <c r="C368" s="2" t="s">
        <v>3027</v>
      </c>
      <c r="D368" s="2" t="s">
        <v>3027</v>
      </c>
      <c r="E368" s="2" t="s">
        <v>95</v>
      </c>
      <c r="F368" s="2"/>
      <c r="G368" s="2">
        <v>2</v>
      </c>
      <c r="H368" s="2">
        <v>0</v>
      </c>
      <c r="I368" s="2">
        <v>1</v>
      </c>
      <c r="J368" s="2">
        <v>1</v>
      </c>
      <c r="K368" s="2">
        <v>0</v>
      </c>
      <c r="L368" s="16">
        <v>3304</v>
      </c>
      <c r="M368" s="16">
        <v>809</v>
      </c>
      <c r="N368" s="8" t="s">
        <v>3028</v>
      </c>
      <c r="O368" s="12">
        <f t="shared" si="5"/>
        <v>24.485472154963681</v>
      </c>
      <c r="P368" s="2">
        <v>2</v>
      </c>
      <c r="Q368" s="2" t="s">
        <v>77</v>
      </c>
      <c r="R368" s="8" t="s">
        <v>3029</v>
      </c>
      <c r="S368" s="8" t="s">
        <v>3030</v>
      </c>
      <c r="T368" s="8" t="s">
        <v>80</v>
      </c>
      <c r="U368" s="2" t="s">
        <v>81</v>
      </c>
      <c r="V368" s="2"/>
      <c r="W368" s="16"/>
      <c r="X368" s="2">
        <v>2031</v>
      </c>
      <c r="Y368" s="16"/>
      <c r="Z368" s="16">
        <v>98</v>
      </c>
      <c r="AA368" s="2">
        <v>2031</v>
      </c>
      <c r="AB368" s="16">
        <v>10.199999999999999</v>
      </c>
      <c r="AC368" s="2">
        <v>2031</v>
      </c>
      <c r="AD368" s="2" t="s">
        <v>82</v>
      </c>
      <c r="AE368" s="16"/>
      <c r="AF368" s="16"/>
      <c r="AG368" s="16"/>
      <c r="AH368" s="16"/>
      <c r="AI368" s="8" t="s">
        <v>83</v>
      </c>
      <c r="AJ368" s="2" t="s">
        <v>84</v>
      </c>
      <c r="AK368" s="2">
        <v>1</v>
      </c>
      <c r="AL368" s="8" t="s">
        <v>3031</v>
      </c>
      <c r="AM368" s="8"/>
      <c r="AN368" s="2"/>
      <c r="AO368" s="16">
        <v>8985</v>
      </c>
      <c r="AP368" s="2"/>
      <c r="AQ368" s="16">
        <v>17343</v>
      </c>
      <c r="AR368" s="2" t="s">
        <v>447</v>
      </c>
      <c r="AS368" s="16">
        <v>24.5</v>
      </c>
      <c r="AT368" s="2"/>
      <c r="AU368" s="16">
        <v>6130</v>
      </c>
      <c r="AV368" s="2"/>
      <c r="AW368" s="16">
        <v>7342</v>
      </c>
      <c r="AX368" s="2" t="s">
        <v>447</v>
      </c>
      <c r="AY368" s="16">
        <v>6.2</v>
      </c>
      <c r="AZ368" s="2"/>
      <c r="BA368" s="16">
        <v>11143</v>
      </c>
      <c r="BB368" s="2"/>
      <c r="BC368" s="16">
        <v>12899</v>
      </c>
      <c r="BD368" s="2" t="s">
        <v>447</v>
      </c>
      <c r="BE368" s="16">
        <v>5</v>
      </c>
      <c r="BF368" s="2"/>
      <c r="BG368" s="16">
        <v>280</v>
      </c>
      <c r="BH368" s="2"/>
      <c r="BI368" s="16">
        <v>300</v>
      </c>
      <c r="BJ368" s="2" t="s">
        <v>87</v>
      </c>
      <c r="BK368" s="8"/>
      <c r="BL368" s="8" t="str">
        <f>HYPERLINK("https://seichotoushi-hojo.jp/assets/pdf/koufu_3_4ji/outline_207.pdf","PDFを開く")</f>
        <v>PDFを開く</v>
      </c>
      <c r="BM368" s="8" t="s">
        <v>3032</v>
      </c>
      <c r="BN368" s="8" t="s">
        <v>3033</v>
      </c>
      <c r="BO368" s="8" t="s">
        <v>90</v>
      </c>
      <c r="BP368" s="8" t="s">
        <v>90</v>
      </c>
      <c r="BQ368" s="8" t="s">
        <v>90</v>
      </c>
      <c r="BR368" s="8" t="s">
        <v>92</v>
      </c>
    </row>
    <row r="369" spans="1:70" ht="45.95" customHeight="1">
      <c r="A369" s="5" t="s">
        <v>3034</v>
      </c>
      <c r="B369" s="5" t="s">
        <v>2430</v>
      </c>
      <c r="C369" s="5" t="s">
        <v>3035</v>
      </c>
      <c r="D369" s="5" t="s">
        <v>3035</v>
      </c>
      <c r="E369" s="5" t="s">
        <v>75</v>
      </c>
      <c r="F369" s="5"/>
      <c r="G369" s="5">
        <v>2</v>
      </c>
      <c r="H369" s="5">
        <v>0</v>
      </c>
      <c r="I369" s="5">
        <v>1</v>
      </c>
      <c r="J369" s="5">
        <v>1</v>
      </c>
      <c r="K369" s="5">
        <v>0</v>
      </c>
      <c r="L369" s="17">
        <v>3300</v>
      </c>
      <c r="M369" s="17">
        <v>1100</v>
      </c>
      <c r="N369" s="9" t="s">
        <v>1065</v>
      </c>
      <c r="O369" s="13">
        <f t="shared" si="5"/>
        <v>33.333333333333329</v>
      </c>
      <c r="P369" s="5">
        <v>2</v>
      </c>
      <c r="Q369" s="5" t="s">
        <v>77</v>
      </c>
      <c r="R369" s="9" t="s">
        <v>3036</v>
      </c>
      <c r="S369" s="9" t="s">
        <v>3037</v>
      </c>
      <c r="T369" s="9" t="s">
        <v>80</v>
      </c>
      <c r="U369" s="5" t="s">
        <v>81</v>
      </c>
      <c r="V369" s="5"/>
      <c r="W369" s="17"/>
      <c r="X369" s="5">
        <v>2030</v>
      </c>
      <c r="Y369" s="17"/>
      <c r="Z369" s="17">
        <v>57</v>
      </c>
      <c r="AA369" s="5">
        <v>2030</v>
      </c>
      <c r="AB369" s="17">
        <v>174</v>
      </c>
      <c r="AC369" s="5">
        <v>2030</v>
      </c>
      <c r="AD369" s="5" t="s">
        <v>82</v>
      </c>
      <c r="AE369" s="17"/>
      <c r="AF369" s="17"/>
      <c r="AG369" s="17"/>
      <c r="AH369" s="17"/>
      <c r="AI369" s="9" t="s">
        <v>83</v>
      </c>
      <c r="AJ369" s="5" t="s">
        <v>84</v>
      </c>
      <c r="AK369" s="5">
        <v>1</v>
      </c>
      <c r="AL369" s="9" t="s">
        <v>3038</v>
      </c>
      <c r="AM369" s="9"/>
      <c r="AN369" s="5"/>
      <c r="AO369" s="17">
        <v>9331</v>
      </c>
      <c r="AP369" s="5"/>
      <c r="AQ369" s="17">
        <v>23183</v>
      </c>
      <c r="AR369" s="5" t="s">
        <v>447</v>
      </c>
      <c r="AS369" s="17">
        <v>35.4</v>
      </c>
      <c r="AT369" s="5"/>
      <c r="AU369" s="17">
        <v>4581</v>
      </c>
      <c r="AV369" s="5"/>
      <c r="AW369" s="17">
        <v>5611</v>
      </c>
      <c r="AX369" s="5" t="s">
        <v>447</v>
      </c>
      <c r="AY369" s="17">
        <v>7</v>
      </c>
      <c r="AZ369" s="5"/>
      <c r="BA369" s="17"/>
      <c r="BB369" s="5"/>
      <c r="BC369" s="17"/>
      <c r="BD369" s="5"/>
      <c r="BE369" s="17"/>
      <c r="BF369" s="5"/>
      <c r="BG369" s="17">
        <v>91</v>
      </c>
      <c r="BH369" s="5"/>
      <c r="BI369" s="17">
        <v>118</v>
      </c>
      <c r="BJ369" s="5" t="s">
        <v>87</v>
      </c>
      <c r="BK369" s="9"/>
      <c r="BL369" s="9" t="str">
        <f>HYPERLINK("https://seichotoushi-hojo.jp/assets/pdf/koufu_3_4ji/outline_208.pdf","PDFを開く")</f>
        <v>PDFを開く</v>
      </c>
      <c r="BM369" s="9" t="s">
        <v>3039</v>
      </c>
      <c r="BN369" s="9" t="s">
        <v>3040</v>
      </c>
      <c r="BO369" s="9" t="s">
        <v>90</v>
      </c>
      <c r="BP369" s="9" t="s">
        <v>90</v>
      </c>
      <c r="BQ369" s="9" t="s">
        <v>157</v>
      </c>
      <c r="BR369" s="9" t="s">
        <v>92</v>
      </c>
    </row>
    <row r="370" spans="1:70" ht="45.95" customHeight="1">
      <c r="A370" s="2" t="s">
        <v>3041</v>
      </c>
      <c r="B370" s="2" t="s">
        <v>2430</v>
      </c>
      <c r="C370" s="2" t="s">
        <v>3042</v>
      </c>
      <c r="D370" s="2" t="s">
        <v>3042</v>
      </c>
      <c r="E370" s="2" t="s">
        <v>95</v>
      </c>
      <c r="F370" s="2"/>
      <c r="G370" s="2">
        <v>2</v>
      </c>
      <c r="H370" s="2">
        <v>0</v>
      </c>
      <c r="I370" s="2">
        <v>1</v>
      </c>
      <c r="J370" s="2">
        <v>1</v>
      </c>
      <c r="K370" s="2">
        <v>0</v>
      </c>
      <c r="L370" s="16">
        <v>1071</v>
      </c>
      <c r="M370" s="16">
        <v>357</v>
      </c>
      <c r="N370" s="8" t="s">
        <v>3043</v>
      </c>
      <c r="O370" s="12">
        <f t="shared" si="5"/>
        <v>33.333333333333329</v>
      </c>
      <c r="P370" s="2">
        <v>2</v>
      </c>
      <c r="Q370" s="2" t="s">
        <v>77</v>
      </c>
      <c r="R370" s="8" t="s">
        <v>3044</v>
      </c>
      <c r="S370" s="8" t="s">
        <v>3045</v>
      </c>
      <c r="T370" s="8" t="s">
        <v>80</v>
      </c>
      <c r="U370" s="2" t="s">
        <v>81</v>
      </c>
      <c r="V370" s="2"/>
      <c r="W370" s="16"/>
      <c r="X370" s="2">
        <v>2031</v>
      </c>
      <c r="Y370" s="16"/>
      <c r="Z370" s="16">
        <v>75</v>
      </c>
      <c r="AA370" s="2">
        <v>2031</v>
      </c>
      <c r="AB370" s="16">
        <v>10.8</v>
      </c>
      <c r="AC370" s="2">
        <v>2031</v>
      </c>
      <c r="AD370" s="2" t="s">
        <v>210</v>
      </c>
      <c r="AE370" s="16"/>
      <c r="AF370" s="16"/>
      <c r="AG370" s="16"/>
      <c r="AH370" s="16"/>
      <c r="AI370" s="8" t="s">
        <v>83</v>
      </c>
      <c r="AJ370" s="2" t="s">
        <v>84</v>
      </c>
      <c r="AK370" s="2">
        <v>1</v>
      </c>
      <c r="AL370" s="8" t="s">
        <v>3046</v>
      </c>
      <c r="AM370" s="8"/>
      <c r="AN370" s="2"/>
      <c r="AO370" s="16">
        <v>4733</v>
      </c>
      <c r="AP370" s="2"/>
      <c r="AQ370" s="16">
        <v>8839</v>
      </c>
      <c r="AR370" s="2" t="s">
        <v>447</v>
      </c>
      <c r="AS370" s="16">
        <v>23.1</v>
      </c>
      <c r="AT370" s="2"/>
      <c r="AU370" s="16">
        <v>4402</v>
      </c>
      <c r="AV370" s="2"/>
      <c r="AW370" s="16">
        <v>5318</v>
      </c>
      <c r="AX370" s="2" t="s">
        <v>447</v>
      </c>
      <c r="AY370" s="16">
        <v>6.5</v>
      </c>
      <c r="AZ370" s="2"/>
      <c r="BA370" s="16"/>
      <c r="BB370" s="2"/>
      <c r="BC370" s="16"/>
      <c r="BD370" s="2" t="s">
        <v>447</v>
      </c>
      <c r="BE370" s="16">
        <v>5</v>
      </c>
      <c r="BF370" s="2"/>
      <c r="BG370" s="16">
        <v>114</v>
      </c>
      <c r="BH370" s="2"/>
      <c r="BI370" s="16">
        <v>128</v>
      </c>
      <c r="BJ370" s="2" t="s">
        <v>87</v>
      </c>
      <c r="BK370" s="8"/>
      <c r="BL370" s="8" t="str">
        <f>HYPERLINK("https://seichotoushi-hojo.jp/assets/pdf/koufu_3_4ji/outline_210.pdf","PDFを開く")</f>
        <v>PDFを開く</v>
      </c>
      <c r="BM370" s="8" t="s">
        <v>3047</v>
      </c>
      <c r="BN370" s="8" t="s">
        <v>3048</v>
      </c>
      <c r="BO370" s="8" t="s">
        <v>90</v>
      </c>
      <c r="BP370" s="8" t="s">
        <v>90</v>
      </c>
      <c r="BQ370" s="8" t="s">
        <v>91</v>
      </c>
      <c r="BR370" s="8" t="s">
        <v>92</v>
      </c>
    </row>
    <row r="371" spans="1:70" ht="45.95" customHeight="1">
      <c r="A371" s="5" t="s">
        <v>3049</v>
      </c>
      <c r="B371" s="5" t="s">
        <v>2430</v>
      </c>
      <c r="C371" s="5" t="s">
        <v>3050</v>
      </c>
      <c r="D371" s="5" t="s">
        <v>3050</v>
      </c>
      <c r="E371" s="5" t="s">
        <v>75</v>
      </c>
      <c r="F371" s="5"/>
      <c r="G371" s="5">
        <v>2</v>
      </c>
      <c r="H371" s="5">
        <v>0</v>
      </c>
      <c r="I371" s="5">
        <v>1</v>
      </c>
      <c r="J371" s="5">
        <v>1</v>
      </c>
      <c r="K371" s="5">
        <v>0</v>
      </c>
      <c r="L371" s="17">
        <v>6167</v>
      </c>
      <c r="M371" s="17">
        <v>1911</v>
      </c>
      <c r="N371" s="9" t="s">
        <v>3051</v>
      </c>
      <c r="O371" s="13">
        <f t="shared" si="5"/>
        <v>30.987514188422249</v>
      </c>
      <c r="P371" s="5">
        <v>2</v>
      </c>
      <c r="Q371" s="5" t="s">
        <v>77</v>
      </c>
      <c r="R371" s="9" t="s">
        <v>3052</v>
      </c>
      <c r="S371" s="9" t="s">
        <v>3053</v>
      </c>
      <c r="T371" s="9" t="s">
        <v>80</v>
      </c>
      <c r="U371" s="5" t="s">
        <v>81</v>
      </c>
      <c r="V371" s="5">
        <v>2025</v>
      </c>
      <c r="W371" s="17"/>
      <c r="X371" s="5">
        <v>2031</v>
      </c>
      <c r="Y371" s="17"/>
      <c r="Z371" s="17">
        <v>237</v>
      </c>
      <c r="AA371" s="5">
        <v>2031</v>
      </c>
      <c r="AB371" s="17">
        <v>0.8</v>
      </c>
      <c r="AC371" s="5">
        <v>2031</v>
      </c>
      <c r="AD371" s="5" t="s">
        <v>210</v>
      </c>
      <c r="AE371" s="17"/>
      <c r="AF371" s="17"/>
      <c r="AG371" s="17"/>
      <c r="AH371" s="17"/>
      <c r="AI371" s="9" t="s">
        <v>83</v>
      </c>
      <c r="AJ371" s="5" t="s">
        <v>84</v>
      </c>
      <c r="AK371" s="5">
        <v>1</v>
      </c>
      <c r="AL371" s="9" t="s">
        <v>3054</v>
      </c>
      <c r="AM371" s="9"/>
      <c r="AN371" s="5">
        <v>2028</v>
      </c>
      <c r="AO371" s="17">
        <v>3059</v>
      </c>
      <c r="AP371" s="5">
        <v>2031</v>
      </c>
      <c r="AQ371" s="17">
        <v>3736</v>
      </c>
      <c r="AR371" s="5" t="s">
        <v>86</v>
      </c>
      <c r="AS371" s="17">
        <v>6.9</v>
      </c>
      <c r="AT371" s="5">
        <v>2028</v>
      </c>
      <c r="AU371" s="17">
        <v>652</v>
      </c>
      <c r="AV371" s="5">
        <v>2031</v>
      </c>
      <c r="AW371" s="17">
        <v>787</v>
      </c>
      <c r="AX371" s="5" t="s">
        <v>86</v>
      </c>
      <c r="AY371" s="17">
        <v>6.5</v>
      </c>
      <c r="AZ371" s="5">
        <v>2028</v>
      </c>
      <c r="BA371" s="17"/>
      <c r="BB371" s="5">
        <v>2031</v>
      </c>
      <c r="BC371" s="17"/>
      <c r="BD371" s="5" t="s">
        <v>86</v>
      </c>
      <c r="BE371" s="17">
        <v>6.5</v>
      </c>
      <c r="BF371" s="5">
        <v>2028</v>
      </c>
      <c r="BG371" s="17">
        <v>548</v>
      </c>
      <c r="BH371" s="5">
        <v>2031</v>
      </c>
      <c r="BI371" s="17">
        <v>542</v>
      </c>
      <c r="BJ371" s="5" t="s">
        <v>87</v>
      </c>
      <c r="BK371" s="9"/>
      <c r="BL371" s="9" t="str">
        <f>HYPERLINK("https://seichotoushi-hojo.jp/assets/pdf/koufu_3_4ji/outline_211.pdf","PDFを開く")</f>
        <v>PDFを開く</v>
      </c>
      <c r="BM371" s="9" t="s">
        <v>3055</v>
      </c>
      <c r="BN371" s="9" t="s">
        <v>3056</v>
      </c>
      <c r="BO371" s="9" t="s">
        <v>90</v>
      </c>
      <c r="BP371" s="9" t="s">
        <v>90</v>
      </c>
      <c r="BQ371" s="9" t="s">
        <v>91</v>
      </c>
      <c r="BR371" s="9" t="s">
        <v>92</v>
      </c>
    </row>
    <row r="372" spans="1:70" ht="45.95" customHeight="1">
      <c r="A372" s="2" t="s">
        <v>3057</v>
      </c>
      <c r="B372" s="2" t="s">
        <v>2430</v>
      </c>
      <c r="C372" s="2" t="s">
        <v>3058</v>
      </c>
      <c r="D372" s="2" t="s">
        <v>3058</v>
      </c>
      <c r="E372" s="2" t="s">
        <v>95</v>
      </c>
      <c r="F372" s="2"/>
      <c r="G372" s="2">
        <v>2</v>
      </c>
      <c r="H372" s="2">
        <v>0</v>
      </c>
      <c r="I372" s="2">
        <v>1</v>
      </c>
      <c r="J372" s="2">
        <v>1</v>
      </c>
      <c r="K372" s="2">
        <v>0</v>
      </c>
      <c r="L372" s="16">
        <v>2804</v>
      </c>
      <c r="M372" s="16">
        <v>697</v>
      </c>
      <c r="N372" s="8" t="s">
        <v>3059</v>
      </c>
      <c r="O372" s="12">
        <f t="shared" si="5"/>
        <v>24.857346647646221</v>
      </c>
      <c r="P372" s="2">
        <v>2</v>
      </c>
      <c r="Q372" s="2" t="s">
        <v>77</v>
      </c>
      <c r="R372" s="8" t="s">
        <v>3060</v>
      </c>
      <c r="S372" s="8" t="s">
        <v>3061</v>
      </c>
      <c r="T372" s="8" t="s">
        <v>80</v>
      </c>
      <c r="U372" s="2" t="s">
        <v>81</v>
      </c>
      <c r="V372" s="2"/>
      <c r="W372" s="16"/>
      <c r="X372" s="2">
        <v>2031</v>
      </c>
      <c r="Y372" s="16"/>
      <c r="Z372" s="16">
        <v>52.26</v>
      </c>
      <c r="AA372" s="2">
        <v>2031</v>
      </c>
      <c r="AB372" s="16">
        <v>7.8</v>
      </c>
      <c r="AC372" s="2">
        <v>2031</v>
      </c>
      <c r="AD372" s="2" t="s">
        <v>82</v>
      </c>
      <c r="AE372" s="16"/>
      <c r="AF372" s="16"/>
      <c r="AG372" s="16"/>
      <c r="AH372" s="16"/>
      <c r="AI372" s="8" t="s">
        <v>83</v>
      </c>
      <c r="AJ372" s="2" t="s">
        <v>84</v>
      </c>
      <c r="AK372" s="2">
        <v>1</v>
      </c>
      <c r="AL372" s="8" t="s">
        <v>3062</v>
      </c>
      <c r="AM372" s="8"/>
      <c r="AN372" s="2">
        <v>2028</v>
      </c>
      <c r="AO372" s="16">
        <v>6499</v>
      </c>
      <c r="AP372" s="2">
        <v>2031</v>
      </c>
      <c r="AQ372" s="16">
        <v>15439</v>
      </c>
      <c r="AR372" s="2" t="s">
        <v>447</v>
      </c>
      <c r="AS372" s="16">
        <v>33.4</v>
      </c>
      <c r="AT372" s="2">
        <v>2028</v>
      </c>
      <c r="AU372" s="16">
        <v>3743</v>
      </c>
      <c r="AV372" s="2">
        <v>2031</v>
      </c>
      <c r="AW372" s="16">
        <v>4483</v>
      </c>
      <c r="AX372" s="2" t="s">
        <v>447</v>
      </c>
      <c r="AY372" s="16">
        <v>6.2</v>
      </c>
      <c r="AZ372" s="2">
        <v>2028</v>
      </c>
      <c r="BA372" s="16"/>
      <c r="BB372" s="2">
        <v>2031</v>
      </c>
      <c r="BC372" s="16"/>
      <c r="BD372" s="2" t="s">
        <v>447</v>
      </c>
      <c r="BE372" s="16">
        <v>5.3</v>
      </c>
      <c r="BF372" s="2">
        <v>2028</v>
      </c>
      <c r="BG372" s="16">
        <v>180</v>
      </c>
      <c r="BH372" s="2">
        <v>2031</v>
      </c>
      <c r="BI372" s="16">
        <v>232</v>
      </c>
      <c r="BJ372" s="2" t="s">
        <v>87</v>
      </c>
      <c r="BK372" s="8"/>
      <c r="BL372" s="8" t="str">
        <f>HYPERLINK("https://seichotoushi-hojo.jp/assets/pdf/koufu_3_4ji/outline_213.pdf","PDFを開く")</f>
        <v>PDFを開く</v>
      </c>
      <c r="BM372" s="8" t="s">
        <v>3063</v>
      </c>
      <c r="BN372" s="8" t="s">
        <v>3064</v>
      </c>
      <c r="BO372" s="8" t="s">
        <v>90</v>
      </c>
      <c r="BP372" s="8" t="s">
        <v>90</v>
      </c>
      <c r="BQ372" s="8" t="s">
        <v>91</v>
      </c>
      <c r="BR372" s="8" t="s">
        <v>92</v>
      </c>
    </row>
    <row r="373" spans="1:70" ht="45.95" customHeight="1">
      <c r="A373" s="5" t="s">
        <v>3065</v>
      </c>
      <c r="B373" s="5" t="s">
        <v>2430</v>
      </c>
      <c r="C373" s="5" t="s">
        <v>3066</v>
      </c>
      <c r="D373" s="5" t="s">
        <v>3066</v>
      </c>
      <c r="E373" s="5" t="s">
        <v>75</v>
      </c>
      <c r="F373" s="5"/>
      <c r="G373" s="5">
        <v>2</v>
      </c>
      <c r="H373" s="5">
        <v>0</v>
      </c>
      <c r="I373" s="5">
        <v>1</v>
      </c>
      <c r="J373" s="5">
        <v>1</v>
      </c>
      <c r="K373" s="5">
        <v>0</v>
      </c>
      <c r="L373" s="17">
        <v>4191</v>
      </c>
      <c r="M373" s="17">
        <v>1397</v>
      </c>
      <c r="N373" s="9" t="s">
        <v>3067</v>
      </c>
      <c r="O373" s="13">
        <f t="shared" si="5"/>
        <v>33.333333333333329</v>
      </c>
      <c r="P373" s="5">
        <v>2</v>
      </c>
      <c r="Q373" s="5" t="s">
        <v>77</v>
      </c>
      <c r="R373" s="9" t="s">
        <v>3067</v>
      </c>
      <c r="S373" s="9" t="s">
        <v>3068</v>
      </c>
      <c r="T373" s="9" t="s">
        <v>80</v>
      </c>
      <c r="U373" s="5" t="s">
        <v>81</v>
      </c>
      <c r="V373" s="5">
        <v>2024</v>
      </c>
      <c r="W373" s="17"/>
      <c r="X373" s="5">
        <v>2030</v>
      </c>
      <c r="Y373" s="17"/>
      <c r="Z373" s="17">
        <v>118.07</v>
      </c>
      <c r="AA373" s="5">
        <v>2030</v>
      </c>
      <c r="AB373" s="17">
        <v>8</v>
      </c>
      <c r="AC373" s="5">
        <v>2030</v>
      </c>
      <c r="AD373" s="5" t="s">
        <v>210</v>
      </c>
      <c r="AE373" s="17"/>
      <c r="AF373" s="17"/>
      <c r="AG373" s="17"/>
      <c r="AH373" s="17"/>
      <c r="AI373" s="9" t="s">
        <v>83</v>
      </c>
      <c r="AJ373" s="5" t="s">
        <v>84</v>
      </c>
      <c r="AK373" s="5">
        <v>1</v>
      </c>
      <c r="AL373" s="9" t="s">
        <v>3069</v>
      </c>
      <c r="AM373" s="9"/>
      <c r="AN373" s="5"/>
      <c r="AO373" s="17">
        <v>9759</v>
      </c>
      <c r="AP373" s="5"/>
      <c r="AQ373" s="17">
        <v>18400</v>
      </c>
      <c r="AR373" s="5" t="s">
        <v>447</v>
      </c>
      <c r="AS373" s="17">
        <v>23.5</v>
      </c>
      <c r="AT373" s="5"/>
      <c r="AU373" s="17">
        <v>5054</v>
      </c>
      <c r="AV373" s="5"/>
      <c r="AW373" s="17">
        <v>6054</v>
      </c>
      <c r="AX373" s="5" t="s">
        <v>447</v>
      </c>
      <c r="AY373" s="17">
        <v>6.2</v>
      </c>
      <c r="AZ373" s="5"/>
      <c r="BA373" s="17">
        <v>31024</v>
      </c>
      <c r="BB373" s="5"/>
      <c r="BC373" s="17">
        <v>37160</v>
      </c>
      <c r="BD373" s="5" t="s">
        <v>447</v>
      </c>
      <c r="BE373" s="17">
        <v>6.2</v>
      </c>
      <c r="BF373" s="5"/>
      <c r="BG373" s="17">
        <v>287</v>
      </c>
      <c r="BH373" s="5"/>
      <c r="BI373" s="17">
        <v>297</v>
      </c>
      <c r="BJ373" s="5" t="s">
        <v>87</v>
      </c>
      <c r="BK373" s="9"/>
      <c r="BL373" s="9" t="str">
        <f>HYPERLINK("https://seichotoushi-hojo.jp/assets/pdf/koufu_3_4ji/outline_217.pdf","PDFを開く")</f>
        <v>PDFを開く</v>
      </c>
      <c r="BM373" s="9" t="s">
        <v>3070</v>
      </c>
      <c r="BN373" s="9" t="s">
        <v>3071</v>
      </c>
      <c r="BO373" s="9" t="s">
        <v>90</v>
      </c>
      <c r="BP373" s="9" t="s">
        <v>90</v>
      </c>
      <c r="BQ373" s="9" t="s">
        <v>90</v>
      </c>
      <c r="BR373" s="9" t="s">
        <v>92</v>
      </c>
    </row>
    <row r="374" spans="1:70" ht="45.95" customHeight="1">
      <c r="A374" s="2" t="s">
        <v>3072</v>
      </c>
      <c r="B374" s="2" t="s">
        <v>2430</v>
      </c>
      <c r="C374" s="2" t="s">
        <v>3073</v>
      </c>
      <c r="D374" s="2" t="s">
        <v>3073</v>
      </c>
      <c r="E374" s="2" t="s">
        <v>186</v>
      </c>
      <c r="F374" s="2"/>
      <c r="G374" s="2">
        <v>4</v>
      </c>
      <c r="H374" s="2">
        <v>0</v>
      </c>
      <c r="I374" s="2">
        <v>2</v>
      </c>
      <c r="J374" s="2">
        <v>2</v>
      </c>
      <c r="K374" s="2">
        <v>0</v>
      </c>
      <c r="L374" s="16">
        <v>2310</v>
      </c>
      <c r="M374" s="16">
        <v>563</v>
      </c>
      <c r="N374" s="8" t="s">
        <v>3074</v>
      </c>
      <c r="O374" s="12">
        <f t="shared" si="5"/>
        <v>24.372294372294373</v>
      </c>
      <c r="P374" s="2">
        <v>3</v>
      </c>
      <c r="Q374" s="2" t="s">
        <v>77</v>
      </c>
      <c r="R374" s="8" t="s">
        <v>3074</v>
      </c>
      <c r="S374" s="8" t="s">
        <v>3075</v>
      </c>
      <c r="T374" s="8" t="s">
        <v>80</v>
      </c>
      <c r="U374" s="2" t="s">
        <v>81</v>
      </c>
      <c r="V374" s="2"/>
      <c r="W374" s="16"/>
      <c r="X374" s="2"/>
      <c r="Y374" s="16"/>
      <c r="Z374" s="16">
        <v>23.25</v>
      </c>
      <c r="AA374" s="2"/>
      <c r="AB374" s="16">
        <v>140</v>
      </c>
      <c r="AC374" s="2"/>
      <c r="AD374" s="2" t="s">
        <v>210</v>
      </c>
      <c r="AE374" s="16"/>
      <c r="AF374" s="16"/>
      <c r="AG374" s="16"/>
      <c r="AH374" s="16"/>
      <c r="AI374" s="8" t="s">
        <v>83</v>
      </c>
      <c r="AJ374" s="2" t="s">
        <v>84</v>
      </c>
      <c r="AK374" s="2">
        <v>1</v>
      </c>
      <c r="AL374" s="8" t="s">
        <v>3076</v>
      </c>
      <c r="AM374" s="8"/>
      <c r="AN374" s="2"/>
      <c r="AO374" s="16">
        <v>12537</v>
      </c>
      <c r="AP374" s="2"/>
      <c r="AQ374" s="16">
        <v>17774</v>
      </c>
      <c r="AR374" s="2" t="s">
        <v>447</v>
      </c>
      <c r="AS374" s="16">
        <v>12.3</v>
      </c>
      <c r="AT374" s="2"/>
      <c r="AU374" s="16">
        <v>4000</v>
      </c>
      <c r="AV374" s="2"/>
      <c r="AW374" s="16">
        <v>4914</v>
      </c>
      <c r="AX374" s="2" t="s">
        <v>447</v>
      </c>
      <c r="AY374" s="16">
        <v>7.1</v>
      </c>
      <c r="AZ374" s="2"/>
      <c r="BA374" s="16">
        <v>6000</v>
      </c>
      <c r="BB374" s="2"/>
      <c r="BC374" s="16">
        <v>7187</v>
      </c>
      <c r="BD374" s="2" t="s">
        <v>447</v>
      </c>
      <c r="BE374" s="16">
        <v>6.2</v>
      </c>
      <c r="BF374" s="2"/>
      <c r="BG374" s="16">
        <v>20</v>
      </c>
      <c r="BH374" s="2"/>
      <c r="BI374" s="16">
        <v>46</v>
      </c>
      <c r="BJ374" s="2" t="s">
        <v>87</v>
      </c>
      <c r="BK374" s="8"/>
      <c r="BL374" s="8" t="str">
        <f>HYPERLINK("https://seichotoushi-hojo.jp/assets/pdf/koufu_3_4ji/outline_218.pdf","PDFを開く")</f>
        <v>PDFを開く</v>
      </c>
      <c r="BM374" s="8" t="s">
        <v>3077</v>
      </c>
      <c r="BN374" s="8" t="s">
        <v>3078</v>
      </c>
      <c r="BO374" s="8" t="s">
        <v>90</v>
      </c>
      <c r="BP374" s="8" t="s">
        <v>90</v>
      </c>
      <c r="BQ374" s="8" t="s">
        <v>90</v>
      </c>
      <c r="BR374" s="8" t="s">
        <v>92</v>
      </c>
    </row>
    <row r="375" spans="1:70" ht="45.95" customHeight="1">
      <c r="A375" s="5" t="s">
        <v>3079</v>
      </c>
      <c r="B375" s="5" t="s">
        <v>2430</v>
      </c>
      <c r="C375" s="5" t="s">
        <v>3080</v>
      </c>
      <c r="D375" s="5" t="s">
        <v>3080</v>
      </c>
      <c r="E375" s="5" t="s">
        <v>95</v>
      </c>
      <c r="F375" s="5"/>
      <c r="G375" s="5">
        <v>2</v>
      </c>
      <c r="H375" s="5">
        <v>0</v>
      </c>
      <c r="I375" s="5">
        <v>1</v>
      </c>
      <c r="J375" s="5">
        <v>1</v>
      </c>
      <c r="K375" s="5">
        <v>0</v>
      </c>
      <c r="L375" s="17">
        <v>15078</v>
      </c>
      <c r="M375" s="17">
        <v>3737</v>
      </c>
      <c r="N375" s="9" t="s">
        <v>3081</v>
      </c>
      <c r="O375" s="13">
        <f t="shared" si="5"/>
        <v>24.784454171640803</v>
      </c>
      <c r="P375" s="5">
        <v>2</v>
      </c>
      <c r="Q375" s="5" t="s">
        <v>77</v>
      </c>
      <c r="R375" s="9" t="s">
        <v>3082</v>
      </c>
      <c r="S375" s="9" t="s">
        <v>3083</v>
      </c>
      <c r="T375" s="9" t="s">
        <v>80</v>
      </c>
      <c r="U375" s="5" t="s">
        <v>81</v>
      </c>
      <c r="V375" s="5"/>
      <c r="W375" s="17"/>
      <c r="X375" s="5">
        <v>2031</v>
      </c>
      <c r="Y375" s="17"/>
      <c r="Z375" s="17">
        <v>400.88</v>
      </c>
      <c r="AA375" s="5">
        <v>2031</v>
      </c>
      <c r="AB375" s="17">
        <v>11.9</v>
      </c>
      <c r="AC375" s="5">
        <v>2031</v>
      </c>
      <c r="AD375" s="5" t="s">
        <v>82</v>
      </c>
      <c r="AE375" s="17"/>
      <c r="AF375" s="17"/>
      <c r="AG375" s="17"/>
      <c r="AH375" s="17"/>
      <c r="AI375" s="9" t="s">
        <v>83</v>
      </c>
      <c r="AJ375" s="5" t="s">
        <v>84</v>
      </c>
      <c r="AK375" s="5">
        <v>1</v>
      </c>
      <c r="AL375" s="9" t="s">
        <v>3084</v>
      </c>
      <c r="AM375" s="9"/>
      <c r="AN375" s="5"/>
      <c r="AO375" s="17">
        <v>7720</v>
      </c>
      <c r="AP375" s="5"/>
      <c r="AQ375" s="17">
        <v>12314</v>
      </c>
      <c r="AR375" s="5" t="s">
        <v>447</v>
      </c>
      <c r="AS375" s="17">
        <v>16.8</v>
      </c>
      <c r="AT375" s="5"/>
      <c r="AU375" s="17">
        <v>5640</v>
      </c>
      <c r="AV375" s="5"/>
      <c r="AW375" s="17">
        <v>6813</v>
      </c>
      <c r="AX375" s="5" t="s">
        <v>447</v>
      </c>
      <c r="AY375" s="17">
        <v>6.5</v>
      </c>
      <c r="AZ375" s="5"/>
      <c r="BA375" s="17">
        <v>0</v>
      </c>
      <c r="BB375" s="5"/>
      <c r="BC375" s="17">
        <v>0</v>
      </c>
      <c r="BD375" s="5" t="s">
        <v>447</v>
      </c>
      <c r="BE375" s="17">
        <v>0</v>
      </c>
      <c r="BF375" s="5"/>
      <c r="BG375" s="17">
        <v>60</v>
      </c>
      <c r="BH375" s="5"/>
      <c r="BI375" s="17">
        <v>178</v>
      </c>
      <c r="BJ375" s="5" t="s">
        <v>87</v>
      </c>
      <c r="BK375" s="9"/>
      <c r="BL375" s="9" t="str">
        <f>HYPERLINK("https://seichotoushi-hojo.jp/assets/pdf/koufu_3_4ji/outline_219.pdf","PDFを開く")</f>
        <v>PDFを開く</v>
      </c>
      <c r="BM375" s="9" t="s">
        <v>3085</v>
      </c>
      <c r="BN375" s="9" t="s">
        <v>3086</v>
      </c>
      <c r="BO375" s="9" t="s">
        <v>90</v>
      </c>
      <c r="BP375" s="9" t="s">
        <v>90</v>
      </c>
      <c r="BQ375" s="9" t="s">
        <v>92</v>
      </c>
      <c r="BR375" s="9" t="s">
        <v>92</v>
      </c>
    </row>
    <row r="376" spans="1:70" ht="45.95" customHeight="1">
      <c r="A376" s="2" t="s">
        <v>3087</v>
      </c>
      <c r="B376" s="2" t="s">
        <v>2430</v>
      </c>
      <c r="C376" s="2" t="s">
        <v>3088</v>
      </c>
      <c r="D376" s="2" t="s">
        <v>3088</v>
      </c>
      <c r="E376" s="2" t="s">
        <v>75</v>
      </c>
      <c r="F376" s="2"/>
      <c r="G376" s="2">
        <v>2</v>
      </c>
      <c r="H376" s="2">
        <v>0</v>
      </c>
      <c r="I376" s="2">
        <v>1</v>
      </c>
      <c r="J376" s="2">
        <v>1</v>
      </c>
      <c r="K376" s="2">
        <v>0</v>
      </c>
      <c r="L376" s="16">
        <v>4199</v>
      </c>
      <c r="M376" s="16">
        <v>1327</v>
      </c>
      <c r="N376" s="8" t="s">
        <v>3089</v>
      </c>
      <c r="O376" s="12">
        <f t="shared" si="5"/>
        <v>31.602762562514886</v>
      </c>
      <c r="P376" s="2">
        <v>2</v>
      </c>
      <c r="Q376" s="2" t="s">
        <v>77</v>
      </c>
      <c r="R376" s="8" t="s">
        <v>3089</v>
      </c>
      <c r="S376" s="8" t="s">
        <v>3090</v>
      </c>
      <c r="T376" s="8" t="s">
        <v>80</v>
      </c>
      <c r="U376" s="2" t="s">
        <v>81</v>
      </c>
      <c r="V376" s="2"/>
      <c r="W376" s="16"/>
      <c r="X376" s="2">
        <v>2030</v>
      </c>
      <c r="Y376" s="16"/>
      <c r="Z376" s="16">
        <v>621</v>
      </c>
      <c r="AA376" s="2">
        <v>2030</v>
      </c>
      <c r="AB376" s="16">
        <v>5.9</v>
      </c>
      <c r="AC376" s="2">
        <v>2030</v>
      </c>
      <c r="AD376" s="2" t="s">
        <v>82</v>
      </c>
      <c r="AE376" s="16"/>
      <c r="AF376" s="16"/>
      <c r="AG376" s="16"/>
      <c r="AH376" s="16"/>
      <c r="AI376" s="8" t="s">
        <v>83</v>
      </c>
      <c r="AJ376" s="2" t="s">
        <v>84</v>
      </c>
      <c r="AK376" s="2">
        <v>1</v>
      </c>
      <c r="AL376" s="8" t="s">
        <v>3091</v>
      </c>
      <c r="AM376" s="8"/>
      <c r="AN376" s="2"/>
      <c r="AO376" s="16">
        <v>6833</v>
      </c>
      <c r="AP376" s="2"/>
      <c r="AQ376" s="16">
        <v>9005</v>
      </c>
      <c r="AR376" s="2" t="s">
        <v>447</v>
      </c>
      <c r="AS376" s="16">
        <v>9.6</v>
      </c>
      <c r="AT376" s="2"/>
      <c r="AU376" s="16">
        <v>4009</v>
      </c>
      <c r="AV376" s="2"/>
      <c r="AW376" s="16">
        <v>4842</v>
      </c>
      <c r="AX376" s="2" t="s">
        <v>447</v>
      </c>
      <c r="AY376" s="16">
        <v>6.5</v>
      </c>
      <c r="AZ376" s="2"/>
      <c r="BA376" s="16"/>
      <c r="BB376" s="2"/>
      <c r="BC376" s="16"/>
      <c r="BD376" s="2" t="s">
        <v>447</v>
      </c>
      <c r="BE376" s="16">
        <v>6.5</v>
      </c>
      <c r="BF376" s="2"/>
      <c r="BG376" s="16">
        <v>1269</v>
      </c>
      <c r="BH376" s="2"/>
      <c r="BI376" s="16">
        <v>1269</v>
      </c>
      <c r="BJ376" s="2" t="s">
        <v>87</v>
      </c>
      <c r="BK376" s="8"/>
      <c r="BL376" s="8" t="str">
        <f>HYPERLINK("https://seichotoushi-hojo.jp/assets/pdf/koufu_3_4ji/outline_220.pdf","PDFを開く")</f>
        <v>PDFを開く</v>
      </c>
      <c r="BM376" s="8" t="s">
        <v>3092</v>
      </c>
      <c r="BN376" s="8" t="s">
        <v>3093</v>
      </c>
      <c r="BO376" s="8" t="s">
        <v>90</v>
      </c>
      <c r="BP376" s="8" t="s">
        <v>90</v>
      </c>
      <c r="BQ376" s="8" t="s">
        <v>91</v>
      </c>
      <c r="BR376" s="8" t="s">
        <v>92</v>
      </c>
    </row>
    <row r="377" spans="1:70" ht="45.95" customHeight="1">
      <c r="A377" s="5" t="s">
        <v>3094</v>
      </c>
      <c r="B377" s="5" t="s">
        <v>2430</v>
      </c>
      <c r="C377" s="5" t="s">
        <v>3095</v>
      </c>
      <c r="D377" s="5" t="s">
        <v>3095</v>
      </c>
      <c r="E377" s="5" t="s">
        <v>186</v>
      </c>
      <c r="F377" s="5"/>
      <c r="G377" s="5">
        <v>2</v>
      </c>
      <c r="H377" s="5">
        <v>0</v>
      </c>
      <c r="I377" s="5">
        <v>1</v>
      </c>
      <c r="J377" s="5">
        <v>1</v>
      </c>
      <c r="K377" s="5">
        <v>0</v>
      </c>
      <c r="L377" s="17">
        <v>13439</v>
      </c>
      <c r="M377" s="17">
        <v>3263</v>
      </c>
      <c r="N377" s="9" t="s">
        <v>3096</v>
      </c>
      <c r="O377" s="13">
        <f t="shared" si="5"/>
        <v>24.280080363122256</v>
      </c>
      <c r="P377" s="5">
        <v>2</v>
      </c>
      <c r="Q377" s="5" t="s">
        <v>77</v>
      </c>
      <c r="R377" s="9" t="s">
        <v>3097</v>
      </c>
      <c r="S377" s="9" t="s">
        <v>3098</v>
      </c>
      <c r="T377" s="9" t="s">
        <v>80</v>
      </c>
      <c r="U377" s="5" t="s">
        <v>81</v>
      </c>
      <c r="V377" s="5"/>
      <c r="W377" s="17"/>
      <c r="X377" s="5"/>
      <c r="Y377" s="17"/>
      <c r="Z377" s="17">
        <v>146.69999999999999</v>
      </c>
      <c r="AA377" s="5"/>
      <c r="AB377" s="17">
        <v>5.3</v>
      </c>
      <c r="AC377" s="5"/>
      <c r="AD377" s="5" t="s">
        <v>210</v>
      </c>
      <c r="AE377" s="17"/>
      <c r="AF377" s="17"/>
      <c r="AG377" s="17"/>
      <c r="AH377" s="17"/>
      <c r="AI377" s="9" t="s">
        <v>83</v>
      </c>
      <c r="AJ377" s="5" t="s">
        <v>84</v>
      </c>
      <c r="AK377" s="5">
        <v>1</v>
      </c>
      <c r="AL377" s="9" t="s">
        <v>3099</v>
      </c>
      <c r="AM377" s="9"/>
      <c r="AN377" s="5"/>
      <c r="AO377" s="17">
        <v>3213</v>
      </c>
      <c r="AP377" s="5"/>
      <c r="AQ377" s="17">
        <v>9837</v>
      </c>
      <c r="AR377" s="5" t="s">
        <v>447</v>
      </c>
      <c r="AS377" s="17">
        <v>45.2</v>
      </c>
      <c r="AT377" s="5"/>
      <c r="AU377" s="17">
        <v>3120</v>
      </c>
      <c r="AV377" s="5"/>
      <c r="AW377" s="17">
        <v>3716</v>
      </c>
      <c r="AX377" s="5" t="s">
        <v>447</v>
      </c>
      <c r="AY377" s="17">
        <v>6</v>
      </c>
      <c r="AZ377" s="5"/>
      <c r="BA377" s="17">
        <v>12580</v>
      </c>
      <c r="BB377" s="5"/>
      <c r="BC377" s="17">
        <v>14360</v>
      </c>
      <c r="BD377" s="5" t="s">
        <v>447</v>
      </c>
      <c r="BE377" s="17">
        <v>4.5</v>
      </c>
      <c r="BF377" s="5"/>
      <c r="BG377" s="17">
        <v>106</v>
      </c>
      <c r="BH377" s="5"/>
      <c r="BI377" s="17">
        <v>116</v>
      </c>
      <c r="BJ377" s="5" t="s">
        <v>87</v>
      </c>
      <c r="BK377" s="9"/>
      <c r="BL377" s="9" t="str">
        <f>HYPERLINK("https://seichotoushi-hojo.jp/assets/pdf/koufu_3_4ji/outline_221.pdf","PDFを開く")</f>
        <v>PDFを開く</v>
      </c>
      <c r="BM377" s="9" t="s">
        <v>3100</v>
      </c>
      <c r="BN377" s="9" t="s">
        <v>3101</v>
      </c>
      <c r="BO377" s="9" t="s">
        <v>90</v>
      </c>
      <c r="BP377" s="9" t="s">
        <v>90</v>
      </c>
      <c r="BQ377" s="9" t="s">
        <v>90</v>
      </c>
      <c r="BR377" s="9" t="s">
        <v>92</v>
      </c>
    </row>
    <row r="378" spans="1:70" ht="45.95" customHeight="1">
      <c r="A378" s="2" t="s">
        <v>3102</v>
      </c>
      <c r="B378" s="2" t="s">
        <v>2430</v>
      </c>
      <c r="C378" s="2" t="s">
        <v>3103</v>
      </c>
      <c r="D378" s="2" t="s">
        <v>3103</v>
      </c>
      <c r="E378" s="2" t="s">
        <v>95</v>
      </c>
      <c r="F378" s="2"/>
      <c r="G378" s="2">
        <v>2</v>
      </c>
      <c r="H378" s="2">
        <v>0</v>
      </c>
      <c r="I378" s="2">
        <v>1</v>
      </c>
      <c r="J378" s="2">
        <v>1</v>
      </c>
      <c r="K378" s="2">
        <v>0</v>
      </c>
      <c r="L378" s="16">
        <v>3435</v>
      </c>
      <c r="M378" s="16">
        <v>1117</v>
      </c>
      <c r="N378" s="8" t="s">
        <v>3104</v>
      </c>
      <c r="O378" s="12">
        <f t="shared" si="5"/>
        <v>32.51819505094614</v>
      </c>
      <c r="P378" s="2">
        <v>2</v>
      </c>
      <c r="Q378" s="2" t="s">
        <v>77</v>
      </c>
      <c r="R378" s="8" t="s">
        <v>3104</v>
      </c>
      <c r="S378" s="8" t="s">
        <v>3105</v>
      </c>
      <c r="T378" s="8" t="s">
        <v>80</v>
      </c>
      <c r="U378" s="2" t="s">
        <v>81</v>
      </c>
      <c r="V378" s="2">
        <v>2027</v>
      </c>
      <c r="W378" s="16"/>
      <c r="X378" s="2">
        <v>2031</v>
      </c>
      <c r="Y378" s="16"/>
      <c r="Z378" s="16">
        <v>52</v>
      </c>
      <c r="AA378" s="2">
        <v>2031</v>
      </c>
      <c r="AB378" s="16">
        <v>19.5</v>
      </c>
      <c r="AC378" s="2">
        <v>2031</v>
      </c>
      <c r="AD378" s="2" t="s">
        <v>210</v>
      </c>
      <c r="AE378" s="16"/>
      <c r="AF378" s="16"/>
      <c r="AG378" s="16"/>
      <c r="AH378" s="16"/>
      <c r="AI378" s="8" t="s">
        <v>83</v>
      </c>
      <c r="AJ378" s="2" t="s">
        <v>84</v>
      </c>
      <c r="AK378" s="2">
        <v>1</v>
      </c>
      <c r="AL378" s="8" t="s">
        <v>3106</v>
      </c>
      <c r="AM378" s="8"/>
      <c r="AN378" s="2"/>
      <c r="AO378" s="16">
        <v>21000</v>
      </c>
      <c r="AP378" s="2"/>
      <c r="AQ378" s="16">
        <v>46797</v>
      </c>
      <c r="AR378" s="2" t="s">
        <v>447</v>
      </c>
      <c r="AS378" s="16">
        <v>30.6</v>
      </c>
      <c r="AT378" s="2"/>
      <c r="AU378" s="16">
        <v>4000</v>
      </c>
      <c r="AV378" s="2"/>
      <c r="AW378" s="16">
        <v>5185</v>
      </c>
      <c r="AX378" s="2" t="s">
        <v>447</v>
      </c>
      <c r="AY378" s="16">
        <v>9</v>
      </c>
      <c r="AZ378" s="2"/>
      <c r="BA378" s="16"/>
      <c r="BB378" s="2"/>
      <c r="BC378" s="16"/>
      <c r="BD378" s="2"/>
      <c r="BE378" s="16"/>
      <c r="BF378" s="2"/>
      <c r="BG378" s="16">
        <v>2</v>
      </c>
      <c r="BH378" s="2"/>
      <c r="BI378" s="16">
        <v>58</v>
      </c>
      <c r="BJ378" s="2" t="s">
        <v>87</v>
      </c>
      <c r="BK378" s="8"/>
      <c r="BL378" s="8" t="str">
        <f>HYPERLINK("https://seichotoushi-hojo.jp/assets/pdf/koufu_3_4ji/outline_222.pdf","PDFを開く")</f>
        <v>PDFを開く</v>
      </c>
      <c r="BM378" s="8" t="s">
        <v>3107</v>
      </c>
      <c r="BN378" s="8" t="s">
        <v>3108</v>
      </c>
      <c r="BO378" s="8" t="s">
        <v>90</v>
      </c>
      <c r="BP378" s="8" t="s">
        <v>90</v>
      </c>
      <c r="BQ378" s="8" t="s">
        <v>157</v>
      </c>
      <c r="BR378" s="8" t="s">
        <v>92</v>
      </c>
    </row>
    <row r="379" spans="1:70" ht="45.95" customHeight="1">
      <c r="A379" s="5" t="s">
        <v>3109</v>
      </c>
      <c r="B379" s="5" t="s">
        <v>2430</v>
      </c>
      <c r="C379" s="5" t="s">
        <v>3110</v>
      </c>
      <c r="D379" s="5" t="s">
        <v>3110</v>
      </c>
      <c r="E379" s="5" t="s">
        <v>75</v>
      </c>
      <c r="F379" s="5"/>
      <c r="G379" s="5">
        <v>2</v>
      </c>
      <c r="H379" s="5">
        <v>0</v>
      </c>
      <c r="I379" s="5">
        <v>1</v>
      </c>
      <c r="J379" s="5">
        <v>1</v>
      </c>
      <c r="K379" s="5">
        <v>0</v>
      </c>
      <c r="L379" s="17">
        <v>2686</v>
      </c>
      <c r="M379" s="17">
        <v>766</v>
      </c>
      <c r="N379" s="9" t="s">
        <v>3111</v>
      </c>
      <c r="O379" s="13">
        <f t="shared" si="5"/>
        <v>28.518242740134031</v>
      </c>
      <c r="P379" s="5">
        <v>2</v>
      </c>
      <c r="Q379" s="5" t="s">
        <v>77</v>
      </c>
      <c r="R379" s="9" t="s">
        <v>3111</v>
      </c>
      <c r="S379" s="9" t="s">
        <v>3112</v>
      </c>
      <c r="T379" s="9" t="s">
        <v>80</v>
      </c>
      <c r="U379" s="5" t="s">
        <v>81</v>
      </c>
      <c r="V379" s="5"/>
      <c r="W379" s="17"/>
      <c r="X379" s="5">
        <v>2030</v>
      </c>
      <c r="Y379" s="17">
        <v>65.260000000000005</v>
      </c>
      <c r="Z379" s="17">
        <v>40.99</v>
      </c>
      <c r="AA379" s="5">
        <v>2030</v>
      </c>
      <c r="AB379" s="17">
        <v>17.899999999999999</v>
      </c>
      <c r="AC379" s="5">
        <v>2030</v>
      </c>
      <c r="AD379" s="5" t="s">
        <v>82</v>
      </c>
      <c r="AE379" s="17"/>
      <c r="AF379" s="17"/>
      <c r="AG379" s="17"/>
      <c r="AH379" s="17"/>
      <c r="AI379" s="9" t="s">
        <v>83</v>
      </c>
      <c r="AJ379" s="5" t="s">
        <v>84</v>
      </c>
      <c r="AK379" s="5">
        <v>1</v>
      </c>
      <c r="AL379" s="9" t="s">
        <v>3113</v>
      </c>
      <c r="AM379" s="9" t="s">
        <v>3114</v>
      </c>
      <c r="AN379" s="5"/>
      <c r="AO379" s="17">
        <v>6537</v>
      </c>
      <c r="AP379" s="5"/>
      <c r="AQ379" s="17">
        <v>14093</v>
      </c>
      <c r="AR379" s="5" t="s">
        <v>447</v>
      </c>
      <c r="AS379" s="17">
        <v>29.2</v>
      </c>
      <c r="AT379" s="5"/>
      <c r="AU379" s="17">
        <v>3986</v>
      </c>
      <c r="AV379" s="5"/>
      <c r="AW379" s="17">
        <v>5022</v>
      </c>
      <c r="AX379" s="5" t="s">
        <v>447</v>
      </c>
      <c r="AY379" s="17">
        <v>8</v>
      </c>
      <c r="AZ379" s="5"/>
      <c r="BA379" s="17"/>
      <c r="BB379" s="5"/>
      <c r="BC379" s="17"/>
      <c r="BD379" s="5" t="s">
        <v>447</v>
      </c>
      <c r="BE379" s="17">
        <v>6</v>
      </c>
      <c r="BF379" s="5"/>
      <c r="BG379" s="17">
        <v>60</v>
      </c>
      <c r="BH379" s="5"/>
      <c r="BI379" s="17">
        <v>120</v>
      </c>
      <c r="BJ379" s="5" t="s">
        <v>87</v>
      </c>
      <c r="BK379" s="9"/>
      <c r="BL379" s="9" t="str">
        <f>HYPERLINK("https://seichotoushi-hojo.jp/assets/pdf/koufu_3_4ji/outline_223.pdf","PDFを開く")</f>
        <v>PDFを開く</v>
      </c>
      <c r="BM379" s="9" t="s">
        <v>3115</v>
      </c>
      <c r="BN379" s="9" t="s">
        <v>3116</v>
      </c>
      <c r="BO379" s="9" t="s">
        <v>90</v>
      </c>
      <c r="BP379" s="9" t="s">
        <v>90</v>
      </c>
      <c r="BQ379" s="9" t="s">
        <v>91</v>
      </c>
      <c r="BR379" s="9" t="s">
        <v>92</v>
      </c>
    </row>
    <row r="380" spans="1:70" ht="45.95" customHeight="1">
      <c r="A380" s="2" t="s">
        <v>3117</v>
      </c>
      <c r="B380" s="2" t="s">
        <v>2430</v>
      </c>
      <c r="C380" s="2" t="s">
        <v>3118</v>
      </c>
      <c r="D380" s="2" t="s">
        <v>3118</v>
      </c>
      <c r="E380" s="2" t="s">
        <v>186</v>
      </c>
      <c r="F380" s="2"/>
      <c r="G380" s="2">
        <v>2</v>
      </c>
      <c r="H380" s="2">
        <v>0</v>
      </c>
      <c r="I380" s="2">
        <v>1</v>
      </c>
      <c r="J380" s="2">
        <v>1</v>
      </c>
      <c r="K380" s="2">
        <v>0</v>
      </c>
      <c r="L380" s="16">
        <v>1962</v>
      </c>
      <c r="M380" s="16">
        <v>640</v>
      </c>
      <c r="N380" s="8" t="s">
        <v>3119</v>
      </c>
      <c r="O380" s="12">
        <f t="shared" si="5"/>
        <v>32.619775739041792</v>
      </c>
      <c r="P380" s="2">
        <v>2</v>
      </c>
      <c r="Q380" s="2" t="s">
        <v>77</v>
      </c>
      <c r="R380" s="8" t="s">
        <v>3120</v>
      </c>
      <c r="S380" s="8" t="s">
        <v>3121</v>
      </c>
      <c r="T380" s="8" t="s">
        <v>80</v>
      </c>
      <c r="U380" s="2" t="s">
        <v>81</v>
      </c>
      <c r="V380" s="2"/>
      <c r="W380" s="16"/>
      <c r="X380" s="2">
        <v>2030</v>
      </c>
      <c r="Y380" s="16"/>
      <c r="Z380" s="16">
        <v>93.74</v>
      </c>
      <c r="AA380" s="2">
        <v>2030</v>
      </c>
      <c r="AB380" s="16">
        <v>16.7</v>
      </c>
      <c r="AC380" s="2">
        <v>2030</v>
      </c>
      <c r="AD380" s="2" t="s">
        <v>210</v>
      </c>
      <c r="AE380" s="16"/>
      <c r="AF380" s="16"/>
      <c r="AG380" s="16"/>
      <c r="AH380" s="16"/>
      <c r="AI380" s="8" t="s">
        <v>83</v>
      </c>
      <c r="AJ380" s="2" t="s">
        <v>84</v>
      </c>
      <c r="AK380" s="2">
        <v>1</v>
      </c>
      <c r="AL380" s="8" t="s">
        <v>3122</v>
      </c>
      <c r="AM380" s="8"/>
      <c r="AN380" s="2"/>
      <c r="AO380" s="16">
        <v>6739</v>
      </c>
      <c r="AP380" s="2"/>
      <c r="AQ380" s="16">
        <v>17566</v>
      </c>
      <c r="AR380" s="2" t="s">
        <v>447</v>
      </c>
      <c r="AS380" s="16">
        <v>37.6</v>
      </c>
      <c r="AT380" s="2"/>
      <c r="AU380" s="16">
        <v>4808</v>
      </c>
      <c r="AV380" s="2"/>
      <c r="AW380" s="16">
        <v>5808</v>
      </c>
      <c r="AX380" s="2" t="s">
        <v>447</v>
      </c>
      <c r="AY380" s="16">
        <v>6.5</v>
      </c>
      <c r="AZ380" s="2"/>
      <c r="BA380" s="16"/>
      <c r="BB380" s="2"/>
      <c r="BC380" s="16"/>
      <c r="BD380" s="2" t="s">
        <v>447</v>
      </c>
      <c r="BE380" s="16">
        <v>6</v>
      </c>
      <c r="BF380" s="2"/>
      <c r="BG380" s="16">
        <v>245</v>
      </c>
      <c r="BH380" s="2"/>
      <c r="BI380" s="16">
        <v>270</v>
      </c>
      <c r="BJ380" s="2" t="s">
        <v>87</v>
      </c>
      <c r="BK380" s="8" t="s">
        <v>192</v>
      </c>
      <c r="BL380" s="8" t="str">
        <f>HYPERLINK("https://seichotoushi-hojo.jp/assets/pdf/koufu_3_4ji/outline_225.pdf","PDFを開く")</f>
        <v>PDFを開く</v>
      </c>
      <c r="BM380" s="8" t="s">
        <v>3123</v>
      </c>
      <c r="BN380" s="8" t="s">
        <v>3124</v>
      </c>
      <c r="BO380" s="8" t="s">
        <v>90</v>
      </c>
      <c r="BP380" s="8" t="s">
        <v>90</v>
      </c>
      <c r="BQ380" s="8" t="s">
        <v>91</v>
      </c>
      <c r="BR380" s="8" t="s">
        <v>92</v>
      </c>
    </row>
    <row r="381" spans="1:70" ht="45.95" customHeight="1">
      <c r="A381" s="5" t="s">
        <v>3125</v>
      </c>
      <c r="B381" s="5" t="s">
        <v>2430</v>
      </c>
      <c r="C381" s="5" t="s">
        <v>3126</v>
      </c>
      <c r="D381" s="5" t="s">
        <v>3126</v>
      </c>
      <c r="E381" s="5" t="s">
        <v>95</v>
      </c>
      <c r="F381" s="5"/>
      <c r="G381" s="5">
        <v>4</v>
      </c>
      <c r="H381" s="5">
        <v>0</v>
      </c>
      <c r="I381" s="5">
        <v>1</v>
      </c>
      <c r="J381" s="5">
        <v>3</v>
      </c>
      <c r="K381" s="5">
        <v>0</v>
      </c>
      <c r="L381" s="17">
        <v>1515</v>
      </c>
      <c r="M381" s="17">
        <v>499</v>
      </c>
      <c r="N381" s="9" t="s">
        <v>3127</v>
      </c>
      <c r="O381" s="13">
        <f t="shared" si="5"/>
        <v>32.937293729372932</v>
      </c>
      <c r="P381" s="5">
        <v>2</v>
      </c>
      <c r="Q381" s="5" t="s">
        <v>77</v>
      </c>
      <c r="R381" s="9" t="s">
        <v>3128</v>
      </c>
      <c r="S381" s="9" t="s">
        <v>3129</v>
      </c>
      <c r="T381" s="9" t="s">
        <v>80</v>
      </c>
      <c r="U381" s="5" t="s">
        <v>81</v>
      </c>
      <c r="V381" s="5"/>
      <c r="W381" s="17"/>
      <c r="X381" s="5">
        <v>2029</v>
      </c>
      <c r="Y381" s="17"/>
      <c r="Z381" s="17">
        <v>86</v>
      </c>
      <c r="AA381" s="5">
        <v>2029</v>
      </c>
      <c r="AB381" s="17">
        <v>223</v>
      </c>
      <c r="AC381" s="5">
        <v>2029</v>
      </c>
      <c r="AD381" s="5" t="s">
        <v>82</v>
      </c>
      <c r="AE381" s="17"/>
      <c r="AF381" s="17"/>
      <c r="AG381" s="17"/>
      <c r="AH381" s="17"/>
      <c r="AI381" s="9" t="s">
        <v>83</v>
      </c>
      <c r="AJ381" s="5" t="s">
        <v>84</v>
      </c>
      <c r="AK381" s="5">
        <v>1</v>
      </c>
      <c r="AL381" s="9" t="s">
        <v>3130</v>
      </c>
      <c r="AM381" s="9"/>
      <c r="AN381" s="5"/>
      <c r="AO381" s="17">
        <v>18619</v>
      </c>
      <c r="AP381" s="5"/>
      <c r="AQ381" s="17">
        <v>61917</v>
      </c>
      <c r="AR381" s="5" t="s">
        <v>447</v>
      </c>
      <c r="AS381" s="17">
        <v>49.3</v>
      </c>
      <c r="AT381" s="5"/>
      <c r="AU381" s="17">
        <v>5353</v>
      </c>
      <c r="AV381" s="5"/>
      <c r="AW381" s="17">
        <v>6370</v>
      </c>
      <c r="AX381" s="5" t="s">
        <v>447</v>
      </c>
      <c r="AY381" s="17">
        <v>6</v>
      </c>
      <c r="AZ381" s="5"/>
      <c r="BA381" s="17"/>
      <c r="BB381" s="5"/>
      <c r="BC381" s="17"/>
      <c r="BD381" s="5" t="s">
        <v>447</v>
      </c>
      <c r="BE381" s="17">
        <v>6.3</v>
      </c>
      <c r="BF381" s="5"/>
      <c r="BG381" s="17">
        <v>31</v>
      </c>
      <c r="BH381" s="5"/>
      <c r="BI381" s="17">
        <v>37</v>
      </c>
      <c r="BJ381" s="5" t="s">
        <v>87</v>
      </c>
      <c r="BK381" s="9"/>
      <c r="BL381" s="9" t="str">
        <f>HYPERLINK("https://seichotoushi-hojo.jp/assets/pdf/koufu_3_4ji/outline_226.pdf","PDFを開く")</f>
        <v>PDFを開く</v>
      </c>
      <c r="BM381" s="9" t="s">
        <v>3131</v>
      </c>
      <c r="BN381" s="9" t="s">
        <v>3132</v>
      </c>
      <c r="BO381" s="9" t="s">
        <v>90</v>
      </c>
      <c r="BP381" s="9" t="s">
        <v>90</v>
      </c>
      <c r="BQ381" s="9" t="s">
        <v>91</v>
      </c>
      <c r="BR381" s="9" t="s">
        <v>92</v>
      </c>
    </row>
    <row r="382" spans="1:70" ht="45.95" customHeight="1">
      <c r="A382" s="2" t="s">
        <v>3133</v>
      </c>
      <c r="B382" s="2" t="s">
        <v>2430</v>
      </c>
      <c r="C382" s="2" t="s">
        <v>3134</v>
      </c>
      <c r="D382" s="2" t="s">
        <v>3134</v>
      </c>
      <c r="E382" s="2" t="s">
        <v>75</v>
      </c>
      <c r="F382" s="2"/>
      <c r="G382" s="2">
        <v>3</v>
      </c>
      <c r="H382" s="2">
        <v>0</v>
      </c>
      <c r="I382" s="2">
        <v>1</v>
      </c>
      <c r="J382" s="2">
        <v>2</v>
      </c>
      <c r="K382" s="2">
        <v>0</v>
      </c>
      <c r="L382" s="16">
        <v>1641</v>
      </c>
      <c r="M382" s="16">
        <v>473</v>
      </c>
      <c r="N382" s="8" t="s">
        <v>3135</v>
      </c>
      <c r="O382" s="12">
        <f t="shared" si="5"/>
        <v>28.823887873248022</v>
      </c>
      <c r="P382" s="2">
        <v>2</v>
      </c>
      <c r="Q382" s="2" t="s">
        <v>77</v>
      </c>
      <c r="R382" s="8" t="s">
        <v>3136</v>
      </c>
      <c r="S382" s="8" t="s">
        <v>3137</v>
      </c>
      <c r="T382" s="8" t="s">
        <v>80</v>
      </c>
      <c r="U382" s="2" t="s">
        <v>81</v>
      </c>
      <c r="V382" s="2"/>
      <c r="W382" s="16"/>
      <c r="X382" s="2">
        <v>2035</v>
      </c>
      <c r="Y382" s="16">
        <v>200</v>
      </c>
      <c r="Z382" s="16">
        <v>116.68</v>
      </c>
      <c r="AA382" s="2">
        <v>2035</v>
      </c>
      <c r="AB382" s="16">
        <v>8</v>
      </c>
      <c r="AC382" s="2">
        <v>2035</v>
      </c>
      <c r="AD382" s="2" t="s">
        <v>210</v>
      </c>
      <c r="AE382" s="16"/>
      <c r="AF382" s="16"/>
      <c r="AG382" s="16"/>
      <c r="AH382" s="16"/>
      <c r="AI382" s="8" t="s">
        <v>83</v>
      </c>
      <c r="AJ382" s="2" t="s">
        <v>84</v>
      </c>
      <c r="AK382" s="2">
        <v>1</v>
      </c>
      <c r="AL382" s="8" t="s">
        <v>3138</v>
      </c>
      <c r="AM382" s="8" t="s">
        <v>1909</v>
      </c>
      <c r="AN382" s="2"/>
      <c r="AO382" s="16">
        <v>13936</v>
      </c>
      <c r="AP382" s="2"/>
      <c r="AQ382" s="16">
        <v>20656</v>
      </c>
      <c r="AR382" s="2" t="s">
        <v>447</v>
      </c>
      <c r="AS382" s="16">
        <v>14</v>
      </c>
      <c r="AT382" s="2"/>
      <c r="AU382" s="16">
        <v>5169</v>
      </c>
      <c r="AV382" s="2"/>
      <c r="AW382" s="16">
        <v>6338</v>
      </c>
      <c r="AX382" s="2" t="s">
        <v>447</v>
      </c>
      <c r="AY382" s="16">
        <v>7</v>
      </c>
      <c r="AZ382" s="2"/>
      <c r="BA382" s="16"/>
      <c r="BB382" s="2"/>
      <c r="BC382" s="16"/>
      <c r="BD382" s="2" t="s">
        <v>447</v>
      </c>
      <c r="BE382" s="16">
        <v>5.7</v>
      </c>
      <c r="BF382" s="2"/>
      <c r="BG382" s="16">
        <v>195</v>
      </c>
      <c r="BH382" s="2"/>
      <c r="BI382" s="16">
        <v>210</v>
      </c>
      <c r="BJ382" s="2" t="s">
        <v>87</v>
      </c>
      <c r="BK382" s="8" t="s">
        <v>192</v>
      </c>
      <c r="BL382" s="8" t="str">
        <f>HYPERLINK("https://seichotoushi-hojo.jp/assets/pdf/koufu_3_4ji/outline_227.pdf","PDFを開く")</f>
        <v>PDFを開く</v>
      </c>
      <c r="BM382" s="8" t="s">
        <v>3139</v>
      </c>
      <c r="BN382" s="8" t="s">
        <v>3140</v>
      </c>
      <c r="BO382" s="8" t="s">
        <v>90</v>
      </c>
      <c r="BP382" s="8" t="s">
        <v>90</v>
      </c>
      <c r="BQ382" s="8" t="s">
        <v>91</v>
      </c>
      <c r="BR382" s="8" t="s">
        <v>92</v>
      </c>
    </row>
    <row r="383" spans="1:70" ht="45.95" customHeight="1">
      <c r="A383" s="5" t="s">
        <v>3141</v>
      </c>
      <c r="B383" s="5" t="s">
        <v>2430</v>
      </c>
      <c r="C383" s="5" t="s">
        <v>3142</v>
      </c>
      <c r="D383" s="5" t="s">
        <v>3142</v>
      </c>
      <c r="E383" s="5" t="s">
        <v>186</v>
      </c>
      <c r="F383" s="5"/>
      <c r="G383" s="5">
        <v>2</v>
      </c>
      <c r="H383" s="5">
        <v>0</v>
      </c>
      <c r="I383" s="5">
        <v>1</v>
      </c>
      <c r="J383" s="5">
        <v>1</v>
      </c>
      <c r="K383" s="5">
        <v>0</v>
      </c>
      <c r="L383" s="17">
        <v>1885</v>
      </c>
      <c r="M383" s="17">
        <v>333</v>
      </c>
      <c r="N383" s="9" t="s">
        <v>3143</v>
      </c>
      <c r="O383" s="13">
        <f t="shared" si="5"/>
        <v>17.665782493368702</v>
      </c>
      <c r="P383" s="5">
        <v>2</v>
      </c>
      <c r="Q383" s="5" t="s">
        <v>77</v>
      </c>
      <c r="R383" s="9" t="s">
        <v>3143</v>
      </c>
      <c r="S383" s="9" t="s">
        <v>3144</v>
      </c>
      <c r="T383" s="9" t="s">
        <v>80</v>
      </c>
      <c r="U383" s="5" t="s">
        <v>81</v>
      </c>
      <c r="V383" s="5">
        <v>2024</v>
      </c>
      <c r="W383" s="17"/>
      <c r="X383" s="5">
        <v>2031</v>
      </c>
      <c r="Y383" s="17">
        <v>50</v>
      </c>
      <c r="Z383" s="17"/>
      <c r="AA383" s="5"/>
      <c r="AB383" s="17">
        <v>18.3</v>
      </c>
      <c r="AC383" s="5">
        <v>2031</v>
      </c>
      <c r="AD383" s="5" t="s">
        <v>82</v>
      </c>
      <c r="AE383" s="17"/>
      <c r="AF383" s="17"/>
      <c r="AG383" s="17"/>
      <c r="AH383" s="17"/>
      <c r="AI383" s="9" t="s">
        <v>83</v>
      </c>
      <c r="AJ383" s="5" t="s">
        <v>84</v>
      </c>
      <c r="AK383" s="5">
        <v>1</v>
      </c>
      <c r="AL383" s="9" t="s">
        <v>3145</v>
      </c>
      <c r="AM383" s="9" t="s">
        <v>3146</v>
      </c>
      <c r="AN383" s="5"/>
      <c r="AO383" s="17">
        <v>7496</v>
      </c>
      <c r="AP383" s="5"/>
      <c r="AQ383" s="17">
        <v>9762</v>
      </c>
      <c r="AR383" s="5" t="s">
        <v>447</v>
      </c>
      <c r="AS383" s="17">
        <v>9.1999999999999993</v>
      </c>
      <c r="AT383" s="5"/>
      <c r="AU383" s="17">
        <v>3830</v>
      </c>
      <c r="AV383" s="5"/>
      <c r="AW383" s="17">
        <v>4700</v>
      </c>
      <c r="AX383" s="5" t="s">
        <v>447</v>
      </c>
      <c r="AY383" s="17">
        <v>7.1</v>
      </c>
      <c r="AZ383" s="5"/>
      <c r="BA383" s="17"/>
      <c r="BB383" s="5"/>
      <c r="BC383" s="17"/>
      <c r="BD383" s="5" t="s">
        <v>447</v>
      </c>
      <c r="BE383" s="17">
        <v>5</v>
      </c>
      <c r="BF383" s="5"/>
      <c r="BG383" s="17">
        <v>47</v>
      </c>
      <c r="BH383" s="5"/>
      <c r="BI383" s="17">
        <v>100</v>
      </c>
      <c r="BJ383" s="5" t="s">
        <v>87</v>
      </c>
      <c r="BK383" s="9" t="s">
        <v>181</v>
      </c>
      <c r="BL383" s="9" t="str">
        <f>HYPERLINK("https://seichotoushi-hojo.jp/assets/pdf/koufu_3_4ji/outline_228.pdf","PDFを開く")</f>
        <v>PDFを開く</v>
      </c>
      <c r="BM383" s="9" t="s">
        <v>3147</v>
      </c>
      <c r="BN383" s="9" t="s">
        <v>3148</v>
      </c>
      <c r="BO383" s="9" t="s">
        <v>90</v>
      </c>
      <c r="BP383" s="9" t="s">
        <v>90</v>
      </c>
      <c r="BQ383" s="9" t="s">
        <v>91</v>
      </c>
      <c r="BR383" s="9" t="s">
        <v>92</v>
      </c>
    </row>
    <row r="384" spans="1:70" ht="45.95" customHeight="1">
      <c r="A384" s="2" t="s">
        <v>3149</v>
      </c>
      <c r="B384" s="2" t="s">
        <v>2430</v>
      </c>
      <c r="C384" s="2" t="s">
        <v>3150</v>
      </c>
      <c r="D384" s="2" t="s">
        <v>3150</v>
      </c>
      <c r="E384" s="2" t="s">
        <v>75</v>
      </c>
      <c r="F384" s="2"/>
      <c r="G384" s="2">
        <v>2</v>
      </c>
      <c r="H384" s="2">
        <v>0</v>
      </c>
      <c r="I384" s="2">
        <v>1</v>
      </c>
      <c r="J384" s="2">
        <v>1</v>
      </c>
      <c r="K384" s="2">
        <v>0</v>
      </c>
      <c r="L384" s="16">
        <v>5800</v>
      </c>
      <c r="M384" s="16">
        <v>1900</v>
      </c>
      <c r="N384" s="8" t="s">
        <v>850</v>
      </c>
      <c r="O384" s="12">
        <f t="shared" si="5"/>
        <v>32.758620689655174</v>
      </c>
      <c r="P384" s="2">
        <v>2</v>
      </c>
      <c r="Q384" s="2" t="s">
        <v>77</v>
      </c>
      <c r="R384" s="8" t="s">
        <v>850</v>
      </c>
      <c r="S384" s="8" t="s">
        <v>3151</v>
      </c>
      <c r="T384" s="8" t="s">
        <v>80</v>
      </c>
      <c r="U384" s="2" t="s">
        <v>81</v>
      </c>
      <c r="V384" s="2">
        <v>2024</v>
      </c>
      <c r="W384" s="16"/>
      <c r="X384" s="2">
        <v>2030</v>
      </c>
      <c r="Y384" s="16"/>
      <c r="Z384" s="16">
        <v>107</v>
      </c>
      <c r="AA384" s="2">
        <v>2030</v>
      </c>
      <c r="AB384" s="16">
        <v>528</v>
      </c>
      <c r="AC384" s="2">
        <v>2030</v>
      </c>
      <c r="AD384" s="2" t="s">
        <v>82</v>
      </c>
      <c r="AE384" s="16"/>
      <c r="AF384" s="16"/>
      <c r="AG384" s="16"/>
      <c r="AH384" s="16"/>
      <c r="AI384" s="8" t="s">
        <v>83</v>
      </c>
      <c r="AJ384" s="2" t="s">
        <v>84</v>
      </c>
      <c r="AK384" s="2">
        <v>1</v>
      </c>
      <c r="AL384" s="8" t="s">
        <v>3152</v>
      </c>
      <c r="AM384" s="8"/>
      <c r="AN384" s="2">
        <v>2027</v>
      </c>
      <c r="AO384" s="16">
        <v>41258</v>
      </c>
      <c r="AP384" s="2">
        <v>2030</v>
      </c>
      <c r="AQ384" s="16">
        <v>67145</v>
      </c>
      <c r="AR384" s="2" t="s">
        <v>86</v>
      </c>
      <c r="AS384" s="16">
        <v>17.600000000000001</v>
      </c>
      <c r="AT384" s="2">
        <v>2027</v>
      </c>
      <c r="AU384" s="16">
        <v>3819</v>
      </c>
      <c r="AV384" s="2">
        <v>2030</v>
      </c>
      <c r="AW384" s="16">
        <v>4925</v>
      </c>
      <c r="AX384" s="2" t="s">
        <v>86</v>
      </c>
      <c r="AY384" s="16">
        <v>8.8000000000000007</v>
      </c>
      <c r="AZ384" s="2">
        <v>2027</v>
      </c>
      <c r="BA384" s="16"/>
      <c r="BB384" s="2">
        <v>2030</v>
      </c>
      <c r="BC384" s="16"/>
      <c r="BD384" s="2" t="s">
        <v>447</v>
      </c>
      <c r="BE384" s="16">
        <v>0</v>
      </c>
      <c r="BF384" s="2">
        <v>2027</v>
      </c>
      <c r="BG384" s="16">
        <v>54</v>
      </c>
      <c r="BH384" s="2">
        <v>2030</v>
      </c>
      <c r="BI384" s="16">
        <v>120</v>
      </c>
      <c r="BJ384" s="2" t="s">
        <v>87</v>
      </c>
      <c r="BK384" s="8"/>
      <c r="BL384" s="8" t="str">
        <f>HYPERLINK("https://seichotoushi-hojo.jp/assets/pdf/koufu_3_4ji/outline_230.pdf","PDFを開く")</f>
        <v>PDFを開く</v>
      </c>
      <c r="BM384" s="8" t="s">
        <v>3153</v>
      </c>
      <c r="BN384" s="8" t="s">
        <v>3154</v>
      </c>
      <c r="BO384" s="8" t="s">
        <v>90</v>
      </c>
      <c r="BP384" s="8" t="s">
        <v>90</v>
      </c>
      <c r="BQ384" s="8" t="s">
        <v>91</v>
      </c>
      <c r="BR384" s="8" t="s">
        <v>92</v>
      </c>
    </row>
    <row r="385" spans="1:70" ht="45.95" customHeight="1">
      <c r="A385" s="6" t="s">
        <v>3155</v>
      </c>
      <c r="B385" s="6" t="s">
        <v>2430</v>
      </c>
      <c r="C385" s="6" t="s">
        <v>3156</v>
      </c>
      <c r="D385" s="6" t="s">
        <v>3156</v>
      </c>
      <c r="E385" s="6" t="s">
        <v>186</v>
      </c>
      <c r="F385" s="6"/>
      <c r="G385" s="6">
        <v>2</v>
      </c>
      <c r="H385" s="6">
        <v>0</v>
      </c>
      <c r="I385" s="6">
        <v>1</v>
      </c>
      <c r="J385" s="6">
        <v>1</v>
      </c>
      <c r="K385" s="6">
        <v>0</v>
      </c>
      <c r="L385" s="18">
        <v>1560</v>
      </c>
      <c r="M385" s="18">
        <v>520</v>
      </c>
      <c r="N385" s="10" t="s">
        <v>3157</v>
      </c>
      <c r="O385" s="14">
        <f t="shared" si="5"/>
        <v>33.333333333333329</v>
      </c>
      <c r="P385" s="6">
        <v>2</v>
      </c>
      <c r="Q385" s="6" t="s">
        <v>77</v>
      </c>
      <c r="R385" s="10" t="s">
        <v>3158</v>
      </c>
      <c r="S385" s="10" t="s">
        <v>3159</v>
      </c>
      <c r="T385" s="10" t="s">
        <v>80</v>
      </c>
      <c r="U385" s="6" t="s">
        <v>81</v>
      </c>
      <c r="V385" s="6"/>
      <c r="W385" s="18"/>
      <c r="X385" s="6">
        <v>2030</v>
      </c>
      <c r="Y385" s="18"/>
      <c r="Z385" s="18">
        <v>116.42</v>
      </c>
      <c r="AA385" s="6">
        <v>2030</v>
      </c>
      <c r="AB385" s="18">
        <v>238</v>
      </c>
      <c r="AC385" s="6">
        <v>2030</v>
      </c>
      <c r="AD385" s="6" t="s">
        <v>210</v>
      </c>
      <c r="AE385" s="18"/>
      <c r="AF385" s="18"/>
      <c r="AG385" s="18"/>
      <c r="AH385" s="18"/>
      <c r="AI385" s="10" t="s">
        <v>83</v>
      </c>
      <c r="AJ385" s="6" t="s">
        <v>84</v>
      </c>
      <c r="AK385" s="6">
        <v>1</v>
      </c>
      <c r="AL385" s="10" t="s">
        <v>3160</v>
      </c>
      <c r="AM385" s="10"/>
      <c r="AN385" s="6">
        <v>2027</v>
      </c>
      <c r="AO385" s="18">
        <v>7287</v>
      </c>
      <c r="AP385" s="6">
        <v>2030</v>
      </c>
      <c r="AQ385" s="18">
        <v>22699</v>
      </c>
      <c r="AR385" s="6" t="s">
        <v>447</v>
      </c>
      <c r="AS385" s="18">
        <v>46</v>
      </c>
      <c r="AT385" s="6">
        <v>2027</v>
      </c>
      <c r="AU385" s="18">
        <v>5025</v>
      </c>
      <c r="AV385" s="6">
        <v>2030</v>
      </c>
      <c r="AW385" s="18">
        <v>6070</v>
      </c>
      <c r="AX385" s="6" t="s">
        <v>447</v>
      </c>
      <c r="AY385" s="18">
        <v>6.5</v>
      </c>
      <c r="AZ385" s="6">
        <v>2027</v>
      </c>
      <c r="BA385" s="18"/>
      <c r="BB385" s="6">
        <v>2030</v>
      </c>
      <c r="BC385" s="18"/>
      <c r="BD385" s="6" t="s">
        <v>447</v>
      </c>
      <c r="BE385" s="18">
        <v>5.7</v>
      </c>
      <c r="BF385" s="6">
        <v>2027</v>
      </c>
      <c r="BG385" s="18">
        <v>156</v>
      </c>
      <c r="BH385" s="6">
        <v>2030</v>
      </c>
      <c r="BI385" s="18">
        <v>196</v>
      </c>
      <c r="BJ385" s="6" t="s">
        <v>87</v>
      </c>
      <c r="BK385" s="10" t="s">
        <v>181</v>
      </c>
      <c r="BL385" s="10" t="str">
        <f>HYPERLINK("https://seichotoushi-hojo.jp/assets/pdf/koufu_3_4ji/outline_231.pdf","PDFを開く")</f>
        <v>PDFを開く</v>
      </c>
      <c r="BM385" s="10" t="s">
        <v>3161</v>
      </c>
      <c r="BN385" s="10" t="s">
        <v>3162</v>
      </c>
      <c r="BO385" s="10" t="s">
        <v>90</v>
      </c>
      <c r="BP385" s="10" t="s">
        <v>90</v>
      </c>
      <c r="BQ385" s="10" t="s">
        <v>91</v>
      </c>
      <c r="BR385" s="10" t="s">
        <v>92</v>
      </c>
    </row>
  </sheetData>
  <mergeCells count="2">
    <mergeCell ref="A1:BR1"/>
    <mergeCell ref="A2:BR2"/>
  </mergeCells>
  <phoneticPr fontId="8"/>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935"/>
  <sheetViews>
    <sheetView showGridLines="0" workbookViewId="0"/>
  </sheetViews>
  <sheetFormatPr defaultRowHeight="14.25"/>
  <cols>
    <col min="1" max="1" width="19" customWidth="1"/>
    <col min="2" max="2" width="7" customWidth="1"/>
    <col min="3" max="3" width="25" customWidth="1"/>
    <col min="4" max="4" width="8" customWidth="1"/>
    <col min="5" max="5" width="31" customWidth="1"/>
    <col min="6" max="6" width="12" customWidth="1"/>
    <col min="7" max="7" width="13" customWidth="1"/>
    <col min="8" max="8" width="14" customWidth="1"/>
    <col min="9" max="9" width="25" customWidth="1"/>
    <col min="10" max="10" width="10" customWidth="1"/>
    <col min="11" max="11" width="14" customWidth="1"/>
    <col min="12" max="12" width="22" customWidth="1"/>
    <col min="13" max="13" width="16" customWidth="1"/>
    <col min="14" max="14" width="65" customWidth="1"/>
    <col min="15" max="15" width="48" customWidth="1"/>
    <col min="16" max="16" width="65" customWidth="1"/>
  </cols>
  <sheetData>
    <row r="1" spans="1:16" ht="30" customHeight="1">
      <c r="A1" s="24" t="s">
        <v>3163</v>
      </c>
      <c r="B1" s="24"/>
      <c r="C1" s="24"/>
      <c r="D1" s="24"/>
      <c r="E1" s="24"/>
      <c r="F1" s="24"/>
      <c r="G1" s="24"/>
      <c r="H1" s="24"/>
      <c r="I1" s="24"/>
      <c r="J1" s="24"/>
      <c r="K1" s="24"/>
      <c r="L1" s="24"/>
      <c r="M1" s="24"/>
      <c r="N1" s="24"/>
      <c r="O1" s="24"/>
      <c r="P1" s="24"/>
    </row>
    <row r="2" spans="1:16" ht="38.1" customHeight="1">
      <c r="A2" s="25" t="s">
        <v>3164</v>
      </c>
      <c r="B2" s="25"/>
      <c r="C2" s="25"/>
      <c r="D2" s="25"/>
      <c r="E2" s="25"/>
      <c r="F2" s="25"/>
      <c r="G2" s="25"/>
      <c r="H2" s="25"/>
      <c r="I2" s="25"/>
      <c r="J2" s="25"/>
      <c r="K2" s="25"/>
      <c r="L2" s="25"/>
      <c r="M2" s="25"/>
      <c r="N2" s="25"/>
      <c r="O2" s="25"/>
      <c r="P2" s="25"/>
    </row>
    <row r="4" spans="1:16" ht="45.95" customHeight="1">
      <c r="A4" s="1" t="s">
        <v>2</v>
      </c>
      <c r="B4" s="1" t="s">
        <v>3</v>
      </c>
      <c r="C4" s="1" t="s">
        <v>4</v>
      </c>
      <c r="D4" s="1" t="s">
        <v>3165</v>
      </c>
      <c r="E4" s="1" t="s">
        <v>3166</v>
      </c>
      <c r="F4" s="1" t="s">
        <v>3167</v>
      </c>
      <c r="G4" s="1" t="s">
        <v>3168</v>
      </c>
      <c r="H4" s="1" t="s">
        <v>3169</v>
      </c>
      <c r="I4" s="1" t="s">
        <v>3170</v>
      </c>
      <c r="J4" s="1" t="s">
        <v>3171</v>
      </c>
      <c r="K4" s="1" t="s">
        <v>3172</v>
      </c>
      <c r="L4" s="1" t="s">
        <v>3173</v>
      </c>
      <c r="M4" s="1" t="s">
        <v>3174</v>
      </c>
      <c r="N4" s="1" t="s">
        <v>3175</v>
      </c>
      <c r="O4" s="1" t="s">
        <v>65</v>
      </c>
      <c r="P4" s="1" t="s">
        <v>67</v>
      </c>
    </row>
    <row r="5" spans="1:16" ht="33.950000000000003" customHeight="1">
      <c r="A5" s="4" t="s">
        <v>72</v>
      </c>
      <c r="B5" s="4" t="s">
        <v>73</v>
      </c>
      <c r="C5" s="7" t="s">
        <v>74</v>
      </c>
      <c r="D5" s="4">
        <v>2</v>
      </c>
      <c r="E5" s="7" t="s">
        <v>3176</v>
      </c>
      <c r="F5" s="4" t="s">
        <v>86</v>
      </c>
      <c r="G5" s="4" t="s">
        <v>3177</v>
      </c>
      <c r="H5" s="4" t="s">
        <v>3178</v>
      </c>
      <c r="I5" s="7" t="s">
        <v>3179</v>
      </c>
      <c r="J5" s="4">
        <v>2026</v>
      </c>
      <c r="K5" s="4">
        <v>862</v>
      </c>
      <c r="L5" s="7" t="s">
        <v>3180</v>
      </c>
      <c r="M5" s="4">
        <v>10.67</v>
      </c>
      <c r="N5" s="7" t="s">
        <v>3181</v>
      </c>
      <c r="O5" s="7" t="str">
        <f t="shared" ref="O5:O13" si="0">HYPERLINK("https://seichotoushi-hojo.jp/assets/pdf/koufu/outline_1.pdf","PDFを開く")</f>
        <v>PDFを開く</v>
      </c>
      <c r="P5" s="7" t="s">
        <v>89</v>
      </c>
    </row>
    <row r="6" spans="1:16" ht="33.950000000000003" customHeight="1">
      <c r="A6" s="2" t="s">
        <v>72</v>
      </c>
      <c r="B6" s="2" t="s">
        <v>73</v>
      </c>
      <c r="C6" s="8" t="s">
        <v>74</v>
      </c>
      <c r="D6" s="2">
        <v>2</v>
      </c>
      <c r="E6" s="8" t="s">
        <v>3176</v>
      </c>
      <c r="F6" s="2" t="s">
        <v>86</v>
      </c>
      <c r="G6" s="2" t="s">
        <v>3177</v>
      </c>
      <c r="H6" s="2" t="s">
        <v>3178</v>
      </c>
      <c r="I6" s="8" t="s">
        <v>3182</v>
      </c>
      <c r="J6" s="2">
        <v>2029</v>
      </c>
      <c r="K6" s="2">
        <v>1168</v>
      </c>
      <c r="L6" s="8" t="s">
        <v>3183</v>
      </c>
      <c r="M6" s="2">
        <v>10.67</v>
      </c>
      <c r="N6" s="8" t="s">
        <v>3181</v>
      </c>
      <c r="O6" s="8" t="str">
        <f t="shared" si="0"/>
        <v>PDFを開く</v>
      </c>
      <c r="P6" s="8" t="s">
        <v>89</v>
      </c>
    </row>
    <row r="7" spans="1:16" ht="33.950000000000003" customHeight="1">
      <c r="A7" s="5" t="s">
        <v>72</v>
      </c>
      <c r="B7" s="5" t="s">
        <v>73</v>
      </c>
      <c r="C7" s="9" t="s">
        <v>74</v>
      </c>
      <c r="D7" s="5">
        <v>2</v>
      </c>
      <c r="E7" s="9" t="s">
        <v>3184</v>
      </c>
      <c r="F7" s="5" t="s">
        <v>86</v>
      </c>
      <c r="G7" s="5" t="s">
        <v>3177</v>
      </c>
      <c r="H7" s="5" t="s">
        <v>3178</v>
      </c>
      <c r="I7" s="9" t="s">
        <v>3179</v>
      </c>
      <c r="J7" s="5">
        <v>2026</v>
      </c>
      <c r="K7" s="5">
        <v>439</v>
      </c>
      <c r="L7" s="9" t="s">
        <v>3185</v>
      </c>
      <c r="M7" s="5">
        <v>5</v>
      </c>
      <c r="N7" s="9" t="s">
        <v>3186</v>
      </c>
      <c r="O7" s="9" t="str">
        <f t="shared" si="0"/>
        <v>PDFを開く</v>
      </c>
      <c r="P7" s="9" t="s">
        <v>89</v>
      </c>
    </row>
    <row r="8" spans="1:16" ht="33.950000000000003" customHeight="1">
      <c r="A8" s="2" t="s">
        <v>72</v>
      </c>
      <c r="B8" s="2" t="s">
        <v>73</v>
      </c>
      <c r="C8" s="8" t="s">
        <v>74</v>
      </c>
      <c r="D8" s="2">
        <v>2</v>
      </c>
      <c r="E8" s="8" t="s">
        <v>3184</v>
      </c>
      <c r="F8" s="2" t="s">
        <v>86</v>
      </c>
      <c r="G8" s="2" t="s">
        <v>3177</v>
      </c>
      <c r="H8" s="2" t="s">
        <v>3178</v>
      </c>
      <c r="I8" s="8" t="s">
        <v>3182</v>
      </c>
      <c r="J8" s="2">
        <v>2029</v>
      </c>
      <c r="K8" s="2">
        <v>509</v>
      </c>
      <c r="L8" s="8" t="s">
        <v>3187</v>
      </c>
      <c r="M8" s="2">
        <v>5</v>
      </c>
      <c r="N8" s="8" t="s">
        <v>3186</v>
      </c>
      <c r="O8" s="8" t="str">
        <f t="shared" si="0"/>
        <v>PDFを開く</v>
      </c>
      <c r="P8" s="8" t="s">
        <v>89</v>
      </c>
    </row>
    <row r="9" spans="1:16" ht="33.950000000000003" customHeight="1">
      <c r="A9" s="5" t="s">
        <v>72</v>
      </c>
      <c r="B9" s="5" t="s">
        <v>73</v>
      </c>
      <c r="C9" s="9" t="s">
        <v>74</v>
      </c>
      <c r="D9" s="5">
        <v>2</v>
      </c>
      <c r="E9" s="9" t="s">
        <v>3188</v>
      </c>
      <c r="F9" s="5" t="s">
        <v>86</v>
      </c>
      <c r="G9" s="19" t="s">
        <v>3189</v>
      </c>
      <c r="H9" s="5" t="s">
        <v>3178</v>
      </c>
      <c r="I9" s="9"/>
      <c r="J9" s="5"/>
      <c r="K9" s="5"/>
      <c r="L9" s="9"/>
      <c r="M9" s="5">
        <v>5</v>
      </c>
      <c r="N9" s="9" t="s">
        <v>3190</v>
      </c>
      <c r="O9" s="9" t="str">
        <f t="shared" si="0"/>
        <v>PDFを開く</v>
      </c>
      <c r="P9" s="9" t="s">
        <v>89</v>
      </c>
    </row>
    <row r="10" spans="1:16" ht="33.950000000000003" customHeight="1">
      <c r="A10" s="2" t="s">
        <v>72</v>
      </c>
      <c r="B10" s="2" t="s">
        <v>73</v>
      </c>
      <c r="C10" s="8" t="s">
        <v>74</v>
      </c>
      <c r="D10" s="2">
        <v>2</v>
      </c>
      <c r="E10" s="8" t="s">
        <v>3191</v>
      </c>
      <c r="F10" s="2" t="s">
        <v>2513</v>
      </c>
      <c r="G10" s="2" t="s">
        <v>3177</v>
      </c>
      <c r="H10" s="2" t="s">
        <v>3178</v>
      </c>
      <c r="I10" s="8" t="s">
        <v>3179</v>
      </c>
      <c r="J10" s="2">
        <v>2026</v>
      </c>
      <c r="K10" s="2">
        <v>270</v>
      </c>
      <c r="L10" s="8" t="s">
        <v>3192</v>
      </c>
      <c r="M10" s="2"/>
      <c r="N10" s="8" t="s">
        <v>3193</v>
      </c>
      <c r="O10" s="8" t="str">
        <f t="shared" si="0"/>
        <v>PDFを開く</v>
      </c>
      <c r="P10" s="8" t="s">
        <v>89</v>
      </c>
    </row>
    <row r="11" spans="1:16" ht="33.950000000000003" customHeight="1">
      <c r="A11" s="5" t="s">
        <v>72</v>
      </c>
      <c r="B11" s="5" t="s">
        <v>73</v>
      </c>
      <c r="C11" s="9" t="s">
        <v>74</v>
      </c>
      <c r="D11" s="5">
        <v>2</v>
      </c>
      <c r="E11" s="9" t="s">
        <v>3191</v>
      </c>
      <c r="F11" s="5" t="s">
        <v>2513</v>
      </c>
      <c r="G11" s="5" t="s">
        <v>3177</v>
      </c>
      <c r="H11" s="5" t="s">
        <v>3178</v>
      </c>
      <c r="I11" s="9" t="s">
        <v>3182</v>
      </c>
      <c r="J11" s="5">
        <v>2029</v>
      </c>
      <c r="K11" s="5">
        <v>290</v>
      </c>
      <c r="L11" s="9" t="s">
        <v>3194</v>
      </c>
      <c r="M11" s="5"/>
      <c r="N11" s="9" t="s">
        <v>3193</v>
      </c>
      <c r="O11" s="9" t="str">
        <f t="shared" si="0"/>
        <v>PDFを開く</v>
      </c>
      <c r="P11" s="9" t="s">
        <v>89</v>
      </c>
    </row>
    <row r="12" spans="1:16" ht="33.950000000000003" customHeight="1">
      <c r="A12" s="2" t="s">
        <v>72</v>
      </c>
      <c r="B12" s="2" t="s">
        <v>73</v>
      </c>
      <c r="C12" s="8" t="s">
        <v>74</v>
      </c>
      <c r="D12" s="2">
        <v>2</v>
      </c>
      <c r="E12" s="8" t="s">
        <v>3188</v>
      </c>
      <c r="F12" s="2" t="s">
        <v>86</v>
      </c>
      <c r="G12" s="2" t="s">
        <v>3177</v>
      </c>
      <c r="H12" s="2"/>
      <c r="I12" s="8" t="s">
        <v>3195</v>
      </c>
      <c r="J12" s="2">
        <v>2026</v>
      </c>
      <c r="K12" s="2"/>
      <c r="L12" s="8" t="s">
        <v>3196</v>
      </c>
      <c r="M12" s="2">
        <v>5</v>
      </c>
      <c r="N12" s="8" t="s">
        <v>3197</v>
      </c>
      <c r="O12" s="8" t="str">
        <f t="shared" si="0"/>
        <v>PDFを開く</v>
      </c>
      <c r="P12" s="8" t="s">
        <v>89</v>
      </c>
    </row>
    <row r="13" spans="1:16" ht="33.950000000000003" customHeight="1">
      <c r="A13" s="5" t="s">
        <v>72</v>
      </c>
      <c r="B13" s="5" t="s">
        <v>73</v>
      </c>
      <c r="C13" s="9" t="s">
        <v>74</v>
      </c>
      <c r="D13" s="5">
        <v>2</v>
      </c>
      <c r="E13" s="9" t="s">
        <v>3188</v>
      </c>
      <c r="F13" s="5" t="s">
        <v>86</v>
      </c>
      <c r="G13" s="5" t="s">
        <v>3177</v>
      </c>
      <c r="H13" s="5"/>
      <c r="I13" s="9" t="s">
        <v>3198</v>
      </c>
      <c r="J13" s="5">
        <v>2029</v>
      </c>
      <c r="K13" s="5"/>
      <c r="L13" s="9" t="s">
        <v>3199</v>
      </c>
      <c r="M13" s="5">
        <v>5</v>
      </c>
      <c r="N13" s="9" t="s">
        <v>3197</v>
      </c>
      <c r="O13" s="9" t="str">
        <f t="shared" si="0"/>
        <v>PDFを開く</v>
      </c>
      <c r="P13" s="9" t="s">
        <v>89</v>
      </c>
    </row>
    <row r="14" spans="1:16" ht="33.950000000000003" customHeight="1">
      <c r="A14" s="2" t="s">
        <v>93</v>
      </c>
      <c r="B14" s="2" t="s">
        <v>73</v>
      </c>
      <c r="C14" s="8" t="s">
        <v>94</v>
      </c>
      <c r="D14" s="2">
        <v>2</v>
      </c>
      <c r="E14" s="8" t="s">
        <v>3176</v>
      </c>
      <c r="F14" s="2" t="s">
        <v>86</v>
      </c>
      <c r="G14" s="2" t="s">
        <v>3177</v>
      </c>
      <c r="H14" s="2" t="s">
        <v>3178</v>
      </c>
      <c r="I14" s="8" t="s">
        <v>3179</v>
      </c>
      <c r="J14" s="2">
        <v>2026</v>
      </c>
      <c r="K14" s="2">
        <v>1236</v>
      </c>
      <c r="L14" s="8" t="s">
        <v>3200</v>
      </c>
      <c r="M14" s="2">
        <v>14.8</v>
      </c>
      <c r="N14" s="8" t="s">
        <v>3201</v>
      </c>
      <c r="O14" s="8" t="str">
        <f t="shared" ref="O14:O22" si="1">HYPERLINK("https://seichotoushi-hojo.jp/assets/pdf/koufu/outline_10.pdf","PDFを開く")</f>
        <v>PDFを開く</v>
      </c>
      <c r="P14" s="8" t="s">
        <v>104</v>
      </c>
    </row>
    <row r="15" spans="1:16" ht="33.950000000000003" customHeight="1">
      <c r="A15" s="5" t="s">
        <v>93</v>
      </c>
      <c r="B15" s="5" t="s">
        <v>73</v>
      </c>
      <c r="C15" s="9" t="s">
        <v>94</v>
      </c>
      <c r="D15" s="5">
        <v>2</v>
      </c>
      <c r="E15" s="9" t="s">
        <v>3176</v>
      </c>
      <c r="F15" s="5" t="s">
        <v>86</v>
      </c>
      <c r="G15" s="5" t="s">
        <v>3177</v>
      </c>
      <c r="H15" s="5" t="s">
        <v>3178</v>
      </c>
      <c r="I15" s="9" t="s">
        <v>3182</v>
      </c>
      <c r="J15" s="5">
        <v>2029</v>
      </c>
      <c r="K15" s="5">
        <v>1870</v>
      </c>
      <c r="L15" s="9" t="s">
        <v>3202</v>
      </c>
      <c r="M15" s="5">
        <v>14.8</v>
      </c>
      <c r="N15" s="9" t="s">
        <v>3201</v>
      </c>
      <c r="O15" s="9" t="str">
        <f t="shared" si="1"/>
        <v>PDFを開く</v>
      </c>
      <c r="P15" s="9" t="s">
        <v>104</v>
      </c>
    </row>
    <row r="16" spans="1:16" ht="33.950000000000003" customHeight="1">
      <c r="A16" s="2" t="s">
        <v>93</v>
      </c>
      <c r="B16" s="2" t="s">
        <v>73</v>
      </c>
      <c r="C16" s="8" t="s">
        <v>94</v>
      </c>
      <c r="D16" s="2">
        <v>2</v>
      </c>
      <c r="E16" s="8" t="s">
        <v>3184</v>
      </c>
      <c r="F16" s="2" t="s">
        <v>86</v>
      </c>
      <c r="G16" s="2" t="s">
        <v>3177</v>
      </c>
      <c r="H16" s="2" t="s">
        <v>3178</v>
      </c>
      <c r="I16" s="8" t="s">
        <v>3179</v>
      </c>
      <c r="J16" s="2">
        <v>2026</v>
      </c>
      <c r="K16" s="2">
        <v>336</v>
      </c>
      <c r="L16" s="8" t="s">
        <v>3203</v>
      </c>
      <c r="M16" s="2">
        <v>3</v>
      </c>
      <c r="N16" s="8" t="s">
        <v>3204</v>
      </c>
      <c r="O16" s="8" t="str">
        <f t="shared" si="1"/>
        <v>PDFを開く</v>
      </c>
      <c r="P16" s="8" t="s">
        <v>104</v>
      </c>
    </row>
    <row r="17" spans="1:16" ht="33.950000000000003" customHeight="1">
      <c r="A17" s="5" t="s">
        <v>93</v>
      </c>
      <c r="B17" s="5" t="s">
        <v>73</v>
      </c>
      <c r="C17" s="9" t="s">
        <v>94</v>
      </c>
      <c r="D17" s="5">
        <v>2</v>
      </c>
      <c r="E17" s="9" t="s">
        <v>3184</v>
      </c>
      <c r="F17" s="5" t="s">
        <v>86</v>
      </c>
      <c r="G17" s="5" t="s">
        <v>3177</v>
      </c>
      <c r="H17" s="5" t="s">
        <v>3178</v>
      </c>
      <c r="I17" s="9" t="s">
        <v>3182</v>
      </c>
      <c r="J17" s="5">
        <v>2029</v>
      </c>
      <c r="K17" s="5">
        <v>369</v>
      </c>
      <c r="L17" s="9" t="s">
        <v>3205</v>
      </c>
      <c r="M17" s="5">
        <v>3</v>
      </c>
      <c r="N17" s="9" t="s">
        <v>3204</v>
      </c>
      <c r="O17" s="9" t="str">
        <f t="shared" si="1"/>
        <v>PDFを開く</v>
      </c>
      <c r="P17" s="9" t="s">
        <v>104</v>
      </c>
    </row>
    <row r="18" spans="1:16" ht="33.950000000000003" customHeight="1">
      <c r="A18" s="2" t="s">
        <v>93</v>
      </c>
      <c r="B18" s="2" t="s">
        <v>73</v>
      </c>
      <c r="C18" s="8" t="s">
        <v>94</v>
      </c>
      <c r="D18" s="2">
        <v>2</v>
      </c>
      <c r="E18" s="8" t="s">
        <v>3188</v>
      </c>
      <c r="F18" s="2" t="s">
        <v>86</v>
      </c>
      <c r="G18" s="19" t="s">
        <v>3189</v>
      </c>
      <c r="H18" s="2" t="s">
        <v>3178</v>
      </c>
      <c r="I18" s="8"/>
      <c r="J18" s="2"/>
      <c r="K18" s="2"/>
      <c r="L18" s="8"/>
      <c r="M18" s="2">
        <v>11.1</v>
      </c>
      <c r="N18" s="8" t="s">
        <v>3206</v>
      </c>
      <c r="O18" s="8" t="str">
        <f t="shared" si="1"/>
        <v>PDFを開く</v>
      </c>
      <c r="P18" s="8" t="s">
        <v>104</v>
      </c>
    </row>
    <row r="19" spans="1:16" ht="33.950000000000003" customHeight="1">
      <c r="A19" s="5" t="s">
        <v>93</v>
      </c>
      <c r="B19" s="5" t="s">
        <v>73</v>
      </c>
      <c r="C19" s="9" t="s">
        <v>94</v>
      </c>
      <c r="D19" s="5">
        <v>2</v>
      </c>
      <c r="E19" s="9" t="s">
        <v>3191</v>
      </c>
      <c r="F19" s="5" t="s">
        <v>2513</v>
      </c>
      <c r="G19" s="5" t="s">
        <v>3177</v>
      </c>
      <c r="H19" s="5" t="s">
        <v>3178</v>
      </c>
      <c r="I19" s="9" t="s">
        <v>3179</v>
      </c>
      <c r="J19" s="5">
        <v>2026</v>
      </c>
      <c r="K19" s="5">
        <v>840</v>
      </c>
      <c r="L19" s="9" t="s">
        <v>3207</v>
      </c>
      <c r="M19" s="5"/>
      <c r="N19" s="9" t="s">
        <v>3208</v>
      </c>
      <c r="O19" s="9" t="str">
        <f t="shared" si="1"/>
        <v>PDFを開く</v>
      </c>
      <c r="P19" s="9" t="s">
        <v>104</v>
      </c>
    </row>
    <row r="20" spans="1:16" ht="33.950000000000003" customHeight="1">
      <c r="A20" s="2" t="s">
        <v>93</v>
      </c>
      <c r="B20" s="2" t="s">
        <v>73</v>
      </c>
      <c r="C20" s="8" t="s">
        <v>94</v>
      </c>
      <c r="D20" s="2">
        <v>2</v>
      </c>
      <c r="E20" s="8" t="s">
        <v>3191</v>
      </c>
      <c r="F20" s="2" t="s">
        <v>2513</v>
      </c>
      <c r="G20" s="2" t="s">
        <v>3177</v>
      </c>
      <c r="H20" s="2" t="s">
        <v>3178</v>
      </c>
      <c r="I20" s="8" t="s">
        <v>3182</v>
      </c>
      <c r="J20" s="2">
        <v>2029</v>
      </c>
      <c r="K20" s="2">
        <v>1132</v>
      </c>
      <c r="L20" s="8" t="s">
        <v>3209</v>
      </c>
      <c r="M20" s="2"/>
      <c r="N20" s="8" t="s">
        <v>3208</v>
      </c>
      <c r="O20" s="8" t="str">
        <f t="shared" si="1"/>
        <v>PDFを開く</v>
      </c>
      <c r="P20" s="8" t="s">
        <v>104</v>
      </c>
    </row>
    <row r="21" spans="1:16" ht="33.950000000000003" customHeight="1">
      <c r="A21" s="5" t="s">
        <v>93</v>
      </c>
      <c r="B21" s="5" t="s">
        <v>73</v>
      </c>
      <c r="C21" s="9" t="s">
        <v>94</v>
      </c>
      <c r="D21" s="5">
        <v>2</v>
      </c>
      <c r="E21" s="9" t="s">
        <v>3188</v>
      </c>
      <c r="F21" s="5" t="s">
        <v>86</v>
      </c>
      <c r="G21" s="5" t="s">
        <v>3177</v>
      </c>
      <c r="H21" s="5"/>
      <c r="I21" s="9" t="s">
        <v>3210</v>
      </c>
      <c r="J21" s="5">
        <v>2026</v>
      </c>
      <c r="K21" s="5"/>
      <c r="L21" s="9" t="s">
        <v>3211</v>
      </c>
      <c r="M21" s="5">
        <v>11.1</v>
      </c>
      <c r="N21" s="9" t="s">
        <v>3212</v>
      </c>
      <c r="O21" s="9" t="str">
        <f t="shared" si="1"/>
        <v>PDFを開く</v>
      </c>
      <c r="P21" s="9" t="s">
        <v>104</v>
      </c>
    </row>
    <row r="22" spans="1:16" ht="33.950000000000003" customHeight="1">
      <c r="A22" s="2" t="s">
        <v>93</v>
      </c>
      <c r="B22" s="2" t="s">
        <v>73</v>
      </c>
      <c r="C22" s="8" t="s">
        <v>94</v>
      </c>
      <c r="D22" s="2">
        <v>2</v>
      </c>
      <c r="E22" s="8" t="s">
        <v>3188</v>
      </c>
      <c r="F22" s="2" t="s">
        <v>86</v>
      </c>
      <c r="G22" s="2" t="s">
        <v>3177</v>
      </c>
      <c r="H22" s="2"/>
      <c r="I22" s="8" t="s">
        <v>3213</v>
      </c>
      <c r="J22" s="2">
        <v>2029</v>
      </c>
      <c r="K22" s="2"/>
      <c r="L22" s="8" t="s">
        <v>3214</v>
      </c>
      <c r="M22" s="2">
        <v>11.1</v>
      </c>
      <c r="N22" s="8" t="s">
        <v>3212</v>
      </c>
      <c r="O22" s="8" t="str">
        <f t="shared" si="1"/>
        <v>PDFを開く</v>
      </c>
      <c r="P22" s="8" t="s">
        <v>104</v>
      </c>
    </row>
    <row r="23" spans="1:16" ht="33.950000000000003" customHeight="1">
      <c r="A23" s="5" t="s">
        <v>105</v>
      </c>
      <c r="B23" s="5" t="s">
        <v>73</v>
      </c>
      <c r="C23" s="9" t="s">
        <v>106</v>
      </c>
      <c r="D23" s="5">
        <v>2</v>
      </c>
      <c r="E23" s="9" t="s">
        <v>3176</v>
      </c>
      <c r="F23" s="5" t="s">
        <v>86</v>
      </c>
      <c r="G23" s="5" t="s">
        <v>3177</v>
      </c>
      <c r="H23" s="5" t="s">
        <v>3178</v>
      </c>
      <c r="I23" s="9" t="s">
        <v>3179</v>
      </c>
      <c r="J23" s="5">
        <v>2026</v>
      </c>
      <c r="K23" s="5">
        <v>1776</v>
      </c>
      <c r="L23" s="9" t="s">
        <v>3215</v>
      </c>
      <c r="M23" s="5">
        <v>9.1</v>
      </c>
      <c r="N23" s="9" t="s">
        <v>3216</v>
      </c>
      <c r="O23" s="9" t="str">
        <f t="shared" ref="O23:O32" si="2">HYPERLINK("https://seichotoushi-hojo.jp/assets/pdf/koufu/outline_100.pdf","PDFを開く")</f>
        <v>PDFを開く</v>
      </c>
      <c r="P23" s="9" t="s">
        <v>112</v>
      </c>
    </row>
    <row r="24" spans="1:16" ht="33.950000000000003" customHeight="1">
      <c r="A24" s="2" t="s">
        <v>105</v>
      </c>
      <c r="B24" s="2" t="s">
        <v>73</v>
      </c>
      <c r="C24" s="8" t="s">
        <v>106</v>
      </c>
      <c r="D24" s="2">
        <v>2</v>
      </c>
      <c r="E24" s="8" t="s">
        <v>3176</v>
      </c>
      <c r="F24" s="2" t="s">
        <v>86</v>
      </c>
      <c r="G24" s="2" t="s">
        <v>3177</v>
      </c>
      <c r="H24" s="2" t="s">
        <v>3178</v>
      </c>
      <c r="I24" s="8" t="s">
        <v>3182</v>
      </c>
      <c r="J24" s="2">
        <v>2029</v>
      </c>
      <c r="K24" s="2">
        <v>1973</v>
      </c>
      <c r="L24" s="8" t="s">
        <v>3217</v>
      </c>
      <c r="M24" s="2">
        <v>9.1</v>
      </c>
      <c r="N24" s="8" t="s">
        <v>3216</v>
      </c>
      <c r="O24" s="8" t="str">
        <f t="shared" si="2"/>
        <v>PDFを開く</v>
      </c>
      <c r="P24" s="8" t="s">
        <v>112</v>
      </c>
    </row>
    <row r="25" spans="1:16" ht="33.950000000000003" customHeight="1">
      <c r="A25" s="5" t="s">
        <v>105</v>
      </c>
      <c r="B25" s="5" t="s">
        <v>73</v>
      </c>
      <c r="C25" s="9" t="s">
        <v>106</v>
      </c>
      <c r="D25" s="5">
        <v>2</v>
      </c>
      <c r="E25" s="9" t="s">
        <v>3184</v>
      </c>
      <c r="F25" s="5" t="s">
        <v>86</v>
      </c>
      <c r="G25" s="5" t="s">
        <v>3177</v>
      </c>
      <c r="H25" s="5" t="s">
        <v>3178</v>
      </c>
      <c r="I25" s="9" t="s">
        <v>3179</v>
      </c>
      <c r="J25" s="5">
        <v>2026</v>
      </c>
      <c r="K25" s="5">
        <v>450</v>
      </c>
      <c r="L25" s="9" t="s">
        <v>3218</v>
      </c>
      <c r="M25" s="5">
        <v>4.0599999999999996</v>
      </c>
      <c r="N25" s="9" t="s">
        <v>3219</v>
      </c>
      <c r="O25" s="9" t="str">
        <f t="shared" si="2"/>
        <v>PDFを開く</v>
      </c>
      <c r="P25" s="9" t="s">
        <v>112</v>
      </c>
    </row>
    <row r="26" spans="1:16" ht="33.950000000000003" customHeight="1">
      <c r="A26" s="2" t="s">
        <v>105</v>
      </c>
      <c r="B26" s="2" t="s">
        <v>73</v>
      </c>
      <c r="C26" s="8" t="s">
        <v>106</v>
      </c>
      <c r="D26" s="2">
        <v>2</v>
      </c>
      <c r="E26" s="8" t="s">
        <v>3184</v>
      </c>
      <c r="F26" s="2" t="s">
        <v>86</v>
      </c>
      <c r="G26" s="2" t="s">
        <v>3177</v>
      </c>
      <c r="H26" s="2" t="s">
        <v>3178</v>
      </c>
      <c r="I26" s="8" t="s">
        <v>3182</v>
      </c>
      <c r="J26" s="2">
        <v>2029</v>
      </c>
      <c r="K26" s="2">
        <v>507</v>
      </c>
      <c r="L26" s="8" t="s">
        <v>3220</v>
      </c>
      <c r="M26" s="2">
        <v>4.0599999999999996</v>
      </c>
      <c r="N26" s="8" t="s">
        <v>3219</v>
      </c>
      <c r="O26" s="8" t="str">
        <f t="shared" si="2"/>
        <v>PDFを開く</v>
      </c>
      <c r="P26" s="8" t="s">
        <v>112</v>
      </c>
    </row>
    <row r="27" spans="1:16" ht="33.950000000000003" customHeight="1">
      <c r="A27" s="5" t="s">
        <v>105</v>
      </c>
      <c r="B27" s="5" t="s">
        <v>73</v>
      </c>
      <c r="C27" s="9" t="s">
        <v>106</v>
      </c>
      <c r="D27" s="5">
        <v>2</v>
      </c>
      <c r="E27" s="9" t="s">
        <v>3188</v>
      </c>
      <c r="F27" s="5" t="s">
        <v>86</v>
      </c>
      <c r="G27" s="5" t="s">
        <v>3177</v>
      </c>
      <c r="H27" s="5" t="s">
        <v>3178</v>
      </c>
      <c r="I27" s="9" t="s">
        <v>3179</v>
      </c>
      <c r="J27" s="5">
        <v>2026</v>
      </c>
      <c r="K27" s="5">
        <v>3069</v>
      </c>
      <c r="L27" s="9" t="s">
        <v>3221</v>
      </c>
      <c r="M27" s="5">
        <v>4</v>
      </c>
      <c r="N27" s="9" t="s">
        <v>3222</v>
      </c>
      <c r="O27" s="9" t="str">
        <f t="shared" si="2"/>
        <v>PDFを開く</v>
      </c>
      <c r="P27" s="9" t="s">
        <v>112</v>
      </c>
    </row>
    <row r="28" spans="1:16" ht="33.950000000000003" customHeight="1">
      <c r="A28" s="2" t="s">
        <v>105</v>
      </c>
      <c r="B28" s="2" t="s">
        <v>73</v>
      </c>
      <c r="C28" s="8" t="s">
        <v>106</v>
      </c>
      <c r="D28" s="2">
        <v>2</v>
      </c>
      <c r="E28" s="8" t="s">
        <v>3188</v>
      </c>
      <c r="F28" s="2" t="s">
        <v>86</v>
      </c>
      <c r="G28" s="2" t="s">
        <v>3177</v>
      </c>
      <c r="H28" s="2" t="s">
        <v>3178</v>
      </c>
      <c r="I28" s="8" t="s">
        <v>3182</v>
      </c>
      <c r="J28" s="2">
        <v>2029</v>
      </c>
      <c r="K28" s="2">
        <v>3453</v>
      </c>
      <c r="L28" s="8" t="s">
        <v>3223</v>
      </c>
      <c r="M28" s="2">
        <v>4</v>
      </c>
      <c r="N28" s="8" t="s">
        <v>3222</v>
      </c>
      <c r="O28" s="8" t="str">
        <f t="shared" si="2"/>
        <v>PDFを開く</v>
      </c>
      <c r="P28" s="8" t="s">
        <v>112</v>
      </c>
    </row>
    <row r="29" spans="1:16" ht="33.950000000000003" customHeight="1">
      <c r="A29" s="5" t="s">
        <v>105</v>
      </c>
      <c r="B29" s="5" t="s">
        <v>73</v>
      </c>
      <c r="C29" s="9" t="s">
        <v>106</v>
      </c>
      <c r="D29" s="5">
        <v>2</v>
      </c>
      <c r="E29" s="9" t="s">
        <v>3191</v>
      </c>
      <c r="F29" s="5" t="s">
        <v>2513</v>
      </c>
      <c r="G29" s="5" t="s">
        <v>3177</v>
      </c>
      <c r="H29" s="5" t="s">
        <v>3178</v>
      </c>
      <c r="I29" s="9" t="s">
        <v>3179</v>
      </c>
      <c r="J29" s="5">
        <v>2026</v>
      </c>
      <c r="K29" s="5">
        <v>225</v>
      </c>
      <c r="L29" s="9" t="s">
        <v>3224</v>
      </c>
      <c r="M29" s="5"/>
      <c r="N29" s="9" t="s">
        <v>3225</v>
      </c>
      <c r="O29" s="9" t="str">
        <f t="shared" si="2"/>
        <v>PDFを開く</v>
      </c>
      <c r="P29" s="9" t="s">
        <v>112</v>
      </c>
    </row>
    <row r="30" spans="1:16" ht="33.950000000000003" customHeight="1">
      <c r="A30" s="2" t="s">
        <v>105</v>
      </c>
      <c r="B30" s="2" t="s">
        <v>73</v>
      </c>
      <c r="C30" s="8" t="s">
        <v>106</v>
      </c>
      <c r="D30" s="2">
        <v>2</v>
      </c>
      <c r="E30" s="8" t="s">
        <v>3191</v>
      </c>
      <c r="F30" s="2" t="s">
        <v>2513</v>
      </c>
      <c r="G30" s="2" t="s">
        <v>3177</v>
      </c>
      <c r="H30" s="2" t="s">
        <v>3178</v>
      </c>
      <c r="I30" s="8" t="s">
        <v>3182</v>
      </c>
      <c r="J30" s="2">
        <v>2029</v>
      </c>
      <c r="K30" s="2">
        <v>298</v>
      </c>
      <c r="L30" s="8" t="s">
        <v>3226</v>
      </c>
      <c r="M30" s="2"/>
      <c r="N30" s="8" t="s">
        <v>3225</v>
      </c>
      <c r="O30" s="8" t="str">
        <f t="shared" si="2"/>
        <v>PDFを開く</v>
      </c>
      <c r="P30" s="8" t="s">
        <v>112</v>
      </c>
    </row>
    <row r="31" spans="1:16" ht="33.950000000000003" customHeight="1">
      <c r="A31" s="5" t="s">
        <v>105</v>
      </c>
      <c r="B31" s="5" t="s">
        <v>73</v>
      </c>
      <c r="C31" s="9" t="s">
        <v>106</v>
      </c>
      <c r="D31" s="5">
        <v>2</v>
      </c>
      <c r="E31" s="9" t="s">
        <v>3176</v>
      </c>
      <c r="F31" s="5" t="s">
        <v>86</v>
      </c>
      <c r="G31" s="5" t="s">
        <v>3177</v>
      </c>
      <c r="H31" s="5"/>
      <c r="I31" s="9" t="s">
        <v>3227</v>
      </c>
      <c r="J31" s="5">
        <v>2026</v>
      </c>
      <c r="K31" s="5">
        <v>1776</v>
      </c>
      <c r="L31" s="9" t="s">
        <v>3228</v>
      </c>
      <c r="M31" s="5">
        <v>9.1</v>
      </c>
      <c r="N31" s="9" t="s">
        <v>3229</v>
      </c>
      <c r="O31" s="9" t="str">
        <f t="shared" si="2"/>
        <v>PDFを開く</v>
      </c>
      <c r="P31" s="9" t="s">
        <v>112</v>
      </c>
    </row>
    <row r="32" spans="1:16" ht="33.950000000000003" customHeight="1">
      <c r="A32" s="2" t="s">
        <v>105</v>
      </c>
      <c r="B32" s="2" t="s">
        <v>73</v>
      </c>
      <c r="C32" s="8" t="s">
        <v>106</v>
      </c>
      <c r="D32" s="2">
        <v>2</v>
      </c>
      <c r="E32" s="8" t="s">
        <v>3176</v>
      </c>
      <c r="F32" s="2" t="s">
        <v>86</v>
      </c>
      <c r="G32" s="2" t="s">
        <v>3177</v>
      </c>
      <c r="H32" s="2"/>
      <c r="I32" s="8" t="s">
        <v>3230</v>
      </c>
      <c r="J32" s="2">
        <v>2029</v>
      </c>
      <c r="K32" s="2">
        <v>1973</v>
      </c>
      <c r="L32" s="8" t="s">
        <v>3231</v>
      </c>
      <c r="M32" s="2">
        <v>9.1</v>
      </c>
      <c r="N32" s="8" t="s">
        <v>3229</v>
      </c>
      <c r="O32" s="8" t="str">
        <f t="shared" si="2"/>
        <v>PDFを開く</v>
      </c>
      <c r="P32" s="8" t="s">
        <v>112</v>
      </c>
    </row>
    <row r="33" spans="1:16" ht="33.950000000000003" customHeight="1">
      <c r="A33" s="5" t="s">
        <v>114</v>
      </c>
      <c r="B33" s="5" t="s">
        <v>73</v>
      </c>
      <c r="C33" s="9" t="s">
        <v>115</v>
      </c>
      <c r="D33" s="5">
        <v>5</v>
      </c>
      <c r="E33" s="9" t="s">
        <v>3176</v>
      </c>
      <c r="F33" s="5" t="s">
        <v>86</v>
      </c>
      <c r="G33" s="5" t="s">
        <v>3177</v>
      </c>
      <c r="H33" s="5" t="s">
        <v>3178</v>
      </c>
      <c r="I33" s="9" t="s">
        <v>3179</v>
      </c>
      <c r="J33" s="5">
        <v>2026</v>
      </c>
      <c r="K33" s="5">
        <v>1027</v>
      </c>
      <c r="L33" s="9" t="s">
        <v>3232</v>
      </c>
      <c r="M33" s="5">
        <v>5.45</v>
      </c>
      <c r="N33" s="9" t="s">
        <v>3233</v>
      </c>
      <c r="O33" s="9" t="str">
        <f t="shared" ref="O33:O40" si="3">HYPERLINK("https://seichotoushi-hojo.jp/assets/pdf/koufu/outline_101.pdf","PDFを開く")</f>
        <v>PDFを開く</v>
      </c>
      <c r="P33" s="9" t="s">
        <v>124</v>
      </c>
    </row>
    <row r="34" spans="1:16" ht="33.950000000000003" customHeight="1">
      <c r="A34" s="2" t="s">
        <v>114</v>
      </c>
      <c r="B34" s="2" t="s">
        <v>73</v>
      </c>
      <c r="C34" s="8" t="s">
        <v>115</v>
      </c>
      <c r="D34" s="2">
        <v>5</v>
      </c>
      <c r="E34" s="8" t="s">
        <v>3176</v>
      </c>
      <c r="F34" s="2" t="s">
        <v>86</v>
      </c>
      <c r="G34" s="2" t="s">
        <v>3177</v>
      </c>
      <c r="H34" s="2" t="s">
        <v>3178</v>
      </c>
      <c r="I34" s="8" t="s">
        <v>3182</v>
      </c>
      <c r="J34" s="2">
        <v>2029</v>
      </c>
      <c r="K34" s="2">
        <v>1204</v>
      </c>
      <c r="L34" s="8" t="s">
        <v>3234</v>
      </c>
      <c r="M34" s="2">
        <v>5.45</v>
      </c>
      <c r="N34" s="8" t="s">
        <v>3233</v>
      </c>
      <c r="O34" s="8" t="str">
        <f t="shared" si="3"/>
        <v>PDFを開く</v>
      </c>
      <c r="P34" s="8" t="s">
        <v>124</v>
      </c>
    </row>
    <row r="35" spans="1:16" ht="33.950000000000003" customHeight="1">
      <c r="A35" s="5" t="s">
        <v>114</v>
      </c>
      <c r="B35" s="5" t="s">
        <v>73</v>
      </c>
      <c r="C35" s="9" t="s">
        <v>115</v>
      </c>
      <c r="D35" s="5">
        <v>5</v>
      </c>
      <c r="E35" s="9" t="s">
        <v>3184</v>
      </c>
      <c r="F35" s="5" t="s">
        <v>86</v>
      </c>
      <c r="G35" s="5" t="s">
        <v>3177</v>
      </c>
      <c r="H35" s="5" t="s">
        <v>3178</v>
      </c>
      <c r="I35" s="9" t="s">
        <v>3179</v>
      </c>
      <c r="J35" s="5">
        <v>2026</v>
      </c>
      <c r="K35" s="5">
        <v>631</v>
      </c>
      <c r="L35" s="9" t="s">
        <v>3235</v>
      </c>
      <c r="M35" s="5">
        <v>4.3499999999999996</v>
      </c>
      <c r="N35" s="9" t="s">
        <v>3236</v>
      </c>
      <c r="O35" s="9" t="str">
        <f t="shared" si="3"/>
        <v>PDFを開く</v>
      </c>
      <c r="P35" s="9" t="s">
        <v>124</v>
      </c>
    </row>
    <row r="36" spans="1:16" ht="33.950000000000003" customHeight="1">
      <c r="A36" s="2" t="s">
        <v>114</v>
      </c>
      <c r="B36" s="2" t="s">
        <v>73</v>
      </c>
      <c r="C36" s="8" t="s">
        <v>115</v>
      </c>
      <c r="D36" s="2">
        <v>5</v>
      </c>
      <c r="E36" s="8" t="s">
        <v>3184</v>
      </c>
      <c r="F36" s="2" t="s">
        <v>86</v>
      </c>
      <c r="G36" s="2" t="s">
        <v>3177</v>
      </c>
      <c r="H36" s="2" t="s">
        <v>3178</v>
      </c>
      <c r="I36" s="8" t="s">
        <v>3182</v>
      </c>
      <c r="J36" s="2">
        <v>2029</v>
      </c>
      <c r="K36" s="2">
        <v>717</v>
      </c>
      <c r="L36" s="8" t="s">
        <v>3237</v>
      </c>
      <c r="M36" s="2">
        <v>4.3499999999999996</v>
      </c>
      <c r="N36" s="8" t="s">
        <v>3236</v>
      </c>
      <c r="O36" s="8" t="str">
        <f t="shared" si="3"/>
        <v>PDFを開く</v>
      </c>
      <c r="P36" s="8" t="s">
        <v>124</v>
      </c>
    </row>
    <row r="37" spans="1:16" ht="33.950000000000003" customHeight="1">
      <c r="A37" s="5" t="s">
        <v>114</v>
      </c>
      <c r="B37" s="5" t="s">
        <v>73</v>
      </c>
      <c r="C37" s="9" t="s">
        <v>115</v>
      </c>
      <c r="D37" s="5">
        <v>5</v>
      </c>
      <c r="E37" s="9" t="s">
        <v>3188</v>
      </c>
      <c r="F37" s="5" t="s">
        <v>86</v>
      </c>
      <c r="G37" s="5" t="s">
        <v>3177</v>
      </c>
      <c r="H37" s="5" t="s">
        <v>3178</v>
      </c>
      <c r="I37" s="9" t="s">
        <v>3179</v>
      </c>
      <c r="J37" s="5">
        <v>2026</v>
      </c>
      <c r="K37" s="5">
        <v>1616</v>
      </c>
      <c r="L37" s="9" t="s">
        <v>3238</v>
      </c>
      <c r="M37" s="5">
        <v>5</v>
      </c>
      <c r="N37" s="9" t="s">
        <v>3239</v>
      </c>
      <c r="O37" s="9" t="str">
        <f t="shared" si="3"/>
        <v>PDFを開く</v>
      </c>
      <c r="P37" s="9" t="s">
        <v>124</v>
      </c>
    </row>
    <row r="38" spans="1:16" ht="33.950000000000003" customHeight="1">
      <c r="A38" s="2" t="s">
        <v>114</v>
      </c>
      <c r="B38" s="2" t="s">
        <v>73</v>
      </c>
      <c r="C38" s="8" t="s">
        <v>115</v>
      </c>
      <c r="D38" s="2">
        <v>5</v>
      </c>
      <c r="E38" s="8" t="s">
        <v>3188</v>
      </c>
      <c r="F38" s="2" t="s">
        <v>86</v>
      </c>
      <c r="G38" s="2" t="s">
        <v>3177</v>
      </c>
      <c r="H38" s="2" t="s">
        <v>3178</v>
      </c>
      <c r="I38" s="8" t="s">
        <v>3182</v>
      </c>
      <c r="J38" s="2">
        <v>2029</v>
      </c>
      <c r="K38" s="2">
        <v>1870</v>
      </c>
      <c r="L38" s="8" t="s">
        <v>3202</v>
      </c>
      <c r="M38" s="2">
        <v>5</v>
      </c>
      <c r="N38" s="8" t="s">
        <v>3239</v>
      </c>
      <c r="O38" s="8" t="str">
        <f t="shared" si="3"/>
        <v>PDFを開く</v>
      </c>
      <c r="P38" s="8" t="s">
        <v>124</v>
      </c>
    </row>
    <row r="39" spans="1:16" ht="33.950000000000003" customHeight="1">
      <c r="A39" s="5" t="s">
        <v>114</v>
      </c>
      <c r="B39" s="5" t="s">
        <v>73</v>
      </c>
      <c r="C39" s="9" t="s">
        <v>115</v>
      </c>
      <c r="D39" s="5">
        <v>5</v>
      </c>
      <c r="E39" s="9" t="s">
        <v>3191</v>
      </c>
      <c r="F39" s="5" t="s">
        <v>2513</v>
      </c>
      <c r="G39" s="5" t="s">
        <v>3177</v>
      </c>
      <c r="H39" s="5" t="s">
        <v>3178</v>
      </c>
      <c r="I39" s="9" t="s">
        <v>3179</v>
      </c>
      <c r="J39" s="5">
        <v>2026</v>
      </c>
      <c r="K39" s="5">
        <v>795</v>
      </c>
      <c r="L39" s="9" t="s">
        <v>3240</v>
      </c>
      <c r="M39" s="5"/>
      <c r="N39" s="9" t="s">
        <v>3241</v>
      </c>
      <c r="O39" s="9" t="str">
        <f t="shared" si="3"/>
        <v>PDFを開く</v>
      </c>
      <c r="P39" s="9" t="s">
        <v>124</v>
      </c>
    </row>
    <row r="40" spans="1:16" ht="33.950000000000003" customHeight="1">
      <c r="A40" s="2" t="s">
        <v>114</v>
      </c>
      <c r="B40" s="2" t="s">
        <v>73</v>
      </c>
      <c r="C40" s="8" t="s">
        <v>115</v>
      </c>
      <c r="D40" s="2">
        <v>5</v>
      </c>
      <c r="E40" s="8" t="s">
        <v>3191</v>
      </c>
      <c r="F40" s="2" t="s">
        <v>2513</v>
      </c>
      <c r="G40" s="2" t="s">
        <v>3177</v>
      </c>
      <c r="H40" s="2" t="s">
        <v>3178</v>
      </c>
      <c r="I40" s="8" t="s">
        <v>3182</v>
      </c>
      <c r="J40" s="2">
        <v>2029</v>
      </c>
      <c r="K40" s="2">
        <v>810</v>
      </c>
      <c r="L40" s="8" t="s">
        <v>3242</v>
      </c>
      <c r="M40" s="2"/>
      <c r="N40" s="8" t="s">
        <v>3241</v>
      </c>
      <c r="O40" s="8" t="str">
        <f t="shared" si="3"/>
        <v>PDFを開く</v>
      </c>
      <c r="P40" s="8" t="s">
        <v>124</v>
      </c>
    </row>
    <row r="41" spans="1:16" ht="33.950000000000003" customHeight="1">
      <c r="A41" s="5" t="s">
        <v>125</v>
      </c>
      <c r="B41" s="5" t="s">
        <v>73</v>
      </c>
      <c r="C41" s="9" t="s">
        <v>126</v>
      </c>
      <c r="D41" s="5">
        <v>2</v>
      </c>
      <c r="E41" s="9" t="s">
        <v>3176</v>
      </c>
      <c r="F41" s="5" t="s">
        <v>86</v>
      </c>
      <c r="G41" s="5" t="s">
        <v>3177</v>
      </c>
      <c r="H41" s="5" t="s">
        <v>3178</v>
      </c>
      <c r="I41" s="9" t="s">
        <v>3179</v>
      </c>
      <c r="J41" s="5">
        <v>2026</v>
      </c>
      <c r="K41" s="5">
        <v>912</v>
      </c>
      <c r="L41" s="9" t="s">
        <v>3243</v>
      </c>
      <c r="M41" s="5">
        <v>14.5</v>
      </c>
      <c r="N41" s="9" t="s">
        <v>3244</v>
      </c>
      <c r="O41" s="9" t="str">
        <f t="shared" ref="O41:O51" si="4">HYPERLINK("https://seichotoushi-hojo.jp/assets/pdf/koufu/outline_102.pdf","PDFを開く")</f>
        <v>PDFを開く</v>
      </c>
      <c r="P41" s="9" t="s">
        <v>131</v>
      </c>
    </row>
    <row r="42" spans="1:16" ht="33.950000000000003" customHeight="1">
      <c r="A42" s="2" t="s">
        <v>125</v>
      </c>
      <c r="B42" s="2" t="s">
        <v>73</v>
      </c>
      <c r="C42" s="8" t="s">
        <v>126</v>
      </c>
      <c r="D42" s="2">
        <v>2</v>
      </c>
      <c r="E42" s="8" t="s">
        <v>3176</v>
      </c>
      <c r="F42" s="2" t="s">
        <v>86</v>
      </c>
      <c r="G42" s="2" t="s">
        <v>3177</v>
      </c>
      <c r="H42" s="2" t="s">
        <v>3178</v>
      </c>
      <c r="I42" s="8" t="s">
        <v>3182</v>
      </c>
      <c r="J42" s="2">
        <v>2029</v>
      </c>
      <c r="K42" s="2">
        <v>1492</v>
      </c>
      <c r="L42" s="8" t="s">
        <v>3245</v>
      </c>
      <c r="M42" s="2">
        <v>14.5</v>
      </c>
      <c r="N42" s="8" t="s">
        <v>3244</v>
      </c>
      <c r="O42" s="8" t="str">
        <f t="shared" si="4"/>
        <v>PDFを開く</v>
      </c>
      <c r="P42" s="8" t="s">
        <v>131</v>
      </c>
    </row>
    <row r="43" spans="1:16" ht="33.950000000000003" customHeight="1">
      <c r="A43" s="5" t="s">
        <v>125</v>
      </c>
      <c r="B43" s="5" t="s">
        <v>73</v>
      </c>
      <c r="C43" s="9" t="s">
        <v>126</v>
      </c>
      <c r="D43" s="5">
        <v>2</v>
      </c>
      <c r="E43" s="9" t="s">
        <v>3184</v>
      </c>
      <c r="F43" s="5" t="s">
        <v>86</v>
      </c>
      <c r="G43" s="5" t="s">
        <v>3177</v>
      </c>
      <c r="H43" s="5" t="s">
        <v>3178</v>
      </c>
      <c r="I43" s="9" t="s">
        <v>3179</v>
      </c>
      <c r="J43" s="5">
        <v>2026</v>
      </c>
      <c r="K43" s="5">
        <v>471</v>
      </c>
      <c r="L43" s="9" t="s">
        <v>3246</v>
      </c>
      <c r="M43" s="5">
        <v>3.52</v>
      </c>
      <c r="N43" s="9" t="s">
        <v>3247</v>
      </c>
      <c r="O43" s="9" t="str">
        <f t="shared" si="4"/>
        <v>PDFを開く</v>
      </c>
      <c r="P43" s="9" t="s">
        <v>131</v>
      </c>
    </row>
    <row r="44" spans="1:16" ht="33.950000000000003" customHeight="1">
      <c r="A44" s="2" t="s">
        <v>125</v>
      </c>
      <c r="B44" s="2" t="s">
        <v>73</v>
      </c>
      <c r="C44" s="8" t="s">
        <v>126</v>
      </c>
      <c r="D44" s="2">
        <v>2</v>
      </c>
      <c r="E44" s="8" t="s">
        <v>3184</v>
      </c>
      <c r="F44" s="2" t="s">
        <v>86</v>
      </c>
      <c r="G44" s="2" t="s">
        <v>3177</v>
      </c>
      <c r="H44" s="2" t="s">
        <v>3178</v>
      </c>
      <c r="I44" s="8" t="s">
        <v>3182</v>
      </c>
      <c r="J44" s="2">
        <v>2029</v>
      </c>
      <c r="K44" s="2">
        <v>522.5</v>
      </c>
      <c r="L44" s="8" t="s">
        <v>3248</v>
      </c>
      <c r="M44" s="2">
        <v>3.52</v>
      </c>
      <c r="N44" s="8" t="s">
        <v>3247</v>
      </c>
      <c r="O44" s="8" t="str">
        <f t="shared" si="4"/>
        <v>PDFを開く</v>
      </c>
      <c r="P44" s="8" t="s">
        <v>131</v>
      </c>
    </row>
    <row r="45" spans="1:16" ht="33.950000000000003" customHeight="1">
      <c r="A45" s="5" t="s">
        <v>125</v>
      </c>
      <c r="B45" s="5" t="s">
        <v>73</v>
      </c>
      <c r="C45" s="9" t="s">
        <v>126</v>
      </c>
      <c r="D45" s="5">
        <v>2</v>
      </c>
      <c r="E45" s="9" t="s">
        <v>3188</v>
      </c>
      <c r="F45" s="5" t="s">
        <v>86</v>
      </c>
      <c r="G45" s="19" t="s">
        <v>3189</v>
      </c>
      <c r="H45" s="5" t="s">
        <v>3178</v>
      </c>
      <c r="I45" s="9"/>
      <c r="J45" s="5"/>
      <c r="K45" s="5"/>
      <c r="L45" s="9"/>
      <c r="M45" s="5">
        <v>3.03</v>
      </c>
      <c r="N45" s="9" t="s">
        <v>3249</v>
      </c>
      <c r="O45" s="9" t="str">
        <f t="shared" si="4"/>
        <v>PDFを開く</v>
      </c>
      <c r="P45" s="9" t="s">
        <v>131</v>
      </c>
    </row>
    <row r="46" spans="1:16" ht="33.950000000000003" customHeight="1">
      <c r="A46" s="2" t="s">
        <v>125</v>
      </c>
      <c r="B46" s="2" t="s">
        <v>73</v>
      </c>
      <c r="C46" s="8" t="s">
        <v>126</v>
      </c>
      <c r="D46" s="2">
        <v>2</v>
      </c>
      <c r="E46" s="8" t="s">
        <v>3191</v>
      </c>
      <c r="F46" s="2" t="s">
        <v>2513</v>
      </c>
      <c r="G46" s="2" t="s">
        <v>3177</v>
      </c>
      <c r="H46" s="2" t="s">
        <v>3178</v>
      </c>
      <c r="I46" s="8" t="s">
        <v>3179</v>
      </c>
      <c r="J46" s="2">
        <v>2026</v>
      </c>
      <c r="K46" s="2">
        <v>68</v>
      </c>
      <c r="L46" s="8" t="s">
        <v>3250</v>
      </c>
      <c r="M46" s="2"/>
      <c r="N46" s="8" t="s">
        <v>3251</v>
      </c>
      <c r="O46" s="8" t="str">
        <f t="shared" si="4"/>
        <v>PDFを開く</v>
      </c>
      <c r="P46" s="8" t="s">
        <v>131</v>
      </c>
    </row>
    <row r="47" spans="1:16" ht="33.950000000000003" customHeight="1">
      <c r="A47" s="5" t="s">
        <v>125</v>
      </c>
      <c r="B47" s="5" t="s">
        <v>73</v>
      </c>
      <c r="C47" s="9" t="s">
        <v>126</v>
      </c>
      <c r="D47" s="5">
        <v>2</v>
      </c>
      <c r="E47" s="9" t="s">
        <v>3191</v>
      </c>
      <c r="F47" s="5" t="s">
        <v>2513</v>
      </c>
      <c r="G47" s="5" t="s">
        <v>3177</v>
      </c>
      <c r="H47" s="5" t="s">
        <v>3178</v>
      </c>
      <c r="I47" s="9" t="s">
        <v>3182</v>
      </c>
      <c r="J47" s="5">
        <v>2029</v>
      </c>
      <c r="K47" s="5">
        <v>80</v>
      </c>
      <c r="L47" s="9" t="s">
        <v>3252</v>
      </c>
      <c r="M47" s="5"/>
      <c r="N47" s="9" t="s">
        <v>3251</v>
      </c>
      <c r="O47" s="9" t="str">
        <f t="shared" si="4"/>
        <v>PDFを開く</v>
      </c>
      <c r="P47" s="9" t="s">
        <v>131</v>
      </c>
    </row>
    <row r="48" spans="1:16" ht="33.950000000000003" customHeight="1">
      <c r="A48" s="2" t="s">
        <v>125</v>
      </c>
      <c r="B48" s="2" t="s">
        <v>73</v>
      </c>
      <c r="C48" s="8" t="s">
        <v>126</v>
      </c>
      <c r="D48" s="2">
        <v>2</v>
      </c>
      <c r="E48" s="8" t="s">
        <v>3176</v>
      </c>
      <c r="F48" s="2" t="s">
        <v>86</v>
      </c>
      <c r="G48" s="2" t="s">
        <v>3177</v>
      </c>
      <c r="H48" s="2"/>
      <c r="I48" s="8" t="s">
        <v>3227</v>
      </c>
      <c r="J48" s="2">
        <v>2026</v>
      </c>
      <c r="K48" s="2">
        <v>912</v>
      </c>
      <c r="L48" s="8" t="s">
        <v>3243</v>
      </c>
      <c r="M48" s="2">
        <v>14.5</v>
      </c>
      <c r="N48" s="8" t="s">
        <v>3253</v>
      </c>
      <c r="O48" s="8" t="str">
        <f t="shared" si="4"/>
        <v>PDFを開く</v>
      </c>
      <c r="P48" s="8" t="s">
        <v>131</v>
      </c>
    </row>
    <row r="49" spans="1:16" ht="33.950000000000003" customHeight="1">
      <c r="A49" s="5" t="s">
        <v>125</v>
      </c>
      <c r="B49" s="5" t="s">
        <v>73</v>
      </c>
      <c r="C49" s="9" t="s">
        <v>126</v>
      </c>
      <c r="D49" s="5">
        <v>2</v>
      </c>
      <c r="E49" s="9" t="s">
        <v>3176</v>
      </c>
      <c r="F49" s="5" t="s">
        <v>86</v>
      </c>
      <c r="G49" s="5" t="s">
        <v>3177</v>
      </c>
      <c r="H49" s="5"/>
      <c r="I49" s="9" t="s">
        <v>3230</v>
      </c>
      <c r="J49" s="5">
        <v>2029</v>
      </c>
      <c r="K49" s="5">
        <v>1492</v>
      </c>
      <c r="L49" s="9" t="s">
        <v>3254</v>
      </c>
      <c r="M49" s="5">
        <v>14.5</v>
      </c>
      <c r="N49" s="9" t="s">
        <v>3253</v>
      </c>
      <c r="O49" s="9" t="str">
        <f t="shared" si="4"/>
        <v>PDFを開く</v>
      </c>
      <c r="P49" s="9" t="s">
        <v>131</v>
      </c>
    </row>
    <row r="50" spans="1:16" ht="33.950000000000003" customHeight="1">
      <c r="A50" s="2" t="s">
        <v>125</v>
      </c>
      <c r="B50" s="2" t="s">
        <v>73</v>
      </c>
      <c r="C50" s="8" t="s">
        <v>126</v>
      </c>
      <c r="D50" s="2">
        <v>2</v>
      </c>
      <c r="E50" s="8" t="s">
        <v>3188</v>
      </c>
      <c r="F50" s="2" t="s">
        <v>86</v>
      </c>
      <c r="G50" s="2" t="s">
        <v>3177</v>
      </c>
      <c r="H50" s="2"/>
      <c r="I50" s="8" t="s">
        <v>3255</v>
      </c>
      <c r="J50" s="2">
        <v>2026</v>
      </c>
      <c r="K50" s="2"/>
      <c r="L50" s="8" t="s">
        <v>3196</v>
      </c>
      <c r="M50" s="2">
        <v>3.03</v>
      </c>
      <c r="N50" s="8" t="s">
        <v>3256</v>
      </c>
      <c r="O50" s="8" t="str">
        <f t="shared" si="4"/>
        <v>PDFを開く</v>
      </c>
      <c r="P50" s="8" t="s">
        <v>131</v>
      </c>
    </row>
    <row r="51" spans="1:16" ht="33.950000000000003" customHeight="1">
      <c r="A51" s="5" t="s">
        <v>125</v>
      </c>
      <c r="B51" s="5" t="s">
        <v>73</v>
      </c>
      <c r="C51" s="9" t="s">
        <v>126</v>
      </c>
      <c r="D51" s="5">
        <v>2</v>
      </c>
      <c r="E51" s="9" t="s">
        <v>3188</v>
      </c>
      <c r="F51" s="5" t="s">
        <v>86</v>
      </c>
      <c r="G51" s="5" t="s">
        <v>3177</v>
      </c>
      <c r="H51" s="5"/>
      <c r="I51" s="9" t="s">
        <v>3257</v>
      </c>
      <c r="J51" s="5">
        <v>2029</v>
      </c>
      <c r="K51" s="5"/>
      <c r="L51" s="9" t="s">
        <v>3258</v>
      </c>
      <c r="M51" s="5">
        <v>3.03</v>
      </c>
      <c r="N51" s="9" t="s">
        <v>3256</v>
      </c>
      <c r="O51" s="9" t="str">
        <f t="shared" si="4"/>
        <v>PDFを開く</v>
      </c>
      <c r="P51" s="9" t="s">
        <v>131</v>
      </c>
    </row>
    <row r="52" spans="1:16" ht="33.950000000000003" customHeight="1">
      <c r="A52" s="2" t="s">
        <v>132</v>
      </c>
      <c r="B52" s="2" t="s">
        <v>73</v>
      </c>
      <c r="C52" s="8" t="s">
        <v>133</v>
      </c>
      <c r="D52" s="2">
        <v>2</v>
      </c>
      <c r="E52" s="8" t="s">
        <v>3176</v>
      </c>
      <c r="F52" s="2" t="s">
        <v>86</v>
      </c>
      <c r="G52" s="2" t="s">
        <v>3177</v>
      </c>
      <c r="H52" s="2" t="s">
        <v>3178</v>
      </c>
      <c r="I52" s="8" t="s">
        <v>3259</v>
      </c>
      <c r="J52" s="2">
        <v>2027</v>
      </c>
      <c r="K52" s="2">
        <v>1851</v>
      </c>
      <c r="L52" s="8" t="s">
        <v>3260</v>
      </c>
      <c r="M52" s="2">
        <v>11.9</v>
      </c>
      <c r="N52" s="8" t="s">
        <v>3261</v>
      </c>
      <c r="O52" s="8" t="str">
        <f t="shared" ref="O52:O59" si="5">HYPERLINK("https://seichotoushi-hojo.jp/assets/pdf/koufu/outline_103.pdf","PDFを開く")</f>
        <v>PDFを開く</v>
      </c>
      <c r="P52" s="8" t="s">
        <v>138</v>
      </c>
    </row>
    <row r="53" spans="1:16" ht="33.950000000000003" customHeight="1">
      <c r="A53" s="5" t="s">
        <v>132</v>
      </c>
      <c r="B53" s="5" t="s">
        <v>73</v>
      </c>
      <c r="C53" s="9" t="s">
        <v>133</v>
      </c>
      <c r="D53" s="5">
        <v>2</v>
      </c>
      <c r="E53" s="9" t="s">
        <v>3176</v>
      </c>
      <c r="F53" s="5" t="s">
        <v>86</v>
      </c>
      <c r="G53" s="5" t="s">
        <v>3177</v>
      </c>
      <c r="H53" s="5" t="s">
        <v>3178</v>
      </c>
      <c r="I53" s="9" t="s">
        <v>3262</v>
      </c>
      <c r="J53" s="5">
        <v>2030</v>
      </c>
      <c r="K53" s="5">
        <v>2592</v>
      </c>
      <c r="L53" s="9" t="s">
        <v>3263</v>
      </c>
      <c r="M53" s="5">
        <v>11.9</v>
      </c>
      <c r="N53" s="9" t="s">
        <v>3261</v>
      </c>
      <c r="O53" s="9" t="str">
        <f t="shared" si="5"/>
        <v>PDFを開く</v>
      </c>
      <c r="P53" s="9" t="s">
        <v>138</v>
      </c>
    </row>
    <row r="54" spans="1:16" ht="33.950000000000003" customHeight="1">
      <c r="A54" s="2" t="s">
        <v>132</v>
      </c>
      <c r="B54" s="2" t="s">
        <v>73</v>
      </c>
      <c r="C54" s="8" t="s">
        <v>133</v>
      </c>
      <c r="D54" s="2">
        <v>2</v>
      </c>
      <c r="E54" s="8" t="s">
        <v>3184</v>
      </c>
      <c r="F54" s="2" t="s">
        <v>86</v>
      </c>
      <c r="G54" s="2" t="s">
        <v>3177</v>
      </c>
      <c r="H54" s="2" t="s">
        <v>3178</v>
      </c>
      <c r="I54" s="8" t="s">
        <v>3259</v>
      </c>
      <c r="J54" s="2">
        <v>2027</v>
      </c>
      <c r="K54" s="2">
        <v>472</v>
      </c>
      <c r="L54" s="8" t="s">
        <v>3264</v>
      </c>
      <c r="M54" s="2">
        <v>5.3</v>
      </c>
      <c r="N54" s="8" t="s">
        <v>3265</v>
      </c>
      <c r="O54" s="8" t="str">
        <f t="shared" si="5"/>
        <v>PDFを開く</v>
      </c>
      <c r="P54" s="8" t="s">
        <v>138</v>
      </c>
    </row>
    <row r="55" spans="1:16" ht="33.950000000000003" customHeight="1">
      <c r="A55" s="5" t="s">
        <v>132</v>
      </c>
      <c r="B55" s="5" t="s">
        <v>73</v>
      </c>
      <c r="C55" s="9" t="s">
        <v>133</v>
      </c>
      <c r="D55" s="5">
        <v>2</v>
      </c>
      <c r="E55" s="9" t="s">
        <v>3184</v>
      </c>
      <c r="F55" s="5" t="s">
        <v>86</v>
      </c>
      <c r="G55" s="5" t="s">
        <v>3177</v>
      </c>
      <c r="H55" s="5" t="s">
        <v>3178</v>
      </c>
      <c r="I55" s="9" t="s">
        <v>3262</v>
      </c>
      <c r="J55" s="5">
        <v>2030</v>
      </c>
      <c r="K55" s="5">
        <v>551</v>
      </c>
      <c r="L55" s="9" t="s">
        <v>3266</v>
      </c>
      <c r="M55" s="5">
        <v>5.3</v>
      </c>
      <c r="N55" s="9" t="s">
        <v>3265</v>
      </c>
      <c r="O55" s="9" t="str">
        <f t="shared" si="5"/>
        <v>PDFを開く</v>
      </c>
      <c r="P55" s="9" t="s">
        <v>138</v>
      </c>
    </row>
    <row r="56" spans="1:16" ht="33.950000000000003" customHeight="1">
      <c r="A56" s="2" t="s">
        <v>132</v>
      </c>
      <c r="B56" s="2" t="s">
        <v>73</v>
      </c>
      <c r="C56" s="8" t="s">
        <v>133</v>
      </c>
      <c r="D56" s="2">
        <v>2</v>
      </c>
      <c r="E56" s="8" t="s">
        <v>3188</v>
      </c>
      <c r="F56" s="2" t="s">
        <v>86</v>
      </c>
      <c r="G56" s="2" t="s">
        <v>3177</v>
      </c>
      <c r="H56" s="2" t="s">
        <v>3178</v>
      </c>
      <c r="I56" s="8" t="s">
        <v>3259</v>
      </c>
      <c r="J56" s="2">
        <v>2027</v>
      </c>
      <c r="K56" s="2">
        <v>0</v>
      </c>
      <c r="L56" s="8" t="s">
        <v>3267</v>
      </c>
      <c r="M56" s="2">
        <v>0</v>
      </c>
      <c r="N56" s="8" t="s">
        <v>3268</v>
      </c>
      <c r="O56" s="8" t="str">
        <f t="shared" si="5"/>
        <v>PDFを開く</v>
      </c>
      <c r="P56" s="8" t="s">
        <v>138</v>
      </c>
    </row>
    <row r="57" spans="1:16" ht="33.950000000000003" customHeight="1">
      <c r="A57" s="5" t="s">
        <v>132</v>
      </c>
      <c r="B57" s="5" t="s">
        <v>73</v>
      </c>
      <c r="C57" s="9" t="s">
        <v>133</v>
      </c>
      <c r="D57" s="5">
        <v>2</v>
      </c>
      <c r="E57" s="9" t="s">
        <v>3188</v>
      </c>
      <c r="F57" s="5" t="s">
        <v>86</v>
      </c>
      <c r="G57" s="5" t="s">
        <v>3177</v>
      </c>
      <c r="H57" s="5" t="s">
        <v>3178</v>
      </c>
      <c r="I57" s="9" t="s">
        <v>3262</v>
      </c>
      <c r="J57" s="5">
        <v>2030</v>
      </c>
      <c r="K57" s="5">
        <v>0</v>
      </c>
      <c r="L57" s="9" t="s">
        <v>3267</v>
      </c>
      <c r="M57" s="5">
        <v>0</v>
      </c>
      <c r="N57" s="9" t="s">
        <v>3268</v>
      </c>
      <c r="O57" s="9" t="str">
        <f t="shared" si="5"/>
        <v>PDFを開く</v>
      </c>
      <c r="P57" s="9" t="s">
        <v>138</v>
      </c>
    </row>
    <row r="58" spans="1:16" ht="33.950000000000003" customHeight="1">
      <c r="A58" s="2" t="s">
        <v>132</v>
      </c>
      <c r="B58" s="2" t="s">
        <v>73</v>
      </c>
      <c r="C58" s="8" t="s">
        <v>133</v>
      </c>
      <c r="D58" s="2">
        <v>2</v>
      </c>
      <c r="E58" s="8" t="s">
        <v>3191</v>
      </c>
      <c r="F58" s="2" t="s">
        <v>2513</v>
      </c>
      <c r="G58" s="2" t="s">
        <v>3177</v>
      </c>
      <c r="H58" s="2" t="s">
        <v>3178</v>
      </c>
      <c r="I58" s="8" t="s">
        <v>3259</v>
      </c>
      <c r="J58" s="2">
        <v>2027</v>
      </c>
      <c r="K58" s="2">
        <v>35</v>
      </c>
      <c r="L58" s="8" t="s">
        <v>3269</v>
      </c>
      <c r="M58" s="2"/>
      <c r="N58" s="8" t="s">
        <v>3270</v>
      </c>
      <c r="O58" s="8" t="str">
        <f t="shared" si="5"/>
        <v>PDFを開く</v>
      </c>
      <c r="P58" s="8" t="s">
        <v>138</v>
      </c>
    </row>
    <row r="59" spans="1:16" ht="33.950000000000003" customHeight="1">
      <c r="A59" s="5" t="s">
        <v>132</v>
      </c>
      <c r="B59" s="5" t="s">
        <v>73</v>
      </c>
      <c r="C59" s="9" t="s">
        <v>133</v>
      </c>
      <c r="D59" s="5">
        <v>2</v>
      </c>
      <c r="E59" s="9" t="s">
        <v>3191</v>
      </c>
      <c r="F59" s="5" t="s">
        <v>2513</v>
      </c>
      <c r="G59" s="5" t="s">
        <v>3177</v>
      </c>
      <c r="H59" s="5" t="s">
        <v>3178</v>
      </c>
      <c r="I59" s="9" t="s">
        <v>3262</v>
      </c>
      <c r="J59" s="5">
        <v>2030</v>
      </c>
      <c r="K59" s="5">
        <v>50</v>
      </c>
      <c r="L59" s="9" t="s">
        <v>3271</v>
      </c>
      <c r="M59" s="5"/>
      <c r="N59" s="9" t="s">
        <v>3270</v>
      </c>
      <c r="O59" s="9" t="str">
        <f t="shared" si="5"/>
        <v>PDFを開く</v>
      </c>
      <c r="P59" s="9" t="s">
        <v>138</v>
      </c>
    </row>
    <row r="60" spans="1:16" ht="33.950000000000003" customHeight="1">
      <c r="A60" s="2" t="s">
        <v>139</v>
      </c>
      <c r="B60" s="2" t="s">
        <v>73</v>
      </c>
      <c r="C60" s="8" t="s">
        <v>140</v>
      </c>
      <c r="D60" s="2">
        <v>2</v>
      </c>
      <c r="E60" s="8" t="s">
        <v>3176</v>
      </c>
      <c r="F60" s="2" t="s">
        <v>86</v>
      </c>
      <c r="G60" s="2" t="s">
        <v>3177</v>
      </c>
      <c r="H60" s="2" t="s">
        <v>3178</v>
      </c>
      <c r="I60" s="8" t="s">
        <v>3179</v>
      </c>
      <c r="J60" s="2">
        <v>2026</v>
      </c>
      <c r="K60" s="2">
        <v>1169</v>
      </c>
      <c r="L60" s="8" t="s">
        <v>3272</v>
      </c>
      <c r="M60" s="2">
        <v>8.4</v>
      </c>
      <c r="N60" s="8" t="s">
        <v>3273</v>
      </c>
      <c r="O60" s="8" t="str">
        <f t="shared" ref="O60:O68" si="6">HYPERLINK("https://seichotoushi-hojo.jp/assets/pdf/koufu/outline_104.pdf","PDFを開く")</f>
        <v>PDFを開く</v>
      </c>
      <c r="P60" s="8" t="s">
        <v>145</v>
      </c>
    </row>
    <row r="61" spans="1:16" ht="33.950000000000003" customHeight="1">
      <c r="A61" s="5" t="s">
        <v>139</v>
      </c>
      <c r="B61" s="5" t="s">
        <v>73</v>
      </c>
      <c r="C61" s="9" t="s">
        <v>140</v>
      </c>
      <c r="D61" s="5">
        <v>2</v>
      </c>
      <c r="E61" s="9" t="s">
        <v>3176</v>
      </c>
      <c r="F61" s="5" t="s">
        <v>86</v>
      </c>
      <c r="G61" s="5" t="s">
        <v>3177</v>
      </c>
      <c r="H61" s="5" t="s">
        <v>3178</v>
      </c>
      <c r="I61" s="9" t="s">
        <v>3182</v>
      </c>
      <c r="J61" s="5">
        <v>2029</v>
      </c>
      <c r="K61" s="5">
        <v>1489</v>
      </c>
      <c r="L61" s="9" t="s">
        <v>3274</v>
      </c>
      <c r="M61" s="5">
        <v>8.4</v>
      </c>
      <c r="N61" s="9" t="s">
        <v>3273</v>
      </c>
      <c r="O61" s="9" t="str">
        <f t="shared" si="6"/>
        <v>PDFを開く</v>
      </c>
      <c r="P61" s="9" t="s">
        <v>145</v>
      </c>
    </row>
    <row r="62" spans="1:16" ht="33.950000000000003" customHeight="1">
      <c r="A62" s="2" t="s">
        <v>139</v>
      </c>
      <c r="B62" s="2" t="s">
        <v>73</v>
      </c>
      <c r="C62" s="8" t="s">
        <v>140</v>
      </c>
      <c r="D62" s="2">
        <v>2</v>
      </c>
      <c r="E62" s="8" t="s">
        <v>3184</v>
      </c>
      <c r="F62" s="2" t="s">
        <v>86</v>
      </c>
      <c r="G62" s="2" t="s">
        <v>3177</v>
      </c>
      <c r="H62" s="2" t="s">
        <v>3178</v>
      </c>
      <c r="I62" s="8" t="s">
        <v>3179</v>
      </c>
      <c r="J62" s="2">
        <v>2026</v>
      </c>
      <c r="K62" s="2">
        <v>482</v>
      </c>
      <c r="L62" s="8" t="s">
        <v>3275</v>
      </c>
      <c r="M62" s="2">
        <v>4.5</v>
      </c>
      <c r="N62" s="8" t="s">
        <v>3276</v>
      </c>
      <c r="O62" s="8" t="str">
        <f t="shared" si="6"/>
        <v>PDFを開く</v>
      </c>
      <c r="P62" s="8" t="s">
        <v>145</v>
      </c>
    </row>
    <row r="63" spans="1:16" ht="33.950000000000003" customHeight="1">
      <c r="A63" s="5" t="s">
        <v>139</v>
      </c>
      <c r="B63" s="5" t="s">
        <v>73</v>
      </c>
      <c r="C63" s="9" t="s">
        <v>140</v>
      </c>
      <c r="D63" s="5">
        <v>2</v>
      </c>
      <c r="E63" s="9" t="s">
        <v>3184</v>
      </c>
      <c r="F63" s="5" t="s">
        <v>86</v>
      </c>
      <c r="G63" s="5" t="s">
        <v>3177</v>
      </c>
      <c r="H63" s="5" t="s">
        <v>3178</v>
      </c>
      <c r="I63" s="9" t="s">
        <v>3182</v>
      </c>
      <c r="J63" s="5">
        <v>2029</v>
      </c>
      <c r="K63" s="5">
        <v>550</v>
      </c>
      <c r="L63" s="9" t="s">
        <v>3277</v>
      </c>
      <c r="M63" s="5">
        <v>4.5</v>
      </c>
      <c r="N63" s="9" t="s">
        <v>3276</v>
      </c>
      <c r="O63" s="9" t="str">
        <f t="shared" si="6"/>
        <v>PDFを開く</v>
      </c>
      <c r="P63" s="9" t="s">
        <v>145</v>
      </c>
    </row>
    <row r="64" spans="1:16" ht="33.950000000000003" customHeight="1">
      <c r="A64" s="2" t="s">
        <v>139</v>
      </c>
      <c r="B64" s="2" t="s">
        <v>73</v>
      </c>
      <c r="C64" s="8" t="s">
        <v>140</v>
      </c>
      <c r="D64" s="2">
        <v>2</v>
      </c>
      <c r="E64" s="8" t="s">
        <v>3188</v>
      </c>
      <c r="F64" s="2" t="s">
        <v>86</v>
      </c>
      <c r="G64" s="19" t="s">
        <v>3189</v>
      </c>
      <c r="H64" s="2" t="s">
        <v>3178</v>
      </c>
      <c r="I64" s="8"/>
      <c r="J64" s="2"/>
      <c r="K64" s="2"/>
      <c r="L64" s="8"/>
      <c r="M64" s="2">
        <v>4.5</v>
      </c>
      <c r="N64" s="8" t="s">
        <v>3278</v>
      </c>
      <c r="O64" s="8" t="str">
        <f t="shared" si="6"/>
        <v>PDFを開く</v>
      </c>
      <c r="P64" s="8" t="s">
        <v>145</v>
      </c>
    </row>
    <row r="65" spans="1:16" ht="33.950000000000003" customHeight="1">
      <c r="A65" s="5" t="s">
        <v>139</v>
      </c>
      <c r="B65" s="5" t="s">
        <v>73</v>
      </c>
      <c r="C65" s="9" t="s">
        <v>140</v>
      </c>
      <c r="D65" s="5">
        <v>2</v>
      </c>
      <c r="E65" s="9" t="s">
        <v>3191</v>
      </c>
      <c r="F65" s="5" t="s">
        <v>2513</v>
      </c>
      <c r="G65" s="5" t="s">
        <v>3177</v>
      </c>
      <c r="H65" s="5" t="s">
        <v>3178</v>
      </c>
      <c r="I65" s="9" t="s">
        <v>3179</v>
      </c>
      <c r="J65" s="5">
        <v>2026</v>
      </c>
      <c r="K65" s="5">
        <v>215</v>
      </c>
      <c r="L65" s="9" t="s">
        <v>3279</v>
      </c>
      <c r="M65" s="5"/>
      <c r="N65" s="9" t="s">
        <v>3280</v>
      </c>
      <c r="O65" s="9" t="str">
        <f t="shared" si="6"/>
        <v>PDFを開く</v>
      </c>
      <c r="P65" s="9" t="s">
        <v>145</v>
      </c>
    </row>
    <row r="66" spans="1:16" ht="33.950000000000003" customHeight="1">
      <c r="A66" s="2" t="s">
        <v>139</v>
      </c>
      <c r="B66" s="2" t="s">
        <v>73</v>
      </c>
      <c r="C66" s="8" t="s">
        <v>140</v>
      </c>
      <c r="D66" s="2">
        <v>2</v>
      </c>
      <c r="E66" s="8" t="s">
        <v>3191</v>
      </c>
      <c r="F66" s="2" t="s">
        <v>2513</v>
      </c>
      <c r="G66" s="2" t="s">
        <v>3177</v>
      </c>
      <c r="H66" s="2" t="s">
        <v>3178</v>
      </c>
      <c r="I66" s="8" t="s">
        <v>3182</v>
      </c>
      <c r="J66" s="2">
        <v>2029</v>
      </c>
      <c r="K66" s="2">
        <v>225</v>
      </c>
      <c r="L66" s="8" t="s">
        <v>3224</v>
      </c>
      <c r="M66" s="2"/>
      <c r="N66" s="8" t="s">
        <v>3280</v>
      </c>
      <c r="O66" s="8" t="str">
        <f t="shared" si="6"/>
        <v>PDFを開く</v>
      </c>
      <c r="P66" s="8" t="s">
        <v>145</v>
      </c>
    </row>
    <row r="67" spans="1:16" ht="33.950000000000003" customHeight="1">
      <c r="A67" s="5" t="s">
        <v>139</v>
      </c>
      <c r="B67" s="5" t="s">
        <v>73</v>
      </c>
      <c r="C67" s="9" t="s">
        <v>140</v>
      </c>
      <c r="D67" s="5">
        <v>2</v>
      </c>
      <c r="E67" s="9" t="s">
        <v>3188</v>
      </c>
      <c r="F67" s="5" t="s">
        <v>86</v>
      </c>
      <c r="G67" s="5" t="s">
        <v>3177</v>
      </c>
      <c r="H67" s="5"/>
      <c r="I67" s="9" t="s">
        <v>3281</v>
      </c>
      <c r="J67" s="5">
        <v>2026</v>
      </c>
      <c r="K67" s="5"/>
      <c r="L67" s="9" t="s">
        <v>3211</v>
      </c>
      <c r="M67" s="5">
        <v>4.5</v>
      </c>
      <c r="N67" s="9" t="s">
        <v>3282</v>
      </c>
      <c r="O67" s="9" t="str">
        <f t="shared" si="6"/>
        <v>PDFを開く</v>
      </c>
      <c r="P67" s="9" t="s">
        <v>145</v>
      </c>
    </row>
    <row r="68" spans="1:16" ht="33.950000000000003" customHeight="1">
      <c r="A68" s="2" t="s">
        <v>139</v>
      </c>
      <c r="B68" s="2" t="s">
        <v>73</v>
      </c>
      <c r="C68" s="8" t="s">
        <v>140</v>
      </c>
      <c r="D68" s="2">
        <v>2</v>
      </c>
      <c r="E68" s="8" t="s">
        <v>3188</v>
      </c>
      <c r="F68" s="2" t="s">
        <v>86</v>
      </c>
      <c r="G68" s="2" t="s">
        <v>3177</v>
      </c>
      <c r="H68" s="2"/>
      <c r="I68" s="8" t="s">
        <v>3283</v>
      </c>
      <c r="J68" s="2">
        <v>2029</v>
      </c>
      <c r="K68" s="2"/>
      <c r="L68" s="8" t="s">
        <v>3284</v>
      </c>
      <c r="M68" s="2">
        <v>4.5</v>
      </c>
      <c r="N68" s="8" t="s">
        <v>3282</v>
      </c>
      <c r="O68" s="8" t="str">
        <f t="shared" si="6"/>
        <v>PDFを開く</v>
      </c>
      <c r="P68" s="8" t="s">
        <v>145</v>
      </c>
    </row>
    <row r="69" spans="1:16" ht="33.950000000000003" customHeight="1">
      <c r="A69" s="5" t="s">
        <v>146</v>
      </c>
      <c r="B69" s="5" t="s">
        <v>73</v>
      </c>
      <c r="C69" s="9" t="s">
        <v>147</v>
      </c>
      <c r="D69" s="5">
        <v>2</v>
      </c>
      <c r="E69" s="9" t="s">
        <v>3176</v>
      </c>
      <c r="F69" s="5" t="s">
        <v>86</v>
      </c>
      <c r="G69" s="5" t="s">
        <v>3177</v>
      </c>
      <c r="H69" s="5" t="s">
        <v>3178</v>
      </c>
      <c r="I69" s="9" t="s">
        <v>3259</v>
      </c>
      <c r="J69" s="5">
        <v>2027</v>
      </c>
      <c r="K69" s="5">
        <v>877</v>
      </c>
      <c r="L69" s="9" t="s">
        <v>3285</v>
      </c>
      <c r="M69" s="5">
        <v>5.2</v>
      </c>
      <c r="N69" s="9" t="s">
        <v>3286</v>
      </c>
      <c r="O69" s="9" t="str">
        <f>HYPERLINK("https://seichotoushi-hojo.jp/assets/pdf/koufu/outline_105.pdf","PDFを開く")</f>
        <v>PDFを開く</v>
      </c>
      <c r="P69" s="9" t="s">
        <v>155</v>
      </c>
    </row>
    <row r="70" spans="1:16" ht="33.950000000000003" customHeight="1">
      <c r="A70" s="2" t="s">
        <v>146</v>
      </c>
      <c r="B70" s="2" t="s">
        <v>73</v>
      </c>
      <c r="C70" s="8" t="s">
        <v>147</v>
      </c>
      <c r="D70" s="2">
        <v>2</v>
      </c>
      <c r="E70" s="8" t="s">
        <v>3176</v>
      </c>
      <c r="F70" s="2" t="s">
        <v>86</v>
      </c>
      <c r="G70" s="2" t="s">
        <v>3177</v>
      </c>
      <c r="H70" s="2" t="s">
        <v>3178</v>
      </c>
      <c r="I70" s="8" t="s">
        <v>3262</v>
      </c>
      <c r="J70" s="2">
        <v>2030</v>
      </c>
      <c r="K70" s="2">
        <v>1020</v>
      </c>
      <c r="L70" s="8" t="s">
        <v>3287</v>
      </c>
      <c r="M70" s="2">
        <v>5.2</v>
      </c>
      <c r="N70" s="8" t="s">
        <v>3286</v>
      </c>
      <c r="O70" s="8" t="str">
        <f>HYPERLINK("https://seichotoushi-hojo.jp/assets/pdf/koufu/outline_105.pdf","PDFを開く")</f>
        <v>PDFを開く</v>
      </c>
      <c r="P70" s="8" t="s">
        <v>155</v>
      </c>
    </row>
    <row r="71" spans="1:16" ht="33.950000000000003" customHeight="1">
      <c r="A71" s="5" t="s">
        <v>146</v>
      </c>
      <c r="B71" s="5" t="s">
        <v>73</v>
      </c>
      <c r="C71" s="9" t="s">
        <v>147</v>
      </c>
      <c r="D71" s="5">
        <v>2</v>
      </c>
      <c r="E71" s="9" t="s">
        <v>3184</v>
      </c>
      <c r="F71" s="5" t="s">
        <v>86</v>
      </c>
      <c r="G71" s="5" t="s">
        <v>3177</v>
      </c>
      <c r="H71" s="5" t="s">
        <v>3178</v>
      </c>
      <c r="I71" s="9" t="s">
        <v>3259</v>
      </c>
      <c r="J71" s="5">
        <v>2027</v>
      </c>
      <c r="K71" s="5">
        <v>526</v>
      </c>
      <c r="L71" s="9" t="s">
        <v>3288</v>
      </c>
      <c r="M71" s="5">
        <v>5</v>
      </c>
      <c r="N71" s="9" t="s">
        <v>3289</v>
      </c>
      <c r="O71" s="9" t="str">
        <f>HYPERLINK("https://seichotoushi-hojo.jp/assets/pdf/koufu/outline_105.pdf","PDFを開く")</f>
        <v>PDFを開く</v>
      </c>
      <c r="P71" s="9" t="s">
        <v>155</v>
      </c>
    </row>
    <row r="72" spans="1:16" ht="33.950000000000003" customHeight="1">
      <c r="A72" s="2" t="s">
        <v>146</v>
      </c>
      <c r="B72" s="2" t="s">
        <v>73</v>
      </c>
      <c r="C72" s="8" t="s">
        <v>147</v>
      </c>
      <c r="D72" s="2">
        <v>2</v>
      </c>
      <c r="E72" s="8" t="s">
        <v>3184</v>
      </c>
      <c r="F72" s="2" t="s">
        <v>86</v>
      </c>
      <c r="G72" s="2" t="s">
        <v>3177</v>
      </c>
      <c r="H72" s="2" t="s">
        <v>3178</v>
      </c>
      <c r="I72" s="8" t="s">
        <v>3262</v>
      </c>
      <c r="J72" s="2">
        <v>2030</v>
      </c>
      <c r="K72" s="2">
        <v>618</v>
      </c>
      <c r="L72" s="8" t="s">
        <v>3290</v>
      </c>
      <c r="M72" s="2">
        <v>5</v>
      </c>
      <c r="N72" s="8" t="s">
        <v>3289</v>
      </c>
      <c r="O72" s="8" t="str">
        <f>HYPERLINK("https://seichotoushi-hojo.jp/assets/pdf/koufu/outline_105.pdf","PDFを開く")</f>
        <v>PDFを開く</v>
      </c>
      <c r="P72" s="8" t="s">
        <v>155</v>
      </c>
    </row>
    <row r="73" spans="1:16" ht="33.950000000000003" customHeight="1">
      <c r="A73" s="5" t="s">
        <v>146</v>
      </c>
      <c r="B73" s="5" t="s">
        <v>73</v>
      </c>
      <c r="C73" s="9" t="s">
        <v>147</v>
      </c>
      <c r="D73" s="5">
        <v>2</v>
      </c>
      <c r="E73" s="9" t="s">
        <v>3188</v>
      </c>
      <c r="F73" s="5" t="s">
        <v>86</v>
      </c>
      <c r="G73" s="19" t="s">
        <v>3189</v>
      </c>
      <c r="H73" s="5" t="s">
        <v>3178</v>
      </c>
      <c r="I73" s="9"/>
      <c r="J73" s="5"/>
      <c r="K73" s="5"/>
      <c r="L73" s="9"/>
      <c r="M73" s="5">
        <v>8.4</v>
      </c>
      <c r="N73" s="9" t="s">
        <v>3291</v>
      </c>
      <c r="O73" s="9" t="str">
        <f>HYPERLINK("https://seichotoushi-hojo.jp/assets/pdf/koufu/outline_105.pdf","PDFを開く")</f>
        <v>PDFを開く</v>
      </c>
      <c r="P73" s="9" t="s">
        <v>155</v>
      </c>
    </row>
    <row r="74" spans="1:16" ht="33.950000000000003" customHeight="1">
      <c r="A74" s="2" t="s">
        <v>158</v>
      </c>
      <c r="B74" s="2" t="s">
        <v>73</v>
      </c>
      <c r="C74" s="8" t="s">
        <v>159</v>
      </c>
      <c r="D74" s="2">
        <v>2</v>
      </c>
      <c r="E74" s="8" t="s">
        <v>3176</v>
      </c>
      <c r="F74" s="2" t="s">
        <v>86</v>
      </c>
      <c r="G74" s="19" t="s">
        <v>3189</v>
      </c>
      <c r="H74" s="2"/>
      <c r="I74" s="8" t="s">
        <v>3292</v>
      </c>
      <c r="J74" s="2">
        <v>2029</v>
      </c>
      <c r="K74" s="2">
        <v>261</v>
      </c>
      <c r="L74" s="8" t="s">
        <v>3293</v>
      </c>
      <c r="M74" s="2">
        <v>6.4</v>
      </c>
      <c r="N74" s="8" t="s">
        <v>3294</v>
      </c>
      <c r="O74" s="8" t="str">
        <f t="shared" ref="O74:O83" si="7">HYPERLINK("https://seichotoushi-hojo.jp/assets/pdf/koufu/outline_106.pdf","PDFを開く")</f>
        <v>PDFを開く</v>
      </c>
      <c r="P74" s="8" t="s">
        <v>165</v>
      </c>
    </row>
    <row r="75" spans="1:16" ht="33.950000000000003" customHeight="1">
      <c r="A75" s="5" t="s">
        <v>158</v>
      </c>
      <c r="B75" s="5" t="s">
        <v>73</v>
      </c>
      <c r="C75" s="9" t="s">
        <v>159</v>
      </c>
      <c r="D75" s="5">
        <v>2</v>
      </c>
      <c r="E75" s="9" t="s">
        <v>3176</v>
      </c>
      <c r="F75" s="5" t="s">
        <v>86</v>
      </c>
      <c r="G75" s="19" t="s">
        <v>3189</v>
      </c>
      <c r="H75" s="5"/>
      <c r="I75" s="9" t="s">
        <v>3292</v>
      </c>
      <c r="J75" s="5">
        <v>2029</v>
      </c>
      <c r="K75" s="5">
        <v>149</v>
      </c>
      <c r="L75" s="9" t="s">
        <v>3295</v>
      </c>
      <c r="M75" s="5">
        <v>6.4</v>
      </c>
      <c r="N75" s="9" t="s">
        <v>3294</v>
      </c>
      <c r="O75" s="9" t="str">
        <f t="shared" si="7"/>
        <v>PDFを開く</v>
      </c>
      <c r="P75" s="9" t="s">
        <v>165</v>
      </c>
    </row>
    <row r="76" spans="1:16" ht="33.950000000000003" customHeight="1">
      <c r="A76" s="2" t="s">
        <v>158</v>
      </c>
      <c r="B76" s="2" t="s">
        <v>73</v>
      </c>
      <c r="C76" s="8" t="s">
        <v>159</v>
      </c>
      <c r="D76" s="2">
        <v>2</v>
      </c>
      <c r="E76" s="8" t="s">
        <v>3176</v>
      </c>
      <c r="F76" s="2" t="s">
        <v>86</v>
      </c>
      <c r="G76" s="19" t="s">
        <v>3189</v>
      </c>
      <c r="H76" s="2"/>
      <c r="I76" s="8" t="s">
        <v>3227</v>
      </c>
      <c r="J76" s="2">
        <v>2026</v>
      </c>
      <c r="K76" s="2">
        <v>216</v>
      </c>
      <c r="L76" s="8" t="s">
        <v>3296</v>
      </c>
      <c r="M76" s="2">
        <v>6.4</v>
      </c>
      <c r="N76" s="8" t="s">
        <v>3294</v>
      </c>
      <c r="O76" s="8" t="str">
        <f t="shared" si="7"/>
        <v>PDFを開く</v>
      </c>
      <c r="P76" s="8" t="s">
        <v>165</v>
      </c>
    </row>
    <row r="77" spans="1:16" ht="33.950000000000003" customHeight="1">
      <c r="A77" s="5" t="s">
        <v>158</v>
      </c>
      <c r="B77" s="5" t="s">
        <v>73</v>
      </c>
      <c r="C77" s="9" t="s">
        <v>159</v>
      </c>
      <c r="D77" s="5">
        <v>2</v>
      </c>
      <c r="E77" s="9" t="s">
        <v>3176</v>
      </c>
      <c r="F77" s="5" t="s">
        <v>86</v>
      </c>
      <c r="G77" s="19" t="s">
        <v>3189</v>
      </c>
      <c r="H77" s="5"/>
      <c r="I77" s="9" t="s">
        <v>3227</v>
      </c>
      <c r="J77" s="5">
        <v>2026</v>
      </c>
      <c r="K77" s="5">
        <v>128</v>
      </c>
      <c r="L77" s="9" t="s">
        <v>3297</v>
      </c>
      <c r="M77" s="5">
        <v>6.4</v>
      </c>
      <c r="N77" s="9" t="s">
        <v>3294</v>
      </c>
      <c r="O77" s="9" t="str">
        <f t="shared" si="7"/>
        <v>PDFを開く</v>
      </c>
      <c r="P77" s="9" t="s">
        <v>165</v>
      </c>
    </row>
    <row r="78" spans="1:16" ht="33.950000000000003" customHeight="1">
      <c r="A78" s="2" t="s">
        <v>158</v>
      </c>
      <c r="B78" s="2" t="s">
        <v>73</v>
      </c>
      <c r="C78" s="8" t="s">
        <v>159</v>
      </c>
      <c r="D78" s="2">
        <v>2</v>
      </c>
      <c r="E78" s="8" t="s">
        <v>3191</v>
      </c>
      <c r="F78" s="2" t="s">
        <v>2513</v>
      </c>
      <c r="G78" s="2" t="s">
        <v>3177</v>
      </c>
      <c r="H78" s="2"/>
      <c r="I78" s="8" t="s">
        <v>3227</v>
      </c>
      <c r="J78" s="2">
        <v>2026</v>
      </c>
      <c r="K78" s="2">
        <v>750</v>
      </c>
      <c r="L78" s="8" t="s">
        <v>3298</v>
      </c>
      <c r="M78" s="2"/>
      <c r="N78" s="8" t="s">
        <v>3299</v>
      </c>
      <c r="O78" s="8" t="str">
        <f t="shared" si="7"/>
        <v>PDFを開く</v>
      </c>
      <c r="P78" s="8" t="s">
        <v>165</v>
      </c>
    </row>
    <row r="79" spans="1:16" ht="33.950000000000003" customHeight="1">
      <c r="A79" s="5" t="s">
        <v>158</v>
      </c>
      <c r="B79" s="5" t="s">
        <v>73</v>
      </c>
      <c r="C79" s="9" t="s">
        <v>159</v>
      </c>
      <c r="D79" s="5">
        <v>2</v>
      </c>
      <c r="E79" s="9" t="s">
        <v>3191</v>
      </c>
      <c r="F79" s="5" t="s">
        <v>2513</v>
      </c>
      <c r="G79" s="5" t="s">
        <v>3177</v>
      </c>
      <c r="H79" s="5"/>
      <c r="I79" s="9" t="s">
        <v>3292</v>
      </c>
      <c r="J79" s="5">
        <v>2029</v>
      </c>
      <c r="K79" s="5">
        <v>900</v>
      </c>
      <c r="L79" s="9" t="s">
        <v>3300</v>
      </c>
      <c r="M79" s="5"/>
      <c r="N79" s="9" t="s">
        <v>3299</v>
      </c>
      <c r="O79" s="9" t="str">
        <f t="shared" si="7"/>
        <v>PDFを開く</v>
      </c>
      <c r="P79" s="9" t="s">
        <v>165</v>
      </c>
    </row>
    <row r="80" spans="1:16" ht="33.950000000000003" customHeight="1">
      <c r="A80" s="2" t="s">
        <v>158</v>
      </c>
      <c r="B80" s="2" t="s">
        <v>73</v>
      </c>
      <c r="C80" s="8" t="s">
        <v>159</v>
      </c>
      <c r="D80" s="2">
        <v>2</v>
      </c>
      <c r="E80" s="8" t="s">
        <v>3184</v>
      </c>
      <c r="F80" s="2" t="s">
        <v>86</v>
      </c>
      <c r="G80" s="2" t="s">
        <v>3177</v>
      </c>
      <c r="H80" s="2"/>
      <c r="I80" s="8" t="s">
        <v>3227</v>
      </c>
      <c r="J80" s="2">
        <v>2026</v>
      </c>
      <c r="K80" s="2">
        <v>128</v>
      </c>
      <c r="L80" s="8" t="s">
        <v>3297</v>
      </c>
      <c r="M80" s="2">
        <v>5.2</v>
      </c>
      <c r="N80" s="8" t="s">
        <v>3301</v>
      </c>
      <c r="O80" s="8" t="str">
        <f t="shared" si="7"/>
        <v>PDFを開く</v>
      </c>
      <c r="P80" s="8" t="s">
        <v>165</v>
      </c>
    </row>
    <row r="81" spans="1:16" ht="33.950000000000003" customHeight="1">
      <c r="A81" s="5" t="s">
        <v>158</v>
      </c>
      <c r="B81" s="5" t="s">
        <v>73</v>
      </c>
      <c r="C81" s="9" t="s">
        <v>159</v>
      </c>
      <c r="D81" s="5">
        <v>2</v>
      </c>
      <c r="E81" s="9" t="s">
        <v>3184</v>
      </c>
      <c r="F81" s="5" t="s">
        <v>86</v>
      </c>
      <c r="G81" s="5" t="s">
        <v>3177</v>
      </c>
      <c r="H81" s="5"/>
      <c r="I81" s="9" t="s">
        <v>3230</v>
      </c>
      <c r="J81" s="5">
        <v>2029</v>
      </c>
      <c r="K81" s="5">
        <v>149</v>
      </c>
      <c r="L81" s="9" t="s">
        <v>3295</v>
      </c>
      <c r="M81" s="5">
        <v>5.2</v>
      </c>
      <c r="N81" s="9" t="s">
        <v>3301</v>
      </c>
      <c r="O81" s="9" t="str">
        <f t="shared" si="7"/>
        <v>PDFを開く</v>
      </c>
      <c r="P81" s="9" t="s">
        <v>165</v>
      </c>
    </row>
    <row r="82" spans="1:16" ht="33.950000000000003" customHeight="1">
      <c r="A82" s="2" t="s">
        <v>158</v>
      </c>
      <c r="B82" s="2" t="s">
        <v>73</v>
      </c>
      <c r="C82" s="8" t="s">
        <v>159</v>
      </c>
      <c r="D82" s="2">
        <v>2</v>
      </c>
      <c r="E82" s="8" t="s">
        <v>3176</v>
      </c>
      <c r="F82" s="2" t="s">
        <v>86</v>
      </c>
      <c r="G82" s="2" t="s">
        <v>3177</v>
      </c>
      <c r="H82" s="2"/>
      <c r="I82" s="8" t="s">
        <v>3227</v>
      </c>
      <c r="J82" s="2">
        <v>2026</v>
      </c>
      <c r="K82" s="2">
        <v>216</v>
      </c>
      <c r="L82" s="8" t="s">
        <v>3296</v>
      </c>
      <c r="M82" s="2">
        <v>6.4</v>
      </c>
      <c r="N82" s="8" t="s">
        <v>3294</v>
      </c>
      <c r="O82" s="8" t="str">
        <f t="shared" si="7"/>
        <v>PDFを開く</v>
      </c>
      <c r="P82" s="8" t="s">
        <v>165</v>
      </c>
    </row>
    <row r="83" spans="1:16" ht="33.950000000000003" customHeight="1">
      <c r="A83" s="5" t="s">
        <v>158</v>
      </c>
      <c r="B83" s="5" t="s">
        <v>73</v>
      </c>
      <c r="C83" s="9" t="s">
        <v>159</v>
      </c>
      <c r="D83" s="5">
        <v>2</v>
      </c>
      <c r="E83" s="9" t="s">
        <v>3176</v>
      </c>
      <c r="F83" s="5" t="s">
        <v>86</v>
      </c>
      <c r="G83" s="5" t="s">
        <v>3177</v>
      </c>
      <c r="H83" s="5"/>
      <c r="I83" s="9" t="s">
        <v>3292</v>
      </c>
      <c r="J83" s="5">
        <v>2029</v>
      </c>
      <c r="K83" s="5">
        <v>261</v>
      </c>
      <c r="L83" s="9" t="s">
        <v>3293</v>
      </c>
      <c r="M83" s="5">
        <v>6.4</v>
      </c>
      <c r="N83" s="9" t="s">
        <v>3294</v>
      </c>
      <c r="O83" s="9" t="str">
        <f t="shared" si="7"/>
        <v>PDFを開く</v>
      </c>
      <c r="P83" s="9" t="s">
        <v>165</v>
      </c>
    </row>
    <row r="84" spans="1:16" ht="33.950000000000003" customHeight="1">
      <c r="A84" s="2" t="s">
        <v>167</v>
      </c>
      <c r="B84" s="2" t="s">
        <v>73</v>
      </c>
      <c r="C84" s="8" t="s">
        <v>168</v>
      </c>
      <c r="D84" s="2">
        <v>2</v>
      </c>
      <c r="E84" s="8" t="s">
        <v>3176</v>
      </c>
      <c r="F84" s="2" t="s">
        <v>86</v>
      </c>
      <c r="G84" s="2" t="s">
        <v>3177</v>
      </c>
      <c r="H84" s="2"/>
      <c r="I84" s="8" t="s">
        <v>3302</v>
      </c>
      <c r="J84" s="2"/>
      <c r="K84" s="2">
        <v>1375</v>
      </c>
      <c r="L84" s="8" t="s">
        <v>3303</v>
      </c>
      <c r="M84" s="2">
        <v>1.3</v>
      </c>
      <c r="N84" s="8" t="s">
        <v>3304</v>
      </c>
      <c r="O84" s="8" t="str">
        <f t="shared" ref="O84:O92" si="8">HYPERLINK("https://seichotoushi-hojo.jp/assets/pdf/koufu/outline_107.pdf","PDFを開く")</f>
        <v>PDFを開く</v>
      </c>
      <c r="P84" s="8" t="s">
        <v>174</v>
      </c>
    </row>
    <row r="85" spans="1:16" ht="33.950000000000003" customHeight="1">
      <c r="A85" s="5" t="s">
        <v>167</v>
      </c>
      <c r="B85" s="5" t="s">
        <v>73</v>
      </c>
      <c r="C85" s="9" t="s">
        <v>168</v>
      </c>
      <c r="D85" s="5">
        <v>2</v>
      </c>
      <c r="E85" s="9" t="s">
        <v>3176</v>
      </c>
      <c r="F85" s="5" t="s">
        <v>86</v>
      </c>
      <c r="G85" s="5" t="s">
        <v>3177</v>
      </c>
      <c r="H85" s="5"/>
      <c r="I85" s="9" t="s">
        <v>3305</v>
      </c>
      <c r="J85" s="5"/>
      <c r="K85" s="5">
        <v>1431</v>
      </c>
      <c r="L85" s="9" t="s">
        <v>3306</v>
      </c>
      <c r="M85" s="5">
        <v>1.3</v>
      </c>
      <c r="N85" s="9" t="s">
        <v>3304</v>
      </c>
      <c r="O85" s="9" t="str">
        <f t="shared" si="8"/>
        <v>PDFを開く</v>
      </c>
      <c r="P85" s="9" t="s">
        <v>174</v>
      </c>
    </row>
    <row r="86" spans="1:16" ht="33.950000000000003" customHeight="1">
      <c r="A86" s="2" t="s">
        <v>167</v>
      </c>
      <c r="B86" s="2" t="s">
        <v>73</v>
      </c>
      <c r="C86" s="8" t="s">
        <v>168</v>
      </c>
      <c r="D86" s="2">
        <v>2</v>
      </c>
      <c r="E86" s="8" t="s">
        <v>3184</v>
      </c>
      <c r="F86" s="2" t="s">
        <v>86</v>
      </c>
      <c r="G86" s="2" t="s">
        <v>3177</v>
      </c>
      <c r="H86" s="2"/>
      <c r="I86" s="8" t="s">
        <v>3302</v>
      </c>
      <c r="J86" s="2"/>
      <c r="K86" s="2">
        <v>312</v>
      </c>
      <c r="L86" s="8" t="s">
        <v>3307</v>
      </c>
      <c r="M86" s="2">
        <v>4.5</v>
      </c>
      <c r="N86" s="8" t="s">
        <v>3308</v>
      </c>
      <c r="O86" s="8" t="str">
        <f t="shared" si="8"/>
        <v>PDFを開く</v>
      </c>
      <c r="P86" s="8" t="s">
        <v>174</v>
      </c>
    </row>
    <row r="87" spans="1:16" ht="33.950000000000003" customHeight="1">
      <c r="A87" s="5" t="s">
        <v>167</v>
      </c>
      <c r="B87" s="5" t="s">
        <v>73</v>
      </c>
      <c r="C87" s="9" t="s">
        <v>168</v>
      </c>
      <c r="D87" s="5">
        <v>2</v>
      </c>
      <c r="E87" s="9" t="s">
        <v>3184</v>
      </c>
      <c r="F87" s="5" t="s">
        <v>86</v>
      </c>
      <c r="G87" s="5" t="s">
        <v>3177</v>
      </c>
      <c r="H87" s="5"/>
      <c r="I87" s="9" t="s">
        <v>3305</v>
      </c>
      <c r="J87" s="5"/>
      <c r="K87" s="5">
        <v>356</v>
      </c>
      <c r="L87" s="9" t="s">
        <v>3309</v>
      </c>
      <c r="M87" s="5">
        <v>4.5</v>
      </c>
      <c r="N87" s="9" t="s">
        <v>3308</v>
      </c>
      <c r="O87" s="9" t="str">
        <f t="shared" si="8"/>
        <v>PDFを開く</v>
      </c>
      <c r="P87" s="9" t="s">
        <v>174</v>
      </c>
    </row>
    <row r="88" spans="1:16" ht="33.950000000000003" customHeight="1">
      <c r="A88" s="2" t="s">
        <v>167</v>
      </c>
      <c r="B88" s="2" t="s">
        <v>73</v>
      </c>
      <c r="C88" s="8" t="s">
        <v>168</v>
      </c>
      <c r="D88" s="2">
        <v>2</v>
      </c>
      <c r="E88" s="8" t="s">
        <v>3188</v>
      </c>
      <c r="F88" s="2" t="s">
        <v>86</v>
      </c>
      <c r="G88" s="19" t="s">
        <v>3189</v>
      </c>
      <c r="H88" s="2"/>
      <c r="I88" s="8"/>
      <c r="J88" s="2"/>
      <c r="K88" s="2"/>
      <c r="L88" s="8"/>
      <c r="M88" s="2">
        <v>5.0999999999999996</v>
      </c>
      <c r="N88" s="8" t="s">
        <v>3310</v>
      </c>
      <c r="O88" s="8" t="str">
        <f t="shared" si="8"/>
        <v>PDFを開く</v>
      </c>
      <c r="P88" s="8" t="s">
        <v>174</v>
      </c>
    </row>
    <row r="89" spans="1:16" ht="33.950000000000003" customHeight="1">
      <c r="A89" s="5" t="s">
        <v>167</v>
      </c>
      <c r="B89" s="5" t="s">
        <v>73</v>
      </c>
      <c r="C89" s="9" t="s">
        <v>168</v>
      </c>
      <c r="D89" s="5">
        <v>2</v>
      </c>
      <c r="E89" s="9" t="s">
        <v>3191</v>
      </c>
      <c r="F89" s="5" t="s">
        <v>2513</v>
      </c>
      <c r="G89" s="5" t="s">
        <v>3177</v>
      </c>
      <c r="H89" s="5"/>
      <c r="I89" s="9" t="s">
        <v>3302</v>
      </c>
      <c r="J89" s="5"/>
      <c r="K89" s="5">
        <v>54</v>
      </c>
      <c r="L89" s="9" t="s">
        <v>3311</v>
      </c>
      <c r="M89" s="5"/>
      <c r="N89" s="9" t="s">
        <v>3312</v>
      </c>
      <c r="O89" s="9" t="str">
        <f t="shared" si="8"/>
        <v>PDFを開く</v>
      </c>
      <c r="P89" s="9" t="s">
        <v>174</v>
      </c>
    </row>
    <row r="90" spans="1:16" ht="33.950000000000003" customHeight="1">
      <c r="A90" s="2" t="s">
        <v>167</v>
      </c>
      <c r="B90" s="2" t="s">
        <v>73</v>
      </c>
      <c r="C90" s="8" t="s">
        <v>168</v>
      </c>
      <c r="D90" s="2">
        <v>2</v>
      </c>
      <c r="E90" s="8" t="s">
        <v>3191</v>
      </c>
      <c r="F90" s="2" t="s">
        <v>2513</v>
      </c>
      <c r="G90" s="2" t="s">
        <v>3177</v>
      </c>
      <c r="H90" s="2"/>
      <c r="I90" s="8" t="s">
        <v>3305</v>
      </c>
      <c r="J90" s="2"/>
      <c r="K90" s="2">
        <v>95</v>
      </c>
      <c r="L90" s="8" t="s">
        <v>3313</v>
      </c>
      <c r="M90" s="2"/>
      <c r="N90" s="8" t="s">
        <v>3312</v>
      </c>
      <c r="O90" s="8" t="str">
        <f t="shared" si="8"/>
        <v>PDFを開く</v>
      </c>
      <c r="P90" s="8" t="s">
        <v>174</v>
      </c>
    </row>
    <row r="91" spans="1:16" ht="33.950000000000003" customHeight="1">
      <c r="A91" s="5" t="s">
        <v>167</v>
      </c>
      <c r="B91" s="5" t="s">
        <v>73</v>
      </c>
      <c r="C91" s="9" t="s">
        <v>168</v>
      </c>
      <c r="D91" s="5">
        <v>2</v>
      </c>
      <c r="E91" s="9" t="s">
        <v>3188</v>
      </c>
      <c r="F91" s="5" t="s">
        <v>86</v>
      </c>
      <c r="G91" s="5" t="s">
        <v>3177</v>
      </c>
      <c r="H91" s="5"/>
      <c r="I91" s="9" t="s">
        <v>3314</v>
      </c>
      <c r="J91" s="5"/>
      <c r="K91" s="5"/>
      <c r="L91" s="9" t="s">
        <v>3211</v>
      </c>
      <c r="M91" s="5">
        <v>5.0999999999999996</v>
      </c>
      <c r="N91" s="9" t="s">
        <v>3315</v>
      </c>
      <c r="O91" s="9" t="str">
        <f t="shared" si="8"/>
        <v>PDFを開く</v>
      </c>
      <c r="P91" s="9" t="s">
        <v>174</v>
      </c>
    </row>
    <row r="92" spans="1:16" ht="33.950000000000003" customHeight="1">
      <c r="A92" s="2" t="s">
        <v>167</v>
      </c>
      <c r="B92" s="2" t="s">
        <v>73</v>
      </c>
      <c r="C92" s="8" t="s">
        <v>168</v>
      </c>
      <c r="D92" s="2">
        <v>2</v>
      </c>
      <c r="E92" s="8" t="s">
        <v>3188</v>
      </c>
      <c r="F92" s="2" t="s">
        <v>86</v>
      </c>
      <c r="G92" s="2" t="s">
        <v>3177</v>
      </c>
      <c r="H92" s="2"/>
      <c r="I92" s="8" t="s">
        <v>3316</v>
      </c>
      <c r="J92" s="2"/>
      <c r="K92" s="2"/>
      <c r="L92" s="8" t="s">
        <v>3317</v>
      </c>
      <c r="M92" s="2">
        <v>5.0999999999999996</v>
      </c>
      <c r="N92" s="8" t="s">
        <v>3315</v>
      </c>
      <c r="O92" s="8" t="str">
        <f t="shared" si="8"/>
        <v>PDFを開く</v>
      </c>
      <c r="P92" s="8" t="s">
        <v>174</v>
      </c>
    </row>
    <row r="93" spans="1:16" ht="33.950000000000003" customHeight="1">
      <c r="A93" s="5" t="s">
        <v>175</v>
      </c>
      <c r="B93" s="5" t="s">
        <v>73</v>
      </c>
      <c r="C93" s="9" t="s">
        <v>176</v>
      </c>
      <c r="D93" s="5">
        <v>4</v>
      </c>
      <c r="E93" s="9" t="s">
        <v>3176</v>
      </c>
      <c r="F93" s="5" t="s">
        <v>86</v>
      </c>
      <c r="G93" s="5" t="s">
        <v>3177</v>
      </c>
      <c r="H93" s="5" t="s">
        <v>3178</v>
      </c>
      <c r="I93" s="9" t="s">
        <v>3318</v>
      </c>
      <c r="J93" s="5">
        <v>2024</v>
      </c>
      <c r="K93" s="5">
        <v>926</v>
      </c>
      <c r="L93" s="9" t="s">
        <v>3319</v>
      </c>
      <c r="M93" s="5">
        <v>12</v>
      </c>
      <c r="N93" s="9" t="s">
        <v>3320</v>
      </c>
      <c r="O93" s="9" t="str">
        <f t="shared" ref="O93:O100" si="9">HYPERLINK("https://seichotoushi-hojo.jp/assets/pdf/koufu/outline_108.pdf","PDFを開く")</f>
        <v>PDFを開く</v>
      </c>
      <c r="P93" s="9" t="s">
        <v>183</v>
      </c>
    </row>
    <row r="94" spans="1:16" ht="33.950000000000003" customHeight="1">
      <c r="A94" s="2" t="s">
        <v>175</v>
      </c>
      <c r="B94" s="2" t="s">
        <v>73</v>
      </c>
      <c r="C94" s="8" t="s">
        <v>176</v>
      </c>
      <c r="D94" s="2">
        <v>4</v>
      </c>
      <c r="E94" s="8" t="s">
        <v>3176</v>
      </c>
      <c r="F94" s="2" t="s">
        <v>86</v>
      </c>
      <c r="G94" s="2" t="s">
        <v>3177</v>
      </c>
      <c r="H94" s="2" t="s">
        <v>3178</v>
      </c>
      <c r="I94" s="8" t="s">
        <v>3321</v>
      </c>
      <c r="J94" s="2">
        <v>2027</v>
      </c>
      <c r="K94" s="2">
        <v>1302</v>
      </c>
      <c r="L94" s="8" t="s">
        <v>3322</v>
      </c>
      <c r="M94" s="2">
        <v>12</v>
      </c>
      <c r="N94" s="8" t="s">
        <v>3320</v>
      </c>
      <c r="O94" s="8" t="str">
        <f t="shared" si="9"/>
        <v>PDFを開く</v>
      </c>
      <c r="P94" s="8" t="s">
        <v>183</v>
      </c>
    </row>
    <row r="95" spans="1:16" ht="33.950000000000003" customHeight="1">
      <c r="A95" s="5" t="s">
        <v>175</v>
      </c>
      <c r="B95" s="5" t="s">
        <v>73</v>
      </c>
      <c r="C95" s="9" t="s">
        <v>176</v>
      </c>
      <c r="D95" s="5">
        <v>4</v>
      </c>
      <c r="E95" s="9" t="s">
        <v>3184</v>
      </c>
      <c r="F95" s="5" t="s">
        <v>86</v>
      </c>
      <c r="G95" s="5" t="s">
        <v>3177</v>
      </c>
      <c r="H95" s="5" t="s">
        <v>3178</v>
      </c>
      <c r="I95" s="9" t="s">
        <v>3318</v>
      </c>
      <c r="J95" s="5">
        <v>2024</v>
      </c>
      <c r="K95" s="5">
        <v>449</v>
      </c>
      <c r="L95" s="9" t="s">
        <v>3323</v>
      </c>
      <c r="M95" s="5">
        <v>5</v>
      </c>
      <c r="N95" s="9" t="s">
        <v>3324</v>
      </c>
      <c r="O95" s="9" t="str">
        <f t="shared" si="9"/>
        <v>PDFを開く</v>
      </c>
      <c r="P95" s="9" t="s">
        <v>183</v>
      </c>
    </row>
    <row r="96" spans="1:16" ht="33.950000000000003" customHeight="1">
      <c r="A96" s="2" t="s">
        <v>175</v>
      </c>
      <c r="B96" s="2" t="s">
        <v>73</v>
      </c>
      <c r="C96" s="8" t="s">
        <v>176</v>
      </c>
      <c r="D96" s="2">
        <v>4</v>
      </c>
      <c r="E96" s="8" t="s">
        <v>3184</v>
      </c>
      <c r="F96" s="2" t="s">
        <v>86</v>
      </c>
      <c r="G96" s="2" t="s">
        <v>3177</v>
      </c>
      <c r="H96" s="2" t="s">
        <v>3178</v>
      </c>
      <c r="I96" s="8" t="s">
        <v>3321</v>
      </c>
      <c r="J96" s="2">
        <v>2027</v>
      </c>
      <c r="K96" s="2">
        <v>520</v>
      </c>
      <c r="L96" s="8" t="s">
        <v>3325</v>
      </c>
      <c r="M96" s="2">
        <v>5</v>
      </c>
      <c r="N96" s="8" t="s">
        <v>3324</v>
      </c>
      <c r="O96" s="8" t="str">
        <f t="shared" si="9"/>
        <v>PDFを開く</v>
      </c>
      <c r="P96" s="8" t="s">
        <v>183</v>
      </c>
    </row>
    <row r="97" spans="1:16" ht="33.950000000000003" customHeight="1">
      <c r="A97" s="5" t="s">
        <v>175</v>
      </c>
      <c r="B97" s="5" t="s">
        <v>73</v>
      </c>
      <c r="C97" s="9" t="s">
        <v>176</v>
      </c>
      <c r="D97" s="5">
        <v>4</v>
      </c>
      <c r="E97" s="9" t="s">
        <v>3188</v>
      </c>
      <c r="F97" s="5" t="s">
        <v>86</v>
      </c>
      <c r="G97" s="5" t="s">
        <v>3177</v>
      </c>
      <c r="H97" s="5" t="s">
        <v>3178</v>
      </c>
      <c r="I97" s="9" t="s">
        <v>3318</v>
      </c>
      <c r="J97" s="5">
        <v>2024</v>
      </c>
      <c r="K97" s="5">
        <v>1182</v>
      </c>
      <c r="L97" s="9" t="s">
        <v>3326</v>
      </c>
      <c r="M97" s="5">
        <v>5</v>
      </c>
      <c r="N97" s="9" t="s">
        <v>3327</v>
      </c>
      <c r="O97" s="9" t="str">
        <f t="shared" si="9"/>
        <v>PDFを開く</v>
      </c>
      <c r="P97" s="9" t="s">
        <v>183</v>
      </c>
    </row>
    <row r="98" spans="1:16" ht="33.950000000000003" customHeight="1">
      <c r="A98" s="2" t="s">
        <v>175</v>
      </c>
      <c r="B98" s="2" t="s">
        <v>73</v>
      </c>
      <c r="C98" s="8" t="s">
        <v>176</v>
      </c>
      <c r="D98" s="2">
        <v>4</v>
      </c>
      <c r="E98" s="8" t="s">
        <v>3188</v>
      </c>
      <c r="F98" s="2" t="s">
        <v>86</v>
      </c>
      <c r="G98" s="2" t="s">
        <v>3177</v>
      </c>
      <c r="H98" s="2" t="s">
        <v>3178</v>
      </c>
      <c r="I98" s="8" t="s">
        <v>3321</v>
      </c>
      <c r="J98" s="2">
        <v>2027</v>
      </c>
      <c r="K98" s="2">
        <v>1368</v>
      </c>
      <c r="L98" s="8" t="s">
        <v>3328</v>
      </c>
      <c r="M98" s="2">
        <v>5</v>
      </c>
      <c r="N98" s="8" t="s">
        <v>3327</v>
      </c>
      <c r="O98" s="8" t="str">
        <f t="shared" si="9"/>
        <v>PDFを開く</v>
      </c>
      <c r="P98" s="8" t="s">
        <v>183</v>
      </c>
    </row>
    <row r="99" spans="1:16" ht="33.950000000000003" customHeight="1">
      <c r="A99" s="5" t="s">
        <v>175</v>
      </c>
      <c r="B99" s="5" t="s">
        <v>73</v>
      </c>
      <c r="C99" s="9" t="s">
        <v>176</v>
      </c>
      <c r="D99" s="5">
        <v>4</v>
      </c>
      <c r="E99" s="9" t="s">
        <v>3191</v>
      </c>
      <c r="F99" s="5" t="s">
        <v>2513</v>
      </c>
      <c r="G99" s="5" t="s">
        <v>3177</v>
      </c>
      <c r="H99" s="5" t="s">
        <v>3178</v>
      </c>
      <c r="I99" s="9" t="s">
        <v>3318</v>
      </c>
      <c r="J99" s="5">
        <v>2024</v>
      </c>
      <c r="K99" s="5">
        <v>773</v>
      </c>
      <c r="L99" s="9" t="s">
        <v>3329</v>
      </c>
      <c r="M99" s="5"/>
      <c r="N99" s="9" t="s">
        <v>3330</v>
      </c>
      <c r="O99" s="9" t="str">
        <f t="shared" si="9"/>
        <v>PDFを開く</v>
      </c>
      <c r="P99" s="9" t="s">
        <v>183</v>
      </c>
    </row>
    <row r="100" spans="1:16" ht="33.950000000000003" customHeight="1">
      <c r="A100" s="2" t="s">
        <v>175</v>
      </c>
      <c r="B100" s="2" t="s">
        <v>73</v>
      </c>
      <c r="C100" s="8" t="s">
        <v>176</v>
      </c>
      <c r="D100" s="2">
        <v>4</v>
      </c>
      <c r="E100" s="8" t="s">
        <v>3191</v>
      </c>
      <c r="F100" s="2" t="s">
        <v>2513</v>
      </c>
      <c r="G100" s="2" t="s">
        <v>3177</v>
      </c>
      <c r="H100" s="2" t="s">
        <v>3178</v>
      </c>
      <c r="I100" s="8" t="s">
        <v>3321</v>
      </c>
      <c r="J100" s="2">
        <v>2027</v>
      </c>
      <c r="K100" s="2">
        <v>901</v>
      </c>
      <c r="L100" s="8" t="s">
        <v>3331</v>
      </c>
      <c r="M100" s="2"/>
      <c r="N100" s="8" t="s">
        <v>3330</v>
      </c>
      <c r="O100" s="8" t="str">
        <f t="shared" si="9"/>
        <v>PDFを開く</v>
      </c>
      <c r="P100" s="8" t="s">
        <v>183</v>
      </c>
    </row>
    <row r="101" spans="1:16" ht="33.950000000000003" customHeight="1">
      <c r="A101" s="5" t="s">
        <v>184</v>
      </c>
      <c r="B101" s="5" t="s">
        <v>73</v>
      </c>
      <c r="C101" s="9" t="s">
        <v>185</v>
      </c>
      <c r="D101" s="5">
        <v>2</v>
      </c>
      <c r="E101" s="9" t="s">
        <v>3176</v>
      </c>
      <c r="F101" s="5" t="s">
        <v>86</v>
      </c>
      <c r="G101" s="5" t="s">
        <v>3177</v>
      </c>
      <c r="H101" s="5" t="s">
        <v>3178</v>
      </c>
      <c r="I101" s="9" t="s">
        <v>3332</v>
      </c>
      <c r="J101" s="5">
        <v>2025</v>
      </c>
      <c r="K101" s="5">
        <v>867</v>
      </c>
      <c r="L101" s="9" t="s">
        <v>3333</v>
      </c>
      <c r="M101" s="5">
        <v>17</v>
      </c>
      <c r="N101" s="9" t="s">
        <v>3334</v>
      </c>
      <c r="O101" s="9" t="str">
        <f t="shared" ref="O101:O108" si="10">HYPERLINK("https://seichotoushi-hojo.jp/assets/pdf/koufu/outline_109.pdf","PDFを開く")</f>
        <v>PDFを開く</v>
      </c>
      <c r="P101" s="9" t="s">
        <v>194</v>
      </c>
    </row>
    <row r="102" spans="1:16" ht="33.950000000000003" customHeight="1">
      <c r="A102" s="2" t="s">
        <v>184</v>
      </c>
      <c r="B102" s="2" t="s">
        <v>73</v>
      </c>
      <c r="C102" s="8" t="s">
        <v>185</v>
      </c>
      <c r="D102" s="2">
        <v>2</v>
      </c>
      <c r="E102" s="8" t="s">
        <v>3176</v>
      </c>
      <c r="F102" s="2" t="s">
        <v>86</v>
      </c>
      <c r="G102" s="2" t="s">
        <v>3177</v>
      </c>
      <c r="H102" s="2" t="s">
        <v>3178</v>
      </c>
      <c r="I102" s="8" t="s">
        <v>3335</v>
      </c>
      <c r="J102" s="2">
        <v>2028</v>
      </c>
      <c r="K102" s="2">
        <v>1384</v>
      </c>
      <c r="L102" s="8" t="s">
        <v>3336</v>
      </c>
      <c r="M102" s="2">
        <v>17</v>
      </c>
      <c r="N102" s="8" t="s">
        <v>3334</v>
      </c>
      <c r="O102" s="8" t="str">
        <f t="shared" si="10"/>
        <v>PDFを開く</v>
      </c>
      <c r="P102" s="8" t="s">
        <v>194</v>
      </c>
    </row>
    <row r="103" spans="1:16" ht="33.950000000000003" customHeight="1">
      <c r="A103" s="5" t="s">
        <v>184</v>
      </c>
      <c r="B103" s="5" t="s">
        <v>73</v>
      </c>
      <c r="C103" s="9" t="s">
        <v>185</v>
      </c>
      <c r="D103" s="5">
        <v>2</v>
      </c>
      <c r="E103" s="9" t="s">
        <v>3184</v>
      </c>
      <c r="F103" s="5" t="s">
        <v>86</v>
      </c>
      <c r="G103" s="5" t="s">
        <v>3177</v>
      </c>
      <c r="H103" s="5" t="s">
        <v>3178</v>
      </c>
      <c r="I103" s="9" t="s">
        <v>3332</v>
      </c>
      <c r="J103" s="5">
        <v>2025</v>
      </c>
      <c r="K103" s="5">
        <v>505</v>
      </c>
      <c r="L103" s="9" t="s">
        <v>3337</v>
      </c>
      <c r="M103" s="5">
        <v>6</v>
      </c>
      <c r="N103" s="9" t="s">
        <v>3338</v>
      </c>
      <c r="O103" s="9" t="str">
        <f t="shared" si="10"/>
        <v>PDFを開く</v>
      </c>
      <c r="P103" s="9" t="s">
        <v>194</v>
      </c>
    </row>
    <row r="104" spans="1:16" ht="33.950000000000003" customHeight="1">
      <c r="A104" s="2" t="s">
        <v>184</v>
      </c>
      <c r="B104" s="2" t="s">
        <v>73</v>
      </c>
      <c r="C104" s="8" t="s">
        <v>185</v>
      </c>
      <c r="D104" s="2">
        <v>2</v>
      </c>
      <c r="E104" s="8" t="s">
        <v>3184</v>
      </c>
      <c r="F104" s="2" t="s">
        <v>86</v>
      </c>
      <c r="G104" s="2" t="s">
        <v>3177</v>
      </c>
      <c r="H104" s="2" t="s">
        <v>3178</v>
      </c>
      <c r="I104" s="8" t="s">
        <v>3335</v>
      </c>
      <c r="J104" s="2">
        <v>2028</v>
      </c>
      <c r="K104" s="2">
        <v>601</v>
      </c>
      <c r="L104" s="8" t="s">
        <v>3339</v>
      </c>
      <c r="M104" s="2">
        <v>6</v>
      </c>
      <c r="N104" s="8" t="s">
        <v>3338</v>
      </c>
      <c r="O104" s="8" t="str">
        <f t="shared" si="10"/>
        <v>PDFを開く</v>
      </c>
      <c r="P104" s="8" t="s">
        <v>194</v>
      </c>
    </row>
    <row r="105" spans="1:16" ht="33.950000000000003" customHeight="1">
      <c r="A105" s="5" t="s">
        <v>184</v>
      </c>
      <c r="B105" s="5" t="s">
        <v>73</v>
      </c>
      <c r="C105" s="9" t="s">
        <v>185</v>
      </c>
      <c r="D105" s="5">
        <v>2</v>
      </c>
      <c r="E105" s="9" t="s">
        <v>3188</v>
      </c>
      <c r="F105" s="5" t="s">
        <v>86</v>
      </c>
      <c r="G105" s="5" t="s">
        <v>3177</v>
      </c>
      <c r="H105" s="5" t="s">
        <v>3178</v>
      </c>
      <c r="I105" s="9" t="s">
        <v>3332</v>
      </c>
      <c r="J105" s="5">
        <v>2025</v>
      </c>
      <c r="K105" s="5">
        <v>2410</v>
      </c>
      <c r="L105" s="9" t="s">
        <v>3340</v>
      </c>
      <c r="M105" s="5">
        <v>6</v>
      </c>
      <c r="N105" s="9" t="s">
        <v>3341</v>
      </c>
      <c r="O105" s="9" t="str">
        <f t="shared" si="10"/>
        <v>PDFを開く</v>
      </c>
      <c r="P105" s="9" t="s">
        <v>194</v>
      </c>
    </row>
    <row r="106" spans="1:16" ht="33.950000000000003" customHeight="1">
      <c r="A106" s="2" t="s">
        <v>184</v>
      </c>
      <c r="B106" s="2" t="s">
        <v>73</v>
      </c>
      <c r="C106" s="8" t="s">
        <v>185</v>
      </c>
      <c r="D106" s="2">
        <v>2</v>
      </c>
      <c r="E106" s="8" t="s">
        <v>3188</v>
      </c>
      <c r="F106" s="2" t="s">
        <v>86</v>
      </c>
      <c r="G106" s="2" t="s">
        <v>3177</v>
      </c>
      <c r="H106" s="2" t="s">
        <v>3178</v>
      </c>
      <c r="I106" s="8" t="s">
        <v>3335</v>
      </c>
      <c r="J106" s="2">
        <v>2028</v>
      </c>
      <c r="K106" s="2">
        <v>2871</v>
      </c>
      <c r="L106" s="8" t="s">
        <v>3342</v>
      </c>
      <c r="M106" s="2">
        <v>6</v>
      </c>
      <c r="N106" s="8" t="s">
        <v>3341</v>
      </c>
      <c r="O106" s="8" t="str">
        <f t="shared" si="10"/>
        <v>PDFを開く</v>
      </c>
      <c r="P106" s="8" t="s">
        <v>194</v>
      </c>
    </row>
    <row r="107" spans="1:16" ht="33.950000000000003" customHeight="1">
      <c r="A107" s="5" t="s">
        <v>184</v>
      </c>
      <c r="B107" s="5" t="s">
        <v>73</v>
      </c>
      <c r="C107" s="9" t="s">
        <v>185</v>
      </c>
      <c r="D107" s="5">
        <v>2</v>
      </c>
      <c r="E107" s="9" t="s">
        <v>3191</v>
      </c>
      <c r="F107" s="5" t="s">
        <v>2513</v>
      </c>
      <c r="G107" s="5" t="s">
        <v>3177</v>
      </c>
      <c r="H107" s="5" t="s">
        <v>3178</v>
      </c>
      <c r="I107" s="9" t="s">
        <v>3332</v>
      </c>
      <c r="J107" s="5">
        <v>2025</v>
      </c>
      <c r="K107" s="5">
        <v>260</v>
      </c>
      <c r="L107" s="9" t="s">
        <v>3343</v>
      </c>
      <c r="M107" s="5"/>
      <c r="N107" s="9" t="s">
        <v>3344</v>
      </c>
      <c r="O107" s="9" t="str">
        <f t="shared" si="10"/>
        <v>PDFを開く</v>
      </c>
      <c r="P107" s="9" t="s">
        <v>194</v>
      </c>
    </row>
    <row r="108" spans="1:16" ht="33.950000000000003" customHeight="1">
      <c r="A108" s="2" t="s">
        <v>184</v>
      </c>
      <c r="B108" s="2" t="s">
        <v>73</v>
      </c>
      <c r="C108" s="8" t="s">
        <v>185</v>
      </c>
      <c r="D108" s="2">
        <v>2</v>
      </c>
      <c r="E108" s="8" t="s">
        <v>3191</v>
      </c>
      <c r="F108" s="2" t="s">
        <v>2513</v>
      </c>
      <c r="G108" s="2" t="s">
        <v>3177</v>
      </c>
      <c r="H108" s="2" t="s">
        <v>3178</v>
      </c>
      <c r="I108" s="8" t="s">
        <v>3335</v>
      </c>
      <c r="J108" s="2">
        <v>2028</v>
      </c>
      <c r="K108" s="2">
        <v>314</v>
      </c>
      <c r="L108" s="8" t="s">
        <v>3345</v>
      </c>
      <c r="M108" s="2"/>
      <c r="N108" s="8" t="s">
        <v>3344</v>
      </c>
      <c r="O108" s="8" t="str">
        <f t="shared" si="10"/>
        <v>PDFを開く</v>
      </c>
      <c r="P108" s="8" t="s">
        <v>194</v>
      </c>
    </row>
    <row r="109" spans="1:16" ht="33.950000000000003" customHeight="1">
      <c r="A109" s="5" t="s">
        <v>195</v>
      </c>
      <c r="B109" s="5" t="s">
        <v>73</v>
      </c>
      <c r="C109" s="9" t="s">
        <v>196</v>
      </c>
      <c r="D109" s="5">
        <v>2</v>
      </c>
      <c r="E109" s="9" t="s">
        <v>3176</v>
      </c>
      <c r="F109" s="5" t="s">
        <v>86</v>
      </c>
      <c r="G109" s="5" t="s">
        <v>3177</v>
      </c>
      <c r="H109" s="5" t="s">
        <v>3178</v>
      </c>
      <c r="I109" s="9" t="s">
        <v>3259</v>
      </c>
      <c r="J109" s="5">
        <v>2027</v>
      </c>
      <c r="K109" s="5">
        <v>1210</v>
      </c>
      <c r="L109" s="9" t="s">
        <v>3346</v>
      </c>
      <c r="M109" s="5">
        <v>3.3</v>
      </c>
      <c r="N109" s="9" t="s">
        <v>3347</v>
      </c>
      <c r="O109" s="9" t="str">
        <f t="shared" ref="O109:O117" si="11">HYPERLINK("https://seichotoushi-hojo.jp/assets/pdf/koufu/outline_11.pdf","PDFを開く")</f>
        <v>PDFを開く</v>
      </c>
      <c r="P109" s="9" t="s">
        <v>204</v>
      </c>
    </row>
    <row r="110" spans="1:16" ht="33.950000000000003" customHeight="1">
      <c r="A110" s="2" t="s">
        <v>195</v>
      </c>
      <c r="B110" s="2" t="s">
        <v>73</v>
      </c>
      <c r="C110" s="8" t="s">
        <v>196</v>
      </c>
      <c r="D110" s="2">
        <v>2</v>
      </c>
      <c r="E110" s="8" t="s">
        <v>3176</v>
      </c>
      <c r="F110" s="2" t="s">
        <v>86</v>
      </c>
      <c r="G110" s="2" t="s">
        <v>3177</v>
      </c>
      <c r="H110" s="2" t="s">
        <v>3178</v>
      </c>
      <c r="I110" s="8" t="s">
        <v>3262</v>
      </c>
      <c r="J110" s="2">
        <v>2030</v>
      </c>
      <c r="K110" s="2">
        <v>1334</v>
      </c>
      <c r="L110" s="8" t="s">
        <v>3348</v>
      </c>
      <c r="M110" s="2">
        <v>3.3</v>
      </c>
      <c r="N110" s="8" t="s">
        <v>3347</v>
      </c>
      <c r="O110" s="8" t="str">
        <f t="shared" si="11"/>
        <v>PDFを開く</v>
      </c>
      <c r="P110" s="8" t="s">
        <v>204</v>
      </c>
    </row>
    <row r="111" spans="1:16" ht="33.950000000000003" customHeight="1">
      <c r="A111" s="5" t="s">
        <v>195</v>
      </c>
      <c r="B111" s="5" t="s">
        <v>73</v>
      </c>
      <c r="C111" s="9" t="s">
        <v>196</v>
      </c>
      <c r="D111" s="5">
        <v>2</v>
      </c>
      <c r="E111" s="9" t="s">
        <v>3184</v>
      </c>
      <c r="F111" s="5" t="s">
        <v>86</v>
      </c>
      <c r="G111" s="5" t="s">
        <v>3177</v>
      </c>
      <c r="H111" s="5" t="s">
        <v>3178</v>
      </c>
      <c r="I111" s="9" t="s">
        <v>3259</v>
      </c>
      <c r="J111" s="5">
        <v>2027</v>
      </c>
      <c r="K111" s="5">
        <v>519</v>
      </c>
      <c r="L111" s="9" t="s">
        <v>3349</v>
      </c>
      <c r="M111" s="5">
        <v>4.21</v>
      </c>
      <c r="N111" s="9" t="s">
        <v>3350</v>
      </c>
      <c r="O111" s="9" t="str">
        <f t="shared" si="11"/>
        <v>PDFを開く</v>
      </c>
      <c r="P111" s="9" t="s">
        <v>204</v>
      </c>
    </row>
    <row r="112" spans="1:16" ht="33.950000000000003" customHeight="1">
      <c r="A112" s="2" t="s">
        <v>195</v>
      </c>
      <c r="B112" s="2" t="s">
        <v>73</v>
      </c>
      <c r="C112" s="8" t="s">
        <v>196</v>
      </c>
      <c r="D112" s="2">
        <v>2</v>
      </c>
      <c r="E112" s="8" t="s">
        <v>3184</v>
      </c>
      <c r="F112" s="2" t="s">
        <v>86</v>
      </c>
      <c r="G112" s="2" t="s">
        <v>3177</v>
      </c>
      <c r="H112" s="2" t="s">
        <v>3178</v>
      </c>
      <c r="I112" s="8" t="s">
        <v>3262</v>
      </c>
      <c r="J112" s="2">
        <v>2030</v>
      </c>
      <c r="K112" s="2">
        <v>588</v>
      </c>
      <c r="L112" s="8" t="s">
        <v>3351</v>
      </c>
      <c r="M112" s="2">
        <v>4.21</v>
      </c>
      <c r="N112" s="8" t="s">
        <v>3350</v>
      </c>
      <c r="O112" s="8" t="str">
        <f t="shared" si="11"/>
        <v>PDFを開く</v>
      </c>
      <c r="P112" s="8" t="s">
        <v>204</v>
      </c>
    </row>
    <row r="113" spans="1:16" ht="33.950000000000003" customHeight="1">
      <c r="A113" s="5" t="s">
        <v>195</v>
      </c>
      <c r="B113" s="5" t="s">
        <v>73</v>
      </c>
      <c r="C113" s="9" t="s">
        <v>196</v>
      </c>
      <c r="D113" s="5">
        <v>2</v>
      </c>
      <c r="E113" s="9" t="s">
        <v>3188</v>
      </c>
      <c r="F113" s="5" t="s">
        <v>86</v>
      </c>
      <c r="G113" s="19" t="s">
        <v>3189</v>
      </c>
      <c r="H113" s="5" t="s">
        <v>3178</v>
      </c>
      <c r="I113" s="9"/>
      <c r="J113" s="5"/>
      <c r="K113" s="5"/>
      <c r="L113" s="9"/>
      <c r="M113" s="5">
        <v>4</v>
      </c>
      <c r="N113" s="9" t="s">
        <v>3352</v>
      </c>
      <c r="O113" s="9" t="str">
        <f t="shared" si="11"/>
        <v>PDFを開く</v>
      </c>
      <c r="P113" s="9" t="s">
        <v>204</v>
      </c>
    </row>
    <row r="114" spans="1:16" ht="33.950000000000003" customHeight="1">
      <c r="A114" s="2" t="s">
        <v>195</v>
      </c>
      <c r="B114" s="2" t="s">
        <v>73</v>
      </c>
      <c r="C114" s="8" t="s">
        <v>196</v>
      </c>
      <c r="D114" s="2">
        <v>2</v>
      </c>
      <c r="E114" s="8" t="s">
        <v>3191</v>
      </c>
      <c r="F114" s="2" t="s">
        <v>2513</v>
      </c>
      <c r="G114" s="2" t="s">
        <v>3177</v>
      </c>
      <c r="H114" s="2" t="s">
        <v>3178</v>
      </c>
      <c r="I114" s="8" t="s">
        <v>3259</v>
      </c>
      <c r="J114" s="2">
        <v>2027</v>
      </c>
      <c r="K114" s="2">
        <v>280</v>
      </c>
      <c r="L114" s="8" t="s">
        <v>3353</v>
      </c>
      <c r="M114" s="2"/>
      <c r="N114" s="8" t="s">
        <v>3354</v>
      </c>
      <c r="O114" s="8" t="str">
        <f t="shared" si="11"/>
        <v>PDFを開く</v>
      </c>
      <c r="P114" s="8" t="s">
        <v>204</v>
      </c>
    </row>
    <row r="115" spans="1:16" ht="33.950000000000003" customHeight="1">
      <c r="A115" s="5" t="s">
        <v>195</v>
      </c>
      <c r="B115" s="5" t="s">
        <v>73</v>
      </c>
      <c r="C115" s="9" t="s">
        <v>196</v>
      </c>
      <c r="D115" s="5">
        <v>2</v>
      </c>
      <c r="E115" s="9" t="s">
        <v>3191</v>
      </c>
      <c r="F115" s="5" t="s">
        <v>2513</v>
      </c>
      <c r="G115" s="5" t="s">
        <v>3177</v>
      </c>
      <c r="H115" s="5" t="s">
        <v>3178</v>
      </c>
      <c r="I115" s="9" t="s">
        <v>3262</v>
      </c>
      <c r="J115" s="5">
        <v>2030</v>
      </c>
      <c r="K115" s="5">
        <v>308</v>
      </c>
      <c r="L115" s="9" t="s">
        <v>3355</v>
      </c>
      <c r="M115" s="5"/>
      <c r="N115" s="9" t="s">
        <v>3354</v>
      </c>
      <c r="O115" s="9" t="str">
        <f t="shared" si="11"/>
        <v>PDFを開く</v>
      </c>
      <c r="P115" s="9" t="s">
        <v>204</v>
      </c>
    </row>
    <row r="116" spans="1:16" ht="33.950000000000003" customHeight="1">
      <c r="A116" s="2" t="s">
        <v>195</v>
      </c>
      <c r="B116" s="2" t="s">
        <v>73</v>
      </c>
      <c r="C116" s="8" t="s">
        <v>196</v>
      </c>
      <c r="D116" s="2">
        <v>2</v>
      </c>
      <c r="E116" s="8" t="s">
        <v>3188</v>
      </c>
      <c r="F116" s="2" t="s">
        <v>86</v>
      </c>
      <c r="G116" s="2" t="s">
        <v>3177</v>
      </c>
      <c r="H116" s="2"/>
      <c r="I116" s="8" t="s">
        <v>3356</v>
      </c>
      <c r="J116" s="2">
        <v>2027</v>
      </c>
      <c r="K116" s="2"/>
      <c r="L116" s="8" t="s">
        <v>3211</v>
      </c>
      <c r="M116" s="2">
        <v>4</v>
      </c>
      <c r="N116" s="8" t="s">
        <v>3357</v>
      </c>
      <c r="O116" s="8" t="str">
        <f t="shared" si="11"/>
        <v>PDFを開く</v>
      </c>
      <c r="P116" s="8" t="s">
        <v>204</v>
      </c>
    </row>
    <row r="117" spans="1:16" ht="33.950000000000003" customHeight="1">
      <c r="A117" s="5" t="s">
        <v>195</v>
      </c>
      <c r="B117" s="5" t="s">
        <v>73</v>
      </c>
      <c r="C117" s="9" t="s">
        <v>196</v>
      </c>
      <c r="D117" s="5">
        <v>2</v>
      </c>
      <c r="E117" s="9" t="s">
        <v>3188</v>
      </c>
      <c r="F117" s="5" t="s">
        <v>86</v>
      </c>
      <c r="G117" s="5" t="s">
        <v>3177</v>
      </c>
      <c r="H117" s="5"/>
      <c r="I117" s="9" t="s">
        <v>3358</v>
      </c>
      <c r="J117" s="5">
        <v>2030</v>
      </c>
      <c r="K117" s="5"/>
      <c r="L117" s="9" t="s">
        <v>3359</v>
      </c>
      <c r="M117" s="5">
        <v>4</v>
      </c>
      <c r="N117" s="9" t="s">
        <v>3357</v>
      </c>
      <c r="O117" s="9" t="str">
        <f t="shared" si="11"/>
        <v>PDFを開く</v>
      </c>
      <c r="P117" s="9" t="s">
        <v>204</v>
      </c>
    </row>
    <row r="118" spans="1:16" ht="33.950000000000003" customHeight="1">
      <c r="A118" s="2" t="s">
        <v>205</v>
      </c>
      <c r="B118" s="2" t="s">
        <v>73</v>
      </c>
      <c r="C118" s="8" t="s">
        <v>206</v>
      </c>
      <c r="D118" s="2">
        <v>2</v>
      </c>
      <c r="E118" s="8" t="s">
        <v>3176</v>
      </c>
      <c r="F118" s="2" t="s">
        <v>86</v>
      </c>
      <c r="G118" s="2" t="s">
        <v>3177</v>
      </c>
      <c r="H118" s="2" t="s">
        <v>3178</v>
      </c>
      <c r="I118" s="8" t="s">
        <v>3360</v>
      </c>
      <c r="J118" s="2">
        <v>2025</v>
      </c>
      <c r="K118" s="2">
        <v>1427</v>
      </c>
      <c r="L118" s="8" t="s">
        <v>3361</v>
      </c>
      <c r="M118" s="2">
        <v>11.2</v>
      </c>
      <c r="N118" s="8" t="s">
        <v>3362</v>
      </c>
      <c r="O118" s="8" t="str">
        <f t="shared" ref="O118:O124" si="12">HYPERLINK("https://seichotoushi-hojo.jp/assets/pdf/koufu/outline_110.pdf","PDFを開く")</f>
        <v>PDFを開く</v>
      </c>
      <c r="P118" s="8" t="s">
        <v>214</v>
      </c>
    </row>
    <row r="119" spans="1:16" ht="33.950000000000003" customHeight="1">
      <c r="A119" s="5" t="s">
        <v>205</v>
      </c>
      <c r="B119" s="5" t="s">
        <v>73</v>
      </c>
      <c r="C119" s="9" t="s">
        <v>206</v>
      </c>
      <c r="D119" s="5">
        <v>2</v>
      </c>
      <c r="E119" s="9" t="s">
        <v>3176</v>
      </c>
      <c r="F119" s="5" t="s">
        <v>86</v>
      </c>
      <c r="G119" s="5" t="s">
        <v>3177</v>
      </c>
      <c r="H119" s="5" t="s">
        <v>3178</v>
      </c>
      <c r="I119" s="9" t="s">
        <v>3363</v>
      </c>
      <c r="J119" s="5">
        <v>2028</v>
      </c>
      <c r="K119" s="5">
        <v>1962</v>
      </c>
      <c r="L119" s="9" t="s">
        <v>3364</v>
      </c>
      <c r="M119" s="5">
        <v>11.2</v>
      </c>
      <c r="N119" s="9" t="s">
        <v>3362</v>
      </c>
      <c r="O119" s="9" t="str">
        <f t="shared" si="12"/>
        <v>PDFを開く</v>
      </c>
      <c r="P119" s="9" t="s">
        <v>214</v>
      </c>
    </row>
    <row r="120" spans="1:16" ht="33.950000000000003" customHeight="1">
      <c r="A120" s="2" t="s">
        <v>205</v>
      </c>
      <c r="B120" s="2" t="s">
        <v>73</v>
      </c>
      <c r="C120" s="8" t="s">
        <v>206</v>
      </c>
      <c r="D120" s="2">
        <v>2</v>
      </c>
      <c r="E120" s="8" t="s">
        <v>3184</v>
      </c>
      <c r="F120" s="2" t="s">
        <v>86</v>
      </c>
      <c r="G120" s="2" t="s">
        <v>3177</v>
      </c>
      <c r="H120" s="2" t="s">
        <v>3178</v>
      </c>
      <c r="I120" s="8" t="s">
        <v>3360</v>
      </c>
      <c r="J120" s="2">
        <v>2025</v>
      </c>
      <c r="K120" s="2">
        <v>537</v>
      </c>
      <c r="L120" s="8" t="s">
        <v>3365</v>
      </c>
      <c r="M120" s="2">
        <v>7</v>
      </c>
      <c r="N120" s="8" t="s">
        <v>3366</v>
      </c>
      <c r="O120" s="8" t="str">
        <f t="shared" si="12"/>
        <v>PDFを開く</v>
      </c>
      <c r="P120" s="8" t="s">
        <v>214</v>
      </c>
    </row>
    <row r="121" spans="1:16" ht="33.950000000000003" customHeight="1">
      <c r="A121" s="5" t="s">
        <v>205</v>
      </c>
      <c r="B121" s="5" t="s">
        <v>73</v>
      </c>
      <c r="C121" s="9" t="s">
        <v>206</v>
      </c>
      <c r="D121" s="5">
        <v>2</v>
      </c>
      <c r="E121" s="9" t="s">
        <v>3184</v>
      </c>
      <c r="F121" s="5" t="s">
        <v>86</v>
      </c>
      <c r="G121" s="5" t="s">
        <v>3177</v>
      </c>
      <c r="H121" s="5" t="s">
        <v>3178</v>
      </c>
      <c r="I121" s="9" t="s">
        <v>3363</v>
      </c>
      <c r="J121" s="5">
        <v>2028</v>
      </c>
      <c r="K121" s="5">
        <v>659</v>
      </c>
      <c r="L121" s="9" t="s">
        <v>3367</v>
      </c>
      <c r="M121" s="5">
        <v>7</v>
      </c>
      <c r="N121" s="9" t="s">
        <v>3366</v>
      </c>
      <c r="O121" s="9" t="str">
        <f t="shared" si="12"/>
        <v>PDFを開く</v>
      </c>
      <c r="P121" s="9" t="s">
        <v>214</v>
      </c>
    </row>
    <row r="122" spans="1:16" ht="33.950000000000003" customHeight="1">
      <c r="A122" s="2" t="s">
        <v>205</v>
      </c>
      <c r="B122" s="2" t="s">
        <v>73</v>
      </c>
      <c r="C122" s="8" t="s">
        <v>206</v>
      </c>
      <c r="D122" s="2">
        <v>2</v>
      </c>
      <c r="E122" s="8" t="s">
        <v>3188</v>
      </c>
      <c r="F122" s="2" t="s">
        <v>86</v>
      </c>
      <c r="G122" s="19" t="s">
        <v>3189</v>
      </c>
      <c r="H122" s="2" t="s">
        <v>3178</v>
      </c>
      <c r="I122" s="8"/>
      <c r="J122" s="2"/>
      <c r="K122" s="2"/>
      <c r="L122" s="8"/>
      <c r="M122" s="2">
        <v>4.5999999999999996</v>
      </c>
      <c r="N122" s="8" t="s">
        <v>3368</v>
      </c>
      <c r="O122" s="8" t="str">
        <f t="shared" si="12"/>
        <v>PDFを開く</v>
      </c>
      <c r="P122" s="8" t="s">
        <v>214</v>
      </c>
    </row>
    <row r="123" spans="1:16" ht="33.950000000000003" customHeight="1">
      <c r="A123" s="5" t="s">
        <v>205</v>
      </c>
      <c r="B123" s="5" t="s">
        <v>73</v>
      </c>
      <c r="C123" s="9" t="s">
        <v>206</v>
      </c>
      <c r="D123" s="5">
        <v>2</v>
      </c>
      <c r="E123" s="9" t="s">
        <v>3191</v>
      </c>
      <c r="F123" s="5" t="s">
        <v>2513</v>
      </c>
      <c r="G123" s="5" t="s">
        <v>3177</v>
      </c>
      <c r="H123" s="5" t="s">
        <v>3178</v>
      </c>
      <c r="I123" s="9" t="s">
        <v>3360</v>
      </c>
      <c r="J123" s="5">
        <v>2025</v>
      </c>
      <c r="K123" s="5">
        <v>201</v>
      </c>
      <c r="L123" s="9" t="s">
        <v>3369</v>
      </c>
      <c r="M123" s="5"/>
      <c r="N123" s="9" t="s">
        <v>3370</v>
      </c>
      <c r="O123" s="9" t="str">
        <f t="shared" si="12"/>
        <v>PDFを開く</v>
      </c>
      <c r="P123" s="9" t="s">
        <v>214</v>
      </c>
    </row>
    <row r="124" spans="1:16" ht="33.950000000000003" customHeight="1">
      <c r="A124" s="2" t="s">
        <v>205</v>
      </c>
      <c r="B124" s="2" t="s">
        <v>73</v>
      </c>
      <c r="C124" s="8" t="s">
        <v>206</v>
      </c>
      <c r="D124" s="2">
        <v>2</v>
      </c>
      <c r="E124" s="8" t="s">
        <v>3191</v>
      </c>
      <c r="F124" s="2" t="s">
        <v>2513</v>
      </c>
      <c r="G124" s="2" t="s">
        <v>3177</v>
      </c>
      <c r="H124" s="2" t="s">
        <v>3178</v>
      </c>
      <c r="I124" s="8" t="s">
        <v>3363</v>
      </c>
      <c r="J124" s="2">
        <v>2028</v>
      </c>
      <c r="K124" s="2">
        <v>225</v>
      </c>
      <c r="L124" s="8" t="s">
        <v>3224</v>
      </c>
      <c r="M124" s="2"/>
      <c r="N124" s="8" t="s">
        <v>3370</v>
      </c>
      <c r="O124" s="8" t="str">
        <f t="shared" si="12"/>
        <v>PDFを開く</v>
      </c>
      <c r="P124" s="8" t="s">
        <v>214</v>
      </c>
    </row>
    <row r="125" spans="1:16" ht="33.950000000000003" customHeight="1">
      <c r="A125" s="5" t="s">
        <v>215</v>
      </c>
      <c r="B125" s="5" t="s">
        <v>73</v>
      </c>
      <c r="C125" s="9" t="s">
        <v>216</v>
      </c>
      <c r="D125" s="5">
        <v>2</v>
      </c>
      <c r="E125" s="9" t="s">
        <v>3176</v>
      </c>
      <c r="F125" s="5" t="s">
        <v>86</v>
      </c>
      <c r="G125" s="5" t="s">
        <v>3177</v>
      </c>
      <c r="H125" s="5" t="s">
        <v>3178</v>
      </c>
      <c r="I125" s="9" t="s">
        <v>3179</v>
      </c>
      <c r="J125" s="5">
        <v>2026</v>
      </c>
      <c r="K125" s="5">
        <v>3859</v>
      </c>
      <c r="L125" s="9" t="s">
        <v>3371</v>
      </c>
      <c r="M125" s="5">
        <v>6.2</v>
      </c>
      <c r="N125" s="9" t="s">
        <v>3372</v>
      </c>
      <c r="O125" s="9" t="str">
        <f t="shared" ref="O125:O133" si="13">HYPERLINK("https://seichotoushi-hojo.jp/assets/pdf/koufu/outline_111.pdf","PDFを開く")</f>
        <v>PDFを開く</v>
      </c>
      <c r="P125" s="9" t="s">
        <v>222</v>
      </c>
    </row>
    <row r="126" spans="1:16" ht="33.950000000000003" customHeight="1">
      <c r="A126" s="2" t="s">
        <v>215</v>
      </c>
      <c r="B126" s="2" t="s">
        <v>73</v>
      </c>
      <c r="C126" s="8" t="s">
        <v>216</v>
      </c>
      <c r="D126" s="2">
        <v>2</v>
      </c>
      <c r="E126" s="8" t="s">
        <v>3176</v>
      </c>
      <c r="F126" s="2" t="s">
        <v>86</v>
      </c>
      <c r="G126" s="2" t="s">
        <v>3177</v>
      </c>
      <c r="H126" s="2" t="s">
        <v>3178</v>
      </c>
      <c r="I126" s="8" t="s">
        <v>3182</v>
      </c>
      <c r="J126" s="2">
        <v>2029</v>
      </c>
      <c r="K126" s="2">
        <v>4618</v>
      </c>
      <c r="L126" s="8" t="s">
        <v>3373</v>
      </c>
      <c r="M126" s="2">
        <v>6.2</v>
      </c>
      <c r="N126" s="8" t="s">
        <v>3372</v>
      </c>
      <c r="O126" s="8" t="str">
        <f t="shared" si="13"/>
        <v>PDFを開く</v>
      </c>
      <c r="P126" s="8" t="s">
        <v>222</v>
      </c>
    </row>
    <row r="127" spans="1:16" ht="33.950000000000003" customHeight="1">
      <c r="A127" s="5" t="s">
        <v>215</v>
      </c>
      <c r="B127" s="5" t="s">
        <v>73</v>
      </c>
      <c r="C127" s="9" t="s">
        <v>216</v>
      </c>
      <c r="D127" s="5">
        <v>2</v>
      </c>
      <c r="E127" s="9" t="s">
        <v>3184</v>
      </c>
      <c r="F127" s="5" t="s">
        <v>86</v>
      </c>
      <c r="G127" s="5" t="s">
        <v>3177</v>
      </c>
      <c r="H127" s="5" t="s">
        <v>3178</v>
      </c>
      <c r="I127" s="9" t="s">
        <v>3179</v>
      </c>
      <c r="J127" s="5">
        <v>2026</v>
      </c>
      <c r="K127" s="5">
        <v>640</v>
      </c>
      <c r="L127" s="9" t="s">
        <v>3374</v>
      </c>
      <c r="M127" s="5">
        <v>5</v>
      </c>
      <c r="N127" s="9" t="s">
        <v>3375</v>
      </c>
      <c r="O127" s="9" t="str">
        <f t="shared" si="13"/>
        <v>PDFを開く</v>
      </c>
      <c r="P127" s="9" t="s">
        <v>222</v>
      </c>
    </row>
    <row r="128" spans="1:16" ht="33.950000000000003" customHeight="1">
      <c r="A128" s="2" t="s">
        <v>215</v>
      </c>
      <c r="B128" s="2" t="s">
        <v>73</v>
      </c>
      <c r="C128" s="8" t="s">
        <v>216</v>
      </c>
      <c r="D128" s="2">
        <v>2</v>
      </c>
      <c r="E128" s="8" t="s">
        <v>3184</v>
      </c>
      <c r="F128" s="2" t="s">
        <v>86</v>
      </c>
      <c r="G128" s="2" t="s">
        <v>3177</v>
      </c>
      <c r="H128" s="2" t="s">
        <v>3178</v>
      </c>
      <c r="I128" s="8" t="s">
        <v>3182</v>
      </c>
      <c r="J128" s="2">
        <v>2029</v>
      </c>
      <c r="K128" s="2">
        <v>741</v>
      </c>
      <c r="L128" s="8" t="s">
        <v>3376</v>
      </c>
      <c r="M128" s="2">
        <v>5</v>
      </c>
      <c r="N128" s="8" t="s">
        <v>3375</v>
      </c>
      <c r="O128" s="8" t="str">
        <f t="shared" si="13"/>
        <v>PDFを開く</v>
      </c>
      <c r="P128" s="8" t="s">
        <v>222</v>
      </c>
    </row>
    <row r="129" spans="1:16" ht="33.950000000000003" customHeight="1">
      <c r="A129" s="5" t="s">
        <v>215</v>
      </c>
      <c r="B129" s="5" t="s">
        <v>73</v>
      </c>
      <c r="C129" s="9" t="s">
        <v>216</v>
      </c>
      <c r="D129" s="5">
        <v>2</v>
      </c>
      <c r="E129" s="9" t="s">
        <v>3188</v>
      </c>
      <c r="F129" s="5" t="s">
        <v>86</v>
      </c>
      <c r="G129" s="19" t="s">
        <v>3189</v>
      </c>
      <c r="H129" s="5" t="s">
        <v>3178</v>
      </c>
      <c r="I129" s="9"/>
      <c r="J129" s="5"/>
      <c r="K129" s="5"/>
      <c r="L129" s="9"/>
      <c r="M129" s="5">
        <v>5</v>
      </c>
      <c r="N129" s="9" t="s">
        <v>3377</v>
      </c>
      <c r="O129" s="9" t="str">
        <f t="shared" si="13"/>
        <v>PDFを開く</v>
      </c>
      <c r="P129" s="9" t="s">
        <v>222</v>
      </c>
    </row>
    <row r="130" spans="1:16" ht="33.950000000000003" customHeight="1">
      <c r="A130" s="2" t="s">
        <v>215</v>
      </c>
      <c r="B130" s="2" t="s">
        <v>73</v>
      </c>
      <c r="C130" s="8" t="s">
        <v>216</v>
      </c>
      <c r="D130" s="2">
        <v>2</v>
      </c>
      <c r="E130" s="8" t="s">
        <v>3191</v>
      </c>
      <c r="F130" s="2" t="s">
        <v>2513</v>
      </c>
      <c r="G130" s="2" t="s">
        <v>3177</v>
      </c>
      <c r="H130" s="2" t="s">
        <v>3178</v>
      </c>
      <c r="I130" s="8" t="s">
        <v>3179</v>
      </c>
      <c r="J130" s="2">
        <v>2026</v>
      </c>
      <c r="K130" s="2">
        <v>169</v>
      </c>
      <c r="L130" s="8" t="s">
        <v>3378</v>
      </c>
      <c r="M130" s="2"/>
      <c r="N130" s="8" t="s">
        <v>3379</v>
      </c>
      <c r="O130" s="8" t="str">
        <f t="shared" si="13"/>
        <v>PDFを開く</v>
      </c>
      <c r="P130" s="8" t="s">
        <v>222</v>
      </c>
    </row>
    <row r="131" spans="1:16" ht="33.950000000000003" customHeight="1">
      <c r="A131" s="5" t="s">
        <v>215</v>
      </c>
      <c r="B131" s="5" t="s">
        <v>73</v>
      </c>
      <c r="C131" s="9" t="s">
        <v>216</v>
      </c>
      <c r="D131" s="5">
        <v>2</v>
      </c>
      <c r="E131" s="9" t="s">
        <v>3191</v>
      </c>
      <c r="F131" s="5" t="s">
        <v>2513</v>
      </c>
      <c r="G131" s="5" t="s">
        <v>3177</v>
      </c>
      <c r="H131" s="5" t="s">
        <v>3178</v>
      </c>
      <c r="I131" s="9" t="s">
        <v>3182</v>
      </c>
      <c r="J131" s="5">
        <v>2029</v>
      </c>
      <c r="K131" s="5">
        <v>206</v>
      </c>
      <c r="L131" s="9" t="s">
        <v>3380</v>
      </c>
      <c r="M131" s="5"/>
      <c r="N131" s="9" t="s">
        <v>3379</v>
      </c>
      <c r="O131" s="9" t="str">
        <f t="shared" si="13"/>
        <v>PDFを開く</v>
      </c>
      <c r="P131" s="9" t="s">
        <v>222</v>
      </c>
    </row>
    <row r="132" spans="1:16" ht="33.950000000000003" customHeight="1">
      <c r="A132" s="2" t="s">
        <v>215</v>
      </c>
      <c r="B132" s="2" t="s">
        <v>73</v>
      </c>
      <c r="C132" s="8" t="s">
        <v>216</v>
      </c>
      <c r="D132" s="2">
        <v>2</v>
      </c>
      <c r="E132" s="8" t="s">
        <v>3188</v>
      </c>
      <c r="F132" s="2" t="s">
        <v>86</v>
      </c>
      <c r="G132" s="2" t="s">
        <v>3177</v>
      </c>
      <c r="H132" s="2"/>
      <c r="I132" s="8" t="s">
        <v>3381</v>
      </c>
      <c r="J132" s="2">
        <v>2026</v>
      </c>
      <c r="K132" s="2"/>
      <c r="L132" s="8" t="s">
        <v>3211</v>
      </c>
      <c r="M132" s="2">
        <v>5</v>
      </c>
      <c r="N132" s="8" t="s">
        <v>3382</v>
      </c>
      <c r="O132" s="8" t="str">
        <f t="shared" si="13"/>
        <v>PDFを開く</v>
      </c>
      <c r="P132" s="8" t="s">
        <v>222</v>
      </c>
    </row>
    <row r="133" spans="1:16" ht="33.950000000000003" customHeight="1">
      <c r="A133" s="5" t="s">
        <v>215</v>
      </c>
      <c r="B133" s="5" t="s">
        <v>73</v>
      </c>
      <c r="C133" s="9" t="s">
        <v>216</v>
      </c>
      <c r="D133" s="5">
        <v>2</v>
      </c>
      <c r="E133" s="9" t="s">
        <v>3188</v>
      </c>
      <c r="F133" s="5" t="s">
        <v>86</v>
      </c>
      <c r="G133" s="5" t="s">
        <v>3177</v>
      </c>
      <c r="H133" s="5"/>
      <c r="I133" s="9" t="s">
        <v>3383</v>
      </c>
      <c r="J133" s="5">
        <v>2029</v>
      </c>
      <c r="K133" s="5"/>
      <c r="L133" s="9" t="s">
        <v>3384</v>
      </c>
      <c r="M133" s="5">
        <v>5</v>
      </c>
      <c r="N133" s="9" t="s">
        <v>3382</v>
      </c>
      <c r="O133" s="9" t="str">
        <f t="shared" si="13"/>
        <v>PDFを開く</v>
      </c>
      <c r="P133" s="9" t="s">
        <v>222</v>
      </c>
    </row>
    <row r="134" spans="1:16" ht="33.950000000000003" customHeight="1">
      <c r="A134" s="2" t="s">
        <v>223</v>
      </c>
      <c r="B134" s="2" t="s">
        <v>73</v>
      </c>
      <c r="C134" s="8" t="s">
        <v>224</v>
      </c>
      <c r="D134" s="2">
        <v>2</v>
      </c>
      <c r="E134" s="8" t="s">
        <v>3176</v>
      </c>
      <c r="F134" s="2" t="s">
        <v>86</v>
      </c>
      <c r="G134" s="2" t="s">
        <v>3177</v>
      </c>
      <c r="H134" s="2"/>
      <c r="I134" s="8" t="s">
        <v>3302</v>
      </c>
      <c r="J134" s="2"/>
      <c r="K134" s="2">
        <v>999</v>
      </c>
      <c r="L134" s="8" t="s">
        <v>3385</v>
      </c>
      <c r="M134" s="2">
        <v>7.3</v>
      </c>
      <c r="N134" s="8" t="s">
        <v>3386</v>
      </c>
      <c r="O134" s="8" t="str">
        <f t="shared" ref="O134:O141" si="14">HYPERLINK("https://seichotoushi-hojo.jp/assets/pdf/koufu/outline_112.pdf","PDFを開く")</f>
        <v>PDFを開く</v>
      </c>
      <c r="P134" s="8" t="s">
        <v>232</v>
      </c>
    </row>
    <row r="135" spans="1:16" ht="33.950000000000003" customHeight="1">
      <c r="A135" s="5" t="s">
        <v>223</v>
      </c>
      <c r="B135" s="5" t="s">
        <v>73</v>
      </c>
      <c r="C135" s="9" t="s">
        <v>224</v>
      </c>
      <c r="D135" s="5">
        <v>2</v>
      </c>
      <c r="E135" s="9" t="s">
        <v>3176</v>
      </c>
      <c r="F135" s="5" t="s">
        <v>86</v>
      </c>
      <c r="G135" s="5" t="s">
        <v>3177</v>
      </c>
      <c r="H135" s="5"/>
      <c r="I135" s="9" t="s">
        <v>3305</v>
      </c>
      <c r="J135" s="5"/>
      <c r="K135" s="5">
        <v>1234</v>
      </c>
      <c r="L135" s="9" t="s">
        <v>3387</v>
      </c>
      <c r="M135" s="5">
        <v>7.3</v>
      </c>
      <c r="N135" s="9" t="s">
        <v>3386</v>
      </c>
      <c r="O135" s="9" t="str">
        <f t="shared" si="14"/>
        <v>PDFを開く</v>
      </c>
      <c r="P135" s="9" t="s">
        <v>232</v>
      </c>
    </row>
    <row r="136" spans="1:16" ht="33.950000000000003" customHeight="1">
      <c r="A136" s="2" t="s">
        <v>223</v>
      </c>
      <c r="B136" s="2" t="s">
        <v>73</v>
      </c>
      <c r="C136" s="8" t="s">
        <v>224</v>
      </c>
      <c r="D136" s="2">
        <v>2</v>
      </c>
      <c r="E136" s="8" t="s">
        <v>3184</v>
      </c>
      <c r="F136" s="2" t="s">
        <v>86</v>
      </c>
      <c r="G136" s="2" t="s">
        <v>3177</v>
      </c>
      <c r="H136" s="2"/>
      <c r="I136" s="8" t="s">
        <v>3302</v>
      </c>
      <c r="J136" s="2"/>
      <c r="K136" s="2">
        <v>429</v>
      </c>
      <c r="L136" s="8" t="s">
        <v>3388</v>
      </c>
      <c r="M136" s="2">
        <v>5.6</v>
      </c>
      <c r="N136" s="8" t="s">
        <v>3389</v>
      </c>
      <c r="O136" s="8" t="str">
        <f t="shared" si="14"/>
        <v>PDFを開く</v>
      </c>
      <c r="P136" s="8" t="s">
        <v>232</v>
      </c>
    </row>
    <row r="137" spans="1:16" ht="33.950000000000003" customHeight="1">
      <c r="A137" s="5" t="s">
        <v>223</v>
      </c>
      <c r="B137" s="5" t="s">
        <v>73</v>
      </c>
      <c r="C137" s="9" t="s">
        <v>224</v>
      </c>
      <c r="D137" s="5">
        <v>2</v>
      </c>
      <c r="E137" s="9" t="s">
        <v>3184</v>
      </c>
      <c r="F137" s="5" t="s">
        <v>86</v>
      </c>
      <c r="G137" s="5" t="s">
        <v>3177</v>
      </c>
      <c r="H137" s="5"/>
      <c r="I137" s="9" t="s">
        <v>3305</v>
      </c>
      <c r="J137" s="5"/>
      <c r="K137" s="5">
        <v>504</v>
      </c>
      <c r="L137" s="9" t="s">
        <v>3390</v>
      </c>
      <c r="M137" s="5">
        <v>5.6</v>
      </c>
      <c r="N137" s="9" t="s">
        <v>3389</v>
      </c>
      <c r="O137" s="9" t="str">
        <f t="shared" si="14"/>
        <v>PDFを開く</v>
      </c>
      <c r="P137" s="9" t="s">
        <v>232</v>
      </c>
    </row>
    <row r="138" spans="1:16" ht="33.950000000000003" customHeight="1">
      <c r="A138" s="2" t="s">
        <v>223</v>
      </c>
      <c r="B138" s="2" t="s">
        <v>73</v>
      </c>
      <c r="C138" s="8" t="s">
        <v>224</v>
      </c>
      <c r="D138" s="2">
        <v>2</v>
      </c>
      <c r="E138" s="8" t="s">
        <v>3188</v>
      </c>
      <c r="F138" s="2" t="s">
        <v>86</v>
      </c>
      <c r="G138" s="2" t="s">
        <v>3177</v>
      </c>
      <c r="H138" s="2"/>
      <c r="I138" s="8" t="s">
        <v>3302</v>
      </c>
      <c r="J138" s="2"/>
      <c r="K138" s="2">
        <v>1338</v>
      </c>
      <c r="L138" s="8" t="s">
        <v>3391</v>
      </c>
      <c r="M138" s="2">
        <v>4.0999999999999996</v>
      </c>
      <c r="N138" s="8" t="s">
        <v>3392</v>
      </c>
      <c r="O138" s="8" t="str">
        <f t="shared" si="14"/>
        <v>PDFを開く</v>
      </c>
      <c r="P138" s="8" t="s">
        <v>232</v>
      </c>
    </row>
    <row r="139" spans="1:16" ht="33.950000000000003" customHeight="1">
      <c r="A139" s="5" t="s">
        <v>223</v>
      </c>
      <c r="B139" s="5" t="s">
        <v>73</v>
      </c>
      <c r="C139" s="9" t="s">
        <v>224</v>
      </c>
      <c r="D139" s="5">
        <v>2</v>
      </c>
      <c r="E139" s="9" t="s">
        <v>3188</v>
      </c>
      <c r="F139" s="5" t="s">
        <v>86</v>
      </c>
      <c r="G139" s="5" t="s">
        <v>3177</v>
      </c>
      <c r="H139" s="5"/>
      <c r="I139" s="9" t="s">
        <v>3305</v>
      </c>
      <c r="J139" s="5"/>
      <c r="K139" s="5">
        <v>1510</v>
      </c>
      <c r="L139" s="9" t="s">
        <v>3393</v>
      </c>
      <c r="M139" s="5">
        <v>4.0999999999999996</v>
      </c>
      <c r="N139" s="9" t="s">
        <v>3392</v>
      </c>
      <c r="O139" s="9" t="str">
        <f t="shared" si="14"/>
        <v>PDFを開く</v>
      </c>
      <c r="P139" s="9" t="s">
        <v>232</v>
      </c>
    </row>
    <row r="140" spans="1:16" ht="33.950000000000003" customHeight="1">
      <c r="A140" s="2" t="s">
        <v>223</v>
      </c>
      <c r="B140" s="2" t="s">
        <v>73</v>
      </c>
      <c r="C140" s="8" t="s">
        <v>224</v>
      </c>
      <c r="D140" s="2">
        <v>2</v>
      </c>
      <c r="E140" s="8" t="s">
        <v>3191</v>
      </c>
      <c r="F140" s="2" t="s">
        <v>2513</v>
      </c>
      <c r="G140" s="2" t="s">
        <v>3177</v>
      </c>
      <c r="H140" s="2"/>
      <c r="I140" s="8" t="s">
        <v>3302</v>
      </c>
      <c r="J140" s="2"/>
      <c r="K140" s="2">
        <v>420</v>
      </c>
      <c r="L140" s="8" t="s">
        <v>3394</v>
      </c>
      <c r="M140" s="2"/>
      <c r="N140" s="8" t="s">
        <v>3395</v>
      </c>
      <c r="O140" s="8" t="str">
        <f t="shared" si="14"/>
        <v>PDFを開く</v>
      </c>
      <c r="P140" s="8" t="s">
        <v>232</v>
      </c>
    </row>
    <row r="141" spans="1:16" ht="33.950000000000003" customHeight="1">
      <c r="A141" s="5" t="s">
        <v>223</v>
      </c>
      <c r="B141" s="5" t="s">
        <v>73</v>
      </c>
      <c r="C141" s="9" t="s">
        <v>224</v>
      </c>
      <c r="D141" s="5">
        <v>2</v>
      </c>
      <c r="E141" s="9" t="s">
        <v>3191</v>
      </c>
      <c r="F141" s="5" t="s">
        <v>2513</v>
      </c>
      <c r="G141" s="5" t="s">
        <v>3177</v>
      </c>
      <c r="H141" s="5"/>
      <c r="I141" s="9" t="s">
        <v>3305</v>
      </c>
      <c r="J141" s="5"/>
      <c r="K141" s="5">
        <v>490</v>
      </c>
      <c r="L141" s="9" t="s">
        <v>3396</v>
      </c>
      <c r="M141" s="5"/>
      <c r="N141" s="9" t="s">
        <v>3395</v>
      </c>
      <c r="O141" s="9" t="str">
        <f t="shared" si="14"/>
        <v>PDFを開く</v>
      </c>
      <c r="P141" s="9" t="s">
        <v>232</v>
      </c>
    </row>
    <row r="142" spans="1:16" ht="33.950000000000003" customHeight="1">
      <c r="A142" s="2" t="s">
        <v>233</v>
      </c>
      <c r="B142" s="2" t="s">
        <v>73</v>
      </c>
      <c r="C142" s="8" t="s">
        <v>234</v>
      </c>
      <c r="D142" s="2">
        <v>2</v>
      </c>
      <c r="E142" s="8" t="s">
        <v>3176</v>
      </c>
      <c r="F142" s="2" t="s">
        <v>86</v>
      </c>
      <c r="G142" s="2" t="s">
        <v>3177</v>
      </c>
      <c r="H142" s="2" t="s">
        <v>3178</v>
      </c>
      <c r="I142" s="8" t="s">
        <v>3318</v>
      </c>
      <c r="J142" s="2">
        <v>2024</v>
      </c>
      <c r="K142" s="2">
        <v>541</v>
      </c>
      <c r="L142" s="8" t="s">
        <v>3397</v>
      </c>
      <c r="M142" s="2">
        <v>40.700000000000003</v>
      </c>
      <c r="N142" s="8" t="s">
        <v>3398</v>
      </c>
      <c r="O142" s="8" t="str">
        <f t="shared" ref="O142:O148" si="15">HYPERLINK("https://seichotoushi-hojo.jp/assets/pdf/koufu/outline_113.pdf","PDFを開く")</f>
        <v>PDFを開く</v>
      </c>
      <c r="P142" s="8" t="s">
        <v>239</v>
      </c>
    </row>
    <row r="143" spans="1:16" ht="33.950000000000003" customHeight="1">
      <c r="A143" s="5" t="s">
        <v>233</v>
      </c>
      <c r="B143" s="5" t="s">
        <v>73</v>
      </c>
      <c r="C143" s="9" t="s">
        <v>234</v>
      </c>
      <c r="D143" s="5">
        <v>2</v>
      </c>
      <c r="E143" s="9" t="s">
        <v>3176</v>
      </c>
      <c r="F143" s="5" t="s">
        <v>86</v>
      </c>
      <c r="G143" s="5" t="s">
        <v>3177</v>
      </c>
      <c r="H143" s="5" t="s">
        <v>3178</v>
      </c>
      <c r="I143" s="9" t="s">
        <v>3321</v>
      </c>
      <c r="J143" s="5">
        <v>2027</v>
      </c>
      <c r="K143" s="5">
        <v>1505</v>
      </c>
      <c r="L143" s="9" t="s">
        <v>3399</v>
      </c>
      <c r="M143" s="5">
        <v>40.700000000000003</v>
      </c>
      <c r="N143" s="9" t="s">
        <v>3398</v>
      </c>
      <c r="O143" s="9" t="str">
        <f t="shared" si="15"/>
        <v>PDFを開く</v>
      </c>
      <c r="P143" s="9" t="s">
        <v>239</v>
      </c>
    </row>
    <row r="144" spans="1:16" ht="33.950000000000003" customHeight="1">
      <c r="A144" s="2" t="s">
        <v>233</v>
      </c>
      <c r="B144" s="2" t="s">
        <v>73</v>
      </c>
      <c r="C144" s="8" t="s">
        <v>234</v>
      </c>
      <c r="D144" s="2">
        <v>2</v>
      </c>
      <c r="E144" s="8" t="s">
        <v>3184</v>
      </c>
      <c r="F144" s="2" t="s">
        <v>86</v>
      </c>
      <c r="G144" s="2" t="s">
        <v>3177</v>
      </c>
      <c r="H144" s="2" t="s">
        <v>3178</v>
      </c>
      <c r="I144" s="8" t="s">
        <v>3318</v>
      </c>
      <c r="J144" s="2">
        <v>2024</v>
      </c>
      <c r="K144" s="2">
        <v>400</v>
      </c>
      <c r="L144" s="8" t="s">
        <v>3400</v>
      </c>
      <c r="M144" s="2">
        <v>6.03</v>
      </c>
      <c r="N144" s="8" t="s">
        <v>3401</v>
      </c>
      <c r="O144" s="8" t="str">
        <f t="shared" si="15"/>
        <v>PDFを開く</v>
      </c>
      <c r="P144" s="8" t="s">
        <v>239</v>
      </c>
    </row>
    <row r="145" spans="1:16" ht="33.950000000000003" customHeight="1">
      <c r="A145" s="5" t="s">
        <v>233</v>
      </c>
      <c r="B145" s="5" t="s">
        <v>73</v>
      </c>
      <c r="C145" s="9" t="s">
        <v>234</v>
      </c>
      <c r="D145" s="5">
        <v>2</v>
      </c>
      <c r="E145" s="9" t="s">
        <v>3184</v>
      </c>
      <c r="F145" s="5" t="s">
        <v>86</v>
      </c>
      <c r="G145" s="5" t="s">
        <v>3177</v>
      </c>
      <c r="H145" s="5" t="s">
        <v>3178</v>
      </c>
      <c r="I145" s="9" t="s">
        <v>3321</v>
      </c>
      <c r="J145" s="5">
        <v>2027</v>
      </c>
      <c r="K145" s="5">
        <v>477</v>
      </c>
      <c r="L145" s="9" t="s">
        <v>3402</v>
      </c>
      <c r="M145" s="5">
        <v>6.03</v>
      </c>
      <c r="N145" s="9" t="s">
        <v>3401</v>
      </c>
      <c r="O145" s="9" t="str">
        <f t="shared" si="15"/>
        <v>PDFを開く</v>
      </c>
      <c r="P145" s="9" t="s">
        <v>239</v>
      </c>
    </row>
    <row r="146" spans="1:16" ht="33.950000000000003" customHeight="1">
      <c r="A146" s="2" t="s">
        <v>233</v>
      </c>
      <c r="B146" s="2" t="s">
        <v>73</v>
      </c>
      <c r="C146" s="8" t="s">
        <v>234</v>
      </c>
      <c r="D146" s="2">
        <v>2</v>
      </c>
      <c r="E146" s="8" t="s">
        <v>3188</v>
      </c>
      <c r="F146" s="2" t="s">
        <v>86</v>
      </c>
      <c r="G146" s="19" t="s">
        <v>3189</v>
      </c>
      <c r="H146" s="2" t="s">
        <v>3178</v>
      </c>
      <c r="I146" s="8" t="s">
        <v>3318</v>
      </c>
      <c r="J146" s="2">
        <v>2024</v>
      </c>
      <c r="K146" s="2">
        <v>0</v>
      </c>
      <c r="L146" s="8" t="s">
        <v>3267</v>
      </c>
      <c r="M146" s="2"/>
      <c r="N146" s="8" t="s">
        <v>3403</v>
      </c>
      <c r="O146" s="8" t="str">
        <f t="shared" si="15"/>
        <v>PDFを開く</v>
      </c>
      <c r="P146" s="8" t="s">
        <v>239</v>
      </c>
    </row>
    <row r="147" spans="1:16" ht="33.950000000000003" customHeight="1">
      <c r="A147" s="5" t="s">
        <v>233</v>
      </c>
      <c r="B147" s="5" t="s">
        <v>73</v>
      </c>
      <c r="C147" s="9" t="s">
        <v>234</v>
      </c>
      <c r="D147" s="5">
        <v>2</v>
      </c>
      <c r="E147" s="9" t="s">
        <v>3191</v>
      </c>
      <c r="F147" s="5" t="s">
        <v>2513</v>
      </c>
      <c r="G147" s="5" t="s">
        <v>3177</v>
      </c>
      <c r="H147" s="5" t="s">
        <v>3178</v>
      </c>
      <c r="I147" s="9" t="s">
        <v>3318</v>
      </c>
      <c r="J147" s="5">
        <v>2024</v>
      </c>
      <c r="K147" s="5">
        <v>45</v>
      </c>
      <c r="L147" s="9" t="s">
        <v>3404</v>
      </c>
      <c r="M147" s="5"/>
      <c r="N147" s="9" t="s">
        <v>3405</v>
      </c>
      <c r="O147" s="9" t="str">
        <f t="shared" si="15"/>
        <v>PDFを開く</v>
      </c>
      <c r="P147" s="9" t="s">
        <v>239</v>
      </c>
    </row>
    <row r="148" spans="1:16" ht="33.950000000000003" customHeight="1">
      <c r="A148" s="2" t="s">
        <v>233</v>
      </c>
      <c r="B148" s="2" t="s">
        <v>73</v>
      </c>
      <c r="C148" s="8" t="s">
        <v>234</v>
      </c>
      <c r="D148" s="2">
        <v>2</v>
      </c>
      <c r="E148" s="8" t="s">
        <v>3191</v>
      </c>
      <c r="F148" s="2" t="s">
        <v>2513</v>
      </c>
      <c r="G148" s="2" t="s">
        <v>3177</v>
      </c>
      <c r="H148" s="2" t="s">
        <v>3178</v>
      </c>
      <c r="I148" s="8" t="s">
        <v>3321</v>
      </c>
      <c r="J148" s="2">
        <v>2027</v>
      </c>
      <c r="K148" s="2">
        <v>60</v>
      </c>
      <c r="L148" s="8" t="s">
        <v>3406</v>
      </c>
      <c r="M148" s="2"/>
      <c r="N148" s="8" t="s">
        <v>3405</v>
      </c>
      <c r="O148" s="8" t="str">
        <f t="shared" si="15"/>
        <v>PDFを開く</v>
      </c>
      <c r="P148" s="8" t="s">
        <v>239</v>
      </c>
    </row>
    <row r="149" spans="1:16" ht="33.950000000000003" customHeight="1">
      <c r="A149" s="5" t="s">
        <v>240</v>
      </c>
      <c r="B149" s="5" t="s">
        <v>73</v>
      </c>
      <c r="C149" s="9" t="s">
        <v>241</v>
      </c>
      <c r="D149" s="5">
        <v>2</v>
      </c>
      <c r="E149" s="9" t="s">
        <v>3176</v>
      </c>
      <c r="F149" s="5" t="s">
        <v>86</v>
      </c>
      <c r="G149" s="5" t="s">
        <v>3177</v>
      </c>
      <c r="H149" s="5" t="s">
        <v>3178</v>
      </c>
      <c r="I149" s="9" t="s">
        <v>3407</v>
      </c>
      <c r="J149" s="5">
        <v>2025</v>
      </c>
      <c r="K149" s="5">
        <v>875</v>
      </c>
      <c r="L149" s="9" t="s">
        <v>3408</v>
      </c>
      <c r="M149" s="5">
        <v>33.299999999999997</v>
      </c>
      <c r="N149" s="9" t="s">
        <v>3409</v>
      </c>
      <c r="O149" s="9" t="str">
        <f t="shared" ref="O149:O156" si="16">HYPERLINK("https://seichotoushi-hojo.jp/assets/pdf/koufu/outline_114.pdf","PDFを開く")</f>
        <v>PDFを開く</v>
      </c>
      <c r="P149" s="9" t="s">
        <v>247</v>
      </c>
    </row>
    <row r="150" spans="1:16" ht="33.950000000000003" customHeight="1">
      <c r="A150" s="2" t="s">
        <v>240</v>
      </c>
      <c r="B150" s="2" t="s">
        <v>73</v>
      </c>
      <c r="C150" s="8" t="s">
        <v>241</v>
      </c>
      <c r="D150" s="2">
        <v>2</v>
      </c>
      <c r="E150" s="8" t="s">
        <v>3176</v>
      </c>
      <c r="F150" s="2" t="s">
        <v>86</v>
      </c>
      <c r="G150" s="2" t="s">
        <v>3177</v>
      </c>
      <c r="H150" s="2" t="s">
        <v>3178</v>
      </c>
      <c r="I150" s="8" t="s">
        <v>3335</v>
      </c>
      <c r="J150" s="2">
        <v>2028</v>
      </c>
      <c r="K150" s="2">
        <v>2071</v>
      </c>
      <c r="L150" s="8" t="s">
        <v>3410</v>
      </c>
      <c r="M150" s="2">
        <v>33.299999999999997</v>
      </c>
      <c r="N150" s="8" t="s">
        <v>3409</v>
      </c>
      <c r="O150" s="8" t="str">
        <f t="shared" si="16"/>
        <v>PDFを開く</v>
      </c>
      <c r="P150" s="8" t="s">
        <v>247</v>
      </c>
    </row>
    <row r="151" spans="1:16" ht="33.950000000000003" customHeight="1">
      <c r="A151" s="5" t="s">
        <v>240</v>
      </c>
      <c r="B151" s="5" t="s">
        <v>73</v>
      </c>
      <c r="C151" s="9" t="s">
        <v>241</v>
      </c>
      <c r="D151" s="5">
        <v>2</v>
      </c>
      <c r="E151" s="9" t="s">
        <v>3184</v>
      </c>
      <c r="F151" s="5" t="s">
        <v>86</v>
      </c>
      <c r="G151" s="5" t="s">
        <v>3177</v>
      </c>
      <c r="H151" s="5" t="s">
        <v>3178</v>
      </c>
      <c r="I151" s="9" t="s">
        <v>3407</v>
      </c>
      <c r="J151" s="5">
        <v>2025</v>
      </c>
      <c r="K151" s="5">
        <v>536</v>
      </c>
      <c r="L151" s="9" t="s">
        <v>3411</v>
      </c>
      <c r="M151" s="5">
        <v>5</v>
      </c>
      <c r="N151" s="9" t="s">
        <v>3412</v>
      </c>
      <c r="O151" s="9" t="str">
        <f t="shared" si="16"/>
        <v>PDFを開く</v>
      </c>
      <c r="P151" s="9" t="s">
        <v>247</v>
      </c>
    </row>
    <row r="152" spans="1:16" ht="33.950000000000003" customHeight="1">
      <c r="A152" s="2" t="s">
        <v>240</v>
      </c>
      <c r="B152" s="2" t="s">
        <v>73</v>
      </c>
      <c r="C152" s="8" t="s">
        <v>241</v>
      </c>
      <c r="D152" s="2">
        <v>2</v>
      </c>
      <c r="E152" s="8" t="s">
        <v>3184</v>
      </c>
      <c r="F152" s="2" t="s">
        <v>86</v>
      </c>
      <c r="G152" s="2" t="s">
        <v>3177</v>
      </c>
      <c r="H152" s="2" t="s">
        <v>3178</v>
      </c>
      <c r="I152" s="8" t="s">
        <v>3335</v>
      </c>
      <c r="J152" s="2">
        <v>2028</v>
      </c>
      <c r="K152" s="2">
        <v>621</v>
      </c>
      <c r="L152" s="8" t="s">
        <v>3413</v>
      </c>
      <c r="M152" s="2">
        <v>5</v>
      </c>
      <c r="N152" s="8" t="s">
        <v>3412</v>
      </c>
      <c r="O152" s="8" t="str">
        <f t="shared" si="16"/>
        <v>PDFを開く</v>
      </c>
      <c r="P152" s="8" t="s">
        <v>247</v>
      </c>
    </row>
    <row r="153" spans="1:16" ht="33.950000000000003" customHeight="1">
      <c r="A153" s="5" t="s">
        <v>240</v>
      </c>
      <c r="B153" s="5" t="s">
        <v>73</v>
      </c>
      <c r="C153" s="9" t="s">
        <v>241</v>
      </c>
      <c r="D153" s="5">
        <v>2</v>
      </c>
      <c r="E153" s="9" t="s">
        <v>3188</v>
      </c>
      <c r="F153" s="5" t="s">
        <v>86</v>
      </c>
      <c r="G153" s="5" t="s">
        <v>3177</v>
      </c>
      <c r="H153" s="5" t="s">
        <v>3178</v>
      </c>
      <c r="I153" s="9" t="s">
        <v>3407</v>
      </c>
      <c r="J153" s="5">
        <v>2025</v>
      </c>
      <c r="K153" s="5">
        <v>0</v>
      </c>
      <c r="L153" s="9" t="s">
        <v>3267</v>
      </c>
      <c r="M153" s="5"/>
      <c r="N153" s="9" t="s">
        <v>3414</v>
      </c>
      <c r="O153" s="9" t="str">
        <f t="shared" si="16"/>
        <v>PDFを開く</v>
      </c>
      <c r="P153" s="9" t="s">
        <v>247</v>
      </c>
    </row>
    <row r="154" spans="1:16" ht="33.950000000000003" customHeight="1">
      <c r="A154" s="2" t="s">
        <v>240</v>
      </c>
      <c r="B154" s="2" t="s">
        <v>73</v>
      </c>
      <c r="C154" s="8" t="s">
        <v>241</v>
      </c>
      <c r="D154" s="2">
        <v>2</v>
      </c>
      <c r="E154" s="8" t="s">
        <v>3188</v>
      </c>
      <c r="F154" s="2" t="s">
        <v>86</v>
      </c>
      <c r="G154" s="2" t="s">
        <v>3177</v>
      </c>
      <c r="H154" s="2" t="s">
        <v>3178</v>
      </c>
      <c r="I154" s="8" t="s">
        <v>3335</v>
      </c>
      <c r="J154" s="2">
        <v>2028</v>
      </c>
      <c r="K154" s="2">
        <v>0</v>
      </c>
      <c r="L154" s="8" t="s">
        <v>3267</v>
      </c>
      <c r="M154" s="2"/>
      <c r="N154" s="8" t="s">
        <v>3414</v>
      </c>
      <c r="O154" s="8" t="str">
        <f t="shared" si="16"/>
        <v>PDFを開く</v>
      </c>
      <c r="P154" s="8" t="s">
        <v>247</v>
      </c>
    </row>
    <row r="155" spans="1:16" ht="33.950000000000003" customHeight="1">
      <c r="A155" s="5" t="s">
        <v>240</v>
      </c>
      <c r="B155" s="5" t="s">
        <v>73</v>
      </c>
      <c r="C155" s="9" t="s">
        <v>241</v>
      </c>
      <c r="D155" s="5">
        <v>2</v>
      </c>
      <c r="E155" s="9" t="s">
        <v>3191</v>
      </c>
      <c r="F155" s="5" t="s">
        <v>2513</v>
      </c>
      <c r="G155" s="5" t="s">
        <v>3177</v>
      </c>
      <c r="H155" s="5" t="s">
        <v>3178</v>
      </c>
      <c r="I155" s="9" t="s">
        <v>3407</v>
      </c>
      <c r="J155" s="5">
        <v>2025</v>
      </c>
      <c r="K155" s="5">
        <v>61</v>
      </c>
      <c r="L155" s="9" t="s">
        <v>3415</v>
      </c>
      <c r="M155" s="5"/>
      <c r="N155" s="9" t="s">
        <v>3416</v>
      </c>
      <c r="O155" s="9" t="str">
        <f t="shared" si="16"/>
        <v>PDFを開く</v>
      </c>
      <c r="P155" s="9" t="s">
        <v>247</v>
      </c>
    </row>
    <row r="156" spans="1:16" ht="33.950000000000003" customHeight="1">
      <c r="A156" s="2" t="s">
        <v>240</v>
      </c>
      <c r="B156" s="2" t="s">
        <v>73</v>
      </c>
      <c r="C156" s="8" t="s">
        <v>241</v>
      </c>
      <c r="D156" s="2">
        <v>2</v>
      </c>
      <c r="E156" s="8" t="s">
        <v>3191</v>
      </c>
      <c r="F156" s="2" t="s">
        <v>2513</v>
      </c>
      <c r="G156" s="2" t="s">
        <v>3177</v>
      </c>
      <c r="H156" s="2" t="s">
        <v>3178</v>
      </c>
      <c r="I156" s="8" t="s">
        <v>3335</v>
      </c>
      <c r="J156" s="2">
        <v>2028</v>
      </c>
      <c r="K156" s="2">
        <v>100</v>
      </c>
      <c r="L156" s="8" t="s">
        <v>3417</v>
      </c>
      <c r="M156" s="2"/>
      <c r="N156" s="8" t="s">
        <v>3416</v>
      </c>
      <c r="O156" s="8" t="str">
        <f t="shared" si="16"/>
        <v>PDFを開く</v>
      </c>
      <c r="P156" s="8" t="s">
        <v>247</v>
      </c>
    </row>
    <row r="157" spans="1:16" ht="33.950000000000003" customHeight="1">
      <c r="A157" s="5" t="s">
        <v>248</v>
      </c>
      <c r="B157" s="5" t="s">
        <v>73</v>
      </c>
      <c r="C157" s="9" t="s">
        <v>249</v>
      </c>
      <c r="D157" s="5">
        <v>2</v>
      </c>
      <c r="E157" s="9" t="s">
        <v>3176</v>
      </c>
      <c r="F157" s="5" t="s">
        <v>86</v>
      </c>
      <c r="G157" s="5" t="s">
        <v>3177</v>
      </c>
      <c r="H157" s="5" t="s">
        <v>3178</v>
      </c>
      <c r="I157" s="9" t="s">
        <v>3418</v>
      </c>
      <c r="J157" s="5">
        <v>2027</v>
      </c>
      <c r="K157" s="5">
        <v>1155</v>
      </c>
      <c r="L157" s="9" t="s">
        <v>3419</v>
      </c>
      <c r="M157" s="5">
        <v>10.199999999999999</v>
      </c>
      <c r="N157" s="9" t="s">
        <v>3420</v>
      </c>
      <c r="O157" s="9" t="str">
        <f t="shared" ref="O157:O164" si="17">HYPERLINK("https://seichotoushi-hojo.jp/assets/pdf/koufu/outline_115.pdf","PDFを開く")</f>
        <v>PDFを開く</v>
      </c>
      <c r="P157" s="9" t="s">
        <v>256</v>
      </c>
    </row>
    <row r="158" spans="1:16" ht="33.950000000000003" customHeight="1">
      <c r="A158" s="2" t="s">
        <v>248</v>
      </c>
      <c r="B158" s="2" t="s">
        <v>73</v>
      </c>
      <c r="C158" s="8" t="s">
        <v>249</v>
      </c>
      <c r="D158" s="2">
        <v>2</v>
      </c>
      <c r="E158" s="8" t="s">
        <v>3176</v>
      </c>
      <c r="F158" s="2" t="s">
        <v>86</v>
      </c>
      <c r="G158" s="2" t="s">
        <v>3177</v>
      </c>
      <c r="H158" s="2" t="s">
        <v>3178</v>
      </c>
      <c r="I158" s="8" t="s">
        <v>3421</v>
      </c>
      <c r="J158" s="2">
        <v>2030</v>
      </c>
      <c r="K158" s="2">
        <v>1547</v>
      </c>
      <c r="L158" s="8" t="s">
        <v>3422</v>
      </c>
      <c r="M158" s="2">
        <v>10.199999999999999</v>
      </c>
      <c r="N158" s="8" t="s">
        <v>3420</v>
      </c>
      <c r="O158" s="8" t="str">
        <f t="shared" si="17"/>
        <v>PDFを開く</v>
      </c>
      <c r="P158" s="8" t="s">
        <v>256</v>
      </c>
    </row>
    <row r="159" spans="1:16" ht="33.950000000000003" customHeight="1">
      <c r="A159" s="5" t="s">
        <v>248</v>
      </c>
      <c r="B159" s="5" t="s">
        <v>73</v>
      </c>
      <c r="C159" s="9" t="s">
        <v>249</v>
      </c>
      <c r="D159" s="5">
        <v>2</v>
      </c>
      <c r="E159" s="9" t="s">
        <v>3184</v>
      </c>
      <c r="F159" s="5" t="s">
        <v>86</v>
      </c>
      <c r="G159" s="5" t="s">
        <v>3177</v>
      </c>
      <c r="H159" s="5" t="s">
        <v>3178</v>
      </c>
      <c r="I159" s="9" t="s">
        <v>3418</v>
      </c>
      <c r="J159" s="5">
        <v>2027</v>
      </c>
      <c r="K159" s="5">
        <v>531</v>
      </c>
      <c r="L159" s="9" t="s">
        <v>3423</v>
      </c>
      <c r="M159" s="5">
        <v>6.1</v>
      </c>
      <c r="N159" s="9" t="s">
        <v>3424</v>
      </c>
      <c r="O159" s="9" t="str">
        <f t="shared" si="17"/>
        <v>PDFを開く</v>
      </c>
      <c r="P159" s="9" t="s">
        <v>256</v>
      </c>
    </row>
    <row r="160" spans="1:16" ht="33.950000000000003" customHeight="1">
      <c r="A160" s="2" t="s">
        <v>248</v>
      </c>
      <c r="B160" s="2" t="s">
        <v>73</v>
      </c>
      <c r="C160" s="8" t="s">
        <v>249</v>
      </c>
      <c r="D160" s="2">
        <v>2</v>
      </c>
      <c r="E160" s="8" t="s">
        <v>3184</v>
      </c>
      <c r="F160" s="2" t="s">
        <v>86</v>
      </c>
      <c r="G160" s="2" t="s">
        <v>3177</v>
      </c>
      <c r="H160" s="2" t="s">
        <v>3178</v>
      </c>
      <c r="I160" s="8" t="s">
        <v>3421</v>
      </c>
      <c r="J160" s="2">
        <v>2030</v>
      </c>
      <c r="K160" s="2">
        <v>634</v>
      </c>
      <c r="L160" s="8" t="s">
        <v>3425</v>
      </c>
      <c r="M160" s="2">
        <v>6.1</v>
      </c>
      <c r="N160" s="8" t="s">
        <v>3424</v>
      </c>
      <c r="O160" s="8" t="str">
        <f t="shared" si="17"/>
        <v>PDFを開く</v>
      </c>
      <c r="P160" s="8" t="s">
        <v>256</v>
      </c>
    </row>
    <row r="161" spans="1:16" ht="33.950000000000003" customHeight="1">
      <c r="A161" s="5" t="s">
        <v>248</v>
      </c>
      <c r="B161" s="5" t="s">
        <v>73</v>
      </c>
      <c r="C161" s="9" t="s">
        <v>249</v>
      </c>
      <c r="D161" s="5">
        <v>2</v>
      </c>
      <c r="E161" s="9" t="s">
        <v>3188</v>
      </c>
      <c r="F161" s="5" t="s">
        <v>86</v>
      </c>
      <c r="G161" s="5" t="s">
        <v>3177</v>
      </c>
      <c r="H161" s="5" t="s">
        <v>3178</v>
      </c>
      <c r="I161" s="9" t="s">
        <v>3418</v>
      </c>
      <c r="J161" s="5">
        <v>2027</v>
      </c>
      <c r="K161" s="5">
        <v>3075</v>
      </c>
      <c r="L161" s="9" t="s">
        <v>3426</v>
      </c>
      <c r="M161" s="5">
        <v>5.6</v>
      </c>
      <c r="N161" s="9" t="s">
        <v>3427</v>
      </c>
      <c r="O161" s="9" t="str">
        <f t="shared" si="17"/>
        <v>PDFを開く</v>
      </c>
      <c r="P161" s="9" t="s">
        <v>256</v>
      </c>
    </row>
    <row r="162" spans="1:16" ht="33.950000000000003" customHeight="1">
      <c r="A162" s="2" t="s">
        <v>248</v>
      </c>
      <c r="B162" s="2" t="s">
        <v>73</v>
      </c>
      <c r="C162" s="8" t="s">
        <v>249</v>
      </c>
      <c r="D162" s="2">
        <v>2</v>
      </c>
      <c r="E162" s="8" t="s">
        <v>3188</v>
      </c>
      <c r="F162" s="2" t="s">
        <v>86</v>
      </c>
      <c r="G162" s="2" t="s">
        <v>3177</v>
      </c>
      <c r="H162" s="2" t="s">
        <v>3178</v>
      </c>
      <c r="I162" s="8" t="s">
        <v>3421</v>
      </c>
      <c r="J162" s="2">
        <v>2030</v>
      </c>
      <c r="K162" s="2">
        <v>3625</v>
      </c>
      <c r="L162" s="8" t="s">
        <v>3428</v>
      </c>
      <c r="M162" s="2">
        <v>5.6</v>
      </c>
      <c r="N162" s="8" t="s">
        <v>3427</v>
      </c>
      <c r="O162" s="8" t="str">
        <f t="shared" si="17"/>
        <v>PDFを開く</v>
      </c>
      <c r="P162" s="8" t="s">
        <v>256</v>
      </c>
    </row>
    <row r="163" spans="1:16" ht="33.950000000000003" customHeight="1">
      <c r="A163" s="5" t="s">
        <v>248</v>
      </c>
      <c r="B163" s="5" t="s">
        <v>73</v>
      </c>
      <c r="C163" s="9" t="s">
        <v>249</v>
      </c>
      <c r="D163" s="5">
        <v>2</v>
      </c>
      <c r="E163" s="9" t="s">
        <v>3191</v>
      </c>
      <c r="F163" s="5" t="s">
        <v>2513</v>
      </c>
      <c r="G163" s="5" t="s">
        <v>3177</v>
      </c>
      <c r="H163" s="5" t="s">
        <v>3178</v>
      </c>
      <c r="I163" s="9" t="s">
        <v>3418</v>
      </c>
      <c r="J163" s="5">
        <v>2027</v>
      </c>
      <c r="K163" s="5">
        <v>227</v>
      </c>
      <c r="L163" s="9" t="s">
        <v>3429</v>
      </c>
      <c r="M163" s="5"/>
      <c r="N163" s="9" t="s">
        <v>3430</v>
      </c>
      <c r="O163" s="9" t="str">
        <f t="shared" si="17"/>
        <v>PDFを開く</v>
      </c>
      <c r="P163" s="9" t="s">
        <v>256</v>
      </c>
    </row>
    <row r="164" spans="1:16" ht="33.950000000000003" customHeight="1">
      <c r="A164" s="2" t="s">
        <v>248</v>
      </c>
      <c r="B164" s="2" t="s">
        <v>73</v>
      </c>
      <c r="C164" s="8" t="s">
        <v>249</v>
      </c>
      <c r="D164" s="2">
        <v>2</v>
      </c>
      <c r="E164" s="8" t="s">
        <v>3191</v>
      </c>
      <c r="F164" s="2" t="s">
        <v>2513</v>
      </c>
      <c r="G164" s="2" t="s">
        <v>3177</v>
      </c>
      <c r="H164" s="2" t="s">
        <v>3178</v>
      </c>
      <c r="I164" s="8" t="s">
        <v>3421</v>
      </c>
      <c r="J164" s="2">
        <v>2030</v>
      </c>
      <c r="K164" s="2">
        <v>281</v>
      </c>
      <c r="L164" s="8" t="s">
        <v>3431</v>
      </c>
      <c r="M164" s="2"/>
      <c r="N164" s="8" t="s">
        <v>3430</v>
      </c>
      <c r="O164" s="8" t="str">
        <f t="shared" si="17"/>
        <v>PDFを開く</v>
      </c>
      <c r="P164" s="8" t="s">
        <v>256</v>
      </c>
    </row>
    <row r="165" spans="1:16" ht="33.950000000000003" customHeight="1">
      <c r="A165" s="5" t="s">
        <v>257</v>
      </c>
      <c r="B165" s="5" t="s">
        <v>73</v>
      </c>
      <c r="C165" s="9" t="s">
        <v>258</v>
      </c>
      <c r="D165" s="5">
        <v>2</v>
      </c>
      <c r="E165" s="9" t="s">
        <v>3176</v>
      </c>
      <c r="F165" s="5" t="s">
        <v>86</v>
      </c>
      <c r="G165" s="5" t="s">
        <v>3177</v>
      </c>
      <c r="H165" s="5" t="s">
        <v>3178</v>
      </c>
      <c r="I165" s="9" t="s">
        <v>3432</v>
      </c>
      <c r="J165" s="5">
        <v>2025</v>
      </c>
      <c r="K165" s="5">
        <v>290</v>
      </c>
      <c r="L165" s="9" t="s">
        <v>3194</v>
      </c>
      <c r="M165" s="5">
        <v>57.9</v>
      </c>
      <c r="N165" s="9" t="s">
        <v>3433</v>
      </c>
      <c r="O165" s="9" t="str">
        <f t="shared" ref="O165:O172" si="18">HYPERLINK("https://seichotoushi-hojo.jp/assets/pdf/koufu/outline_116.pdf","PDFを開く")</f>
        <v>PDFを開く</v>
      </c>
      <c r="P165" s="9" t="s">
        <v>264</v>
      </c>
    </row>
    <row r="166" spans="1:16" ht="33.950000000000003" customHeight="1">
      <c r="A166" s="2" t="s">
        <v>257</v>
      </c>
      <c r="B166" s="2" t="s">
        <v>73</v>
      </c>
      <c r="C166" s="8" t="s">
        <v>258</v>
      </c>
      <c r="D166" s="2">
        <v>2</v>
      </c>
      <c r="E166" s="8" t="s">
        <v>3176</v>
      </c>
      <c r="F166" s="2" t="s">
        <v>86</v>
      </c>
      <c r="G166" s="2" t="s">
        <v>3177</v>
      </c>
      <c r="H166" s="2" t="s">
        <v>3178</v>
      </c>
      <c r="I166" s="8" t="s">
        <v>3434</v>
      </c>
      <c r="J166" s="2">
        <v>2028</v>
      </c>
      <c r="K166" s="2">
        <v>1143</v>
      </c>
      <c r="L166" s="8" t="s">
        <v>3435</v>
      </c>
      <c r="M166" s="2">
        <v>57.9</v>
      </c>
      <c r="N166" s="8" t="s">
        <v>3433</v>
      </c>
      <c r="O166" s="8" t="str">
        <f t="shared" si="18"/>
        <v>PDFを開く</v>
      </c>
      <c r="P166" s="8" t="s">
        <v>264</v>
      </c>
    </row>
    <row r="167" spans="1:16" ht="33.950000000000003" customHeight="1">
      <c r="A167" s="5" t="s">
        <v>257</v>
      </c>
      <c r="B167" s="5" t="s">
        <v>73</v>
      </c>
      <c r="C167" s="9" t="s">
        <v>258</v>
      </c>
      <c r="D167" s="5">
        <v>2</v>
      </c>
      <c r="E167" s="9" t="s">
        <v>3184</v>
      </c>
      <c r="F167" s="5" t="s">
        <v>86</v>
      </c>
      <c r="G167" s="5" t="s">
        <v>3177</v>
      </c>
      <c r="H167" s="5" t="s">
        <v>3178</v>
      </c>
      <c r="I167" s="9" t="s">
        <v>3432</v>
      </c>
      <c r="J167" s="5">
        <v>2025</v>
      </c>
      <c r="K167" s="5">
        <v>236</v>
      </c>
      <c r="L167" s="9" t="s">
        <v>3436</v>
      </c>
      <c r="M167" s="5">
        <v>4.8</v>
      </c>
      <c r="N167" s="9" t="s">
        <v>3437</v>
      </c>
      <c r="O167" s="9" t="str">
        <f t="shared" si="18"/>
        <v>PDFを開く</v>
      </c>
      <c r="P167" s="9" t="s">
        <v>264</v>
      </c>
    </row>
    <row r="168" spans="1:16" ht="33.950000000000003" customHeight="1">
      <c r="A168" s="2" t="s">
        <v>257</v>
      </c>
      <c r="B168" s="2" t="s">
        <v>73</v>
      </c>
      <c r="C168" s="8" t="s">
        <v>258</v>
      </c>
      <c r="D168" s="2">
        <v>2</v>
      </c>
      <c r="E168" s="8" t="s">
        <v>3184</v>
      </c>
      <c r="F168" s="2" t="s">
        <v>86</v>
      </c>
      <c r="G168" s="2" t="s">
        <v>3177</v>
      </c>
      <c r="H168" s="2" t="s">
        <v>3178</v>
      </c>
      <c r="I168" s="8" t="s">
        <v>3434</v>
      </c>
      <c r="J168" s="2">
        <v>2028</v>
      </c>
      <c r="K168" s="2">
        <v>272</v>
      </c>
      <c r="L168" s="8" t="s">
        <v>3438</v>
      </c>
      <c r="M168" s="2">
        <v>4.8</v>
      </c>
      <c r="N168" s="8" t="s">
        <v>3437</v>
      </c>
      <c r="O168" s="8" t="str">
        <f t="shared" si="18"/>
        <v>PDFを開く</v>
      </c>
      <c r="P168" s="8" t="s">
        <v>264</v>
      </c>
    </row>
    <row r="169" spans="1:16" ht="33.950000000000003" customHeight="1">
      <c r="A169" s="5" t="s">
        <v>257</v>
      </c>
      <c r="B169" s="5" t="s">
        <v>73</v>
      </c>
      <c r="C169" s="9" t="s">
        <v>258</v>
      </c>
      <c r="D169" s="5">
        <v>2</v>
      </c>
      <c r="E169" s="9" t="s">
        <v>3188</v>
      </c>
      <c r="F169" s="5" t="s">
        <v>86</v>
      </c>
      <c r="G169" s="5" t="s">
        <v>3177</v>
      </c>
      <c r="H169" s="5" t="s">
        <v>3178</v>
      </c>
      <c r="I169" s="9" t="s">
        <v>3432</v>
      </c>
      <c r="J169" s="5">
        <v>2025</v>
      </c>
      <c r="K169" s="5">
        <v>1500</v>
      </c>
      <c r="L169" s="9" t="s">
        <v>3439</v>
      </c>
      <c r="M169" s="5">
        <v>3</v>
      </c>
      <c r="N169" s="9" t="s">
        <v>3440</v>
      </c>
      <c r="O169" s="9" t="str">
        <f t="shared" si="18"/>
        <v>PDFを開く</v>
      </c>
      <c r="P169" s="9" t="s">
        <v>264</v>
      </c>
    </row>
    <row r="170" spans="1:16" ht="33.950000000000003" customHeight="1">
      <c r="A170" s="2" t="s">
        <v>257</v>
      </c>
      <c r="B170" s="2" t="s">
        <v>73</v>
      </c>
      <c r="C170" s="8" t="s">
        <v>258</v>
      </c>
      <c r="D170" s="2">
        <v>2</v>
      </c>
      <c r="E170" s="8" t="s">
        <v>3188</v>
      </c>
      <c r="F170" s="2" t="s">
        <v>86</v>
      </c>
      <c r="G170" s="2" t="s">
        <v>3177</v>
      </c>
      <c r="H170" s="2" t="s">
        <v>3178</v>
      </c>
      <c r="I170" s="8" t="s">
        <v>3434</v>
      </c>
      <c r="J170" s="2">
        <v>2028</v>
      </c>
      <c r="K170" s="2">
        <v>1639</v>
      </c>
      <c r="L170" s="8" t="s">
        <v>3441</v>
      </c>
      <c r="M170" s="2">
        <v>3</v>
      </c>
      <c r="N170" s="8" t="s">
        <v>3440</v>
      </c>
      <c r="O170" s="8" t="str">
        <f t="shared" si="18"/>
        <v>PDFを開く</v>
      </c>
      <c r="P170" s="8" t="s">
        <v>264</v>
      </c>
    </row>
    <row r="171" spans="1:16" ht="33.950000000000003" customHeight="1">
      <c r="A171" s="5" t="s">
        <v>257</v>
      </c>
      <c r="B171" s="5" t="s">
        <v>73</v>
      </c>
      <c r="C171" s="9" t="s">
        <v>258</v>
      </c>
      <c r="D171" s="5">
        <v>2</v>
      </c>
      <c r="E171" s="9" t="s">
        <v>3191</v>
      </c>
      <c r="F171" s="5" t="s">
        <v>2513</v>
      </c>
      <c r="G171" s="5" t="s">
        <v>3177</v>
      </c>
      <c r="H171" s="5" t="s">
        <v>3178</v>
      </c>
      <c r="I171" s="9" t="s">
        <v>3432</v>
      </c>
      <c r="J171" s="5">
        <v>2025</v>
      </c>
      <c r="K171" s="5">
        <v>63</v>
      </c>
      <c r="L171" s="9" t="s">
        <v>3442</v>
      </c>
      <c r="M171" s="5"/>
      <c r="N171" s="9" t="s">
        <v>3443</v>
      </c>
      <c r="O171" s="9" t="str">
        <f t="shared" si="18"/>
        <v>PDFを開く</v>
      </c>
      <c r="P171" s="9" t="s">
        <v>264</v>
      </c>
    </row>
    <row r="172" spans="1:16" ht="33.950000000000003" customHeight="1">
      <c r="A172" s="2" t="s">
        <v>257</v>
      </c>
      <c r="B172" s="2" t="s">
        <v>73</v>
      </c>
      <c r="C172" s="8" t="s">
        <v>258</v>
      </c>
      <c r="D172" s="2">
        <v>2</v>
      </c>
      <c r="E172" s="8" t="s">
        <v>3191</v>
      </c>
      <c r="F172" s="2" t="s">
        <v>2513</v>
      </c>
      <c r="G172" s="2" t="s">
        <v>3177</v>
      </c>
      <c r="H172" s="2" t="s">
        <v>3178</v>
      </c>
      <c r="I172" s="8" t="s">
        <v>3434</v>
      </c>
      <c r="J172" s="2">
        <v>2028</v>
      </c>
      <c r="K172" s="2">
        <v>104</v>
      </c>
      <c r="L172" s="8" t="s">
        <v>3444</v>
      </c>
      <c r="M172" s="2"/>
      <c r="N172" s="8" t="s">
        <v>3443</v>
      </c>
      <c r="O172" s="8" t="str">
        <f t="shared" si="18"/>
        <v>PDFを開く</v>
      </c>
      <c r="P172" s="8" t="s">
        <v>264</v>
      </c>
    </row>
    <row r="173" spans="1:16" ht="33.950000000000003" customHeight="1">
      <c r="A173" s="5" t="s">
        <v>265</v>
      </c>
      <c r="B173" s="5" t="s">
        <v>73</v>
      </c>
      <c r="C173" s="9" t="s">
        <v>266</v>
      </c>
      <c r="D173" s="5">
        <v>4</v>
      </c>
      <c r="E173" s="9" t="s">
        <v>3176</v>
      </c>
      <c r="F173" s="5" t="s">
        <v>86</v>
      </c>
      <c r="G173" s="5" t="s">
        <v>3177</v>
      </c>
      <c r="H173" s="5" t="s">
        <v>3178</v>
      </c>
      <c r="I173" s="9" t="s">
        <v>3179</v>
      </c>
      <c r="J173" s="5">
        <v>2026</v>
      </c>
      <c r="K173" s="5">
        <v>873</v>
      </c>
      <c r="L173" s="9" t="s">
        <v>3445</v>
      </c>
      <c r="M173" s="5">
        <v>25.4</v>
      </c>
      <c r="N173" s="9" t="s">
        <v>3446</v>
      </c>
      <c r="O173" s="9" t="str">
        <f t="shared" ref="O173:O180" si="19">HYPERLINK("https://seichotoushi-hojo.jp/assets/pdf/koufu/outline_117.pdf","PDFを開く")</f>
        <v>PDFを開く</v>
      </c>
      <c r="P173" s="9" t="s">
        <v>273</v>
      </c>
    </row>
    <row r="174" spans="1:16" ht="33.950000000000003" customHeight="1">
      <c r="A174" s="2" t="s">
        <v>265</v>
      </c>
      <c r="B174" s="2" t="s">
        <v>73</v>
      </c>
      <c r="C174" s="8" t="s">
        <v>266</v>
      </c>
      <c r="D174" s="2">
        <v>4</v>
      </c>
      <c r="E174" s="8" t="s">
        <v>3176</v>
      </c>
      <c r="F174" s="2" t="s">
        <v>86</v>
      </c>
      <c r="G174" s="2" t="s">
        <v>3177</v>
      </c>
      <c r="H174" s="2" t="s">
        <v>3178</v>
      </c>
      <c r="I174" s="8" t="s">
        <v>3182</v>
      </c>
      <c r="J174" s="2">
        <v>2029</v>
      </c>
      <c r="K174" s="2">
        <v>1722</v>
      </c>
      <c r="L174" s="8" t="s">
        <v>3447</v>
      </c>
      <c r="M174" s="2">
        <v>25.4</v>
      </c>
      <c r="N174" s="8" t="s">
        <v>3446</v>
      </c>
      <c r="O174" s="8" t="str">
        <f t="shared" si="19"/>
        <v>PDFを開く</v>
      </c>
      <c r="P174" s="8" t="s">
        <v>273</v>
      </c>
    </row>
    <row r="175" spans="1:16" ht="33.950000000000003" customHeight="1">
      <c r="A175" s="5" t="s">
        <v>265</v>
      </c>
      <c r="B175" s="5" t="s">
        <v>73</v>
      </c>
      <c r="C175" s="9" t="s">
        <v>266</v>
      </c>
      <c r="D175" s="5">
        <v>4</v>
      </c>
      <c r="E175" s="9" t="s">
        <v>3184</v>
      </c>
      <c r="F175" s="5" t="s">
        <v>86</v>
      </c>
      <c r="G175" s="5" t="s">
        <v>3177</v>
      </c>
      <c r="H175" s="5" t="s">
        <v>3178</v>
      </c>
      <c r="I175" s="9" t="s">
        <v>3179</v>
      </c>
      <c r="J175" s="5">
        <v>2026</v>
      </c>
      <c r="K175" s="5">
        <v>504</v>
      </c>
      <c r="L175" s="9" t="s">
        <v>3390</v>
      </c>
      <c r="M175" s="5">
        <v>5.09</v>
      </c>
      <c r="N175" s="9" t="s">
        <v>3448</v>
      </c>
      <c r="O175" s="9" t="str">
        <f t="shared" si="19"/>
        <v>PDFを開く</v>
      </c>
      <c r="P175" s="9" t="s">
        <v>273</v>
      </c>
    </row>
    <row r="176" spans="1:16" ht="33.950000000000003" customHeight="1">
      <c r="A176" s="2" t="s">
        <v>265</v>
      </c>
      <c r="B176" s="2" t="s">
        <v>73</v>
      </c>
      <c r="C176" s="8" t="s">
        <v>266</v>
      </c>
      <c r="D176" s="2">
        <v>4</v>
      </c>
      <c r="E176" s="8" t="s">
        <v>3184</v>
      </c>
      <c r="F176" s="2" t="s">
        <v>86</v>
      </c>
      <c r="G176" s="2" t="s">
        <v>3177</v>
      </c>
      <c r="H176" s="2" t="s">
        <v>3178</v>
      </c>
      <c r="I176" s="8" t="s">
        <v>3182</v>
      </c>
      <c r="J176" s="2">
        <v>2029</v>
      </c>
      <c r="K176" s="2">
        <v>585</v>
      </c>
      <c r="L176" s="8" t="s">
        <v>3449</v>
      </c>
      <c r="M176" s="2">
        <v>5.09</v>
      </c>
      <c r="N176" s="8" t="s">
        <v>3448</v>
      </c>
      <c r="O176" s="8" t="str">
        <f t="shared" si="19"/>
        <v>PDFを開く</v>
      </c>
      <c r="P176" s="8" t="s">
        <v>273</v>
      </c>
    </row>
    <row r="177" spans="1:16" ht="33.950000000000003" customHeight="1">
      <c r="A177" s="5" t="s">
        <v>265</v>
      </c>
      <c r="B177" s="5" t="s">
        <v>73</v>
      </c>
      <c r="C177" s="9" t="s">
        <v>266</v>
      </c>
      <c r="D177" s="5">
        <v>4</v>
      </c>
      <c r="E177" s="9" t="s">
        <v>3188</v>
      </c>
      <c r="F177" s="5" t="s">
        <v>86</v>
      </c>
      <c r="G177" s="5" t="s">
        <v>3177</v>
      </c>
      <c r="H177" s="5" t="s">
        <v>3178</v>
      </c>
      <c r="I177" s="9" t="s">
        <v>3179</v>
      </c>
      <c r="J177" s="5">
        <v>2026</v>
      </c>
      <c r="K177" s="5">
        <v>6500</v>
      </c>
      <c r="L177" s="9" t="s">
        <v>3450</v>
      </c>
      <c r="M177" s="5">
        <v>5.35</v>
      </c>
      <c r="N177" s="9" t="s">
        <v>3451</v>
      </c>
      <c r="O177" s="9" t="str">
        <f t="shared" si="19"/>
        <v>PDFを開く</v>
      </c>
      <c r="P177" s="9" t="s">
        <v>273</v>
      </c>
    </row>
    <row r="178" spans="1:16" ht="33.950000000000003" customHeight="1">
      <c r="A178" s="2" t="s">
        <v>265</v>
      </c>
      <c r="B178" s="2" t="s">
        <v>73</v>
      </c>
      <c r="C178" s="8" t="s">
        <v>266</v>
      </c>
      <c r="D178" s="2">
        <v>4</v>
      </c>
      <c r="E178" s="8" t="s">
        <v>3188</v>
      </c>
      <c r="F178" s="2" t="s">
        <v>86</v>
      </c>
      <c r="G178" s="2" t="s">
        <v>3177</v>
      </c>
      <c r="H178" s="2" t="s">
        <v>3178</v>
      </c>
      <c r="I178" s="8" t="s">
        <v>3182</v>
      </c>
      <c r="J178" s="2">
        <v>2029</v>
      </c>
      <c r="K178" s="2">
        <v>7600</v>
      </c>
      <c r="L178" s="8" t="s">
        <v>3452</v>
      </c>
      <c r="M178" s="2">
        <v>5.35</v>
      </c>
      <c r="N178" s="8" t="s">
        <v>3451</v>
      </c>
      <c r="O178" s="8" t="str">
        <f t="shared" si="19"/>
        <v>PDFを開く</v>
      </c>
      <c r="P178" s="8" t="s">
        <v>273</v>
      </c>
    </row>
    <row r="179" spans="1:16" ht="33.950000000000003" customHeight="1">
      <c r="A179" s="5" t="s">
        <v>265</v>
      </c>
      <c r="B179" s="5" t="s">
        <v>73</v>
      </c>
      <c r="C179" s="9" t="s">
        <v>266</v>
      </c>
      <c r="D179" s="5">
        <v>4</v>
      </c>
      <c r="E179" s="9" t="s">
        <v>3191</v>
      </c>
      <c r="F179" s="5" t="s">
        <v>2513</v>
      </c>
      <c r="G179" s="5" t="s">
        <v>3177</v>
      </c>
      <c r="H179" s="5" t="s">
        <v>3178</v>
      </c>
      <c r="I179" s="9" t="s">
        <v>3179</v>
      </c>
      <c r="J179" s="5">
        <v>2026</v>
      </c>
      <c r="K179" s="5">
        <v>129</v>
      </c>
      <c r="L179" s="9" t="s">
        <v>3453</v>
      </c>
      <c r="M179" s="5"/>
      <c r="N179" s="9" t="s">
        <v>3454</v>
      </c>
      <c r="O179" s="9" t="str">
        <f t="shared" si="19"/>
        <v>PDFを開く</v>
      </c>
      <c r="P179" s="9" t="s">
        <v>273</v>
      </c>
    </row>
    <row r="180" spans="1:16" ht="33.950000000000003" customHeight="1">
      <c r="A180" s="2" t="s">
        <v>265</v>
      </c>
      <c r="B180" s="2" t="s">
        <v>73</v>
      </c>
      <c r="C180" s="8" t="s">
        <v>266</v>
      </c>
      <c r="D180" s="2">
        <v>4</v>
      </c>
      <c r="E180" s="8" t="s">
        <v>3191</v>
      </c>
      <c r="F180" s="2" t="s">
        <v>2513</v>
      </c>
      <c r="G180" s="2" t="s">
        <v>3177</v>
      </c>
      <c r="H180" s="2" t="s">
        <v>3178</v>
      </c>
      <c r="I180" s="8" t="s">
        <v>3182</v>
      </c>
      <c r="J180" s="2">
        <v>2029</v>
      </c>
      <c r="K180" s="2">
        <v>145</v>
      </c>
      <c r="L180" s="8" t="s">
        <v>3455</v>
      </c>
      <c r="M180" s="2"/>
      <c r="N180" s="8" t="s">
        <v>3454</v>
      </c>
      <c r="O180" s="8" t="str">
        <f t="shared" si="19"/>
        <v>PDFを開く</v>
      </c>
      <c r="P180" s="8" t="s">
        <v>273</v>
      </c>
    </row>
    <row r="181" spans="1:16" ht="33.950000000000003" customHeight="1">
      <c r="A181" s="5" t="s">
        <v>274</v>
      </c>
      <c r="B181" s="5" t="s">
        <v>73</v>
      </c>
      <c r="C181" s="9" t="s">
        <v>275</v>
      </c>
      <c r="D181" s="5">
        <v>3</v>
      </c>
      <c r="E181" s="9" t="s">
        <v>3176</v>
      </c>
      <c r="F181" s="5" t="s">
        <v>86</v>
      </c>
      <c r="G181" s="5" t="s">
        <v>3177</v>
      </c>
      <c r="H181" s="5"/>
      <c r="I181" s="9" t="s">
        <v>3456</v>
      </c>
      <c r="J181" s="5">
        <v>2025</v>
      </c>
      <c r="K181" s="5">
        <v>1135</v>
      </c>
      <c r="L181" s="9" t="s">
        <v>3457</v>
      </c>
      <c r="M181" s="5">
        <v>23</v>
      </c>
      <c r="N181" s="9" t="s">
        <v>3458</v>
      </c>
      <c r="O181" s="9" t="str">
        <f t="shared" ref="O181:O187" si="20">HYPERLINK("https://seichotoushi-hojo.jp/assets/pdf/koufu/outline_118.pdf","PDFを開く")</f>
        <v>PDFを開く</v>
      </c>
      <c r="P181" s="9" t="s">
        <v>279</v>
      </c>
    </row>
    <row r="182" spans="1:16" ht="33.950000000000003" customHeight="1">
      <c r="A182" s="2" t="s">
        <v>274</v>
      </c>
      <c r="B182" s="2" t="s">
        <v>73</v>
      </c>
      <c r="C182" s="8" t="s">
        <v>275</v>
      </c>
      <c r="D182" s="2">
        <v>3</v>
      </c>
      <c r="E182" s="8" t="s">
        <v>3176</v>
      </c>
      <c r="F182" s="2" t="s">
        <v>86</v>
      </c>
      <c r="G182" s="2" t="s">
        <v>3177</v>
      </c>
      <c r="H182" s="2"/>
      <c r="I182" s="8" t="s">
        <v>3459</v>
      </c>
      <c r="J182" s="2">
        <v>2028</v>
      </c>
      <c r="K182" s="2">
        <v>2087</v>
      </c>
      <c r="L182" s="8" t="s">
        <v>3460</v>
      </c>
      <c r="M182" s="2">
        <v>23</v>
      </c>
      <c r="N182" s="8" t="s">
        <v>3458</v>
      </c>
      <c r="O182" s="8" t="str">
        <f t="shared" si="20"/>
        <v>PDFを開く</v>
      </c>
      <c r="P182" s="8" t="s">
        <v>279</v>
      </c>
    </row>
    <row r="183" spans="1:16" ht="33.950000000000003" customHeight="1">
      <c r="A183" s="5" t="s">
        <v>274</v>
      </c>
      <c r="B183" s="5" t="s">
        <v>73</v>
      </c>
      <c r="C183" s="9" t="s">
        <v>275</v>
      </c>
      <c r="D183" s="5">
        <v>3</v>
      </c>
      <c r="E183" s="9" t="s">
        <v>3184</v>
      </c>
      <c r="F183" s="5" t="s">
        <v>86</v>
      </c>
      <c r="G183" s="5" t="s">
        <v>3177</v>
      </c>
      <c r="H183" s="5"/>
      <c r="I183" s="9" t="s">
        <v>3456</v>
      </c>
      <c r="J183" s="5">
        <v>2025</v>
      </c>
      <c r="K183" s="5">
        <v>558</v>
      </c>
      <c r="L183" s="9" t="s">
        <v>3461</v>
      </c>
      <c r="M183" s="5">
        <v>5.5</v>
      </c>
      <c r="N183" s="9" t="s">
        <v>3462</v>
      </c>
      <c r="O183" s="9" t="str">
        <f t="shared" si="20"/>
        <v>PDFを開く</v>
      </c>
      <c r="P183" s="9" t="s">
        <v>279</v>
      </c>
    </row>
    <row r="184" spans="1:16" ht="33.950000000000003" customHeight="1">
      <c r="A184" s="2" t="s">
        <v>274</v>
      </c>
      <c r="B184" s="2" t="s">
        <v>73</v>
      </c>
      <c r="C184" s="8" t="s">
        <v>275</v>
      </c>
      <c r="D184" s="2">
        <v>3</v>
      </c>
      <c r="E184" s="8" t="s">
        <v>3184</v>
      </c>
      <c r="F184" s="2" t="s">
        <v>86</v>
      </c>
      <c r="G184" s="2" t="s">
        <v>3177</v>
      </c>
      <c r="H184" s="2"/>
      <c r="I184" s="8" t="s">
        <v>3459</v>
      </c>
      <c r="J184" s="2">
        <v>2028</v>
      </c>
      <c r="K184" s="2">
        <v>656</v>
      </c>
      <c r="L184" s="8" t="s">
        <v>3463</v>
      </c>
      <c r="M184" s="2">
        <v>5.5</v>
      </c>
      <c r="N184" s="8" t="s">
        <v>3462</v>
      </c>
      <c r="O184" s="8" t="str">
        <f t="shared" si="20"/>
        <v>PDFを開く</v>
      </c>
      <c r="P184" s="8" t="s">
        <v>279</v>
      </c>
    </row>
    <row r="185" spans="1:16" ht="33.950000000000003" customHeight="1">
      <c r="A185" s="5" t="s">
        <v>274</v>
      </c>
      <c r="B185" s="5" t="s">
        <v>73</v>
      </c>
      <c r="C185" s="9" t="s">
        <v>275</v>
      </c>
      <c r="D185" s="5">
        <v>3</v>
      </c>
      <c r="E185" s="9" t="s">
        <v>3188</v>
      </c>
      <c r="F185" s="5" t="s">
        <v>86</v>
      </c>
      <c r="G185" s="19" t="s">
        <v>3189</v>
      </c>
      <c r="H185" s="5"/>
      <c r="I185" s="9"/>
      <c r="J185" s="5"/>
      <c r="K185" s="5"/>
      <c r="L185" s="9"/>
      <c r="M185" s="5"/>
      <c r="N185" s="9" t="s">
        <v>3464</v>
      </c>
      <c r="O185" s="9" t="str">
        <f t="shared" si="20"/>
        <v>PDFを開く</v>
      </c>
      <c r="P185" s="9" t="s">
        <v>279</v>
      </c>
    </row>
    <row r="186" spans="1:16" ht="33.950000000000003" customHeight="1">
      <c r="A186" s="2" t="s">
        <v>274</v>
      </c>
      <c r="B186" s="2" t="s">
        <v>73</v>
      </c>
      <c r="C186" s="8" t="s">
        <v>275</v>
      </c>
      <c r="D186" s="2">
        <v>3</v>
      </c>
      <c r="E186" s="8" t="s">
        <v>3191</v>
      </c>
      <c r="F186" s="2" t="s">
        <v>2513</v>
      </c>
      <c r="G186" s="2" t="s">
        <v>3177</v>
      </c>
      <c r="H186" s="2"/>
      <c r="I186" s="8" t="s">
        <v>3456</v>
      </c>
      <c r="J186" s="2">
        <v>2025</v>
      </c>
      <c r="K186" s="2">
        <v>38</v>
      </c>
      <c r="L186" s="8" t="s">
        <v>3465</v>
      </c>
      <c r="M186" s="2"/>
      <c r="N186" s="8" t="s">
        <v>3466</v>
      </c>
      <c r="O186" s="8" t="str">
        <f t="shared" si="20"/>
        <v>PDFを開く</v>
      </c>
      <c r="P186" s="8" t="s">
        <v>279</v>
      </c>
    </row>
    <row r="187" spans="1:16" ht="33.950000000000003" customHeight="1">
      <c r="A187" s="5" t="s">
        <v>274</v>
      </c>
      <c r="B187" s="5" t="s">
        <v>73</v>
      </c>
      <c r="C187" s="9" t="s">
        <v>275</v>
      </c>
      <c r="D187" s="5">
        <v>3</v>
      </c>
      <c r="E187" s="9" t="s">
        <v>3191</v>
      </c>
      <c r="F187" s="5" t="s">
        <v>2513</v>
      </c>
      <c r="G187" s="5" t="s">
        <v>3177</v>
      </c>
      <c r="H187" s="5"/>
      <c r="I187" s="9" t="s">
        <v>3459</v>
      </c>
      <c r="J187" s="5">
        <v>2028</v>
      </c>
      <c r="K187" s="5">
        <v>51</v>
      </c>
      <c r="L187" s="9" t="s">
        <v>3467</v>
      </c>
      <c r="M187" s="5"/>
      <c r="N187" s="9" t="s">
        <v>3466</v>
      </c>
      <c r="O187" s="9" t="str">
        <f t="shared" si="20"/>
        <v>PDFを開く</v>
      </c>
      <c r="P187" s="9" t="s">
        <v>279</v>
      </c>
    </row>
    <row r="188" spans="1:16" ht="33.950000000000003" customHeight="1">
      <c r="A188" s="2" t="s">
        <v>280</v>
      </c>
      <c r="B188" s="2" t="s">
        <v>73</v>
      </c>
      <c r="C188" s="8" t="s">
        <v>281</v>
      </c>
      <c r="D188" s="2">
        <v>2</v>
      </c>
      <c r="E188" s="8" t="s">
        <v>3176</v>
      </c>
      <c r="F188" s="2" t="s">
        <v>86</v>
      </c>
      <c r="G188" s="2" t="s">
        <v>3177</v>
      </c>
      <c r="H188" s="2" t="s">
        <v>3178</v>
      </c>
      <c r="I188" s="8" t="s">
        <v>3179</v>
      </c>
      <c r="J188" s="2">
        <v>2026</v>
      </c>
      <c r="K188" s="2">
        <v>1158</v>
      </c>
      <c r="L188" s="8" t="s">
        <v>3468</v>
      </c>
      <c r="M188" s="2">
        <v>17</v>
      </c>
      <c r="N188" s="8" t="s">
        <v>3469</v>
      </c>
      <c r="O188" s="8" t="str">
        <f t="shared" ref="O188:O196" si="21">HYPERLINK("https://seichotoushi-hojo.jp/assets/pdf/koufu/outline_119.pdf","PDFを開く")</f>
        <v>PDFを開く</v>
      </c>
      <c r="P188" s="8" t="s">
        <v>287</v>
      </c>
    </row>
    <row r="189" spans="1:16" ht="33.950000000000003" customHeight="1">
      <c r="A189" s="5" t="s">
        <v>280</v>
      </c>
      <c r="B189" s="5" t="s">
        <v>73</v>
      </c>
      <c r="C189" s="9" t="s">
        <v>281</v>
      </c>
      <c r="D189" s="5">
        <v>2</v>
      </c>
      <c r="E189" s="9" t="s">
        <v>3176</v>
      </c>
      <c r="F189" s="5" t="s">
        <v>86</v>
      </c>
      <c r="G189" s="5" t="s">
        <v>3177</v>
      </c>
      <c r="H189" s="5" t="s">
        <v>3178</v>
      </c>
      <c r="I189" s="9" t="s">
        <v>3182</v>
      </c>
      <c r="J189" s="5">
        <v>2029</v>
      </c>
      <c r="K189" s="5">
        <v>1866</v>
      </c>
      <c r="L189" s="9" t="s">
        <v>3470</v>
      </c>
      <c r="M189" s="5">
        <v>17</v>
      </c>
      <c r="N189" s="9" t="s">
        <v>3469</v>
      </c>
      <c r="O189" s="9" t="str">
        <f t="shared" si="21"/>
        <v>PDFを開く</v>
      </c>
      <c r="P189" s="9" t="s">
        <v>287</v>
      </c>
    </row>
    <row r="190" spans="1:16" ht="33.950000000000003" customHeight="1">
      <c r="A190" s="2" t="s">
        <v>280</v>
      </c>
      <c r="B190" s="2" t="s">
        <v>73</v>
      </c>
      <c r="C190" s="8" t="s">
        <v>281</v>
      </c>
      <c r="D190" s="2">
        <v>2</v>
      </c>
      <c r="E190" s="8" t="s">
        <v>3184</v>
      </c>
      <c r="F190" s="2" t="s">
        <v>86</v>
      </c>
      <c r="G190" s="2" t="s">
        <v>3177</v>
      </c>
      <c r="H190" s="2" t="s">
        <v>3178</v>
      </c>
      <c r="I190" s="8" t="s">
        <v>3179</v>
      </c>
      <c r="J190" s="2">
        <v>2026</v>
      </c>
      <c r="K190" s="2">
        <v>663</v>
      </c>
      <c r="L190" s="8" t="s">
        <v>3471</v>
      </c>
      <c r="M190" s="2">
        <v>4</v>
      </c>
      <c r="N190" s="8" t="s">
        <v>3472</v>
      </c>
      <c r="O190" s="8" t="str">
        <f t="shared" si="21"/>
        <v>PDFを開く</v>
      </c>
      <c r="P190" s="8" t="s">
        <v>287</v>
      </c>
    </row>
    <row r="191" spans="1:16" ht="33.950000000000003" customHeight="1">
      <c r="A191" s="5" t="s">
        <v>280</v>
      </c>
      <c r="B191" s="5" t="s">
        <v>73</v>
      </c>
      <c r="C191" s="9" t="s">
        <v>281</v>
      </c>
      <c r="D191" s="5">
        <v>2</v>
      </c>
      <c r="E191" s="9" t="s">
        <v>3184</v>
      </c>
      <c r="F191" s="5" t="s">
        <v>86</v>
      </c>
      <c r="G191" s="5" t="s">
        <v>3177</v>
      </c>
      <c r="H191" s="5" t="s">
        <v>3178</v>
      </c>
      <c r="I191" s="9" t="s">
        <v>3182</v>
      </c>
      <c r="J191" s="5">
        <v>2029</v>
      </c>
      <c r="K191" s="5">
        <v>746</v>
      </c>
      <c r="L191" s="9" t="s">
        <v>3473</v>
      </c>
      <c r="M191" s="5">
        <v>4</v>
      </c>
      <c r="N191" s="9" t="s">
        <v>3472</v>
      </c>
      <c r="O191" s="9" t="str">
        <f t="shared" si="21"/>
        <v>PDFを開く</v>
      </c>
      <c r="P191" s="9" t="s">
        <v>287</v>
      </c>
    </row>
    <row r="192" spans="1:16" ht="33.950000000000003" customHeight="1">
      <c r="A192" s="2" t="s">
        <v>280</v>
      </c>
      <c r="B192" s="2" t="s">
        <v>73</v>
      </c>
      <c r="C192" s="8" t="s">
        <v>281</v>
      </c>
      <c r="D192" s="2">
        <v>2</v>
      </c>
      <c r="E192" s="8" t="s">
        <v>3188</v>
      </c>
      <c r="F192" s="2" t="s">
        <v>86</v>
      </c>
      <c r="G192" s="19" t="s">
        <v>3189</v>
      </c>
      <c r="H192" s="2" t="s">
        <v>3178</v>
      </c>
      <c r="I192" s="8"/>
      <c r="J192" s="2"/>
      <c r="K192" s="2"/>
      <c r="L192" s="8"/>
      <c r="M192" s="2">
        <v>4</v>
      </c>
      <c r="N192" s="8" t="s">
        <v>3474</v>
      </c>
      <c r="O192" s="8" t="str">
        <f t="shared" si="21"/>
        <v>PDFを開く</v>
      </c>
      <c r="P192" s="8" t="s">
        <v>287</v>
      </c>
    </row>
    <row r="193" spans="1:16" ht="33.950000000000003" customHeight="1">
      <c r="A193" s="5" t="s">
        <v>280</v>
      </c>
      <c r="B193" s="5" t="s">
        <v>73</v>
      </c>
      <c r="C193" s="9" t="s">
        <v>281</v>
      </c>
      <c r="D193" s="5">
        <v>2</v>
      </c>
      <c r="E193" s="9" t="s">
        <v>3191</v>
      </c>
      <c r="F193" s="5" t="s">
        <v>2513</v>
      </c>
      <c r="G193" s="5" t="s">
        <v>3177</v>
      </c>
      <c r="H193" s="5" t="s">
        <v>3178</v>
      </c>
      <c r="I193" s="9" t="s">
        <v>3179</v>
      </c>
      <c r="J193" s="5">
        <v>2026</v>
      </c>
      <c r="K193" s="5">
        <v>431</v>
      </c>
      <c r="L193" s="9" t="s">
        <v>3475</v>
      </c>
      <c r="M193" s="5"/>
      <c r="N193" s="9" t="s">
        <v>3476</v>
      </c>
      <c r="O193" s="9" t="str">
        <f t="shared" si="21"/>
        <v>PDFを開く</v>
      </c>
      <c r="P193" s="9" t="s">
        <v>287</v>
      </c>
    </row>
    <row r="194" spans="1:16" ht="33.950000000000003" customHeight="1">
      <c r="A194" s="2" t="s">
        <v>280</v>
      </c>
      <c r="B194" s="2" t="s">
        <v>73</v>
      </c>
      <c r="C194" s="8" t="s">
        <v>281</v>
      </c>
      <c r="D194" s="2">
        <v>2</v>
      </c>
      <c r="E194" s="8" t="s">
        <v>3191</v>
      </c>
      <c r="F194" s="2" t="s">
        <v>2513</v>
      </c>
      <c r="G194" s="2" t="s">
        <v>3177</v>
      </c>
      <c r="H194" s="2" t="s">
        <v>3178</v>
      </c>
      <c r="I194" s="8" t="s">
        <v>3182</v>
      </c>
      <c r="J194" s="2">
        <v>2029</v>
      </c>
      <c r="K194" s="2">
        <v>456</v>
      </c>
      <c r="L194" s="8" t="s">
        <v>3477</v>
      </c>
      <c r="M194" s="2"/>
      <c r="N194" s="8" t="s">
        <v>3476</v>
      </c>
      <c r="O194" s="8" t="str">
        <f t="shared" si="21"/>
        <v>PDFを開く</v>
      </c>
      <c r="P194" s="8" t="s">
        <v>287</v>
      </c>
    </row>
    <row r="195" spans="1:16" ht="33.950000000000003" customHeight="1">
      <c r="A195" s="5" t="s">
        <v>280</v>
      </c>
      <c r="B195" s="5" t="s">
        <v>73</v>
      </c>
      <c r="C195" s="9" t="s">
        <v>281</v>
      </c>
      <c r="D195" s="5">
        <v>2</v>
      </c>
      <c r="E195" s="9" t="s">
        <v>3188</v>
      </c>
      <c r="F195" s="5" t="s">
        <v>86</v>
      </c>
      <c r="G195" s="5" t="s">
        <v>3177</v>
      </c>
      <c r="H195" s="5"/>
      <c r="I195" s="9" t="s">
        <v>3478</v>
      </c>
      <c r="J195" s="5">
        <v>2026</v>
      </c>
      <c r="K195" s="5"/>
      <c r="L195" s="9" t="s">
        <v>3211</v>
      </c>
      <c r="M195" s="5">
        <v>4</v>
      </c>
      <c r="N195" s="9" t="s">
        <v>3479</v>
      </c>
      <c r="O195" s="9" t="str">
        <f t="shared" si="21"/>
        <v>PDFを開く</v>
      </c>
      <c r="P195" s="9" t="s">
        <v>287</v>
      </c>
    </row>
    <row r="196" spans="1:16" ht="33.950000000000003" customHeight="1">
      <c r="A196" s="2" t="s">
        <v>280</v>
      </c>
      <c r="B196" s="2" t="s">
        <v>73</v>
      </c>
      <c r="C196" s="8" t="s">
        <v>281</v>
      </c>
      <c r="D196" s="2">
        <v>2</v>
      </c>
      <c r="E196" s="8" t="s">
        <v>3188</v>
      </c>
      <c r="F196" s="2" t="s">
        <v>86</v>
      </c>
      <c r="G196" s="2" t="s">
        <v>3177</v>
      </c>
      <c r="H196" s="2"/>
      <c r="I196" s="8" t="s">
        <v>3480</v>
      </c>
      <c r="J196" s="2">
        <v>2029</v>
      </c>
      <c r="K196" s="2"/>
      <c r="L196" s="8" t="s">
        <v>3481</v>
      </c>
      <c r="M196" s="2">
        <v>4</v>
      </c>
      <c r="N196" s="8" t="s">
        <v>3479</v>
      </c>
      <c r="O196" s="8" t="str">
        <f t="shared" si="21"/>
        <v>PDFを開く</v>
      </c>
      <c r="P196" s="8" t="s">
        <v>287</v>
      </c>
    </row>
    <row r="197" spans="1:16" ht="33.950000000000003" customHeight="1">
      <c r="A197" s="5" t="s">
        <v>288</v>
      </c>
      <c r="B197" s="5" t="s">
        <v>73</v>
      </c>
      <c r="C197" s="9" t="s">
        <v>289</v>
      </c>
      <c r="D197" s="5">
        <v>2</v>
      </c>
      <c r="E197" s="9" t="s">
        <v>3176</v>
      </c>
      <c r="F197" s="5" t="s">
        <v>86</v>
      </c>
      <c r="G197" s="5" t="s">
        <v>3177</v>
      </c>
      <c r="H197" s="5" t="s">
        <v>3178</v>
      </c>
      <c r="I197" s="9" t="s">
        <v>3179</v>
      </c>
      <c r="J197" s="5">
        <v>2026</v>
      </c>
      <c r="K197" s="5">
        <v>1304</v>
      </c>
      <c r="L197" s="9" t="s">
        <v>3482</v>
      </c>
      <c r="M197" s="5">
        <v>6</v>
      </c>
      <c r="N197" s="9" t="s">
        <v>3483</v>
      </c>
      <c r="O197" s="9" t="str">
        <f t="shared" ref="O197:O203" si="22">HYPERLINK("https://seichotoushi-hojo.jp/assets/pdf/koufu/outline_12.pdf","PDFを開く")</f>
        <v>PDFを開く</v>
      </c>
      <c r="P197" s="9" t="s">
        <v>296</v>
      </c>
    </row>
    <row r="198" spans="1:16" ht="33.950000000000003" customHeight="1">
      <c r="A198" s="2" t="s">
        <v>288</v>
      </c>
      <c r="B198" s="2" t="s">
        <v>73</v>
      </c>
      <c r="C198" s="8" t="s">
        <v>289</v>
      </c>
      <c r="D198" s="2">
        <v>2</v>
      </c>
      <c r="E198" s="8" t="s">
        <v>3176</v>
      </c>
      <c r="F198" s="2" t="s">
        <v>86</v>
      </c>
      <c r="G198" s="2" t="s">
        <v>3177</v>
      </c>
      <c r="H198" s="2" t="s">
        <v>3178</v>
      </c>
      <c r="I198" s="8" t="s">
        <v>3182</v>
      </c>
      <c r="J198" s="2">
        <v>2029</v>
      </c>
      <c r="K198" s="2">
        <v>1550</v>
      </c>
      <c r="L198" s="8" t="s">
        <v>3484</v>
      </c>
      <c r="M198" s="2">
        <v>6</v>
      </c>
      <c r="N198" s="8" t="s">
        <v>3483</v>
      </c>
      <c r="O198" s="8" t="str">
        <f t="shared" si="22"/>
        <v>PDFを開く</v>
      </c>
      <c r="P198" s="8" t="s">
        <v>296</v>
      </c>
    </row>
    <row r="199" spans="1:16" ht="33.950000000000003" customHeight="1">
      <c r="A199" s="5" t="s">
        <v>288</v>
      </c>
      <c r="B199" s="5" t="s">
        <v>73</v>
      </c>
      <c r="C199" s="9" t="s">
        <v>289</v>
      </c>
      <c r="D199" s="5">
        <v>2</v>
      </c>
      <c r="E199" s="9" t="s">
        <v>3184</v>
      </c>
      <c r="F199" s="5" t="s">
        <v>86</v>
      </c>
      <c r="G199" s="5" t="s">
        <v>3177</v>
      </c>
      <c r="H199" s="5" t="s">
        <v>3178</v>
      </c>
      <c r="I199" s="9" t="s">
        <v>3179</v>
      </c>
      <c r="J199" s="5">
        <v>2026</v>
      </c>
      <c r="K199" s="5">
        <v>479</v>
      </c>
      <c r="L199" s="9" t="s">
        <v>3485</v>
      </c>
      <c r="M199" s="5">
        <v>7</v>
      </c>
      <c r="N199" s="9" t="s">
        <v>3486</v>
      </c>
      <c r="O199" s="9" t="str">
        <f t="shared" si="22"/>
        <v>PDFを開く</v>
      </c>
      <c r="P199" s="9" t="s">
        <v>296</v>
      </c>
    </row>
    <row r="200" spans="1:16" ht="33.950000000000003" customHeight="1">
      <c r="A200" s="2" t="s">
        <v>288</v>
      </c>
      <c r="B200" s="2" t="s">
        <v>73</v>
      </c>
      <c r="C200" s="8" t="s">
        <v>289</v>
      </c>
      <c r="D200" s="2">
        <v>2</v>
      </c>
      <c r="E200" s="8" t="s">
        <v>3184</v>
      </c>
      <c r="F200" s="2" t="s">
        <v>86</v>
      </c>
      <c r="G200" s="2" t="s">
        <v>3177</v>
      </c>
      <c r="H200" s="2" t="s">
        <v>3178</v>
      </c>
      <c r="I200" s="8" t="s">
        <v>3182</v>
      </c>
      <c r="J200" s="2">
        <v>2029</v>
      </c>
      <c r="K200" s="2">
        <v>587</v>
      </c>
      <c r="L200" s="8" t="s">
        <v>3487</v>
      </c>
      <c r="M200" s="2">
        <v>7</v>
      </c>
      <c r="N200" s="8" t="s">
        <v>3486</v>
      </c>
      <c r="O200" s="8" t="str">
        <f t="shared" si="22"/>
        <v>PDFを開く</v>
      </c>
      <c r="P200" s="8" t="s">
        <v>296</v>
      </c>
    </row>
    <row r="201" spans="1:16" ht="33.950000000000003" customHeight="1">
      <c r="A201" s="5" t="s">
        <v>288</v>
      </c>
      <c r="B201" s="5" t="s">
        <v>73</v>
      </c>
      <c r="C201" s="9" t="s">
        <v>289</v>
      </c>
      <c r="D201" s="5">
        <v>2</v>
      </c>
      <c r="E201" s="9" t="s">
        <v>3188</v>
      </c>
      <c r="F201" s="5" t="s">
        <v>86</v>
      </c>
      <c r="G201" s="19" t="s">
        <v>3189</v>
      </c>
      <c r="H201" s="5" t="s">
        <v>3178</v>
      </c>
      <c r="I201" s="9"/>
      <c r="J201" s="5"/>
      <c r="K201" s="5"/>
      <c r="L201" s="9"/>
      <c r="M201" s="5"/>
      <c r="N201" s="9" t="s">
        <v>3488</v>
      </c>
      <c r="O201" s="9" t="str">
        <f t="shared" si="22"/>
        <v>PDFを開く</v>
      </c>
      <c r="P201" s="9" t="s">
        <v>296</v>
      </c>
    </row>
    <row r="202" spans="1:16" ht="33.950000000000003" customHeight="1">
      <c r="A202" s="2" t="s">
        <v>288</v>
      </c>
      <c r="B202" s="2" t="s">
        <v>73</v>
      </c>
      <c r="C202" s="8" t="s">
        <v>289</v>
      </c>
      <c r="D202" s="2">
        <v>2</v>
      </c>
      <c r="E202" s="8" t="s">
        <v>3191</v>
      </c>
      <c r="F202" s="2" t="s">
        <v>2513</v>
      </c>
      <c r="G202" s="2" t="s">
        <v>3177</v>
      </c>
      <c r="H202" s="2" t="s">
        <v>3178</v>
      </c>
      <c r="I202" s="8" t="s">
        <v>3179</v>
      </c>
      <c r="J202" s="2">
        <v>2026</v>
      </c>
      <c r="K202" s="2">
        <v>505</v>
      </c>
      <c r="L202" s="8" t="s">
        <v>3337</v>
      </c>
      <c r="M202" s="2"/>
      <c r="N202" s="8" t="s">
        <v>3489</v>
      </c>
      <c r="O202" s="8" t="str">
        <f t="shared" si="22"/>
        <v>PDFを開く</v>
      </c>
      <c r="P202" s="8" t="s">
        <v>296</v>
      </c>
    </row>
    <row r="203" spans="1:16" ht="33.950000000000003" customHeight="1">
      <c r="A203" s="5" t="s">
        <v>288</v>
      </c>
      <c r="B203" s="5" t="s">
        <v>73</v>
      </c>
      <c r="C203" s="9" t="s">
        <v>289</v>
      </c>
      <c r="D203" s="5">
        <v>2</v>
      </c>
      <c r="E203" s="9" t="s">
        <v>3191</v>
      </c>
      <c r="F203" s="5" t="s">
        <v>2513</v>
      </c>
      <c r="G203" s="5" t="s">
        <v>3177</v>
      </c>
      <c r="H203" s="5" t="s">
        <v>3178</v>
      </c>
      <c r="I203" s="9" t="s">
        <v>3182</v>
      </c>
      <c r="J203" s="5">
        <v>2029</v>
      </c>
      <c r="K203" s="5">
        <v>545</v>
      </c>
      <c r="L203" s="9" t="s">
        <v>3490</v>
      </c>
      <c r="M203" s="5"/>
      <c r="N203" s="9" t="s">
        <v>3489</v>
      </c>
      <c r="O203" s="9" t="str">
        <f t="shared" si="22"/>
        <v>PDFを開く</v>
      </c>
      <c r="P203" s="9" t="s">
        <v>296</v>
      </c>
    </row>
    <row r="204" spans="1:16" ht="33.950000000000003" customHeight="1">
      <c r="A204" s="2" t="s">
        <v>297</v>
      </c>
      <c r="B204" s="2" t="s">
        <v>73</v>
      </c>
      <c r="C204" s="8" t="s">
        <v>298</v>
      </c>
      <c r="D204" s="2">
        <v>2</v>
      </c>
      <c r="E204" s="8" t="s">
        <v>3176</v>
      </c>
      <c r="F204" s="2" t="s">
        <v>86</v>
      </c>
      <c r="G204" s="2" t="s">
        <v>3177</v>
      </c>
      <c r="H204" s="2" t="s">
        <v>3178</v>
      </c>
      <c r="I204" s="8" t="s">
        <v>3456</v>
      </c>
      <c r="J204" s="2">
        <v>2025</v>
      </c>
      <c r="K204" s="2">
        <v>653</v>
      </c>
      <c r="L204" s="8" t="s">
        <v>3491</v>
      </c>
      <c r="M204" s="2">
        <v>26</v>
      </c>
      <c r="N204" s="8" t="s">
        <v>3492</v>
      </c>
      <c r="O204" s="8" t="str">
        <f t="shared" ref="O204:O218" si="23">HYPERLINK("https://seichotoushi-hojo.jp/assets/pdf/koufu/outline_120.pdf","PDFを開く")</f>
        <v>PDFを開く</v>
      </c>
      <c r="P204" s="8" t="s">
        <v>304</v>
      </c>
    </row>
    <row r="205" spans="1:16" ht="33.950000000000003" customHeight="1">
      <c r="A205" s="5" t="s">
        <v>297</v>
      </c>
      <c r="B205" s="5" t="s">
        <v>73</v>
      </c>
      <c r="C205" s="9" t="s">
        <v>298</v>
      </c>
      <c r="D205" s="5">
        <v>2</v>
      </c>
      <c r="E205" s="9" t="s">
        <v>3176</v>
      </c>
      <c r="F205" s="5" t="s">
        <v>86</v>
      </c>
      <c r="G205" s="5" t="s">
        <v>3177</v>
      </c>
      <c r="H205" s="5" t="s">
        <v>3178</v>
      </c>
      <c r="I205" s="9" t="s">
        <v>3459</v>
      </c>
      <c r="J205" s="5">
        <v>2028</v>
      </c>
      <c r="K205" s="5">
        <v>1296</v>
      </c>
      <c r="L205" s="9" t="s">
        <v>3493</v>
      </c>
      <c r="M205" s="5">
        <v>26</v>
      </c>
      <c r="N205" s="9" t="s">
        <v>3492</v>
      </c>
      <c r="O205" s="9" t="str">
        <f t="shared" si="23"/>
        <v>PDFを開く</v>
      </c>
      <c r="P205" s="9" t="s">
        <v>304</v>
      </c>
    </row>
    <row r="206" spans="1:16" ht="33.950000000000003" customHeight="1">
      <c r="A206" s="2" t="s">
        <v>297</v>
      </c>
      <c r="B206" s="2" t="s">
        <v>73</v>
      </c>
      <c r="C206" s="8" t="s">
        <v>298</v>
      </c>
      <c r="D206" s="2">
        <v>2</v>
      </c>
      <c r="E206" s="8" t="s">
        <v>3184</v>
      </c>
      <c r="F206" s="2" t="s">
        <v>86</v>
      </c>
      <c r="G206" s="19" t="s">
        <v>3494</v>
      </c>
      <c r="H206" s="2" t="s">
        <v>3178</v>
      </c>
      <c r="I206" s="8" t="s">
        <v>3456</v>
      </c>
      <c r="J206" s="2">
        <v>2025</v>
      </c>
      <c r="K206" s="2">
        <v>384</v>
      </c>
      <c r="L206" s="8" t="s">
        <v>3495</v>
      </c>
      <c r="M206" s="2">
        <v>6</v>
      </c>
      <c r="N206" s="8" t="s">
        <v>3496</v>
      </c>
      <c r="O206" s="8" t="str">
        <f t="shared" si="23"/>
        <v>PDFを開く</v>
      </c>
      <c r="P206" s="8" t="s">
        <v>304</v>
      </c>
    </row>
    <row r="207" spans="1:16" ht="33.950000000000003" customHeight="1">
      <c r="A207" s="5" t="s">
        <v>297</v>
      </c>
      <c r="B207" s="5" t="s">
        <v>73</v>
      </c>
      <c r="C207" s="9" t="s">
        <v>298</v>
      </c>
      <c r="D207" s="5">
        <v>2</v>
      </c>
      <c r="E207" s="9" t="s">
        <v>3184</v>
      </c>
      <c r="F207" s="5" t="s">
        <v>86</v>
      </c>
      <c r="G207" s="19" t="s">
        <v>3494</v>
      </c>
      <c r="H207" s="5" t="s">
        <v>3178</v>
      </c>
      <c r="I207" s="9"/>
      <c r="J207" s="5"/>
      <c r="K207" s="5">
        <v>384</v>
      </c>
      <c r="L207" s="9" t="s">
        <v>3495</v>
      </c>
      <c r="M207" s="5">
        <v>6</v>
      </c>
      <c r="N207" s="9" t="s">
        <v>3496</v>
      </c>
      <c r="O207" s="9" t="str">
        <f t="shared" si="23"/>
        <v>PDFを開く</v>
      </c>
      <c r="P207" s="9" t="s">
        <v>304</v>
      </c>
    </row>
    <row r="208" spans="1:16" ht="33.950000000000003" customHeight="1">
      <c r="A208" s="2" t="s">
        <v>297</v>
      </c>
      <c r="B208" s="2" t="s">
        <v>73</v>
      </c>
      <c r="C208" s="8" t="s">
        <v>298</v>
      </c>
      <c r="D208" s="2">
        <v>2</v>
      </c>
      <c r="E208" s="8" t="s">
        <v>3184</v>
      </c>
      <c r="F208" s="2" t="s">
        <v>86</v>
      </c>
      <c r="G208" s="19" t="s">
        <v>3494</v>
      </c>
      <c r="H208" s="2" t="s">
        <v>3178</v>
      </c>
      <c r="I208" s="8" t="s">
        <v>3459</v>
      </c>
      <c r="J208" s="2">
        <v>2028</v>
      </c>
      <c r="K208" s="2">
        <v>457</v>
      </c>
      <c r="L208" s="8" t="s">
        <v>3497</v>
      </c>
      <c r="M208" s="2">
        <v>6</v>
      </c>
      <c r="N208" s="8" t="s">
        <v>3496</v>
      </c>
      <c r="O208" s="8" t="str">
        <f t="shared" si="23"/>
        <v>PDFを開く</v>
      </c>
      <c r="P208" s="8" t="s">
        <v>304</v>
      </c>
    </row>
    <row r="209" spans="1:16" ht="33.950000000000003" customHeight="1">
      <c r="A209" s="5" t="s">
        <v>297</v>
      </c>
      <c r="B209" s="5" t="s">
        <v>73</v>
      </c>
      <c r="C209" s="9" t="s">
        <v>298</v>
      </c>
      <c r="D209" s="5">
        <v>2</v>
      </c>
      <c r="E209" s="9" t="s">
        <v>3184</v>
      </c>
      <c r="F209" s="5" t="s">
        <v>86</v>
      </c>
      <c r="G209" s="19" t="s">
        <v>3494</v>
      </c>
      <c r="H209" s="5" t="s">
        <v>3178</v>
      </c>
      <c r="I209" s="9"/>
      <c r="J209" s="5"/>
      <c r="K209" s="5">
        <v>457</v>
      </c>
      <c r="L209" s="9" t="s">
        <v>3497</v>
      </c>
      <c r="M209" s="5">
        <v>6</v>
      </c>
      <c r="N209" s="9" t="s">
        <v>3496</v>
      </c>
      <c r="O209" s="9" t="str">
        <f t="shared" si="23"/>
        <v>PDFを開く</v>
      </c>
      <c r="P209" s="9" t="s">
        <v>304</v>
      </c>
    </row>
    <row r="210" spans="1:16" ht="33.950000000000003" customHeight="1">
      <c r="A210" s="2" t="s">
        <v>297</v>
      </c>
      <c r="B210" s="2" t="s">
        <v>73</v>
      </c>
      <c r="C210" s="8" t="s">
        <v>298</v>
      </c>
      <c r="D210" s="2">
        <v>2</v>
      </c>
      <c r="E210" s="8" t="s">
        <v>3188</v>
      </c>
      <c r="F210" s="2" t="s">
        <v>86</v>
      </c>
      <c r="G210" s="19" t="s">
        <v>3494</v>
      </c>
      <c r="H210" s="2" t="s">
        <v>3178</v>
      </c>
      <c r="I210" s="8"/>
      <c r="J210" s="2"/>
      <c r="K210" s="2"/>
      <c r="L210" s="8"/>
      <c r="M210" s="2"/>
      <c r="N210" s="8" t="s">
        <v>3498</v>
      </c>
      <c r="O210" s="8" t="str">
        <f t="shared" si="23"/>
        <v>PDFを開く</v>
      </c>
      <c r="P210" s="8" t="s">
        <v>304</v>
      </c>
    </row>
    <row r="211" spans="1:16" ht="33.950000000000003" customHeight="1">
      <c r="A211" s="5" t="s">
        <v>297</v>
      </c>
      <c r="B211" s="5" t="s">
        <v>73</v>
      </c>
      <c r="C211" s="9" t="s">
        <v>298</v>
      </c>
      <c r="D211" s="5">
        <v>2</v>
      </c>
      <c r="E211" s="9" t="s">
        <v>3191</v>
      </c>
      <c r="F211" s="5" t="s">
        <v>2513</v>
      </c>
      <c r="G211" s="19" t="s">
        <v>3494</v>
      </c>
      <c r="H211" s="5" t="s">
        <v>3178</v>
      </c>
      <c r="I211" s="9" t="s">
        <v>3456</v>
      </c>
      <c r="J211" s="5">
        <v>2025</v>
      </c>
      <c r="K211" s="5">
        <v>130</v>
      </c>
      <c r="L211" s="9" t="s">
        <v>3499</v>
      </c>
      <c r="M211" s="5"/>
      <c r="N211" s="9" t="s">
        <v>3500</v>
      </c>
      <c r="O211" s="9" t="str">
        <f t="shared" si="23"/>
        <v>PDFを開く</v>
      </c>
      <c r="P211" s="9" t="s">
        <v>304</v>
      </c>
    </row>
    <row r="212" spans="1:16" ht="33.950000000000003" customHeight="1">
      <c r="A212" s="2" t="s">
        <v>297</v>
      </c>
      <c r="B212" s="2" t="s">
        <v>73</v>
      </c>
      <c r="C212" s="8" t="s">
        <v>298</v>
      </c>
      <c r="D212" s="2">
        <v>2</v>
      </c>
      <c r="E212" s="8" t="s">
        <v>3191</v>
      </c>
      <c r="F212" s="2" t="s">
        <v>2513</v>
      </c>
      <c r="G212" s="19" t="s">
        <v>3494</v>
      </c>
      <c r="H212" s="2" t="s">
        <v>3178</v>
      </c>
      <c r="I212" s="8"/>
      <c r="J212" s="2"/>
      <c r="K212" s="2">
        <v>173</v>
      </c>
      <c r="L212" s="8" t="s">
        <v>3501</v>
      </c>
      <c r="M212" s="2"/>
      <c r="N212" s="8" t="s">
        <v>3500</v>
      </c>
      <c r="O212" s="8" t="str">
        <f t="shared" si="23"/>
        <v>PDFを開く</v>
      </c>
      <c r="P212" s="8" t="s">
        <v>304</v>
      </c>
    </row>
    <row r="213" spans="1:16" ht="33.950000000000003" customHeight="1">
      <c r="A213" s="5" t="s">
        <v>297</v>
      </c>
      <c r="B213" s="5" t="s">
        <v>73</v>
      </c>
      <c r="C213" s="9" t="s">
        <v>298</v>
      </c>
      <c r="D213" s="5">
        <v>2</v>
      </c>
      <c r="E213" s="9" t="s">
        <v>3191</v>
      </c>
      <c r="F213" s="5" t="s">
        <v>2513</v>
      </c>
      <c r="G213" s="19" t="s">
        <v>3494</v>
      </c>
      <c r="H213" s="5" t="s">
        <v>3178</v>
      </c>
      <c r="I213" s="9" t="s">
        <v>3459</v>
      </c>
      <c r="J213" s="5">
        <v>2028</v>
      </c>
      <c r="K213" s="5">
        <v>160</v>
      </c>
      <c r="L213" s="9" t="s">
        <v>3502</v>
      </c>
      <c r="M213" s="5"/>
      <c r="N213" s="9" t="s">
        <v>3500</v>
      </c>
      <c r="O213" s="9" t="str">
        <f t="shared" si="23"/>
        <v>PDFを開く</v>
      </c>
      <c r="P213" s="9" t="s">
        <v>304</v>
      </c>
    </row>
    <row r="214" spans="1:16" ht="33.950000000000003" customHeight="1">
      <c r="A214" s="2" t="s">
        <v>297</v>
      </c>
      <c r="B214" s="2" t="s">
        <v>73</v>
      </c>
      <c r="C214" s="8" t="s">
        <v>298</v>
      </c>
      <c r="D214" s="2">
        <v>2</v>
      </c>
      <c r="E214" s="8" t="s">
        <v>3191</v>
      </c>
      <c r="F214" s="2" t="s">
        <v>2513</v>
      </c>
      <c r="G214" s="19" t="s">
        <v>3494</v>
      </c>
      <c r="H214" s="2" t="s">
        <v>3178</v>
      </c>
      <c r="I214" s="8"/>
      <c r="J214" s="2"/>
      <c r="K214" s="2">
        <v>191</v>
      </c>
      <c r="L214" s="8" t="s">
        <v>3503</v>
      </c>
      <c r="M214" s="2"/>
      <c r="N214" s="8" t="s">
        <v>3500</v>
      </c>
      <c r="O214" s="8" t="str">
        <f t="shared" si="23"/>
        <v>PDFを開く</v>
      </c>
      <c r="P214" s="8" t="s">
        <v>304</v>
      </c>
    </row>
    <row r="215" spans="1:16" ht="33.950000000000003" customHeight="1">
      <c r="A215" s="5" t="s">
        <v>297</v>
      </c>
      <c r="B215" s="5" t="s">
        <v>73</v>
      </c>
      <c r="C215" s="9" t="s">
        <v>298</v>
      </c>
      <c r="D215" s="5">
        <v>2</v>
      </c>
      <c r="E215" s="9" t="s">
        <v>3191</v>
      </c>
      <c r="F215" s="5" t="s">
        <v>2513</v>
      </c>
      <c r="G215" s="5" t="s">
        <v>3177</v>
      </c>
      <c r="H215" s="5" t="s">
        <v>3178</v>
      </c>
      <c r="I215" s="9" t="s">
        <v>3456</v>
      </c>
      <c r="J215" s="5">
        <v>2025</v>
      </c>
      <c r="K215" s="5">
        <v>130</v>
      </c>
      <c r="L215" s="9" t="s">
        <v>3499</v>
      </c>
      <c r="M215" s="5"/>
      <c r="N215" s="9" t="s">
        <v>3500</v>
      </c>
      <c r="O215" s="9" t="str">
        <f t="shared" si="23"/>
        <v>PDFを開く</v>
      </c>
      <c r="P215" s="9" t="s">
        <v>304</v>
      </c>
    </row>
    <row r="216" spans="1:16" ht="33.950000000000003" customHeight="1">
      <c r="A216" s="2" t="s">
        <v>297</v>
      </c>
      <c r="B216" s="2" t="s">
        <v>73</v>
      </c>
      <c r="C216" s="8" t="s">
        <v>298</v>
      </c>
      <c r="D216" s="2">
        <v>2</v>
      </c>
      <c r="E216" s="8" t="s">
        <v>3191</v>
      </c>
      <c r="F216" s="2" t="s">
        <v>2513</v>
      </c>
      <c r="G216" s="2" t="s">
        <v>3177</v>
      </c>
      <c r="H216" s="2" t="s">
        <v>3178</v>
      </c>
      <c r="I216" s="8" t="s">
        <v>3459</v>
      </c>
      <c r="J216" s="2">
        <v>2028</v>
      </c>
      <c r="K216" s="2">
        <v>160</v>
      </c>
      <c r="L216" s="8" t="s">
        <v>3502</v>
      </c>
      <c r="M216" s="2"/>
      <c r="N216" s="8" t="s">
        <v>3500</v>
      </c>
      <c r="O216" s="8" t="str">
        <f t="shared" si="23"/>
        <v>PDFを開く</v>
      </c>
      <c r="P216" s="8" t="s">
        <v>304</v>
      </c>
    </row>
    <row r="217" spans="1:16" ht="33.950000000000003" customHeight="1">
      <c r="A217" s="5" t="s">
        <v>297</v>
      </c>
      <c r="B217" s="5" t="s">
        <v>73</v>
      </c>
      <c r="C217" s="9" t="s">
        <v>298</v>
      </c>
      <c r="D217" s="5">
        <v>2</v>
      </c>
      <c r="E217" s="9" t="s">
        <v>3184</v>
      </c>
      <c r="F217" s="5" t="s">
        <v>86</v>
      </c>
      <c r="G217" s="5" t="s">
        <v>3177</v>
      </c>
      <c r="H217" s="5" t="s">
        <v>3178</v>
      </c>
      <c r="I217" s="9" t="s">
        <v>3456</v>
      </c>
      <c r="J217" s="5">
        <v>2025</v>
      </c>
      <c r="K217" s="5">
        <v>384</v>
      </c>
      <c r="L217" s="9" t="s">
        <v>3495</v>
      </c>
      <c r="M217" s="5">
        <v>6</v>
      </c>
      <c r="N217" s="9" t="s">
        <v>3496</v>
      </c>
      <c r="O217" s="9" t="str">
        <f t="shared" si="23"/>
        <v>PDFを開く</v>
      </c>
      <c r="P217" s="9" t="s">
        <v>304</v>
      </c>
    </row>
    <row r="218" spans="1:16" ht="33.950000000000003" customHeight="1">
      <c r="A218" s="2" t="s">
        <v>297</v>
      </c>
      <c r="B218" s="2" t="s">
        <v>73</v>
      </c>
      <c r="C218" s="8" t="s">
        <v>298</v>
      </c>
      <c r="D218" s="2">
        <v>2</v>
      </c>
      <c r="E218" s="8" t="s">
        <v>3184</v>
      </c>
      <c r="F218" s="2" t="s">
        <v>86</v>
      </c>
      <c r="G218" s="2" t="s">
        <v>3177</v>
      </c>
      <c r="H218" s="2" t="s">
        <v>3178</v>
      </c>
      <c r="I218" s="8" t="s">
        <v>3459</v>
      </c>
      <c r="J218" s="2">
        <v>2028</v>
      </c>
      <c r="K218" s="2">
        <v>457</v>
      </c>
      <c r="L218" s="8" t="s">
        <v>3497</v>
      </c>
      <c r="M218" s="2">
        <v>6</v>
      </c>
      <c r="N218" s="8" t="s">
        <v>3496</v>
      </c>
      <c r="O218" s="8" t="str">
        <f t="shared" si="23"/>
        <v>PDFを開く</v>
      </c>
      <c r="P218" s="8" t="s">
        <v>304</v>
      </c>
    </row>
    <row r="219" spans="1:16" ht="33.950000000000003" customHeight="1">
      <c r="A219" s="5" t="s">
        <v>305</v>
      </c>
      <c r="B219" s="5" t="s">
        <v>73</v>
      </c>
      <c r="C219" s="9" t="s">
        <v>306</v>
      </c>
      <c r="D219" s="5">
        <v>2</v>
      </c>
      <c r="E219" s="9" t="s">
        <v>3176</v>
      </c>
      <c r="F219" s="5"/>
      <c r="G219" s="5" t="s">
        <v>3177</v>
      </c>
      <c r="H219" s="5" t="s">
        <v>3178</v>
      </c>
      <c r="I219" s="9" t="s">
        <v>3504</v>
      </c>
      <c r="J219" s="5">
        <v>2026</v>
      </c>
      <c r="K219" s="5">
        <v>516</v>
      </c>
      <c r="L219" s="9" t="s">
        <v>3505</v>
      </c>
      <c r="M219" s="5">
        <v>24.9</v>
      </c>
      <c r="N219" s="9" t="s">
        <v>3506</v>
      </c>
      <c r="O219" s="9" t="str">
        <f t="shared" ref="O219:O226" si="24">HYPERLINK("https://seichotoushi-hojo.jp/assets/pdf/koufu/outline_121.pdf","PDFを開く")</f>
        <v>PDFを開く</v>
      </c>
      <c r="P219" s="9" t="s">
        <v>313</v>
      </c>
    </row>
    <row r="220" spans="1:16" ht="33.950000000000003" customHeight="1">
      <c r="A220" s="2" t="s">
        <v>305</v>
      </c>
      <c r="B220" s="2" t="s">
        <v>73</v>
      </c>
      <c r="C220" s="8" t="s">
        <v>306</v>
      </c>
      <c r="D220" s="2">
        <v>2</v>
      </c>
      <c r="E220" s="8" t="s">
        <v>3176</v>
      </c>
      <c r="F220" s="2"/>
      <c r="G220" s="2" t="s">
        <v>3177</v>
      </c>
      <c r="H220" s="2" t="s">
        <v>3178</v>
      </c>
      <c r="I220" s="8" t="s">
        <v>3507</v>
      </c>
      <c r="J220" s="2">
        <v>2029</v>
      </c>
      <c r="K220" s="2">
        <v>1005</v>
      </c>
      <c r="L220" s="8" t="s">
        <v>3508</v>
      </c>
      <c r="M220" s="2">
        <v>24.9</v>
      </c>
      <c r="N220" s="8" t="s">
        <v>3506</v>
      </c>
      <c r="O220" s="8" t="str">
        <f t="shared" si="24"/>
        <v>PDFを開く</v>
      </c>
      <c r="P220" s="8" t="s">
        <v>313</v>
      </c>
    </row>
    <row r="221" spans="1:16" ht="33.950000000000003" customHeight="1">
      <c r="A221" s="5" t="s">
        <v>305</v>
      </c>
      <c r="B221" s="5" t="s">
        <v>73</v>
      </c>
      <c r="C221" s="9" t="s">
        <v>306</v>
      </c>
      <c r="D221" s="5">
        <v>2</v>
      </c>
      <c r="E221" s="9" t="s">
        <v>3184</v>
      </c>
      <c r="F221" s="5"/>
      <c r="G221" s="5" t="s">
        <v>3177</v>
      </c>
      <c r="H221" s="5" t="s">
        <v>3178</v>
      </c>
      <c r="I221" s="9" t="s">
        <v>3504</v>
      </c>
      <c r="J221" s="5">
        <v>2026</v>
      </c>
      <c r="K221" s="5">
        <v>332</v>
      </c>
      <c r="L221" s="9" t="s">
        <v>3509</v>
      </c>
      <c r="M221" s="5">
        <v>5</v>
      </c>
      <c r="N221" s="9" t="s">
        <v>3510</v>
      </c>
      <c r="O221" s="9" t="str">
        <f t="shared" si="24"/>
        <v>PDFを開く</v>
      </c>
      <c r="P221" s="9" t="s">
        <v>313</v>
      </c>
    </row>
    <row r="222" spans="1:16" ht="33.950000000000003" customHeight="1">
      <c r="A222" s="2" t="s">
        <v>305</v>
      </c>
      <c r="B222" s="2" t="s">
        <v>73</v>
      </c>
      <c r="C222" s="8" t="s">
        <v>306</v>
      </c>
      <c r="D222" s="2">
        <v>2</v>
      </c>
      <c r="E222" s="8" t="s">
        <v>3184</v>
      </c>
      <c r="F222" s="2"/>
      <c r="G222" s="2" t="s">
        <v>3177</v>
      </c>
      <c r="H222" s="2" t="s">
        <v>3178</v>
      </c>
      <c r="I222" s="8" t="s">
        <v>3507</v>
      </c>
      <c r="J222" s="2">
        <v>2029</v>
      </c>
      <c r="K222" s="2">
        <v>385</v>
      </c>
      <c r="L222" s="8" t="s">
        <v>3511</v>
      </c>
      <c r="M222" s="2">
        <v>5</v>
      </c>
      <c r="N222" s="8" t="s">
        <v>3510</v>
      </c>
      <c r="O222" s="8" t="str">
        <f t="shared" si="24"/>
        <v>PDFを開く</v>
      </c>
      <c r="P222" s="8" t="s">
        <v>313</v>
      </c>
    </row>
    <row r="223" spans="1:16" ht="33.950000000000003" customHeight="1">
      <c r="A223" s="5" t="s">
        <v>305</v>
      </c>
      <c r="B223" s="5" t="s">
        <v>73</v>
      </c>
      <c r="C223" s="9" t="s">
        <v>306</v>
      </c>
      <c r="D223" s="5">
        <v>2</v>
      </c>
      <c r="E223" s="9" t="s">
        <v>3188</v>
      </c>
      <c r="F223" s="5"/>
      <c r="G223" s="5" t="s">
        <v>3177</v>
      </c>
      <c r="H223" s="5" t="s">
        <v>3178</v>
      </c>
      <c r="I223" s="9" t="s">
        <v>3504</v>
      </c>
      <c r="J223" s="5">
        <v>2026</v>
      </c>
      <c r="K223" s="5">
        <v>623</v>
      </c>
      <c r="L223" s="9" t="s">
        <v>3512</v>
      </c>
      <c r="M223" s="5">
        <v>4.4000000000000004</v>
      </c>
      <c r="N223" s="9" t="s">
        <v>3513</v>
      </c>
      <c r="O223" s="9" t="str">
        <f t="shared" si="24"/>
        <v>PDFを開く</v>
      </c>
      <c r="P223" s="9" t="s">
        <v>313</v>
      </c>
    </row>
    <row r="224" spans="1:16" ht="33.950000000000003" customHeight="1">
      <c r="A224" s="2" t="s">
        <v>305</v>
      </c>
      <c r="B224" s="2" t="s">
        <v>73</v>
      </c>
      <c r="C224" s="8" t="s">
        <v>306</v>
      </c>
      <c r="D224" s="2">
        <v>2</v>
      </c>
      <c r="E224" s="8" t="s">
        <v>3188</v>
      </c>
      <c r="F224" s="2"/>
      <c r="G224" s="2" t="s">
        <v>3177</v>
      </c>
      <c r="H224" s="2" t="s">
        <v>3178</v>
      </c>
      <c r="I224" s="8" t="s">
        <v>3507</v>
      </c>
      <c r="J224" s="2">
        <v>2029</v>
      </c>
      <c r="K224" s="2">
        <v>709</v>
      </c>
      <c r="L224" s="8" t="s">
        <v>3514</v>
      </c>
      <c r="M224" s="2">
        <v>4.4000000000000004</v>
      </c>
      <c r="N224" s="8" t="s">
        <v>3513</v>
      </c>
      <c r="O224" s="8" t="str">
        <f t="shared" si="24"/>
        <v>PDFを開く</v>
      </c>
      <c r="P224" s="8" t="s">
        <v>313</v>
      </c>
    </row>
    <row r="225" spans="1:16" ht="33.950000000000003" customHeight="1">
      <c r="A225" s="5" t="s">
        <v>305</v>
      </c>
      <c r="B225" s="5" t="s">
        <v>73</v>
      </c>
      <c r="C225" s="9" t="s">
        <v>306</v>
      </c>
      <c r="D225" s="5">
        <v>2</v>
      </c>
      <c r="E225" s="9" t="s">
        <v>3191</v>
      </c>
      <c r="F225" s="5" t="s">
        <v>2513</v>
      </c>
      <c r="G225" s="5" t="s">
        <v>3177</v>
      </c>
      <c r="H225" s="5"/>
      <c r="I225" s="9" t="s">
        <v>3504</v>
      </c>
      <c r="J225" s="5">
        <v>2026</v>
      </c>
      <c r="K225" s="5">
        <v>71</v>
      </c>
      <c r="L225" s="9" t="s">
        <v>3515</v>
      </c>
      <c r="M225" s="5"/>
      <c r="N225" s="9" t="s">
        <v>3516</v>
      </c>
      <c r="O225" s="9" t="str">
        <f t="shared" si="24"/>
        <v>PDFを開く</v>
      </c>
      <c r="P225" s="9" t="s">
        <v>313</v>
      </c>
    </row>
    <row r="226" spans="1:16" ht="33.950000000000003" customHeight="1">
      <c r="A226" s="2" t="s">
        <v>305</v>
      </c>
      <c r="B226" s="2" t="s">
        <v>73</v>
      </c>
      <c r="C226" s="8" t="s">
        <v>306</v>
      </c>
      <c r="D226" s="2">
        <v>2</v>
      </c>
      <c r="E226" s="8" t="s">
        <v>3191</v>
      </c>
      <c r="F226" s="2" t="s">
        <v>2513</v>
      </c>
      <c r="G226" s="2" t="s">
        <v>3177</v>
      </c>
      <c r="H226" s="2"/>
      <c r="I226" s="8" t="s">
        <v>3507</v>
      </c>
      <c r="J226" s="2">
        <v>2029</v>
      </c>
      <c r="K226" s="2">
        <v>91</v>
      </c>
      <c r="L226" s="8" t="s">
        <v>3517</v>
      </c>
      <c r="M226" s="2"/>
      <c r="N226" s="8" t="s">
        <v>3516</v>
      </c>
      <c r="O226" s="8" t="str">
        <f t="shared" si="24"/>
        <v>PDFを開く</v>
      </c>
      <c r="P226" s="8" t="s">
        <v>313</v>
      </c>
    </row>
    <row r="227" spans="1:16" ht="33.950000000000003" customHeight="1">
      <c r="A227" s="5" t="s">
        <v>314</v>
      </c>
      <c r="B227" s="5" t="s">
        <v>73</v>
      </c>
      <c r="C227" s="9" t="s">
        <v>315</v>
      </c>
      <c r="D227" s="5">
        <v>2</v>
      </c>
      <c r="E227" s="9" t="s">
        <v>3176</v>
      </c>
      <c r="F227" s="5" t="s">
        <v>86</v>
      </c>
      <c r="G227" s="5" t="s">
        <v>3177</v>
      </c>
      <c r="H227" s="5" t="s">
        <v>3178</v>
      </c>
      <c r="I227" s="9" t="s">
        <v>3518</v>
      </c>
      <c r="J227" s="5">
        <v>2026</v>
      </c>
      <c r="K227" s="5">
        <v>1904</v>
      </c>
      <c r="L227" s="9" t="s">
        <v>3519</v>
      </c>
      <c r="M227" s="5">
        <v>13.7</v>
      </c>
      <c r="N227" s="9" t="s">
        <v>3520</v>
      </c>
      <c r="O227" s="9" t="str">
        <f t="shared" ref="O227:O235" si="25">HYPERLINK("https://seichotoushi-hojo.jp/assets/pdf/koufu/outline_122.pdf","PDFを開く")</f>
        <v>PDFを開く</v>
      </c>
      <c r="P227" s="9" t="s">
        <v>322</v>
      </c>
    </row>
    <row r="228" spans="1:16" ht="33.950000000000003" customHeight="1">
      <c r="A228" s="2" t="s">
        <v>314</v>
      </c>
      <c r="B228" s="2" t="s">
        <v>73</v>
      </c>
      <c r="C228" s="8" t="s">
        <v>315</v>
      </c>
      <c r="D228" s="2">
        <v>2</v>
      </c>
      <c r="E228" s="8" t="s">
        <v>3176</v>
      </c>
      <c r="F228" s="2" t="s">
        <v>86</v>
      </c>
      <c r="G228" s="2" t="s">
        <v>3177</v>
      </c>
      <c r="H228" s="2" t="s">
        <v>3178</v>
      </c>
      <c r="I228" s="8" t="s">
        <v>3521</v>
      </c>
      <c r="J228" s="2">
        <v>2029</v>
      </c>
      <c r="K228" s="2">
        <v>2795</v>
      </c>
      <c r="L228" s="8" t="s">
        <v>3522</v>
      </c>
      <c r="M228" s="2">
        <v>13.7</v>
      </c>
      <c r="N228" s="8" t="s">
        <v>3520</v>
      </c>
      <c r="O228" s="8" t="str">
        <f t="shared" si="25"/>
        <v>PDFを開く</v>
      </c>
      <c r="P228" s="8" t="s">
        <v>322</v>
      </c>
    </row>
    <row r="229" spans="1:16" ht="33.950000000000003" customHeight="1">
      <c r="A229" s="5" t="s">
        <v>314</v>
      </c>
      <c r="B229" s="5" t="s">
        <v>73</v>
      </c>
      <c r="C229" s="9" t="s">
        <v>315</v>
      </c>
      <c r="D229" s="5">
        <v>2</v>
      </c>
      <c r="E229" s="9" t="s">
        <v>3184</v>
      </c>
      <c r="F229" s="5" t="s">
        <v>86</v>
      </c>
      <c r="G229" s="5" t="s">
        <v>3177</v>
      </c>
      <c r="H229" s="5" t="s">
        <v>3178</v>
      </c>
      <c r="I229" s="9" t="s">
        <v>3518</v>
      </c>
      <c r="J229" s="5">
        <v>2026</v>
      </c>
      <c r="K229" s="5">
        <v>649</v>
      </c>
      <c r="L229" s="9" t="s">
        <v>3523</v>
      </c>
      <c r="M229" s="5">
        <v>4</v>
      </c>
      <c r="N229" s="9" t="s">
        <v>3524</v>
      </c>
      <c r="O229" s="9" t="str">
        <f t="shared" si="25"/>
        <v>PDFを開く</v>
      </c>
      <c r="P229" s="9" t="s">
        <v>322</v>
      </c>
    </row>
    <row r="230" spans="1:16" ht="33.950000000000003" customHeight="1">
      <c r="A230" s="2" t="s">
        <v>314</v>
      </c>
      <c r="B230" s="2" t="s">
        <v>73</v>
      </c>
      <c r="C230" s="8" t="s">
        <v>315</v>
      </c>
      <c r="D230" s="2">
        <v>2</v>
      </c>
      <c r="E230" s="8" t="s">
        <v>3184</v>
      </c>
      <c r="F230" s="2" t="s">
        <v>86</v>
      </c>
      <c r="G230" s="2" t="s">
        <v>3177</v>
      </c>
      <c r="H230" s="2" t="s">
        <v>3178</v>
      </c>
      <c r="I230" s="8" t="s">
        <v>3521</v>
      </c>
      <c r="J230" s="2">
        <v>2029</v>
      </c>
      <c r="K230" s="2">
        <v>730</v>
      </c>
      <c r="L230" s="8" t="s">
        <v>3525</v>
      </c>
      <c r="M230" s="2">
        <v>4</v>
      </c>
      <c r="N230" s="8" t="s">
        <v>3524</v>
      </c>
      <c r="O230" s="8" t="str">
        <f t="shared" si="25"/>
        <v>PDFを開く</v>
      </c>
      <c r="P230" s="8" t="s">
        <v>322</v>
      </c>
    </row>
    <row r="231" spans="1:16" ht="33.950000000000003" customHeight="1">
      <c r="A231" s="5" t="s">
        <v>314</v>
      </c>
      <c r="B231" s="5" t="s">
        <v>73</v>
      </c>
      <c r="C231" s="9" t="s">
        <v>315</v>
      </c>
      <c r="D231" s="5">
        <v>2</v>
      </c>
      <c r="E231" s="9" t="s">
        <v>3188</v>
      </c>
      <c r="F231" s="5" t="s">
        <v>86</v>
      </c>
      <c r="G231" s="19" t="s">
        <v>3189</v>
      </c>
      <c r="H231" s="5" t="s">
        <v>3178</v>
      </c>
      <c r="I231" s="9"/>
      <c r="J231" s="5"/>
      <c r="K231" s="5"/>
      <c r="L231" s="9"/>
      <c r="M231" s="5">
        <v>4</v>
      </c>
      <c r="N231" s="9" t="s">
        <v>3474</v>
      </c>
      <c r="O231" s="9" t="str">
        <f t="shared" si="25"/>
        <v>PDFを開く</v>
      </c>
      <c r="P231" s="9" t="s">
        <v>322</v>
      </c>
    </row>
    <row r="232" spans="1:16" ht="33.950000000000003" customHeight="1">
      <c r="A232" s="2" t="s">
        <v>314</v>
      </c>
      <c r="B232" s="2" t="s">
        <v>73</v>
      </c>
      <c r="C232" s="8" t="s">
        <v>315</v>
      </c>
      <c r="D232" s="2">
        <v>2</v>
      </c>
      <c r="E232" s="8" t="s">
        <v>3191</v>
      </c>
      <c r="F232" s="2" t="s">
        <v>2513</v>
      </c>
      <c r="G232" s="2" t="s">
        <v>3177</v>
      </c>
      <c r="H232" s="2" t="s">
        <v>3178</v>
      </c>
      <c r="I232" s="8" t="s">
        <v>3518</v>
      </c>
      <c r="J232" s="2">
        <v>2026</v>
      </c>
      <c r="K232" s="2">
        <v>225</v>
      </c>
      <c r="L232" s="8" t="s">
        <v>3224</v>
      </c>
      <c r="M232" s="2"/>
      <c r="N232" s="8" t="s">
        <v>3526</v>
      </c>
      <c r="O232" s="8" t="str">
        <f t="shared" si="25"/>
        <v>PDFを開く</v>
      </c>
      <c r="P232" s="8" t="s">
        <v>322</v>
      </c>
    </row>
    <row r="233" spans="1:16" ht="33.950000000000003" customHeight="1">
      <c r="A233" s="5" t="s">
        <v>314</v>
      </c>
      <c r="B233" s="5" t="s">
        <v>73</v>
      </c>
      <c r="C233" s="9" t="s">
        <v>315</v>
      </c>
      <c r="D233" s="5">
        <v>2</v>
      </c>
      <c r="E233" s="9" t="s">
        <v>3191</v>
      </c>
      <c r="F233" s="5" t="s">
        <v>2513</v>
      </c>
      <c r="G233" s="5" t="s">
        <v>3177</v>
      </c>
      <c r="H233" s="5" t="s">
        <v>3178</v>
      </c>
      <c r="I233" s="9" t="s">
        <v>3521</v>
      </c>
      <c r="J233" s="5">
        <v>2029</v>
      </c>
      <c r="K233" s="5">
        <v>240</v>
      </c>
      <c r="L233" s="9" t="s">
        <v>3527</v>
      </c>
      <c r="M233" s="5"/>
      <c r="N233" s="9" t="s">
        <v>3526</v>
      </c>
      <c r="O233" s="9" t="str">
        <f t="shared" si="25"/>
        <v>PDFを開く</v>
      </c>
      <c r="P233" s="9" t="s">
        <v>322</v>
      </c>
    </row>
    <row r="234" spans="1:16" ht="33.950000000000003" customHeight="1">
      <c r="A234" s="2" t="s">
        <v>314</v>
      </c>
      <c r="B234" s="2" t="s">
        <v>73</v>
      </c>
      <c r="C234" s="8" t="s">
        <v>315</v>
      </c>
      <c r="D234" s="2">
        <v>2</v>
      </c>
      <c r="E234" s="8" t="s">
        <v>3188</v>
      </c>
      <c r="F234" s="2" t="s">
        <v>86</v>
      </c>
      <c r="G234" s="2" t="s">
        <v>3177</v>
      </c>
      <c r="H234" s="2"/>
      <c r="I234" s="8" t="s">
        <v>3528</v>
      </c>
      <c r="J234" s="2">
        <v>2026</v>
      </c>
      <c r="K234" s="2"/>
      <c r="L234" s="8" t="s">
        <v>3211</v>
      </c>
      <c r="M234" s="2">
        <v>4</v>
      </c>
      <c r="N234" s="8" t="s">
        <v>3479</v>
      </c>
      <c r="O234" s="8" t="str">
        <f t="shared" si="25"/>
        <v>PDFを開く</v>
      </c>
      <c r="P234" s="8" t="s">
        <v>322</v>
      </c>
    </row>
    <row r="235" spans="1:16" ht="33.950000000000003" customHeight="1">
      <c r="A235" s="5" t="s">
        <v>314</v>
      </c>
      <c r="B235" s="5" t="s">
        <v>73</v>
      </c>
      <c r="C235" s="9" t="s">
        <v>315</v>
      </c>
      <c r="D235" s="5">
        <v>2</v>
      </c>
      <c r="E235" s="9" t="s">
        <v>3188</v>
      </c>
      <c r="F235" s="5" t="s">
        <v>86</v>
      </c>
      <c r="G235" s="5" t="s">
        <v>3177</v>
      </c>
      <c r="H235" s="5"/>
      <c r="I235" s="9" t="s">
        <v>3529</v>
      </c>
      <c r="J235" s="5">
        <v>2029</v>
      </c>
      <c r="K235" s="5"/>
      <c r="L235" s="9" t="s">
        <v>3481</v>
      </c>
      <c r="M235" s="5">
        <v>4</v>
      </c>
      <c r="N235" s="9" t="s">
        <v>3479</v>
      </c>
      <c r="O235" s="9" t="str">
        <f t="shared" si="25"/>
        <v>PDFを開く</v>
      </c>
      <c r="P235" s="9" t="s">
        <v>322</v>
      </c>
    </row>
    <row r="236" spans="1:16" ht="33.950000000000003" customHeight="1">
      <c r="A236" s="2" t="s">
        <v>323</v>
      </c>
      <c r="B236" s="2" t="s">
        <v>73</v>
      </c>
      <c r="C236" s="8" t="s">
        <v>324</v>
      </c>
      <c r="D236" s="2">
        <v>2</v>
      </c>
      <c r="E236" s="8" t="s">
        <v>3176</v>
      </c>
      <c r="F236" s="2" t="s">
        <v>86</v>
      </c>
      <c r="G236" s="2" t="s">
        <v>3177</v>
      </c>
      <c r="H236" s="2" t="s">
        <v>3178</v>
      </c>
      <c r="I236" s="8" t="s">
        <v>3179</v>
      </c>
      <c r="J236" s="2">
        <v>2026</v>
      </c>
      <c r="K236" s="2">
        <v>324</v>
      </c>
      <c r="L236" s="8" t="s">
        <v>3530</v>
      </c>
      <c r="M236" s="2">
        <v>94.5</v>
      </c>
      <c r="N236" s="8" t="s">
        <v>3531</v>
      </c>
      <c r="O236" s="8" t="str">
        <f t="shared" ref="O236:O242" si="26">HYPERLINK("https://seichotoushi-hojo.jp/assets/pdf/koufu/outline_123.pdf","PDFを開く")</f>
        <v>PDFを開く</v>
      </c>
      <c r="P236" s="8" t="s">
        <v>330</v>
      </c>
    </row>
    <row r="237" spans="1:16" ht="33.950000000000003" customHeight="1">
      <c r="A237" s="5" t="s">
        <v>323</v>
      </c>
      <c r="B237" s="5" t="s">
        <v>73</v>
      </c>
      <c r="C237" s="9" t="s">
        <v>324</v>
      </c>
      <c r="D237" s="5">
        <v>2</v>
      </c>
      <c r="E237" s="9" t="s">
        <v>3176</v>
      </c>
      <c r="F237" s="5" t="s">
        <v>86</v>
      </c>
      <c r="G237" s="5" t="s">
        <v>3177</v>
      </c>
      <c r="H237" s="5" t="s">
        <v>3178</v>
      </c>
      <c r="I237" s="9" t="s">
        <v>3182</v>
      </c>
      <c r="J237" s="5">
        <v>2029</v>
      </c>
      <c r="K237" s="5">
        <v>2382</v>
      </c>
      <c r="L237" s="9" t="s">
        <v>3532</v>
      </c>
      <c r="M237" s="5">
        <v>94.5</v>
      </c>
      <c r="N237" s="9" t="s">
        <v>3531</v>
      </c>
      <c r="O237" s="9" t="str">
        <f t="shared" si="26"/>
        <v>PDFを開く</v>
      </c>
      <c r="P237" s="9" t="s">
        <v>330</v>
      </c>
    </row>
    <row r="238" spans="1:16" ht="33.950000000000003" customHeight="1">
      <c r="A238" s="2" t="s">
        <v>323</v>
      </c>
      <c r="B238" s="2" t="s">
        <v>73</v>
      </c>
      <c r="C238" s="8" t="s">
        <v>324</v>
      </c>
      <c r="D238" s="2">
        <v>2</v>
      </c>
      <c r="E238" s="8" t="s">
        <v>3184</v>
      </c>
      <c r="F238" s="2" t="s">
        <v>86</v>
      </c>
      <c r="G238" s="2" t="s">
        <v>3177</v>
      </c>
      <c r="H238" s="2" t="s">
        <v>3178</v>
      </c>
      <c r="I238" s="8" t="s">
        <v>3179</v>
      </c>
      <c r="J238" s="2">
        <v>2026</v>
      </c>
      <c r="K238" s="2">
        <v>589</v>
      </c>
      <c r="L238" s="8" t="s">
        <v>3533</v>
      </c>
      <c r="M238" s="2">
        <v>6.37</v>
      </c>
      <c r="N238" s="8" t="s">
        <v>3534</v>
      </c>
      <c r="O238" s="8" t="str">
        <f t="shared" si="26"/>
        <v>PDFを開く</v>
      </c>
      <c r="P238" s="8" t="s">
        <v>330</v>
      </c>
    </row>
    <row r="239" spans="1:16" ht="33.950000000000003" customHeight="1">
      <c r="A239" s="5" t="s">
        <v>323</v>
      </c>
      <c r="B239" s="5" t="s">
        <v>73</v>
      </c>
      <c r="C239" s="9" t="s">
        <v>324</v>
      </c>
      <c r="D239" s="5">
        <v>2</v>
      </c>
      <c r="E239" s="9" t="s">
        <v>3184</v>
      </c>
      <c r="F239" s="5" t="s">
        <v>86</v>
      </c>
      <c r="G239" s="5" t="s">
        <v>3177</v>
      </c>
      <c r="H239" s="5" t="s">
        <v>3178</v>
      </c>
      <c r="I239" s="9" t="s">
        <v>3182</v>
      </c>
      <c r="J239" s="5">
        <v>2029</v>
      </c>
      <c r="K239" s="5">
        <v>709</v>
      </c>
      <c r="L239" s="9" t="s">
        <v>3514</v>
      </c>
      <c r="M239" s="5">
        <v>6.37</v>
      </c>
      <c r="N239" s="9" t="s">
        <v>3534</v>
      </c>
      <c r="O239" s="9" t="str">
        <f t="shared" si="26"/>
        <v>PDFを開く</v>
      </c>
      <c r="P239" s="9" t="s">
        <v>330</v>
      </c>
    </row>
    <row r="240" spans="1:16" ht="33.950000000000003" customHeight="1">
      <c r="A240" s="2" t="s">
        <v>323</v>
      </c>
      <c r="B240" s="2" t="s">
        <v>73</v>
      </c>
      <c r="C240" s="8" t="s">
        <v>324</v>
      </c>
      <c r="D240" s="2">
        <v>2</v>
      </c>
      <c r="E240" s="8" t="s">
        <v>3188</v>
      </c>
      <c r="F240" s="2" t="s">
        <v>86</v>
      </c>
      <c r="G240" s="19" t="s">
        <v>3189</v>
      </c>
      <c r="H240" s="2" t="s">
        <v>3178</v>
      </c>
      <c r="I240" s="8"/>
      <c r="J240" s="2"/>
      <c r="K240" s="2"/>
      <c r="L240" s="8"/>
      <c r="M240" s="2"/>
      <c r="N240" s="8" t="s">
        <v>3488</v>
      </c>
      <c r="O240" s="8" t="str">
        <f t="shared" si="26"/>
        <v>PDFを開く</v>
      </c>
      <c r="P240" s="8" t="s">
        <v>330</v>
      </c>
    </row>
    <row r="241" spans="1:16" ht="33.950000000000003" customHeight="1">
      <c r="A241" s="5" t="s">
        <v>323</v>
      </c>
      <c r="B241" s="5" t="s">
        <v>73</v>
      </c>
      <c r="C241" s="9" t="s">
        <v>324</v>
      </c>
      <c r="D241" s="5">
        <v>2</v>
      </c>
      <c r="E241" s="9" t="s">
        <v>3191</v>
      </c>
      <c r="F241" s="5" t="s">
        <v>2513</v>
      </c>
      <c r="G241" s="5" t="s">
        <v>3177</v>
      </c>
      <c r="H241" s="5" t="s">
        <v>3178</v>
      </c>
      <c r="I241" s="9" t="s">
        <v>3179</v>
      </c>
      <c r="J241" s="5">
        <v>2026</v>
      </c>
      <c r="K241" s="5">
        <v>17</v>
      </c>
      <c r="L241" s="9" t="s">
        <v>3535</v>
      </c>
      <c r="M241" s="5"/>
      <c r="N241" s="9" t="s">
        <v>3536</v>
      </c>
      <c r="O241" s="9" t="str">
        <f t="shared" si="26"/>
        <v>PDFを開く</v>
      </c>
      <c r="P241" s="9" t="s">
        <v>330</v>
      </c>
    </row>
    <row r="242" spans="1:16" ht="33.950000000000003" customHeight="1">
      <c r="A242" s="2" t="s">
        <v>323</v>
      </c>
      <c r="B242" s="2" t="s">
        <v>73</v>
      </c>
      <c r="C242" s="8" t="s">
        <v>324</v>
      </c>
      <c r="D242" s="2">
        <v>2</v>
      </c>
      <c r="E242" s="8" t="s">
        <v>3191</v>
      </c>
      <c r="F242" s="2" t="s">
        <v>2513</v>
      </c>
      <c r="G242" s="2" t="s">
        <v>3177</v>
      </c>
      <c r="H242" s="2" t="s">
        <v>3178</v>
      </c>
      <c r="I242" s="8" t="s">
        <v>3182</v>
      </c>
      <c r="J242" s="2">
        <v>2029</v>
      </c>
      <c r="K242" s="2">
        <v>130</v>
      </c>
      <c r="L242" s="8" t="s">
        <v>3499</v>
      </c>
      <c r="M242" s="2"/>
      <c r="N242" s="8" t="s">
        <v>3536</v>
      </c>
      <c r="O242" s="8" t="str">
        <f t="shared" si="26"/>
        <v>PDFを開く</v>
      </c>
      <c r="P242" s="8" t="s">
        <v>330</v>
      </c>
    </row>
    <row r="243" spans="1:16" ht="33.950000000000003" customHeight="1">
      <c r="A243" s="5" t="s">
        <v>331</v>
      </c>
      <c r="B243" s="5" t="s">
        <v>73</v>
      </c>
      <c r="C243" s="9" t="s">
        <v>332</v>
      </c>
      <c r="D243" s="5">
        <v>3</v>
      </c>
      <c r="E243" s="9" t="s">
        <v>3176</v>
      </c>
      <c r="F243" s="5" t="s">
        <v>86</v>
      </c>
      <c r="G243" s="5" t="s">
        <v>3177</v>
      </c>
      <c r="H243" s="5" t="s">
        <v>3178</v>
      </c>
      <c r="I243" s="9" t="s">
        <v>3259</v>
      </c>
      <c r="J243" s="5">
        <v>2027</v>
      </c>
      <c r="K243" s="5">
        <v>795</v>
      </c>
      <c r="L243" s="9" t="s">
        <v>3240</v>
      </c>
      <c r="M243" s="5">
        <v>18.899999999999999</v>
      </c>
      <c r="N243" s="9" t="s">
        <v>3537</v>
      </c>
      <c r="O243" s="9" t="str">
        <f t="shared" ref="O243:O249" si="27">HYPERLINK("https://seichotoushi-hojo.jp/assets/pdf/koufu/outline_124.pdf","PDFを開く")</f>
        <v>PDFを開く</v>
      </c>
      <c r="P243" s="9" t="s">
        <v>337</v>
      </c>
    </row>
    <row r="244" spans="1:16" ht="33.950000000000003" customHeight="1">
      <c r="A244" s="2" t="s">
        <v>331</v>
      </c>
      <c r="B244" s="2" t="s">
        <v>73</v>
      </c>
      <c r="C244" s="8" t="s">
        <v>332</v>
      </c>
      <c r="D244" s="2">
        <v>3</v>
      </c>
      <c r="E244" s="8" t="s">
        <v>3176</v>
      </c>
      <c r="F244" s="2" t="s">
        <v>86</v>
      </c>
      <c r="G244" s="2" t="s">
        <v>3177</v>
      </c>
      <c r="H244" s="2" t="s">
        <v>3178</v>
      </c>
      <c r="I244" s="8" t="s">
        <v>3262</v>
      </c>
      <c r="J244" s="2">
        <v>2030</v>
      </c>
      <c r="K244" s="2">
        <v>1336</v>
      </c>
      <c r="L244" s="8" t="s">
        <v>3538</v>
      </c>
      <c r="M244" s="2">
        <v>18.899999999999999</v>
      </c>
      <c r="N244" s="8" t="s">
        <v>3537</v>
      </c>
      <c r="O244" s="8" t="str">
        <f t="shared" si="27"/>
        <v>PDFを開く</v>
      </c>
      <c r="P244" s="8" t="s">
        <v>337</v>
      </c>
    </row>
    <row r="245" spans="1:16" ht="33.950000000000003" customHeight="1">
      <c r="A245" s="5" t="s">
        <v>331</v>
      </c>
      <c r="B245" s="5" t="s">
        <v>73</v>
      </c>
      <c r="C245" s="9" t="s">
        <v>332</v>
      </c>
      <c r="D245" s="5">
        <v>3</v>
      </c>
      <c r="E245" s="9" t="s">
        <v>3184</v>
      </c>
      <c r="F245" s="5" t="s">
        <v>86</v>
      </c>
      <c r="G245" s="5" t="s">
        <v>3177</v>
      </c>
      <c r="H245" s="5" t="s">
        <v>3178</v>
      </c>
      <c r="I245" s="9" t="s">
        <v>3259</v>
      </c>
      <c r="J245" s="5">
        <v>2027</v>
      </c>
      <c r="K245" s="5">
        <v>463</v>
      </c>
      <c r="L245" s="9" t="s">
        <v>3539</v>
      </c>
      <c r="M245" s="5">
        <v>7.5</v>
      </c>
      <c r="N245" s="9" t="s">
        <v>3540</v>
      </c>
      <c r="O245" s="9" t="str">
        <f t="shared" si="27"/>
        <v>PDFを開く</v>
      </c>
      <c r="P245" s="9" t="s">
        <v>337</v>
      </c>
    </row>
    <row r="246" spans="1:16" ht="33.950000000000003" customHeight="1">
      <c r="A246" s="2" t="s">
        <v>331</v>
      </c>
      <c r="B246" s="2" t="s">
        <v>73</v>
      </c>
      <c r="C246" s="8" t="s">
        <v>332</v>
      </c>
      <c r="D246" s="2">
        <v>3</v>
      </c>
      <c r="E246" s="8" t="s">
        <v>3184</v>
      </c>
      <c r="F246" s="2" t="s">
        <v>86</v>
      </c>
      <c r="G246" s="2" t="s">
        <v>3177</v>
      </c>
      <c r="H246" s="2" t="s">
        <v>3178</v>
      </c>
      <c r="I246" s="8" t="s">
        <v>3262</v>
      </c>
      <c r="J246" s="2">
        <v>2030</v>
      </c>
      <c r="K246" s="2">
        <v>575</v>
      </c>
      <c r="L246" s="8" t="s">
        <v>3541</v>
      </c>
      <c r="M246" s="2">
        <v>7.5</v>
      </c>
      <c r="N246" s="8" t="s">
        <v>3540</v>
      </c>
      <c r="O246" s="8" t="str">
        <f t="shared" si="27"/>
        <v>PDFを開く</v>
      </c>
      <c r="P246" s="8" t="s">
        <v>337</v>
      </c>
    </row>
    <row r="247" spans="1:16" ht="33.950000000000003" customHeight="1">
      <c r="A247" s="5" t="s">
        <v>331</v>
      </c>
      <c r="B247" s="5" t="s">
        <v>73</v>
      </c>
      <c r="C247" s="9" t="s">
        <v>332</v>
      </c>
      <c r="D247" s="5">
        <v>3</v>
      </c>
      <c r="E247" s="9" t="s">
        <v>3188</v>
      </c>
      <c r="F247" s="5" t="s">
        <v>86</v>
      </c>
      <c r="G247" s="19" t="s">
        <v>3189</v>
      </c>
      <c r="H247" s="5" t="s">
        <v>3178</v>
      </c>
      <c r="I247" s="9"/>
      <c r="J247" s="5"/>
      <c r="K247" s="5"/>
      <c r="L247" s="9"/>
      <c r="M247" s="5"/>
      <c r="N247" s="9" t="s">
        <v>3542</v>
      </c>
      <c r="O247" s="9" t="str">
        <f t="shared" si="27"/>
        <v>PDFを開く</v>
      </c>
      <c r="P247" s="9" t="s">
        <v>337</v>
      </c>
    </row>
    <row r="248" spans="1:16" ht="33.950000000000003" customHeight="1">
      <c r="A248" s="2" t="s">
        <v>331</v>
      </c>
      <c r="B248" s="2" t="s">
        <v>73</v>
      </c>
      <c r="C248" s="8" t="s">
        <v>332</v>
      </c>
      <c r="D248" s="2">
        <v>3</v>
      </c>
      <c r="E248" s="8" t="s">
        <v>3191</v>
      </c>
      <c r="F248" s="2" t="s">
        <v>2513</v>
      </c>
      <c r="G248" s="2" t="s">
        <v>3177</v>
      </c>
      <c r="H248" s="2" t="s">
        <v>3178</v>
      </c>
      <c r="I248" s="8" t="s">
        <v>3259</v>
      </c>
      <c r="J248" s="2">
        <v>2027</v>
      </c>
      <c r="K248" s="2">
        <v>23</v>
      </c>
      <c r="L248" s="8" t="s">
        <v>3543</v>
      </c>
      <c r="M248" s="2"/>
      <c r="N248" s="8" t="s">
        <v>3544</v>
      </c>
      <c r="O248" s="8" t="str">
        <f t="shared" si="27"/>
        <v>PDFを開く</v>
      </c>
      <c r="P248" s="8" t="s">
        <v>337</v>
      </c>
    </row>
    <row r="249" spans="1:16" ht="33.950000000000003" customHeight="1">
      <c r="A249" s="5" t="s">
        <v>331</v>
      </c>
      <c r="B249" s="5" t="s">
        <v>73</v>
      </c>
      <c r="C249" s="9" t="s">
        <v>332</v>
      </c>
      <c r="D249" s="5">
        <v>3</v>
      </c>
      <c r="E249" s="9" t="s">
        <v>3191</v>
      </c>
      <c r="F249" s="5" t="s">
        <v>2513</v>
      </c>
      <c r="G249" s="5" t="s">
        <v>3177</v>
      </c>
      <c r="H249" s="5" t="s">
        <v>3178</v>
      </c>
      <c r="I249" s="9" t="s">
        <v>3262</v>
      </c>
      <c r="J249" s="5">
        <v>2030</v>
      </c>
      <c r="K249" s="5">
        <v>70</v>
      </c>
      <c r="L249" s="9" t="s">
        <v>3545</v>
      </c>
      <c r="M249" s="5"/>
      <c r="N249" s="9" t="s">
        <v>3544</v>
      </c>
      <c r="O249" s="9" t="str">
        <f t="shared" si="27"/>
        <v>PDFを開く</v>
      </c>
      <c r="P249" s="9" t="s">
        <v>337</v>
      </c>
    </row>
    <row r="250" spans="1:16" ht="33.950000000000003" customHeight="1">
      <c r="A250" s="2" t="s">
        <v>338</v>
      </c>
      <c r="B250" s="2" t="s">
        <v>73</v>
      </c>
      <c r="C250" s="8" t="s">
        <v>339</v>
      </c>
      <c r="D250" s="2">
        <v>2</v>
      </c>
      <c r="E250" s="8" t="s">
        <v>3176</v>
      </c>
      <c r="F250" s="2" t="s">
        <v>86</v>
      </c>
      <c r="G250" s="2" t="s">
        <v>3177</v>
      </c>
      <c r="H250" s="2"/>
      <c r="I250" s="8" t="s">
        <v>3546</v>
      </c>
      <c r="J250" s="2">
        <v>2027</v>
      </c>
      <c r="K250" s="2">
        <v>15377</v>
      </c>
      <c r="L250" s="8" t="s">
        <v>3547</v>
      </c>
      <c r="M250" s="2">
        <v>5.5</v>
      </c>
      <c r="N250" s="8" t="s">
        <v>3548</v>
      </c>
      <c r="O250" s="8" t="str">
        <f t="shared" ref="O250:O255" si="28">HYPERLINK("https://seichotoushi-hojo.jp/assets/pdf/koufu/outline_125.pdf","PDFを開く")</f>
        <v>PDFを開く</v>
      </c>
      <c r="P250" s="8" t="s">
        <v>346</v>
      </c>
    </row>
    <row r="251" spans="1:16" ht="33.950000000000003" customHeight="1">
      <c r="A251" s="5" t="s">
        <v>338</v>
      </c>
      <c r="B251" s="5" t="s">
        <v>73</v>
      </c>
      <c r="C251" s="9" t="s">
        <v>339</v>
      </c>
      <c r="D251" s="5">
        <v>2</v>
      </c>
      <c r="E251" s="9" t="s">
        <v>3176</v>
      </c>
      <c r="F251" s="5" t="s">
        <v>86</v>
      </c>
      <c r="G251" s="5" t="s">
        <v>3177</v>
      </c>
      <c r="H251" s="5"/>
      <c r="I251" s="9" t="s">
        <v>3549</v>
      </c>
      <c r="J251" s="5">
        <v>2030</v>
      </c>
      <c r="K251" s="5">
        <v>18036</v>
      </c>
      <c r="L251" s="9" t="s">
        <v>3550</v>
      </c>
      <c r="M251" s="5">
        <v>5.5</v>
      </c>
      <c r="N251" s="9" t="s">
        <v>3548</v>
      </c>
      <c r="O251" s="9" t="str">
        <f t="shared" si="28"/>
        <v>PDFを開く</v>
      </c>
      <c r="P251" s="9" t="s">
        <v>346</v>
      </c>
    </row>
    <row r="252" spans="1:16" ht="33.950000000000003" customHeight="1">
      <c r="A252" s="2" t="s">
        <v>338</v>
      </c>
      <c r="B252" s="2" t="s">
        <v>73</v>
      </c>
      <c r="C252" s="8" t="s">
        <v>339</v>
      </c>
      <c r="D252" s="2">
        <v>2</v>
      </c>
      <c r="E252" s="8" t="s">
        <v>3184</v>
      </c>
      <c r="F252" s="2" t="s">
        <v>86</v>
      </c>
      <c r="G252" s="2" t="s">
        <v>3177</v>
      </c>
      <c r="H252" s="2"/>
      <c r="I252" s="8" t="s">
        <v>3546</v>
      </c>
      <c r="J252" s="2">
        <v>2027</v>
      </c>
      <c r="K252" s="2">
        <v>491</v>
      </c>
      <c r="L252" s="8" t="s">
        <v>3551</v>
      </c>
      <c r="M252" s="2">
        <v>4.67</v>
      </c>
      <c r="N252" s="8" t="s">
        <v>3552</v>
      </c>
      <c r="O252" s="8" t="str">
        <f t="shared" si="28"/>
        <v>PDFを開く</v>
      </c>
      <c r="P252" s="8" t="s">
        <v>346</v>
      </c>
    </row>
    <row r="253" spans="1:16" ht="33.950000000000003" customHeight="1">
      <c r="A253" s="5" t="s">
        <v>338</v>
      </c>
      <c r="B253" s="5" t="s">
        <v>73</v>
      </c>
      <c r="C253" s="9" t="s">
        <v>339</v>
      </c>
      <c r="D253" s="5">
        <v>2</v>
      </c>
      <c r="E253" s="9" t="s">
        <v>3184</v>
      </c>
      <c r="F253" s="5" t="s">
        <v>86</v>
      </c>
      <c r="G253" s="5" t="s">
        <v>3177</v>
      </c>
      <c r="H253" s="5"/>
      <c r="I253" s="9" t="s">
        <v>3549</v>
      </c>
      <c r="J253" s="5">
        <v>2030</v>
      </c>
      <c r="K253" s="5">
        <v>563</v>
      </c>
      <c r="L253" s="9" t="s">
        <v>3553</v>
      </c>
      <c r="M253" s="5">
        <v>4.67</v>
      </c>
      <c r="N253" s="9" t="s">
        <v>3552</v>
      </c>
      <c r="O253" s="9" t="str">
        <f t="shared" si="28"/>
        <v>PDFを開く</v>
      </c>
      <c r="P253" s="9" t="s">
        <v>346</v>
      </c>
    </row>
    <row r="254" spans="1:16" ht="33.950000000000003" customHeight="1">
      <c r="A254" s="2" t="s">
        <v>338</v>
      </c>
      <c r="B254" s="2" t="s">
        <v>73</v>
      </c>
      <c r="C254" s="8" t="s">
        <v>339</v>
      </c>
      <c r="D254" s="2">
        <v>2</v>
      </c>
      <c r="E254" s="8" t="s">
        <v>3191</v>
      </c>
      <c r="F254" s="2" t="s">
        <v>2513</v>
      </c>
      <c r="G254" s="2" t="s">
        <v>3177</v>
      </c>
      <c r="H254" s="2"/>
      <c r="I254" s="8" t="s">
        <v>3546</v>
      </c>
      <c r="J254" s="2">
        <v>2027</v>
      </c>
      <c r="K254" s="2">
        <v>33</v>
      </c>
      <c r="L254" s="8" t="s">
        <v>3554</v>
      </c>
      <c r="M254" s="2"/>
      <c r="N254" s="8" t="s">
        <v>3555</v>
      </c>
      <c r="O254" s="8" t="str">
        <f t="shared" si="28"/>
        <v>PDFを開く</v>
      </c>
      <c r="P254" s="8" t="s">
        <v>346</v>
      </c>
    </row>
    <row r="255" spans="1:16" ht="33.950000000000003" customHeight="1">
      <c r="A255" s="5" t="s">
        <v>338</v>
      </c>
      <c r="B255" s="5" t="s">
        <v>73</v>
      </c>
      <c r="C255" s="9" t="s">
        <v>339</v>
      </c>
      <c r="D255" s="5">
        <v>2</v>
      </c>
      <c r="E255" s="9" t="s">
        <v>3191</v>
      </c>
      <c r="F255" s="5" t="s">
        <v>2513</v>
      </c>
      <c r="G255" s="5" t="s">
        <v>3177</v>
      </c>
      <c r="H255" s="5"/>
      <c r="I255" s="9" t="s">
        <v>3549</v>
      </c>
      <c r="J255" s="5">
        <v>2030</v>
      </c>
      <c r="K255" s="5">
        <v>50</v>
      </c>
      <c r="L255" s="9" t="s">
        <v>3271</v>
      </c>
      <c r="M255" s="5"/>
      <c r="N255" s="9" t="s">
        <v>3555</v>
      </c>
      <c r="O255" s="9" t="str">
        <f t="shared" si="28"/>
        <v>PDFを開く</v>
      </c>
      <c r="P255" s="9" t="s">
        <v>346</v>
      </c>
    </row>
    <row r="256" spans="1:16" ht="33.950000000000003" customHeight="1">
      <c r="A256" s="2" t="s">
        <v>347</v>
      </c>
      <c r="B256" s="2" t="s">
        <v>73</v>
      </c>
      <c r="C256" s="8" t="s">
        <v>348</v>
      </c>
      <c r="D256" s="2">
        <v>2</v>
      </c>
      <c r="E256" s="8" t="s">
        <v>3176</v>
      </c>
      <c r="F256" s="2" t="s">
        <v>86</v>
      </c>
      <c r="G256" s="2" t="s">
        <v>3177</v>
      </c>
      <c r="H256" s="2" t="s">
        <v>3178</v>
      </c>
      <c r="I256" s="8" t="s">
        <v>3179</v>
      </c>
      <c r="J256" s="2">
        <v>2026</v>
      </c>
      <c r="K256" s="2">
        <v>262</v>
      </c>
      <c r="L256" s="8" t="s">
        <v>3556</v>
      </c>
      <c r="M256" s="2">
        <v>45</v>
      </c>
      <c r="N256" s="8" t="s">
        <v>3557</v>
      </c>
      <c r="O256" s="8" t="str">
        <f t="shared" ref="O256:O261" si="29">HYPERLINK("https://seichotoushi-hojo.jp/assets/pdf/koufu/outline_126.pdf","PDFを開く")</f>
        <v>PDFを開く</v>
      </c>
      <c r="P256" s="8" t="s">
        <v>353</v>
      </c>
    </row>
    <row r="257" spans="1:16" ht="33.950000000000003" customHeight="1">
      <c r="A257" s="5" t="s">
        <v>347</v>
      </c>
      <c r="B257" s="5" t="s">
        <v>73</v>
      </c>
      <c r="C257" s="9" t="s">
        <v>348</v>
      </c>
      <c r="D257" s="5">
        <v>2</v>
      </c>
      <c r="E257" s="9" t="s">
        <v>3176</v>
      </c>
      <c r="F257" s="5" t="s">
        <v>86</v>
      </c>
      <c r="G257" s="5" t="s">
        <v>3177</v>
      </c>
      <c r="H257" s="5" t="s">
        <v>3178</v>
      </c>
      <c r="I257" s="9" t="s">
        <v>3182</v>
      </c>
      <c r="J257" s="5">
        <v>2029</v>
      </c>
      <c r="K257" s="5">
        <v>799</v>
      </c>
      <c r="L257" s="9" t="s">
        <v>3558</v>
      </c>
      <c r="M257" s="5">
        <v>45</v>
      </c>
      <c r="N257" s="9" t="s">
        <v>3557</v>
      </c>
      <c r="O257" s="9" t="str">
        <f t="shared" si="29"/>
        <v>PDFを開く</v>
      </c>
      <c r="P257" s="9" t="s">
        <v>353</v>
      </c>
    </row>
    <row r="258" spans="1:16" ht="33.950000000000003" customHeight="1">
      <c r="A258" s="2" t="s">
        <v>347</v>
      </c>
      <c r="B258" s="2" t="s">
        <v>73</v>
      </c>
      <c r="C258" s="8" t="s">
        <v>348</v>
      </c>
      <c r="D258" s="2">
        <v>2</v>
      </c>
      <c r="E258" s="8" t="s">
        <v>3184</v>
      </c>
      <c r="F258" s="2" t="s">
        <v>86</v>
      </c>
      <c r="G258" s="2" t="s">
        <v>3177</v>
      </c>
      <c r="H258" s="2" t="s">
        <v>3178</v>
      </c>
      <c r="I258" s="8" t="s">
        <v>3179</v>
      </c>
      <c r="J258" s="2">
        <v>2026</v>
      </c>
      <c r="K258" s="2">
        <v>247</v>
      </c>
      <c r="L258" s="8" t="s">
        <v>3559</v>
      </c>
      <c r="M258" s="2">
        <v>5.4</v>
      </c>
      <c r="N258" s="8" t="s">
        <v>3560</v>
      </c>
      <c r="O258" s="8" t="str">
        <f t="shared" si="29"/>
        <v>PDFを開く</v>
      </c>
      <c r="P258" s="8" t="s">
        <v>353</v>
      </c>
    </row>
    <row r="259" spans="1:16" ht="33.950000000000003" customHeight="1">
      <c r="A259" s="5" t="s">
        <v>347</v>
      </c>
      <c r="B259" s="5" t="s">
        <v>73</v>
      </c>
      <c r="C259" s="9" t="s">
        <v>348</v>
      </c>
      <c r="D259" s="5">
        <v>2</v>
      </c>
      <c r="E259" s="9" t="s">
        <v>3184</v>
      </c>
      <c r="F259" s="5" t="s">
        <v>86</v>
      </c>
      <c r="G259" s="5" t="s">
        <v>3177</v>
      </c>
      <c r="H259" s="5" t="s">
        <v>3178</v>
      </c>
      <c r="I259" s="9" t="s">
        <v>3182</v>
      </c>
      <c r="J259" s="5">
        <v>2029</v>
      </c>
      <c r="K259" s="5">
        <v>290</v>
      </c>
      <c r="L259" s="9" t="s">
        <v>3194</v>
      </c>
      <c r="M259" s="5">
        <v>5.4</v>
      </c>
      <c r="N259" s="9" t="s">
        <v>3560</v>
      </c>
      <c r="O259" s="9" t="str">
        <f t="shared" si="29"/>
        <v>PDFを開く</v>
      </c>
      <c r="P259" s="9" t="s">
        <v>353</v>
      </c>
    </row>
    <row r="260" spans="1:16" ht="33.950000000000003" customHeight="1">
      <c r="A260" s="2" t="s">
        <v>347</v>
      </c>
      <c r="B260" s="2" t="s">
        <v>73</v>
      </c>
      <c r="C260" s="8" t="s">
        <v>348</v>
      </c>
      <c r="D260" s="2">
        <v>2</v>
      </c>
      <c r="E260" s="8" t="s">
        <v>3191</v>
      </c>
      <c r="F260" s="2" t="s">
        <v>2513</v>
      </c>
      <c r="G260" s="2" t="s">
        <v>3177</v>
      </c>
      <c r="H260" s="2" t="s">
        <v>3178</v>
      </c>
      <c r="I260" s="8" t="s">
        <v>3179</v>
      </c>
      <c r="J260" s="2">
        <v>2026</v>
      </c>
      <c r="K260" s="2">
        <v>51</v>
      </c>
      <c r="L260" s="8" t="s">
        <v>3467</v>
      </c>
      <c r="M260" s="2">
        <v>69.8</v>
      </c>
      <c r="N260" s="8" t="s">
        <v>3561</v>
      </c>
      <c r="O260" s="8" t="str">
        <f t="shared" si="29"/>
        <v>PDFを開く</v>
      </c>
      <c r="P260" s="8" t="s">
        <v>353</v>
      </c>
    </row>
    <row r="261" spans="1:16" ht="33.950000000000003" customHeight="1">
      <c r="A261" s="5" t="s">
        <v>347</v>
      </c>
      <c r="B261" s="5" t="s">
        <v>73</v>
      </c>
      <c r="C261" s="9" t="s">
        <v>348</v>
      </c>
      <c r="D261" s="5">
        <v>2</v>
      </c>
      <c r="E261" s="9" t="s">
        <v>3191</v>
      </c>
      <c r="F261" s="5" t="s">
        <v>2513</v>
      </c>
      <c r="G261" s="5" t="s">
        <v>3177</v>
      </c>
      <c r="H261" s="5" t="s">
        <v>3178</v>
      </c>
      <c r="I261" s="9" t="s">
        <v>3182</v>
      </c>
      <c r="J261" s="5">
        <v>2029</v>
      </c>
      <c r="K261" s="5">
        <v>250</v>
      </c>
      <c r="L261" s="9" t="s">
        <v>3562</v>
      </c>
      <c r="M261" s="5">
        <v>69.8</v>
      </c>
      <c r="N261" s="9" t="s">
        <v>3561</v>
      </c>
      <c r="O261" s="9" t="str">
        <f t="shared" si="29"/>
        <v>PDFを開く</v>
      </c>
      <c r="P261" s="9" t="s">
        <v>353</v>
      </c>
    </row>
    <row r="262" spans="1:16" ht="33.950000000000003" customHeight="1">
      <c r="A262" s="2" t="s">
        <v>354</v>
      </c>
      <c r="B262" s="2" t="s">
        <v>73</v>
      </c>
      <c r="C262" s="8" t="s">
        <v>355</v>
      </c>
      <c r="D262" s="2">
        <v>2</v>
      </c>
      <c r="E262" s="8" t="s">
        <v>3176</v>
      </c>
      <c r="F262" s="2" t="s">
        <v>86</v>
      </c>
      <c r="G262" s="2" t="s">
        <v>3177</v>
      </c>
      <c r="H262" s="2"/>
      <c r="I262" s="8" t="s">
        <v>3305</v>
      </c>
      <c r="J262" s="2">
        <v>2027</v>
      </c>
      <c r="K262" s="2">
        <v>1226</v>
      </c>
      <c r="L262" s="8" t="s">
        <v>3563</v>
      </c>
      <c r="M262" s="2">
        <v>13.4</v>
      </c>
      <c r="N262" s="8" t="s">
        <v>3564</v>
      </c>
      <c r="O262" s="8" t="str">
        <f t="shared" ref="O262:O269" si="30">HYPERLINK("https://seichotoushi-hojo.jp/assets/pdf/koufu/outline_127.pdf","PDFを開く")</f>
        <v>PDFを開く</v>
      </c>
      <c r="P262" s="8" t="s">
        <v>361</v>
      </c>
    </row>
    <row r="263" spans="1:16" ht="33.950000000000003" customHeight="1">
      <c r="A263" s="5" t="s">
        <v>354</v>
      </c>
      <c r="B263" s="5" t="s">
        <v>73</v>
      </c>
      <c r="C263" s="9" t="s">
        <v>355</v>
      </c>
      <c r="D263" s="5">
        <v>2</v>
      </c>
      <c r="E263" s="9" t="s">
        <v>3176</v>
      </c>
      <c r="F263" s="5" t="s">
        <v>86</v>
      </c>
      <c r="G263" s="5" t="s">
        <v>3177</v>
      </c>
      <c r="H263" s="5"/>
      <c r="I263" s="9" t="s">
        <v>3302</v>
      </c>
      <c r="J263" s="5">
        <v>2030</v>
      </c>
      <c r="K263" s="5">
        <v>1788</v>
      </c>
      <c r="L263" s="9" t="s">
        <v>3565</v>
      </c>
      <c r="M263" s="5">
        <v>13.4</v>
      </c>
      <c r="N263" s="9" t="s">
        <v>3564</v>
      </c>
      <c r="O263" s="9" t="str">
        <f t="shared" si="30"/>
        <v>PDFを開く</v>
      </c>
      <c r="P263" s="9" t="s">
        <v>361</v>
      </c>
    </row>
    <row r="264" spans="1:16" ht="33.950000000000003" customHeight="1">
      <c r="A264" s="2" t="s">
        <v>354</v>
      </c>
      <c r="B264" s="2" t="s">
        <v>73</v>
      </c>
      <c r="C264" s="8" t="s">
        <v>355</v>
      </c>
      <c r="D264" s="2">
        <v>2</v>
      </c>
      <c r="E264" s="8" t="s">
        <v>3184</v>
      </c>
      <c r="F264" s="2" t="s">
        <v>86</v>
      </c>
      <c r="G264" s="2" t="s">
        <v>3177</v>
      </c>
      <c r="H264" s="2" t="s">
        <v>3178</v>
      </c>
      <c r="I264" s="8" t="s">
        <v>3305</v>
      </c>
      <c r="J264" s="2">
        <v>2027</v>
      </c>
      <c r="K264" s="2">
        <v>369</v>
      </c>
      <c r="L264" s="8" t="s">
        <v>3205</v>
      </c>
      <c r="M264" s="2">
        <v>5.5</v>
      </c>
      <c r="N264" s="8" t="s">
        <v>3566</v>
      </c>
      <c r="O264" s="8" t="str">
        <f t="shared" si="30"/>
        <v>PDFを開く</v>
      </c>
      <c r="P264" s="8" t="s">
        <v>361</v>
      </c>
    </row>
    <row r="265" spans="1:16" ht="33.950000000000003" customHeight="1">
      <c r="A265" s="5" t="s">
        <v>354</v>
      </c>
      <c r="B265" s="5" t="s">
        <v>73</v>
      </c>
      <c r="C265" s="9" t="s">
        <v>355</v>
      </c>
      <c r="D265" s="5">
        <v>2</v>
      </c>
      <c r="E265" s="9" t="s">
        <v>3184</v>
      </c>
      <c r="F265" s="5" t="s">
        <v>86</v>
      </c>
      <c r="G265" s="5" t="s">
        <v>3177</v>
      </c>
      <c r="H265" s="5" t="s">
        <v>3178</v>
      </c>
      <c r="I265" s="9" t="s">
        <v>3302</v>
      </c>
      <c r="J265" s="5">
        <v>2030</v>
      </c>
      <c r="K265" s="5">
        <v>433</v>
      </c>
      <c r="L265" s="9" t="s">
        <v>3567</v>
      </c>
      <c r="M265" s="5">
        <v>5.5</v>
      </c>
      <c r="N265" s="9" t="s">
        <v>3566</v>
      </c>
      <c r="O265" s="9" t="str">
        <f t="shared" si="30"/>
        <v>PDFを開く</v>
      </c>
      <c r="P265" s="9" t="s">
        <v>361</v>
      </c>
    </row>
    <row r="266" spans="1:16" ht="33.950000000000003" customHeight="1">
      <c r="A266" s="2" t="s">
        <v>354</v>
      </c>
      <c r="B266" s="2" t="s">
        <v>73</v>
      </c>
      <c r="C266" s="8" t="s">
        <v>355</v>
      </c>
      <c r="D266" s="2">
        <v>2</v>
      </c>
      <c r="E266" s="8" t="s">
        <v>3188</v>
      </c>
      <c r="F266" s="2" t="s">
        <v>86</v>
      </c>
      <c r="G266" s="2" t="s">
        <v>3177</v>
      </c>
      <c r="H266" s="2"/>
      <c r="I266" s="8" t="s">
        <v>3305</v>
      </c>
      <c r="J266" s="2">
        <v>2027</v>
      </c>
      <c r="K266" s="2">
        <v>1259</v>
      </c>
      <c r="L266" s="8" t="s">
        <v>3568</v>
      </c>
      <c r="M266" s="2">
        <v>4.3</v>
      </c>
      <c r="N266" s="8" t="s">
        <v>3569</v>
      </c>
      <c r="O266" s="8" t="str">
        <f t="shared" si="30"/>
        <v>PDFを開く</v>
      </c>
      <c r="P266" s="8" t="s">
        <v>361</v>
      </c>
    </row>
    <row r="267" spans="1:16" ht="33.950000000000003" customHeight="1">
      <c r="A267" s="5" t="s">
        <v>354</v>
      </c>
      <c r="B267" s="5" t="s">
        <v>73</v>
      </c>
      <c r="C267" s="9" t="s">
        <v>355</v>
      </c>
      <c r="D267" s="5">
        <v>2</v>
      </c>
      <c r="E267" s="9" t="s">
        <v>3188</v>
      </c>
      <c r="F267" s="5" t="s">
        <v>86</v>
      </c>
      <c r="G267" s="5" t="s">
        <v>3177</v>
      </c>
      <c r="H267" s="5"/>
      <c r="I267" s="9" t="s">
        <v>3302</v>
      </c>
      <c r="J267" s="5">
        <v>2030</v>
      </c>
      <c r="K267" s="5">
        <v>1428</v>
      </c>
      <c r="L267" s="9" t="s">
        <v>3570</v>
      </c>
      <c r="M267" s="5">
        <v>4.3</v>
      </c>
      <c r="N267" s="9" t="s">
        <v>3569</v>
      </c>
      <c r="O267" s="9" t="str">
        <f t="shared" si="30"/>
        <v>PDFを開く</v>
      </c>
      <c r="P267" s="9" t="s">
        <v>361</v>
      </c>
    </row>
    <row r="268" spans="1:16" ht="33.950000000000003" customHeight="1">
      <c r="A268" s="2" t="s">
        <v>354</v>
      </c>
      <c r="B268" s="2" t="s">
        <v>73</v>
      </c>
      <c r="C268" s="8" t="s">
        <v>355</v>
      </c>
      <c r="D268" s="2">
        <v>2</v>
      </c>
      <c r="E268" s="8" t="s">
        <v>3191</v>
      </c>
      <c r="F268" s="2" t="s">
        <v>2513</v>
      </c>
      <c r="G268" s="2" t="s">
        <v>3177</v>
      </c>
      <c r="H268" s="2"/>
      <c r="I268" s="8" t="s">
        <v>3302</v>
      </c>
      <c r="J268" s="2">
        <v>2027</v>
      </c>
      <c r="K268" s="2">
        <v>115.5</v>
      </c>
      <c r="L268" s="8" t="s">
        <v>3571</v>
      </c>
      <c r="M268" s="2"/>
      <c r="N268" s="8" t="s">
        <v>3572</v>
      </c>
      <c r="O268" s="8" t="str">
        <f t="shared" si="30"/>
        <v>PDFを開く</v>
      </c>
      <c r="P268" s="8" t="s">
        <v>361</v>
      </c>
    </row>
    <row r="269" spans="1:16" ht="33.950000000000003" customHeight="1">
      <c r="A269" s="5" t="s">
        <v>354</v>
      </c>
      <c r="B269" s="5" t="s">
        <v>73</v>
      </c>
      <c r="C269" s="9" t="s">
        <v>355</v>
      </c>
      <c r="D269" s="5">
        <v>2</v>
      </c>
      <c r="E269" s="9" t="s">
        <v>3191</v>
      </c>
      <c r="F269" s="5" t="s">
        <v>2513</v>
      </c>
      <c r="G269" s="5" t="s">
        <v>3177</v>
      </c>
      <c r="H269" s="5"/>
      <c r="I269" s="9" t="s">
        <v>3305</v>
      </c>
      <c r="J269" s="5">
        <v>2030</v>
      </c>
      <c r="K269" s="5">
        <v>133.4</v>
      </c>
      <c r="L269" s="9" t="s">
        <v>3573</v>
      </c>
      <c r="M269" s="5"/>
      <c r="N269" s="9" t="s">
        <v>3572</v>
      </c>
      <c r="O269" s="9" t="str">
        <f t="shared" si="30"/>
        <v>PDFを開く</v>
      </c>
      <c r="P269" s="9" t="s">
        <v>361</v>
      </c>
    </row>
    <row r="270" spans="1:16" ht="33.950000000000003" customHeight="1">
      <c r="A270" s="2" t="s">
        <v>362</v>
      </c>
      <c r="B270" s="2" t="s">
        <v>73</v>
      </c>
      <c r="C270" s="8" t="s">
        <v>363</v>
      </c>
      <c r="D270" s="2">
        <v>2</v>
      </c>
      <c r="E270" s="8" t="s">
        <v>3176</v>
      </c>
      <c r="F270" s="2" t="s">
        <v>86</v>
      </c>
      <c r="G270" s="2" t="s">
        <v>3177</v>
      </c>
      <c r="H270" s="2" t="s">
        <v>3178</v>
      </c>
      <c r="I270" s="8" t="s">
        <v>3574</v>
      </c>
      <c r="J270" s="2">
        <v>2026</v>
      </c>
      <c r="K270" s="2">
        <v>918</v>
      </c>
      <c r="L270" s="8" t="s">
        <v>3575</v>
      </c>
      <c r="M270" s="2">
        <v>15.5</v>
      </c>
      <c r="N270" s="8" t="s">
        <v>3576</v>
      </c>
      <c r="O270" s="8" t="str">
        <f t="shared" ref="O270:O277" si="31">HYPERLINK("https://seichotoushi-hojo.jp/assets/pdf/koufu/outline_128.pdf","PDFを開く")</f>
        <v>PDFを開く</v>
      </c>
      <c r="P270" s="8" t="s">
        <v>368</v>
      </c>
    </row>
    <row r="271" spans="1:16" ht="33.950000000000003" customHeight="1">
      <c r="A271" s="5" t="s">
        <v>362</v>
      </c>
      <c r="B271" s="5" t="s">
        <v>73</v>
      </c>
      <c r="C271" s="9" t="s">
        <v>363</v>
      </c>
      <c r="D271" s="5">
        <v>2</v>
      </c>
      <c r="E271" s="9" t="s">
        <v>3176</v>
      </c>
      <c r="F271" s="5" t="s">
        <v>86</v>
      </c>
      <c r="G271" s="5" t="s">
        <v>3177</v>
      </c>
      <c r="H271" s="5" t="s">
        <v>3178</v>
      </c>
      <c r="I271" s="9" t="s">
        <v>3577</v>
      </c>
      <c r="J271" s="5">
        <v>2029</v>
      </c>
      <c r="K271" s="5">
        <v>1415</v>
      </c>
      <c r="L271" s="9" t="s">
        <v>3578</v>
      </c>
      <c r="M271" s="5">
        <v>15.5</v>
      </c>
      <c r="N271" s="9" t="s">
        <v>3576</v>
      </c>
      <c r="O271" s="9" t="str">
        <f t="shared" si="31"/>
        <v>PDFを開く</v>
      </c>
      <c r="P271" s="9" t="s">
        <v>368</v>
      </c>
    </row>
    <row r="272" spans="1:16" ht="33.950000000000003" customHeight="1">
      <c r="A272" s="2" t="s">
        <v>362</v>
      </c>
      <c r="B272" s="2" t="s">
        <v>73</v>
      </c>
      <c r="C272" s="8" t="s">
        <v>363</v>
      </c>
      <c r="D272" s="2">
        <v>2</v>
      </c>
      <c r="E272" s="8" t="s">
        <v>3184</v>
      </c>
      <c r="F272" s="2" t="s">
        <v>86</v>
      </c>
      <c r="G272" s="2" t="s">
        <v>3177</v>
      </c>
      <c r="H272" s="2" t="s">
        <v>3178</v>
      </c>
      <c r="I272" s="8" t="s">
        <v>3574</v>
      </c>
      <c r="J272" s="2">
        <v>2026</v>
      </c>
      <c r="K272" s="2">
        <v>291</v>
      </c>
      <c r="L272" s="8" t="s">
        <v>3579</v>
      </c>
      <c r="M272" s="2">
        <v>7</v>
      </c>
      <c r="N272" s="8" t="s">
        <v>3580</v>
      </c>
      <c r="O272" s="8" t="str">
        <f t="shared" si="31"/>
        <v>PDFを開く</v>
      </c>
      <c r="P272" s="8" t="s">
        <v>368</v>
      </c>
    </row>
    <row r="273" spans="1:16" ht="33.950000000000003" customHeight="1">
      <c r="A273" s="5" t="s">
        <v>362</v>
      </c>
      <c r="B273" s="5" t="s">
        <v>73</v>
      </c>
      <c r="C273" s="9" t="s">
        <v>363</v>
      </c>
      <c r="D273" s="5">
        <v>2</v>
      </c>
      <c r="E273" s="9" t="s">
        <v>3184</v>
      </c>
      <c r="F273" s="5" t="s">
        <v>86</v>
      </c>
      <c r="G273" s="5" t="s">
        <v>3177</v>
      </c>
      <c r="H273" s="5" t="s">
        <v>3178</v>
      </c>
      <c r="I273" s="9" t="s">
        <v>3577</v>
      </c>
      <c r="J273" s="5">
        <v>2029</v>
      </c>
      <c r="K273" s="5">
        <v>356</v>
      </c>
      <c r="L273" s="9" t="s">
        <v>3309</v>
      </c>
      <c r="M273" s="5">
        <v>7</v>
      </c>
      <c r="N273" s="9" t="s">
        <v>3580</v>
      </c>
      <c r="O273" s="9" t="str">
        <f t="shared" si="31"/>
        <v>PDFを開く</v>
      </c>
      <c r="P273" s="9" t="s">
        <v>368</v>
      </c>
    </row>
    <row r="274" spans="1:16" ht="33.950000000000003" customHeight="1">
      <c r="A274" s="2" t="s">
        <v>362</v>
      </c>
      <c r="B274" s="2" t="s">
        <v>73</v>
      </c>
      <c r="C274" s="8" t="s">
        <v>363</v>
      </c>
      <c r="D274" s="2">
        <v>2</v>
      </c>
      <c r="E274" s="8" t="s">
        <v>3188</v>
      </c>
      <c r="F274" s="2" t="s">
        <v>86</v>
      </c>
      <c r="G274" s="2" t="s">
        <v>3177</v>
      </c>
      <c r="H274" s="2" t="s">
        <v>3178</v>
      </c>
      <c r="I274" s="8" t="s">
        <v>3574</v>
      </c>
      <c r="J274" s="2">
        <v>2026</v>
      </c>
      <c r="K274" s="2">
        <v>2640</v>
      </c>
      <c r="L274" s="8" t="s">
        <v>3581</v>
      </c>
      <c r="M274" s="2">
        <v>5</v>
      </c>
      <c r="N274" s="8" t="s">
        <v>3582</v>
      </c>
      <c r="O274" s="8" t="str">
        <f t="shared" si="31"/>
        <v>PDFを開く</v>
      </c>
      <c r="P274" s="8" t="s">
        <v>368</v>
      </c>
    </row>
    <row r="275" spans="1:16" ht="33.950000000000003" customHeight="1">
      <c r="A275" s="5" t="s">
        <v>362</v>
      </c>
      <c r="B275" s="5" t="s">
        <v>73</v>
      </c>
      <c r="C275" s="9" t="s">
        <v>363</v>
      </c>
      <c r="D275" s="5">
        <v>2</v>
      </c>
      <c r="E275" s="9" t="s">
        <v>3188</v>
      </c>
      <c r="F275" s="5" t="s">
        <v>86</v>
      </c>
      <c r="G275" s="5" t="s">
        <v>3177</v>
      </c>
      <c r="H275" s="5" t="s">
        <v>3178</v>
      </c>
      <c r="I275" s="9" t="s">
        <v>3577</v>
      </c>
      <c r="J275" s="5">
        <v>2029</v>
      </c>
      <c r="K275" s="5">
        <v>3058</v>
      </c>
      <c r="L275" s="9" t="s">
        <v>3583</v>
      </c>
      <c r="M275" s="5">
        <v>5</v>
      </c>
      <c r="N275" s="9" t="s">
        <v>3582</v>
      </c>
      <c r="O275" s="9" t="str">
        <f t="shared" si="31"/>
        <v>PDFを開く</v>
      </c>
      <c r="P275" s="9" t="s">
        <v>368</v>
      </c>
    </row>
    <row r="276" spans="1:16" ht="33.950000000000003" customHeight="1">
      <c r="A276" s="2" t="s">
        <v>362</v>
      </c>
      <c r="B276" s="2" t="s">
        <v>73</v>
      </c>
      <c r="C276" s="8" t="s">
        <v>363</v>
      </c>
      <c r="D276" s="2">
        <v>2</v>
      </c>
      <c r="E276" s="8" t="s">
        <v>3191</v>
      </c>
      <c r="F276" s="2" t="s">
        <v>2513</v>
      </c>
      <c r="G276" s="2" t="s">
        <v>3177</v>
      </c>
      <c r="H276" s="2" t="s">
        <v>3178</v>
      </c>
      <c r="I276" s="8" t="s">
        <v>3574</v>
      </c>
      <c r="J276" s="2">
        <v>2026</v>
      </c>
      <c r="K276" s="2">
        <v>29</v>
      </c>
      <c r="L276" s="8" t="s">
        <v>3584</v>
      </c>
      <c r="M276" s="2"/>
      <c r="N276" s="8" t="s">
        <v>3585</v>
      </c>
      <c r="O276" s="8" t="str">
        <f t="shared" si="31"/>
        <v>PDFを開く</v>
      </c>
      <c r="P276" s="8" t="s">
        <v>368</v>
      </c>
    </row>
    <row r="277" spans="1:16" ht="33.950000000000003" customHeight="1">
      <c r="A277" s="5" t="s">
        <v>362</v>
      </c>
      <c r="B277" s="5" t="s">
        <v>73</v>
      </c>
      <c r="C277" s="9" t="s">
        <v>363</v>
      </c>
      <c r="D277" s="5">
        <v>2</v>
      </c>
      <c r="E277" s="9" t="s">
        <v>3191</v>
      </c>
      <c r="F277" s="5" t="s">
        <v>2513</v>
      </c>
      <c r="G277" s="5" t="s">
        <v>3177</v>
      </c>
      <c r="H277" s="5" t="s">
        <v>3178</v>
      </c>
      <c r="I277" s="9" t="s">
        <v>3577</v>
      </c>
      <c r="J277" s="5">
        <v>2029</v>
      </c>
      <c r="K277" s="5">
        <v>87</v>
      </c>
      <c r="L277" s="9" t="s">
        <v>3586</v>
      </c>
      <c r="M277" s="5"/>
      <c r="N277" s="9" t="s">
        <v>3585</v>
      </c>
      <c r="O277" s="9" t="str">
        <f t="shared" si="31"/>
        <v>PDFを開く</v>
      </c>
      <c r="P277" s="9" t="s">
        <v>368</v>
      </c>
    </row>
    <row r="278" spans="1:16" ht="33.950000000000003" customHeight="1">
      <c r="A278" s="2" t="s">
        <v>369</v>
      </c>
      <c r="B278" s="2" t="s">
        <v>73</v>
      </c>
      <c r="C278" s="8" t="s">
        <v>370</v>
      </c>
      <c r="D278" s="2">
        <v>2</v>
      </c>
      <c r="E278" s="8" t="s">
        <v>3176</v>
      </c>
      <c r="F278" s="2" t="s">
        <v>86</v>
      </c>
      <c r="G278" s="2" t="s">
        <v>3177</v>
      </c>
      <c r="H278" s="2" t="s">
        <v>3178</v>
      </c>
      <c r="I278" s="8" t="s">
        <v>3587</v>
      </c>
      <c r="J278" s="2">
        <v>2025</v>
      </c>
      <c r="K278" s="2">
        <v>31</v>
      </c>
      <c r="L278" s="8" t="s">
        <v>3588</v>
      </c>
      <c r="M278" s="2"/>
      <c r="N278" s="8" t="s">
        <v>3589</v>
      </c>
      <c r="O278" s="8" t="str">
        <f t="shared" ref="O278:O285" si="32">HYPERLINK("https://seichotoushi-hojo.jp/assets/pdf/koufu/outline_129.pdf","PDFを開く")</f>
        <v>PDFを開く</v>
      </c>
      <c r="P278" s="8" t="s">
        <v>377</v>
      </c>
    </row>
    <row r="279" spans="1:16" ht="33.950000000000003" customHeight="1">
      <c r="A279" s="5" t="s">
        <v>369</v>
      </c>
      <c r="B279" s="5" t="s">
        <v>73</v>
      </c>
      <c r="C279" s="9" t="s">
        <v>370</v>
      </c>
      <c r="D279" s="5">
        <v>2</v>
      </c>
      <c r="E279" s="9" t="s">
        <v>3176</v>
      </c>
      <c r="F279" s="5" t="s">
        <v>86</v>
      </c>
      <c r="G279" s="5" t="s">
        <v>3177</v>
      </c>
      <c r="H279" s="5" t="s">
        <v>3178</v>
      </c>
      <c r="I279" s="9" t="s">
        <v>3590</v>
      </c>
      <c r="J279" s="5">
        <v>2028</v>
      </c>
      <c r="K279" s="5">
        <v>965</v>
      </c>
      <c r="L279" s="9" t="s">
        <v>3591</v>
      </c>
      <c r="M279" s="5"/>
      <c r="N279" s="9" t="s">
        <v>3589</v>
      </c>
      <c r="O279" s="9" t="str">
        <f t="shared" si="32"/>
        <v>PDFを開く</v>
      </c>
      <c r="P279" s="9" t="s">
        <v>377</v>
      </c>
    </row>
    <row r="280" spans="1:16" ht="33.950000000000003" customHeight="1">
      <c r="A280" s="2" t="s">
        <v>369</v>
      </c>
      <c r="B280" s="2" t="s">
        <v>73</v>
      </c>
      <c r="C280" s="8" t="s">
        <v>370</v>
      </c>
      <c r="D280" s="2">
        <v>2</v>
      </c>
      <c r="E280" s="8" t="s">
        <v>3184</v>
      </c>
      <c r="F280" s="2" t="s">
        <v>86</v>
      </c>
      <c r="G280" s="2" t="s">
        <v>3177</v>
      </c>
      <c r="H280" s="2" t="s">
        <v>3178</v>
      </c>
      <c r="I280" s="8" t="s">
        <v>3587</v>
      </c>
      <c r="J280" s="2">
        <v>2025</v>
      </c>
      <c r="K280" s="2">
        <v>603</v>
      </c>
      <c r="L280" s="8" t="s">
        <v>3592</v>
      </c>
      <c r="M280" s="2">
        <v>7</v>
      </c>
      <c r="N280" s="8" t="s">
        <v>3593</v>
      </c>
      <c r="O280" s="8" t="str">
        <f t="shared" si="32"/>
        <v>PDFを開く</v>
      </c>
      <c r="P280" s="8" t="s">
        <v>377</v>
      </c>
    </row>
    <row r="281" spans="1:16" ht="33.950000000000003" customHeight="1">
      <c r="A281" s="5" t="s">
        <v>369</v>
      </c>
      <c r="B281" s="5" t="s">
        <v>73</v>
      </c>
      <c r="C281" s="9" t="s">
        <v>370</v>
      </c>
      <c r="D281" s="5">
        <v>2</v>
      </c>
      <c r="E281" s="9" t="s">
        <v>3184</v>
      </c>
      <c r="F281" s="5" t="s">
        <v>86</v>
      </c>
      <c r="G281" s="5" t="s">
        <v>3177</v>
      </c>
      <c r="H281" s="5" t="s">
        <v>3178</v>
      </c>
      <c r="I281" s="9" t="s">
        <v>3590</v>
      </c>
      <c r="J281" s="5">
        <v>2028</v>
      </c>
      <c r="K281" s="5">
        <v>739</v>
      </c>
      <c r="L281" s="9" t="s">
        <v>3594</v>
      </c>
      <c r="M281" s="5">
        <v>7</v>
      </c>
      <c r="N281" s="9" t="s">
        <v>3593</v>
      </c>
      <c r="O281" s="9" t="str">
        <f t="shared" si="32"/>
        <v>PDFを開く</v>
      </c>
      <c r="P281" s="9" t="s">
        <v>377</v>
      </c>
    </row>
    <row r="282" spans="1:16" ht="33.950000000000003" customHeight="1">
      <c r="A282" s="2" t="s">
        <v>369</v>
      </c>
      <c r="B282" s="2" t="s">
        <v>73</v>
      </c>
      <c r="C282" s="8" t="s">
        <v>370</v>
      </c>
      <c r="D282" s="2">
        <v>2</v>
      </c>
      <c r="E282" s="8" t="s">
        <v>3188</v>
      </c>
      <c r="F282" s="2" t="s">
        <v>86</v>
      </c>
      <c r="G282" s="2" t="s">
        <v>3177</v>
      </c>
      <c r="H282" s="2" t="s">
        <v>3178</v>
      </c>
      <c r="I282" s="8" t="s">
        <v>3587</v>
      </c>
      <c r="J282" s="2">
        <v>2025</v>
      </c>
      <c r="K282" s="2">
        <v>1500</v>
      </c>
      <c r="L282" s="8" t="s">
        <v>3439</v>
      </c>
      <c r="M282" s="2">
        <v>7</v>
      </c>
      <c r="N282" s="8" t="s">
        <v>3595</v>
      </c>
      <c r="O282" s="8" t="str">
        <f t="shared" si="32"/>
        <v>PDFを開く</v>
      </c>
      <c r="P282" s="8" t="s">
        <v>377</v>
      </c>
    </row>
    <row r="283" spans="1:16" ht="33.950000000000003" customHeight="1">
      <c r="A283" s="5" t="s">
        <v>369</v>
      </c>
      <c r="B283" s="5" t="s">
        <v>73</v>
      </c>
      <c r="C283" s="9" t="s">
        <v>370</v>
      </c>
      <c r="D283" s="5">
        <v>2</v>
      </c>
      <c r="E283" s="9" t="s">
        <v>3188</v>
      </c>
      <c r="F283" s="5" t="s">
        <v>86</v>
      </c>
      <c r="G283" s="5" t="s">
        <v>3177</v>
      </c>
      <c r="H283" s="5" t="s">
        <v>3178</v>
      </c>
      <c r="I283" s="9" t="s">
        <v>3590</v>
      </c>
      <c r="J283" s="5">
        <v>2028</v>
      </c>
      <c r="K283" s="5">
        <v>1838</v>
      </c>
      <c r="L283" s="9" t="s">
        <v>3596</v>
      </c>
      <c r="M283" s="5">
        <v>7</v>
      </c>
      <c r="N283" s="9" t="s">
        <v>3595</v>
      </c>
      <c r="O283" s="9" t="str">
        <f t="shared" si="32"/>
        <v>PDFを開く</v>
      </c>
      <c r="P283" s="9" t="s">
        <v>377</v>
      </c>
    </row>
    <row r="284" spans="1:16" ht="33.950000000000003" customHeight="1">
      <c r="A284" s="2" t="s">
        <v>369</v>
      </c>
      <c r="B284" s="2" t="s">
        <v>73</v>
      </c>
      <c r="C284" s="8" t="s">
        <v>370</v>
      </c>
      <c r="D284" s="2">
        <v>2</v>
      </c>
      <c r="E284" s="8" t="s">
        <v>3191</v>
      </c>
      <c r="F284" s="2" t="s">
        <v>2513</v>
      </c>
      <c r="G284" s="2" t="s">
        <v>3177</v>
      </c>
      <c r="H284" s="2" t="s">
        <v>3178</v>
      </c>
      <c r="I284" s="8" t="s">
        <v>3587</v>
      </c>
      <c r="J284" s="2">
        <v>2025</v>
      </c>
      <c r="K284" s="2">
        <v>87</v>
      </c>
      <c r="L284" s="8" t="s">
        <v>3586</v>
      </c>
      <c r="M284" s="2"/>
      <c r="N284" s="8" t="s">
        <v>3597</v>
      </c>
      <c r="O284" s="8" t="str">
        <f t="shared" si="32"/>
        <v>PDFを開く</v>
      </c>
      <c r="P284" s="8" t="s">
        <v>377</v>
      </c>
    </row>
    <row r="285" spans="1:16" ht="33.950000000000003" customHeight="1">
      <c r="A285" s="5" t="s">
        <v>369</v>
      </c>
      <c r="B285" s="5" t="s">
        <v>73</v>
      </c>
      <c r="C285" s="9" t="s">
        <v>370</v>
      </c>
      <c r="D285" s="5">
        <v>2</v>
      </c>
      <c r="E285" s="9" t="s">
        <v>3191</v>
      </c>
      <c r="F285" s="5" t="s">
        <v>2513</v>
      </c>
      <c r="G285" s="5" t="s">
        <v>3177</v>
      </c>
      <c r="H285" s="5" t="s">
        <v>3178</v>
      </c>
      <c r="I285" s="9" t="s">
        <v>3590</v>
      </c>
      <c r="J285" s="5">
        <v>2028</v>
      </c>
      <c r="K285" s="5">
        <v>112</v>
      </c>
      <c r="L285" s="9" t="s">
        <v>3598</v>
      </c>
      <c r="M285" s="5"/>
      <c r="N285" s="9" t="s">
        <v>3597</v>
      </c>
      <c r="O285" s="9" t="str">
        <f t="shared" si="32"/>
        <v>PDFを開く</v>
      </c>
      <c r="P285" s="9" t="s">
        <v>377</v>
      </c>
    </row>
    <row r="286" spans="1:16" ht="33.950000000000003" customHeight="1">
      <c r="A286" s="2" t="s">
        <v>378</v>
      </c>
      <c r="B286" s="2" t="s">
        <v>73</v>
      </c>
      <c r="C286" s="8" t="s">
        <v>379</v>
      </c>
      <c r="D286" s="2">
        <v>2</v>
      </c>
      <c r="E286" s="8" t="s">
        <v>3176</v>
      </c>
      <c r="F286" s="2" t="s">
        <v>86</v>
      </c>
      <c r="G286" s="2" t="s">
        <v>3177</v>
      </c>
      <c r="H286" s="2" t="s">
        <v>3178</v>
      </c>
      <c r="I286" s="8" t="s">
        <v>3259</v>
      </c>
      <c r="J286" s="2">
        <v>2027</v>
      </c>
      <c r="K286" s="2">
        <v>981</v>
      </c>
      <c r="L286" s="8" t="s">
        <v>3599</v>
      </c>
      <c r="M286" s="2">
        <v>16</v>
      </c>
      <c r="N286" s="8" t="s">
        <v>3600</v>
      </c>
      <c r="O286" s="8" t="str">
        <f t="shared" ref="O286:O294" si="33">HYPERLINK("https://seichotoushi-hojo.jp/assets/pdf/koufu/outline_13.pdf","PDFを開く")</f>
        <v>PDFを開く</v>
      </c>
      <c r="P286" s="8" t="s">
        <v>385</v>
      </c>
    </row>
    <row r="287" spans="1:16" ht="33.950000000000003" customHeight="1">
      <c r="A287" s="5" t="s">
        <v>378</v>
      </c>
      <c r="B287" s="5" t="s">
        <v>73</v>
      </c>
      <c r="C287" s="9" t="s">
        <v>379</v>
      </c>
      <c r="D287" s="5">
        <v>2</v>
      </c>
      <c r="E287" s="9" t="s">
        <v>3176</v>
      </c>
      <c r="F287" s="5" t="s">
        <v>86</v>
      </c>
      <c r="G287" s="5" t="s">
        <v>3177</v>
      </c>
      <c r="H287" s="5" t="s">
        <v>3178</v>
      </c>
      <c r="I287" s="9" t="s">
        <v>3262</v>
      </c>
      <c r="J287" s="5">
        <v>2030</v>
      </c>
      <c r="K287" s="5">
        <v>1531.3</v>
      </c>
      <c r="L287" s="9" t="s">
        <v>3601</v>
      </c>
      <c r="M287" s="5">
        <v>16</v>
      </c>
      <c r="N287" s="9" t="s">
        <v>3600</v>
      </c>
      <c r="O287" s="9" t="str">
        <f t="shared" si="33"/>
        <v>PDFを開く</v>
      </c>
      <c r="P287" s="9" t="s">
        <v>385</v>
      </c>
    </row>
    <row r="288" spans="1:16" ht="33.950000000000003" customHeight="1">
      <c r="A288" s="2" t="s">
        <v>378</v>
      </c>
      <c r="B288" s="2" t="s">
        <v>73</v>
      </c>
      <c r="C288" s="8" t="s">
        <v>379</v>
      </c>
      <c r="D288" s="2">
        <v>2</v>
      </c>
      <c r="E288" s="8" t="s">
        <v>3184</v>
      </c>
      <c r="F288" s="2" t="s">
        <v>86</v>
      </c>
      <c r="G288" s="2" t="s">
        <v>3177</v>
      </c>
      <c r="H288" s="2" t="s">
        <v>3178</v>
      </c>
      <c r="I288" s="8" t="s">
        <v>3259</v>
      </c>
      <c r="J288" s="2">
        <v>2027</v>
      </c>
      <c r="K288" s="2">
        <v>341.5</v>
      </c>
      <c r="L288" s="8" t="s">
        <v>3602</v>
      </c>
      <c r="M288" s="2">
        <v>5</v>
      </c>
      <c r="N288" s="8" t="s">
        <v>3603</v>
      </c>
      <c r="O288" s="8" t="str">
        <f t="shared" si="33"/>
        <v>PDFを開く</v>
      </c>
      <c r="P288" s="8" t="s">
        <v>385</v>
      </c>
    </row>
    <row r="289" spans="1:16" ht="33.950000000000003" customHeight="1">
      <c r="A289" s="5" t="s">
        <v>378</v>
      </c>
      <c r="B289" s="5" t="s">
        <v>73</v>
      </c>
      <c r="C289" s="9" t="s">
        <v>379</v>
      </c>
      <c r="D289" s="5">
        <v>2</v>
      </c>
      <c r="E289" s="9" t="s">
        <v>3184</v>
      </c>
      <c r="F289" s="5" t="s">
        <v>86</v>
      </c>
      <c r="G289" s="5" t="s">
        <v>3177</v>
      </c>
      <c r="H289" s="5" t="s">
        <v>3178</v>
      </c>
      <c r="I289" s="9" t="s">
        <v>3262</v>
      </c>
      <c r="J289" s="5">
        <v>2030</v>
      </c>
      <c r="K289" s="5">
        <v>395.3</v>
      </c>
      <c r="L289" s="9" t="s">
        <v>3604</v>
      </c>
      <c r="M289" s="5">
        <v>5</v>
      </c>
      <c r="N289" s="9" t="s">
        <v>3603</v>
      </c>
      <c r="O289" s="9" t="str">
        <f t="shared" si="33"/>
        <v>PDFを開く</v>
      </c>
      <c r="P289" s="9" t="s">
        <v>385</v>
      </c>
    </row>
    <row r="290" spans="1:16" ht="33.950000000000003" customHeight="1">
      <c r="A290" s="2" t="s">
        <v>378</v>
      </c>
      <c r="B290" s="2" t="s">
        <v>73</v>
      </c>
      <c r="C290" s="8" t="s">
        <v>379</v>
      </c>
      <c r="D290" s="2">
        <v>2</v>
      </c>
      <c r="E290" s="8" t="s">
        <v>3188</v>
      </c>
      <c r="F290" s="2" t="s">
        <v>86</v>
      </c>
      <c r="G290" s="19" t="s">
        <v>3189</v>
      </c>
      <c r="H290" s="2" t="s">
        <v>3178</v>
      </c>
      <c r="I290" s="8"/>
      <c r="J290" s="2"/>
      <c r="K290" s="2"/>
      <c r="L290" s="8"/>
      <c r="M290" s="2">
        <v>5</v>
      </c>
      <c r="N290" s="8" t="s">
        <v>3605</v>
      </c>
      <c r="O290" s="8" t="str">
        <f t="shared" si="33"/>
        <v>PDFを開く</v>
      </c>
      <c r="P290" s="8" t="s">
        <v>385</v>
      </c>
    </row>
    <row r="291" spans="1:16" ht="33.950000000000003" customHeight="1">
      <c r="A291" s="5" t="s">
        <v>378</v>
      </c>
      <c r="B291" s="5" t="s">
        <v>73</v>
      </c>
      <c r="C291" s="9" t="s">
        <v>379</v>
      </c>
      <c r="D291" s="5">
        <v>2</v>
      </c>
      <c r="E291" s="9" t="s">
        <v>3191</v>
      </c>
      <c r="F291" s="5" t="s">
        <v>2513</v>
      </c>
      <c r="G291" s="5" t="s">
        <v>3177</v>
      </c>
      <c r="H291" s="5" t="s">
        <v>3178</v>
      </c>
      <c r="I291" s="9" t="s">
        <v>3259</v>
      </c>
      <c r="J291" s="5">
        <v>2027</v>
      </c>
      <c r="K291" s="5">
        <v>111</v>
      </c>
      <c r="L291" s="9" t="s">
        <v>3606</v>
      </c>
      <c r="M291" s="5"/>
      <c r="N291" s="9" t="s">
        <v>3607</v>
      </c>
      <c r="O291" s="9" t="str">
        <f t="shared" si="33"/>
        <v>PDFを開く</v>
      </c>
      <c r="P291" s="9" t="s">
        <v>385</v>
      </c>
    </row>
    <row r="292" spans="1:16" ht="33.950000000000003" customHeight="1">
      <c r="A292" s="2" t="s">
        <v>378</v>
      </c>
      <c r="B292" s="2" t="s">
        <v>73</v>
      </c>
      <c r="C292" s="8" t="s">
        <v>379</v>
      </c>
      <c r="D292" s="2">
        <v>2</v>
      </c>
      <c r="E292" s="8" t="s">
        <v>3191</v>
      </c>
      <c r="F292" s="2" t="s">
        <v>2513</v>
      </c>
      <c r="G292" s="2" t="s">
        <v>3177</v>
      </c>
      <c r="H292" s="2" t="s">
        <v>3178</v>
      </c>
      <c r="I292" s="8" t="s">
        <v>3262</v>
      </c>
      <c r="J292" s="2">
        <v>2030</v>
      </c>
      <c r="K292" s="2">
        <v>111</v>
      </c>
      <c r="L292" s="8" t="s">
        <v>3606</v>
      </c>
      <c r="M292" s="2"/>
      <c r="N292" s="8" t="s">
        <v>3607</v>
      </c>
      <c r="O292" s="8" t="str">
        <f t="shared" si="33"/>
        <v>PDFを開く</v>
      </c>
      <c r="P292" s="8" t="s">
        <v>385</v>
      </c>
    </row>
    <row r="293" spans="1:16" ht="33.950000000000003" customHeight="1">
      <c r="A293" s="5" t="s">
        <v>378</v>
      </c>
      <c r="B293" s="5" t="s">
        <v>73</v>
      </c>
      <c r="C293" s="9" t="s">
        <v>379</v>
      </c>
      <c r="D293" s="5">
        <v>2</v>
      </c>
      <c r="E293" s="9" t="s">
        <v>3188</v>
      </c>
      <c r="F293" s="5" t="s">
        <v>86</v>
      </c>
      <c r="G293" s="5" t="s">
        <v>3177</v>
      </c>
      <c r="H293" s="5"/>
      <c r="I293" s="9" t="s">
        <v>3608</v>
      </c>
      <c r="J293" s="5">
        <v>2027</v>
      </c>
      <c r="K293" s="5"/>
      <c r="L293" s="9" t="s">
        <v>3211</v>
      </c>
      <c r="M293" s="5">
        <v>5</v>
      </c>
      <c r="N293" s="9" t="s">
        <v>3609</v>
      </c>
      <c r="O293" s="9" t="str">
        <f t="shared" si="33"/>
        <v>PDFを開く</v>
      </c>
      <c r="P293" s="9" t="s">
        <v>385</v>
      </c>
    </row>
    <row r="294" spans="1:16" ht="33.950000000000003" customHeight="1">
      <c r="A294" s="2" t="s">
        <v>378</v>
      </c>
      <c r="B294" s="2" t="s">
        <v>73</v>
      </c>
      <c r="C294" s="8" t="s">
        <v>379</v>
      </c>
      <c r="D294" s="2">
        <v>2</v>
      </c>
      <c r="E294" s="8" t="s">
        <v>3188</v>
      </c>
      <c r="F294" s="2" t="s">
        <v>86</v>
      </c>
      <c r="G294" s="2" t="s">
        <v>3177</v>
      </c>
      <c r="H294" s="2"/>
      <c r="I294" s="8" t="s">
        <v>3610</v>
      </c>
      <c r="J294" s="2">
        <v>2030</v>
      </c>
      <c r="K294" s="2"/>
      <c r="L294" s="8" t="s">
        <v>3611</v>
      </c>
      <c r="M294" s="2">
        <v>5</v>
      </c>
      <c r="N294" s="8" t="s">
        <v>3609</v>
      </c>
      <c r="O294" s="8" t="str">
        <f t="shared" si="33"/>
        <v>PDFを開く</v>
      </c>
      <c r="P294" s="8" t="s">
        <v>385</v>
      </c>
    </row>
    <row r="295" spans="1:16" ht="33.950000000000003" customHeight="1">
      <c r="A295" s="5" t="s">
        <v>386</v>
      </c>
      <c r="B295" s="5" t="s">
        <v>73</v>
      </c>
      <c r="C295" s="9" t="s">
        <v>387</v>
      </c>
      <c r="D295" s="5">
        <v>2</v>
      </c>
      <c r="E295" s="9" t="s">
        <v>3176</v>
      </c>
      <c r="F295" s="5" t="s">
        <v>86</v>
      </c>
      <c r="G295" s="5" t="s">
        <v>3177</v>
      </c>
      <c r="H295" s="5" t="s">
        <v>3178</v>
      </c>
      <c r="I295" s="9" t="s">
        <v>3407</v>
      </c>
      <c r="J295" s="5">
        <v>2025</v>
      </c>
      <c r="K295" s="5">
        <v>7406</v>
      </c>
      <c r="L295" s="9" t="s">
        <v>3612</v>
      </c>
      <c r="M295" s="5">
        <v>19</v>
      </c>
      <c r="N295" s="9" t="s">
        <v>3613</v>
      </c>
      <c r="O295" s="9" t="str">
        <f t="shared" ref="O295:O302" si="34">HYPERLINK("https://seichotoushi-hojo.jp/assets/pdf/koufu/outline_130.pdf","PDFを開く")</f>
        <v>PDFを開く</v>
      </c>
      <c r="P295" s="9" t="s">
        <v>394</v>
      </c>
    </row>
    <row r="296" spans="1:16" ht="33.950000000000003" customHeight="1">
      <c r="A296" s="2" t="s">
        <v>386</v>
      </c>
      <c r="B296" s="2" t="s">
        <v>73</v>
      </c>
      <c r="C296" s="8" t="s">
        <v>387</v>
      </c>
      <c r="D296" s="2">
        <v>2</v>
      </c>
      <c r="E296" s="8" t="s">
        <v>3176</v>
      </c>
      <c r="F296" s="2" t="s">
        <v>86</v>
      </c>
      <c r="G296" s="2" t="s">
        <v>3177</v>
      </c>
      <c r="H296" s="2" t="s">
        <v>3178</v>
      </c>
      <c r="I296" s="8" t="s">
        <v>3335</v>
      </c>
      <c r="J296" s="2">
        <v>2028</v>
      </c>
      <c r="K296" s="2">
        <v>12438</v>
      </c>
      <c r="L296" s="8" t="s">
        <v>3614</v>
      </c>
      <c r="M296" s="2">
        <v>19</v>
      </c>
      <c r="N296" s="8" t="s">
        <v>3613</v>
      </c>
      <c r="O296" s="8" t="str">
        <f t="shared" si="34"/>
        <v>PDFを開く</v>
      </c>
      <c r="P296" s="8" t="s">
        <v>394</v>
      </c>
    </row>
    <row r="297" spans="1:16" ht="33.950000000000003" customHeight="1">
      <c r="A297" s="5" t="s">
        <v>386</v>
      </c>
      <c r="B297" s="5" t="s">
        <v>73</v>
      </c>
      <c r="C297" s="9" t="s">
        <v>387</v>
      </c>
      <c r="D297" s="5">
        <v>2</v>
      </c>
      <c r="E297" s="9" t="s">
        <v>3184</v>
      </c>
      <c r="F297" s="5" t="s">
        <v>86</v>
      </c>
      <c r="G297" s="5" t="s">
        <v>3177</v>
      </c>
      <c r="H297" s="5" t="s">
        <v>3178</v>
      </c>
      <c r="I297" s="9" t="s">
        <v>3407</v>
      </c>
      <c r="J297" s="5">
        <v>2025</v>
      </c>
      <c r="K297" s="5">
        <v>343</v>
      </c>
      <c r="L297" s="9" t="s">
        <v>3615</v>
      </c>
      <c r="M297" s="5">
        <v>6</v>
      </c>
      <c r="N297" s="9" t="s">
        <v>3616</v>
      </c>
      <c r="O297" s="9" t="str">
        <f t="shared" si="34"/>
        <v>PDFを開く</v>
      </c>
      <c r="P297" s="9" t="s">
        <v>394</v>
      </c>
    </row>
    <row r="298" spans="1:16" ht="33.950000000000003" customHeight="1">
      <c r="A298" s="2" t="s">
        <v>386</v>
      </c>
      <c r="B298" s="2" t="s">
        <v>73</v>
      </c>
      <c r="C298" s="8" t="s">
        <v>387</v>
      </c>
      <c r="D298" s="2">
        <v>2</v>
      </c>
      <c r="E298" s="8" t="s">
        <v>3184</v>
      </c>
      <c r="F298" s="2" t="s">
        <v>86</v>
      </c>
      <c r="G298" s="2" t="s">
        <v>3177</v>
      </c>
      <c r="H298" s="2" t="s">
        <v>3178</v>
      </c>
      <c r="I298" s="8" t="s">
        <v>3335</v>
      </c>
      <c r="J298" s="2">
        <v>2028</v>
      </c>
      <c r="K298" s="2">
        <v>410</v>
      </c>
      <c r="L298" s="8" t="s">
        <v>3617</v>
      </c>
      <c r="M298" s="2">
        <v>6</v>
      </c>
      <c r="N298" s="8" t="s">
        <v>3616</v>
      </c>
      <c r="O298" s="8" t="str">
        <f t="shared" si="34"/>
        <v>PDFを開く</v>
      </c>
      <c r="P298" s="8" t="s">
        <v>394</v>
      </c>
    </row>
    <row r="299" spans="1:16" ht="33.950000000000003" customHeight="1">
      <c r="A299" s="5" t="s">
        <v>386</v>
      </c>
      <c r="B299" s="5" t="s">
        <v>73</v>
      </c>
      <c r="C299" s="9" t="s">
        <v>387</v>
      </c>
      <c r="D299" s="5">
        <v>2</v>
      </c>
      <c r="E299" s="9" t="s">
        <v>3188</v>
      </c>
      <c r="F299" s="5" t="s">
        <v>86</v>
      </c>
      <c r="G299" s="5" t="s">
        <v>3177</v>
      </c>
      <c r="H299" s="5" t="s">
        <v>3178</v>
      </c>
      <c r="I299" s="9" t="s">
        <v>3407</v>
      </c>
      <c r="J299" s="5">
        <v>2025</v>
      </c>
      <c r="K299" s="5">
        <v>1095</v>
      </c>
      <c r="L299" s="9" t="s">
        <v>3618</v>
      </c>
      <c r="M299" s="5">
        <v>6.8</v>
      </c>
      <c r="N299" s="9" t="s">
        <v>3619</v>
      </c>
      <c r="O299" s="9" t="str">
        <f t="shared" si="34"/>
        <v>PDFを開く</v>
      </c>
      <c r="P299" s="9" t="s">
        <v>394</v>
      </c>
    </row>
    <row r="300" spans="1:16" ht="33.950000000000003" customHeight="1">
      <c r="A300" s="2" t="s">
        <v>386</v>
      </c>
      <c r="B300" s="2" t="s">
        <v>73</v>
      </c>
      <c r="C300" s="8" t="s">
        <v>387</v>
      </c>
      <c r="D300" s="2">
        <v>2</v>
      </c>
      <c r="E300" s="8" t="s">
        <v>3188</v>
      </c>
      <c r="F300" s="2" t="s">
        <v>86</v>
      </c>
      <c r="G300" s="2" t="s">
        <v>3177</v>
      </c>
      <c r="H300" s="2" t="s">
        <v>3178</v>
      </c>
      <c r="I300" s="8" t="s">
        <v>3335</v>
      </c>
      <c r="J300" s="2">
        <v>2028</v>
      </c>
      <c r="K300" s="2">
        <v>1335</v>
      </c>
      <c r="L300" s="8" t="s">
        <v>3620</v>
      </c>
      <c r="M300" s="2">
        <v>6.8</v>
      </c>
      <c r="N300" s="8" t="s">
        <v>3619</v>
      </c>
      <c r="O300" s="8" t="str">
        <f t="shared" si="34"/>
        <v>PDFを開く</v>
      </c>
      <c r="P300" s="8" t="s">
        <v>394</v>
      </c>
    </row>
    <row r="301" spans="1:16" ht="33.950000000000003" customHeight="1">
      <c r="A301" s="5" t="s">
        <v>386</v>
      </c>
      <c r="B301" s="5" t="s">
        <v>73</v>
      </c>
      <c r="C301" s="9" t="s">
        <v>387</v>
      </c>
      <c r="D301" s="5">
        <v>2</v>
      </c>
      <c r="E301" s="9" t="s">
        <v>3191</v>
      </c>
      <c r="F301" s="5" t="s">
        <v>2513</v>
      </c>
      <c r="G301" s="5" t="s">
        <v>3177</v>
      </c>
      <c r="H301" s="5" t="s">
        <v>3178</v>
      </c>
      <c r="I301" s="9" t="s">
        <v>3407</v>
      </c>
      <c r="J301" s="5">
        <v>2025</v>
      </c>
      <c r="K301" s="5">
        <v>4</v>
      </c>
      <c r="L301" s="9" t="s">
        <v>3621</v>
      </c>
      <c r="M301" s="5"/>
      <c r="N301" s="9" t="s">
        <v>3622</v>
      </c>
      <c r="O301" s="9" t="str">
        <f t="shared" si="34"/>
        <v>PDFを開く</v>
      </c>
      <c r="P301" s="9" t="s">
        <v>394</v>
      </c>
    </row>
    <row r="302" spans="1:16" ht="33.950000000000003" customHeight="1">
      <c r="A302" s="2" t="s">
        <v>386</v>
      </c>
      <c r="B302" s="2" t="s">
        <v>73</v>
      </c>
      <c r="C302" s="8" t="s">
        <v>387</v>
      </c>
      <c r="D302" s="2">
        <v>2</v>
      </c>
      <c r="E302" s="8" t="s">
        <v>3191</v>
      </c>
      <c r="F302" s="2" t="s">
        <v>2513</v>
      </c>
      <c r="G302" s="2" t="s">
        <v>3177</v>
      </c>
      <c r="H302" s="2" t="s">
        <v>3178</v>
      </c>
      <c r="I302" s="8" t="s">
        <v>3335</v>
      </c>
      <c r="J302" s="2">
        <v>2028</v>
      </c>
      <c r="K302" s="2">
        <v>10</v>
      </c>
      <c r="L302" s="8" t="s">
        <v>3623</v>
      </c>
      <c r="M302" s="2"/>
      <c r="N302" s="8" t="s">
        <v>3622</v>
      </c>
      <c r="O302" s="8" t="str">
        <f t="shared" si="34"/>
        <v>PDFを開く</v>
      </c>
      <c r="P302" s="8" t="s">
        <v>394</v>
      </c>
    </row>
    <row r="303" spans="1:16" ht="33.950000000000003" customHeight="1">
      <c r="A303" s="5" t="s">
        <v>395</v>
      </c>
      <c r="B303" s="5" t="s">
        <v>73</v>
      </c>
      <c r="C303" s="9" t="s">
        <v>396</v>
      </c>
      <c r="D303" s="5">
        <v>2</v>
      </c>
      <c r="E303" s="9" t="s">
        <v>3176</v>
      </c>
      <c r="F303" s="5" t="s">
        <v>86</v>
      </c>
      <c r="G303" s="5" t="s">
        <v>3177</v>
      </c>
      <c r="H303" s="5" t="s">
        <v>3178</v>
      </c>
      <c r="I303" s="9" t="s">
        <v>3179</v>
      </c>
      <c r="J303" s="5">
        <v>2026</v>
      </c>
      <c r="K303" s="5">
        <v>403</v>
      </c>
      <c r="L303" s="9" t="s">
        <v>3624</v>
      </c>
      <c r="M303" s="5">
        <v>52.2</v>
      </c>
      <c r="N303" s="9" t="s">
        <v>3625</v>
      </c>
      <c r="O303" s="9" t="str">
        <f t="shared" ref="O303:O310" si="35">HYPERLINK("https://seichotoushi-hojo.jp/assets/pdf/koufu/outline_131.pdf","PDFを開く")</f>
        <v>PDFを開く</v>
      </c>
      <c r="P303" s="9" t="s">
        <v>403</v>
      </c>
    </row>
    <row r="304" spans="1:16" ht="33.950000000000003" customHeight="1">
      <c r="A304" s="2" t="s">
        <v>395</v>
      </c>
      <c r="B304" s="2" t="s">
        <v>73</v>
      </c>
      <c r="C304" s="8" t="s">
        <v>396</v>
      </c>
      <c r="D304" s="2">
        <v>2</v>
      </c>
      <c r="E304" s="8" t="s">
        <v>3176</v>
      </c>
      <c r="F304" s="2" t="s">
        <v>86</v>
      </c>
      <c r="G304" s="2" t="s">
        <v>3177</v>
      </c>
      <c r="H304" s="2" t="s">
        <v>3178</v>
      </c>
      <c r="I304" s="8" t="s">
        <v>3182</v>
      </c>
      <c r="J304" s="2">
        <v>2029</v>
      </c>
      <c r="K304" s="2">
        <v>1420</v>
      </c>
      <c r="L304" s="8" t="s">
        <v>3626</v>
      </c>
      <c r="M304" s="2">
        <v>52.2</v>
      </c>
      <c r="N304" s="8" t="s">
        <v>3625</v>
      </c>
      <c r="O304" s="8" t="str">
        <f t="shared" si="35"/>
        <v>PDFを開く</v>
      </c>
      <c r="P304" s="8" t="s">
        <v>403</v>
      </c>
    </row>
    <row r="305" spans="1:16" ht="33.950000000000003" customHeight="1">
      <c r="A305" s="5" t="s">
        <v>395</v>
      </c>
      <c r="B305" s="5" t="s">
        <v>73</v>
      </c>
      <c r="C305" s="9" t="s">
        <v>396</v>
      </c>
      <c r="D305" s="5">
        <v>2</v>
      </c>
      <c r="E305" s="9" t="s">
        <v>3184</v>
      </c>
      <c r="F305" s="5" t="s">
        <v>86</v>
      </c>
      <c r="G305" s="5" t="s">
        <v>3177</v>
      </c>
      <c r="H305" s="5" t="s">
        <v>3178</v>
      </c>
      <c r="I305" s="9" t="s">
        <v>3179</v>
      </c>
      <c r="J305" s="5">
        <v>2026</v>
      </c>
      <c r="K305" s="5">
        <v>408</v>
      </c>
      <c r="L305" s="9" t="s">
        <v>3627</v>
      </c>
      <c r="M305" s="5">
        <v>9.6</v>
      </c>
      <c r="N305" s="9" t="s">
        <v>3628</v>
      </c>
      <c r="O305" s="9" t="str">
        <f t="shared" si="35"/>
        <v>PDFを開く</v>
      </c>
      <c r="P305" s="9" t="s">
        <v>403</v>
      </c>
    </row>
    <row r="306" spans="1:16" ht="33.950000000000003" customHeight="1">
      <c r="A306" s="2" t="s">
        <v>395</v>
      </c>
      <c r="B306" s="2" t="s">
        <v>73</v>
      </c>
      <c r="C306" s="8" t="s">
        <v>396</v>
      </c>
      <c r="D306" s="2">
        <v>2</v>
      </c>
      <c r="E306" s="8" t="s">
        <v>3184</v>
      </c>
      <c r="F306" s="2" t="s">
        <v>86</v>
      </c>
      <c r="G306" s="2" t="s">
        <v>3177</v>
      </c>
      <c r="H306" s="2" t="s">
        <v>3178</v>
      </c>
      <c r="I306" s="8" t="s">
        <v>3182</v>
      </c>
      <c r="J306" s="2">
        <v>2029</v>
      </c>
      <c r="K306" s="2">
        <v>536</v>
      </c>
      <c r="L306" s="8" t="s">
        <v>3411</v>
      </c>
      <c r="M306" s="2">
        <v>9.6</v>
      </c>
      <c r="N306" s="8" t="s">
        <v>3628</v>
      </c>
      <c r="O306" s="8" t="str">
        <f t="shared" si="35"/>
        <v>PDFを開く</v>
      </c>
      <c r="P306" s="8" t="s">
        <v>403</v>
      </c>
    </row>
    <row r="307" spans="1:16" ht="33.950000000000003" customHeight="1">
      <c r="A307" s="5" t="s">
        <v>395</v>
      </c>
      <c r="B307" s="5" t="s">
        <v>73</v>
      </c>
      <c r="C307" s="9" t="s">
        <v>396</v>
      </c>
      <c r="D307" s="5">
        <v>2</v>
      </c>
      <c r="E307" s="9" t="s">
        <v>3188</v>
      </c>
      <c r="F307" s="5" t="s">
        <v>86</v>
      </c>
      <c r="G307" s="5" t="s">
        <v>3177</v>
      </c>
      <c r="H307" s="5" t="s">
        <v>3178</v>
      </c>
      <c r="I307" s="9" t="s">
        <v>3179</v>
      </c>
      <c r="J307" s="5">
        <v>2026</v>
      </c>
      <c r="K307" s="5">
        <v>400</v>
      </c>
      <c r="L307" s="9" t="s">
        <v>3400</v>
      </c>
      <c r="M307" s="5">
        <v>4.8</v>
      </c>
      <c r="N307" s="9" t="s">
        <v>3629</v>
      </c>
      <c r="O307" s="9" t="str">
        <f t="shared" si="35"/>
        <v>PDFを開く</v>
      </c>
      <c r="P307" s="9" t="s">
        <v>403</v>
      </c>
    </row>
    <row r="308" spans="1:16" ht="33.950000000000003" customHeight="1">
      <c r="A308" s="2" t="s">
        <v>395</v>
      </c>
      <c r="B308" s="2" t="s">
        <v>73</v>
      </c>
      <c r="C308" s="8" t="s">
        <v>396</v>
      </c>
      <c r="D308" s="2">
        <v>2</v>
      </c>
      <c r="E308" s="8" t="s">
        <v>3188</v>
      </c>
      <c r="F308" s="2" t="s">
        <v>86</v>
      </c>
      <c r="G308" s="2" t="s">
        <v>3177</v>
      </c>
      <c r="H308" s="2" t="s">
        <v>3178</v>
      </c>
      <c r="I308" s="8" t="s">
        <v>3182</v>
      </c>
      <c r="J308" s="2">
        <v>2029</v>
      </c>
      <c r="K308" s="2">
        <v>460</v>
      </c>
      <c r="L308" s="8" t="s">
        <v>3630</v>
      </c>
      <c r="M308" s="2">
        <v>4.8</v>
      </c>
      <c r="N308" s="8" t="s">
        <v>3629</v>
      </c>
      <c r="O308" s="8" t="str">
        <f t="shared" si="35"/>
        <v>PDFを開く</v>
      </c>
      <c r="P308" s="8" t="s">
        <v>403</v>
      </c>
    </row>
    <row r="309" spans="1:16" ht="33.950000000000003" customHeight="1">
      <c r="A309" s="5" t="s">
        <v>395</v>
      </c>
      <c r="B309" s="5" t="s">
        <v>73</v>
      </c>
      <c r="C309" s="9" t="s">
        <v>396</v>
      </c>
      <c r="D309" s="5">
        <v>2</v>
      </c>
      <c r="E309" s="9" t="s">
        <v>3191</v>
      </c>
      <c r="F309" s="5" t="s">
        <v>2513</v>
      </c>
      <c r="G309" s="5" t="s">
        <v>3177</v>
      </c>
      <c r="H309" s="5" t="s">
        <v>3178</v>
      </c>
      <c r="I309" s="9" t="s">
        <v>3179</v>
      </c>
      <c r="J309" s="5">
        <v>2026</v>
      </c>
      <c r="K309" s="5">
        <v>76</v>
      </c>
      <c r="L309" s="9" t="s">
        <v>3631</v>
      </c>
      <c r="M309" s="5">
        <v>26</v>
      </c>
      <c r="N309" s="9" t="s">
        <v>3632</v>
      </c>
      <c r="O309" s="9" t="str">
        <f t="shared" si="35"/>
        <v>PDFを開く</v>
      </c>
      <c r="P309" s="9" t="s">
        <v>403</v>
      </c>
    </row>
    <row r="310" spans="1:16" ht="33.950000000000003" customHeight="1">
      <c r="A310" s="2" t="s">
        <v>395</v>
      </c>
      <c r="B310" s="2" t="s">
        <v>73</v>
      </c>
      <c r="C310" s="8" t="s">
        <v>396</v>
      </c>
      <c r="D310" s="2">
        <v>2</v>
      </c>
      <c r="E310" s="8" t="s">
        <v>3191</v>
      </c>
      <c r="F310" s="2" t="s">
        <v>2513</v>
      </c>
      <c r="G310" s="2" t="s">
        <v>3177</v>
      </c>
      <c r="H310" s="2" t="s">
        <v>3178</v>
      </c>
      <c r="I310" s="8" t="s">
        <v>3182</v>
      </c>
      <c r="J310" s="2">
        <v>2029</v>
      </c>
      <c r="K310" s="2">
        <v>152</v>
      </c>
      <c r="L310" s="8" t="s">
        <v>3633</v>
      </c>
      <c r="M310" s="2">
        <v>26</v>
      </c>
      <c r="N310" s="8" t="s">
        <v>3632</v>
      </c>
      <c r="O310" s="8" t="str">
        <f t="shared" si="35"/>
        <v>PDFを開く</v>
      </c>
      <c r="P310" s="8" t="s">
        <v>403</v>
      </c>
    </row>
    <row r="311" spans="1:16" ht="33.950000000000003" customHeight="1">
      <c r="A311" s="5" t="s">
        <v>404</v>
      </c>
      <c r="B311" s="5" t="s">
        <v>73</v>
      </c>
      <c r="C311" s="9" t="s">
        <v>405</v>
      </c>
      <c r="D311" s="5">
        <v>2</v>
      </c>
      <c r="E311" s="9" t="s">
        <v>3176</v>
      </c>
      <c r="F311" s="5" t="s">
        <v>86</v>
      </c>
      <c r="G311" s="5" t="s">
        <v>3177</v>
      </c>
      <c r="H311" s="5" t="s">
        <v>3178</v>
      </c>
      <c r="I311" s="9" t="s">
        <v>3179</v>
      </c>
      <c r="J311" s="5">
        <v>2026</v>
      </c>
      <c r="K311" s="5">
        <v>1406</v>
      </c>
      <c r="L311" s="9" t="s">
        <v>3634</v>
      </c>
      <c r="M311" s="5">
        <v>36.299999999999997</v>
      </c>
      <c r="N311" s="9" t="s">
        <v>3635</v>
      </c>
      <c r="O311" s="9" t="str">
        <f t="shared" ref="O311:O317" si="36">HYPERLINK("https://seichotoushi-hojo.jp/assets/pdf/koufu/outline_132.pdf","PDFを開く")</f>
        <v>PDFを開く</v>
      </c>
      <c r="P311" s="9" t="s">
        <v>411</v>
      </c>
    </row>
    <row r="312" spans="1:16" ht="33.950000000000003" customHeight="1">
      <c r="A312" s="2" t="s">
        <v>404</v>
      </c>
      <c r="B312" s="2" t="s">
        <v>73</v>
      </c>
      <c r="C312" s="8" t="s">
        <v>405</v>
      </c>
      <c r="D312" s="2">
        <v>2</v>
      </c>
      <c r="E312" s="8" t="s">
        <v>3176</v>
      </c>
      <c r="F312" s="2" t="s">
        <v>86</v>
      </c>
      <c r="G312" s="2" t="s">
        <v>3177</v>
      </c>
      <c r="H312" s="2" t="s">
        <v>3178</v>
      </c>
      <c r="I312" s="8" t="s">
        <v>3182</v>
      </c>
      <c r="J312" s="2">
        <v>2029</v>
      </c>
      <c r="K312" s="2">
        <v>3561</v>
      </c>
      <c r="L312" s="8" t="s">
        <v>3636</v>
      </c>
      <c r="M312" s="2">
        <v>36.299999999999997</v>
      </c>
      <c r="N312" s="8" t="s">
        <v>3635</v>
      </c>
      <c r="O312" s="8" t="str">
        <f t="shared" si="36"/>
        <v>PDFを開く</v>
      </c>
      <c r="P312" s="8" t="s">
        <v>411</v>
      </c>
    </row>
    <row r="313" spans="1:16" ht="33.950000000000003" customHeight="1">
      <c r="A313" s="5" t="s">
        <v>404</v>
      </c>
      <c r="B313" s="5" t="s">
        <v>73</v>
      </c>
      <c r="C313" s="9" t="s">
        <v>405</v>
      </c>
      <c r="D313" s="5">
        <v>2</v>
      </c>
      <c r="E313" s="9" t="s">
        <v>3184</v>
      </c>
      <c r="F313" s="5" t="s">
        <v>86</v>
      </c>
      <c r="G313" s="5" t="s">
        <v>3177</v>
      </c>
      <c r="H313" s="5" t="s">
        <v>3178</v>
      </c>
      <c r="I313" s="9" t="s">
        <v>3179</v>
      </c>
      <c r="J313" s="5">
        <v>2026</v>
      </c>
      <c r="K313" s="5">
        <v>560</v>
      </c>
      <c r="L313" s="9" t="s">
        <v>3637</v>
      </c>
      <c r="M313" s="5">
        <v>5.4</v>
      </c>
      <c r="N313" s="9" t="s">
        <v>3638</v>
      </c>
      <c r="O313" s="9" t="str">
        <f t="shared" si="36"/>
        <v>PDFを開く</v>
      </c>
      <c r="P313" s="9" t="s">
        <v>411</v>
      </c>
    </row>
    <row r="314" spans="1:16" ht="33.950000000000003" customHeight="1">
      <c r="A314" s="2" t="s">
        <v>404</v>
      </c>
      <c r="B314" s="2" t="s">
        <v>73</v>
      </c>
      <c r="C314" s="8" t="s">
        <v>405</v>
      </c>
      <c r="D314" s="2">
        <v>2</v>
      </c>
      <c r="E314" s="8" t="s">
        <v>3184</v>
      </c>
      <c r="F314" s="2" t="s">
        <v>86</v>
      </c>
      <c r="G314" s="2" t="s">
        <v>3177</v>
      </c>
      <c r="H314" s="2" t="s">
        <v>3178</v>
      </c>
      <c r="I314" s="8" t="s">
        <v>3182</v>
      </c>
      <c r="J314" s="2">
        <v>2029</v>
      </c>
      <c r="K314" s="2">
        <v>655</v>
      </c>
      <c r="L314" s="8" t="s">
        <v>3639</v>
      </c>
      <c r="M314" s="2">
        <v>5.4</v>
      </c>
      <c r="N314" s="8" t="s">
        <v>3638</v>
      </c>
      <c r="O314" s="8" t="str">
        <f t="shared" si="36"/>
        <v>PDFを開く</v>
      </c>
      <c r="P314" s="8" t="s">
        <v>411</v>
      </c>
    </row>
    <row r="315" spans="1:16" ht="33.950000000000003" customHeight="1">
      <c r="A315" s="5" t="s">
        <v>404</v>
      </c>
      <c r="B315" s="5" t="s">
        <v>73</v>
      </c>
      <c r="C315" s="9" t="s">
        <v>405</v>
      </c>
      <c r="D315" s="5">
        <v>2</v>
      </c>
      <c r="E315" s="9" t="s">
        <v>3188</v>
      </c>
      <c r="F315" s="5" t="s">
        <v>86</v>
      </c>
      <c r="G315" s="19" t="s">
        <v>3189</v>
      </c>
      <c r="H315" s="5" t="s">
        <v>3178</v>
      </c>
      <c r="I315" s="9"/>
      <c r="J315" s="5"/>
      <c r="K315" s="5"/>
      <c r="L315" s="9"/>
      <c r="M315" s="5"/>
      <c r="N315" s="9" t="s">
        <v>3640</v>
      </c>
      <c r="O315" s="9" t="str">
        <f t="shared" si="36"/>
        <v>PDFを開く</v>
      </c>
      <c r="P315" s="9" t="s">
        <v>411</v>
      </c>
    </row>
    <row r="316" spans="1:16" ht="33.950000000000003" customHeight="1">
      <c r="A316" s="2" t="s">
        <v>404</v>
      </c>
      <c r="B316" s="2" t="s">
        <v>73</v>
      </c>
      <c r="C316" s="8" t="s">
        <v>405</v>
      </c>
      <c r="D316" s="2">
        <v>2</v>
      </c>
      <c r="E316" s="8" t="s">
        <v>3191</v>
      </c>
      <c r="F316" s="2" t="s">
        <v>2513</v>
      </c>
      <c r="G316" s="2" t="s">
        <v>3177</v>
      </c>
      <c r="H316" s="2" t="s">
        <v>3178</v>
      </c>
      <c r="I316" s="8" t="s">
        <v>3179</v>
      </c>
      <c r="J316" s="2">
        <v>2026</v>
      </c>
      <c r="K316" s="2">
        <v>10</v>
      </c>
      <c r="L316" s="8" t="s">
        <v>3623</v>
      </c>
      <c r="M316" s="2"/>
      <c r="N316" s="8" t="s">
        <v>3641</v>
      </c>
      <c r="O316" s="8" t="str">
        <f t="shared" si="36"/>
        <v>PDFを開く</v>
      </c>
      <c r="P316" s="8" t="s">
        <v>411</v>
      </c>
    </row>
    <row r="317" spans="1:16" ht="33.950000000000003" customHeight="1">
      <c r="A317" s="5" t="s">
        <v>404</v>
      </c>
      <c r="B317" s="5" t="s">
        <v>73</v>
      </c>
      <c r="C317" s="9" t="s">
        <v>405</v>
      </c>
      <c r="D317" s="5">
        <v>2</v>
      </c>
      <c r="E317" s="9" t="s">
        <v>3191</v>
      </c>
      <c r="F317" s="5" t="s">
        <v>2513</v>
      </c>
      <c r="G317" s="5" t="s">
        <v>3177</v>
      </c>
      <c r="H317" s="5" t="s">
        <v>3178</v>
      </c>
      <c r="I317" s="9" t="s">
        <v>3182</v>
      </c>
      <c r="J317" s="5">
        <v>2029</v>
      </c>
      <c r="K317" s="5">
        <v>65</v>
      </c>
      <c r="L317" s="9" t="s">
        <v>3642</v>
      </c>
      <c r="M317" s="5"/>
      <c r="N317" s="9" t="s">
        <v>3641</v>
      </c>
      <c r="O317" s="9" t="str">
        <f t="shared" si="36"/>
        <v>PDFを開く</v>
      </c>
      <c r="P317" s="9" t="s">
        <v>411</v>
      </c>
    </row>
    <row r="318" spans="1:16" ht="33.950000000000003" customHeight="1">
      <c r="A318" s="2" t="s">
        <v>412</v>
      </c>
      <c r="B318" s="2" t="s">
        <v>73</v>
      </c>
      <c r="C318" s="8" t="s">
        <v>413</v>
      </c>
      <c r="D318" s="2">
        <v>2</v>
      </c>
      <c r="E318" s="8" t="s">
        <v>3176</v>
      </c>
      <c r="F318" s="2"/>
      <c r="G318" s="19" t="s">
        <v>3494</v>
      </c>
      <c r="H318" s="2" t="s">
        <v>3178</v>
      </c>
      <c r="I318" s="8" t="s">
        <v>3546</v>
      </c>
      <c r="J318" s="2">
        <v>2027</v>
      </c>
      <c r="K318" s="2">
        <v>1337</v>
      </c>
      <c r="L318" s="8" t="s">
        <v>3643</v>
      </c>
      <c r="M318" s="2">
        <v>28.1</v>
      </c>
      <c r="N318" s="8" t="s">
        <v>3644</v>
      </c>
      <c r="O318" s="8" t="str">
        <f t="shared" ref="O318:O341" si="37">HYPERLINK("https://seichotoushi-hojo.jp/assets/pdf/koufu/outline_134.pdf","PDFを開く")</f>
        <v>PDFを開く</v>
      </c>
      <c r="P318" s="8" t="s">
        <v>422</v>
      </c>
    </row>
    <row r="319" spans="1:16" ht="33.950000000000003" customHeight="1">
      <c r="A319" s="5" t="s">
        <v>412</v>
      </c>
      <c r="B319" s="5" t="s">
        <v>73</v>
      </c>
      <c r="C319" s="9" t="s">
        <v>413</v>
      </c>
      <c r="D319" s="5">
        <v>2</v>
      </c>
      <c r="E319" s="9" t="s">
        <v>3176</v>
      </c>
      <c r="F319" s="5"/>
      <c r="G319" s="19" t="s">
        <v>3494</v>
      </c>
      <c r="H319" s="5" t="s">
        <v>3178</v>
      </c>
      <c r="I319" s="9" t="s">
        <v>3645</v>
      </c>
      <c r="J319" s="5">
        <v>2030</v>
      </c>
      <c r="K319" s="5">
        <v>2814</v>
      </c>
      <c r="L319" s="9" t="s">
        <v>3646</v>
      </c>
      <c r="M319" s="5">
        <v>28.1</v>
      </c>
      <c r="N319" s="9" t="s">
        <v>3644</v>
      </c>
      <c r="O319" s="9" t="str">
        <f t="shared" si="37"/>
        <v>PDFを開く</v>
      </c>
      <c r="P319" s="9" t="s">
        <v>422</v>
      </c>
    </row>
    <row r="320" spans="1:16" ht="33.950000000000003" customHeight="1">
      <c r="A320" s="2" t="s">
        <v>412</v>
      </c>
      <c r="B320" s="2" t="s">
        <v>73</v>
      </c>
      <c r="C320" s="8" t="s">
        <v>413</v>
      </c>
      <c r="D320" s="2">
        <v>2</v>
      </c>
      <c r="E320" s="8" t="s">
        <v>3176</v>
      </c>
      <c r="F320" s="2"/>
      <c r="G320" s="19" t="s">
        <v>3494</v>
      </c>
      <c r="H320" s="2" t="s">
        <v>3178</v>
      </c>
      <c r="I320" s="8" t="s">
        <v>3546</v>
      </c>
      <c r="J320" s="2">
        <v>2027</v>
      </c>
      <c r="K320" s="2">
        <v>1148</v>
      </c>
      <c r="L320" s="8" t="s">
        <v>3647</v>
      </c>
      <c r="M320" s="2">
        <v>28.1</v>
      </c>
      <c r="N320" s="8" t="s">
        <v>3644</v>
      </c>
      <c r="O320" s="8" t="str">
        <f t="shared" si="37"/>
        <v>PDFを開く</v>
      </c>
      <c r="P320" s="8" t="s">
        <v>422</v>
      </c>
    </row>
    <row r="321" spans="1:16" ht="33.950000000000003" customHeight="1">
      <c r="A321" s="5" t="s">
        <v>412</v>
      </c>
      <c r="B321" s="5" t="s">
        <v>73</v>
      </c>
      <c r="C321" s="9" t="s">
        <v>413</v>
      </c>
      <c r="D321" s="5">
        <v>2</v>
      </c>
      <c r="E321" s="9" t="s">
        <v>3176</v>
      </c>
      <c r="F321" s="5"/>
      <c r="G321" s="19" t="s">
        <v>3494</v>
      </c>
      <c r="H321" s="5" t="s">
        <v>3178</v>
      </c>
      <c r="I321" s="9" t="s">
        <v>3645</v>
      </c>
      <c r="J321" s="5">
        <v>2030</v>
      </c>
      <c r="K321" s="5">
        <v>2356</v>
      </c>
      <c r="L321" s="9" t="s">
        <v>3648</v>
      </c>
      <c r="M321" s="5">
        <v>28.1</v>
      </c>
      <c r="N321" s="9" t="s">
        <v>3644</v>
      </c>
      <c r="O321" s="9" t="str">
        <f t="shared" si="37"/>
        <v>PDFを開く</v>
      </c>
      <c r="P321" s="9" t="s">
        <v>422</v>
      </c>
    </row>
    <row r="322" spans="1:16" ht="33.950000000000003" customHeight="1">
      <c r="A322" s="2" t="s">
        <v>412</v>
      </c>
      <c r="B322" s="2" t="s">
        <v>73</v>
      </c>
      <c r="C322" s="8" t="s">
        <v>413</v>
      </c>
      <c r="D322" s="2">
        <v>2</v>
      </c>
      <c r="E322" s="8" t="s">
        <v>3184</v>
      </c>
      <c r="F322" s="2"/>
      <c r="G322" s="19" t="s">
        <v>3494</v>
      </c>
      <c r="H322" s="2" t="s">
        <v>3178</v>
      </c>
      <c r="I322" s="8" t="s">
        <v>3546</v>
      </c>
      <c r="J322" s="2">
        <v>2027</v>
      </c>
      <c r="K322" s="2">
        <v>555</v>
      </c>
      <c r="L322" s="8" t="s">
        <v>3649</v>
      </c>
      <c r="M322" s="2">
        <v>5</v>
      </c>
      <c r="N322" s="8" t="s">
        <v>3650</v>
      </c>
      <c r="O322" s="8" t="str">
        <f t="shared" si="37"/>
        <v>PDFを開く</v>
      </c>
      <c r="P322" s="8" t="s">
        <v>422</v>
      </c>
    </row>
    <row r="323" spans="1:16" ht="33.950000000000003" customHeight="1">
      <c r="A323" s="5" t="s">
        <v>412</v>
      </c>
      <c r="B323" s="5" t="s">
        <v>73</v>
      </c>
      <c r="C323" s="9" t="s">
        <v>413</v>
      </c>
      <c r="D323" s="5">
        <v>2</v>
      </c>
      <c r="E323" s="9" t="s">
        <v>3184</v>
      </c>
      <c r="F323" s="5"/>
      <c r="G323" s="19" t="s">
        <v>3494</v>
      </c>
      <c r="H323" s="5" t="s">
        <v>3178</v>
      </c>
      <c r="I323" s="9" t="s">
        <v>3645</v>
      </c>
      <c r="J323" s="5">
        <v>2030</v>
      </c>
      <c r="K323" s="5">
        <v>642</v>
      </c>
      <c r="L323" s="9" t="s">
        <v>3651</v>
      </c>
      <c r="M323" s="5">
        <v>5</v>
      </c>
      <c r="N323" s="9" t="s">
        <v>3650</v>
      </c>
      <c r="O323" s="9" t="str">
        <f t="shared" si="37"/>
        <v>PDFを開く</v>
      </c>
      <c r="P323" s="9" t="s">
        <v>422</v>
      </c>
    </row>
    <row r="324" spans="1:16" ht="33.950000000000003" customHeight="1">
      <c r="A324" s="2" t="s">
        <v>412</v>
      </c>
      <c r="B324" s="2" t="s">
        <v>73</v>
      </c>
      <c r="C324" s="8" t="s">
        <v>413</v>
      </c>
      <c r="D324" s="2">
        <v>2</v>
      </c>
      <c r="E324" s="8" t="s">
        <v>3184</v>
      </c>
      <c r="F324" s="2"/>
      <c r="G324" s="19" t="s">
        <v>3494</v>
      </c>
      <c r="H324" s="2" t="s">
        <v>3178</v>
      </c>
      <c r="I324" s="8" t="s">
        <v>3546</v>
      </c>
      <c r="J324" s="2">
        <v>2027</v>
      </c>
      <c r="K324" s="2">
        <v>597</v>
      </c>
      <c r="L324" s="8" t="s">
        <v>3652</v>
      </c>
      <c r="M324" s="2">
        <v>5</v>
      </c>
      <c r="N324" s="8" t="s">
        <v>3650</v>
      </c>
      <c r="O324" s="8" t="str">
        <f t="shared" si="37"/>
        <v>PDFを開く</v>
      </c>
      <c r="P324" s="8" t="s">
        <v>422</v>
      </c>
    </row>
    <row r="325" spans="1:16" ht="33.950000000000003" customHeight="1">
      <c r="A325" s="5" t="s">
        <v>412</v>
      </c>
      <c r="B325" s="5" t="s">
        <v>73</v>
      </c>
      <c r="C325" s="9" t="s">
        <v>413</v>
      </c>
      <c r="D325" s="5">
        <v>2</v>
      </c>
      <c r="E325" s="9" t="s">
        <v>3184</v>
      </c>
      <c r="F325" s="5"/>
      <c r="G325" s="19" t="s">
        <v>3494</v>
      </c>
      <c r="H325" s="5" t="s">
        <v>3178</v>
      </c>
      <c r="I325" s="9" t="s">
        <v>3645</v>
      </c>
      <c r="J325" s="5">
        <v>2030</v>
      </c>
      <c r="K325" s="5">
        <v>691</v>
      </c>
      <c r="L325" s="9" t="s">
        <v>3653</v>
      </c>
      <c r="M325" s="5">
        <v>5</v>
      </c>
      <c r="N325" s="9" t="s">
        <v>3650</v>
      </c>
      <c r="O325" s="9" t="str">
        <f t="shared" si="37"/>
        <v>PDFを開く</v>
      </c>
      <c r="P325" s="9" t="s">
        <v>422</v>
      </c>
    </row>
    <row r="326" spans="1:16" ht="33.950000000000003" customHeight="1">
      <c r="A326" s="2" t="s">
        <v>412</v>
      </c>
      <c r="B326" s="2" t="s">
        <v>73</v>
      </c>
      <c r="C326" s="8" t="s">
        <v>413</v>
      </c>
      <c r="D326" s="2">
        <v>2</v>
      </c>
      <c r="E326" s="8" t="s">
        <v>3188</v>
      </c>
      <c r="F326" s="2"/>
      <c r="G326" s="19" t="s">
        <v>3494</v>
      </c>
      <c r="H326" s="2" t="s">
        <v>3178</v>
      </c>
      <c r="I326" s="8" t="s">
        <v>3546</v>
      </c>
      <c r="J326" s="2">
        <v>2027</v>
      </c>
      <c r="K326" s="2">
        <v>1428</v>
      </c>
      <c r="L326" s="8" t="s">
        <v>3570</v>
      </c>
      <c r="M326" s="2">
        <v>5</v>
      </c>
      <c r="N326" s="8" t="s">
        <v>3654</v>
      </c>
      <c r="O326" s="8" t="str">
        <f t="shared" si="37"/>
        <v>PDFを開く</v>
      </c>
      <c r="P326" s="8" t="s">
        <v>422</v>
      </c>
    </row>
    <row r="327" spans="1:16" ht="33.950000000000003" customHeight="1">
      <c r="A327" s="5" t="s">
        <v>412</v>
      </c>
      <c r="B327" s="5" t="s">
        <v>73</v>
      </c>
      <c r="C327" s="9" t="s">
        <v>413</v>
      </c>
      <c r="D327" s="5">
        <v>2</v>
      </c>
      <c r="E327" s="9" t="s">
        <v>3188</v>
      </c>
      <c r="F327" s="5"/>
      <c r="G327" s="19" t="s">
        <v>3494</v>
      </c>
      <c r="H327" s="5" t="s">
        <v>3178</v>
      </c>
      <c r="I327" s="9" t="s">
        <v>3645</v>
      </c>
      <c r="J327" s="5">
        <v>2030</v>
      </c>
      <c r="K327" s="5">
        <v>1653</v>
      </c>
      <c r="L327" s="9" t="s">
        <v>3655</v>
      </c>
      <c r="M327" s="5">
        <v>5</v>
      </c>
      <c r="N327" s="9" t="s">
        <v>3654</v>
      </c>
      <c r="O327" s="9" t="str">
        <f t="shared" si="37"/>
        <v>PDFを開く</v>
      </c>
      <c r="P327" s="9" t="s">
        <v>422</v>
      </c>
    </row>
    <row r="328" spans="1:16" ht="33.950000000000003" customHeight="1">
      <c r="A328" s="2" t="s">
        <v>412</v>
      </c>
      <c r="B328" s="2" t="s">
        <v>73</v>
      </c>
      <c r="C328" s="8" t="s">
        <v>413</v>
      </c>
      <c r="D328" s="2">
        <v>2</v>
      </c>
      <c r="E328" s="8" t="s">
        <v>3188</v>
      </c>
      <c r="F328" s="2"/>
      <c r="G328" s="19" t="s">
        <v>3494</v>
      </c>
      <c r="H328" s="2" t="s">
        <v>3178</v>
      </c>
      <c r="I328" s="8" t="s">
        <v>3546</v>
      </c>
      <c r="J328" s="2">
        <v>2027</v>
      </c>
      <c r="K328" s="2">
        <v>1154</v>
      </c>
      <c r="L328" s="8" t="s">
        <v>3656</v>
      </c>
      <c r="M328" s="2">
        <v>5</v>
      </c>
      <c r="N328" s="8" t="s">
        <v>3654</v>
      </c>
      <c r="O328" s="8" t="str">
        <f t="shared" si="37"/>
        <v>PDFを開く</v>
      </c>
      <c r="P328" s="8" t="s">
        <v>422</v>
      </c>
    </row>
    <row r="329" spans="1:16" ht="33.950000000000003" customHeight="1">
      <c r="A329" s="5" t="s">
        <v>412</v>
      </c>
      <c r="B329" s="5" t="s">
        <v>73</v>
      </c>
      <c r="C329" s="9" t="s">
        <v>413</v>
      </c>
      <c r="D329" s="5">
        <v>2</v>
      </c>
      <c r="E329" s="9" t="s">
        <v>3188</v>
      </c>
      <c r="F329" s="5"/>
      <c r="G329" s="19" t="s">
        <v>3494</v>
      </c>
      <c r="H329" s="5" t="s">
        <v>3178</v>
      </c>
      <c r="I329" s="9" t="s">
        <v>3645</v>
      </c>
      <c r="J329" s="5">
        <v>2030</v>
      </c>
      <c r="K329" s="5">
        <v>1336</v>
      </c>
      <c r="L329" s="9" t="s">
        <v>3538</v>
      </c>
      <c r="M329" s="5">
        <v>5</v>
      </c>
      <c r="N329" s="9" t="s">
        <v>3654</v>
      </c>
      <c r="O329" s="9" t="str">
        <f t="shared" si="37"/>
        <v>PDFを開く</v>
      </c>
      <c r="P329" s="9" t="s">
        <v>422</v>
      </c>
    </row>
    <row r="330" spans="1:16" ht="33.950000000000003" customHeight="1">
      <c r="A330" s="2" t="s">
        <v>412</v>
      </c>
      <c r="B330" s="2" t="s">
        <v>73</v>
      </c>
      <c r="C330" s="8" t="s">
        <v>413</v>
      </c>
      <c r="D330" s="2">
        <v>2</v>
      </c>
      <c r="E330" s="8" t="s">
        <v>3191</v>
      </c>
      <c r="F330" s="2" t="s">
        <v>2513</v>
      </c>
      <c r="G330" s="19" t="s">
        <v>3494</v>
      </c>
      <c r="H330" s="2" t="s">
        <v>3178</v>
      </c>
      <c r="I330" s="8" t="s">
        <v>3546</v>
      </c>
      <c r="J330" s="2">
        <v>2027</v>
      </c>
      <c r="K330" s="2">
        <v>72</v>
      </c>
      <c r="L330" s="8" t="s">
        <v>3657</v>
      </c>
      <c r="M330" s="2"/>
      <c r="N330" s="8" t="s">
        <v>3658</v>
      </c>
      <c r="O330" s="8" t="str">
        <f t="shared" si="37"/>
        <v>PDFを開く</v>
      </c>
      <c r="P330" s="8" t="s">
        <v>422</v>
      </c>
    </row>
    <row r="331" spans="1:16" ht="33.950000000000003" customHeight="1">
      <c r="A331" s="5" t="s">
        <v>412</v>
      </c>
      <c r="B331" s="5" t="s">
        <v>73</v>
      </c>
      <c r="C331" s="9" t="s">
        <v>413</v>
      </c>
      <c r="D331" s="5">
        <v>2</v>
      </c>
      <c r="E331" s="9" t="s">
        <v>3191</v>
      </c>
      <c r="F331" s="5" t="s">
        <v>2513</v>
      </c>
      <c r="G331" s="19" t="s">
        <v>3494</v>
      </c>
      <c r="H331" s="5" t="s">
        <v>3178</v>
      </c>
      <c r="I331" s="9" t="s">
        <v>3645</v>
      </c>
      <c r="J331" s="5">
        <v>2030</v>
      </c>
      <c r="K331" s="5">
        <v>72</v>
      </c>
      <c r="L331" s="9" t="s">
        <v>3657</v>
      </c>
      <c r="M331" s="5"/>
      <c r="N331" s="9" t="s">
        <v>3658</v>
      </c>
      <c r="O331" s="9" t="str">
        <f t="shared" si="37"/>
        <v>PDFを開く</v>
      </c>
      <c r="P331" s="9" t="s">
        <v>422</v>
      </c>
    </row>
    <row r="332" spans="1:16" ht="33.950000000000003" customHeight="1">
      <c r="A332" s="2" t="s">
        <v>412</v>
      </c>
      <c r="B332" s="2" t="s">
        <v>73</v>
      </c>
      <c r="C332" s="8" t="s">
        <v>413</v>
      </c>
      <c r="D332" s="2">
        <v>2</v>
      </c>
      <c r="E332" s="8" t="s">
        <v>3191</v>
      </c>
      <c r="F332" s="2" t="s">
        <v>2513</v>
      </c>
      <c r="G332" s="19" t="s">
        <v>3494</v>
      </c>
      <c r="H332" s="2" t="s">
        <v>3178</v>
      </c>
      <c r="I332" s="8" t="s">
        <v>3546</v>
      </c>
      <c r="J332" s="2">
        <v>2027</v>
      </c>
      <c r="K332" s="2">
        <v>18</v>
      </c>
      <c r="L332" s="8" t="s">
        <v>3659</v>
      </c>
      <c r="M332" s="2"/>
      <c r="N332" s="8" t="s">
        <v>3658</v>
      </c>
      <c r="O332" s="8" t="str">
        <f t="shared" si="37"/>
        <v>PDFを開く</v>
      </c>
      <c r="P332" s="8" t="s">
        <v>422</v>
      </c>
    </row>
    <row r="333" spans="1:16" ht="33.950000000000003" customHeight="1">
      <c r="A333" s="5" t="s">
        <v>412</v>
      </c>
      <c r="B333" s="5" t="s">
        <v>73</v>
      </c>
      <c r="C333" s="9" t="s">
        <v>413</v>
      </c>
      <c r="D333" s="5">
        <v>2</v>
      </c>
      <c r="E333" s="9" t="s">
        <v>3191</v>
      </c>
      <c r="F333" s="5" t="s">
        <v>2513</v>
      </c>
      <c r="G333" s="19" t="s">
        <v>3494</v>
      </c>
      <c r="H333" s="5" t="s">
        <v>3178</v>
      </c>
      <c r="I333" s="9" t="s">
        <v>3645</v>
      </c>
      <c r="J333" s="5">
        <v>2030</v>
      </c>
      <c r="K333" s="5">
        <v>18</v>
      </c>
      <c r="L333" s="9" t="s">
        <v>3659</v>
      </c>
      <c r="M333" s="5"/>
      <c r="N333" s="9" t="s">
        <v>3658</v>
      </c>
      <c r="O333" s="9" t="str">
        <f t="shared" si="37"/>
        <v>PDFを開く</v>
      </c>
      <c r="P333" s="9" t="s">
        <v>422</v>
      </c>
    </row>
    <row r="334" spans="1:16" ht="33.950000000000003" customHeight="1">
      <c r="A334" s="2" t="s">
        <v>412</v>
      </c>
      <c r="B334" s="2" t="s">
        <v>73</v>
      </c>
      <c r="C334" s="8" t="s">
        <v>413</v>
      </c>
      <c r="D334" s="2">
        <v>2</v>
      </c>
      <c r="E334" s="8" t="s">
        <v>3176</v>
      </c>
      <c r="F334" s="2" t="s">
        <v>86</v>
      </c>
      <c r="G334" s="2" t="s">
        <v>3177</v>
      </c>
      <c r="H334" s="2" t="s">
        <v>3178</v>
      </c>
      <c r="I334" s="8" t="s">
        <v>3546</v>
      </c>
      <c r="J334" s="2">
        <v>2027</v>
      </c>
      <c r="K334" s="2">
        <v>1337</v>
      </c>
      <c r="L334" s="8" t="s">
        <v>3643</v>
      </c>
      <c r="M334" s="2">
        <v>28.1</v>
      </c>
      <c r="N334" s="8" t="s">
        <v>3644</v>
      </c>
      <c r="O334" s="8" t="str">
        <f t="shared" si="37"/>
        <v>PDFを開く</v>
      </c>
      <c r="P334" s="8" t="s">
        <v>422</v>
      </c>
    </row>
    <row r="335" spans="1:16" ht="33.950000000000003" customHeight="1">
      <c r="A335" s="5" t="s">
        <v>412</v>
      </c>
      <c r="B335" s="5" t="s">
        <v>73</v>
      </c>
      <c r="C335" s="9" t="s">
        <v>413</v>
      </c>
      <c r="D335" s="5">
        <v>2</v>
      </c>
      <c r="E335" s="9" t="s">
        <v>3176</v>
      </c>
      <c r="F335" s="5" t="s">
        <v>86</v>
      </c>
      <c r="G335" s="5" t="s">
        <v>3177</v>
      </c>
      <c r="H335" s="5" t="s">
        <v>3178</v>
      </c>
      <c r="I335" s="9" t="s">
        <v>3645</v>
      </c>
      <c r="J335" s="5">
        <v>2030</v>
      </c>
      <c r="K335" s="5">
        <v>2814</v>
      </c>
      <c r="L335" s="9" t="s">
        <v>3646</v>
      </c>
      <c r="M335" s="5">
        <v>28.1</v>
      </c>
      <c r="N335" s="9" t="s">
        <v>3644</v>
      </c>
      <c r="O335" s="9" t="str">
        <f t="shared" si="37"/>
        <v>PDFを開く</v>
      </c>
      <c r="P335" s="9" t="s">
        <v>422</v>
      </c>
    </row>
    <row r="336" spans="1:16" ht="33.950000000000003" customHeight="1">
      <c r="A336" s="2" t="s">
        <v>412</v>
      </c>
      <c r="B336" s="2" t="s">
        <v>73</v>
      </c>
      <c r="C336" s="8" t="s">
        <v>413</v>
      </c>
      <c r="D336" s="2">
        <v>2</v>
      </c>
      <c r="E336" s="8" t="s">
        <v>3188</v>
      </c>
      <c r="F336" s="2" t="s">
        <v>86</v>
      </c>
      <c r="G336" s="2" t="s">
        <v>3177</v>
      </c>
      <c r="H336" s="2" t="s">
        <v>3178</v>
      </c>
      <c r="I336" s="8" t="s">
        <v>3546</v>
      </c>
      <c r="J336" s="2">
        <v>2027</v>
      </c>
      <c r="K336" s="2">
        <v>1428</v>
      </c>
      <c r="L336" s="8" t="s">
        <v>3570</v>
      </c>
      <c r="M336" s="2">
        <v>5</v>
      </c>
      <c r="N336" s="8" t="s">
        <v>3654</v>
      </c>
      <c r="O336" s="8" t="str">
        <f t="shared" si="37"/>
        <v>PDFを開く</v>
      </c>
      <c r="P336" s="8" t="s">
        <v>422</v>
      </c>
    </row>
    <row r="337" spans="1:16" ht="33.950000000000003" customHeight="1">
      <c r="A337" s="5" t="s">
        <v>412</v>
      </c>
      <c r="B337" s="5" t="s">
        <v>73</v>
      </c>
      <c r="C337" s="9" t="s">
        <v>413</v>
      </c>
      <c r="D337" s="5">
        <v>2</v>
      </c>
      <c r="E337" s="9" t="s">
        <v>3188</v>
      </c>
      <c r="F337" s="5" t="s">
        <v>86</v>
      </c>
      <c r="G337" s="5" t="s">
        <v>3177</v>
      </c>
      <c r="H337" s="5" t="s">
        <v>3178</v>
      </c>
      <c r="I337" s="9" t="s">
        <v>3645</v>
      </c>
      <c r="J337" s="5">
        <v>2030</v>
      </c>
      <c r="K337" s="5">
        <v>1653</v>
      </c>
      <c r="L337" s="9" t="s">
        <v>3655</v>
      </c>
      <c r="M337" s="5">
        <v>5</v>
      </c>
      <c r="N337" s="9" t="s">
        <v>3654</v>
      </c>
      <c r="O337" s="9" t="str">
        <f t="shared" si="37"/>
        <v>PDFを開く</v>
      </c>
      <c r="P337" s="9" t="s">
        <v>422</v>
      </c>
    </row>
    <row r="338" spans="1:16" ht="33.950000000000003" customHeight="1">
      <c r="A338" s="2" t="s">
        <v>412</v>
      </c>
      <c r="B338" s="2" t="s">
        <v>73</v>
      </c>
      <c r="C338" s="8" t="s">
        <v>413</v>
      </c>
      <c r="D338" s="2">
        <v>2</v>
      </c>
      <c r="E338" s="8" t="s">
        <v>3191</v>
      </c>
      <c r="F338" s="2" t="s">
        <v>2513</v>
      </c>
      <c r="G338" s="2" t="s">
        <v>3177</v>
      </c>
      <c r="H338" s="2" t="s">
        <v>3178</v>
      </c>
      <c r="I338" s="8" t="s">
        <v>3546</v>
      </c>
      <c r="J338" s="2">
        <v>2027</v>
      </c>
      <c r="K338" s="2">
        <v>72</v>
      </c>
      <c r="L338" s="8" t="s">
        <v>3657</v>
      </c>
      <c r="M338" s="2"/>
      <c r="N338" s="8" t="s">
        <v>3658</v>
      </c>
      <c r="O338" s="8" t="str">
        <f t="shared" si="37"/>
        <v>PDFを開く</v>
      </c>
      <c r="P338" s="8" t="s">
        <v>422</v>
      </c>
    </row>
    <row r="339" spans="1:16" ht="33.950000000000003" customHeight="1">
      <c r="A339" s="5" t="s">
        <v>412</v>
      </c>
      <c r="B339" s="5" t="s">
        <v>73</v>
      </c>
      <c r="C339" s="9" t="s">
        <v>413</v>
      </c>
      <c r="D339" s="5">
        <v>2</v>
      </c>
      <c r="E339" s="9" t="s">
        <v>3191</v>
      </c>
      <c r="F339" s="5" t="s">
        <v>2513</v>
      </c>
      <c r="G339" s="5" t="s">
        <v>3177</v>
      </c>
      <c r="H339" s="5" t="s">
        <v>3178</v>
      </c>
      <c r="I339" s="9" t="s">
        <v>3645</v>
      </c>
      <c r="J339" s="5">
        <v>2030</v>
      </c>
      <c r="K339" s="5">
        <v>72</v>
      </c>
      <c r="L339" s="9" t="s">
        <v>3657</v>
      </c>
      <c r="M339" s="5"/>
      <c r="N339" s="9" t="s">
        <v>3658</v>
      </c>
      <c r="O339" s="9" t="str">
        <f t="shared" si="37"/>
        <v>PDFを開く</v>
      </c>
      <c r="P339" s="9" t="s">
        <v>422</v>
      </c>
    </row>
    <row r="340" spans="1:16" ht="33.950000000000003" customHeight="1">
      <c r="A340" s="2" t="s">
        <v>412</v>
      </c>
      <c r="B340" s="2" t="s">
        <v>73</v>
      </c>
      <c r="C340" s="8" t="s">
        <v>413</v>
      </c>
      <c r="D340" s="2">
        <v>2</v>
      </c>
      <c r="E340" s="8" t="s">
        <v>3184</v>
      </c>
      <c r="F340" s="2" t="s">
        <v>86</v>
      </c>
      <c r="G340" s="2" t="s">
        <v>3177</v>
      </c>
      <c r="H340" s="2" t="s">
        <v>3178</v>
      </c>
      <c r="I340" s="8" t="s">
        <v>3546</v>
      </c>
      <c r="J340" s="2">
        <v>2027</v>
      </c>
      <c r="K340" s="2">
        <v>555</v>
      </c>
      <c r="L340" s="8" t="s">
        <v>3649</v>
      </c>
      <c r="M340" s="2">
        <v>5</v>
      </c>
      <c r="N340" s="8" t="s">
        <v>3650</v>
      </c>
      <c r="O340" s="8" t="str">
        <f t="shared" si="37"/>
        <v>PDFを開く</v>
      </c>
      <c r="P340" s="8" t="s">
        <v>422</v>
      </c>
    </row>
    <row r="341" spans="1:16" ht="33.950000000000003" customHeight="1">
      <c r="A341" s="5" t="s">
        <v>412</v>
      </c>
      <c r="B341" s="5" t="s">
        <v>73</v>
      </c>
      <c r="C341" s="9" t="s">
        <v>413</v>
      </c>
      <c r="D341" s="5">
        <v>2</v>
      </c>
      <c r="E341" s="9" t="s">
        <v>3184</v>
      </c>
      <c r="F341" s="5" t="s">
        <v>86</v>
      </c>
      <c r="G341" s="5" t="s">
        <v>3177</v>
      </c>
      <c r="H341" s="5" t="s">
        <v>3178</v>
      </c>
      <c r="I341" s="9" t="s">
        <v>3645</v>
      </c>
      <c r="J341" s="5">
        <v>2030</v>
      </c>
      <c r="K341" s="5">
        <v>642</v>
      </c>
      <c r="L341" s="9" t="s">
        <v>3651</v>
      </c>
      <c r="M341" s="5">
        <v>5</v>
      </c>
      <c r="N341" s="9" t="s">
        <v>3650</v>
      </c>
      <c r="O341" s="9" t="str">
        <f t="shared" si="37"/>
        <v>PDFを開く</v>
      </c>
      <c r="P341" s="9" t="s">
        <v>422</v>
      </c>
    </row>
    <row r="342" spans="1:16" ht="33.950000000000003" customHeight="1">
      <c r="A342" s="2" t="s">
        <v>423</v>
      </c>
      <c r="B342" s="2" t="s">
        <v>73</v>
      </c>
      <c r="C342" s="8" t="s">
        <v>424</v>
      </c>
      <c r="D342" s="2">
        <v>2</v>
      </c>
      <c r="E342" s="8" t="s">
        <v>3176</v>
      </c>
      <c r="F342" s="2" t="s">
        <v>86</v>
      </c>
      <c r="G342" s="2" t="s">
        <v>3177</v>
      </c>
      <c r="H342" s="2" t="s">
        <v>3178</v>
      </c>
      <c r="I342" s="8" t="s">
        <v>3660</v>
      </c>
      <c r="J342" s="2">
        <v>2025</v>
      </c>
      <c r="K342" s="2">
        <v>625</v>
      </c>
      <c r="L342" s="8" t="s">
        <v>3661</v>
      </c>
      <c r="M342" s="2">
        <v>16.5</v>
      </c>
      <c r="N342" s="8" t="s">
        <v>3662</v>
      </c>
      <c r="O342" s="8" t="str">
        <f t="shared" ref="O342:O349" si="38">HYPERLINK("https://seichotoushi-hojo.jp/assets/pdf/koufu/outline_135.pdf","PDFを開く")</f>
        <v>PDFを開く</v>
      </c>
      <c r="P342" s="8" t="s">
        <v>430</v>
      </c>
    </row>
    <row r="343" spans="1:16" ht="33.950000000000003" customHeight="1">
      <c r="A343" s="5" t="s">
        <v>423</v>
      </c>
      <c r="B343" s="5" t="s">
        <v>73</v>
      </c>
      <c r="C343" s="9" t="s">
        <v>424</v>
      </c>
      <c r="D343" s="5">
        <v>2</v>
      </c>
      <c r="E343" s="9" t="s">
        <v>3176</v>
      </c>
      <c r="F343" s="5" t="s">
        <v>86</v>
      </c>
      <c r="G343" s="5" t="s">
        <v>3177</v>
      </c>
      <c r="H343" s="5" t="s">
        <v>3178</v>
      </c>
      <c r="I343" s="9" t="s">
        <v>3663</v>
      </c>
      <c r="J343" s="5">
        <v>2028</v>
      </c>
      <c r="K343" s="5">
        <v>987</v>
      </c>
      <c r="L343" s="9" t="s">
        <v>3664</v>
      </c>
      <c r="M343" s="5">
        <v>16.5</v>
      </c>
      <c r="N343" s="9" t="s">
        <v>3662</v>
      </c>
      <c r="O343" s="9" t="str">
        <f t="shared" si="38"/>
        <v>PDFを開く</v>
      </c>
      <c r="P343" s="9" t="s">
        <v>430</v>
      </c>
    </row>
    <row r="344" spans="1:16" ht="33.950000000000003" customHeight="1">
      <c r="A344" s="2" t="s">
        <v>423</v>
      </c>
      <c r="B344" s="2" t="s">
        <v>73</v>
      </c>
      <c r="C344" s="8" t="s">
        <v>424</v>
      </c>
      <c r="D344" s="2">
        <v>2</v>
      </c>
      <c r="E344" s="8" t="s">
        <v>3184</v>
      </c>
      <c r="F344" s="2" t="s">
        <v>86</v>
      </c>
      <c r="G344" s="2" t="s">
        <v>3177</v>
      </c>
      <c r="H344" s="2" t="s">
        <v>3178</v>
      </c>
      <c r="I344" s="8" t="s">
        <v>3660</v>
      </c>
      <c r="J344" s="2">
        <v>2025</v>
      </c>
      <c r="K344" s="2">
        <v>451</v>
      </c>
      <c r="L344" s="8" t="s">
        <v>3665</v>
      </c>
      <c r="M344" s="2">
        <v>8.1</v>
      </c>
      <c r="N344" s="8" t="s">
        <v>3666</v>
      </c>
      <c r="O344" s="8" t="str">
        <f t="shared" si="38"/>
        <v>PDFを開く</v>
      </c>
      <c r="P344" s="8" t="s">
        <v>430</v>
      </c>
    </row>
    <row r="345" spans="1:16" ht="33.950000000000003" customHeight="1">
      <c r="A345" s="5" t="s">
        <v>423</v>
      </c>
      <c r="B345" s="5" t="s">
        <v>73</v>
      </c>
      <c r="C345" s="9" t="s">
        <v>424</v>
      </c>
      <c r="D345" s="5">
        <v>2</v>
      </c>
      <c r="E345" s="9" t="s">
        <v>3184</v>
      </c>
      <c r="F345" s="5" t="s">
        <v>86</v>
      </c>
      <c r="G345" s="5" t="s">
        <v>3177</v>
      </c>
      <c r="H345" s="5" t="s">
        <v>3178</v>
      </c>
      <c r="I345" s="9" t="s">
        <v>3663</v>
      </c>
      <c r="J345" s="5">
        <v>2028</v>
      </c>
      <c r="K345" s="5">
        <v>569</v>
      </c>
      <c r="L345" s="9" t="s">
        <v>3667</v>
      </c>
      <c r="M345" s="5">
        <v>8.1</v>
      </c>
      <c r="N345" s="9" t="s">
        <v>3666</v>
      </c>
      <c r="O345" s="9" t="str">
        <f t="shared" si="38"/>
        <v>PDFを開く</v>
      </c>
      <c r="P345" s="9" t="s">
        <v>430</v>
      </c>
    </row>
    <row r="346" spans="1:16" ht="33.950000000000003" customHeight="1">
      <c r="A346" s="2" t="s">
        <v>423</v>
      </c>
      <c r="B346" s="2" t="s">
        <v>73</v>
      </c>
      <c r="C346" s="8" t="s">
        <v>424</v>
      </c>
      <c r="D346" s="2">
        <v>2</v>
      </c>
      <c r="E346" s="8" t="s">
        <v>3188</v>
      </c>
      <c r="F346" s="2" t="s">
        <v>86</v>
      </c>
      <c r="G346" s="2" t="s">
        <v>3177</v>
      </c>
      <c r="H346" s="2" t="s">
        <v>3178</v>
      </c>
      <c r="I346" s="8" t="s">
        <v>3660</v>
      </c>
      <c r="J346" s="2">
        <v>2025</v>
      </c>
      <c r="K346" s="2">
        <v>1077</v>
      </c>
      <c r="L346" s="8" t="s">
        <v>3668</v>
      </c>
      <c r="M346" s="2">
        <v>8</v>
      </c>
      <c r="N346" s="8" t="s">
        <v>3669</v>
      </c>
      <c r="O346" s="8" t="str">
        <f t="shared" si="38"/>
        <v>PDFを開く</v>
      </c>
      <c r="P346" s="8" t="s">
        <v>430</v>
      </c>
    </row>
    <row r="347" spans="1:16" ht="33.950000000000003" customHeight="1">
      <c r="A347" s="5" t="s">
        <v>423</v>
      </c>
      <c r="B347" s="5" t="s">
        <v>73</v>
      </c>
      <c r="C347" s="9" t="s">
        <v>424</v>
      </c>
      <c r="D347" s="5">
        <v>2</v>
      </c>
      <c r="E347" s="9" t="s">
        <v>3188</v>
      </c>
      <c r="F347" s="5" t="s">
        <v>86</v>
      </c>
      <c r="G347" s="5" t="s">
        <v>3177</v>
      </c>
      <c r="H347" s="5" t="s">
        <v>3178</v>
      </c>
      <c r="I347" s="9" t="s">
        <v>3663</v>
      </c>
      <c r="J347" s="5">
        <v>2028</v>
      </c>
      <c r="K347" s="5">
        <v>1357</v>
      </c>
      <c r="L347" s="9" t="s">
        <v>3670</v>
      </c>
      <c r="M347" s="5">
        <v>8</v>
      </c>
      <c r="N347" s="9" t="s">
        <v>3669</v>
      </c>
      <c r="O347" s="9" t="str">
        <f t="shared" si="38"/>
        <v>PDFを開く</v>
      </c>
      <c r="P347" s="9" t="s">
        <v>430</v>
      </c>
    </row>
    <row r="348" spans="1:16" ht="33.950000000000003" customHeight="1">
      <c r="A348" s="2" t="s">
        <v>423</v>
      </c>
      <c r="B348" s="2" t="s">
        <v>73</v>
      </c>
      <c r="C348" s="8" t="s">
        <v>424</v>
      </c>
      <c r="D348" s="2">
        <v>2</v>
      </c>
      <c r="E348" s="8" t="s">
        <v>3191</v>
      </c>
      <c r="F348" s="2" t="s">
        <v>2513</v>
      </c>
      <c r="G348" s="2" t="s">
        <v>3177</v>
      </c>
      <c r="H348" s="2" t="s">
        <v>3178</v>
      </c>
      <c r="I348" s="8" t="s">
        <v>3660</v>
      </c>
      <c r="J348" s="2">
        <v>2025</v>
      </c>
      <c r="K348" s="2">
        <v>210</v>
      </c>
      <c r="L348" s="8" t="s">
        <v>3671</v>
      </c>
      <c r="M348" s="2"/>
      <c r="N348" s="8" t="s">
        <v>3672</v>
      </c>
      <c r="O348" s="8" t="str">
        <f t="shared" si="38"/>
        <v>PDFを開く</v>
      </c>
      <c r="P348" s="8" t="s">
        <v>430</v>
      </c>
    </row>
    <row r="349" spans="1:16" ht="33.950000000000003" customHeight="1">
      <c r="A349" s="5" t="s">
        <v>423</v>
      </c>
      <c r="B349" s="5" t="s">
        <v>73</v>
      </c>
      <c r="C349" s="9" t="s">
        <v>424</v>
      </c>
      <c r="D349" s="5">
        <v>2</v>
      </c>
      <c r="E349" s="9" t="s">
        <v>3191</v>
      </c>
      <c r="F349" s="5" t="s">
        <v>2513</v>
      </c>
      <c r="G349" s="5" t="s">
        <v>3177</v>
      </c>
      <c r="H349" s="5" t="s">
        <v>3178</v>
      </c>
      <c r="I349" s="9" t="s">
        <v>3663</v>
      </c>
      <c r="J349" s="5">
        <v>2028</v>
      </c>
      <c r="K349" s="5">
        <v>215</v>
      </c>
      <c r="L349" s="9" t="s">
        <v>3279</v>
      </c>
      <c r="M349" s="5"/>
      <c r="N349" s="9" t="s">
        <v>3672</v>
      </c>
      <c r="O349" s="9" t="str">
        <f t="shared" si="38"/>
        <v>PDFを開く</v>
      </c>
      <c r="P349" s="9" t="s">
        <v>430</v>
      </c>
    </row>
    <row r="350" spans="1:16" ht="33.950000000000003" customHeight="1">
      <c r="A350" s="2" t="s">
        <v>431</v>
      </c>
      <c r="B350" s="2" t="s">
        <v>73</v>
      </c>
      <c r="C350" s="8" t="s">
        <v>432</v>
      </c>
      <c r="D350" s="2">
        <v>2</v>
      </c>
      <c r="E350" s="8" t="s">
        <v>3176</v>
      </c>
      <c r="F350" s="2" t="s">
        <v>86</v>
      </c>
      <c r="G350" s="2" t="s">
        <v>3177</v>
      </c>
      <c r="H350" s="2" t="s">
        <v>3178</v>
      </c>
      <c r="I350" s="8" t="s">
        <v>3673</v>
      </c>
      <c r="J350" s="2">
        <v>2027</v>
      </c>
      <c r="K350" s="2">
        <v>577</v>
      </c>
      <c r="L350" s="8" t="s">
        <v>3674</v>
      </c>
      <c r="M350" s="2">
        <v>5.0999999999999996</v>
      </c>
      <c r="N350" s="8" t="s">
        <v>3675</v>
      </c>
      <c r="O350" s="8" t="str">
        <f t="shared" ref="O350:O365" si="39">HYPERLINK("https://seichotoushi-hojo.jp/assets/pdf/koufu/outline_136.pdf","PDFを開く")</f>
        <v>PDFを開く</v>
      </c>
      <c r="P350" s="8" t="s">
        <v>439</v>
      </c>
    </row>
    <row r="351" spans="1:16" ht="33.950000000000003" customHeight="1">
      <c r="A351" s="5" t="s">
        <v>431</v>
      </c>
      <c r="B351" s="5" t="s">
        <v>73</v>
      </c>
      <c r="C351" s="9" t="s">
        <v>432</v>
      </c>
      <c r="D351" s="5">
        <v>2</v>
      </c>
      <c r="E351" s="9" t="s">
        <v>3176</v>
      </c>
      <c r="F351" s="5" t="s">
        <v>86</v>
      </c>
      <c r="G351" s="5" t="s">
        <v>3177</v>
      </c>
      <c r="H351" s="5" t="s">
        <v>3178</v>
      </c>
      <c r="I351" s="9" t="s">
        <v>3676</v>
      </c>
      <c r="J351" s="5">
        <v>2030</v>
      </c>
      <c r="K351" s="5">
        <v>1497</v>
      </c>
      <c r="L351" s="9" t="s">
        <v>3677</v>
      </c>
      <c r="M351" s="5">
        <v>5.0999999999999996</v>
      </c>
      <c r="N351" s="9" t="s">
        <v>3675</v>
      </c>
      <c r="O351" s="9" t="str">
        <f t="shared" si="39"/>
        <v>PDFを開く</v>
      </c>
      <c r="P351" s="9" t="s">
        <v>439</v>
      </c>
    </row>
    <row r="352" spans="1:16" ht="33.950000000000003" customHeight="1">
      <c r="A352" s="2" t="s">
        <v>431</v>
      </c>
      <c r="B352" s="2" t="s">
        <v>73</v>
      </c>
      <c r="C352" s="8" t="s">
        <v>432</v>
      </c>
      <c r="D352" s="2">
        <v>2</v>
      </c>
      <c r="E352" s="8" t="s">
        <v>3184</v>
      </c>
      <c r="F352" s="2" t="s">
        <v>86</v>
      </c>
      <c r="G352" s="2" t="s">
        <v>3177</v>
      </c>
      <c r="H352" s="2" t="s">
        <v>3178</v>
      </c>
      <c r="I352" s="8" t="s">
        <v>3673</v>
      </c>
      <c r="J352" s="2">
        <v>2027</v>
      </c>
      <c r="K352" s="2">
        <v>334</v>
      </c>
      <c r="L352" s="8" t="s">
        <v>3678</v>
      </c>
      <c r="M352" s="2">
        <v>5.0999999999999996</v>
      </c>
      <c r="N352" s="8" t="s">
        <v>3679</v>
      </c>
      <c r="O352" s="8" t="str">
        <f t="shared" si="39"/>
        <v>PDFを開く</v>
      </c>
      <c r="P352" s="8" t="s">
        <v>439</v>
      </c>
    </row>
    <row r="353" spans="1:16" ht="33.950000000000003" customHeight="1">
      <c r="A353" s="5" t="s">
        <v>431</v>
      </c>
      <c r="B353" s="5" t="s">
        <v>73</v>
      </c>
      <c r="C353" s="9" t="s">
        <v>432</v>
      </c>
      <c r="D353" s="5">
        <v>2</v>
      </c>
      <c r="E353" s="9" t="s">
        <v>3184</v>
      </c>
      <c r="F353" s="5" t="s">
        <v>86</v>
      </c>
      <c r="G353" s="5" t="s">
        <v>3177</v>
      </c>
      <c r="H353" s="5" t="s">
        <v>3178</v>
      </c>
      <c r="I353" s="9" t="s">
        <v>3676</v>
      </c>
      <c r="J353" s="5">
        <v>2030</v>
      </c>
      <c r="K353" s="5">
        <v>388</v>
      </c>
      <c r="L353" s="9" t="s">
        <v>3680</v>
      </c>
      <c r="M353" s="5">
        <v>5.0999999999999996</v>
      </c>
      <c r="N353" s="9" t="s">
        <v>3679</v>
      </c>
      <c r="O353" s="9" t="str">
        <f t="shared" si="39"/>
        <v>PDFを開く</v>
      </c>
      <c r="P353" s="9" t="s">
        <v>439</v>
      </c>
    </row>
    <row r="354" spans="1:16" ht="33.950000000000003" customHeight="1">
      <c r="A354" s="2" t="s">
        <v>431</v>
      </c>
      <c r="B354" s="2" t="s">
        <v>73</v>
      </c>
      <c r="C354" s="8" t="s">
        <v>432</v>
      </c>
      <c r="D354" s="2">
        <v>2</v>
      </c>
      <c r="E354" s="8" t="s">
        <v>3188</v>
      </c>
      <c r="F354" s="2" t="s">
        <v>86</v>
      </c>
      <c r="G354" s="2" t="s">
        <v>3177</v>
      </c>
      <c r="H354" s="2" t="s">
        <v>3178</v>
      </c>
      <c r="I354" s="8" t="s">
        <v>3673</v>
      </c>
      <c r="J354" s="2">
        <v>2027</v>
      </c>
      <c r="K354" s="2">
        <v>848</v>
      </c>
      <c r="L354" s="8" t="s">
        <v>3681</v>
      </c>
      <c r="M354" s="2">
        <v>7.65</v>
      </c>
      <c r="N354" s="8" t="s">
        <v>3682</v>
      </c>
      <c r="O354" s="8" t="str">
        <f t="shared" si="39"/>
        <v>PDFを開く</v>
      </c>
      <c r="P354" s="8" t="s">
        <v>439</v>
      </c>
    </row>
    <row r="355" spans="1:16" ht="33.950000000000003" customHeight="1">
      <c r="A355" s="5" t="s">
        <v>431</v>
      </c>
      <c r="B355" s="5" t="s">
        <v>73</v>
      </c>
      <c r="C355" s="9" t="s">
        <v>432</v>
      </c>
      <c r="D355" s="5">
        <v>2</v>
      </c>
      <c r="E355" s="9" t="s">
        <v>3188</v>
      </c>
      <c r="F355" s="5" t="s">
        <v>86</v>
      </c>
      <c r="G355" s="5" t="s">
        <v>3177</v>
      </c>
      <c r="H355" s="5" t="s">
        <v>3178</v>
      </c>
      <c r="I355" s="9" t="s">
        <v>3676</v>
      </c>
      <c r="J355" s="5">
        <v>2030</v>
      </c>
      <c r="K355" s="5">
        <v>1058</v>
      </c>
      <c r="L355" s="9" t="s">
        <v>3683</v>
      </c>
      <c r="M355" s="5">
        <v>7.65</v>
      </c>
      <c r="N355" s="9" t="s">
        <v>3682</v>
      </c>
      <c r="O355" s="9" t="str">
        <f t="shared" si="39"/>
        <v>PDFを開く</v>
      </c>
      <c r="P355" s="9" t="s">
        <v>439</v>
      </c>
    </row>
    <row r="356" spans="1:16" ht="33.950000000000003" customHeight="1">
      <c r="A356" s="2" t="s">
        <v>431</v>
      </c>
      <c r="B356" s="2" t="s">
        <v>73</v>
      </c>
      <c r="C356" s="8" t="s">
        <v>432</v>
      </c>
      <c r="D356" s="2">
        <v>2</v>
      </c>
      <c r="E356" s="8" t="s">
        <v>3191</v>
      </c>
      <c r="F356" s="2" t="s">
        <v>2513</v>
      </c>
      <c r="G356" s="2" t="s">
        <v>3177</v>
      </c>
      <c r="H356" s="2" t="s">
        <v>3178</v>
      </c>
      <c r="I356" s="8" t="s">
        <v>3673</v>
      </c>
      <c r="J356" s="2">
        <v>2027</v>
      </c>
      <c r="K356" s="2">
        <v>193</v>
      </c>
      <c r="L356" s="8" t="s">
        <v>3684</v>
      </c>
      <c r="M356" s="2"/>
      <c r="N356" s="8" t="s">
        <v>3685</v>
      </c>
      <c r="O356" s="8" t="str">
        <f t="shared" si="39"/>
        <v>PDFを開く</v>
      </c>
      <c r="P356" s="8" t="s">
        <v>439</v>
      </c>
    </row>
    <row r="357" spans="1:16" ht="33.950000000000003" customHeight="1">
      <c r="A357" s="5" t="s">
        <v>431</v>
      </c>
      <c r="B357" s="5" t="s">
        <v>73</v>
      </c>
      <c r="C357" s="9" t="s">
        <v>432</v>
      </c>
      <c r="D357" s="5">
        <v>2</v>
      </c>
      <c r="E357" s="9" t="s">
        <v>3191</v>
      </c>
      <c r="F357" s="5" t="s">
        <v>2513</v>
      </c>
      <c r="G357" s="5" t="s">
        <v>3177</v>
      </c>
      <c r="H357" s="5" t="s">
        <v>3178</v>
      </c>
      <c r="I357" s="9" t="s">
        <v>3676</v>
      </c>
      <c r="J357" s="5">
        <v>2030</v>
      </c>
      <c r="K357" s="5">
        <v>201</v>
      </c>
      <c r="L357" s="9" t="s">
        <v>3369</v>
      </c>
      <c r="M357" s="5"/>
      <c r="N357" s="9" t="s">
        <v>3685</v>
      </c>
      <c r="O357" s="9" t="str">
        <f t="shared" si="39"/>
        <v>PDFを開く</v>
      </c>
      <c r="P357" s="9" t="s">
        <v>439</v>
      </c>
    </row>
    <row r="358" spans="1:16" ht="33.950000000000003" customHeight="1">
      <c r="A358" s="2" t="s">
        <v>431</v>
      </c>
      <c r="B358" s="2" t="s">
        <v>73</v>
      </c>
      <c r="C358" s="8" t="s">
        <v>432</v>
      </c>
      <c r="D358" s="2">
        <v>2</v>
      </c>
      <c r="E358" s="8" t="s">
        <v>3176</v>
      </c>
      <c r="F358" s="2" t="s">
        <v>86</v>
      </c>
      <c r="G358" s="2" t="s">
        <v>3177</v>
      </c>
      <c r="H358" s="2"/>
      <c r="I358" s="8" t="s">
        <v>3686</v>
      </c>
      <c r="J358" s="2">
        <v>2027</v>
      </c>
      <c r="K358" s="2">
        <v>577</v>
      </c>
      <c r="L358" s="8" t="s">
        <v>3674</v>
      </c>
      <c r="M358" s="2">
        <v>37.4</v>
      </c>
      <c r="N358" s="8" t="s">
        <v>3687</v>
      </c>
      <c r="O358" s="8" t="str">
        <f t="shared" si="39"/>
        <v>PDFを開く</v>
      </c>
      <c r="P358" s="8" t="s">
        <v>439</v>
      </c>
    </row>
    <row r="359" spans="1:16" ht="33.950000000000003" customHeight="1">
      <c r="A359" s="5" t="s">
        <v>431</v>
      </c>
      <c r="B359" s="5" t="s">
        <v>73</v>
      </c>
      <c r="C359" s="9" t="s">
        <v>432</v>
      </c>
      <c r="D359" s="5">
        <v>2</v>
      </c>
      <c r="E359" s="9" t="s">
        <v>3176</v>
      </c>
      <c r="F359" s="5" t="s">
        <v>86</v>
      </c>
      <c r="G359" s="5" t="s">
        <v>3177</v>
      </c>
      <c r="H359" s="5"/>
      <c r="I359" s="9" t="s">
        <v>3688</v>
      </c>
      <c r="J359" s="5">
        <v>2030</v>
      </c>
      <c r="K359" s="5">
        <v>1497</v>
      </c>
      <c r="L359" s="9" t="s">
        <v>3689</v>
      </c>
      <c r="M359" s="5">
        <v>37.4</v>
      </c>
      <c r="N359" s="9" t="s">
        <v>3687</v>
      </c>
      <c r="O359" s="9" t="str">
        <f t="shared" si="39"/>
        <v>PDFを開く</v>
      </c>
      <c r="P359" s="9" t="s">
        <v>439</v>
      </c>
    </row>
    <row r="360" spans="1:16" ht="33.950000000000003" customHeight="1">
      <c r="A360" s="2" t="s">
        <v>431</v>
      </c>
      <c r="B360" s="2" t="s">
        <v>73</v>
      </c>
      <c r="C360" s="8" t="s">
        <v>432</v>
      </c>
      <c r="D360" s="2">
        <v>2</v>
      </c>
      <c r="E360" s="8" t="s">
        <v>3184</v>
      </c>
      <c r="F360" s="2" t="s">
        <v>86</v>
      </c>
      <c r="G360" s="2" t="s">
        <v>3177</v>
      </c>
      <c r="H360" s="2"/>
      <c r="I360" s="8" t="s">
        <v>3686</v>
      </c>
      <c r="J360" s="2">
        <v>2027</v>
      </c>
      <c r="K360" s="2">
        <v>334</v>
      </c>
      <c r="L360" s="8" t="s">
        <v>3678</v>
      </c>
      <c r="M360" s="2">
        <v>5.0999999999999996</v>
      </c>
      <c r="N360" s="8" t="s">
        <v>3690</v>
      </c>
      <c r="O360" s="8" t="str">
        <f t="shared" si="39"/>
        <v>PDFを開く</v>
      </c>
      <c r="P360" s="8" t="s">
        <v>439</v>
      </c>
    </row>
    <row r="361" spans="1:16" ht="33.950000000000003" customHeight="1">
      <c r="A361" s="5" t="s">
        <v>431</v>
      </c>
      <c r="B361" s="5" t="s">
        <v>73</v>
      </c>
      <c r="C361" s="9" t="s">
        <v>432</v>
      </c>
      <c r="D361" s="5">
        <v>2</v>
      </c>
      <c r="E361" s="9" t="s">
        <v>3184</v>
      </c>
      <c r="F361" s="5" t="s">
        <v>86</v>
      </c>
      <c r="G361" s="5" t="s">
        <v>3177</v>
      </c>
      <c r="H361" s="5"/>
      <c r="I361" s="9" t="s">
        <v>3688</v>
      </c>
      <c r="J361" s="5">
        <v>2030</v>
      </c>
      <c r="K361" s="5">
        <v>388</v>
      </c>
      <c r="L361" s="9" t="s">
        <v>3680</v>
      </c>
      <c r="M361" s="5">
        <v>5.0999999999999996</v>
      </c>
      <c r="N361" s="9" t="s">
        <v>3690</v>
      </c>
      <c r="O361" s="9" t="str">
        <f t="shared" si="39"/>
        <v>PDFを開く</v>
      </c>
      <c r="P361" s="9" t="s">
        <v>439</v>
      </c>
    </row>
    <row r="362" spans="1:16" ht="33.950000000000003" customHeight="1">
      <c r="A362" s="2" t="s">
        <v>431</v>
      </c>
      <c r="B362" s="2" t="s">
        <v>73</v>
      </c>
      <c r="C362" s="8" t="s">
        <v>432</v>
      </c>
      <c r="D362" s="2">
        <v>2</v>
      </c>
      <c r="E362" s="8" t="s">
        <v>3188</v>
      </c>
      <c r="F362" s="2" t="s">
        <v>86</v>
      </c>
      <c r="G362" s="2" t="s">
        <v>3177</v>
      </c>
      <c r="H362" s="2"/>
      <c r="I362" s="8" t="s">
        <v>3686</v>
      </c>
      <c r="J362" s="2">
        <v>2027</v>
      </c>
      <c r="K362" s="2">
        <v>848</v>
      </c>
      <c r="L362" s="8" t="s">
        <v>3681</v>
      </c>
      <c r="M362" s="2">
        <v>7.65</v>
      </c>
      <c r="N362" s="8" t="s">
        <v>3691</v>
      </c>
      <c r="O362" s="8" t="str">
        <f t="shared" si="39"/>
        <v>PDFを開く</v>
      </c>
      <c r="P362" s="8" t="s">
        <v>439</v>
      </c>
    </row>
    <row r="363" spans="1:16" ht="33.950000000000003" customHeight="1">
      <c r="A363" s="5" t="s">
        <v>431</v>
      </c>
      <c r="B363" s="5" t="s">
        <v>73</v>
      </c>
      <c r="C363" s="9" t="s">
        <v>432</v>
      </c>
      <c r="D363" s="5">
        <v>2</v>
      </c>
      <c r="E363" s="9" t="s">
        <v>3188</v>
      </c>
      <c r="F363" s="5" t="s">
        <v>86</v>
      </c>
      <c r="G363" s="5" t="s">
        <v>3177</v>
      </c>
      <c r="H363" s="5"/>
      <c r="I363" s="9" t="s">
        <v>3688</v>
      </c>
      <c r="J363" s="5">
        <v>2030</v>
      </c>
      <c r="K363" s="5">
        <v>1058</v>
      </c>
      <c r="L363" s="9" t="s">
        <v>3692</v>
      </c>
      <c r="M363" s="5">
        <v>7.65</v>
      </c>
      <c r="N363" s="9" t="s">
        <v>3691</v>
      </c>
      <c r="O363" s="9" t="str">
        <f t="shared" si="39"/>
        <v>PDFを開く</v>
      </c>
      <c r="P363" s="9" t="s">
        <v>439</v>
      </c>
    </row>
    <row r="364" spans="1:16" ht="33.950000000000003" customHeight="1">
      <c r="A364" s="2" t="s">
        <v>431</v>
      </c>
      <c r="B364" s="2" t="s">
        <v>73</v>
      </c>
      <c r="C364" s="8" t="s">
        <v>432</v>
      </c>
      <c r="D364" s="2">
        <v>2</v>
      </c>
      <c r="E364" s="8" t="s">
        <v>3191</v>
      </c>
      <c r="F364" s="2" t="s">
        <v>2513</v>
      </c>
      <c r="G364" s="2" t="s">
        <v>3177</v>
      </c>
      <c r="H364" s="2"/>
      <c r="I364" s="8" t="s">
        <v>3686</v>
      </c>
      <c r="J364" s="2">
        <v>2027</v>
      </c>
      <c r="K364" s="2">
        <v>193</v>
      </c>
      <c r="L364" s="8" t="s">
        <v>3684</v>
      </c>
      <c r="M364" s="2"/>
      <c r="N364" s="8" t="s">
        <v>3693</v>
      </c>
      <c r="O364" s="8" t="str">
        <f t="shared" si="39"/>
        <v>PDFを開く</v>
      </c>
      <c r="P364" s="8" t="s">
        <v>439</v>
      </c>
    </row>
    <row r="365" spans="1:16" ht="33.950000000000003" customHeight="1">
      <c r="A365" s="5" t="s">
        <v>431</v>
      </c>
      <c r="B365" s="5" t="s">
        <v>73</v>
      </c>
      <c r="C365" s="9" t="s">
        <v>432</v>
      </c>
      <c r="D365" s="5">
        <v>2</v>
      </c>
      <c r="E365" s="9" t="s">
        <v>3191</v>
      </c>
      <c r="F365" s="5" t="s">
        <v>2513</v>
      </c>
      <c r="G365" s="5" t="s">
        <v>3177</v>
      </c>
      <c r="H365" s="5"/>
      <c r="I365" s="9" t="s">
        <v>3688</v>
      </c>
      <c r="J365" s="5">
        <v>2030</v>
      </c>
      <c r="K365" s="5">
        <v>201</v>
      </c>
      <c r="L365" s="9" t="s">
        <v>3369</v>
      </c>
      <c r="M365" s="5"/>
      <c r="N365" s="9" t="s">
        <v>3693</v>
      </c>
      <c r="O365" s="9" t="str">
        <f t="shared" si="39"/>
        <v>PDFを開く</v>
      </c>
      <c r="P365" s="9" t="s">
        <v>439</v>
      </c>
    </row>
    <row r="366" spans="1:16" ht="33.950000000000003" customHeight="1">
      <c r="A366" s="2" t="s">
        <v>440</v>
      </c>
      <c r="B366" s="2" t="s">
        <v>73</v>
      </c>
      <c r="C366" s="8" t="s">
        <v>441</v>
      </c>
      <c r="D366" s="2">
        <v>2</v>
      </c>
      <c r="E366" s="8" t="s">
        <v>3176</v>
      </c>
      <c r="F366" s="2" t="s">
        <v>447</v>
      </c>
      <c r="G366" s="2" t="s">
        <v>3177</v>
      </c>
      <c r="H366" s="2" t="s">
        <v>3178</v>
      </c>
      <c r="I366" s="8" t="s">
        <v>3694</v>
      </c>
      <c r="J366" s="2">
        <v>2027</v>
      </c>
      <c r="K366" s="2">
        <v>12158</v>
      </c>
      <c r="L366" s="8" t="s">
        <v>3695</v>
      </c>
      <c r="M366" s="2">
        <v>32.4</v>
      </c>
      <c r="N366" s="8" t="s">
        <v>3696</v>
      </c>
      <c r="O366" s="8" t="str">
        <f t="shared" ref="O366:O373" si="40">HYPERLINK("https://seichotoushi-hojo.jp/assets/pdf/koufu/outline_137.pdf","PDFを開く")</f>
        <v>PDFを開く</v>
      </c>
      <c r="P366" s="8" t="s">
        <v>449</v>
      </c>
    </row>
    <row r="367" spans="1:16" ht="33.950000000000003" customHeight="1">
      <c r="A367" s="5" t="s">
        <v>440</v>
      </c>
      <c r="B367" s="5" t="s">
        <v>73</v>
      </c>
      <c r="C367" s="9" t="s">
        <v>441</v>
      </c>
      <c r="D367" s="5">
        <v>2</v>
      </c>
      <c r="E367" s="9" t="s">
        <v>3176</v>
      </c>
      <c r="F367" s="5" t="s">
        <v>447</v>
      </c>
      <c r="G367" s="5" t="s">
        <v>3177</v>
      </c>
      <c r="H367" s="5" t="s">
        <v>3178</v>
      </c>
      <c r="I367" s="9" t="s">
        <v>3697</v>
      </c>
      <c r="J367" s="5">
        <v>2030</v>
      </c>
      <c r="K367" s="5">
        <v>28189</v>
      </c>
      <c r="L367" s="9" t="s">
        <v>3698</v>
      </c>
      <c r="M367" s="5">
        <v>32.4</v>
      </c>
      <c r="N367" s="9" t="s">
        <v>3696</v>
      </c>
      <c r="O367" s="9" t="str">
        <f t="shared" si="40"/>
        <v>PDFを開く</v>
      </c>
      <c r="P367" s="9" t="s">
        <v>449</v>
      </c>
    </row>
    <row r="368" spans="1:16" ht="33.950000000000003" customHeight="1">
      <c r="A368" s="2" t="s">
        <v>440</v>
      </c>
      <c r="B368" s="2" t="s">
        <v>73</v>
      </c>
      <c r="C368" s="8" t="s">
        <v>441</v>
      </c>
      <c r="D368" s="2">
        <v>2</v>
      </c>
      <c r="E368" s="8" t="s">
        <v>3184</v>
      </c>
      <c r="F368" s="2" t="s">
        <v>447</v>
      </c>
      <c r="G368" s="2" t="s">
        <v>3177</v>
      </c>
      <c r="H368" s="2" t="s">
        <v>3178</v>
      </c>
      <c r="I368" s="8" t="s">
        <v>3694</v>
      </c>
      <c r="J368" s="2">
        <v>2027</v>
      </c>
      <c r="K368" s="2">
        <v>6456</v>
      </c>
      <c r="L368" s="8" t="s">
        <v>3699</v>
      </c>
      <c r="M368" s="2">
        <v>5</v>
      </c>
      <c r="N368" s="8" t="s">
        <v>3700</v>
      </c>
      <c r="O368" s="8" t="str">
        <f t="shared" si="40"/>
        <v>PDFを開く</v>
      </c>
      <c r="P368" s="8" t="s">
        <v>449</v>
      </c>
    </row>
    <row r="369" spans="1:16" ht="33.950000000000003" customHeight="1">
      <c r="A369" s="5" t="s">
        <v>440</v>
      </c>
      <c r="B369" s="5" t="s">
        <v>73</v>
      </c>
      <c r="C369" s="9" t="s">
        <v>441</v>
      </c>
      <c r="D369" s="5">
        <v>2</v>
      </c>
      <c r="E369" s="9" t="s">
        <v>3184</v>
      </c>
      <c r="F369" s="5" t="s">
        <v>447</v>
      </c>
      <c r="G369" s="5" t="s">
        <v>3177</v>
      </c>
      <c r="H369" s="5" t="s">
        <v>3178</v>
      </c>
      <c r="I369" s="9" t="s">
        <v>3697</v>
      </c>
      <c r="J369" s="5">
        <v>2030</v>
      </c>
      <c r="K369" s="5">
        <v>7473</v>
      </c>
      <c r="L369" s="9" t="s">
        <v>3701</v>
      </c>
      <c r="M369" s="5">
        <v>5</v>
      </c>
      <c r="N369" s="9" t="s">
        <v>3700</v>
      </c>
      <c r="O369" s="9" t="str">
        <f t="shared" si="40"/>
        <v>PDFを開く</v>
      </c>
      <c r="P369" s="9" t="s">
        <v>449</v>
      </c>
    </row>
    <row r="370" spans="1:16" ht="33.950000000000003" customHeight="1">
      <c r="A370" s="2" t="s">
        <v>440</v>
      </c>
      <c r="B370" s="2" t="s">
        <v>73</v>
      </c>
      <c r="C370" s="8" t="s">
        <v>441</v>
      </c>
      <c r="D370" s="2">
        <v>2</v>
      </c>
      <c r="E370" s="8" t="s">
        <v>3188</v>
      </c>
      <c r="F370" s="2" t="s">
        <v>447</v>
      </c>
      <c r="G370" s="2" t="s">
        <v>3177</v>
      </c>
      <c r="H370" s="2" t="s">
        <v>3178</v>
      </c>
      <c r="I370" s="8" t="s">
        <v>3694</v>
      </c>
      <c r="J370" s="2">
        <v>2027</v>
      </c>
      <c r="K370" s="2">
        <v>16713</v>
      </c>
      <c r="L370" s="8" t="s">
        <v>3702</v>
      </c>
      <c r="M370" s="2">
        <v>5</v>
      </c>
      <c r="N370" s="8" t="s">
        <v>3703</v>
      </c>
      <c r="O370" s="8" t="str">
        <f t="shared" si="40"/>
        <v>PDFを開く</v>
      </c>
      <c r="P370" s="8" t="s">
        <v>449</v>
      </c>
    </row>
    <row r="371" spans="1:16" ht="33.950000000000003" customHeight="1">
      <c r="A371" s="5" t="s">
        <v>440</v>
      </c>
      <c r="B371" s="5" t="s">
        <v>73</v>
      </c>
      <c r="C371" s="9" t="s">
        <v>441</v>
      </c>
      <c r="D371" s="5">
        <v>2</v>
      </c>
      <c r="E371" s="9" t="s">
        <v>3188</v>
      </c>
      <c r="F371" s="5" t="s">
        <v>447</v>
      </c>
      <c r="G371" s="5" t="s">
        <v>3177</v>
      </c>
      <c r="H371" s="5" t="s">
        <v>3178</v>
      </c>
      <c r="I371" s="9" t="s">
        <v>3697</v>
      </c>
      <c r="J371" s="5">
        <v>2030</v>
      </c>
      <c r="K371" s="5">
        <v>19348</v>
      </c>
      <c r="L371" s="9" t="s">
        <v>3704</v>
      </c>
      <c r="M371" s="5">
        <v>5</v>
      </c>
      <c r="N371" s="9" t="s">
        <v>3703</v>
      </c>
      <c r="O371" s="9" t="str">
        <f t="shared" si="40"/>
        <v>PDFを開く</v>
      </c>
      <c r="P371" s="9" t="s">
        <v>449</v>
      </c>
    </row>
    <row r="372" spans="1:16" ht="33.950000000000003" customHeight="1">
      <c r="A372" s="2" t="s">
        <v>440</v>
      </c>
      <c r="B372" s="2" t="s">
        <v>73</v>
      </c>
      <c r="C372" s="8" t="s">
        <v>441</v>
      </c>
      <c r="D372" s="2">
        <v>2</v>
      </c>
      <c r="E372" s="8" t="s">
        <v>3191</v>
      </c>
      <c r="F372" s="2" t="s">
        <v>2513</v>
      </c>
      <c r="G372" s="2" t="s">
        <v>3177</v>
      </c>
      <c r="H372" s="2" t="s">
        <v>3178</v>
      </c>
      <c r="I372" s="8" t="s">
        <v>3694</v>
      </c>
      <c r="J372" s="2">
        <v>2027</v>
      </c>
      <c r="K372" s="2">
        <v>28</v>
      </c>
      <c r="L372" s="8" t="s">
        <v>3705</v>
      </c>
      <c r="M372" s="2"/>
      <c r="N372" s="8" t="s">
        <v>3706</v>
      </c>
      <c r="O372" s="8" t="str">
        <f t="shared" si="40"/>
        <v>PDFを開く</v>
      </c>
      <c r="P372" s="8" t="s">
        <v>449</v>
      </c>
    </row>
    <row r="373" spans="1:16" ht="33.950000000000003" customHeight="1">
      <c r="A373" s="5" t="s">
        <v>440</v>
      </c>
      <c r="B373" s="5" t="s">
        <v>73</v>
      </c>
      <c r="C373" s="9" t="s">
        <v>441</v>
      </c>
      <c r="D373" s="5">
        <v>2</v>
      </c>
      <c r="E373" s="9" t="s">
        <v>3191</v>
      </c>
      <c r="F373" s="5" t="s">
        <v>2513</v>
      </c>
      <c r="G373" s="5" t="s">
        <v>3177</v>
      </c>
      <c r="H373" s="5" t="s">
        <v>3178</v>
      </c>
      <c r="I373" s="9" t="s">
        <v>3697</v>
      </c>
      <c r="J373" s="5">
        <v>2030</v>
      </c>
      <c r="K373" s="5">
        <v>47</v>
      </c>
      <c r="L373" s="9" t="s">
        <v>3707</v>
      </c>
      <c r="M373" s="5"/>
      <c r="N373" s="9" t="s">
        <v>3706</v>
      </c>
      <c r="O373" s="9" t="str">
        <f t="shared" si="40"/>
        <v>PDFを開く</v>
      </c>
      <c r="P373" s="9" t="s">
        <v>449</v>
      </c>
    </row>
    <row r="374" spans="1:16" ht="33.950000000000003" customHeight="1">
      <c r="A374" s="2" t="s">
        <v>450</v>
      </c>
      <c r="B374" s="2" t="s">
        <v>73</v>
      </c>
      <c r="C374" s="8" t="s">
        <v>451</v>
      </c>
      <c r="D374" s="2">
        <v>7</v>
      </c>
      <c r="E374" s="8" t="s">
        <v>3176</v>
      </c>
      <c r="F374" s="2" t="s">
        <v>86</v>
      </c>
      <c r="G374" s="2" t="s">
        <v>3177</v>
      </c>
      <c r="H374" s="2" t="s">
        <v>3178</v>
      </c>
      <c r="I374" s="8" t="s">
        <v>3708</v>
      </c>
      <c r="J374" s="2">
        <v>2027</v>
      </c>
      <c r="K374" s="2">
        <v>116</v>
      </c>
      <c r="L374" s="8" t="s">
        <v>3709</v>
      </c>
      <c r="M374" s="2">
        <v>13.4</v>
      </c>
      <c r="N374" s="8" t="s">
        <v>3710</v>
      </c>
      <c r="O374" s="8" t="str">
        <f t="shared" ref="O374:O388" si="41">HYPERLINK("https://seichotoushi-hojo.jp/assets/pdf/koufu/outline_138.pdf","PDFを開く")</f>
        <v>PDFを開く</v>
      </c>
      <c r="P374" s="8" t="s">
        <v>458</v>
      </c>
    </row>
    <row r="375" spans="1:16" ht="33.950000000000003" customHeight="1">
      <c r="A375" s="5" t="s">
        <v>450</v>
      </c>
      <c r="B375" s="5" t="s">
        <v>73</v>
      </c>
      <c r="C375" s="9" t="s">
        <v>451</v>
      </c>
      <c r="D375" s="5">
        <v>7</v>
      </c>
      <c r="E375" s="9" t="s">
        <v>3176</v>
      </c>
      <c r="F375" s="5" t="s">
        <v>86</v>
      </c>
      <c r="G375" s="5" t="s">
        <v>3177</v>
      </c>
      <c r="H375" s="5" t="s">
        <v>3178</v>
      </c>
      <c r="I375" s="9" t="s">
        <v>3711</v>
      </c>
      <c r="J375" s="5">
        <v>2030</v>
      </c>
      <c r="K375" s="5">
        <v>169</v>
      </c>
      <c r="L375" s="9" t="s">
        <v>3378</v>
      </c>
      <c r="M375" s="5">
        <v>13.4</v>
      </c>
      <c r="N375" s="9" t="s">
        <v>3710</v>
      </c>
      <c r="O375" s="9" t="str">
        <f t="shared" si="41"/>
        <v>PDFを開く</v>
      </c>
      <c r="P375" s="9" t="s">
        <v>458</v>
      </c>
    </row>
    <row r="376" spans="1:16" ht="33.950000000000003" customHeight="1">
      <c r="A376" s="2" t="s">
        <v>450</v>
      </c>
      <c r="B376" s="2" t="s">
        <v>73</v>
      </c>
      <c r="C376" s="8" t="s">
        <v>451</v>
      </c>
      <c r="D376" s="2">
        <v>7</v>
      </c>
      <c r="E376" s="8" t="s">
        <v>3184</v>
      </c>
      <c r="F376" s="2" t="s">
        <v>86</v>
      </c>
      <c r="G376" s="2" t="s">
        <v>3177</v>
      </c>
      <c r="H376" s="2" t="s">
        <v>3178</v>
      </c>
      <c r="I376" s="8" t="s">
        <v>3708</v>
      </c>
      <c r="J376" s="2">
        <v>2027</v>
      </c>
      <c r="K376" s="2">
        <v>469</v>
      </c>
      <c r="L376" s="8" t="s">
        <v>3712</v>
      </c>
      <c r="M376" s="2">
        <v>6</v>
      </c>
      <c r="N376" s="8" t="s">
        <v>3713</v>
      </c>
      <c r="O376" s="8" t="str">
        <f t="shared" si="41"/>
        <v>PDFを開く</v>
      </c>
      <c r="P376" s="8" t="s">
        <v>458</v>
      </c>
    </row>
    <row r="377" spans="1:16" ht="33.950000000000003" customHeight="1">
      <c r="A377" s="5" t="s">
        <v>450</v>
      </c>
      <c r="B377" s="5" t="s">
        <v>73</v>
      </c>
      <c r="C377" s="9" t="s">
        <v>451</v>
      </c>
      <c r="D377" s="5">
        <v>7</v>
      </c>
      <c r="E377" s="9" t="s">
        <v>3184</v>
      </c>
      <c r="F377" s="5" t="s">
        <v>86</v>
      </c>
      <c r="G377" s="5" t="s">
        <v>3177</v>
      </c>
      <c r="H377" s="5" t="s">
        <v>3178</v>
      </c>
      <c r="I377" s="9" t="s">
        <v>3711</v>
      </c>
      <c r="J377" s="5">
        <v>2030</v>
      </c>
      <c r="K377" s="5">
        <v>60</v>
      </c>
      <c r="L377" s="9" t="s">
        <v>3406</v>
      </c>
      <c r="M377" s="5">
        <v>6</v>
      </c>
      <c r="N377" s="9" t="s">
        <v>3713</v>
      </c>
      <c r="O377" s="9" t="str">
        <f t="shared" si="41"/>
        <v>PDFを開く</v>
      </c>
      <c r="P377" s="9" t="s">
        <v>458</v>
      </c>
    </row>
    <row r="378" spans="1:16" ht="33.950000000000003" customHeight="1">
      <c r="A378" s="2" t="s">
        <v>450</v>
      </c>
      <c r="B378" s="2" t="s">
        <v>73</v>
      </c>
      <c r="C378" s="8" t="s">
        <v>451</v>
      </c>
      <c r="D378" s="2">
        <v>7</v>
      </c>
      <c r="E378" s="8" t="s">
        <v>3188</v>
      </c>
      <c r="F378" s="2"/>
      <c r="G378" s="19" t="s">
        <v>3189</v>
      </c>
      <c r="H378" s="2" t="s">
        <v>3178</v>
      </c>
      <c r="I378" s="8"/>
      <c r="J378" s="2"/>
      <c r="K378" s="2"/>
      <c r="L378" s="8"/>
      <c r="M378" s="2">
        <v>5</v>
      </c>
      <c r="N378" s="8" t="s">
        <v>3714</v>
      </c>
      <c r="O378" s="8" t="str">
        <f t="shared" si="41"/>
        <v>PDFを開く</v>
      </c>
      <c r="P378" s="8" t="s">
        <v>458</v>
      </c>
    </row>
    <row r="379" spans="1:16" ht="33.950000000000003" customHeight="1">
      <c r="A379" s="5" t="s">
        <v>450</v>
      </c>
      <c r="B379" s="5" t="s">
        <v>73</v>
      </c>
      <c r="C379" s="9" t="s">
        <v>451</v>
      </c>
      <c r="D379" s="5">
        <v>7</v>
      </c>
      <c r="E379" s="9" t="s">
        <v>3191</v>
      </c>
      <c r="F379" s="5" t="s">
        <v>2513</v>
      </c>
      <c r="G379" s="5" t="s">
        <v>3177</v>
      </c>
      <c r="H379" s="5"/>
      <c r="I379" s="9" t="s">
        <v>3708</v>
      </c>
      <c r="J379" s="5">
        <v>2027</v>
      </c>
      <c r="K379" s="5">
        <v>277</v>
      </c>
      <c r="L379" s="9" t="s">
        <v>3715</v>
      </c>
      <c r="M379" s="5"/>
      <c r="N379" s="9" t="s">
        <v>3716</v>
      </c>
      <c r="O379" s="9" t="str">
        <f t="shared" si="41"/>
        <v>PDFを開く</v>
      </c>
      <c r="P379" s="9" t="s">
        <v>458</v>
      </c>
    </row>
    <row r="380" spans="1:16" ht="33.950000000000003" customHeight="1">
      <c r="A380" s="2" t="s">
        <v>450</v>
      </c>
      <c r="B380" s="2" t="s">
        <v>73</v>
      </c>
      <c r="C380" s="8" t="s">
        <v>451</v>
      </c>
      <c r="D380" s="2">
        <v>7</v>
      </c>
      <c r="E380" s="8" t="s">
        <v>3191</v>
      </c>
      <c r="F380" s="2" t="s">
        <v>2513</v>
      </c>
      <c r="G380" s="2" t="s">
        <v>3177</v>
      </c>
      <c r="H380" s="2"/>
      <c r="I380" s="8" t="s">
        <v>3711</v>
      </c>
      <c r="J380" s="2">
        <v>2030</v>
      </c>
      <c r="K380" s="2">
        <v>305</v>
      </c>
      <c r="L380" s="8" t="s">
        <v>3717</v>
      </c>
      <c r="M380" s="2"/>
      <c r="N380" s="8" t="s">
        <v>3716</v>
      </c>
      <c r="O380" s="8" t="str">
        <f t="shared" si="41"/>
        <v>PDFを開く</v>
      </c>
      <c r="P380" s="8" t="s">
        <v>458</v>
      </c>
    </row>
    <row r="381" spans="1:16" ht="33.950000000000003" customHeight="1">
      <c r="A381" s="5" t="s">
        <v>450</v>
      </c>
      <c r="B381" s="5" t="s">
        <v>73</v>
      </c>
      <c r="C381" s="9" t="s">
        <v>451</v>
      </c>
      <c r="D381" s="5">
        <v>2</v>
      </c>
      <c r="E381" s="9" t="s">
        <v>3176</v>
      </c>
      <c r="F381" s="5" t="s">
        <v>86</v>
      </c>
      <c r="G381" s="5" t="s">
        <v>3177</v>
      </c>
      <c r="H381" s="5"/>
      <c r="I381" s="9" t="s">
        <v>3686</v>
      </c>
      <c r="J381" s="5">
        <v>2027</v>
      </c>
      <c r="K381" s="5">
        <v>1162</v>
      </c>
      <c r="L381" s="9" t="s">
        <v>3718</v>
      </c>
      <c r="M381" s="5">
        <v>11.9</v>
      </c>
      <c r="N381" s="9" t="s">
        <v>3719</v>
      </c>
      <c r="O381" s="9" t="str">
        <f t="shared" si="41"/>
        <v>PDFを開く</v>
      </c>
      <c r="P381" s="9" t="s">
        <v>458</v>
      </c>
    </row>
    <row r="382" spans="1:16" ht="33.950000000000003" customHeight="1">
      <c r="A382" s="2" t="s">
        <v>450</v>
      </c>
      <c r="B382" s="2" t="s">
        <v>73</v>
      </c>
      <c r="C382" s="8" t="s">
        <v>451</v>
      </c>
      <c r="D382" s="2">
        <v>2</v>
      </c>
      <c r="E382" s="8" t="s">
        <v>3176</v>
      </c>
      <c r="F382" s="2" t="s">
        <v>86</v>
      </c>
      <c r="G382" s="2" t="s">
        <v>3177</v>
      </c>
      <c r="H382" s="2"/>
      <c r="I382" s="8" t="s">
        <v>3688</v>
      </c>
      <c r="J382" s="2">
        <v>2030</v>
      </c>
      <c r="K382" s="2">
        <v>1625</v>
      </c>
      <c r="L382" s="8" t="s">
        <v>3720</v>
      </c>
      <c r="M382" s="2">
        <v>11.9</v>
      </c>
      <c r="N382" s="8" t="s">
        <v>3719</v>
      </c>
      <c r="O382" s="8" t="str">
        <f t="shared" si="41"/>
        <v>PDFを開く</v>
      </c>
      <c r="P382" s="8" t="s">
        <v>458</v>
      </c>
    </row>
    <row r="383" spans="1:16" ht="33.950000000000003" customHeight="1">
      <c r="A383" s="5" t="s">
        <v>450</v>
      </c>
      <c r="B383" s="5" t="s">
        <v>73</v>
      </c>
      <c r="C383" s="9" t="s">
        <v>451</v>
      </c>
      <c r="D383" s="5">
        <v>2</v>
      </c>
      <c r="E383" s="9" t="s">
        <v>3184</v>
      </c>
      <c r="F383" s="5" t="s">
        <v>86</v>
      </c>
      <c r="G383" s="5" t="s">
        <v>3177</v>
      </c>
      <c r="H383" s="5"/>
      <c r="I383" s="9" t="s">
        <v>3686</v>
      </c>
      <c r="J383" s="5">
        <v>2027</v>
      </c>
      <c r="K383" s="5">
        <v>469</v>
      </c>
      <c r="L383" s="9" t="s">
        <v>3712</v>
      </c>
      <c r="M383" s="5">
        <v>6.06</v>
      </c>
      <c r="N383" s="9" t="s">
        <v>3721</v>
      </c>
      <c r="O383" s="9" t="str">
        <f t="shared" si="41"/>
        <v>PDFを開く</v>
      </c>
      <c r="P383" s="9" t="s">
        <v>458</v>
      </c>
    </row>
    <row r="384" spans="1:16" ht="33.950000000000003" customHeight="1">
      <c r="A384" s="2" t="s">
        <v>450</v>
      </c>
      <c r="B384" s="2" t="s">
        <v>73</v>
      </c>
      <c r="C384" s="8" t="s">
        <v>451</v>
      </c>
      <c r="D384" s="2">
        <v>2</v>
      </c>
      <c r="E384" s="8" t="s">
        <v>3184</v>
      </c>
      <c r="F384" s="2" t="s">
        <v>86</v>
      </c>
      <c r="G384" s="2" t="s">
        <v>3177</v>
      </c>
      <c r="H384" s="2"/>
      <c r="I384" s="8" t="s">
        <v>3688</v>
      </c>
      <c r="J384" s="2">
        <v>2030</v>
      </c>
      <c r="K384" s="2">
        <v>560</v>
      </c>
      <c r="L384" s="8" t="s">
        <v>3637</v>
      </c>
      <c r="M384" s="2">
        <v>6.06</v>
      </c>
      <c r="N384" s="8" t="s">
        <v>3721</v>
      </c>
      <c r="O384" s="8" t="str">
        <f t="shared" si="41"/>
        <v>PDFを開く</v>
      </c>
      <c r="P384" s="8" t="s">
        <v>458</v>
      </c>
    </row>
    <row r="385" spans="1:16" ht="33.950000000000003" customHeight="1">
      <c r="A385" s="5" t="s">
        <v>450</v>
      </c>
      <c r="B385" s="5" t="s">
        <v>73</v>
      </c>
      <c r="C385" s="9" t="s">
        <v>451</v>
      </c>
      <c r="D385" s="5">
        <v>2</v>
      </c>
      <c r="E385" s="9" t="s">
        <v>3191</v>
      </c>
      <c r="F385" s="5" t="s">
        <v>2513</v>
      </c>
      <c r="G385" s="5" t="s">
        <v>3177</v>
      </c>
      <c r="H385" s="5"/>
      <c r="I385" s="9" t="s">
        <v>3686</v>
      </c>
      <c r="J385" s="5">
        <v>2027</v>
      </c>
      <c r="K385" s="5">
        <v>277</v>
      </c>
      <c r="L385" s="9" t="s">
        <v>3715</v>
      </c>
      <c r="M385" s="5"/>
      <c r="N385" s="9" t="s">
        <v>3722</v>
      </c>
      <c r="O385" s="9" t="str">
        <f t="shared" si="41"/>
        <v>PDFを開く</v>
      </c>
      <c r="P385" s="9" t="s">
        <v>458</v>
      </c>
    </row>
    <row r="386" spans="1:16" ht="33.950000000000003" customHeight="1">
      <c r="A386" s="2" t="s">
        <v>450</v>
      </c>
      <c r="B386" s="2" t="s">
        <v>73</v>
      </c>
      <c r="C386" s="8" t="s">
        <v>451</v>
      </c>
      <c r="D386" s="2">
        <v>2</v>
      </c>
      <c r="E386" s="8" t="s">
        <v>3191</v>
      </c>
      <c r="F386" s="2" t="s">
        <v>2513</v>
      </c>
      <c r="G386" s="2" t="s">
        <v>3177</v>
      </c>
      <c r="H386" s="2"/>
      <c r="I386" s="8" t="s">
        <v>3688</v>
      </c>
      <c r="J386" s="2">
        <v>2030</v>
      </c>
      <c r="K386" s="2">
        <v>305</v>
      </c>
      <c r="L386" s="8" t="s">
        <v>3717</v>
      </c>
      <c r="M386" s="2"/>
      <c r="N386" s="8" t="s">
        <v>3722</v>
      </c>
      <c r="O386" s="8" t="str">
        <f t="shared" si="41"/>
        <v>PDFを開く</v>
      </c>
      <c r="P386" s="8" t="s">
        <v>458</v>
      </c>
    </row>
    <row r="387" spans="1:16" ht="33.950000000000003" customHeight="1">
      <c r="A387" s="5" t="s">
        <v>450</v>
      </c>
      <c r="B387" s="5" t="s">
        <v>73</v>
      </c>
      <c r="C387" s="9" t="s">
        <v>451</v>
      </c>
      <c r="D387" s="5">
        <v>7</v>
      </c>
      <c r="E387" s="9" t="s">
        <v>3188</v>
      </c>
      <c r="F387" s="5" t="s">
        <v>86</v>
      </c>
      <c r="G387" s="5" t="s">
        <v>3177</v>
      </c>
      <c r="H387" s="5"/>
      <c r="I387" s="9" t="s">
        <v>3723</v>
      </c>
      <c r="J387" s="5">
        <v>2027</v>
      </c>
      <c r="K387" s="5"/>
      <c r="L387" s="9" t="s">
        <v>3211</v>
      </c>
      <c r="M387" s="5">
        <v>6</v>
      </c>
      <c r="N387" s="9" t="s">
        <v>3724</v>
      </c>
      <c r="O387" s="9" t="str">
        <f t="shared" si="41"/>
        <v>PDFを開く</v>
      </c>
      <c r="P387" s="9" t="s">
        <v>458</v>
      </c>
    </row>
    <row r="388" spans="1:16" ht="33.950000000000003" customHeight="1">
      <c r="A388" s="2" t="s">
        <v>450</v>
      </c>
      <c r="B388" s="2" t="s">
        <v>73</v>
      </c>
      <c r="C388" s="8" t="s">
        <v>451</v>
      </c>
      <c r="D388" s="2">
        <v>7</v>
      </c>
      <c r="E388" s="8" t="s">
        <v>3188</v>
      </c>
      <c r="F388" s="2" t="s">
        <v>86</v>
      </c>
      <c r="G388" s="2" t="s">
        <v>3177</v>
      </c>
      <c r="H388" s="2"/>
      <c r="I388" s="8" t="s">
        <v>3725</v>
      </c>
      <c r="J388" s="2">
        <v>2030</v>
      </c>
      <c r="K388" s="2"/>
      <c r="L388" s="8" t="s">
        <v>3726</v>
      </c>
      <c r="M388" s="2">
        <v>6</v>
      </c>
      <c r="N388" s="8" t="s">
        <v>3724</v>
      </c>
      <c r="O388" s="8" t="str">
        <f t="shared" si="41"/>
        <v>PDFを開く</v>
      </c>
      <c r="P388" s="8" t="s">
        <v>458</v>
      </c>
    </row>
    <row r="389" spans="1:16" ht="33.950000000000003" customHeight="1">
      <c r="A389" s="5" t="s">
        <v>459</v>
      </c>
      <c r="B389" s="5" t="s">
        <v>73</v>
      </c>
      <c r="C389" s="9" t="s">
        <v>460</v>
      </c>
      <c r="D389" s="5">
        <v>2</v>
      </c>
      <c r="E389" s="9" t="s">
        <v>3176</v>
      </c>
      <c r="F389" s="5" t="s">
        <v>86</v>
      </c>
      <c r="G389" s="5" t="s">
        <v>3177</v>
      </c>
      <c r="H389" s="5" t="s">
        <v>3178</v>
      </c>
      <c r="I389" s="9" t="s">
        <v>3179</v>
      </c>
      <c r="J389" s="5">
        <v>2026</v>
      </c>
      <c r="K389" s="5">
        <v>908</v>
      </c>
      <c r="L389" s="9" t="s">
        <v>3727</v>
      </c>
      <c r="M389" s="5">
        <v>15.5</v>
      </c>
      <c r="N389" s="9" t="s">
        <v>3728</v>
      </c>
      <c r="O389" s="9" t="str">
        <f t="shared" ref="O389:O396" si="42">HYPERLINK("https://seichotoushi-hojo.jp/assets/pdf/koufu/outline_139.pdf","PDFを開く")</f>
        <v>PDFを開く</v>
      </c>
      <c r="P389" s="9" t="s">
        <v>466</v>
      </c>
    </row>
    <row r="390" spans="1:16" ht="33.950000000000003" customHeight="1">
      <c r="A390" s="2" t="s">
        <v>459</v>
      </c>
      <c r="B390" s="2" t="s">
        <v>73</v>
      </c>
      <c r="C390" s="8" t="s">
        <v>460</v>
      </c>
      <c r="D390" s="2">
        <v>2</v>
      </c>
      <c r="E390" s="8" t="s">
        <v>3176</v>
      </c>
      <c r="F390" s="2" t="s">
        <v>86</v>
      </c>
      <c r="G390" s="2" t="s">
        <v>3177</v>
      </c>
      <c r="H390" s="2" t="s">
        <v>3178</v>
      </c>
      <c r="I390" s="8" t="s">
        <v>3182</v>
      </c>
      <c r="J390" s="2">
        <v>2029</v>
      </c>
      <c r="K390" s="2">
        <v>1400</v>
      </c>
      <c r="L390" s="8" t="s">
        <v>3729</v>
      </c>
      <c r="M390" s="2">
        <v>15.5</v>
      </c>
      <c r="N390" s="8" t="s">
        <v>3728</v>
      </c>
      <c r="O390" s="8" t="str">
        <f t="shared" si="42"/>
        <v>PDFを開く</v>
      </c>
      <c r="P390" s="8" t="s">
        <v>466</v>
      </c>
    </row>
    <row r="391" spans="1:16" ht="33.950000000000003" customHeight="1">
      <c r="A391" s="5" t="s">
        <v>459</v>
      </c>
      <c r="B391" s="5" t="s">
        <v>73</v>
      </c>
      <c r="C391" s="9" t="s">
        <v>460</v>
      </c>
      <c r="D391" s="5">
        <v>2</v>
      </c>
      <c r="E391" s="9" t="s">
        <v>3184</v>
      </c>
      <c r="F391" s="5" t="s">
        <v>86</v>
      </c>
      <c r="G391" s="5" t="s">
        <v>3177</v>
      </c>
      <c r="H391" s="5" t="s">
        <v>3178</v>
      </c>
      <c r="I391" s="9" t="s">
        <v>3179</v>
      </c>
      <c r="J391" s="5">
        <v>2026</v>
      </c>
      <c r="K391" s="5">
        <v>469</v>
      </c>
      <c r="L391" s="9" t="s">
        <v>3712</v>
      </c>
      <c r="M391" s="5">
        <v>4.5</v>
      </c>
      <c r="N391" s="9" t="s">
        <v>3730</v>
      </c>
      <c r="O391" s="9" t="str">
        <f t="shared" si="42"/>
        <v>PDFを開く</v>
      </c>
      <c r="P391" s="9" t="s">
        <v>466</v>
      </c>
    </row>
    <row r="392" spans="1:16" ht="33.950000000000003" customHeight="1">
      <c r="A392" s="2" t="s">
        <v>459</v>
      </c>
      <c r="B392" s="2" t="s">
        <v>73</v>
      </c>
      <c r="C392" s="8" t="s">
        <v>460</v>
      </c>
      <c r="D392" s="2">
        <v>2</v>
      </c>
      <c r="E392" s="8" t="s">
        <v>3184</v>
      </c>
      <c r="F392" s="2" t="s">
        <v>86</v>
      </c>
      <c r="G392" s="2" t="s">
        <v>3177</v>
      </c>
      <c r="H392" s="2" t="s">
        <v>3178</v>
      </c>
      <c r="I392" s="8" t="s">
        <v>3182</v>
      </c>
      <c r="J392" s="2">
        <v>2029</v>
      </c>
      <c r="K392" s="2">
        <v>535.5</v>
      </c>
      <c r="L392" s="8" t="s">
        <v>3731</v>
      </c>
      <c r="M392" s="2">
        <v>4.5</v>
      </c>
      <c r="N392" s="8" t="s">
        <v>3730</v>
      </c>
      <c r="O392" s="8" t="str">
        <f t="shared" si="42"/>
        <v>PDFを開く</v>
      </c>
      <c r="P392" s="8" t="s">
        <v>466</v>
      </c>
    </row>
    <row r="393" spans="1:16" ht="33.950000000000003" customHeight="1">
      <c r="A393" s="5" t="s">
        <v>459</v>
      </c>
      <c r="B393" s="5" t="s">
        <v>73</v>
      </c>
      <c r="C393" s="9" t="s">
        <v>460</v>
      </c>
      <c r="D393" s="5">
        <v>2</v>
      </c>
      <c r="E393" s="9" t="s">
        <v>3188</v>
      </c>
      <c r="F393" s="5" t="s">
        <v>86</v>
      </c>
      <c r="G393" s="5" t="s">
        <v>3177</v>
      </c>
      <c r="H393" s="5" t="s">
        <v>3178</v>
      </c>
      <c r="I393" s="9" t="s">
        <v>3179</v>
      </c>
      <c r="J393" s="5">
        <v>2026</v>
      </c>
      <c r="K393" s="5">
        <v>1210.8</v>
      </c>
      <c r="L393" s="9" t="s">
        <v>3732</v>
      </c>
      <c r="M393" s="5">
        <v>4.5</v>
      </c>
      <c r="N393" s="9" t="s">
        <v>3733</v>
      </c>
      <c r="O393" s="9" t="str">
        <f t="shared" si="42"/>
        <v>PDFを開く</v>
      </c>
      <c r="P393" s="9" t="s">
        <v>466</v>
      </c>
    </row>
    <row r="394" spans="1:16" ht="33.950000000000003" customHeight="1">
      <c r="A394" s="2" t="s">
        <v>459</v>
      </c>
      <c r="B394" s="2" t="s">
        <v>73</v>
      </c>
      <c r="C394" s="8" t="s">
        <v>460</v>
      </c>
      <c r="D394" s="2">
        <v>2</v>
      </c>
      <c r="E394" s="8" t="s">
        <v>3188</v>
      </c>
      <c r="F394" s="2" t="s">
        <v>86</v>
      </c>
      <c r="G394" s="2" t="s">
        <v>3177</v>
      </c>
      <c r="H394" s="2" t="s">
        <v>3178</v>
      </c>
      <c r="I394" s="8" t="s">
        <v>3182</v>
      </c>
      <c r="J394" s="2">
        <v>2029</v>
      </c>
      <c r="K394" s="2">
        <v>1381.9</v>
      </c>
      <c r="L394" s="8" t="s">
        <v>3734</v>
      </c>
      <c r="M394" s="2">
        <v>4.5</v>
      </c>
      <c r="N394" s="8" t="s">
        <v>3733</v>
      </c>
      <c r="O394" s="8" t="str">
        <f t="shared" si="42"/>
        <v>PDFを開く</v>
      </c>
      <c r="P394" s="8" t="s">
        <v>466</v>
      </c>
    </row>
    <row r="395" spans="1:16" ht="33.950000000000003" customHeight="1">
      <c r="A395" s="5" t="s">
        <v>459</v>
      </c>
      <c r="B395" s="5" t="s">
        <v>73</v>
      </c>
      <c r="C395" s="9" t="s">
        <v>460</v>
      </c>
      <c r="D395" s="5">
        <v>2</v>
      </c>
      <c r="E395" s="9" t="s">
        <v>3191</v>
      </c>
      <c r="F395" s="5" t="s">
        <v>2513</v>
      </c>
      <c r="G395" s="5" t="s">
        <v>3177</v>
      </c>
      <c r="H395" s="5" t="s">
        <v>3178</v>
      </c>
      <c r="I395" s="9" t="s">
        <v>3179</v>
      </c>
      <c r="J395" s="5">
        <v>2026</v>
      </c>
      <c r="K395" s="5">
        <v>102</v>
      </c>
      <c r="L395" s="9" t="s">
        <v>3735</v>
      </c>
      <c r="M395" s="5"/>
      <c r="N395" s="9" t="s">
        <v>3736</v>
      </c>
      <c r="O395" s="9" t="str">
        <f t="shared" si="42"/>
        <v>PDFを開く</v>
      </c>
      <c r="P395" s="9" t="s">
        <v>466</v>
      </c>
    </row>
    <row r="396" spans="1:16" ht="33.950000000000003" customHeight="1">
      <c r="A396" s="2" t="s">
        <v>459</v>
      </c>
      <c r="B396" s="2" t="s">
        <v>73</v>
      </c>
      <c r="C396" s="8" t="s">
        <v>460</v>
      </c>
      <c r="D396" s="2">
        <v>2</v>
      </c>
      <c r="E396" s="8" t="s">
        <v>3191</v>
      </c>
      <c r="F396" s="2" t="s">
        <v>2513</v>
      </c>
      <c r="G396" s="2" t="s">
        <v>3177</v>
      </c>
      <c r="H396" s="2" t="s">
        <v>3178</v>
      </c>
      <c r="I396" s="8" t="s">
        <v>3182</v>
      </c>
      <c r="J396" s="2">
        <v>2029</v>
      </c>
      <c r="K396" s="2">
        <v>237</v>
      </c>
      <c r="L396" s="8" t="s">
        <v>3737</v>
      </c>
      <c r="M396" s="2"/>
      <c r="N396" s="8" t="s">
        <v>3736</v>
      </c>
      <c r="O396" s="8" t="str">
        <f t="shared" si="42"/>
        <v>PDFを開く</v>
      </c>
      <c r="P396" s="8" t="s">
        <v>466</v>
      </c>
    </row>
    <row r="397" spans="1:16" ht="33.950000000000003" customHeight="1">
      <c r="A397" s="5" t="s">
        <v>467</v>
      </c>
      <c r="B397" s="5" t="s">
        <v>73</v>
      </c>
      <c r="C397" s="9" t="s">
        <v>468</v>
      </c>
      <c r="D397" s="5">
        <v>2</v>
      </c>
      <c r="E397" s="9" t="s">
        <v>3176</v>
      </c>
      <c r="F397" s="5" t="s">
        <v>86</v>
      </c>
      <c r="G397" s="5" t="s">
        <v>3177</v>
      </c>
      <c r="H397" s="5" t="s">
        <v>3178</v>
      </c>
      <c r="I397" s="9" t="s">
        <v>3179</v>
      </c>
      <c r="J397" s="5">
        <v>2026</v>
      </c>
      <c r="K397" s="5">
        <v>898</v>
      </c>
      <c r="L397" s="9" t="s">
        <v>3738</v>
      </c>
      <c r="M397" s="5">
        <v>14.1</v>
      </c>
      <c r="N397" s="9" t="s">
        <v>3739</v>
      </c>
      <c r="O397" s="9" t="str">
        <f t="shared" ref="O397:O403" si="43">HYPERLINK("https://seichotoushi-hojo.jp/assets/pdf/koufu/outline_14.pdf","PDFを開く")</f>
        <v>PDFを開く</v>
      </c>
      <c r="P397" s="9" t="s">
        <v>475</v>
      </c>
    </row>
    <row r="398" spans="1:16" ht="33.950000000000003" customHeight="1">
      <c r="A398" s="2" t="s">
        <v>467</v>
      </c>
      <c r="B398" s="2" t="s">
        <v>73</v>
      </c>
      <c r="C398" s="8" t="s">
        <v>468</v>
      </c>
      <c r="D398" s="2">
        <v>2</v>
      </c>
      <c r="E398" s="8" t="s">
        <v>3176</v>
      </c>
      <c r="F398" s="2" t="s">
        <v>86</v>
      </c>
      <c r="G398" s="2" t="s">
        <v>3177</v>
      </c>
      <c r="H398" s="2" t="s">
        <v>3178</v>
      </c>
      <c r="I398" s="8" t="s">
        <v>3182</v>
      </c>
      <c r="J398" s="2">
        <v>2029</v>
      </c>
      <c r="K398" s="2">
        <v>1337</v>
      </c>
      <c r="L398" s="8" t="s">
        <v>3643</v>
      </c>
      <c r="M398" s="2">
        <v>14.1</v>
      </c>
      <c r="N398" s="8" t="s">
        <v>3739</v>
      </c>
      <c r="O398" s="8" t="str">
        <f t="shared" si="43"/>
        <v>PDFを開く</v>
      </c>
      <c r="P398" s="8" t="s">
        <v>475</v>
      </c>
    </row>
    <row r="399" spans="1:16" ht="33.950000000000003" customHeight="1">
      <c r="A399" s="5" t="s">
        <v>467</v>
      </c>
      <c r="B399" s="5" t="s">
        <v>73</v>
      </c>
      <c r="C399" s="9" t="s">
        <v>468</v>
      </c>
      <c r="D399" s="5">
        <v>2</v>
      </c>
      <c r="E399" s="9" t="s">
        <v>3184</v>
      </c>
      <c r="F399" s="5" t="s">
        <v>86</v>
      </c>
      <c r="G399" s="5" t="s">
        <v>3177</v>
      </c>
      <c r="H399" s="5" t="s">
        <v>3178</v>
      </c>
      <c r="I399" s="9" t="s">
        <v>3179</v>
      </c>
      <c r="J399" s="5">
        <v>2026</v>
      </c>
      <c r="K399" s="5">
        <v>562</v>
      </c>
      <c r="L399" s="9" t="s">
        <v>3740</v>
      </c>
      <c r="M399" s="5">
        <v>3.5</v>
      </c>
      <c r="N399" s="9" t="s">
        <v>3741</v>
      </c>
      <c r="O399" s="9" t="str">
        <f t="shared" si="43"/>
        <v>PDFを開く</v>
      </c>
      <c r="P399" s="9" t="s">
        <v>475</v>
      </c>
    </row>
    <row r="400" spans="1:16" ht="33.950000000000003" customHeight="1">
      <c r="A400" s="2" t="s">
        <v>467</v>
      </c>
      <c r="B400" s="2" t="s">
        <v>73</v>
      </c>
      <c r="C400" s="8" t="s">
        <v>468</v>
      </c>
      <c r="D400" s="2">
        <v>2</v>
      </c>
      <c r="E400" s="8" t="s">
        <v>3184</v>
      </c>
      <c r="F400" s="2" t="s">
        <v>86</v>
      </c>
      <c r="G400" s="2" t="s">
        <v>3177</v>
      </c>
      <c r="H400" s="2" t="s">
        <v>3178</v>
      </c>
      <c r="I400" s="8" t="s">
        <v>3182</v>
      </c>
      <c r="J400" s="2">
        <v>2029</v>
      </c>
      <c r="K400" s="2">
        <v>623</v>
      </c>
      <c r="L400" s="8" t="s">
        <v>3512</v>
      </c>
      <c r="M400" s="2">
        <v>3.5</v>
      </c>
      <c r="N400" s="8" t="s">
        <v>3741</v>
      </c>
      <c r="O400" s="8" t="str">
        <f t="shared" si="43"/>
        <v>PDFを開く</v>
      </c>
      <c r="P400" s="8" t="s">
        <v>475</v>
      </c>
    </row>
    <row r="401" spans="1:16" ht="33.950000000000003" customHeight="1">
      <c r="A401" s="5" t="s">
        <v>467</v>
      </c>
      <c r="B401" s="5" t="s">
        <v>73</v>
      </c>
      <c r="C401" s="9" t="s">
        <v>468</v>
      </c>
      <c r="D401" s="5">
        <v>2</v>
      </c>
      <c r="E401" s="9" t="s">
        <v>3188</v>
      </c>
      <c r="F401" s="5" t="s">
        <v>86</v>
      </c>
      <c r="G401" s="19" t="s">
        <v>3189</v>
      </c>
      <c r="H401" s="5" t="s">
        <v>3178</v>
      </c>
      <c r="I401" s="9"/>
      <c r="J401" s="5"/>
      <c r="K401" s="5"/>
      <c r="L401" s="9"/>
      <c r="M401" s="5"/>
      <c r="N401" s="9" t="s">
        <v>3742</v>
      </c>
      <c r="O401" s="9" t="str">
        <f t="shared" si="43"/>
        <v>PDFを開く</v>
      </c>
      <c r="P401" s="9" t="s">
        <v>475</v>
      </c>
    </row>
    <row r="402" spans="1:16" ht="33.950000000000003" customHeight="1">
      <c r="A402" s="2" t="s">
        <v>467</v>
      </c>
      <c r="B402" s="2" t="s">
        <v>73</v>
      </c>
      <c r="C402" s="8" t="s">
        <v>468</v>
      </c>
      <c r="D402" s="2">
        <v>2</v>
      </c>
      <c r="E402" s="8" t="s">
        <v>3191</v>
      </c>
      <c r="F402" s="2" t="s">
        <v>2513</v>
      </c>
      <c r="G402" s="2" t="s">
        <v>3177</v>
      </c>
      <c r="H402" s="2" t="s">
        <v>3178</v>
      </c>
      <c r="I402" s="8" t="s">
        <v>3179</v>
      </c>
      <c r="J402" s="2">
        <v>2026</v>
      </c>
      <c r="K402" s="2">
        <v>342</v>
      </c>
      <c r="L402" s="8" t="s">
        <v>3743</v>
      </c>
      <c r="M402" s="2"/>
      <c r="N402" s="8" t="s">
        <v>3744</v>
      </c>
      <c r="O402" s="8" t="str">
        <f t="shared" si="43"/>
        <v>PDFを開く</v>
      </c>
      <c r="P402" s="8" t="s">
        <v>475</v>
      </c>
    </row>
    <row r="403" spans="1:16" ht="33.950000000000003" customHeight="1">
      <c r="A403" s="5" t="s">
        <v>467</v>
      </c>
      <c r="B403" s="5" t="s">
        <v>73</v>
      </c>
      <c r="C403" s="9" t="s">
        <v>468</v>
      </c>
      <c r="D403" s="5">
        <v>2</v>
      </c>
      <c r="E403" s="9" t="s">
        <v>3191</v>
      </c>
      <c r="F403" s="5" t="s">
        <v>2513</v>
      </c>
      <c r="G403" s="5" t="s">
        <v>3177</v>
      </c>
      <c r="H403" s="5" t="s">
        <v>3178</v>
      </c>
      <c r="I403" s="9" t="s">
        <v>3182</v>
      </c>
      <c r="J403" s="5">
        <v>2029</v>
      </c>
      <c r="K403" s="5">
        <v>357</v>
      </c>
      <c r="L403" s="9" t="s">
        <v>3745</v>
      </c>
      <c r="M403" s="5"/>
      <c r="N403" s="9" t="s">
        <v>3744</v>
      </c>
      <c r="O403" s="9" t="str">
        <f t="shared" si="43"/>
        <v>PDFを開く</v>
      </c>
      <c r="P403" s="9" t="s">
        <v>475</v>
      </c>
    </row>
    <row r="404" spans="1:16" ht="33.950000000000003" customHeight="1">
      <c r="A404" s="2" t="s">
        <v>476</v>
      </c>
      <c r="B404" s="2" t="s">
        <v>73</v>
      </c>
      <c r="C404" s="8" t="s">
        <v>477</v>
      </c>
      <c r="D404" s="2">
        <v>3</v>
      </c>
      <c r="E404" s="8" t="s">
        <v>3176</v>
      </c>
      <c r="F404" s="2" t="s">
        <v>86</v>
      </c>
      <c r="G404" s="2" t="s">
        <v>3177</v>
      </c>
      <c r="H404" s="2" t="s">
        <v>3178</v>
      </c>
      <c r="I404" s="8" t="s">
        <v>3179</v>
      </c>
      <c r="J404" s="2">
        <v>2026</v>
      </c>
      <c r="K404" s="2">
        <v>701</v>
      </c>
      <c r="L404" s="8" t="s">
        <v>3746</v>
      </c>
      <c r="M404" s="2">
        <v>32</v>
      </c>
      <c r="N404" s="8" t="s">
        <v>3747</v>
      </c>
      <c r="O404" s="8" t="str">
        <f t="shared" ref="O404:O411" si="44">HYPERLINK("https://seichotoushi-hojo.jp/assets/pdf/koufu/outline_140.pdf","PDFを開く")</f>
        <v>PDFを開く</v>
      </c>
      <c r="P404" s="8" t="s">
        <v>484</v>
      </c>
    </row>
    <row r="405" spans="1:16" ht="33.950000000000003" customHeight="1">
      <c r="A405" s="5" t="s">
        <v>476</v>
      </c>
      <c r="B405" s="5" t="s">
        <v>73</v>
      </c>
      <c r="C405" s="9" t="s">
        <v>477</v>
      </c>
      <c r="D405" s="5">
        <v>3</v>
      </c>
      <c r="E405" s="9" t="s">
        <v>3176</v>
      </c>
      <c r="F405" s="5" t="s">
        <v>86</v>
      </c>
      <c r="G405" s="5" t="s">
        <v>3177</v>
      </c>
      <c r="H405" s="5" t="s">
        <v>3178</v>
      </c>
      <c r="I405" s="9" t="s">
        <v>3182</v>
      </c>
      <c r="J405" s="5">
        <v>2029</v>
      </c>
      <c r="K405" s="5">
        <v>1611</v>
      </c>
      <c r="L405" s="9" t="s">
        <v>3748</v>
      </c>
      <c r="M405" s="5">
        <v>32</v>
      </c>
      <c r="N405" s="9" t="s">
        <v>3747</v>
      </c>
      <c r="O405" s="9" t="str">
        <f t="shared" si="44"/>
        <v>PDFを開く</v>
      </c>
      <c r="P405" s="9" t="s">
        <v>484</v>
      </c>
    </row>
    <row r="406" spans="1:16" ht="33.950000000000003" customHeight="1">
      <c r="A406" s="2" t="s">
        <v>476</v>
      </c>
      <c r="B406" s="2" t="s">
        <v>73</v>
      </c>
      <c r="C406" s="8" t="s">
        <v>477</v>
      </c>
      <c r="D406" s="2">
        <v>3</v>
      </c>
      <c r="E406" s="8" t="s">
        <v>3184</v>
      </c>
      <c r="F406" s="2" t="s">
        <v>86</v>
      </c>
      <c r="G406" s="2" t="s">
        <v>3177</v>
      </c>
      <c r="H406" s="2" t="s">
        <v>3178</v>
      </c>
      <c r="I406" s="8" t="s">
        <v>3179</v>
      </c>
      <c r="J406" s="2">
        <v>2026</v>
      </c>
      <c r="K406" s="2">
        <v>467</v>
      </c>
      <c r="L406" s="8" t="s">
        <v>3749</v>
      </c>
      <c r="M406" s="2">
        <v>5</v>
      </c>
      <c r="N406" s="8" t="s">
        <v>3750</v>
      </c>
      <c r="O406" s="8" t="str">
        <f t="shared" si="44"/>
        <v>PDFを開く</v>
      </c>
      <c r="P406" s="8" t="s">
        <v>484</v>
      </c>
    </row>
    <row r="407" spans="1:16" ht="33.950000000000003" customHeight="1">
      <c r="A407" s="5" t="s">
        <v>476</v>
      </c>
      <c r="B407" s="5" t="s">
        <v>73</v>
      </c>
      <c r="C407" s="9" t="s">
        <v>477</v>
      </c>
      <c r="D407" s="5">
        <v>3</v>
      </c>
      <c r="E407" s="9" t="s">
        <v>3184</v>
      </c>
      <c r="F407" s="5" t="s">
        <v>86</v>
      </c>
      <c r="G407" s="5" t="s">
        <v>3177</v>
      </c>
      <c r="H407" s="5" t="s">
        <v>3178</v>
      </c>
      <c r="I407" s="9" t="s">
        <v>3182</v>
      </c>
      <c r="J407" s="5">
        <v>2029</v>
      </c>
      <c r="K407" s="5">
        <v>541</v>
      </c>
      <c r="L407" s="9" t="s">
        <v>3397</v>
      </c>
      <c r="M407" s="5">
        <v>5</v>
      </c>
      <c r="N407" s="9" t="s">
        <v>3750</v>
      </c>
      <c r="O407" s="9" t="str">
        <f t="shared" si="44"/>
        <v>PDFを開く</v>
      </c>
      <c r="P407" s="9" t="s">
        <v>484</v>
      </c>
    </row>
    <row r="408" spans="1:16" ht="33.950000000000003" customHeight="1">
      <c r="A408" s="2" t="s">
        <v>476</v>
      </c>
      <c r="B408" s="2" t="s">
        <v>73</v>
      </c>
      <c r="C408" s="8" t="s">
        <v>477</v>
      </c>
      <c r="D408" s="2">
        <v>3</v>
      </c>
      <c r="E408" s="8" t="s">
        <v>3188</v>
      </c>
      <c r="F408" s="2" t="s">
        <v>86</v>
      </c>
      <c r="G408" s="2" t="s">
        <v>3177</v>
      </c>
      <c r="H408" s="2" t="s">
        <v>3178</v>
      </c>
      <c r="I408" s="8" t="s">
        <v>3179</v>
      </c>
      <c r="J408" s="2">
        <v>2026</v>
      </c>
      <c r="K408" s="2">
        <v>1169</v>
      </c>
      <c r="L408" s="8" t="s">
        <v>3272</v>
      </c>
      <c r="M408" s="2">
        <v>5</v>
      </c>
      <c r="N408" s="8" t="s">
        <v>3751</v>
      </c>
      <c r="O408" s="8" t="str">
        <f t="shared" si="44"/>
        <v>PDFを開く</v>
      </c>
      <c r="P408" s="8" t="s">
        <v>484</v>
      </c>
    </row>
    <row r="409" spans="1:16" ht="33.950000000000003" customHeight="1">
      <c r="A409" s="5" t="s">
        <v>476</v>
      </c>
      <c r="B409" s="5" t="s">
        <v>73</v>
      </c>
      <c r="C409" s="9" t="s">
        <v>477</v>
      </c>
      <c r="D409" s="5">
        <v>3</v>
      </c>
      <c r="E409" s="9" t="s">
        <v>3188</v>
      </c>
      <c r="F409" s="5" t="s">
        <v>86</v>
      </c>
      <c r="G409" s="5" t="s">
        <v>3177</v>
      </c>
      <c r="H409" s="5" t="s">
        <v>3178</v>
      </c>
      <c r="I409" s="9" t="s">
        <v>3182</v>
      </c>
      <c r="J409" s="5">
        <v>2029</v>
      </c>
      <c r="K409" s="5">
        <v>1354</v>
      </c>
      <c r="L409" s="9" t="s">
        <v>3752</v>
      </c>
      <c r="M409" s="5">
        <v>5</v>
      </c>
      <c r="N409" s="9" t="s">
        <v>3751</v>
      </c>
      <c r="O409" s="9" t="str">
        <f t="shared" si="44"/>
        <v>PDFを開く</v>
      </c>
      <c r="P409" s="9" t="s">
        <v>484</v>
      </c>
    </row>
    <row r="410" spans="1:16" ht="33.950000000000003" customHeight="1">
      <c r="A410" s="2" t="s">
        <v>476</v>
      </c>
      <c r="B410" s="2" t="s">
        <v>73</v>
      </c>
      <c r="C410" s="8" t="s">
        <v>477</v>
      </c>
      <c r="D410" s="2">
        <v>3</v>
      </c>
      <c r="E410" s="8" t="s">
        <v>3191</v>
      </c>
      <c r="F410" s="2" t="s">
        <v>2513</v>
      </c>
      <c r="G410" s="2" t="s">
        <v>3177</v>
      </c>
      <c r="H410" s="2" t="s">
        <v>3178</v>
      </c>
      <c r="I410" s="8" t="s">
        <v>3179</v>
      </c>
      <c r="J410" s="2">
        <v>2026</v>
      </c>
      <c r="K410" s="2">
        <v>128</v>
      </c>
      <c r="L410" s="8" t="s">
        <v>3297</v>
      </c>
      <c r="M410" s="2"/>
      <c r="N410" s="8" t="s">
        <v>3753</v>
      </c>
      <c r="O410" s="8" t="str">
        <f t="shared" si="44"/>
        <v>PDFを開く</v>
      </c>
      <c r="P410" s="8" t="s">
        <v>484</v>
      </c>
    </row>
    <row r="411" spans="1:16" ht="33.950000000000003" customHeight="1">
      <c r="A411" s="5" t="s">
        <v>476</v>
      </c>
      <c r="B411" s="5" t="s">
        <v>73</v>
      </c>
      <c r="C411" s="9" t="s">
        <v>477</v>
      </c>
      <c r="D411" s="5">
        <v>3</v>
      </c>
      <c r="E411" s="9" t="s">
        <v>3191</v>
      </c>
      <c r="F411" s="5" t="s">
        <v>2513</v>
      </c>
      <c r="G411" s="5" t="s">
        <v>3177</v>
      </c>
      <c r="H411" s="5" t="s">
        <v>3178</v>
      </c>
      <c r="I411" s="9" t="s">
        <v>3182</v>
      </c>
      <c r="J411" s="5">
        <v>2029</v>
      </c>
      <c r="K411" s="5">
        <v>166</v>
      </c>
      <c r="L411" s="9" t="s">
        <v>3754</v>
      </c>
      <c r="M411" s="5"/>
      <c r="N411" s="9" t="s">
        <v>3753</v>
      </c>
      <c r="O411" s="9" t="str">
        <f t="shared" si="44"/>
        <v>PDFを開く</v>
      </c>
      <c r="P411" s="9" t="s">
        <v>484</v>
      </c>
    </row>
    <row r="412" spans="1:16" ht="33.950000000000003" customHeight="1">
      <c r="A412" s="2" t="s">
        <v>485</v>
      </c>
      <c r="B412" s="2" t="s">
        <v>73</v>
      </c>
      <c r="C412" s="8" t="s">
        <v>486</v>
      </c>
      <c r="D412" s="2">
        <v>2</v>
      </c>
      <c r="E412" s="8" t="s">
        <v>3176</v>
      </c>
      <c r="F412" s="2" t="s">
        <v>86</v>
      </c>
      <c r="G412" s="2" t="s">
        <v>3177</v>
      </c>
      <c r="H412" s="2" t="s">
        <v>3178</v>
      </c>
      <c r="I412" s="8" t="s">
        <v>3755</v>
      </c>
      <c r="J412" s="2">
        <v>2026</v>
      </c>
      <c r="K412" s="2">
        <v>679</v>
      </c>
      <c r="L412" s="8" t="s">
        <v>3756</v>
      </c>
      <c r="M412" s="2">
        <v>37.1</v>
      </c>
      <c r="N412" s="8" t="s">
        <v>3757</v>
      </c>
      <c r="O412" s="8" t="str">
        <f t="shared" ref="O412:O418" si="45">HYPERLINK("https://seichotoushi-hojo.jp/assets/pdf/koufu/outline_141.pdf","PDFを開く")</f>
        <v>PDFを開く</v>
      </c>
      <c r="P412" s="8" t="s">
        <v>494</v>
      </c>
    </row>
    <row r="413" spans="1:16" ht="33.950000000000003" customHeight="1">
      <c r="A413" s="5" t="s">
        <v>485</v>
      </c>
      <c r="B413" s="5" t="s">
        <v>73</v>
      </c>
      <c r="C413" s="9" t="s">
        <v>486</v>
      </c>
      <c r="D413" s="5">
        <v>2</v>
      </c>
      <c r="E413" s="9" t="s">
        <v>3176</v>
      </c>
      <c r="F413" s="5" t="s">
        <v>86</v>
      </c>
      <c r="G413" s="5" t="s">
        <v>3177</v>
      </c>
      <c r="H413" s="5" t="s">
        <v>3178</v>
      </c>
      <c r="I413" s="9" t="s">
        <v>3758</v>
      </c>
      <c r="J413" s="5">
        <v>2029</v>
      </c>
      <c r="K413" s="5">
        <v>1750</v>
      </c>
      <c r="L413" s="9" t="s">
        <v>3759</v>
      </c>
      <c r="M413" s="5">
        <v>37.1</v>
      </c>
      <c r="N413" s="9" t="s">
        <v>3757</v>
      </c>
      <c r="O413" s="9" t="str">
        <f t="shared" si="45"/>
        <v>PDFを開く</v>
      </c>
      <c r="P413" s="9" t="s">
        <v>494</v>
      </c>
    </row>
    <row r="414" spans="1:16" ht="33.950000000000003" customHeight="1">
      <c r="A414" s="2" t="s">
        <v>485</v>
      </c>
      <c r="B414" s="2" t="s">
        <v>73</v>
      </c>
      <c r="C414" s="8" t="s">
        <v>486</v>
      </c>
      <c r="D414" s="2">
        <v>2</v>
      </c>
      <c r="E414" s="8" t="s">
        <v>3184</v>
      </c>
      <c r="F414" s="2" t="s">
        <v>86</v>
      </c>
      <c r="G414" s="2" t="s">
        <v>3177</v>
      </c>
      <c r="H414" s="2" t="s">
        <v>3178</v>
      </c>
      <c r="I414" s="8" t="s">
        <v>3755</v>
      </c>
      <c r="J414" s="2">
        <v>2026</v>
      </c>
      <c r="K414" s="2">
        <v>356</v>
      </c>
      <c r="L414" s="8" t="s">
        <v>3309</v>
      </c>
      <c r="M414" s="2">
        <v>4.8</v>
      </c>
      <c r="N414" s="8" t="s">
        <v>3760</v>
      </c>
      <c r="O414" s="8" t="str">
        <f t="shared" si="45"/>
        <v>PDFを開く</v>
      </c>
      <c r="P414" s="8" t="s">
        <v>494</v>
      </c>
    </row>
    <row r="415" spans="1:16" ht="33.950000000000003" customHeight="1">
      <c r="A415" s="5" t="s">
        <v>485</v>
      </c>
      <c r="B415" s="5" t="s">
        <v>73</v>
      </c>
      <c r="C415" s="9" t="s">
        <v>486</v>
      </c>
      <c r="D415" s="5">
        <v>2</v>
      </c>
      <c r="E415" s="9" t="s">
        <v>3184</v>
      </c>
      <c r="F415" s="5" t="s">
        <v>86</v>
      </c>
      <c r="G415" s="5" t="s">
        <v>3177</v>
      </c>
      <c r="H415" s="5" t="s">
        <v>3178</v>
      </c>
      <c r="I415" s="9" t="s">
        <v>3758</v>
      </c>
      <c r="J415" s="5">
        <v>2029</v>
      </c>
      <c r="K415" s="5">
        <v>410</v>
      </c>
      <c r="L415" s="9" t="s">
        <v>3617</v>
      </c>
      <c r="M415" s="5">
        <v>4.8</v>
      </c>
      <c r="N415" s="9" t="s">
        <v>3760</v>
      </c>
      <c r="O415" s="9" t="str">
        <f t="shared" si="45"/>
        <v>PDFを開く</v>
      </c>
      <c r="P415" s="9" t="s">
        <v>494</v>
      </c>
    </row>
    <row r="416" spans="1:16" ht="33.950000000000003" customHeight="1">
      <c r="A416" s="2" t="s">
        <v>485</v>
      </c>
      <c r="B416" s="2" t="s">
        <v>73</v>
      </c>
      <c r="C416" s="8" t="s">
        <v>486</v>
      </c>
      <c r="D416" s="2">
        <v>2</v>
      </c>
      <c r="E416" s="8" t="s">
        <v>3188</v>
      </c>
      <c r="F416" s="2" t="s">
        <v>86</v>
      </c>
      <c r="G416" s="19" t="s">
        <v>3189</v>
      </c>
      <c r="H416" s="2" t="s">
        <v>3178</v>
      </c>
      <c r="I416" s="8"/>
      <c r="J416" s="2"/>
      <c r="K416" s="2"/>
      <c r="L416" s="8"/>
      <c r="M416" s="2"/>
      <c r="N416" s="8" t="s">
        <v>3488</v>
      </c>
      <c r="O416" s="8" t="str">
        <f t="shared" si="45"/>
        <v>PDFを開く</v>
      </c>
      <c r="P416" s="8" t="s">
        <v>494</v>
      </c>
    </row>
    <row r="417" spans="1:16" ht="33.950000000000003" customHeight="1">
      <c r="A417" s="5" t="s">
        <v>485</v>
      </c>
      <c r="B417" s="5" t="s">
        <v>73</v>
      </c>
      <c r="C417" s="9" t="s">
        <v>486</v>
      </c>
      <c r="D417" s="5">
        <v>2</v>
      </c>
      <c r="E417" s="9" t="s">
        <v>3191</v>
      </c>
      <c r="F417" s="5" t="s">
        <v>2513</v>
      </c>
      <c r="G417" s="5" t="s">
        <v>3177</v>
      </c>
      <c r="H417" s="5" t="s">
        <v>3178</v>
      </c>
      <c r="I417" s="9" t="s">
        <v>3755</v>
      </c>
      <c r="J417" s="5">
        <v>2026</v>
      </c>
      <c r="K417" s="5">
        <v>112</v>
      </c>
      <c r="L417" s="9" t="s">
        <v>3598</v>
      </c>
      <c r="M417" s="5"/>
      <c r="N417" s="9" t="s">
        <v>3761</v>
      </c>
      <c r="O417" s="9" t="str">
        <f t="shared" si="45"/>
        <v>PDFを開く</v>
      </c>
      <c r="P417" s="9" t="s">
        <v>494</v>
      </c>
    </row>
    <row r="418" spans="1:16" ht="33.950000000000003" customHeight="1">
      <c r="A418" s="2" t="s">
        <v>485</v>
      </c>
      <c r="B418" s="2" t="s">
        <v>73</v>
      </c>
      <c r="C418" s="8" t="s">
        <v>486</v>
      </c>
      <c r="D418" s="2">
        <v>2</v>
      </c>
      <c r="E418" s="8" t="s">
        <v>3191</v>
      </c>
      <c r="F418" s="2" t="s">
        <v>2513</v>
      </c>
      <c r="G418" s="2" t="s">
        <v>3177</v>
      </c>
      <c r="H418" s="2" t="s">
        <v>3178</v>
      </c>
      <c r="I418" s="8" t="s">
        <v>3758</v>
      </c>
      <c r="J418" s="2">
        <v>2029</v>
      </c>
      <c r="K418" s="2">
        <v>270</v>
      </c>
      <c r="L418" s="8" t="s">
        <v>3192</v>
      </c>
      <c r="M418" s="2"/>
      <c r="N418" s="8" t="s">
        <v>3761</v>
      </c>
      <c r="O418" s="8" t="str">
        <f t="shared" si="45"/>
        <v>PDFを開く</v>
      </c>
      <c r="P418" s="8" t="s">
        <v>494</v>
      </c>
    </row>
    <row r="419" spans="1:16" ht="33.950000000000003" customHeight="1">
      <c r="A419" s="5" t="s">
        <v>495</v>
      </c>
      <c r="B419" s="5" t="s">
        <v>73</v>
      </c>
      <c r="C419" s="9" t="s">
        <v>496</v>
      </c>
      <c r="D419" s="5">
        <v>2</v>
      </c>
      <c r="E419" s="9" t="s">
        <v>3176</v>
      </c>
      <c r="F419" s="5" t="s">
        <v>86</v>
      </c>
      <c r="G419" s="5" t="s">
        <v>3177</v>
      </c>
      <c r="H419" s="5" t="s">
        <v>3178</v>
      </c>
      <c r="I419" s="9" t="s">
        <v>3407</v>
      </c>
      <c r="J419" s="5">
        <v>2025</v>
      </c>
      <c r="K419" s="5">
        <v>431</v>
      </c>
      <c r="L419" s="9" t="s">
        <v>3475</v>
      </c>
      <c r="M419" s="5"/>
      <c r="N419" s="9" t="s">
        <v>3762</v>
      </c>
      <c r="O419" s="9" t="str">
        <f t="shared" ref="O419:O442" si="46">HYPERLINK("https://seichotoushi-hojo.jp/assets/pdf/koufu/outline_143.pdf","PDFを開く")</f>
        <v>PDFを開く</v>
      </c>
      <c r="P419" s="9" t="s">
        <v>503</v>
      </c>
    </row>
    <row r="420" spans="1:16" ht="33.950000000000003" customHeight="1">
      <c r="A420" s="2" t="s">
        <v>495</v>
      </c>
      <c r="B420" s="2" t="s">
        <v>73</v>
      </c>
      <c r="C420" s="8" t="s">
        <v>496</v>
      </c>
      <c r="D420" s="2">
        <v>2</v>
      </c>
      <c r="E420" s="8" t="s">
        <v>3176</v>
      </c>
      <c r="F420" s="2" t="s">
        <v>86</v>
      </c>
      <c r="G420" s="2" t="s">
        <v>3177</v>
      </c>
      <c r="H420" s="2" t="s">
        <v>3178</v>
      </c>
      <c r="I420" s="8" t="s">
        <v>3335</v>
      </c>
      <c r="J420" s="2">
        <v>2028</v>
      </c>
      <c r="K420" s="2">
        <v>741</v>
      </c>
      <c r="L420" s="8" t="s">
        <v>3376</v>
      </c>
      <c r="M420" s="2"/>
      <c r="N420" s="8" t="s">
        <v>3762</v>
      </c>
      <c r="O420" s="8" t="str">
        <f t="shared" si="46"/>
        <v>PDFを開く</v>
      </c>
      <c r="P420" s="8" t="s">
        <v>503</v>
      </c>
    </row>
    <row r="421" spans="1:16" ht="33.950000000000003" customHeight="1">
      <c r="A421" s="5" t="s">
        <v>495</v>
      </c>
      <c r="B421" s="5" t="s">
        <v>73</v>
      </c>
      <c r="C421" s="9" t="s">
        <v>496</v>
      </c>
      <c r="D421" s="5">
        <v>2</v>
      </c>
      <c r="E421" s="9" t="s">
        <v>3184</v>
      </c>
      <c r="F421" s="5" t="s">
        <v>86</v>
      </c>
      <c r="G421" s="5" t="s">
        <v>3177</v>
      </c>
      <c r="H421" s="5" t="s">
        <v>3178</v>
      </c>
      <c r="I421" s="9" t="s">
        <v>3407</v>
      </c>
      <c r="J421" s="5">
        <v>2025</v>
      </c>
      <c r="K421" s="5">
        <v>242</v>
      </c>
      <c r="L421" s="9" t="s">
        <v>3763</v>
      </c>
      <c r="M421" s="5"/>
      <c r="N421" s="9" t="s">
        <v>3764</v>
      </c>
      <c r="O421" s="9" t="str">
        <f t="shared" si="46"/>
        <v>PDFを開く</v>
      </c>
      <c r="P421" s="9" t="s">
        <v>503</v>
      </c>
    </row>
    <row r="422" spans="1:16" ht="33.950000000000003" customHeight="1">
      <c r="A422" s="2" t="s">
        <v>495</v>
      </c>
      <c r="B422" s="2" t="s">
        <v>73</v>
      </c>
      <c r="C422" s="8" t="s">
        <v>496</v>
      </c>
      <c r="D422" s="2">
        <v>2</v>
      </c>
      <c r="E422" s="8" t="s">
        <v>3184</v>
      </c>
      <c r="F422" s="2" t="s">
        <v>86</v>
      </c>
      <c r="G422" s="2" t="s">
        <v>3177</v>
      </c>
      <c r="H422" s="2" t="s">
        <v>3178</v>
      </c>
      <c r="I422" s="8" t="s">
        <v>3335</v>
      </c>
      <c r="J422" s="2">
        <v>2028</v>
      </c>
      <c r="K422" s="2">
        <v>280</v>
      </c>
      <c r="L422" s="8" t="s">
        <v>3353</v>
      </c>
      <c r="M422" s="2"/>
      <c r="N422" s="8" t="s">
        <v>3764</v>
      </c>
      <c r="O422" s="8" t="str">
        <f t="shared" si="46"/>
        <v>PDFを開く</v>
      </c>
      <c r="P422" s="8" t="s">
        <v>503</v>
      </c>
    </row>
    <row r="423" spans="1:16" ht="33.950000000000003" customHeight="1">
      <c r="A423" s="5" t="s">
        <v>495</v>
      </c>
      <c r="B423" s="5" t="s">
        <v>73</v>
      </c>
      <c r="C423" s="9" t="s">
        <v>496</v>
      </c>
      <c r="D423" s="5">
        <v>2</v>
      </c>
      <c r="E423" s="9" t="s">
        <v>3191</v>
      </c>
      <c r="F423" s="5" t="s">
        <v>2513</v>
      </c>
      <c r="G423" s="5" t="s">
        <v>3177</v>
      </c>
      <c r="H423" s="5" t="s">
        <v>3178</v>
      </c>
      <c r="I423" s="9" t="s">
        <v>3407</v>
      </c>
      <c r="J423" s="5">
        <v>2025</v>
      </c>
      <c r="K423" s="5">
        <v>572</v>
      </c>
      <c r="L423" s="9" t="s">
        <v>3765</v>
      </c>
      <c r="M423" s="5"/>
      <c r="N423" s="9" t="s">
        <v>3766</v>
      </c>
      <c r="O423" s="9" t="str">
        <f t="shared" si="46"/>
        <v>PDFを開く</v>
      </c>
      <c r="P423" s="9" t="s">
        <v>503</v>
      </c>
    </row>
    <row r="424" spans="1:16" ht="33.950000000000003" customHeight="1">
      <c r="A424" s="2" t="s">
        <v>495</v>
      </c>
      <c r="B424" s="2" t="s">
        <v>73</v>
      </c>
      <c r="C424" s="8" t="s">
        <v>496</v>
      </c>
      <c r="D424" s="2">
        <v>2</v>
      </c>
      <c r="E424" s="8" t="s">
        <v>3191</v>
      </c>
      <c r="F424" s="2" t="s">
        <v>2513</v>
      </c>
      <c r="G424" s="2" t="s">
        <v>3177</v>
      </c>
      <c r="H424" s="2" t="s">
        <v>3178</v>
      </c>
      <c r="I424" s="8" t="s">
        <v>3335</v>
      </c>
      <c r="J424" s="2">
        <v>2028</v>
      </c>
      <c r="K424" s="2">
        <v>627</v>
      </c>
      <c r="L424" s="8" t="s">
        <v>3767</v>
      </c>
      <c r="M424" s="2"/>
      <c r="N424" s="8" t="s">
        <v>3766</v>
      </c>
      <c r="O424" s="8" t="str">
        <f t="shared" si="46"/>
        <v>PDFを開く</v>
      </c>
      <c r="P424" s="8" t="s">
        <v>503</v>
      </c>
    </row>
    <row r="425" spans="1:16" ht="33.950000000000003" customHeight="1">
      <c r="A425" s="5" t="s">
        <v>495</v>
      </c>
      <c r="B425" s="5" t="s">
        <v>73</v>
      </c>
      <c r="C425" s="9" t="s">
        <v>496</v>
      </c>
      <c r="D425" s="5">
        <v>2</v>
      </c>
      <c r="E425" s="9" t="s">
        <v>3176</v>
      </c>
      <c r="F425" s="5" t="s">
        <v>86</v>
      </c>
      <c r="G425" s="19" t="s">
        <v>3494</v>
      </c>
      <c r="H425" s="5" t="s">
        <v>3178</v>
      </c>
      <c r="I425" s="9" t="s">
        <v>3407</v>
      </c>
      <c r="J425" s="5">
        <v>2025</v>
      </c>
      <c r="K425" s="5">
        <v>470</v>
      </c>
      <c r="L425" s="9" t="s">
        <v>3768</v>
      </c>
      <c r="M425" s="5"/>
      <c r="N425" s="9" t="s">
        <v>3769</v>
      </c>
      <c r="O425" s="9" t="str">
        <f t="shared" si="46"/>
        <v>PDFを開く</v>
      </c>
      <c r="P425" s="9" t="s">
        <v>503</v>
      </c>
    </row>
    <row r="426" spans="1:16" ht="33.950000000000003" customHeight="1">
      <c r="A426" s="2" t="s">
        <v>495</v>
      </c>
      <c r="B426" s="2" t="s">
        <v>73</v>
      </c>
      <c r="C426" s="8" t="s">
        <v>496</v>
      </c>
      <c r="D426" s="2">
        <v>2</v>
      </c>
      <c r="E426" s="8" t="s">
        <v>3176</v>
      </c>
      <c r="F426" s="2" t="s">
        <v>86</v>
      </c>
      <c r="G426" s="19" t="s">
        <v>3494</v>
      </c>
      <c r="H426" s="2" t="s">
        <v>3178</v>
      </c>
      <c r="I426" s="8" t="s">
        <v>3335</v>
      </c>
      <c r="J426" s="2">
        <v>2028</v>
      </c>
      <c r="K426" s="2">
        <v>869</v>
      </c>
      <c r="L426" s="8" t="s">
        <v>3770</v>
      </c>
      <c r="M426" s="2"/>
      <c r="N426" s="8" t="s">
        <v>3769</v>
      </c>
      <c r="O426" s="8" t="str">
        <f t="shared" si="46"/>
        <v>PDFを開く</v>
      </c>
      <c r="P426" s="8" t="s">
        <v>503</v>
      </c>
    </row>
    <row r="427" spans="1:16" ht="33.950000000000003" customHeight="1">
      <c r="A427" s="5" t="s">
        <v>495</v>
      </c>
      <c r="B427" s="5" t="s">
        <v>73</v>
      </c>
      <c r="C427" s="9" t="s">
        <v>496</v>
      </c>
      <c r="D427" s="5">
        <v>2</v>
      </c>
      <c r="E427" s="9" t="s">
        <v>3176</v>
      </c>
      <c r="F427" s="5" t="s">
        <v>86</v>
      </c>
      <c r="G427" s="19" t="s">
        <v>3494</v>
      </c>
      <c r="H427" s="5" t="s">
        <v>3178</v>
      </c>
      <c r="I427" s="9" t="s">
        <v>3407</v>
      </c>
      <c r="J427" s="5">
        <v>2025</v>
      </c>
      <c r="K427" s="5">
        <v>251</v>
      </c>
      <c r="L427" s="9" t="s">
        <v>3771</v>
      </c>
      <c r="M427" s="5"/>
      <c r="N427" s="9" t="s">
        <v>3769</v>
      </c>
      <c r="O427" s="9" t="str">
        <f t="shared" si="46"/>
        <v>PDFを開く</v>
      </c>
      <c r="P427" s="9" t="s">
        <v>503</v>
      </c>
    </row>
    <row r="428" spans="1:16" ht="33.950000000000003" customHeight="1">
      <c r="A428" s="2" t="s">
        <v>495</v>
      </c>
      <c r="B428" s="2" t="s">
        <v>73</v>
      </c>
      <c r="C428" s="8" t="s">
        <v>496</v>
      </c>
      <c r="D428" s="2">
        <v>2</v>
      </c>
      <c r="E428" s="8" t="s">
        <v>3176</v>
      </c>
      <c r="F428" s="2" t="s">
        <v>86</v>
      </c>
      <c r="G428" s="19" t="s">
        <v>3494</v>
      </c>
      <c r="H428" s="2" t="s">
        <v>3178</v>
      </c>
      <c r="I428" s="8" t="s">
        <v>3335</v>
      </c>
      <c r="J428" s="2">
        <v>2028</v>
      </c>
      <c r="K428" s="2">
        <v>568</v>
      </c>
      <c r="L428" s="8" t="s">
        <v>3772</v>
      </c>
      <c r="M428" s="2"/>
      <c r="N428" s="8" t="s">
        <v>3769</v>
      </c>
      <c r="O428" s="8" t="str">
        <f t="shared" si="46"/>
        <v>PDFを開く</v>
      </c>
      <c r="P428" s="8" t="s">
        <v>503</v>
      </c>
    </row>
    <row r="429" spans="1:16" ht="33.950000000000003" customHeight="1">
      <c r="A429" s="5" t="s">
        <v>495</v>
      </c>
      <c r="B429" s="5" t="s">
        <v>73</v>
      </c>
      <c r="C429" s="9" t="s">
        <v>496</v>
      </c>
      <c r="D429" s="5">
        <v>2</v>
      </c>
      <c r="E429" s="9" t="s">
        <v>3176</v>
      </c>
      <c r="F429" s="5" t="s">
        <v>86</v>
      </c>
      <c r="G429" s="19" t="s">
        <v>3494</v>
      </c>
      <c r="H429" s="5" t="s">
        <v>3178</v>
      </c>
      <c r="I429" s="9" t="s">
        <v>3407</v>
      </c>
      <c r="J429" s="5">
        <v>2025</v>
      </c>
      <c r="K429" s="5">
        <v>279</v>
      </c>
      <c r="L429" s="9" t="s">
        <v>3773</v>
      </c>
      <c r="M429" s="5"/>
      <c r="N429" s="9" t="s">
        <v>3769</v>
      </c>
      <c r="O429" s="9" t="str">
        <f t="shared" si="46"/>
        <v>PDFを開く</v>
      </c>
      <c r="P429" s="9" t="s">
        <v>503</v>
      </c>
    </row>
    <row r="430" spans="1:16" ht="33.950000000000003" customHeight="1">
      <c r="A430" s="2" t="s">
        <v>495</v>
      </c>
      <c r="B430" s="2" t="s">
        <v>73</v>
      </c>
      <c r="C430" s="8" t="s">
        <v>496</v>
      </c>
      <c r="D430" s="2">
        <v>2</v>
      </c>
      <c r="E430" s="8" t="s">
        <v>3176</v>
      </c>
      <c r="F430" s="2" t="s">
        <v>86</v>
      </c>
      <c r="G430" s="19" t="s">
        <v>3494</v>
      </c>
      <c r="H430" s="2" t="s">
        <v>3178</v>
      </c>
      <c r="I430" s="8" t="s">
        <v>3335</v>
      </c>
      <c r="J430" s="2">
        <v>2028</v>
      </c>
      <c r="K430" s="2">
        <v>499</v>
      </c>
      <c r="L430" s="8" t="s">
        <v>3774</v>
      </c>
      <c r="M430" s="2"/>
      <c r="N430" s="8" t="s">
        <v>3769</v>
      </c>
      <c r="O430" s="8" t="str">
        <f t="shared" si="46"/>
        <v>PDFを開く</v>
      </c>
      <c r="P430" s="8" t="s">
        <v>503</v>
      </c>
    </row>
    <row r="431" spans="1:16" ht="33.950000000000003" customHeight="1">
      <c r="A431" s="5" t="s">
        <v>495</v>
      </c>
      <c r="B431" s="5" t="s">
        <v>73</v>
      </c>
      <c r="C431" s="9" t="s">
        <v>496</v>
      </c>
      <c r="D431" s="5">
        <v>2</v>
      </c>
      <c r="E431" s="9" t="s">
        <v>3184</v>
      </c>
      <c r="F431" s="5" t="s">
        <v>86</v>
      </c>
      <c r="G431" s="19" t="s">
        <v>3494</v>
      </c>
      <c r="H431" s="5" t="s">
        <v>3178</v>
      </c>
      <c r="I431" s="9" t="s">
        <v>3407</v>
      </c>
      <c r="J431" s="5">
        <v>2025</v>
      </c>
      <c r="K431" s="5">
        <v>274</v>
      </c>
      <c r="L431" s="9" t="s">
        <v>3775</v>
      </c>
      <c r="M431" s="5"/>
      <c r="N431" s="9" t="s">
        <v>3776</v>
      </c>
      <c r="O431" s="9" t="str">
        <f t="shared" si="46"/>
        <v>PDFを開く</v>
      </c>
      <c r="P431" s="9" t="s">
        <v>503</v>
      </c>
    </row>
    <row r="432" spans="1:16" ht="33.950000000000003" customHeight="1">
      <c r="A432" s="2" t="s">
        <v>495</v>
      </c>
      <c r="B432" s="2" t="s">
        <v>73</v>
      </c>
      <c r="C432" s="8" t="s">
        <v>496</v>
      </c>
      <c r="D432" s="2">
        <v>2</v>
      </c>
      <c r="E432" s="8" t="s">
        <v>3184</v>
      </c>
      <c r="F432" s="2" t="s">
        <v>86</v>
      </c>
      <c r="G432" s="19" t="s">
        <v>3494</v>
      </c>
      <c r="H432" s="2" t="s">
        <v>3178</v>
      </c>
      <c r="I432" s="8" t="s">
        <v>3335</v>
      </c>
      <c r="J432" s="2">
        <v>2028</v>
      </c>
      <c r="K432" s="2">
        <v>317</v>
      </c>
      <c r="L432" s="8" t="s">
        <v>3777</v>
      </c>
      <c r="M432" s="2"/>
      <c r="N432" s="8" t="s">
        <v>3776</v>
      </c>
      <c r="O432" s="8" t="str">
        <f t="shared" si="46"/>
        <v>PDFを開く</v>
      </c>
      <c r="P432" s="8" t="s">
        <v>503</v>
      </c>
    </row>
    <row r="433" spans="1:16" ht="33.950000000000003" customHeight="1">
      <c r="A433" s="5" t="s">
        <v>495</v>
      </c>
      <c r="B433" s="5" t="s">
        <v>73</v>
      </c>
      <c r="C433" s="9" t="s">
        <v>496</v>
      </c>
      <c r="D433" s="5">
        <v>2</v>
      </c>
      <c r="E433" s="9" t="s">
        <v>3184</v>
      </c>
      <c r="F433" s="5" t="s">
        <v>86</v>
      </c>
      <c r="G433" s="19" t="s">
        <v>3494</v>
      </c>
      <c r="H433" s="5" t="s">
        <v>3178</v>
      </c>
      <c r="I433" s="9" t="s">
        <v>3407</v>
      </c>
      <c r="J433" s="5">
        <v>2025</v>
      </c>
      <c r="K433" s="5">
        <v>232</v>
      </c>
      <c r="L433" s="9" t="s">
        <v>3778</v>
      </c>
      <c r="M433" s="5"/>
      <c r="N433" s="9" t="s">
        <v>3776</v>
      </c>
      <c r="O433" s="9" t="str">
        <f t="shared" si="46"/>
        <v>PDFを開く</v>
      </c>
      <c r="P433" s="9" t="s">
        <v>503</v>
      </c>
    </row>
    <row r="434" spans="1:16" ht="33.950000000000003" customHeight="1">
      <c r="A434" s="2" t="s">
        <v>495</v>
      </c>
      <c r="B434" s="2" t="s">
        <v>73</v>
      </c>
      <c r="C434" s="8" t="s">
        <v>496</v>
      </c>
      <c r="D434" s="2">
        <v>2</v>
      </c>
      <c r="E434" s="8" t="s">
        <v>3184</v>
      </c>
      <c r="F434" s="2" t="s">
        <v>86</v>
      </c>
      <c r="G434" s="19" t="s">
        <v>3494</v>
      </c>
      <c r="H434" s="2" t="s">
        <v>3178</v>
      </c>
      <c r="I434" s="8" t="s">
        <v>3335</v>
      </c>
      <c r="J434" s="2">
        <v>2028</v>
      </c>
      <c r="K434" s="2">
        <v>269</v>
      </c>
      <c r="L434" s="8" t="s">
        <v>3779</v>
      </c>
      <c r="M434" s="2"/>
      <c r="N434" s="8" t="s">
        <v>3776</v>
      </c>
      <c r="O434" s="8" t="str">
        <f t="shared" si="46"/>
        <v>PDFを開く</v>
      </c>
      <c r="P434" s="8" t="s">
        <v>503</v>
      </c>
    </row>
    <row r="435" spans="1:16" ht="33.950000000000003" customHeight="1">
      <c r="A435" s="5" t="s">
        <v>495</v>
      </c>
      <c r="B435" s="5" t="s">
        <v>73</v>
      </c>
      <c r="C435" s="9" t="s">
        <v>496</v>
      </c>
      <c r="D435" s="5">
        <v>2</v>
      </c>
      <c r="E435" s="9" t="s">
        <v>3184</v>
      </c>
      <c r="F435" s="5" t="s">
        <v>86</v>
      </c>
      <c r="G435" s="19" t="s">
        <v>3494</v>
      </c>
      <c r="H435" s="5" t="s">
        <v>3178</v>
      </c>
      <c r="I435" s="9" t="s">
        <v>3407</v>
      </c>
      <c r="J435" s="5">
        <v>2025</v>
      </c>
      <c r="K435" s="5">
        <v>231</v>
      </c>
      <c r="L435" s="9" t="s">
        <v>3780</v>
      </c>
      <c r="M435" s="5"/>
      <c r="N435" s="9" t="s">
        <v>3776</v>
      </c>
      <c r="O435" s="9" t="str">
        <f t="shared" si="46"/>
        <v>PDFを開く</v>
      </c>
      <c r="P435" s="9" t="s">
        <v>503</v>
      </c>
    </row>
    <row r="436" spans="1:16" ht="33.950000000000003" customHeight="1">
      <c r="A436" s="2" t="s">
        <v>495</v>
      </c>
      <c r="B436" s="2" t="s">
        <v>73</v>
      </c>
      <c r="C436" s="8" t="s">
        <v>496</v>
      </c>
      <c r="D436" s="2">
        <v>2</v>
      </c>
      <c r="E436" s="8" t="s">
        <v>3184</v>
      </c>
      <c r="F436" s="2" t="s">
        <v>86</v>
      </c>
      <c r="G436" s="19" t="s">
        <v>3494</v>
      </c>
      <c r="H436" s="2" t="s">
        <v>3178</v>
      </c>
      <c r="I436" s="8" t="s">
        <v>3335</v>
      </c>
      <c r="J436" s="2">
        <v>2028</v>
      </c>
      <c r="K436" s="2">
        <v>268</v>
      </c>
      <c r="L436" s="8" t="s">
        <v>3781</v>
      </c>
      <c r="M436" s="2"/>
      <c r="N436" s="8" t="s">
        <v>3776</v>
      </c>
      <c r="O436" s="8" t="str">
        <f t="shared" si="46"/>
        <v>PDFを開く</v>
      </c>
      <c r="P436" s="8" t="s">
        <v>503</v>
      </c>
    </row>
    <row r="437" spans="1:16" ht="33.950000000000003" customHeight="1">
      <c r="A437" s="5" t="s">
        <v>495</v>
      </c>
      <c r="B437" s="5" t="s">
        <v>73</v>
      </c>
      <c r="C437" s="9" t="s">
        <v>496</v>
      </c>
      <c r="D437" s="5">
        <v>2</v>
      </c>
      <c r="E437" s="9" t="s">
        <v>3191</v>
      </c>
      <c r="F437" s="5" t="s">
        <v>2513</v>
      </c>
      <c r="G437" s="19" t="s">
        <v>3494</v>
      </c>
      <c r="H437" s="5" t="s">
        <v>3178</v>
      </c>
      <c r="I437" s="9" t="s">
        <v>3407</v>
      </c>
      <c r="J437" s="5">
        <v>2025</v>
      </c>
      <c r="K437" s="5">
        <v>474</v>
      </c>
      <c r="L437" s="9" t="s">
        <v>3782</v>
      </c>
      <c r="M437" s="5"/>
      <c r="N437" s="9" t="s">
        <v>3783</v>
      </c>
      <c r="O437" s="9" t="str">
        <f t="shared" si="46"/>
        <v>PDFを開く</v>
      </c>
      <c r="P437" s="9" t="s">
        <v>503</v>
      </c>
    </row>
    <row r="438" spans="1:16" ht="33.950000000000003" customHeight="1">
      <c r="A438" s="2" t="s">
        <v>495</v>
      </c>
      <c r="B438" s="2" t="s">
        <v>73</v>
      </c>
      <c r="C438" s="8" t="s">
        <v>496</v>
      </c>
      <c r="D438" s="2">
        <v>2</v>
      </c>
      <c r="E438" s="8" t="s">
        <v>3191</v>
      </c>
      <c r="F438" s="2" t="s">
        <v>2513</v>
      </c>
      <c r="G438" s="19" t="s">
        <v>3494</v>
      </c>
      <c r="H438" s="2" t="s">
        <v>3178</v>
      </c>
      <c r="I438" s="8" t="s">
        <v>3335</v>
      </c>
      <c r="J438" s="2">
        <v>2028</v>
      </c>
      <c r="K438" s="2">
        <v>508</v>
      </c>
      <c r="L438" s="8" t="s">
        <v>3784</v>
      </c>
      <c r="M438" s="2"/>
      <c r="N438" s="8" t="s">
        <v>3783</v>
      </c>
      <c r="O438" s="8" t="str">
        <f t="shared" si="46"/>
        <v>PDFを開く</v>
      </c>
      <c r="P438" s="8" t="s">
        <v>503</v>
      </c>
    </row>
    <row r="439" spans="1:16" ht="33.950000000000003" customHeight="1">
      <c r="A439" s="5" t="s">
        <v>495</v>
      </c>
      <c r="B439" s="5" t="s">
        <v>73</v>
      </c>
      <c r="C439" s="9" t="s">
        <v>496</v>
      </c>
      <c r="D439" s="5">
        <v>2</v>
      </c>
      <c r="E439" s="9" t="s">
        <v>3191</v>
      </c>
      <c r="F439" s="5" t="s">
        <v>2513</v>
      </c>
      <c r="G439" s="19" t="s">
        <v>3494</v>
      </c>
      <c r="H439" s="5" t="s">
        <v>3178</v>
      </c>
      <c r="I439" s="9" t="s">
        <v>3407</v>
      </c>
      <c r="J439" s="5">
        <v>2025</v>
      </c>
      <c r="K439" s="5">
        <v>50</v>
      </c>
      <c r="L439" s="9" t="s">
        <v>3271</v>
      </c>
      <c r="M439" s="5"/>
      <c r="N439" s="9" t="s">
        <v>3783</v>
      </c>
      <c r="O439" s="9" t="str">
        <f t="shared" si="46"/>
        <v>PDFを開く</v>
      </c>
      <c r="P439" s="9" t="s">
        <v>503</v>
      </c>
    </row>
    <row r="440" spans="1:16" ht="33.950000000000003" customHeight="1">
      <c r="A440" s="2" t="s">
        <v>495</v>
      </c>
      <c r="B440" s="2" t="s">
        <v>73</v>
      </c>
      <c r="C440" s="8" t="s">
        <v>496</v>
      </c>
      <c r="D440" s="2">
        <v>2</v>
      </c>
      <c r="E440" s="8" t="s">
        <v>3191</v>
      </c>
      <c r="F440" s="2" t="s">
        <v>2513</v>
      </c>
      <c r="G440" s="19" t="s">
        <v>3494</v>
      </c>
      <c r="H440" s="2" t="s">
        <v>3178</v>
      </c>
      <c r="I440" s="8" t="s">
        <v>3335</v>
      </c>
      <c r="J440" s="2">
        <v>2028</v>
      </c>
      <c r="K440" s="2">
        <v>60</v>
      </c>
      <c r="L440" s="8" t="s">
        <v>3406</v>
      </c>
      <c r="M440" s="2"/>
      <c r="N440" s="8" t="s">
        <v>3783</v>
      </c>
      <c r="O440" s="8" t="str">
        <f t="shared" si="46"/>
        <v>PDFを開く</v>
      </c>
      <c r="P440" s="8" t="s">
        <v>503</v>
      </c>
    </row>
    <row r="441" spans="1:16" ht="33.950000000000003" customHeight="1">
      <c r="A441" s="5" t="s">
        <v>495</v>
      </c>
      <c r="B441" s="5" t="s">
        <v>73</v>
      </c>
      <c r="C441" s="9" t="s">
        <v>496</v>
      </c>
      <c r="D441" s="5">
        <v>2</v>
      </c>
      <c r="E441" s="9" t="s">
        <v>3191</v>
      </c>
      <c r="F441" s="5" t="s">
        <v>2513</v>
      </c>
      <c r="G441" s="19" t="s">
        <v>3494</v>
      </c>
      <c r="H441" s="5" t="s">
        <v>3178</v>
      </c>
      <c r="I441" s="9" t="s">
        <v>3407</v>
      </c>
      <c r="J441" s="5">
        <v>2025</v>
      </c>
      <c r="K441" s="5">
        <v>52</v>
      </c>
      <c r="L441" s="9" t="s">
        <v>3785</v>
      </c>
      <c r="M441" s="5"/>
      <c r="N441" s="9" t="s">
        <v>3783</v>
      </c>
      <c r="O441" s="9" t="str">
        <f t="shared" si="46"/>
        <v>PDFを開く</v>
      </c>
      <c r="P441" s="9" t="s">
        <v>503</v>
      </c>
    </row>
    <row r="442" spans="1:16" ht="33.950000000000003" customHeight="1">
      <c r="A442" s="2" t="s">
        <v>495</v>
      </c>
      <c r="B442" s="2" t="s">
        <v>73</v>
      </c>
      <c r="C442" s="8" t="s">
        <v>496</v>
      </c>
      <c r="D442" s="2">
        <v>2</v>
      </c>
      <c r="E442" s="8" t="s">
        <v>3191</v>
      </c>
      <c r="F442" s="2" t="s">
        <v>2513</v>
      </c>
      <c r="G442" s="19" t="s">
        <v>3494</v>
      </c>
      <c r="H442" s="2" t="s">
        <v>3178</v>
      </c>
      <c r="I442" s="8" t="s">
        <v>3335</v>
      </c>
      <c r="J442" s="2">
        <v>2028</v>
      </c>
      <c r="K442" s="2">
        <v>67</v>
      </c>
      <c r="L442" s="8" t="s">
        <v>3786</v>
      </c>
      <c r="M442" s="2"/>
      <c r="N442" s="8" t="s">
        <v>3783</v>
      </c>
      <c r="O442" s="8" t="str">
        <f t="shared" si="46"/>
        <v>PDFを開く</v>
      </c>
      <c r="P442" s="8" t="s">
        <v>503</v>
      </c>
    </row>
    <row r="443" spans="1:16" ht="33.950000000000003" customHeight="1">
      <c r="A443" s="5" t="s">
        <v>504</v>
      </c>
      <c r="B443" s="5" t="s">
        <v>73</v>
      </c>
      <c r="C443" s="9" t="s">
        <v>505</v>
      </c>
      <c r="D443" s="5">
        <v>2</v>
      </c>
      <c r="E443" s="9" t="s">
        <v>3176</v>
      </c>
      <c r="F443" s="5" t="s">
        <v>86</v>
      </c>
      <c r="G443" s="5" t="s">
        <v>3177</v>
      </c>
      <c r="H443" s="5"/>
      <c r="I443" s="9" t="s">
        <v>3179</v>
      </c>
      <c r="J443" s="5">
        <v>2026</v>
      </c>
      <c r="K443" s="5">
        <v>725</v>
      </c>
      <c r="L443" s="9" t="s">
        <v>3787</v>
      </c>
      <c r="M443" s="5">
        <v>31.2</v>
      </c>
      <c r="N443" s="9" t="s">
        <v>3788</v>
      </c>
      <c r="O443" s="9" t="str">
        <f t="shared" ref="O443:O448" si="47">HYPERLINK("https://seichotoushi-hojo.jp/assets/pdf/koufu/outline_145.pdf","PDFを開く")</f>
        <v>PDFを開く</v>
      </c>
      <c r="P443" s="9" t="s">
        <v>512</v>
      </c>
    </row>
    <row r="444" spans="1:16" ht="33.950000000000003" customHeight="1">
      <c r="A444" s="2" t="s">
        <v>504</v>
      </c>
      <c r="B444" s="2" t="s">
        <v>73</v>
      </c>
      <c r="C444" s="8" t="s">
        <v>505</v>
      </c>
      <c r="D444" s="2">
        <v>2</v>
      </c>
      <c r="E444" s="8" t="s">
        <v>3176</v>
      </c>
      <c r="F444" s="2" t="s">
        <v>86</v>
      </c>
      <c r="G444" s="2" t="s">
        <v>3177</v>
      </c>
      <c r="H444" s="2"/>
      <c r="I444" s="8" t="s">
        <v>3182</v>
      </c>
      <c r="J444" s="2">
        <v>2029</v>
      </c>
      <c r="K444" s="2">
        <v>1639</v>
      </c>
      <c r="L444" s="8" t="s">
        <v>3441</v>
      </c>
      <c r="M444" s="2">
        <v>31.2</v>
      </c>
      <c r="N444" s="8" t="s">
        <v>3788</v>
      </c>
      <c r="O444" s="8" t="str">
        <f t="shared" si="47"/>
        <v>PDFを開く</v>
      </c>
      <c r="P444" s="8" t="s">
        <v>512</v>
      </c>
    </row>
    <row r="445" spans="1:16" ht="33.950000000000003" customHeight="1">
      <c r="A445" s="5" t="s">
        <v>504</v>
      </c>
      <c r="B445" s="5" t="s">
        <v>73</v>
      </c>
      <c r="C445" s="9" t="s">
        <v>505</v>
      </c>
      <c r="D445" s="5">
        <v>2</v>
      </c>
      <c r="E445" s="9" t="s">
        <v>3184</v>
      </c>
      <c r="F445" s="5" t="s">
        <v>86</v>
      </c>
      <c r="G445" s="5" t="s">
        <v>3177</v>
      </c>
      <c r="H445" s="5"/>
      <c r="I445" s="9" t="s">
        <v>3179</v>
      </c>
      <c r="J445" s="5">
        <v>2026</v>
      </c>
      <c r="K445" s="5">
        <v>495</v>
      </c>
      <c r="L445" s="9" t="s">
        <v>3789</v>
      </c>
      <c r="M445" s="5">
        <v>4.5999999999999996</v>
      </c>
      <c r="N445" s="9" t="s">
        <v>3790</v>
      </c>
      <c r="O445" s="9" t="str">
        <f t="shared" si="47"/>
        <v>PDFを開く</v>
      </c>
      <c r="P445" s="9" t="s">
        <v>512</v>
      </c>
    </row>
    <row r="446" spans="1:16" ht="33.950000000000003" customHeight="1">
      <c r="A446" s="2" t="s">
        <v>504</v>
      </c>
      <c r="B446" s="2" t="s">
        <v>73</v>
      </c>
      <c r="C446" s="8" t="s">
        <v>505</v>
      </c>
      <c r="D446" s="2">
        <v>2</v>
      </c>
      <c r="E446" s="8" t="s">
        <v>3184</v>
      </c>
      <c r="F446" s="2" t="s">
        <v>86</v>
      </c>
      <c r="G446" s="2" t="s">
        <v>3177</v>
      </c>
      <c r="H446" s="2"/>
      <c r="I446" s="8" t="s">
        <v>3182</v>
      </c>
      <c r="J446" s="2">
        <v>2029</v>
      </c>
      <c r="K446" s="2">
        <v>566</v>
      </c>
      <c r="L446" s="8" t="s">
        <v>3791</v>
      </c>
      <c r="M446" s="2">
        <v>4.5999999999999996</v>
      </c>
      <c r="N446" s="8" t="s">
        <v>3790</v>
      </c>
      <c r="O446" s="8" t="str">
        <f t="shared" si="47"/>
        <v>PDFを開く</v>
      </c>
      <c r="P446" s="8" t="s">
        <v>512</v>
      </c>
    </row>
    <row r="447" spans="1:16" ht="33.950000000000003" customHeight="1">
      <c r="A447" s="5" t="s">
        <v>504</v>
      </c>
      <c r="B447" s="5" t="s">
        <v>73</v>
      </c>
      <c r="C447" s="9" t="s">
        <v>505</v>
      </c>
      <c r="D447" s="5">
        <v>2</v>
      </c>
      <c r="E447" s="9" t="s">
        <v>3191</v>
      </c>
      <c r="F447" s="5" t="s">
        <v>2513</v>
      </c>
      <c r="G447" s="5" t="s">
        <v>3177</v>
      </c>
      <c r="H447" s="5"/>
      <c r="I447" s="9" t="s">
        <v>3179</v>
      </c>
      <c r="J447" s="5">
        <v>2026</v>
      </c>
      <c r="K447" s="5">
        <v>99</v>
      </c>
      <c r="L447" s="9" t="s">
        <v>3792</v>
      </c>
      <c r="M447" s="5"/>
      <c r="N447" s="9" t="s">
        <v>3793</v>
      </c>
      <c r="O447" s="9" t="str">
        <f t="shared" si="47"/>
        <v>PDFを開く</v>
      </c>
      <c r="P447" s="9" t="s">
        <v>512</v>
      </c>
    </row>
    <row r="448" spans="1:16" ht="33.950000000000003" customHeight="1">
      <c r="A448" s="2" t="s">
        <v>504</v>
      </c>
      <c r="B448" s="2" t="s">
        <v>73</v>
      </c>
      <c r="C448" s="8" t="s">
        <v>505</v>
      </c>
      <c r="D448" s="2">
        <v>2</v>
      </c>
      <c r="E448" s="8" t="s">
        <v>3191</v>
      </c>
      <c r="F448" s="2" t="s">
        <v>2513</v>
      </c>
      <c r="G448" s="2" t="s">
        <v>3177</v>
      </c>
      <c r="H448" s="2"/>
      <c r="I448" s="8" t="s">
        <v>3182</v>
      </c>
      <c r="J448" s="2">
        <v>2029</v>
      </c>
      <c r="K448" s="2">
        <v>157</v>
      </c>
      <c r="L448" s="8" t="s">
        <v>3794</v>
      </c>
      <c r="M448" s="2"/>
      <c r="N448" s="8" t="s">
        <v>3793</v>
      </c>
      <c r="O448" s="8" t="str">
        <f t="shared" si="47"/>
        <v>PDFを開く</v>
      </c>
      <c r="P448" s="8" t="s">
        <v>512</v>
      </c>
    </row>
    <row r="449" spans="1:16" ht="33.950000000000003" customHeight="1">
      <c r="A449" s="5" t="s">
        <v>513</v>
      </c>
      <c r="B449" s="5" t="s">
        <v>73</v>
      </c>
      <c r="C449" s="9" t="s">
        <v>514</v>
      </c>
      <c r="D449" s="5">
        <v>2</v>
      </c>
      <c r="E449" s="9" t="s">
        <v>3176</v>
      </c>
      <c r="F449" s="5" t="s">
        <v>86</v>
      </c>
      <c r="G449" s="5" t="s">
        <v>3177</v>
      </c>
      <c r="H449" s="5" t="s">
        <v>3178</v>
      </c>
      <c r="I449" s="9" t="s">
        <v>3179</v>
      </c>
      <c r="J449" s="5">
        <v>2026</v>
      </c>
      <c r="K449" s="5">
        <v>812</v>
      </c>
      <c r="L449" s="9" t="s">
        <v>3795</v>
      </c>
      <c r="M449" s="5">
        <v>14</v>
      </c>
      <c r="N449" s="9" t="s">
        <v>3796</v>
      </c>
      <c r="O449" s="9" t="str">
        <f t="shared" ref="O449:O455" si="48">HYPERLINK("https://seichotoushi-hojo.jp/assets/pdf/koufu/outline_146.pdf","PDFを開く")</f>
        <v>PDFを開く</v>
      </c>
      <c r="P449" s="9" t="s">
        <v>520</v>
      </c>
    </row>
    <row r="450" spans="1:16" ht="33.950000000000003" customHeight="1">
      <c r="A450" s="2" t="s">
        <v>513</v>
      </c>
      <c r="B450" s="2" t="s">
        <v>73</v>
      </c>
      <c r="C450" s="8" t="s">
        <v>514</v>
      </c>
      <c r="D450" s="2">
        <v>2</v>
      </c>
      <c r="E450" s="8" t="s">
        <v>3176</v>
      </c>
      <c r="F450" s="2" t="s">
        <v>86</v>
      </c>
      <c r="G450" s="2" t="s">
        <v>3177</v>
      </c>
      <c r="H450" s="2" t="s">
        <v>3178</v>
      </c>
      <c r="I450" s="8" t="s">
        <v>3182</v>
      </c>
      <c r="J450" s="2">
        <v>2029</v>
      </c>
      <c r="K450" s="2">
        <v>1196</v>
      </c>
      <c r="L450" s="8" t="s">
        <v>3797</v>
      </c>
      <c r="M450" s="2">
        <v>14</v>
      </c>
      <c r="N450" s="8" t="s">
        <v>3796</v>
      </c>
      <c r="O450" s="8" t="str">
        <f t="shared" si="48"/>
        <v>PDFを開く</v>
      </c>
      <c r="P450" s="8" t="s">
        <v>520</v>
      </c>
    </row>
    <row r="451" spans="1:16" ht="33.950000000000003" customHeight="1">
      <c r="A451" s="5" t="s">
        <v>513</v>
      </c>
      <c r="B451" s="5" t="s">
        <v>73</v>
      </c>
      <c r="C451" s="9" t="s">
        <v>514</v>
      </c>
      <c r="D451" s="5">
        <v>2</v>
      </c>
      <c r="E451" s="9" t="s">
        <v>3184</v>
      </c>
      <c r="F451" s="5" t="s">
        <v>86</v>
      </c>
      <c r="G451" s="5" t="s">
        <v>3177</v>
      </c>
      <c r="H451" s="5" t="s">
        <v>3178</v>
      </c>
      <c r="I451" s="9" t="s">
        <v>3179</v>
      </c>
      <c r="J451" s="5">
        <v>2026</v>
      </c>
      <c r="K451" s="5">
        <v>490</v>
      </c>
      <c r="L451" s="9" t="s">
        <v>3396</v>
      </c>
      <c r="M451" s="5">
        <v>3</v>
      </c>
      <c r="N451" s="9" t="s">
        <v>3798</v>
      </c>
      <c r="O451" s="9" t="str">
        <f t="shared" si="48"/>
        <v>PDFを開く</v>
      </c>
      <c r="P451" s="9" t="s">
        <v>520</v>
      </c>
    </row>
    <row r="452" spans="1:16" ht="33.950000000000003" customHeight="1">
      <c r="A452" s="2" t="s">
        <v>513</v>
      </c>
      <c r="B452" s="2" t="s">
        <v>73</v>
      </c>
      <c r="C452" s="8" t="s">
        <v>514</v>
      </c>
      <c r="D452" s="2">
        <v>2</v>
      </c>
      <c r="E452" s="8" t="s">
        <v>3184</v>
      </c>
      <c r="F452" s="2" t="s">
        <v>86</v>
      </c>
      <c r="G452" s="2" t="s">
        <v>3177</v>
      </c>
      <c r="H452" s="2" t="s">
        <v>3178</v>
      </c>
      <c r="I452" s="8" t="s">
        <v>3182</v>
      </c>
      <c r="J452" s="2">
        <v>2029</v>
      </c>
      <c r="K452" s="2">
        <v>535</v>
      </c>
      <c r="L452" s="8" t="s">
        <v>3799</v>
      </c>
      <c r="M452" s="2">
        <v>3</v>
      </c>
      <c r="N452" s="8" t="s">
        <v>3798</v>
      </c>
      <c r="O452" s="8" t="str">
        <f t="shared" si="48"/>
        <v>PDFを開く</v>
      </c>
      <c r="P452" s="8" t="s">
        <v>520</v>
      </c>
    </row>
    <row r="453" spans="1:16" ht="33.950000000000003" customHeight="1">
      <c r="A453" s="5" t="s">
        <v>513</v>
      </c>
      <c r="B453" s="5" t="s">
        <v>73</v>
      </c>
      <c r="C453" s="9" t="s">
        <v>514</v>
      </c>
      <c r="D453" s="5">
        <v>2</v>
      </c>
      <c r="E453" s="9" t="s">
        <v>3188</v>
      </c>
      <c r="F453" s="5" t="s">
        <v>86</v>
      </c>
      <c r="G453" s="19" t="s">
        <v>3189</v>
      </c>
      <c r="H453" s="5" t="s">
        <v>3178</v>
      </c>
      <c r="I453" s="9"/>
      <c r="J453" s="5"/>
      <c r="K453" s="5"/>
      <c r="L453" s="9"/>
      <c r="M453" s="5"/>
      <c r="N453" s="9" t="s">
        <v>3742</v>
      </c>
      <c r="O453" s="9" t="str">
        <f t="shared" si="48"/>
        <v>PDFを開く</v>
      </c>
      <c r="P453" s="9" t="s">
        <v>520</v>
      </c>
    </row>
    <row r="454" spans="1:16" ht="33.950000000000003" customHeight="1">
      <c r="A454" s="2" t="s">
        <v>513</v>
      </c>
      <c r="B454" s="2" t="s">
        <v>73</v>
      </c>
      <c r="C454" s="8" t="s">
        <v>514</v>
      </c>
      <c r="D454" s="2">
        <v>2</v>
      </c>
      <c r="E454" s="8" t="s">
        <v>3191</v>
      </c>
      <c r="F454" s="2" t="s">
        <v>2513</v>
      </c>
      <c r="G454" s="2" t="s">
        <v>3177</v>
      </c>
      <c r="H454" s="2" t="s">
        <v>3178</v>
      </c>
      <c r="I454" s="8" t="s">
        <v>3179</v>
      </c>
      <c r="J454" s="2">
        <v>2026</v>
      </c>
      <c r="K454" s="2">
        <v>732</v>
      </c>
      <c r="L454" s="8" t="s">
        <v>3800</v>
      </c>
      <c r="M454" s="2"/>
      <c r="N454" s="8" t="s">
        <v>3801</v>
      </c>
      <c r="O454" s="8" t="str">
        <f t="shared" si="48"/>
        <v>PDFを開く</v>
      </c>
      <c r="P454" s="8" t="s">
        <v>520</v>
      </c>
    </row>
    <row r="455" spans="1:16" ht="33.950000000000003" customHeight="1">
      <c r="A455" s="5" t="s">
        <v>513</v>
      </c>
      <c r="B455" s="5" t="s">
        <v>73</v>
      </c>
      <c r="C455" s="9" t="s">
        <v>514</v>
      </c>
      <c r="D455" s="5">
        <v>2</v>
      </c>
      <c r="E455" s="9" t="s">
        <v>3191</v>
      </c>
      <c r="F455" s="5" t="s">
        <v>2513</v>
      </c>
      <c r="G455" s="5" t="s">
        <v>3177</v>
      </c>
      <c r="H455" s="5" t="s">
        <v>3178</v>
      </c>
      <c r="I455" s="9" t="s">
        <v>3182</v>
      </c>
      <c r="J455" s="5">
        <v>2029</v>
      </c>
      <c r="K455" s="5">
        <v>795</v>
      </c>
      <c r="L455" s="9" t="s">
        <v>3240</v>
      </c>
      <c r="M455" s="5"/>
      <c r="N455" s="9" t="s">
        <v>3801</v>
      </c>
      <c r="O455" s="9" t="str">
        <f t="shared" si="48"/>
        <v>PDFを開く</v>
      </c>
      <c r="P455" s="9" t="s">
        <v>520</v>
      </c>
    </row>
    <row r="456" spans="1:16" ht="33.950000000000003" customHeight="1">
      <c r="A456" s="2" t="s">
        <v>521</v>
      </c>
      <c r="B456" s="2" t="s">
        <v>73</v>
      </c>
      <c r="C456" s="8" t="s">
        <v>522</v>
      </c>
      <c r="D456" s="2">
        <v>2</v>
      </c>
      <c r="E456" s="8" t="s">
        <v>3176</v>
      </c>
      <c r="F456" s="2" t="s">
        <v>86</v>
      </c>
      <c r="G456" s="2" t="s">
        <v>3177</v>
      </c>
      <c r="H456" s="2" t="s">
        <v>3178</v>
      </c>
      <c r="I456" s="8" t="s">
        <v>3179</v>
      </c>
      <c r="J456" s="2">
        <v>2026</v>
      </c>
      <c r="K456" s="2">
        <v>1008</v>
      </c>
      <c r="L456" s="8" t="s">
        <v>3802</v>
      </c>
      <c r="M456" s="2">
        <v>15.6</v>
      </c>
      <c r="N456" s="8" t="s">
        <v>3803</v>
      </c>
      <c r="O456" s="8" t="str">
        <f t="shared" ref="O456:O464" si="49">HYPERLINK("https://seichotoushi-hojo.jp/assets/pdf/koufu/outline_147.pdf","PDFを開く")</f>
        <v>PDFを開く</v>
      </c>
      <c r="P456" s="8" t="s">
        <v>529</v>
      </c>
    </row>
    <row r="457" spans="1:16" ht="33.950000000000003" customHeight="1">
      <c r="A457" s="5" t="s">
        <v>521</v>
      </c>
      <c r="B457" s="5" t="s">
        <v>73</v>
      </c>
      <c r="C457" s="9" t="s">
        <v>522</v>
      </c>
      <c r="D457" s="5">
        <v>2</v>
      </c>
      <c r="E457" s="9" t="s">
        <v>3176</v>
      </c>
      <c r="F457" s="5" t="s">
        <v>86</v>
      </c>
      <c r="G457" s="5" t="s">
        <v>3177</v>
      </c>
      <c r="H457" s="5" t="s">
        <v>3178</v>
      </c>
      <c r="I457" s="9" t="s">
        <v>3182</v>
      </c>
      <c r="J457" s="5">
        <v>2029</v>
      </c>
      <c r="K457" s="5">
        <v>1556</v>
      </c>
      <c r="L457" s="9" t="s">
        <v>3804</v>
      </c>
      <c r="M457" s="5">
        <v>15.6</v>
      </c>
      <c r="N457" s="9" t="s">
        <v>3803</v>
      </c>
      <c r="O457" s="9" t="str">
        <f t="shared" si="49"/>
        <v>PDFを開く</v>
      </c>
      <c r="P457" s="9" t="s">
        <v>529</v>
      </c>
    </row>
    <row r="458" spans="1:16" ht="33.950000000000003" customHeight="1">
      <c r="A458" s="2" t="s">
        <v>521</v>
      </c>
      <c r="B458" s="2" t="s">
        <v>73</v>
      </c>
      <c r="C458" s="8" t="s">
        <v>522</v>
      </c>
      <c r="D458" s="2">
        <v>2</v>
      </c>
      <c r="E458" s="8" t="s">
        <v>3184</v>
      </c>
      <c r="F458" s="2" t="s">
        <v>86</v>
      </c>
      <c r="G458" s="2" t="s">
        <v>3177</v>
      </c>
      <c r="H458" s="2" t="s">
        <v>3178</v>
      </c>
      <c r="I458" s="8" t="s">
        <v>3179</v>
      </c>
      <c r="J458" s="2">
        <v>2026</v>
      </c>
      <c r="K458" s="2">
        <v>286</v>
      </c>
      <c r="L458" s="8" t="s">
        <v>3805</v>
      </c>
      <c r="M458" s="2">
        <v>5</v>
      </c>
      <c r="N458" s="8" t="s">
        <v>3806</v>
      </c>
      <c r="O458" s="8" t="str">
        <f t="shared" si="49"/>
        <v>PDFを開く</v>
      </c>
      <c r="P458" s="8" t="s">
        <v>529</v>
      </c>
    </row>
    <row r="459" spans="1:16" ht="33.950000000000003" customHeight="1">
      <c r="A459" s="5" t="s">
        <v>521</v>
      </c>
      <c r="B459" s="5" t="s">
        <v>73</v>
      </c>
      <c r="C459" s="9" t="s">
        <v>522</v>
      </c>
      <c r="D459" s="5">
        <v>2</v>
      </c>
      <c r="E459" s="9" t="s">
        <v>3184</v>
      </c>
      <c r="F459" s="5" t="s">
        <v>86</v>
      </c>
      <c r="G459" s="5" t="s">
        <v>3177</v>
      </c>
      <c r="H459" s="5" t="s">
        <v>3178</v>
      </c>
      <c r="I459" s="9" t="s">
        <v>3182</v>
      </c>
      <c r="J459" s="5">
        <v>2029</v>
      </c>
      <c r="K459" s="5">
        <v>331</v>
      </c>
      <c r="L459" s="9" t="s">
        <v>3807</v>
      </c>
      <c r="M459" s="5">
        <v>5</v>
      </c>
      <c r="N459" s="9" t="s">
        <v>3806</v>
      </c>
      <c r="O459" s="9" t="str">
        <f t="shared" si="49"/>
        <v>PDFを開く</v>
      </c>
      <c r="P459" s="9" t="s">
        <v>529</v>
      </c>
    </row>
    <row r="460" spans="1:16" ht="33.950000000000003" customHeight="1">
      <c r="A460" s="2" t="s">
        <v>521</v>
      </c>
      <c r="B460" s="2" t="s">
        <v>73</v>
      </c>
      <c r="C460" s="8" t="s">
        <v>522</v>
      </c>
      <c r="D460" s="2">
        <v>2</v>
      </c>
      <c r="E460" s="8" t="s">
        <v>3188</v>
      </c>
      <c r="F460" s="2" t="s">
        <v>86</v>
      </c>
      <c r="G460" s="19" t="s">
        <v>3189</v>
      </c>
      <c r="H460" s="2" t="s">
        <v>3178</v>
      </c>
      <c r="I460" s="8"/>
      <c r="J460" s="2"/>
      <c r="K460" s="2"/>
      <c r="L460" s="8"/>
      <c r="M460" s="2">
        <v>5</v>
      </c>
      <c r="N460" s="8" t="s">
        <v>3808</v>
      </c>
      <c r="O460" s="8" t="str">
        <f t="shared" si="49"/>
        <v>PDFを開く</v>
      </c>
      <c r="P460" s="8" t="s">
        <v>529</v>
      </c>
    </row>
    <row r="461" spans="1:16" ht="33.950000000000003" customHeight="1">
      <c r="A461" s="5" t="s">
        <v>521</v>
      </c>
      <c r="B461" s="5" t="s">
        <v>73</v>
      </c>
      <c r="C461" s="9" t="s">
        <v>522</v>
      </c>
      <c r="D461" s="5">
        <v>2</v>
      </c>
      <c r="E461" s="9" t="s">
        <v>3191</v>
      </c>
      <c r="F461" s="5" t="s">
        <v>2513</v>
      </c>
      <c r="G461" s="5" t="s">
        <v>3177</v>
      </c>
      <c r="H461" s="5" t="s">
        <v>3178</v>
      </c>
      <c r="I461" s="9" t="s">
        <v>3179</v>
      </c>
      <c r="J461" s="5">
        <v>2026</v>
      </c>
      <c r="K461" s="5">
        <v>48</v>
      </c>
      <c r="L461" s="9" t="s">
        <v>3809</v>
      </c>
      <c r="M461" s="5"/>
      <c r="N461" s="9" t="s">
        <v>3810</v>
      </c>
      <c r="O461" s="9" t="str">
        <f t="shared" si="49"/>
        <v>PDFを開く</v>
      </c>
      <c r="P461" s="9" t="s">
        <v>529</v>
      </c>
    </row>
    <row r="462" spans="1:16" ht="33.950000000000003" customHeight="1">
      <c r="A462" s="2" t="s">
        <v>521</v>
      </c>
      <c r="B462" s="2" t="s">
        <v>73</v>
      </c>
      <c r="C462" s="8" t="s">
        <v>522</v>
      </c>
      <c r="D462" s="2">
        <v>2</v>
      </c>
      <c r="E462" s="8" t="s">
        <v>3191</v>
      </c>
      <c r="F462" s="2" t="s">
        <v>2513</v>
      </c>
      <c r="G462" s="2" t="s">
        <v>3177</v>
      </c>
      <c r="H462" s="2" t="s">
        <v>3178</v>
      </c>
      <c r="I462" s="8" t="s">
        <v>3182</v>
      </c>
      <c r="J462" s="2">
        <v>2029</v>
      </c>
      <c r="K462" s="2">
        <v>51</v>
      </c>
      <c r="L462" s="8" t="s">
        <v>3467</v>
      </c>
      <c r="M462" s="2"/>
      <c r="N462" s="8" t="s">
        <v>3810</v>
      </c>
      <c r="O462" s="8" t="str">
        <f t="shared" si="49"/>
        <v>PDFを開く</v>
      </c>
      <c r="P462" s="8" t="s">
        <v>529</v>
      </c>
    </row>
    <row r="463" spans="1:16" ht="33.950000000000003" customHeight="1">
      <c r="A463" s="5" t="s">
        <v>521</v>
      </c>
      <c r="B463" s="5" t="s">
        <v>73</v>
      </c>
      <c r="C463" s="9" t="s">
        <v>522</v>
      </c>
      <c r="D463" s="5">
        <v>2</v>
      </c>
      <c r="E463" s="9" t="s">
        <v>3188</v>
      </c>
      <c r="F463" s="5" t="s">
        <v>86</v>
      </c>
      <c r="G463" s="5" t="s">
        <v>3177</v>
      </c>
      <c r="H463" s="5"/>
      <c r="I463" s="9" t="s">
        <v>3811</v>
      </c>
      <c r="J463" s="5">
        <v>2026</v>
      </c>
      <c r="K463" s="5"/>
      <c r="L463" s="9" t="s">
        <v>3196</v>
      </c>
      <c r="M463" s="5">
        <v>5</v>
      </c>
      <c r="N463" s="9" t="s">
        <v>3812</v>
      </c>
      <c r="O463" s="9" t="str">
        <f t="shared" si="49"/>
        <v>PDFを開く</v>
      </c>
      <c r="P463" s="9" t="s">
        <v>529</v>
      </c>
    </row>
    <row r="464" spans="1:16" ht="33.950000000000003" customHeight="1">
      <c r="A464" s="2" t="s">
        <v>521</v>
      </c>
      <c r="B464" s="2" t="s">
        <v>73</v>
      </c>
      <c r="C464" s="8" t="s">
        <v>522</v>
      </c>
      <c r="D464" s="2">
        <v>2</v>
      </c>
      <c r="E464" s="8" t="s">
        <v>3188</v>
      </c>
      <c r="F464" s="2" t="s">
        <v>86</v>
      </c>
      <c r="G464" s="2" t="s">
        <v>3177</v>
      </c>
      <c r="H464" s="2"/>
      <c r="I464" s="8" t="s">
        <v>3813</v>
      </c>
      <c r="J464" s="2">
        <v>2029</v>
      </c>
      <c r="K464" s="2"/>
      <c r="L464" s="8" t="s">
        <v>3814</v>
      </c>
      <c r="M464" s="2">
        <v>5</v>
      </c>
      <c r="N464" s="8" t="s">
        <v>3812</v>
      </c>
      <c r="O464" s="8" t="str">
        <f t="shared" si="49"/>
        <v>PDFを開く</v>
      </c>
      <c r="P464" s="8" t="s">
        <v>529</v>
      </c>
    </row>
    <row r="465" spans="1:16" ht="33.950000000000003" customHeight="1">
      <c r="A465" s="5" t="s">
        <v>530</v>
      </c>
      <c r="B465" s="5" t="s">
        <v>73</v>
      </c>
      <c r="C465" s="9" t="s">
        <v>531</v>
      </c>
      <c r="D465" s="5">
        <v>2</v>
      </c>
      <c r="E465" s="9" t="s">
        <v>3176</v>
      </c>
      <c r="F465" s="5" t="s">
        <v>86</v>
      </c>
      <c r="G465" s="5" t="s">
        <v>3177</v>
      </c>
      <c r="H465" s="5" t="s">
        <v>3178</v>
      </c>
      <c r="I465" s="9"/>
      <c r="J465" s="5">
        <v>2025</v>
      </c>
      <c r="K465" s="5">
        <v>1166</v>
      </c>
      <c r="L465" s="9" t="s">
        <v>3815</v>
      </c>
      <c r="M465" s="5">
        <v>20.5</v>
      </c>
      <c r="N465" s="9" t="s">
        <v>3816</v>
      </c>
      <c r="O465" s="9" t="str">
        <f t="shared" ref="O465:O471" si="50">HYPERLINK("https://seichotoushi-hojo.jp/assets/pdf/koufu/outline_148.pdf","PDFを開く")</f>
        <v>PDFを開く</v>
      </c>
      <c r="P465" s="9" t="s">
        <v>538</v>
      </c>
    </row>
    <row r="466" spans="1:16" ht="33.950000000000003" customHeight="1">
      <c r="A466" s="2" t="s">
        <v>530</v>
      </c>
      <c r="B466" s="2" t="s">
        <v>73</v>
      </c>
      <c r="C466" s="8" t="s">
        <v>531</v>
      </c>
      <c r="D466" s="2">
        <v>2</v>
      </c>
      <c r="E466" s="8" t="s">
        <v>3176</v>
      </c>
      <c r="F466" s="2" t="s">
        <v>86</v>
      </c>
      <c r="G466" s="2" t="s">
        <v>3177</v>
      </c>
      <c r="H466" s="2" t="s">
        <v>3178</v>
      </c>
      <c r="I466" s="8" t="s">
        <v>3335</v>
      </c>
      <c r="J466" s="2">
        <v>2028</v>
      </c>
      <c r="K466" s="2">
        <v>2043</v>
      </c>
      <c r="L466" s="8" t="s">
        <v>3817</v>
      </c>
      <c r="M466" s="2">
        <v>20.5</v>
      </c>
      <c r="N466" s="8" t="s">
        <v>3816</v>
      </c>
      <c r="O466" s="8" t="str">
        <f t="shared" si="50"/>
        <v>PDFを開く</v>
      </c>
      <c r="P466" s="8" t="s">
        <v>538</v>
      </c>
    </row>
    <row r="467" spans="1:16" ht="33.950000000000003" customHeight="1">
      <c r="A467" s="5" t="s">
        <v>530</v>
      </c>
      <c r="B467" s="5" t="s">
        <v>73</v>
      </c>
      <c r="C467" s="9" t="s">
        <v>531</v>
      </c>
      <c r="D467" s="5">
        <v>2</v>
      </c>
      <c r="E467" s="9" t="s">
        <v>3184</v>
      </c>
      <c r="F467" s="5" t="s">
        <v>86</v>
      </c>
      <c r="G467" s="5" t="s">
        <v>3177</v>
      </c>
      <c r="H467" s="5" t="s">
        <v>3178</v>
      </c>
      <c r="I467" s="9"/>
      <c r="J467" s="5">
        <v>2025</v>
      </c>
      <c r="K467" s="5">
        <v>583</v>
      </c>
      <c r="L467" s="9" t="s">
        <v>3818</v>
      </c>
      <c r="M467" s="5">
        <v>5.0999999999999996</v>
      </c>
      <c r="N467" s="9" t="s">
        <v>3819</v>
      </c>
      <c r="O467" s="9" t="str">
        <f t="shared" si="50"/>
        <v>PDFを開く</v>
      </c>
      <c r="P467" s="9" t="s">
        <v>538</v>
      </c>
    </row>
    <row r="468" spans="1:16" ht="33.950000000000003" customHeight="1">
      <c r="A468" s="2" t="s">
        <v>530</v>
      </c>
      <c r="B468" s="2" t="s">
        <v>73</v>
      </c>
      <c r="C468" s="8" t="s">
        <v>531</v>
      </c>
      <c r="D468" s="2">
        <v>2</v>
      </c>
      <c r="E468" s="8" t="s">
        <v>3184</v>
      </c>
      <c r="F468" s="2" t="s">
        <v>86</v>
      </c>
      <c r="G468" s="2" t="s">
        <v>3177</v>
      </c>
      <c r="H468" s="2" t="s">
        <v>3178</v>
      </c>
      <c r="I468" s="8" t="s">
        <v>3335</v>
      </c>
      <c r="J468" s="2">
        <v>2028</v>
      </c>
      <c r="K468" s="2">
        <v>677</v>
      </c>
      <c r="L468" s="8" t="s">
        <v>3820</v>
      </c>
      <c r="M468" s="2">
        <v>5.0999999999999996</v>
      </c>
      <c r="N468" s="8" t="s">
        <v>3819</v>
      </c>
      <c r="O468" s="8" t="str">
        <f t="shared" si="50"/>
        <v>PDFを開く</v>
      </c>
      <c r="P468" s="8" t="s">
        <v>538</v>
      </c>
    </row>
    <row r="469" spans="1:16" ht="33.950000000000003" customHeight="1">
      <c r="A469" s="5" t="s">
        <v>530</v>
      </c>
      <c r="B469" s="5" t="s">
        <v>73</v>
      </c>
      <c r="C469" s="9" t="s">
        <v>531</v>
      </c>
      <c r="D469" s="5">
        <v>2</v>
      </c>
      <c r="E469" s="9" t="s">
        <v>3188</v>
      </c>
      <c r="F469" s="5" t="s">
        <v>86</v>
      </c>
      <c r="G469" s="19" t="s">
        <v>3494</v>
      </c>
      <c r="H469" s="5" t="s">
        <v>3178</v>
      </c>
      <c r="I469" s="9"/>
      <c r="J469" s="5"/>
      <c r="K469" s="5"/>
      <c r="L469" s="9"/>
      <c r="M469" s="5">
        <v>4</v>
      </c>
      <c r="N469" s="9" t="s">
        <v>3821</v>
      </c>
      <c r="O469" s="9" t="str">
        <f t="shared" si="50"/>
        <v>PDFを開く</v>
      </c>
      <c r="P469" s="9" t="s">
        <v>538</v>
      </c>
    </row>
    <row r="470" spans="1:16" ht="33.950000000000003" customHeight="1">
      <c r="A470" s="2" t="s">
        <v>530</v>
      </c>
      <c r="B470" s="2" t="s">
        <v>73</v>
      </c>
      <c r="C470" s="8" t="s">
        <v>531</v>
      </c>
      <c r="D470" s="2">
        <v>2</v>
      </c>
      <c r="E470" s="8" t="s">
        <v>3191</v>
      </c>
      <c r="F470" s="2" t="s">
        <v>2513</v>
      </c>
      <c r="G470" s="2" t="s">
        <v>3177</v>
      </c>
      <c r="H470" s="2" t="s">
        <v>3178</v>
      </c>
      <c r="I470" s="8"/>
      <c r="J470" s="2">
        <v>2025</v>
      </c>
      <c r="K470" s="2">
        <v>71</v>
      </c>
      <c r="L470" s="8" t="s">
        <v>3515</v>
      </c>
      <c r="M470" s="2"/>
      <c r="N470" s="8" t="s">
        <v>3822</v>
      </c>
      <c r="O470" s="8" t="str">
        <f t="shared" si="50"/>
        <v>PDFを開く</v>
      </c>
      <c r="P470" s="8" t="s">
        <v>538</v>
      </c>
    </row>
    <row r="471" spans="1:16" ht="33.950000000000003" customHeight="1">
      <c r="A471" s="5" t="s">
        <v>530</v>
      </c>
      <c r="B471" s="5" t="s">
        <v>73</v>
      </c>
      <c r="C471" s="9" t="s">
        <v>531</v>
      </c>
      <c r="D471" s="5">
        <v>2</v>
      </c>
      <c r="E471" s="9" t="s">
        <v>3191</v>
      </c>
      <c r="F471" s="5" t="s">
        <v>2513</v>
      </c>
      <c r="G471" s="5" t="s">
        <v>3177</v>
      </c>
      <c r="H471" s="5" t="s">
        <v>3178</v>
      </c>
      <c r="I471" s="9" t="s">
        <v>3335</v>
      </c>
      <c r="J471" s="5">
        <v>2028</v>
      </c>
      <c r="K471" s="5">
        <v>95</v>
      </c>
      <c r="L471" s="9" t="s">
        <v>3313</v>
      </c>
      <c r="M471" s="5"/>
      <c r="N471" s="9" t="s">
        <v>3822</v>
      </c>
      <c r="O471" s="9" t="str">
        <f t="shared" si="50"/>
        <v>PDFを開く</v>
      </c>
      <c r="P471" s="9" t="s">
        <v>538</v>
      </c>
    </row>
    <row r="472" spans="1:16" ht="33.950000000000003" customHeight="1">
      <c r="A472" s="2" t="s">
        <v>539</v>
      </c>
      <c r="B472" s="2" t="s">
        <v>73</v>
      </c>
      <c r="C472" s="8" t="s">
        <v>540</v>
      </c>
      <c r="D472" s="2">
        <v>2</v>
      </c>
      <c r="E472" s="8" t="s">
        <v>3176</v>
      </c>
      <c r="F472" s="2"/>
      <c r="G472" s="19" t="s">
        <v>3189</v>
      </c>
      <c r="H472" s="2"/>
      <c r="I472" s="8"/>
      <c r="J472" s="2"/>
      <c r="K472" s="2"/>
      <c r="L472" s="8"/>
      <c r="M472" s="2"/>
      <c r="N472" s="8" t="s">
        <v>3823</v>
      </c>
      <c r="O472" s="8" t="str">
        <f t="shared" ref="O472:O480" si="51">HYPERLINK("https://seichotoushi-hojo.jp/assets/pdf/koufu/outline_149.pdf","PDFを開く")</f>
        <v>PDFを開く</v>
      </c>
      <c r="P472" s="8" t="s">
        <v>547</v>
      </c>
    </row>
    <row r="473" spans="1:16" ht="33.950000000000003" customHeight="1">
      <c r="A473" s="5" t="s">
        <v>539</v>
      </c>
      <c r="B473" s="5" t="s">
        <v>73</v>
      </c>
      <c r="C473" s="9" t="s">
        <v>540</v>
      </c>
      <c r="D473" s="5">
        <v>3</v>
      </c>
      <c r="E473" s="9" t="s">
        <v>3176</v>
      </c>
      <c r="F473" s="5" t="s">
        <v>86</v>
      </c>
      <c r="G473" s="5" t="s">
        <v>3177</v>
      </c>
      <c r="H473" s="5" t="s">
        <v>3178</v>
      </c>
      <c r="I473" s="9" t="s">
        <v>3179</v>
      </c>
      <c r="J473" s="5">
        <v>2026</v>
      </c>
      <c r="K473" s="5">
        <v>420</v>
      </c>
      <c r="L473" s="9" t="s">
        <v>3394</v>
      </c>
      <c r="M473" s="5">
        <v>9</v>
      </c>
      <c r="N473" s="9" t="s">
        <v>3824</v>
      </c>
      <c r="O473" s="9" t="str">
        <f t="shared" si="51"/>
        <v>PDFを開く</v>
      </c>
      <c r="P473" s="9" t="s">
        <v>547</v>
      </c>
    </row>
    <row r="474" spans="1:16" ht="33.950000000000003" customHeight="1">
      <c r="A474" s="2" t="s">
        <v>539</v>
      </c>
      <c r="B474" s="2" t="s">
        <v>73</v>
      </c>
      <c r="C474" s="8" t="s">
        <v>540</v>
      </c>
      <c r="D474" s="2">
        <v>3</v>
      </c>
      <c r="E474" s="8" t="s">
        <v>3176</v>
      </c>
      <c r="F474" s="2" t="s">
        <v>86</v>
      </c>
      <c r="G474" s="2" t="s">
        <v>3177</v>
      </c>
      <c r="H474" s="2" t="s">
        <v>3178</v>
      </c>
      <c r="I474" s="8" t="s">
        <v>3182</v>
      </c>
      <c r="J474" s="2">
        <v>2029</v>
      </c>
      <c r="K474" s="2">
        <v>544</v>
      </c>
      <c r="L474" s="8" t="s">
        <v>3825</v>
      </c>
      <c r="M474" s="2">
        <v>9</v>
      </c>
      <c r="N474" s="8" t="s">
        <v>3824</v>
      </c>
      <c r="O474" s="8" t="str">
        <f t="shared" si="51"/>
        <v>PDFを開く</v>
      </c>
      <c r="P474" s="8" t="s">
        <v>547</v>
      </c>
    </row>
    <row r="475" spans="1:16" ht="33.950000000000003" customHeight="1">
      <c r="A475" s="5" t="s">
        <v>539</v>
      </c>
      <c r="B475" s="5" t="s">
        <v>73</v>
      </c>
      <c r="C475" s="9" t="s">
        <v>540</v>
      </c>
      <c r="D475" s="5">
        <v>3</v>
      </c>
      <c r="E475" s="9" t="s">
        <v>3184</v>
      </c>
      <c r="F475" s="5" t="s">
        <v>86</v>
      </c>
      <c r="G475" s="5" t="s">
        <v>3177</v>
      </c>
      <c r="H475" s="5" t="s">
        <v>3178</v>
      </c>
      <c r="I475" s="9" t="s">
        <v>3179</v>
      </c>
      <c r="J475" s="5">
        <v>2026</v>
      </c>
      <c r="K475" s="5">
        <v>315</v>
      </c>
      <c r="L475" s="9" t="s">
        <v>3826</v>
      </c>
      <c r="M475" s="5">
        <v>4.5</v>
      </c>
      <c r="N475" s="9" t="s">
        <v>3827</v>
      </c>
      <c r="O475" s="9" t="str">
        <f t="shared" si="51"/>
        <v>PDFを開く</v>
      </c>
      <c r="P475" s="9" t="s">
        <v>547</v>
      </c>
    </row>
    <row r="476" spans="1:16" ht="33.950000000000003" customHeight="1">
      <c r="A476" s="2" t="s">
        <v>539</v>
      </c>
      <c r="B476" s="2" t="s">
        <v>73</v>
      </c>
      <c r="C476" s="8" t="s">
        <v>540</v>
      </c>
      <c r="D476" s="2">
        <v>3</v>
      </c>
      <c r="E476" s="8" t="s">
        <v>3184</v>
      </c>
      <c r="F476" s="2" t="s">
        <v>86</v>
      </c>
      <c r="G476" s="2" t="s">
        <v>3177</v>
      </c>
      <c r="H476" s="2" t="s">
        <v>3178</v>
      </c>
      <c r="I476" s="8" t="s">
        <v>3182</v>
      </c>
      <c r="J476" s="2">
        <v>2029</v>
      </c>
      <c r="K476" s="2">
        <v>360</v>
      </c>
      <c r="L476" s="8" t="s">
        <v>3828</v>
      </c>
      <c r="M476" s="2">
        <v>4.5</v>
      </c>
      <c r="N476" s="8" t="s">
        <v>3827</v>
      </c>
      <c r="O476" s="8" t="str">
        <f t="shared" si="51"/>
        <v>PDFを開く</v>
      </c>
      <c r="P476" s="8" t="s">
        <v>547</v>
      </c>
    </row>
    <row r="477" spans="1:16" ht="33.950000000000003" customHeight="1">
      <c r="A477" s="5" t="s">
        <v>539</v>
      </c>
      <c r="B477" s="5" t="s">
        <v>73</v>
      </c>
      <c r="C477" s="9" t="s">
        <v>540</v>
      </c>
      <c r="D477" s="5">
        <v>3</v>
      </c>
      <c r="E477" s="9" t="s">
        <v>3188</v>
      </c>
      <c r="F477" s="5" t="s">
        <v>86</v>
      </c>
      <c r="G477" s="5" t="s">
        <v>3177</v>
      </c>
      <c r="H477" s="5" t="s">
        <v>3178</v>
      </c>
      <c r="I477" s="9" t="s">
        <v>3179</v>
      </c>
      <c r="J477" s="5">
        <v>2026</v>
      </c>
      <c r="K477" s="5">
        <v>753</v>
      </c>
      <c r="L477" s="9" t="s">
        <v>3829</v>
      </c>
      <c r="M477" s="5">
        <v>4</v>
      </c>
      <c r="N477" s="9" t="s">
        <v>3830</v>
      </c>
      <c r="O477" s="9" t="str">
        <f t="shared" si="51"/>
        <v>PDFを開く</v>
      </c>
      <c r="P477" s="9" t="s">
        <v>547</v>
      </c>
    </row>
    <row r="478" spans="1:16" ht="33.950000000000003" customHeight="1">
      <c r="A478" s="2" t="s">
        <v>539</v>
      </c>
      <c r="B478" s="2" t="s">
        <v>73</v>
      </c>
      <c r="C478" s="8" t="s">
        <v>540</v>
      </c>
      <c r="D478" s="2">
        <v>3</v>
      </c>
      <c r="E478" s="8" t="s">
        <v>3188</v>
      </c>
      <c r="F478" s="2" t="s">
        <v>86</v>
      </c>
      <c r="G478" s="2" t="s">
        <v>3177</v>
      </c>
      <c r="H478" s="2" t="s">
        <v>3178</v>
      </c>
      <c r="I478" s="8" t="s">
        <v>3182</v>
      </c>
      <c r="J478" s="2">
        <v>2029</v>
      </c>
      <c r="K478" s="2">
        <v>847</v>
      </c>
      <c r="L478" s="8" t="s">
        <v>3831</v>
      </c>
      <c r="M478" s="2">
        <v>4</v>
      </c>
      <c r="N478" s="8" t="s">
        <v>3830</v>
      </c>
      <c r="O478" s="8" t="str">
        <f t="shared" si="51"/>
        <v>PDFを開く</v>
      </c>
      <c r="P478" s="8" t="s">
        <v>547</v>
      </c>
    </row>
    <row r="479" spans="1:16" ht="33.950000000000003" customHeight="1">
      <c r="A479" s="5" t="s">
        <v>539</v>
      </c>
      <c r="B479" s="5" t="s">
        <v>73</v>
      </c>
      <c r="C479" s="9" t="s">
        <v>540</v>
      </c>
      <c r="D479" s="5">
        <v>3</v>
      </c>
      <c r="E479" s="9" t="s">
        <v>3191</v>
      </c>
      <c r="F479" s="5" t="s">
        <v>2513</v>
      </c>
      <c r="G479" s="5" t="s">
        <v>3177</v>
      </c>
      <c r="H479" s="5" t="s">
        <v>3178</v>
      </c>
      <c r="I479" s="9" t="s">
        <v>3179</v>
      </c>
      <c r="J479" s="5">
        <v>2026</v>
      </c>
      <c r="K479" s="5">
        <v>741</v>
      </c>
      <c r="L479" s="9" t="s">
        <v>3376</v>
      </c>
      <c r="M479" s="5"/>
      <c r="N479" s="9" t="s">
        <v>3832</v>
      </c>
      <c r="O479" s="9" t="str">
        <f t="shared" si="51"/>
        <v>PDFを開く</v>
      </c>
      <c r="P479" s="9" t="s">
        <v>547</v>
      </c>
    </row>
    <row r="480" spans="1:16" ht="33.950000000000003" customHeight="1">
      <c r="A480" s="2" t="s">
        <v>539</v>
      </c>
      <c r="B480" s="2" t="s">
        <v>73</v>
      </c>
      <c r="C480" s="8" t="s">
        <v>540</v>
      </c>
      <c r="D480" s="2">
        <v>3</v>
      </c>
      <c r="E480" s="8" t="s">
        <v>3191</v>
      </c>
      <c r="F480" s="2" t="s">
        <v>2513</v>
      </c>
      <c r="G480" s="2" t="s">
        <v>3177</v>
      </c>
      <c r="H480" s="2" t="s">
        <v>3178</v>
      </c>
      <c r="I480" s="8" t="s">
        <v>3182</v>
      </c>
      <c r="J480" s="2">
        <v>2029</v>
      </c>
      <c r="K480" s="2">
        <v>927</v>
      </c>
      <c r="L480" s="8" t="s">
        <v>3833</v>
      </c>
      <c r="M480" s="2"/>
      <c r="N480" s="8" t="s">
        <v>3832</v>
      </c>
      <c r="O480" s="8" t="str">
        <f t="shared" si="51"/>
        <v>PDFを開く</v>
      </c>
      <c r="P480" s="8" t="s">
        <v>547</v>
      </c>
    </row>
    <row r="481" spans="1:16" ht="33.950000000000003" customHeight="1">
      <c r="A481" s="5" t="s">
        <v>548</v>
      </c>
      <c r="B481" s="5" t="s">
        <v>73</v>
      </c>
      <c r="C481" s="9" t="s">
        <v>549</v>
      </c>
      <c r="D481" s="5">
        <v>2</v>
      </c>
      <c r="E481" s="9" t="s">
        <v>3176</v>
      </c>
      <c r="F481" s="5" t="s">
        <v>86</v>
      </c>
      <c r="G481" s="5" t="s">
        <v>3177</v>
      </c>
      <c r="H481" s="5" t="s">
        <v>3178</v>
      </c>
      <c r="I481" s="9" t="s">
        <v>3179</v>
      </c>
      <c r="J481" s="5">
        <v>2026</v>
      </c>
      <c r="K481" s="5">
        <v>891</v>
      </c>
      <c r="L481" s="9" t="s">
        <v>3834</v>
      </c>
      <c r="M481" s="5">
        <v>49.9</v>
      </c>
      <c r="N481" s="9" t="s">
        <v>3835</v>
      </c>
      <c r="O481" s="9" t="str">
        <f t="shared" ref="O481:O488" si="52">HYPERLINK("https://seichotoushi-hojo.jp/assets/pdf/koufu/outline_150.pdf","PDFを開く")</f>
        <v>PDFを開く</v>
      </c>
      <c r="P481" s="9" t="s">
        <v>556</v>
      </c>
    </row>
    <row r="482" spans="1:16" ht="33.950000000000003" customHeight="1">
      <c r="A482" s="2" t="s">
        <v>548</v>
      </c>
      <c r="B482" s="2" t="s">
        <v>73</v>
      </c>
      <c r="C482" s="8" t="s">
        <v>549</v>
      </c>
      <c r="D482" s="2">
        <v>2</v>
      </c>
      <c r="E482" s="8" t="s">
        <v>3176</v>
      </c>
      <c r="F482" s="2" t="s">
        <v>86</v>
      </c>
      <c r="G482" s="2" t="s">
        <v>3177</v>
      </c>
      <c r="H482" s="2" t="s">
        <v>3178</v>
      </c>
      <c r="I482" s="8" t="s">
        <v>3182</v>
      </c>
      <c r="J482" s="2">
        <v>2029</v>
      </c>
      <c r="K482" s="2">
        <v>2999</v>
      </c>
      <c r="L482" s="8" t="s">
        <v>3836</v>
      </c>
      <c r="M482" s="2">
        <v>49.9</v>
      </c>
      <c r="N482" s="8" t="s">
        <v>3835</v>
      </c>
      <c r="O482" s="8" t="str">
        <f t="shared" si="52"/>
        <v>PDFを開く</v>
      </c>
      <c r="P482" s="8" t="s">
        <v>556</v>
      </c>
    </row>
    <row r="483" spans="1:16" ht="33.950000000000003" customHeight="1">
      <c r="A483" s="5" t="s">
        <v>548</v>
      </c>
      <c r="B483" s="5" t="s">
        <v>73</v>
      </c>
      <c r="C483" s="9" t="s">
        <v>549</v>
      </c>
      <c r="D483" s="5">
        <v>2</v>
      </c>
      <c r="E483" s="9" t="s">
        <v>3184</v>
      </c>
      <c r="F483" s="5" t="s">
        <v>86</v>
      </c>
      <c r="G483" s="5" t="s">
        <v>3177</v>
      </c>
      <c r="H483" s="5" t="s">
        <v>3178</v>
      </c>
      <c r="I483" s="9" t="s">
        <v>3179</v>
      </c>
      <c r="J483" s="5">
        <v>2026</v>
      </c>
      <c r="K483" s="5">
        <v>382</v>
      </c>
      <c r="L483" s="9" t="s">
        <v>3837</v>
      </c>
      <c r="M483" s="5">
        <v>7</v>
      </c>
      <c r="N483" s="9" t="s">
        <v>3838</v>
      </c>
      <c r="O483" s="9" t="str">
        <f t="shared" si="52"/>
        <v>PDFを開く</v>
      </c>
      <c r="P483" s="9" t="s">
        <v>556</v>
      </c>
    </row>
    <row r="484" spans="1:16" ht="33.950000000000003" customHeight="1">
      <c r="A484" s="2" t="s">
        <v>548</v>
      </c>
      <c r="B484" s="2" t="s">
        <v>73</v>
      </c>
      <c r="C484" s="8" t="s">
        <v>549</v>
      </c>
      <c r="D484" s="2">
        <v>2</v>
      </c>
      <c r="E484" s="8" t="s">
        <v>3184</v>
      </c>
      <c r="F484" s="2" t="s">
        <v>86</v>
      </c>
      <c r="G484" s="2" t="s">
        <v>3177</v>
      </c>
      <c r="H484" s="2" t="s">
        <v>3178</v>
      </c>
      <c r="I484" s="8" t="s">
        <v>3182</v>
      </c>
      <c r="J484" s="2">
        <v>2029</v>
      </c>
      <c r="K484" s="2">
        <v>468</v>
      </c>
      <c r="L484" s="8" t="s">
        <v>3839</v>
      </c>
      <c r="M484" s="2">
        <v>7</v>
      </c>
      <c r="N484" s="8" t="s">
        <v>3838</v>
      </c>
      <c r="O484" s="8" t="str">
        <f t="shared" si="52"/>
        <v>PDFを開く</v>
      </c>
      <c r="P484" s="8" t="s">
        <v>556</v>
      </c>
    </row>
    <row r="485" spans="1:16" ht="33.950000000000003" customHeight="1">
      <c r="A485" s="5" t="s">
        <v>548</v>
      </c>
      <c r="B485" s="5" t="s">
        <v>73</v>
      </c>
      <c r="C485" s="9" t="s">
        <v>549</v>
      </c>
      <c r="D485" s="5">
        <v>2</v>
      </c>
      <c r="E485" s="9" t="s">
        <v>3188</v>
      </c>
      <c r="F485" s="5" t="s">
        <v>86</v>
      </c>
      <c r="G485" s="5" t="s">
        <v>3177</v>
      </c>
      <c r="H485" s="5" t="s">
        <v>3178</v>
      </c>
      <c r="I485" s="9" t="s">
        <v>3179</v>
      </c>
      <c r="J485" s="5">
        <v>2026</v>
      </c>
      <c r="K485" s="5">
        <v>1450</v>
      </c>
      <c r="L485" s="9" t="s">
        <v>3840</v>
      </c>
      <c r="M485" s="5">
        <v>4.4000000000000004</v>
      </c>
      <c r="N485" s="9" t="s">
        <v>3841</v>
      </c>
      <c r="O485" s="9" t="str">
        <f t="shared" si="52"/>
        <v>PDFを開く</v>
      </c>
      <c r="P485" s="9" t="s">
        <v>556</v>
      </c>
    </row>
    <row r="486" spans="1:16" ht="33.950000000000003" customHeight="1">
      <c r="A486" s="2" t="s">
        <v>548</v>
      </c>
      <c r="B486" s="2" t="s">
        <v>73</v>
      </c>
      <c r="C486" s="8" t="s">
        <v>549</v>
      </c>
      <c r="D486" s="2">
        <v>2</v>
      </c>
      <c r="E486" s="8" t="s">
        <v>3188</v>
      </c>
      <c r="F486" s="2" t="s">
        <v>86</v>
      </c>
      <c r="G486" s="2" t="s">
        <v>3177</v>
      </c>
      <c r="H486" s="2" t="s">
        <v>3178</v>
      </c>
      <c r="I486" s="8" t="s">
        <v>3182</v>
      </c>
      <c r="J486" s="2">
        <v>2029</v>
      </c>
      <c r="K486" s="2">
        <v>1650</v>
      </c>
      <c r="L486" s="8" t="s">
        <v>3842</v>
      </c>
      <c r="M486" s="2">
        <v>4.4000000000000004</v>
      </c>
      <c r="N486" s="8" t="s">
        <v>3841</v>
      </c>
      <c r="O486" s="8" t="str">
        <f t="shared" si="52"/>
        <v>PDFを開く</v>
      </c>
      <c r="P486" s="8" t="s">
        <v>556</v>
      </c>
    </row>
    <row r="487" spans="1:16" ht="33.950000000000003" customHeight="1">
      <c r="A487" s="5" t="s">
        <v>548</v>
      </c>
      <c r="B487" s="5" t="s">
        <v>73</v>
      </c>
      <c r="C487" s="9" t="s">
        <v>549</v>
      </c>
      <c r="D487" s="5">
        <v>2</v>
      </c>
      <c r="E487" s="9" t="s">
        <v>3191</v>
      </c>
      <c r="F487" s="5" t="s">
        <v>2513</v>
      </c>
      <c r="G487" s="5" t="s">
        <v>3177</v>
      </c>
      <c r="H487" s="5" t="s">
        <v>3178</v>
      </c>
      <c r="I487" s="9" t="s">
        <v>3179</v>
      </c>
      <c r="J487" s="5">
        <v>2026</v>
      </c>
      <c r="K487" s="5">
        <v>130</v>
      </c>
      <c r="L487" s="9" t="s">
        <v>3499</v>
      </c>
      <c r="M487" s="5"/>
      <c r="N487" s="9" t="s">
        <v>3843</v>
      </c>
      <c r="O487" s="9" t="str">
        <f t="shared" si="52"/>
        <v>PDFを開く</v>
      </c>
      <c r="P487" s="9" t="s">
        <v>556</v>
      </c>
    </row>
    <row r="488" spans="1:16" ht="33.950000000000003" customHeight="1">
      <c r="A488" s="2" t="s">
        <v>548</v>
      </c>
      <c r="B488" s="2" t="s">
        <v>73</v>
      </c>
      <c r="C488" s="8" t="s">
        <v>549</v>
      </c>
      <c r="D488" s="2">
        <v>2</v>
      </c>
      <c r="E488" s="8" t="s">
        <v>3191</v>
      </c>
      <c r="F488" s="2" t="s">
        <v>2513</v>
      </c>
      <c r="G488" s="2" t="s">
        <v>3177</v>
      </c>
      <c r="H488" s="2" t="s">
        <v>3178</v>
      </c>
      <c r="I488" s="8" t="s">
        <v>3182</v>
      </c>
      <c r="J488" s="2">
        <v>2029</v>
      </c>
      <c r="K488" s="2">
        <v>153</v>
      </c>
      <c r="L488" s="8" t="s">
        <v>3844</v>
      </c>
      <c r="M488" s="2"/>
      <c r="N488" s="8" t="s">
        <v>3843</v>
      </c>
      <c r="O488" s="8" t="str">
        <f t="shared" si="52"/>
        <v>PDFを開く</v>
      </c>
      <c r="P488" s="8" t="s">
        <v>556</v>
      </c>
    </row>
    <row r="489" spans="1:16" ht="33.950000000000003" customHeight="1">
      <c r="A489" s="5" t="s">
        <v>557</v>
      </c>
      <c r="B489" s="5" t="s">
        <v>73</v>
      </c>
      <c r="C489" s="9" t="s">
        <v>558</v>
      </c>
      <c r="D489" s="5">
        <v>2</v>
      </c>
      <c r="E489" s="9" t="s">
        <v>3176</v>
      </c>
      <c r="F489" s="5" t="s">
        <v>86</v>
      </c>
      <c r="G489" s="5" t="s">
        <v>3177</v>
      </c>
      <c r="H489" s="5" t="s">
        <v>3178</v>
      </c>
      <c r="I489" s="9" t="s">
        <v>3845</v>
      </c>
      <c r="J489" s="5">
        <v>2026</v>
      </c>
      <c r="K489" s="5">
        <v>294</v>
      </c>
      <c r="L489" s="9" t="s">
        <v>3846</v>
      </c>
      <c r="M489" s="5">
        <v>22.6</v>
      </c>
      <c r="N489" s="9" t="s">
        <v>3847</v>
      </c>
      <c r="O489" s="9" t="str">
        <f t="shared" ref="O489:O508" si="53">HYPERLINK("https://seichotoushi-hojo.jp/assets/pdf/koufu/outline_151.pdf","PDFを開く")</f>
        <v>PDFを開く</v>
      </c>
      <c r="P489" s="9" t="s">
        <v>564</v>
      </c>
    </row>
    <row r="490" spans="1:16" ht="33.950000000000003" customHeight="1">
      <c r="A490" s="2" t="s">
        <v>557</v>
      </c>
      <c r="B490" s="2" t="s">
        <v>73</v>
      </c>
      <c r="C490" s="8" t="s">
        <v>558</v>
      </c>
      <c r="D490" s="2">
        <v>2</v>
      </c>
      <c r="E490" s="8" t="s">
        <v>3176</v>
      </c>
      <c r="F490" s="2" t="s">
        <v>86</v>
      </c>
      <c r="G490" s="2" t="s">
        <v>3177</v>
      </c>
      <c r="H490" s="2" t="s">
        <v>3178</v>
      </c>
      <c r="I490" s="8" t="s">
        <v>3848</v>
      </c>
      <c r="J490" s="2">
        <v>2029</v>
      </c>
      <c r="K490" s="2">
        <v>541</v>
      </c>
      <c r="L490" s="8" t="s">
        <v>3397</v>
      </c>
      <c r="M490" s="2">
        <v>22.6</v>
      </c>
      <c r="N490" s="8" t="s">
        <v>3847</v>
      </c>
      <c r="O490" s="8" t="str">
        <f t="shared" si="53"/>
        <v>PDFを開く</v>
      </c>
      <c r="P490" s="8" t="s">
        <v>564</v>
      </c>
    </row>
    <row r="491" spans="1:16" ht="33.950000000000003" customHeight="1">
      <c r="A491" s="5" t="s">
        <v>557</v>
      </c>
      <c r="B491" s="5" t="s">
        <v>73</v>
      </c>
      <c r="C491" s="9" t="s">
        <v>558</v>
      </c>
      <c r="D491" s="5">
        <v>2</v>
      </c>
      <c r="E491" s="9" t="s">
        <v>3184</v>
      </c>
      <c r="F491" s="5" t="s">
        <v>86</v>
      </c>
      <c r="G491" s="19" t="s">
        <v>3494</v>
      </c>
      <c r="H491" s="5" t="s">
        <v>3178</v>
      </c>
      <c r="I491" s="9" t="s">
        <v>3845</v>
      </c>
      <c r="J491" s="5">
        <v>2026</v>
      </c>
      <c r="K491" s="5">
        <v>277</v>
      </c>
      <c r="L491" s="9" t="s">
        <v>3715</v>
      </c>
      <c r="M491" s="5">
        <v>6</v>
      </c>
      <c r="N491" s="9" t="s">
        <v>3849</v>
      </c>
      <c r="O491" s="9" t="str">
        <f t="shared" si="53"/>
        <v>PDFを開く</v>
      </c>
      <c r="P491" s="9" t="s">
        <v>564</v>
      </c>
    </row>
    <row r="492" spans="1:16" ht="33.950000000000003" customHeight="1">
      <c r="A492" s="2" t="s">
        <v>557</v>
      </c>
      <c r="B492" s="2" t="s">
        <v>73</v>
      </c>
      <c r="C492" s="8" t="s">
        <v>558</v>
      </c>
      <c r="D492" s="2">
        <v>2</v>
      </c>
      <c r="E492" s="8" t="s">
        <v>3184</v>
      </c>
      <c r="F492" s="2" t="s">
        <v>86</v>
      </c>
      <c r="G492" s="19" t="s">
        <v>3494</v>
      </c>
      <c r="H492" s="2" t="s">
        <v>3178</v>
      </c>
      <c r="I492" s="8"/>
      <c r="J492" s="2"/>
      <c r="K492" s="2">
        <v>256</v>
      </c>
      <c r="L492" s="8" t="s">
        <v>3850</v>
      </c>
      <c r="M492" s="2">
        <v>6</v>
      </c>
      <c r="N492" s="8" t="s">
        <v>3849</v>
      </c>
      <c r="O492" s="8" t="str">
        <f t="shared" si="53"/>
        <v>PDFを開く</v>
      </c>
      <c r="P492" s="8" t="s">
        <v>564</v>
      </c>
    </row>
    <row r="493" spans="1:16" ht="33.950000000000003" customHeight="1">
      <c r="A493" s="5" t="s">
        <v>557</v>
      </c>
      <c r="B493" s="5" t="s">
        <v>73</v>
      </c>
      <c r="C493" s="9" t="s">
        <v>558</v>
      </c>
      <c r="D493" s="5">
        <v>2</v>
      </c>
      <c r="E493" s="9" t="s">
        <v>3184</v>
      </c>
      <c r="F493" s="5" t="s">
        <v>86</v>
      </c>
      <c r="G493" s="19" t="s">
        <v>3494</v>
      </c>
      <c r="H493" s="5" t="s">
        <v>3178</v>
      </c>
      <c r="I493" s="9" t="s">
        <v>3848</v>
      </c>
      <c r="J493" s="5">
        <v>2029</v>
      </c>
      <c r="K493" s="5">
        <v>330</v>
      </c>
      <c r="L493" s="9" t="s">
        <v>3851</v>
      </c>
      <c r="M493" s="5">
        <v>6</v>
      </c>
      <c r="N493" s="9" t="s">
        <v>3849</v>
      </c>
      <c r="O493" s="9" t="str">
        <f t="shared" si="53"/>
        <v>PDFを開く</v>
      </c>
      <c r="P493" s="9" t="s">
        <v>564</v>
      </c>
    </row>
    <row r="494" spans="1:16" ht="33.950000000000003" customHeight="1">
      <c r="A494" s="2" t="s">
        <v>557</v>
      </c>
      <c r="B494" s="2" t="s">
        <v>73</v>
      </c>
      <c r="C494" s="8" t="s">
        <v>558</v>
      </c>
      <c r="D494" s="2">
        <v>2</v>
      </c>
      <c r="E494" s="8" t="s">
        <v>3184</v>
      </c>
      <c r="F494" s="2" t="s">
        <v>86</v>
      </c>
      <c r="G494" s="19" t="s">
        <v>3494</v>
      </c>
      <c r="H494" s="2" t="s">
        <v>3178</v>
      </c>
      <c r="I494" s="8"/>
      <c r="J494" s="2"/>
      <c r="K494" s="2">
        <v>305</v>
      </c>
      <c r="L494" s="8" t="s">
        <v>3717</v>
      </c>
      <c r="M494" s="2">
        <v>6</v>
      </c>
      <c r="N494" s="8" t="s">
        <v>3849</v>
      </c>
      <c r="O494" s="8" t="str">
        <f t="shared" si="53"/>
        <v>PDFを開く</v>
      </c>
      <c r="P494" s="8" t="s">
        <v>564</v>
      </c>
    </row>
    <row r="495" spans="1:16" ht="33.950000000000003" customHeight="1">
      <c r="A495" s="5" t="s">
        <v>557</v>
      </c>
      <c r="B495" s="5" t="s">
        <v>73</v>
      </c>
      <c r="C495" s="9" t="s">
        <v>558</v>
      </c>
      <c r="D495" s="5">
        <v>2</v>
      </c>
      <c r="E495" s="9" t="s">
        <v>3188</v>
      </c>
      <c r="F495" s="5" t="s">
        <v>86</v>
      </c>
      <c r="G495" s="19" t="s">
        <v>3494</v>
      </c>
      <c r="H495" s="5" t="s">
        <v>3178</v>
      </c>
      <c r="I495" s="9" t="s">
        <v>3845</v>
      </c>
      <c r="J495" s="5">
        <v>2026</v>
      </c>
      <c r="K495" s="5">
        <v>1500</v>
      </c>
      <c r="L495" s="9" t="s">
        <v>3439</v>
      </c>
      <c r="M495" s="5">
        <v>10.1</v>
      </c>
      <c r="N495" s="9" t="s">
        <v>3852</v>
      </c>
      <c r="O495" s="9" t="str">
        <f t="shared" si="53"/>
        <v>PDFを開く</v>
      </c>
      <c r="P495" s="9" t="s">
        <v>564</v>
      </c>
    </row>
    <row r="496" spans="1:16" ht="33.950000000000003" customHeight="1">
      <c r="A496" s="2" t="s">
        <v>557</v>
      </c>
      <c r="B496" s="2" t="s">
        <v>73</v>
      </c>
      <c r="C496" s="8" t="s">
        <v>558</v>
      </c>
      <c r="D496" s="2">
        <v>2</v>
      </c>
      <c r="E496" s="8" t="s">
        <v>3188</v>
      </c>
      <c r="F496" s="2" t="s">
        <v>86</v>
      </c>
      <c r="G496" s="19" t="s">
        <v>3494</v>
      </c>
      <c r="H496" s="2" t="s">
        <v>3178</v>
      </c>
      <c r="I496" s="8"/>
      <c r="J496" s="2"/>
      <c r="K496" s="2">
        <v>0</v>
      </c>
      <c r="L496" s="8" t="s">
        <v>3267</v>
      </c>
      <c r="M496" s="2">
        <v>10.1</v>
      </c>
      <c r="N496" s="8" t="s">
        <v>3852</v>
      </c>
      <c r="O496" s="8" t="str">
        <f t="shared" si="53"/>
        <v>PDFを開く</v>
      </c>
      <c r="P496" s="8" t="s">
        <v>564</v>
      </c>
    </row>
    <row r="497" spans="1:16" ht="33.950000000000003" customHeight="1">
      <c r="A497" s="5" t="s">
        <v>557</v>
      </c>
      <c r="B497" s="5" t="s">
        <v>73</v>
      </c>
      <c r="C497" s="9" t="s">
        <v>558</v>
      </c>
      <c r="D497" s="5">
        <v>2</v>
      </c>
      <c r="E497" s="9" t="s">
        <v>3188</v>
      </c>
      <c r="F497" s="5" t="s">
        <v>86</v>
      </c>
      <c r="G497" s="19" t="s">
        <v>3494</v>
      </c>
      <c r="H497" s="5" t="s">
        <v>3178</v>
      </c>
      <c r="I497" s="9" t="s">
        <v>3848</v>
      </c>
      <c r="J497" s="5">
        <v>2029</v>
      </c>
      <c r="K497" s="5">
        <v>2000</v>
      </c>
      <c r="L497" s="9" t="s">
        <v>3853</v>
      </c>
      <c r="M497" s="5">
        <v>10.1</v>
      </c>
      <c r="N497" s="9" t="s">
        <v>3852</v>
      </c>
      <c r="O497" s="9" t="str">
        <f t="shared" si="53"/>
        <v>PDFを開く</v>
      </c>
      <c r="P497" s="9" t="s">
        <v>564</v>
      </c>
    </row>
    <row r="498" spans="1:16" ht="33.950000000000003" customHeight="1">
      <c r="A498" s="2" t="s">
        <v>557</v>
      </c>
      <c r="B498" s="2" t="s">
        <v>73</v>
      </c>
      <c r="C498" s="8" t="s">
        <v>558</v>
      </c>
      <c r="D498" s="2">
        <v>2</v>
      </c>
      <c r="E498" s="8" t="s">
        <v>3188</v>
      </c>
      <c r="F498" s="2" t="s">
        <v>86</v>
      </c>
      <c r="G498" s="19" t="s">
        <v>3494</v>
      </c>
      <c r="H498" s="2" t="s">
        <v>3178</v>
      </c>
      <c r="I498" s="8"/>
      <c r="J498" s="2"/>
      <c r="K498" s="2">
        <v>0</v>
      </c>
      <c r="L498" s="8" t="s">
        <v>3267</v>
      </c>
      <c r="M498" s="2">
        <v>10.1</v>
      </c>
      <c r="N498" s="8" t="s">
        <v>3852</v>
      </c>
      <c r="O498" s="8" t="str">
        <f t="shared" si="53"/>
        <v>PDFを開く</v>
      </c>
      <c r="P498" s="8" t="s">
        <v>564</v>
      </c>
    </row>
    <row r="499" spans="1:16" ht="33.950000000000003" customHeight="1">
      <c r="A499" s="5" t="s">
        <v>557</v>
      </c>
      <c r="B499" s="5" t="s">
        <v>73</v>
      </c>
      <c r="C499" s="9" t="s">
        <v>558</v>
      </c>
      <c r="D499" s="5">
        <v>2</v>
      </c>
      <c r="E499" s="9" t="s">
        <v>3191</v>
      </c>
      <c r="F499" s="5" t="s">
        <v>2513</v>
      </c>
      <c r="G499" s="19" t="s">
        <v>3494</v>
      </c>
      <c r="H499" s="5" t="s">
        <v>3178</v>
      </c>
      <c r="I499" s="9" t="s">
        <v>3845</v>
      </c>
      <c r="J499" s="5">
        <v>2026</v>
      </c>
      <c r="K499" s="5">
        <v>450</v>
      </c>
      <c r="L499" s="9" t="s">
        <v>3218</v>
      </c>
      <c r="M499" s="5"/>
      <c r="N499" s="9" t="s">
        <v>3854</v>
      </c>
      <c r="O499" s="9" t="str">
        <f t="shared" si="53"/>
        <v>PDFを開く</v>
      </c>
      <c r="P499" s="9" t="s">
        <v>564</v>
      </c>
    </row>
    <row r="500" spans="1:16" ht="33.950000000000003" customHeight="1">
      <c r="A500" s="2" t="s">
        <v>557</v>
      </c>
      <c r="B500" s="2" t="s">
        <v>73</v>
      </c>
      <c r="C500" s="8" t="s">
        <v>558</v>
      </c>
      <c r="D500" s="2">
        <v>2</v>
      </c>
      <c r="E500" s="8" t="s">
        <v>3191</v>
      </c>
      <c r="F500" s="2" t="s">
        <v>2513</v>
      </c>
      <c r="G500" s="19" t="s">
        <v>3494</v>
      </c>
      <c r="H500" s="2" t="s">
        <v>3178</v>
      </c>
      <c r="I500" s="8"/>
      <c r="J500" s="2"/>
      <c r="K500" s="2">
        <v>67</v>
      </c>
      <c r="L500" s="8" t="s">
        <v>3786</v>
      </c>
      <c r="M500" s="2"/>
      <c r="N500" s="8" t="s">
        <v>3854</v>
      </c>
      <c r="O500" s="8" t="str">
        <f t="shared" si="53"/>
        <v>PDFを開く</v>
      </c>
      <c r="P500" s="8" t="s">
        <v>564</v>
      </c>
    </row>
    <row r="501" spans="1:16" ht="33.950000000000003" customHeight="1">
      <c r="A501" s="5" t="s">
        <v>557</v>
      </c>
      <c r="B501" s="5" t="s">
        <v>73</v>
      </c>
      <c r="C501" s="9" t="s">
        <v>558</v>
      </c>
      <c r="D501" s="5">
        <v>2</v>
      </c>
      <c r="E501" s="9" t="s">
        <v>3191</v>
      </c>
      <c r="F501" s="5" t="s">
        <v>2513</v>
      </c>
      <c r="G501" s="19" t="s">
        <v>3494</v>
      </c>
      <c r="H501" s="5" t="s">
        <v>3178</v>
      </c>
      <c r="I501" s="9" t="s">
        <v>3848</v>
      </c>
      <c r="J501" s="5">
        <v>2029</v>
      </c>
      <c r="K501" s="5">
        <v>499</v>
      </c>
      <c r="L501" s="9" t="s">
        <v>3774</v>
      </c>
      <c r="M501" s="5"/>
      <c r="N501" s="9" t="s">
        <v>3854</v>
      </c>
      <c r="O501" s="9" t="str">
        <f t="shared" si="53"/>
        <v>PDFを開く</v>
      </c>
      <c r="P501" s="9" t="s">
        <v>564</v>
      </c>
    </row>
    <row r="502" spans="1:16" ht="33.950000000000003" customHeight="1">
      <c r="A502" s="2" t="s">
        <v>557</v>
      </c>
      <c r="B502" s="2" t="s">
        <v>73</v>
      </c>
      <c r="C502" s="8" t="s">
        <v>558</v>
      </c>
      <c r="D502" s="2">
        <v>2</v>
      </c>
      <c r="E502" s="8" t="s">
        <v>3191</v>
      </c>
      <c r="F502" s="2" t="s">
        <v>2513</v>
      </c>
      <c r="G502" s="19" t="s">
        <v>3494</v>
      </c>
      <c r="H502" s="2" t="s">
        <v>3178</v>
      </c>
      <c r="I502" s="8"/>
      <c r="J502" s="2"/>
      <c r="K502" s="2">
        <v>67</v>
      </c>
      <c r="L502" s="8" t="s">
        <v>3786</v>
      </c>
      <c r="M502" s="2"/>
      <c r="N502" s="8" t="s">
        <v>3854</v>
      </c>
      <c r="O502" s="8" t="str">
        <f t="shared" si="53"/>
        <v>PDFを開く</v>
      </c>
      <c r="P502" s="8" t="s">
        <v>564</v>
      </c>
    </row>
    <row r="503" spans="1:16" ht="33.950000000000003" customHeight="1">
      <c r="A503" s="5" t="s">
        <v>557</v>
      </c>
      <c r="B503" s="5" t="s">
        <v>73</v>
      </c>
      <c r="C503" s="9" t="s">
        <v>558</v>
      </c>
      <c r="D503" s="5">
        <v>2</v>
      </c>
      <c r="E503" s="9" t="s">
        <v>3188</v>
      </c>
      <c r="F503" s="5" t="s">
        <v>86</v>
      </c>
      <c r="G503" s="5" t="s">
        <v>3177</v>
      </c>
      <c r="H503" s="5" t="s">
        <v>3178</v>
      </c>
      <c r="I503" s="9" t="s">
        <v>3845</v>
      </c>
      <c r="J503" s="5">
        <v>2026</v>
      </c>
      <c r="K503" s="5">
        <v>1500</v>
      </c>
      <c r="L503" s="9" t="s">
        <v>3439</v>
      </c>
      <c r="M503" s="5">
        <v>10.1</v>
      </c>
      <c r="N503" s="9" t="s">
        <v>3852</v>
      </c>
      <c r="O503" s="9" t="str">
        <f t="shared" si="53"/>
        <v>PDFを開く</v>
      </c>
      <c r="P503" s="9" t="s">
        <v>564</v>
      </c>
    </row>
    <row r="504" spans="1:16" ht="33.950000000000003" customHeight="1">
      <c r="A504" s="2" t="s">
        <v>557</v>
      </c>
      <c r="B504" s="2" t="s">
        <v>73</v>
      </c>
      <c r="C504" s="8" t="s">
        <v>558</v>
      </c>
      <c r="D504" s="2">
        <v>2</v>
      </c>
      <c r="E504" s="8" t="s">
        <v>3188</v>
      </c>
      <c r="F504" s="2" t="s">
        <v>86</v>
      </c>
      <c r="G504" s="2" t="s">
        <v>3177</v>
      </c>
      <c r="H504" s="2" t="s">
        <v>3178</v>
      </c>
      <c r="I504" s="8" t="s">
        <v>3848</v>
      </c>
      <c r="J504" s="2">
        <v>2029</v>
      </c>
      <c r="K504" s="2">
        <v>2000</v>
      </c>
      <c r="L504" s="8" t="s">
        <v>3853</v>
      </c>
      <c r="M504" s="2">
        <v>10.1</v>
      </c>
      <c r="N504" s="8" t="s">
        <v>3852</v>
      </c>
      <c r="O504" s="8" t="str">
        <f t="shared" si="53"/>
        <v>PDFを開く</v>
      </c>
      <c r="P504" s="8" t="s">
        <v>564</v>
      </c>
    </row>
    <row r="505" spans="1:16" ht="33.950000000000003" customHeight="1">
      <c r="A505" s="5" t="s">
        <v>557</v>
      </c>
      <c r="B505" s="5" t="s">
        <v>73</v>
      </c>
      <c r="C505" s="9" t="s">
        <v>558</v>
      </c>
      <c r="D505" s="5">
        <v>2</v>
      </c>
      <c r="E505" s="9" t="s">
        <v>3191</v>
      </c>
      <c r="F505" s="5" t="s">
        <v>2513</v>
      </c>
      <c r="G505" s="5" t="s">
        <v>3177</v>
      </c>
      <c r="H505" s="5" t="s">
        <v>3178</v>
      </c>
      <c r="I505" s="9" t="s">
        <v>3845</v>
      </c>
      <c r="J505" s="5">
        <v>2026</v>
      </c>
      <c r="K505" s="5">
        <v>450</v>
      </c>
      <c r="L505" s="9" t="s">
        <v>3218</v>
      </c>
      <c r="M505" s="5"/>
      <c r="N505" s="9" t="s">
        <v>3854</v>
      </c>
      <c r="O505" s="9" t="str">
        <f t="shared" si="53"/>
        <v>PDFを開く</v>
      </c>
      <c r="P505" s="9" t="s">
        <v>564</v>
      </c>
    </row>
    <row r="506" spans="1:16" ht="33.950000000000003" customHeight="1">
      <c r="A506" s="2" t="s">
        <v>557</v>
      </c>
      <c r="B506" s="2" t="s">
        <v>73</v>
      </c>
      <c r="C506" s="8" t="s">
        <v>558</v>
      </c>
      <c r="D506" s="2">
        <v>2</v>
      </c>
      <c r="E506" s="8" t="s">
        <v>3191</v>
      </c>
      <c r="F506" s="2" t="s">
        <v>2513</v>
      </c>
      <c r="G506" s="2" t="s">
        <v>3177</v>
      </c>
      <c r="H506" s="2" t="s">
        <v>3178</v>
      </c>
      <c r="I506" s="8" t="s">
        <v>3848</v>
      </c>
      <c r="J506" s="2">
        <v>2029</v>
      </c>
      <c r="K506" s="2">
        <v>499</v>
      </c>
      <c r="L506" s="8" t="s">
        <v>3774</v>
      </c>
      <c r="M506" s="2"/>
      <c r="N506" s="8" t="s">
        <v>3854</v>
      </c>
      <c r="O506" s="8" t="str">
        <f t="shared" si="53"/>
        <v>PDFを開く</v>
      </c>
      <c r="P506" s="8" t="s">
        <v>564</v>
      </c>
    </row>
    <row r="507" spans="1:16" ht="33.950000000000003" customHeight="1">
      <c r="A507" s="5" t="s">
        <v>557</v>
      </c>
      <c r="B507" s="5" t="s">
        <v>73</v>
      </c>
      <c r="C507" s="9" t="s">
        <v>558</v>
      </c>
      <c r="D507" s="5">
        <v>2</v>
      </c>
      <c r="E507" s="9" t="s">
        <v>3184</v>
      </c>
      <c r="F507" s="5" t="s">
        <v>86</v>
      </c>
      <c r="G507" s="5" t="s">
        <v>3177</v>
      </c>
      <c r="H507" s="5" t="s">
        <v>3178</v>
      </c>
      <c r="I507" s="9" t="s">
        <v>3845</v>
      </c>
      <c r="J507" s="5">
        <v>2026</v>
      </c>
      <c r="K507" s="5">
        <v>277</v>
      </c>
      <c r="L507" s="9" t="s">
        <v>3715</v>
      </c>
      <c r="M507" s="5">
        <v>6</v>
      </c>
      <c r="N507" s="9" t="s">
        <v>3849</v>
      </c>
      <c r="O507" s="9" t="str">
        <f t="shared" si="53"/>
        <v>PDFを開く</v>
      </c>
      <c r="P507" s="9" t="s">
        <v>564</v>
      </c>
    </row>
    <row r="508" spans="1:16" ht="33.950000000000003" customHeight="1">
      <c r="A508" s="2" t="s">
        <v>557</v>
      </c>
      <c r="B508" s="2" t="s">
        <v>73</v>
      </c>
      <c r="C508" s="8" t="s">
        <v>558</v>
      </c>
      <c r="D508" s="2">
        <v>2</v>
      </c>
      <c r="E508" s="8" t="s">
        <v>3184</v>
      </c>
      <c r="F508" s="2" t="s">
        <v>86</v>
      </c>
      <c r="G508" s="2" t="s">
        <v>3177</v>
      </c>
      <c r="H508" s="2" t="s">
        <v>3178</v>
      </c>
      <c r="I508" s="8" t="s">
        <v>3848</v>
      </c>
      <c r="J508" s="2">
        <v>2029</v>
      </c>
      <c r="K508" s="2">
        <v>330</v>
      </c>
      <c r="L508" s="8" t="s">
        <v>3851</v>
      </c>
      <c r="M508" s="2">
        <v>6</v>
      </c>
      <c r="N508" s="8" t="s">
        <v>3849</v>
      </c>
      <c r="O508" s="8" t="str">
        <f t="shared" si="53"/>
        <v>PDFを開く</v>
      </c>
      <c r="P508" s="8" t="s">
        <v>564</v>
      </c>
    </row>
    <row r="509" spans="1:16" ht="33.950000000000003" customHeight="1">
      <c r="A509" s="5" t="s">
        <v>565</v>
      </c>
      <c r="B509" s="5" t="s">
        <v>73</v>
      </c>
      <c r="C509" s="9" t="s">
        <v>566</v>
      </c>
      <c r="D509" s="5">
        <v>2</v>
      </c>
      <c r="E509" s="9" t="s">
        <v>3176</v>
      </c>
      <c r="F509" s="5" t="s">
        <v>86</v>
      </c>
      <c r="G509" s="5" t="s">
        <v>3177</v>
      </c>
      <c r="H509" s="5" t="s">
        <v>3178</v>
      </c>
      <c r="I509" s="9" t="s">
        <v>3179</v>
      </c>
      <c r="J509" s="5">
        <v>2026</v>
      </c>
      <c r="K509" s="5">
        <v>1295</v>
      </c>
      <c r="L509" s="9" t="s">
        <v>3855</v>
      </c>
      <c r="M509" s="5">
        <v>14</v>
      </c>
      <c r="N509" s="9" t="s">
        <v>3856</v>
      </c>
      <c r="O509" s="9" t="str">
        <f t="shared" ref="O509:O517" si="54">HYPERLINK("https://seichotoushi-hojo.jp/assets/pdf/koufu/outline_152.pdf","PDFを開く")</f>
        <v>PDFを開く</v>
      </c>
      <c r="P509" s="9" t="s">
        <v>572</v>
      </c>
    </row>
    <row r="510" spans="1:16" ht="33.950000000000003" customHeight="1">
      <c r="A510" s="2" t="s">
        <v>565</v>
      </c>
      <c r="B510" s="2" t="s">
        <v>73</v>
      </c>
      <c r="C510" s="8" t="s">
        <v>566</v>
      </c>
      <c r="D510" s="2">
        <v>2</v>
      </c>
      <c r="E510" s="8" t="s">
        <v>3176</v>
      </c>
      <c r="F510" s="2" t="s">
        <v>86</v>
      </c>
      <c r="G510" s="2" t="s">
        <v>3177</v>
      </c>
      <c r="H510" s="2" t="s">
        <v>3178</v>
      </c>
      <c r="I510" s="8" t="s">
        <v>3182</v>
      </c>
      <c r="J510" s="2">
        <v>2029</v>
      </c>
      <c r="K510" s="2">
        <v>1918</v>
      </c>
      <c r="L510" s="8" t="s">
        <v>3857</v>
      </c>
      <c r="M510" s="2">
        <v>14</v>
      </c>
      <c r="N510" s="8" t="s">
        <v>3856</v>
      </c>
      <c r="O510" s="8" t="str">
        <f t="shared" si="54"/>
        <v>PDFを開く</v>
      </c>
      <c r="P510" s="8" t="s">
        <v>572</v>
      </c>
    </row>
    <row r="511" spans="1:16" ht="33.950000000000003" customHeight="1">
      <c r="A511" s="5" t="s">
        <v>565</v>
      </c>
      <c r="B511" s="5" t="s">
        <v>73</v>
      </c>
      <c r="C511" s="9" t="s">
        <v>566</v>
      </c>
      <c r="D511" s="5">
        <v>2</v>
      </c>
      <c r="E511" s="9" t="s">
        <v>3184</v>
      </c>
      <c r="F511" s="5" t="s">
        <v>86</v>
      </c>
      <c r="G511" s="5" t="s">
        <v>3177</v>
      </c>
      <c r="H511" s="5" t="s">
        <v>3178</v>
      </c>
      <c r="I511" s="9" t="s">
        <v>3179</v>
      </c>
      <c r="J511" s="5">
        <v>2026</v>
      </c>
      <c r="K511" s="5">
        <v>503</v>
      </c>
      <c r="L511" s="9" t="s">
        <v>3858</v>
      </c>
      <c r="M511" s="5">
        <v>7.1</v>
      </c>
      <c r="N511" s="9" t="s">
        <v>3859</v>
      </c>
      <c r="O511" s="9" t="str">
        <f t="shared" si="54"/>
        <v>PDFを開く</v>
      </c>
      <c r="P511" s="9" t="s">
        <v>572</v>
      </c>
    </row>
    <row r="512" spans="1:16" ht="33.950000000000003" customHeight="1">
      <c r="A512" s="2" t="s">
        <v>565</v>
      </c>
      <c r="B512" s="2" t="s">
        <v>73</v>
      </c>
      <c r="C512" s="8" t="s">
        <v>566</v>
      </c>
      <c r="D512" s="2">
        <v>2</v>
      </c>
      <c r="E512" s="8" t="s">
        <v>3184</v>
      </c>
      <c r="F512" s="2" t="s">
        <v>86</v>
      </c>
      <c r="G512" s="2" t="s">
        <v>3177</v>
      </c>
      <c r="H512" s="2" t="s">
        <v>3178</v>
      </c>
      <c r="I512" s="8" t="s">
        <v>3182</v>
      </c>
      <c r="J512" s="2">
        <v>2029</v>
      </c>
      <c r="K512" s="2">
        <v>618</v>
      </c>
      <c r="L512" s="8" t="s">
        <v>3290</v>
      </c>
      <c r="M512" s="2">
        <v>7.1</v>
      </c>
      <c r="N512" s="8" t="s">
        <v>3859</v>
      </c>
      <c r="O512" s="8" t="str">
        <f t="shared" si="54"/>
        <v>PDFを開く</v>
      </c>
      <c r="P512" s="8" t="s">
        <v>572</v>
      </c>
    </row>
    <row r="513" spans="1:16" ht="33.950000000000003" customHeight="1">
      <c r="A513" s="5" t="s">
        <v>565</v>
      </c>
      <c r="B513" s="5" t="s">
        <v>73</v>
      </c>
      <c r="C513" s="9" t="s">
        <v>566</v>
      </c>
      <c r="D513" s="5">
        <v>2</v>
      </c>
      <c r="E513" s="9" t="s">
        <v>3188</v>
      </c>
      <c r="F513" s="5" t="s">
        <v>86</v>
      </c>
      <c r="G513" s="19" t="s">
        <v>3189</v>
      </c>
      <c r="H513" s="5" t="s">
        <v>3178</v>
      </c>
      <c r="I513" s="9"/>
      <c r="J513" s="5"/>
      <c r="K513" s="5"/>
      <c r="L513" s="9"/>
      <c r="M513" s="5">
        <v>4.2</v>
      </c>
      <c r="N513" s="9" t="s">
        <v>3860</v>
      </c>
      <c r="O513" s="9" t="str">
        <f t="shared" si="54"/>
        <v>PDFを開く</v>
      </c>
      <c r="P513" s="9" t="s">
        <v>572</v>
      </c>
    </row>
    <row r="514" spans="1:16" ht="33.950000000000003" customHeight="1">
      <c r="A514" s="2" t="s">
        <v>565</v>
      </c>
      <c r="B514" s="2" t="s">
        <v>73</v>
      </c>
      <c r="C514" s="8" t="s">
        <v>566</v>
      </c>
      <c r="D514" s="2">
        <v>2</v>
      </c>
      <c r="E514" s="8" t="s">
        <v>3191</v>
      </c>
      <c r="F514" s="2" t="s">
        <v>2513</v>
      </c>
      <c r="G514" s="2" t="s">
        <v>3177</v>
      </c>
      <c r="H514" s="2" t="s">
        <v>3178</v>
      </c>
      <c r="I514" s="8" t="s">
        <v>3179</v>
      </c>
      <c r="J514" s="2">
        <v>2026</v>
      </c>
      <c r="K514" s="2">
        <v>105</v>
      </c>
      <c r="L514" s="8" t="s">
        <v>3861</v>
      </c>
      <c r="M514" s="2"/>
      <c r="N514" s="8" t="s">
        <v>3862</v>
      </c>
      <c r="O514" s="8" t="str">
        <f t="shared" si="54"/>
        <v>PDFを開く</v>
      </c>
      <c r="P514" s="8" t="s">
        <v>572</v>
      </c>
    </row>
    <row r="515" spans="1:16" ht="33.950000000000003" customHeight="1">
      <c r="A515" s="5" t="s">
        <v>565</v>
      </c>
      <c r="B515" s="5" t="s">
        <v>73</v>
      </c>
      <c r="C515" s="9" t="s">
        <v>566</v>
      </c>
      <c r="D515" s="5">
        <v>2</v>
      </c>
      <c r="E515" s="9" t="s">
        <v>3191</v>
      </c>
      <c r="F515" s="5" t="s">
        <v>2513</v>
      </c>
      <c r="G515" s="5" t="s">
        <v>3177</v>
      </c>
      <c r="H515" s="5" t="s">
        <v>3178</v>
      </c>
      <c r="I515" s="9" t="s">
        <v>3182</v>
      </c>
      <c r="J515" s="5">
        <v>2029</v>
      </c>
      <c r="K515" s="5">
        <v>112</v>
      </c>
      <c r="L515" s="9" t="s">
        <v>3598</v>
      </c>
      <c r="M515" s="5"/>
      <c r="N515" s="9" t="s">
        <v>3862</v>
      </c>
      <c r="O515" s="9" t="str">
        <f t="shared" si="54"/>
        <v>PDFを開く</v>
      </c>
      <c r="P515" s="9" t="s">
        <v>572</v>
      </c>
    </row>
    <row r="516" spans="1:16" ht="33.950000000000003" customHeight="1">
      <c r="A516" s="2" t="s">
        <v>565</v>
      </c>
      <c r="B516" s="2" t="s">
        <v>73</v>
      </c>
      <c r="C516" s="8" t="s">
        <v>566</v>
      </c>
      <c r="D516" s="2">
        <v>2</v>
      </c>
      <c r="E516" s="8" t="s">
        <v>3188</v>
      </c>
      <c r="F516" s="2" t="s">
        <v>86</v>
      </c>
      <c r="G516" s="2" t="s">
        <v>3177</v>
      </c>
      <c r="H516" s="2"/>
      <c r="I516" s="8" t="s">
        <v>3863</v>
      </c>
      <c r="J516" s="2">
        <v>2026</v>
      </c>
      <c r="K516" s="2"/>
      <c r="L516" s="8" t="s">
        <v>3211</v>
      </c>
      <c r="M516" s="2">
        <v>4.2</v>
      </c>
      <c r="N516" s="8" t="s">
        <v>3864</v>
      </c>
      <c r="O516" s="8" t="str">
        <f t="shared" si="54"/>
        <v>PDFを開く</v>
      </c>
      <c r="P516" s="8" t="s">
        <v>572</v>
      </c>
    </row>
    <row r="517" spans="1:16" ht="33.950000000000003" customHeight="1">
      <c r="A517" s="5" t="s">
        <v>565</v>
      </c>
      <c r="B517" s="5" t="s">
        <v>73</v>
      </c>
      <c r="C517" s="9" t="s">
        <v>566</v>
      </c>
      <c r="D517" s="5">
        <v>2</v>
      </c>
      <c r="E517" s="9" t="s">
        <v>3188</v>
      </c>
      <c r="F517" s="5" t="s">
        <v>86</v>
      </c>
      <c r="G517" s="5" t="s">
        <v>3177</v>
      </c>
      <c r="H517" s="5"/>
      <c r="I517" s="9" t="s">
        <v>3865</v>
      </c>
      <c r="J517" s="5">
        <v>2029</v>
      </c>
      <c r="K517" s="5"/>
      <c r="L517" s="9" t="s">
        <v>3866</v>
      </c>
      <c r="M517" s="5">
        <v>4.2</v>
      </c>
      <c r="N517" s="9" t="s">
        <v>3864</v>
      </c>
      <c r="O517" s="9" t="str">
        <f t="shared" si="54"/>
        <v>PDFを開く</v>
      </c>
      <c r="P517" s="9" t="s">
        <v>572</v>
      </c>
    </row>
    <row r="518" spans="1:16" ht="33.950000000000003" customHeight="1">
      <c r="A518" s="2" t="s">
        <v>573</v>
      </c>
      <c r="B518" s="2" t="s">
        <v>73</v>
      </c>
      <c r="C518" s="8" t="s">
        <v>574</v>
      </c>
      <c r="D518" s="2">
        <v>2</v>
      </c>
      <c r="E518" s="8" t="s">
        <v>3176</v>
      </c>
      <c r="F518" s="2" t="s">
        <v>86</v>
      </c>
      <c r="G518" s="2" t="s">
        <v>3177</v>
      </c>
      <c r="H518" s="2" t="s">
        <v>3178</v>
      </c>
      <c r="I518" s="8" t="s">
        <v>3867</v>
      </c>
      <c r="J518" s="2">
        <v>2026</v>
      </c>
      <c r="K518" s="2">
        <v>651</v>
      </c>
      <c r="L518" s="8" t="s">
        <v>3868</v>
      </c>
      <c r="M518" s="2"/>
      <c r="N518" s="8" t="s">
        <v>3869</v>
      </c>
      <c r="O518" s="8" t="str">
        <f t="shared" ref="O518:O549" si="55">HYPERLINK("https://seichotoushi-hojo.jp/assets/pdf/koufu/outline_153.pdf","PDFを開く")</f>
        <v>PDFを開く</v>
      </c>
      <c r="P518" s="8" t="s">
        <v>581</v>
      </c>
    </row>
    <row r="519" spans="1:16" ht="33.950000000000003" customHeight="1">
      <c r="A519" s="5" t="s">
        <v>573</v>
      </c>
      <c r="B519" s="5" t="s">
        <v>73</v>
      </c>
      <c r="C519" s="9" t="s">
        <v>574</v>
      </c>
      <c r="D519" s="5">
        <v>2</v>
      </c>
      <c r="E519" s="9" t="s">
        <v>3176</v>
      </c>
      <c r="F519" s="5" t="s">
        <v>86</v>
      </c>
      <c r="G519" s="5" t="s">
        <v>3177</v>
      </c>
      <c r="H519" s="5" t="s">
        <v>3178</v>
      </c>
      <c r="I519" s="9" t="s">
        <v>3870</v>
      </c>
      <c r="J519" s="5">
        <v>2029</v>
      </c>
      <c r="K519" s="5">
        <v>951</v>
      </c>
      <c r="L519" s="9" t="s">
        <v>3871</v>
      </c>
      <c r="M519" s="5"/>
      <c r="N519" s="9" t="s">
        <v>3869</v>
      </c>
      <c r="O519" s="9" t="str">
        <f t="shared" si="55"/>
        <v>PDFを開く</v>
      </c>
      <c r="P519" s="9" t="s">
        <v>581</v>
      </c>
    </row>
    <row r="520" spans="1:16" ht="33.950000000000003" customHeight="1">
      <c r="A520" s="2" t="s">
        <v>573</v>
      </c>
      <c r="B520" s="2" t="s">
        <v>73</v>
      </c>
      <c r="C520" s="8" t="s">
        <v>574</v>
      </c>
      <c r="D520" s="2">
        <v>2</v>
      </c>
      <c r="E520" s="8" t="s">
        <v>3184</v>
      </c>
      <c r="F520" s="2" t="s">
        <v>86</v>
      </c>
      <c r="G520" s="19" t="s">
        <v>3494</v>
      </c>
      <c r="H520" s="2" t="s">
        <v>3178</v>
      </c>
      <c r="I520" s="8" t="s">
        <v>3867</v>
      </c>
      <c r="J520" s="2">
        <v>2026</v>
      </c>
      <c r="K520" s="2">
        <v>443</v>
      </c>
      <c r="L520" s="8" t="s">
        <v>3872</v>
      </c>
      <c r="M520" s="2"/>
      <c r="N520" s="8" t="s">
        <v>3873</v>
      </c>
      <c r="O520" s="8" t="str">
        <f t="shared" si="55"/>
        <v>PDFを開く</v>
      </c>
      <c r="P520" s="8" t="s">
        <v>581</v>
      </c>
    </row>
    <row r="521" spans="1:16" ht="33.950000000000003" customHeight="1">
      <c r="A521" s="5" t="s">
        <v>573</v>
      </c>
      <c r="B521" s="5" t="s">
        <v>73</v>
      </c>
      <c r="C521" s="9" t="s">
        <v>574</v>
      </c>
      <c r="D521" s="5">
        <v>2</v>
      </c>
      <c r="E521" s="9" t="s">
        <v>3184</v>
      </c>
      <c r="F521" s="5" t="s">
        <v>86</v>
      </c>
      <c r="G521" s="19" t="s">
        <v>3494</v>
      </c>
      <c r="H521" s="5" t="s">
        <v>3178</v>
      </c>
      <c r="I521" s="9"/>
      <c r="J521" s="5"/>
      <c r="K521" s="5">
        <v>472</v>
      </c>
      <c r="L521" s="9" t="s">
        <v>3264</v>
      </c>
      <c r="M521" s="5"/>
      <c r="N521" s="9" t="s">
        <v>3873</v>
      </c>
      <c r="O521" s="9" t="str">
        <f t="shared" si="55"/>
        <v>PDFを開く</v>
      </c>
      <c r="P521" s="9" t="s">
        <v>581</v>
      </c>
    </row>
    <row r="522" spans="1:16" ht="33.950000000000003" customHeight="1">
      <c r="A522" s="2" t="s">
        <v>573</v>
      </c>
      <c r="B522" s="2" t="s">
        <v>73</v>
      </c>
      <c r="C522" s="8" t="s">
        <v>574</v>
      </c>
      <c r="D522" s="2">
        <v>2</v>
      </c>
      <c r="E522" s="8" t="s">
        <v>3184</v>
      </c>
      <c r="F522" s="2" t="s">
        <v>86</v>
      </c>
      <c r="G522" s="19" t="s">
        <v>3494</v>
      </c>
      <c r="H522" s="2" t="s">
        <v>3178</v>
      </c>
      <c r="I522" s="8"/>
      <c r="J522" s="2"/>
      <c r="K522" s="2">
        <v>393</v>
      </c>
      <c r="L522" s="8" t="s">
        <v>3874</v>
      </c>
      <c r="M522" s="2"/>
      <c r="N522" s="8" t="s">
        <v>3873</v>
      </c>
      <c r="O522" s="8" t="str">
        <f t="shared" si="55"/>
        <v>PDFを開く</v>
      </c>
      <c r="P522" s="8" t="s">
        <v>581</v>
      </c>
    </row>
    <row r="523" spans="1:16" ht="33.950000000000003" customHeight="1">
      <c r="A523" s="5" t="s">
        <v>573</v>
      </c>
      <c r="B523" s="5" t="s">
        <v>73</v>
      </c>
      <c r="C523" s="9" t="s">
        <v>574</v>
      </c>
      <c r="D523" s="5">
        <v>2</v>
      </c>
      <c r="E523" s="9" t="s">
        <v>3184</v>
      </c>
      <c r="F523" s="5" t="s">
        <v>86</v>
      </c>
      <c r="G523" s="19" t="s">
        <v>3494</v>
      </c>
      <c r="H523" s="5" t="s">
        <v>3178</v>
      </c>
      <c r="I523" s="9"/>
      <c r="J523" s="5"/>
      <c r="K523" s="5">
        <v>540</v>
      </c>
      <c r="L523" s="9" t="s">
        <v>3875</v>
      </c>
      <c r="M523" s="5"/>
      <c r="N523" s="9" t="s">
        <v>3873</v>
      </c>
      <c r="O523" s="9" t="str">
        <f t="shared" si="55"/>
        <v>PDFを開く</v>
      </c>
      <c r="P523" s="9" t="s">
        <v>581</v>
      </c>
    </row>
    <row r="524" spans="1:16" ht="33.950000000000003" customHeight="1">
      <c r="A524" s="2" t="s">
        <v>573</v>
      </c>
      <c r="B524" s="2" t="s">
        <v>73</v>
      </c>
      <c r="C524" s="8" t="s">
        <v>574</v>
      </c>
      <c r="D524" s="2">
        <v>2</v>
      </c>
      <c r="E524" s="8" t="s">
        <v>3184</v>
      </c>
      <c r="F524" s="2" t="s">
        <v>86</v>
      </c>
      <c r="G524" s="19" t="s">
        <v>3494</v>
      </c>
      <c r="H524" s="2" t="s">
        <v>3178</v>
      </c>
      <c r="I524" s="8"/>
      <c r="J524" s="2"/>
      <c r="K524" s="2">
        <v>273</v>
      </c>
      <c r="L524" s="8" t="s">
        <v>3876</v>
      </c>
      <c r="M524" s="2"/>
      <c r="N524" s="8" t="s">
        <v>3873</v>
      </c>
      <c r="O524" s="8" t="str">
        <f t="shared" si="55"/>
        <v>PDFを開く</v>
      </c>
      <c r="P524" s="8" t="s">
        <v>581</v>
      </c>
    </row>
    <row r="525" spans="1:16" ht="33.950000000000003" customHeight="1">
      <c r="A525" s="5" t="s">
        <v>573</v>
      </c>
      <c r="B525" s="5" t="s">
        <v>73</v>
      </c>
      <c r="C525" s="9" t="s">
        <v>574</v>
      </c>
      <c r="D525" s="5">
        <v>2</v>
      </c>
      <c r="E525" s="9" t="s">
        <v>3184</v>
      </c>
      <c r="F525" s="5" t="s">
        <v>86</v>
      </c>
      <c r="G525" s="19" t="s">
        <v>3494</v>
      </c>
      <c r="H525" s="5" t="s">
        <v>3178</v>
      </c>
      <c r="I525" s="9"/>
      <c r="J525" s="5"/>
      <c r="K525" s="5">
        <v>272</v>
      </c>
      <c r="L525" s="9" t="s">
        <v>3438</v>
      </c>
      <c r="M525" s="5"/>
      <c r="N525" s="9" t="s">
        <v>3873</v>
      </c>
      <c r="O525" s="9" t="str">
        <f t="shared" si="55"/>
        <v>PDFを開く</v>
      </c>
      <c r="P525" s="9" t="s">
        <v>581</v>
      </c>
    </row>
    <row r="526" spans="1:16" ht="33.950000000000003" customHeight="1">
      <c r="A526" s="2" t="s">
        <v>573</v>
      </c>
      <c r="B526" s="2" t="s">
        <v>73</v>
      </c>
      <c r="C526" s="8" t="s">
        <v>574</v>
      </c>
      <c r="D526" s="2">
        <v>2</v>
      </c>
      <c r="E526" s="8" t="s">
        <v>3184</v>
      </c>
      <c r="F526" s="2" t="s">
        <v>86</v>
      </c>
      <c r="G526" s="19" t="s">
        <v>3494</v>
      </c>
      <c r="H526" s="2" t="s">
        <v>3178</v>
      </c>
      <c r="I526" s="8"/>
      <c r="J526" s="2"/>
      <c r="K526" s="2">
        <v>397</v>
      </c>
      <c r="L526" s="8" t="s">
        <v>3877</v>
      </c>
      <c r="M526" s="2"/>
      <c r="N526" s="8" t="s">
        <v>3873</v>
      </c>
      <c r="O526" s="8" t="str">
        <f t="shared" si="55"/>
        <v>PDFを開く</v>
      </c>
      <c r="P526" s="8" t="s">
        <v>581</v>
      </c>
    </row>
    <row r="527" spans="1:16" ht="33.950000000000003" customHeight="1">
      <c r="A527" s="5" t="s">
        <v>573</v>
      </c>
      <c r="B527" s="5" t="s">
        <v>73</v>
      </c>
      <c r="C527" s="9" t="s">
        <v>574</v>
      </c>
      <c r="D527" s="5">
        <v>2</v>
      </c>
      <c r="E527" s="9" t="s">
        <v>3184</v>
      </c>
      <c r="F527" s="5" t="s">
        <v>86</v>
      </c>
      <c r="G527" s="19" t="s">
        <v>3494</v>
      </c>
      <c r="H527" s="5" t="s">
        <v>3178</v>
      </c>
      <c r="I527" s="9"/>
      <c r="J527" s="5"/>
      <c r="K527" s="5">
        <v>397</v>
      </c>
      <c r="L527" s="9" t="s">
        <v>3877</v>
      </c>
      <c r="M527" s="5"/>
      <c r="N527" s="9" t="s">
        <v>3873</v>
      </c>
      <c r="O527" s="9" t="str">
        <f t="shared" si="55"/>
        <v>PDFを開く</v>
      </c>
      <c r="P527" s="9" t="s">
        <v>581</v>
      </c>
    </row>
    <row r="528" spans="1:16" ht="33.950000000000003" customHeight="1">
      <c r="A528" s="2" t="s">
        <v>573</v>
      </c>
      <c r="B528" s="2" t="s">
        <v>73</v>
      </c>
      <c r="C528" s="8" t="s">
        <v>574</v>
      </c>
      <c r="D528" s="2">
        <v>2</v>
      </c>
      <c r="E528" s="8" t="s">
        <v>3184</v>
      </c>
      <c r="F528" s="2" t="s">
        <v>86</v>
      </c>
      <c r="G528" s="19" t="s">
        <v>3494</v>
      </c>
      <c r="H528" s="2" t="s">
        <v>3178</v>
      </c>
      <c r="I528" s="8" t="s">
        <v>3870</v>
      </c>
      <c r="J528" s="2">
        <v>2029</v>
      </c>
      <c r="K528" s="2">
        <v>518</v>
      </c>
      <c r="L528" s="8" t="s">
        <v>3878</v>
      </c>
      <c r="M528" s="2"/>
      <c r="N528" s="8" t="s">
        <v>3873</v>
      </c>
      <c r="O528" s="8" t="str">
        <f t="shared" si="55"/>
        <v>PDFを開く</v>
      </c>
      <c r="P528" s="8" t="s">
        <v>581</v>
      </c>
    </row>
    <row r="529" spans="1:16" ht="33.950000000000003" customHeight="1">
      <c r="A529" s="5" t="s">
        <v>573</v>
      </c>
      <c r="B529" s="5" t="s">
        <v>73</v>
      </c>
      <c r="C529" s="9" t="s">
        <v>574</v>
      </c>
      <c r="D529" s="5">
        <v>2</v>
      </c>
      <c r="E529" s="9" t="s">
        <v>3184</v>
      </c>
      <c r="F529" s="5" t="s">
        <v>86</v>
      </c>
      <c r="G529" s="19" t="s">
        <v>3494</v>
      </c>
      <c r="H529" s="5" t="s">
        <v>3178</v>
      </c>
      <c r="I529" s="9"/>
      <c r="J529" s="5"/>
      <c r="K529" s="5">
        <v>549</v>
      </c>
      <c r="L529" s="9" t="s">
        <v>3879</v>
      </c>
      <c r="M529" s="5"/>
      <c r="N529" s="9" t="s">
        <v>3873</v>
      </c>
      <c r="O529" s="9" t="str">
        <f t="shared" si="55"/>
        <v>PDFを開く</v>
      </c>
      <c r="P529" s="9" t="s">
        <v>581</v>
      </c>
    </row>
    <row r="530" spans="1:16" ht="33.950000000000003" customHeight="1">
      <c r="A530" s="2" t="s">
        <v>573</v>
      </c>
      <c r="B530" s="2" t="s">
        <v>73</v>
      </c>
      <c r="C530" s="8" t="s">
        <v>574</v>
      </c>
      <c r="D530" s="2">
        <v>2</v>
      </c>
      <c r="E530" s="8" t="s">
        <v>3184</v>
      </c>
      <c r="F530" s="2" t="s">
        <v>86</v>
      </c>
      <c r="G530" s="19" t="s">
        <v>3494</v>
      </c>
      <c r="H530" s="2" t="s">
        <v>3178</v>
      </c>
      <c r="I530" s="8"/>
      <c r="J530" s="2"/>
      <c r="K530" s="2">
        <v>457</v>
      </c>
      <c r="L530" s="8" t="s">
        <v>3497</v>
      </c>
      <c r="M530" s="2"/>
      <c r="N530" s="8" t="s">
        <v>3873</v>
      </c>
      <c r="O530" s="8" t="str">
        <f t="shared" si="55"/>
        <v>PDFを開く</v>
      </c>
      <c r="P530" s="8" t="s">
        <v>581</v>
      </c>
    </row>
    <row r="531" spans="1:16" ht="33.950000000000003" customHeight="1">
      <c r="A531" s="5" t="s">
        <v>573</v>
      </c>
      <c r="B531" s="5" t="s">
        <v>73</v>
      </c>
      <c r="C531" s="9" t="s">
        <v>574</v>
      </c>
      <c r="D531" s="5">
        <v>2</v>
      </c>
      <c r="E531" s="9" t="s">
        <v>3184</v>
      </c>
      <c r="F531" s="5" t="s">
        <v>86</v>
      </c>
      <c r="G531" s="19" t="s">
        <v>3494</v>
      </c>
      <c r="H531" s="5" t="s">
        <v>3178</v>
      </c>
      <c r="I531" s="9"/>
      <c r="J531" s="5"/>
      <c r="K531" s="5">
        <v>625</v>
      </c>
      <c r="L531" s="9" t="s">
        <v>3661</v>
      </c>
      <c r="M531" s="5"/>
      <c r="N531" s="9" t="s">
        <v>3873</v>
      </c>
      <c r="O531" s="9" t="str">
        <f t="shared" si="55"/>
        <v>PDFを開く</v>
      </c>
      <c r="P531" s="9" t="s">
        <v>581</v>
      </c>
    </row>
    <row r="532" spans="1:16" ht="33.950000000000003" customHeight="1">
      <c r="A532" s="2" t="s">
        <v>573</v>
      </c>
      <c r="B532" s="2" t="s">
        <v>73</v>
      </c>
      <c r="C532" s="8" t="s">
        <v>574</v>
      </c>
      <c r="D532" s="2">
        <v>2</v>
      </c>
      <c r="E532" s="8" t="s">
        <v>3184</v>
      </c>
      <c r="F532" s="2" t="s">
        <v>86</v>
      </c>
      <c r="G532" s="19" t="s">
        <v>3494</v>
      </c>
      <c r="H532" s="2" t="s">
        <v>3178</v>
      </c>
      <c r="I532" s="8"/>
      <c r="J532" s="2"/>
      <c r="K532" s="2">
        <v>316</v>
      </c>
      <c r="L532" s="8" t="s">
        <v>3880</v>
      </c>
      <c r="M532" s="2"/>
      <c r="N532" s="8" t="s">
        <v>3873</v>
      </c>
      <c r="O532" s="8" t="str">
        <f t="shared" si="55"/>
        <v>PDFを開く</v>
      </c>
      <c r="P532" s="8" t="s">
        <v>581</v>
      </c>
    </row>
    <row r="533" spans="1:16" ht="33.950000000000003" customHeight="1">
      <c r="A533" s="5" t="s">
        <v>573</v>
      </c>
      <c r="B533" s="5" t="s">
        <v>73</v>
      </c>
      <c r="C533" s="9" t="s">
        <v>574</v>
      </c>
      <c r="D533" s="5">
        <v>2</v>
      </c>
      <c r="E533" s="9" t="s">
        <v>3184</v>
      </c>
      <c r="F533" s="5" t="s">
        <v>86</v>
      </c>
      <c r="G533" s="19" t="s">
        <v>3494</v>
      </c>
      <c r="H533" s="5" t="s">
        <v>3178</v>
      </c>
      <c r="I533" s="9"/>
      <c r="J533" s="5"/>
      <c r="K533" s="5">
        <v>315</v>
      </c>
      <c r="L533" s="9" t="s">
        <v>3826</v>
      </c>
      <c r="M533" s="5"/>
      <c r="N533" s="9" t="s">
        <v>3873</v>
      </c>
      <c r="O533" s="9" t="str">
        <f t="shared" si="55"/>
        <v>PDFを開く</v>
      </c>
      <c r="P533" s="9" t="s">
        <v>581</v>
      </c>
    </row>
    <row r="534" spans="1:16" ht="33.950000000000003" customHeight="1">
      <c r="A534" s="2" t="s">
        <v>573</v>
      </c>
      <c r="B534" s="2" t="s">
        <v>73</v>
      </c>
      <c r="C534" s="8" t="s">
        <v>574</v>
      </c>
      <c r="D534" s="2">
        <v>2</v>
      </c>
      <c r="E534" s="8" t="s">
        <v>3184</v>
      </c>
      <c r="F534" s="2" t="s">
        <v>86</v>
      </c>
      <c r="G534" s="19" t="s">
        <v>3494</v>
      </c>
      <c r="H534" s="2" t="s">
        <v>3178</v>
      </c>
      <c r="I534" s="8"/>
      <c r="J534" s="2"/>
      <c r="K534" s="2">
        <v>459</v>
      </c>
      <c r="L534" s="8" t="s">
        <v>3881</v>
      </c>
      <c r="M534" s="2"/>
      <c r="N534" s="8" t="s">
        <v>3873</v>
      </c>
      <c r="O534" s="8" t="str">
        <f t="shared" si="55"/>
        <v>PDFを開く</v>
      </c>
      <c r="P534" s="8" t="s">
        <v>581</v>
      </c>
    </row>
    <row r="535" spans="1:16" ht="33.950000000000003" customHeight="1">
      <c r="A535" s="5" t="s">
        <v>573</v>
      </c>
      <c r="B535" s="5" t="s">
        <v>73</v>
      </c>
      <c r="C535" s="9" t="s">
        <v>574</v>
      </c>
      <c r="D535" s="5">
        <v>2</v>
      </c>
      <c r="E535" s="9" t="s">
        <v>3184</v>
      </c>
      <c r="F535" s="5" t="s">
        <v>86</v>
      </c>
      <c r="G535" s="19" t="s">
        <v>3494</v>
      </c>
      <c r="H535" s="5" t="s">
        <v>3178</v>
      </c>
      <c r="I535" s="9"/>
      <c r="J535" s="5"/>
      <c r="K535" s="5">
        <v>459</v>
      </c>
      <c r="L535" s="9" t="s">
        <v>3881</v>
      </c>
      <c r="M535" s="5"/>
      <c r="N535" s="9" t="s">
        <v>3873</v>
      </c>
      <c r="O535" s="9" t="str">
        <f t="shared" si="55"/>
        <v>PDFを開く</v>
      </c>
      <c r="P535" s="9" t="s">
        <v>581</v>
      </c>
    </row>
    <row r="536" spans="1:16" ht="33.950000000000003" customHeight="1">
      <c r="A536" s="2" t="s">
        <v>573</v>
      </c>
      <c r="B536" s="2" t="s">
        <v>73</v>
      </c>
      <c r="C536" s="8" t="s">
        <v>574</v>
      </c>
      <c r="D536" s="2">
        <v>2</v>
      </c>
      <c r="E536" s="8" t="s">
        <v>3188</v>
      </c>
      <c r="F536" s="2" t="s">
        <v>86</v>
      </c>
      <c r="G536" s="19" t="s">
        <v>3494</v>
      </c>
      <c r="H536" s="2" t="s">
        <v>3178</v>
      </c>
      <c r="I536" s="8" t="s">
        <v>3867</v>
      </c>
      <c r="J536" s="2">
        <v>2026</v>
      </c>
      <c r="K536" s="2">
        <v>0</v>
      </c>
      <c r="L536" s="8" t="s">
        <v>3267</v>
      </c>
      <c r="M536" s="2"/>
      <c r="N536" s="8" t="s">
        <v>3882</v>
      </c>
      <c r="O536" s="8" t="str">
        <f t="shared" si="55"/>
        <v>PDFを開く</v>
      </c>
      <c r="P536" s="8" t="s">
        <v>581</v>
      </c>
    </row>
    <row r="537" spans="1:16" ht="33.950000000000003" customHeight="1">
      <c r="A537" s="5" t="s">
        <v>573</v>
      </c>
      <c r="B537" s="5" t="s">
        <v>73</v>
      </c>
      <c r="C537" s="9" t="s">
        <v>574</v>
      </c>
      <c r="D537" s="5">
        <v>2</v>
      </c>
      <c r="E537" s="9" t="s">
        <v>3188</v>
      </c>
      <c r="F537" s="5" t="s">
        <v>86</v>
      </c>
      <c r="G537" s="19" t="s">
        <v>3494</v>
      </c>
      <c r="H537" s="5" t="s">
        <v>3178</v>
      </c>
      <c r="I537" s="9"/>
      <c r="J537" s="5"/>
      <c r="K537" s="5">
        <v>0</v>
      </c>
      <c r="L537" s="9" t="s">
        <v>3267</v>
      </c>
      <c r="M537" s="5"/>
      <c r="N537" s="9" t="s">
        <v>3882</v>
      </c>
      <c r="O537" s="9" t="str">
        <f t="shared" si="55"/>
        <v>PDFを開く</v>
      </c>
      <c r="P537" s="9" t="s">
        <v>581</v>
      </c>
    </row>
    <row r="538" spans="1:16" ht="33.950000000000003" customHeight="1">
      <c r="A538" s="2" t="s">
        <v>573</v>
      </c>
      <c r="B538" s="2" t="s">
        <v>73</v>
      </c>
      <c r="C538" s="8" t="s">
        <v>574</v>
      </c>
      <c r="D538" s="2">
        <v>2</v>
      </c>
      <c r="E538" s="8" t="s">
        <v>3188</v>
      </c>
      <c r="F538" s="2" t="s">
        <v>86</v>
      </c>
      <c r="G538" s="19" t="s">
        <v>3494</v>
      </c>
      <c r="H538" s="2" t="s">
        <v>3178</v>
      </c>
      <c r="I538" s="8"/>
      <c r="J538" s="2"/>
      <c r="K538" s="2">
        <v>0</v>
      </c>
      <c r="L538" s="8" t="s">
        <v>3267</v>
      </c>
      <c r="M538" s="2"/>
      <c r="N538" s="8" t="s">
        <v>3882</v>
      </c>
      <c r="O538" s="8" t="str">
        <f t="shared" si="55"/>
        <v>PDFを開く</v>
      </c>
      <c r="P538" s="8" t="s">
        <v>581</v>
      </c>
    </row>
    <row r="539" spans="1:16" ht="33.950000000000003" customHeight="1">
      <c r="A539" s="5" t="s">
        <v>573</v>
      </c>
      <c r="B539" s="5" t="s">
        <v>73</v>
      </c>
      <c r="C539" s="9" t="s">
        <v>574</v>
      </c>
      <c r="D539" s="5">
        <v>2</v>
      </c>
      <c r="E539" s="9" t="s">
        <v>3188</v>
      </c>
      <c r="F539" s="5" t="s">
        <v>86</v>
      </c>
      <c r="G539" s="19" t="s">
        <v>3494</v>
      </c>
      <c r="H539" s="5" t="s">
        <v>3178</v>
      </c>
      <c r="I539" s="9"/>
      <c r="J539" s="5"/>
      <c r="K539" s="5">
        <v>0</v>
      </c>
      <c r="L539" s="9" t="s">
        <v>3267</v>
      </c>
      <c r="M539" s="5"/>
      <c r="N539" s="9" t="s">
        <v>3882</v>
      </c>
      <c r="O539" s="9" t="str">
        <f t="shared" si="55"/>
        <v>PDFを開く</v>
      </c>
      <c r="P539" s="9" t="s">
        <v>581</v>
      </c>
    </row>
    <row r="540" spans="1:16" ht="33.950000000000003" customHeight="1">
      <c r="A540" s="2" t="s">
        <v>573</v>
      </c>
      <c r="B540" s="2" t="s">
        <v>73</v>
      </c>
      <c r="C540" s="8" t="s">
        <v>574</v>
      </c>
      <c r="D540" s="2">
        <v>2</v>
      </c>
      <c r="E540" s="8" t="s">
        <v>3188</v>
      </c>
      <c r="F540" s="2" t="s">
        <v>86</v>
      </c>
      <c r="G540" s="19" t="s">
        <v>3494</v>
      </c>
      <c r="H540" s="2" t="s">
        <v>3178</v>
      </c>
      <c r="I540" s="8"/>
      <c r="J540" s="2"/>
      <c r="K540" s="2">
        <v>0</v>
      </c>
      <c r="L540" s="8" t="s">
        <v>3267</v>
      </c>
      <c r="M540" s="2"/>
      <c r="N540" s="8" t="s">
        <v>3882</v>
      </c>
      <c r="O540" s="8" t="str">
        <f t="shared" si="55"/>
        <v>PDFを開く</v>
      </c>
      <c r="P540" s="8" t="s">
        <v>581</v>
      </c>
    </row>
    <row r="541" spans="1:16" ht="33.950000000000003" customHeight="1">
      <c r="A541" s="5" t="s">
        <v>573</v>
      </c>
      <c r="B541" s="5" t="s">
        <v>73</v>
      </c>
      <c r="C541" s="9" t="s">
        <v>574</v>
      </c>
      <c r="D541" s="5">
        <v>2</v>
      </c>
      <c r="E541" s="9" t="s">
        <v>3188</v>
      </c>
      <c r="F541" s="5" t="s">
        <v>86</v>
      </c>
      <c r="G541" s="19" t="s">
        <v>3494</v>
      </c>
      <c r="H541" s="5" t="s">
        <v>3178</v>
      </c>
      <c r="I541" s="9"/>
      <c r="J541" s="5"/>
      <c r="K541" s="5">
        <v>0</v>
      </c>
      <c r="L541" s="9" t="s">
        <v>3267</v>
      </c>
      <c r="M541" s="5"/>
      <c r="N541" s="9" t="s">
        <v>3882</v>
      </c>
      <c r="O541" s="9" t="str">
        <f t="shared" si="55"/>
        <v>PDFを開く</v>
      </c>
      <c r="P541" s="9" t="s">
        <v>581</v>
      </c>
    </row>
    <row r="542" spans="1:16" ht="33.950000000000003" customHeight="1">
      <c r="A542" s="2" t="s">
        <v>573</v>
      </c>
      <c r="B542" s="2" t="s">
        <v>73</v>
      </c>
      <c r="C542" s="8" t="s">
        <v>574</v>
      </c>
      <c r="D542" s="2">
        <v>2</v>
      </c>
      <c r="E542" s="8" t="s">
        <v>3188</v>
      </c>
      <c r="F542" s="2" t="s">
        <v>86</v>
      </c>
      <c r="G542" s="19" t="s">
        <v>3494</v>
      </c>
      <c r="H542" s="2" t="s">
        <v>3178</v>
      </c>
      <c r="I542" s="8"/>
      <c r="J542" s="2"/>
      <c r="K542" s="2">
        <v>0</v>
      </c>
      <c r="L542" s="8" t="s">
        <v>3267</v>
      </c>
      <c r="M542" s="2"/>
      <c r="N542" s="8" t="s">
        <v>3882</v>
      </c>
      <c r="O542" s="8" t="str">
        <f t="shared" si="55"/>
        <v>PDFを開く</v>
      </c>
      <c r="P542" s="8" t="s">
        <v>581</v>
      </c>
    </row>
    <row r="543" spans="1:16" ht="33.950000000000003" customHeight="1">
      <c r="A543" s="5" t="s">
        <v>573</v>
      </c>
      <c r="B543" s="5" t="s">
        <v>73</v>
      </c>
      <c r="C543" s="9" t="s">
        <v>574</v>
      </c>
      <c r="D543" s="5">
        <v>2</v>
      </c>
      <c r="E543" s="9" t="s">
        <v>3188</v>
      </c>
      <c r="F543" s="5" t="s">
        <v>86</v>
      </c>
      <c r="G543" s="19" t="s">
        <v>3494</v>
      </c>
      <c r="H543" s="5" t="s">
        <v>3178</v>
      </c>
      <c r="I543" s="9"/>
      <c r="J543" s="5"/>
      <c r="K543" s="5">
        <v>0</v>
      </c>
      <c r="L543" s="9" t="s">
        <v>3267</v>
      </c>
      <c r="M543" s="5"/>
      <c r="N543" s="9" t="s">
        <v>3882</v>
      </c>
      <c r="O543" s="9" t="str">
        <f t="shared" si="55"/>
        <v>PDFを開く</v>
      </c>
      <c r="P543" s="9" t="s">
        <v>581</v>
      </c>
    </row>
    <row r="544" spans="1:16" ht="33.950000000000003" customHeight="1">
      <c r="A544" s="2" t="s">
        <v>573</v>
      </c>
      <c r="B544" s="2" t="s">
        <v>73</v>
      </c>
      <c r="C544" s="8" t="s">
        <v>574</v>
      </c>
      <c r="D544" s="2">
        <v>2</v>
      </c>
      <c r="E544" s="8" t="s">
        <v>3188</v>
      </c>
      <c r="F544" s="2" t="s">
        <v>86</v>
      </c>
      <c r="G544" s="19" t="s">
        <v>3494</v>
      </c>
      <c r="H544" s="2" t="s">
        <v>3178</v>
      </c>
      <c r="I544" s="8" t="s">
        <v>3870</v>
      </c>
      <c r="J544" s="2">
        <v>2029</v>
      </c>
      <c r="K544" s="2">
        <v>0</v>
      </c>
      <c r="L544" s="8" t="s">
        <v>3267</v>
      </c>
      <c r="M544" s="2"/>
      <c r="N544" s="8" t="s">
        <v>3882</v>
      </c>
      <c r="O544" s="8" t="str">
        <f t="shared" si="55"/>
        <v>PDFを開く</v>
      </c>
      <c r="P544" s="8" t="s">
        <v>581</v>
      </c>
    </row>
    <row r="545" spans="1:16" ht="33.950000000000003" customHeight="1">
      <c r="A545" s="5" t="s">
        <v>573</v>
      </c>
      <c r="B545" s="5" t="s">
        <v>73</v>
      </c>
      <c r="C545" s="9" t="s">
        <v>574</v>
      </c>
      <c r="D545" s="5">
        <v>2</v>
      </c>
      <c r="E545" s="9" t="s">
        <v>3188</v>
      </c>
      <c r="F545" s="5" t="s">
        <v>86</v>
      </c>
      <c r="G545" s="19" t="s">
        <v>3494</v>
      </c>
      <c r="H545" s="5" t="s">
        <v>3178</v>
      </c>
      <c r="I545" s="9"/>
      <c r="J545" s="5"/>
      <c r="K545" s="5">
        <v>0</v>
      </c>
      <c r="L545" s="9" t="s">
        <v>3267</v>
      </c>
      <c r="M545" s="5"/>
      <c r="N545" s="9" t="s">
        <v>3882</v>
      </c>
      <c r="O545" s="9" t="str">
        <f t="shared" si="55"/>
        <v>PDFを開く</v>
      </c>
      <c r="P545" s="9" t="s">
        <v>581</v>
      </c>
    </row>
    <row r="546" spans="1:16" ht="33.950000000000003" customHeight="1">
      <c r="A546" s="2" t="s">
        <v>573</v>
      </c>
      <c r="B546" s="2" t="s">
        <v>73</v>
      </c>
      <c r="C546" s="8" t="s">
        <v>574</v>
      </c>
      <c r="D546" s="2">
        <v>2</v>
      </c>
      <c r="E546" s="8" t="s">
        <v>3188</v>
      </c>
      <c r="F546" s="2" t="s">
        <v>86</v>
      </c>
      <c r="G546" s="19" t="s">
        <v>3494</v>
      </c>
      <c r="H546" s="2" t="s">
        <v>3178</v>
      </c>
      <c r="I546" s="8"/>
      <c r="J546" s="2"/>
      <c r="K546" s="2">
        <v>0</v>
      </c>
      <c r="L546" s="8" t="s">
        <v>3267</v>
      </c>
      <c r="M546" s="2"/>
      <c r="N546" s="8" t="s">
        <v>3882</v>
      </c>
      <c r="O546" s="8" t="str">
        <f t="shared" si="55"/>
        <v>PDFを開く</v>
      </c>
      <c r="P546" s="8" t="s">
        <v>581</v>
      </c>
    </row>
    <row r="547" spans="1:16" ht="33.950000000000003" customHeight="1">
      <c r="A547" s="5" t="s">
        <v>573</v>
      </c>
      <c r="B547" s="5" t="s">
        <v>73</v>
      </c>
      <c r="C547" s="9" t="s">
        <v>574</v>
      </c>
      <c r="D547" s="5">
        <v>2</v>
      </c>
      <c r="E547" s="9" t="s">
        <v>3188</v>
      </c>
      <c r="F547" s="5" t="s">
        <v>86</v>
      </c>
      <c r="G547" s="19" t="s">
        <v>3494</v>
      </c>
      <c r="H547" s="5" t="s">
        <v>3178</v>
      </c>
      <c r="I547" s="9"/>
      <c r="J547" s="5"/>
      <c r="K547" s="5">
        <v>0</v>
      </c>
      <c r="L547" s="9" t="s">
        <v>3267</v>
      </c>
      <c r="M547" s="5"/>
      <c r="N547" s="9" t="s">
        <v>3882</v>
      </c>
      <c r="O547" s="9" t="str">
        <f t="shared" si="55"/>
        <v>PDFを開く</v>
      </c>
      <c r="P547" s="9" t="s">
        <v>581</v>
      </c>
    </row>
    <row r="548" spans="1:16" ht="33.950000000000003" customHeight="1">
      <c r="A548" s="2" t="s">
        <v>573</v>
      </c>
      <c r="B548" s="2" t="s">
        <v>73</v>
      </c>
      <c r="C548" s="8" t="s">
        <v>574</v>
      </c>
      <c r="D548" s="2">
        <v>2</v>
      </c>
      <c r="E548" s="8" t="s">
        <v>3188</v>
      </c>
      <c r="F548" s="2" t="s">
        <v>86</v>
      </c>
      <c r="G548" s="19" t="s">
        <v>3494</v>
      </c>
      <c r="H548" s="2" t="s">
        <v>3178</v>
      </c>
      <c r="I548" s="8"/>
      <c r="J548" s="2"/>
      <c r="K548" s="2">
        <v>0</v>
      </c>
      <c r="L548" s="8" t="s">
        <v>3267</v>
      </c>
      <c r="M548" s="2"/>
      <c r="N548" s="8" t="s">
        <v>3882</v>
      </c>
      <c r="O548" s="8" t="str">
        <f t="shared" si="55"/>
        <v>PDFを開く</v>
      </c>
      <c r="P548" s="8" t="s">
        <v>581</v>
      </c>
    </row>
    <row r="549" spans="1:16" ht="33.950000000000003" customHeight="1">
      <c r="A549" s="5" t="s">
        <v>573</v>
      </c>
      <c r="B549" s="5" t="s">
        <v>73</v>
      </c>
      <c r="C549" s="9" t="s">
        <v>574</v>
      </c>
      <c r="D549" s="5">
        <v>2</v>
      </c>
      <c r="E549" s="9" t="s">
        <v>3188</v>
      </c>
      <c r="F549" s="5" t="s">
        <v>86</v>
      </c>
      <c r="G549" s="19" t="s">
        <v>3494</v>
      </c>
      <c r="H549" s="5" t="s">
        <v>3178</v>
      </c>
      <c r="I549" s="9"/>
      <c r="J549" s="5"/>
      <c r="K549" s="5">
        <v>0</v>
      </c>
      <c r="L549" s="9" t="s">
        <v>3267</v>
      </c>
      <c r="M549" s="5"/>
      <c r="N549" s="9" t="s">
        <v>3882</v>
      </c>
      <c r="O549" s="9" t="str">
        <f t="shared" si="55"/>
        <v>PDFを開く</v>
      </c>
      <c r="P549" s="9" t="s">
        <v>581</v>
      </c>
    </row>
    <row r="550" spans="1:16" ht="33.950000000000003" customHeight="1">
      <c r="A550" s="2" t="s">
        <v>573</v>
      </c>
      <c r="B550" s="2" t="s">
        <v>73</v>
      </c>
      <c r="C550" s="8" t="s">
        <v>574</v>
      </c>
      <c r="D550" s="2">
        <v>2</v>
      </c>
      <c r="E550" s="8" t="s">
        <v>3188</v>
      </c>
      <c r="F550" s="2" t="s">
        <v>86</v>
      </c>
      <c r="G550" s="19" t="s">
        <v>3494</v>
      </c>
      <c r="H550" s="2" t="s">
        <v>3178</v>
      </c>
      <c r="I550" s="8"/>
      <c r="J550" s="2"/>
      <c r="K550" s="2">
        <v>0</v>
      </c>
      <c r="L550" s="8" t="s">
        <v>3267</v>
      </c>
      <c r="M550" s="2"/>
      <c r="N550" s="8" t="s">
        <v>3882</v>
      </c>
      <c r="O550" s="8" t="str">
        <f t="shared" ref="O550:O573" si="56">HYPERLINK("https://seichotoushi-hojo.jp/assets/pdf/koufu/outline_153.pdf","PDFを開く")</f>
        <v>PDFを開く</v>
      </c>
      <c r="P550" s="8" t="s">
        <v>581</v>
      </c>
    </row>
    <row r="551" spans="1:16" ht="33.950000000000003" customHeight="1">
      <c r="A551" s="5" t="s">
        <v>573</v>
      </c>
      <c r="B551" s="5" t="s">
        <v>73</v>
      </c>
      <c r="C551" s="9" t="s">
        <v>574</v>
      </c>
      <c r="D551" s="5">
        <v>2</v>
      </c>
      <c r="E551" s="9" t="s">
        <v>3188</v>
      </c>
      <c r="F551" s="5" t="s">
        <v>86</v>
      </c>
      <c r="G551" s="19" t="s">
        <v>3494</v>
      </c>
      <c r="H551" s="5" t="s">
        <v>3178</v>
      </c>
      <c r="I551" s="9"/>
      <c r="J551" s="5"/>
      <c r="K551" s="5">
        <v>0</v>
      </c>
      <c r="L551" s="9" t="s">
        <v>3267</v>
      </c>
      <c r="M551" s="5"/>
      <c r="N551" s="9" t="s">
        <v>3882</v>
      </c>
      <c r="O551" s="9" t="str">
        <f t="shared" si="56"/>
        <v>PDFを開く</v>
      </c>
      <c r="P551" s="9" t="s">
        <v>581</v>
      </c>
    </row>
    <row r="552" spans="1:16" ht="33.950000000000003" customHeight="1">
      <c r="A552" s="2" t="s">
        <v>573</v>
      </c>
      <c r="B552" s="2" t="s">
        <v>73</v>
      </c>
      <c r="C552" s="8" t="s">
        <v>574</v>
      </c>
      <c r="D552" s="2">
        <v>2</v>
      </c>
      <c r="E552" s="8" t="s">
        <v>3191</v>
      </c>
      <c r="F552" s="2" t="s">
        <v>2513</v>
      </c>
      <c r="G552" s="19" t="s">
        <v>3494</v>
      </c>
      <c r="H552" s="2" t="s">
        <v>3178</v>
      </c>
      <c r="I552" s="8" t="s">
        <v>3867</v>
      </c>
      <c r="J552" s="2">
        <v>2026</v>
      </c>
      <c r="K552" s="2">
        <v>388</v>
      </c>
      <c r="L552" s="8" t="s">
        <v>3680</v>
      </c>
      <c r="M552" s="2"/>
      <c r="N552" s="8" t="s">
        <v>3883</v>
      </c>
      <c r="O552" s="8" t="str">
        <f t="shared" si="56"/>
        <v>PDFを開く</v>
      </c>
      <c r="P552" s="8" t="s">
        <v>581</v>
      </c>
    </row>
    <row r="553" spans="1:16" ht="33.950000000000003" customHeight="1">
      <c r="A553" s="5" t="s">
        <v>573</v>
      </c>
      <c r="B553" s="5" t="s">
        <v>73</v>
      </c>
      <c r="C553" s="9" t="s">
        <v>574</v>
      </c>
      <c r="D553" s="5">
        <v>2</v>
      </c>
      <c r="E553" s="9" t="s">
        <v>3191</v>
      </c>
      <c r="F553" s="5" t="s">
        <v>2513</v>
      </c>
      <c r="G553" s="19" t="s">
        <v>3494</v>
      </c>
      <c r="H553" s="5" t="s">
        <v>3178</v>
      </c>
      <c r="I553" s="9"/>
      <c r="J553" s="5"/>
      <c r="K553" s="5">
        <v>260</v>
      </c>
      <c r="L553" s="9" t="s">
        <v>3343</v>
      </c>
      <c r="M553" s="5"/>
      <c r="N553" s="9" t="s">
        <v>3883</v>
      </c>
      <c r="O553" s="9" t="str">
        <f t="shared" si="56"/>
        <v>PDFを開く</v>
      </c>
      <c r="P553" s="9" t="s">
        <v>581</v>
      </c>
    </row>
    <row r="554" spans="1:16" ht="33.950000000000003" customHeight="1">
      <c r="A554" s="2" t="s">
        <v>573</v>
      </c>
      <c r="B554" s="2" t="s">
        <v>73</v>
      </c>
      <c r="C554" s="8" t="s">
        <v>574</v>
      </c>
      <c r="D554" s="2">
        <v>2</v>
      </c>
      <c r="E554" s="8" t="s">
        <v>3191</v>
      </c>
      <c r="F554" s="2" t="s">
        <v>2513</v>
      </c>
      <c r="G554" s="19" t="s">
        <v>3494</v>
      </c>
      <c r="H554" s="2" t="s">
        <v>3178</v>
      </c>
      <c r="I554" s="8"/>
      <c r="J554" s="2"/>
      <c r="K554" s="2">
        <v>46</v>
      </c>
      <c r="L554" s="8" t="s">
        <v>3884</v>
      </c>
      <c r="M554" s="2"/>
      <c r="N554" s="8" t="s">
        <v>3883</v>
      </c>
      <c r="O554" s="8" t="str">
        <f t="shared" si="56"/>
        <v>PDFを開く</v>
      </c>
      <c r="P554" s="8" t="s">
        <v>581</v>
      </c>
    </row>
    <row r="555" spans="1:16" ht="33.950000000000003" customHeight="1">
      <c r="A555" s="5" t="s">
        <v>573</v>
      </c>
      <c r="B555" s="5" t="s">
        <v>73</v>
      </c>
      <c r="C555" s="9" t="s">
        <v>574</v>
      </c>
      <c r="D555" s="5">
        <v>2</v>
      </c>
      <c r="E555" s="9" t="s">
        <v>3191</v>
      </c>
      <c r="F555" s="5" t="s">
        <v>2513</v>
      </c>
      <c r="G555" s="19" t="s">
        <v>3494</v>
      </c>
      <c r="H555" s="5" t="s">
        <v>3178</v>
      </c>
      <c r="I555" s="9"/>
      <c r="J555" s="5"/>
      <c r="K555" s="5">
        <v>23</v>
      </c>
      <c r="L555" s="9" t="s">
        <v>3543</v>
      </c>
      <c r="M555" s="5"/>
      <c r="N555" s="9" t="s">
        <v>3883</v>
      </c>
      <c r="O555" s="9" t="str">
        <f t="shared" si="56"/>
        <v>PDFを開く</v>
      </c>
      <c r="P555" s="9" t="s">
        <v>581</v>
      </c>
    </row>
    <row r="556" spans="1:16" ht="33.950000000000003" customHeight="1">
      <c r="A556" s="2" t="s">
        <v>573</v>
      </c>
      <c r="B556" s="2" t="s">
        <v>73</v>
      </c>
      <c r="C556" s="8" t="s">
        <v>574</v>
      </c>
      <c r="D556" s="2">
        <v>2</v>
      </c>
      <c r="E556" s="8" t="s">
        <v>3191</v>
      </c>
      <c r="F556" s="2" t="s">
        <v>2513</v>
      </c>
      <c r="G556" s="19" t="s">
        <v>3494</v>
      </c>
      <c r="H556" s="2" t="s">
        <v>3178</v>
      </c>
      <c r="I556" s="8"/>
      <c r="J556" s="2"/>
      <c r="K556" s="2">
        <v>25</v>
      </c>
      <c r="L556" s="8" t="s">
        <v>3885</v>
      </c>
      <c r="M556" s="2"/>
      <c r="N556" s="8" t="s">
        <v>3883</v>
      </c>
      <c r="O556" s="8" t="str">
        <f t="shared" si="56"/>
        <v>PDFを開く</v>
      </c>
      <c r="P556" s="8" t="s">
        <v>581</v>
      </c>
    </row>
    <row r="557" spans="1:16" ht="33.950000000000003" customHeight="1">
      <c r="A557" s="5" t="s">
        <v>573</v>
      </c>
      <c r="B557" s="5" t="s">
        <v>73</v>
      </c>
      <c r="C557" s="9" t="s">
        <v>574</v>
      </c>
      <c r="D557" s="5">
        <v>2</v>
      </c>
      <c r="E557" s="9" t="s">
        <v>3191</v>
      </c>
      <c r="F557" s="5" t="s">
        <v>2513</v>
      </c>
      <c r="G557" s="19" t="s">
        <v>3494</v>
      </c>
      <c r="H557" s="5" t="s">
        <v>3178</v>
      </c>
      <c r="I557" s="9"/>
      <c r="J557" s="5"/>
      <c r="K557" s="5">
        <v>14</v>
      </c>
      <c r="L557" s="9" t="s">
        <v>3886</v>
      </c>
      <c r="M557" s="5"/>
      <c r="N557" s="9" t="s">
        <v>3883</v>
      </c>
      <c r="O557" s="9" t="str">
        <f t="shared" si="56"/>
        <v>PDFを開く</v>
      </c>
      <c r="P557" s="9" t="s">
        <v>581</v>
      </c>
    </row>
    <row r="558" spans="1:16" ht="33.950000000000003" customHeight="1">
      <c r="A558" s="2" t="s">
        <v>573</v>
      </c>
      <c r="B558" s="2" t="s">
        <v>73</v>
      </c>
      <c r="C558" s="8" t="s">
        <v>574</v>
      </c>
      <c r="D558" s="2">
        <v>2</v>
      </c>
      <c r="E558" s="8" t="s">
        <v>3191</v>
      </c>
      <c r="F558" s="2" t="s">
        <v>2513</v>
      </c>
      <c r="G558" s="19" t="s">
        <v>3494</v>
      </c>
      <c r="H558" s="2" t="s">
        <v>3178</v>
      </c>
      <c r="I558" s="8"/>
      <c r="J558" s="2"/>
      <c r="K558" s="2">
        <v>10</v>
      </c>
      <c r="L558" s="8" t="s">
        <v>3623</v>
      </c>
      <c r="M558" s="2"/>
      <c r="N558" s="8" t="s">
        <v>3883</v>
      </c>
      <c r="O558" s="8" t="str">
        <f t="shared" si="56"/>
        <v>PDFを開く</v>
      </c>
      <c r="P558" s="8" t="s">
        <v>581</v>
      </c>
    </row>
    <row r="559" spans="1:16" ht="33.950000000000003" customHeight="1">
      <c r="A559" s="5" t="s">
        <v>573</v>
      </c>
      <c r="B559" s="5" t="s">
        <v>73</v>
      </c>
      <c r="C559" s="9" t="s">
        <v>574</v>
      </c>
      <c r="D559" s="5">
        <v>2</v>
      </c>
      <c r="E559" s="9" t="s">
        <v>3191</v>
      </c>
      <c r="F559" s="5" t="s">
        <v>2513</v>
      </c>
      <c r="G559" s="19" t="s">
        <v>3494</v>
      </c>
      <c r="H559" s="5" t="s">
        <v>3178</v>
      </c>
      <c r="I559" s="9"/>
      <c r="J559" s="5"/>
      <c r="K559" s="5">
        <v>10</v>
      </c>
      <c r="L559" s="9" t="s">
        <v>3623</v>
      </c>
      <c r="M559" s="5"/>
      <c r="N559" s="9" t="s">
        <v>3883</v>
      </c>
      <c r="O559" s="9" t="str">
        <f t="shared" si="56"/>
        <v>PDFを開く</v>
      </c>
      <c r="P559" s="9" t="s">
        <v>581</v>
      </c>
    </row>
    <row r="560" spans="1:16" ht="33.950000000000003" customHeight="1">
      <c r="A560" s="2" t="s">
        <v>573</v>
      </c>
      <c r="B560" s="2" t="s">
        <v>73</v>
      </c>
      <c r="C560" s="8" t="s">
        <v>574</v>
      </c>
      <c r="D560" s="2">
        <v>2</v>
      </c>
      <c r="E560" s="8" t="s">
        <v>3191</v>
      </c>
      <c r="F560" s="2" t="s">
        <v>2513</v>
      </c>
      <c r="G560" s="19" t="s">
        <v>3494</v>
      </c>
      <c r="H560" s="2" t="s">
        <v>3178</v>
      </c>
      <c r="I560" s="8" t="s">
        <v>3870</v>
      </c>
      <c r="J560" s="2">
        <v>2029</v>
      </c>
      <c r="K560" s="2">
        <v>440</v>
      </c>
      <c r="L560" s="8" t="s">
        <v>3887</v>
      </c>
      <c r="M560" s="2"/>
      <c r="N560" s="8" t="s">
        <v>3883</v>
      </c>
      <c r="O560" s="8" t="str">
        <f t="shared" si="56"/>
        <v>PDFを開く</v>
      </c>
      <c r="P560" s="8" t="s">
        <v>581</v>
      </c>
    </row>
    <row r="561" spans="1:16" ht="33.950000000000003" customHeight="1">
      <c r="A561" s="5" t="s">
        <v>573</v>
      </c>
      <c r="B561" s="5" t="s">
        <v>73</v>
      </c>
      <c r="C561" s="9" t="s">
        <v>574</v>
      </c>
      <c r="D561" s="5">
        <v>2</v>
      </c>
      <c r="E561" s="9" t="s">
        <v>3191</v>
      </c>
      <c r="F561" s="5" t="s">
        <v>2513</v>
      </c>
      <c r="G561" s="19" t="s">
        <v>3494</v>
      </c>
      <c r="H561" s="5" t="s">
        <v>3178</v>
      </c>
      <c r="I561" s="9"/>
      <c r="J561" s="5"/>
      <c r="K561" s="5">
        <v>310</v>
      </c>
      <c r="L561" s="9" t="s">
        <v>3888</v>
      </c>
      <c r="M561" s="5"/>
      <c r="N561" s="9" t="s">
        <v>3883</v>
      </c>
      <c r="O561" s="9" t="str">
        <f t="shared" si="56"/>
        <v>PDFを開く</v>
      </c>
      <c r="P561" s="9" t="s">
        <v>581</v>
      </c>
    </row>
    <row r="562" spans="1:16" ht="33.950000000000003" customHeight="1">
      <c r="A562" s="2" t="s">
        <v>573</v>
      </c>
      <c r="B562" s="2" t="s">
        <v>73</v>
      </c>
      <c r="C562" s="8" t="s">
        <v>574</v>
      </c>
      <c r="D562" s="2">
        <v>2</v>
      </c>
      <c r="E562" s="8" t="s">
        <v>3191</v>
      </c>
      <c r="F562" s="2" t="s">
        <v>2513</v>
      </c>
      <c r="G562" s="19" t="s">
        <v>3494</v>
      </c>
      <c r="H562" s="2" t="s">
        <v>3178</v>
      </c>
      <c r="I562" s="8"/>
      <c r="J562" s="2"/>
      <c r="K562" s="2">
        <v>48</v>
      </c>
      <c r="L562" s="8" t="s">
        <v>3809</v>
      </c>
      <c r="M562" s="2"/>
      <c r="N562" s="8" t="s">
        <v>3883</v>
      </c>
      <c r="O562" s="8" t="str">
        <f t="shared" si="56"/>
        <v>PDFを開く</v>
      </c>
      <c r="P562" s="8" t="s">
        <v>581</v>
      </c>
    </row>
    <row r="563" spans="1:16" ht="33.950000000000003" customHeight="1">
      <c r="A563" s="5" t="s">
        <v>573</v>
      </c>
      <c r="B563" s="5" t="s">
        <v>73</v>
      </c>
      <c r="C563" s="9" t="s">
        <v>574</v>
      </c>
      <c r="D563" s="5">
        <v>2</v>
      </c>
      <c r="E563" s="9" t="s">
        <v>3191</v>
      </c>
      <c r="F563" s="5" t="s">
        <v>2513</v>
      </c>
      <c r="G563" s="19" t="s">
        <v>3494</v>
      </c>
      <c r="H563" s="5" t="s">
        <v>3178</v>
      </c>
      <c r="I563" s="9"/>
      <c r="J563" s="5"/>
      <c r="K563" s="5">
        <v>23</v>
      </c>
      <c r="L563" s="9" t="s">
        <v>3543</v>
      </c>
      <c r="M563" s="5"/>
      <c r="N563" s="9" t="s">
        <v>3883</v>
      </c>
      <c r="O563" s="9" t="str">
        <f t="shared" si="56"/>
        <v>PDFを開く</v>
      </c>
      <c r="P563" s="9" t="s">
        <v>581</v>
      </c>
    </row>
    <row r="564" spans="1:16" ht="33.950000000000003" customHeight="1">
      <c r="A564" s="2" t="s">
        <v>573</v>
      </c>
      <c r="B564" s="2" t="s">
        <v>73</v>
      </c>
      <c r="C564" s="8" t="s">
        <v>574</v>
      </c>
      <c r="D564" s="2">
        <v>2</v>
      </c>
      <c r="E564" s="8" t="s">
        <v>3191</v>
      </c>
      <c r="F564" s="2" t="s">
        <v>2513</v>
      </c>
      <c r="G564" s="19" t="s">
        <v>3494</v>
      </c>
      <c r="H564" s="2" t="s">
        <v>3178</v>
      </c>
      <c r="I564" s="8"/>
      <c r="J564" s="2"/>
      <c r="K564" s="2">
        <v>25</v>
      </c>
      <c r="L564" s="8" t="s">
        <v>3885</v>
      </c>
      <c r="M564" s="2"/>
      <c r="N564" s="8" t="s">
        <v>3883</v>
      </c>
      <c r="O564" s="8" t="str">
        <f t="shared" si="56"/>
        <v>PDFを開く</v>
      </c>
      <c r="P564" s="8" t="s">
        <v>581</v>
      </c>
    </row>
    <row r="565" spans="1:16" ht="33.950000000000003" customHeight="1">
      <c r="A565" s="5" t="s">
        <v>573</v>
      </c>
      <c r="B565" s="5" t="s">
        <v>73</v>
      </c>
      <c r="C565" s="9" t="s">
        <v>574</v>
      </c>
      <c r="D565" s="5">
        <v>2</v>
      </c>
      <c r="E565" s="9" t="s">
        <v>3191</v>
      </c>
      <c r="F565" s="5" t="s">
        <v>2513</v>
      </c>
      <c r="G565" s="19" t="s">
        <v>3494</v>
      </c>
      <c r="H565" s="5" t="s">
        <v>3178</v>
      </c>
      <c r="I565" s="9"/>
      <c r="J565" s="5"/>
      <c r="K565" s="5">
        <v>14</v>
      </c>
      <c r="L565" s="9" t="s">
        <v>3886</v>
      </c>
      <c r="M565" s="5"/>
      <c r="N565" s="9" t="s">
        <v>3883</v>
      </c>
      <c r="O565" s="9" t="str">
        <f t="shared" si="56"/>
        <v>PDFを開く</v>
      </c>
      <c r="P565" s="9" t="s">
        <v>581</v>
      </c>
    </row>
    <row r="566" spans="1:16" ht="33.950000000000003" customHeight="1">
      <c r="A566" s="2" t="s">
        <v>573</v>
      </c>
      <c r="B566" s="2" t="s">
        <v>73</v>
      </c>
      <c r="C566" s="8" t="s">
        <v>574</v>
      </c>
      <c r="D566" s="2">
        <v>2</v>
      </c>
      <c r="E566" s="8" t="s">
        <v>3191</v>
      </c>
      <c r="F566" s="2" t="s">
        <v>2513</v>
      </c>
      <c r="G566" s="19" t="s">
        <v>3494</v>
      </c>
      <c r="H566" s="2" t="s">
        <v>3178</v>
      </c>
      <c r="I566" s="8"/>
      <c r="J566" s="2"/>
      <c r="K566" s="2">
        <v>10</v>
      </c>
      <c r="L566" s="8" t="s">
        <v>3623</v>
      </c>
      <c r="M566" s="2"/>
      <c r="N566" s="8" t="s">
        <v>3883</v>
      </c>
      <c r="O566" s="8" t="str">
        <f t="shared" si="56"/>
        <v>PDFを開く</v>
      </c>
      <c r="P566" s="8" t="s">
        <v>581</v>
      </c>
    </row>
    <row r="567" spans="1:16" ht="33.950000000000003" customHeight="1">
      <c r="A567" s="5" t="s">
        <v>573</v>
      </c>
      <c r="B567" s="5" t="s">
        <v>73</v>
      </c>
      <c r="C567" s="9" t="s">
        <v>574</v>
      </c>
      <c r="D567" s="5">
        <v>2</v>
      </c>
      <c r="E567" s="9" t="s">
        <v>3191</v>
      </c>
      <c r="F567" s="5" t="s">
        <v>2513</v>
      </c>
      <c r="G567" s="19" t="s">
        <v>3494</v>
      </c>
      <c r="H567" s="5" t="s">
        <v>3178</v>
      </c>
      <c r="I567" s="9"/>
      <c r="J567" s="5"/>
      <c r="K567" s="5">
        <v>10</v>
      </c>
      <c r="L567" s="9" t="s">
        <v>3623</v>
      </c>
      <c r="M567" s="5"/>
      <c r="N567" s="9" t="s">
        <v>3883</v>
      </c>
      <c r="O567" s="9" t="str">
        <f t="shared" si="56"/>
        <v>PDFを開く</v>
      </c>
      <c r="P567" s="9" t="s">
        <v>581</v>
      </c>
    </row>
    <row r="568" spans="1:16" ht="33.950000000000003" customHeight="1">
      <c r="A568" s="2" t="s">
        <v>573</v>
      </c>
      <c r="B568" s="2" t="s">
        <v>73</v>
      </c>
      <c r="C568" s="8" t="s">
        <v>574</v>
      </c>
      <c r="D568" s="2">
        <v>2</v>
      </c>
      <c r="E568" s="8" t="s">
        <v>3188</v>
      </c>
      <c r="F568" s="2" t="s">
        <v>86</v>
      </c>
      <c r="G568" s="2" t="s">
        <v>3177</v>
      </c>
      <c r="H568" s="2" t="s">
        <v>3178</v>
      </c>
      <c r="I568" s="8" t="s">
        <v>3867</v>
      </c>
      <c r="J568" s="2">
        <v>2026</v>
      </c>
      <c r="K568" s="2">
        <v>0</v>
      </c>
      <c r="L568" s="8" t="s">
        <v>3267</v>
      </c>
      <c r="M568" s="2"/>
      <c r="N568" s="8" t="s">
        <v>3882</v>
      </c>
      <c r="O568" s="8" t="str">
        <f t="shared" si="56"/>
        <v>PDFを開く</v>
      </c>
      <c r="P568" s="8" t="s">
        <v>581</v>
      </c>
    </row>
    <row r="569" spans="1:16" ht="33.950000000000003" customHeight="1">
      <c r="A569" s="5" t="s">
        <v>573</v>
      </c>
      <c r="B569" s="5" t="s">
        <v>73</v>
      </c>
      <c r="C569" s="9" t="s">
        <v>574</v>
      </c>
      <c r="D569" s="5">
        <v>2</v>
      </c>
      <c r="E569" s="9" t="s">
        <v>3188</v>
      </c>
      <c r="F569" s="5" t="s">
        <v>86</v>
      </c>
      <c r="G569" s="5" t="s">
        <v>3177</v>
      </c>
      <c r="H569" s="5" t="s">
        <v>3178</v>
      </c>
      <c r="I569" s="9" t="s">
        <v>3870</v>
      </c>
      <c r="J569" s="5">
        <v>2029</v>
      </c>
      <c r="K569" s="5">
        <v>0</v>
      </c>
      <c r="L569" s="9" t="s">
        <v>3267</v>
      </c>
      <c r="M569" s="5"/>
      <c r="N569" s="9" t="s">
        <v>3882</v>
      </c>
      <c r="O569" s="9" t="str">
        <f t="shared" si="56"/>
        <v>PDFを開く</v>
      </c>
      <c r="P569" s="9" t="s">
        <v>581</v>
      </c>
    </row>
    <row r="570" spans="1:16" ht="33.950000000000003" customHeight="1">
      <c r="A570" s="2" t="s">
        <v>573</v>
      </c>
      <c r="B570" s="2" t="s">
        <v>73</v>
      </c>
      <c r="C570" s="8" t="s">
        <v>574</v>
      </c>
      <c r="D570" s="2">
        <v>2</v>
      </c>
      <c r="E570" s="8" t="s">
        <v>3191</v>
      </c>
      <c r="F570" s="2" t="s">
        <v>2513</v>
      </c>
      <c r="G570" s="2" t="s">
        <v>3177</v>
      </c>
      <c r="H570" s="2" t="s">
        <v>3178</v>
      </c>
      <c r="I570" s="8" t="s">
        <v>3867</v>
      </c>
      <c r="J570" s="2">
        <v>2026</v>
      </c>
      <c r="K570" s="2">
        <v>388</v>
      </c>
      <c r="L570" s="8" t="s">
        <v>3680</v>
      </c>
      <c r="M570" s="2"/>
      <c r="N570" s="8" t="s">
        <v>3883</v>
      </c>
      <c r="O570" s="8" t="str">
        <f t="shared" si="56"/>
        <v>PDFを開く</v>
      </c>
      <c r="P570" s="8" t="s">
        <v>581</v>
      </c>
    </row>
    <row r="571" spans="1:16" ht="33.950000000000003" customHeight="1">
      <c r="A571" s="5" t="s">
        <v>573</v>
      </c>
      <c r="B571" s="5" t="s">
        <v>73</v>
      </c>
      <c r="C571" s="9" t="s">
        <v>574</v>
      </c>
      <c r="D571" s="5">
        <v>2</v>
      </c>
      <c r="E571" s="9" t="s">
        <v>3191</v>
      </c>
      <c r="F571" s="5" t="s">
        <v>2513</v>
      </c>
      <c r="G571" s="5" t="s">
        <v>3177</v>
      </c>
      <c r="H571" s="5" t="s">
        <v>3178</v>
      </c>
      <c r="I571" s="9" t="s">
        <v>3870</v>
      </c>
      <c r="J571" s="5">
        <v>2029</v>
      </c>
      <c r="K571" s="5">
        <v>440</v>
      </c>
      <c r="L571" s="9" t="s">
        <v>3887</v>
      </c>
      <c r="M571" s="5"/>
      <c r="N571" s="9" t="s">
        <v>3883</v>
      </c>
      <c r="O571" s="9" t="str">
        <f t="shared" si="56"/>
        <v>PDFを開く</v>
      </c>
      <c r="P571" s="9" t="s">
        <v>581</v>
      </c>
    </row>
    <row r="572" spans="1:16" ht="33.950000000000003" customHeight="1">
      <c r="A572" s="2" t="s">
        <v>573</v>
      </c>
      <c r="B572" s="2" t="s">
        <v>73</v>
      </c>
      <c r="C572" s="8" t="s">
        <v>574</v>
      </c>
      <c r="D572" s="2">
        <v>2</v>
      </c>
      <c r="E572" s="8" t="s">
        <v>3184</v>
      </c>
      <c r="F572" s="2" t="s">
        <v>86</v>
      </c>
      <c r="G572" s="2" t="s">
        <v>3177</v>
      </c>
      <c r="H572" s="2" t="s">
        <v>3178</v>
      </c>
      <c r="I572" s="8" t="s">
        <v>3867</v>
      </c>
      <c r="J572" s="2">
        <v>2026</v>
      </c>
      <c r="K572" s="2">
        <v>443</v>
      </c>
      <c r="L572" s="8" t="s">
        <v>3872</v>
      </c>
      <c r="M572" s="2"/>
      <c r="N572" s="8" t="s">
        <v>3873</v>
      </c>
      <c r="O572" s="8" t="str">
        <f t="shared" si="56"/>
        <v>PDFを開く</v>
      </c>
      <c r="P572" s="8" t="s">
        <v>581</v>
      </c>
    </row>
    <row r="573" spans="1:16" ht="33.950000000000003" customHeight="1">
      <c r="A573" s="5" t="s">
        <v>573</v>
      </c>
      <c r="B573" s="5" t="s">
        <v>73</v>
      </c>
      <c r="C573" s="9" t="s">
        <v>574</v>
      </c>
      <c r="D573" s="5">
        <v>2</v>
      </c>
      <c r="E573" s="9" t="s">
        <v>3184</v>
      </c>
      <c r="F573" s="5" t="s">
        <v>86</v>
      </c>
      <c r="G573" s="5" t="s">
        <v>3177</v>
      </c>
      <c r="H573" s="5" t="s">
        <v>3178</v>
      </c>
      <c r="I573" s="9" t="s">
        <v>3870</v>
      </c>
      <c r="J573" s="5">
        <v>2029</v>
      </c>
      <c r="K573" s="5">
        <v>518</v>
      </c>
      <c r="L573" s="9" t="s">
        <v>3878</v>
      </c>
      <c r="M573" s="5"/>
      <c r="N573" s="9" t="s">
        <v>3873</v>
      </c>
      <c r="O573" s="9" t="str">
        <f t="shared" si="56"/>
        <v>PDFを開く</v>
      </c>
      <c r="P573" s="9" t="s">
        <v>581</v>
      </c>
    </row>
    <row r="574" spans="1:16" ht="33.950000000000003" customHeight="1">
      <c r="A574" s="2" t="s">
        <v>582</v>
      </c>
      <c r="B574" s="2" t="s">
        <v>73</v>
      </c>
      <c r="C574" s="8" t="s">
        <v>583</v>
      </c>
      <c r="D574" s="2">
        <v>2</v>
      </c>
      <c r="E574" s="8" t="s">
        <v>3176</v>
      </c>
      <c r="F574" s="2" t="s">
        <v>86</v>
      </c>
      <c r="G574" s="2" t="s">
        <v>3177</v>
      </c>
      <c r="H574" s="2"/>
      <c r="I574" s="8" t="s">
        <v>3302</v>
      </c>
      <c r="J574" s="2"/>
      <c r="K574" s="2">
        <v>897</v>
      </c>
      <c r="L574" s="8" t="s">
        <v>3889</v>
      </c>
      <c r="M574" s="2">
        <v>15.3</v>
      </c>
      <c r="N574" s="8" t="s">
        <v>3890</v>
      </c>
      <c r="O574" s="8" t="str">
        <f t="shared" ref="O574:O590" si="57">HYPERLINK("https://seichotoushi-hojo.jp/assets/pdf/koufu/outline_154.pdf","PDFを開く")</f>
        <v>PDFを開く</v>
      </c>
      <c r="P574" s="8" t="s">
        <v>591</v>
      </c>
    </row>
    <row r="575" spans="1:16" ht="33.950000000000003" customHeight="1">
      <c r="A575" s="5" t="s">
        <v>582</v>
      </c>
      <c r="B575" s="5" t="s">
        <v>73</v>
      </c>
      <c r="C575" s="9" t="s">
        <v>583</v>
      </c>
      <c r="D575" s="5">
        <v>2</v>
      </c>
      <c r="E575" s="9" t="s">
        <v>3176</v>
      </c>
      <c r="F575" s="5" t="s">
        <v>86</v>
      </c>
      <c r="G575" s="5" t="s">
        <v>3177</v>
      </c>
      <c r="H575" s="5"/>
      <c r="I575" s="9" t="s">
        <v>3305</v>
      </c>
      <c r="J575" s="5"/>
      <c r="K575" s="5">
        <v>1376</v>
      </c>
      <c r="L575" s="9" t="s">
        <v>3891</v>
      </c>
      <c r="M575" s="5">
        <v>15.3</v>
      </c>
      <c r="N575" s="9" t="s">
        <v>3890</v>
      </c>
      <c r="O575" s="9" t="str">
        <f t="shared" si="57"/>
        <v>PDFを開く</v>
      </c>
      <c r="P575" s="9" t="s">
        <v>591</v>
      </c>
    </row>
    <row r="576" spans="1:16" ht="33.950000000000003" customHeight="1">
      <c r="A576" s="2" t="s">
        <v>582</v>
      </c>
      <c r="B576" s="2" t="s">
        <v>73</v>
      </c>
      <c r="C576" s="8" t="s">
        <v>583</v>
      </c>
      <c r="D576" s="2">
        <v>2</v>
      </c>
      <c r="E576" s="8" t="s">
        <v>3184</v>
      </c>
      <c r="F576" s="2" t="s">
        <v>86</v>
      </c>
      <c r="G576" s="19" t="s">
        <v>3189</v>
      </c>
      <c r="H576" s="2"/>
      <c r="I576" s="8" t="s">
        <v>3305</v>
      </c>
      <c r="J576" s="2"/>
      <c r="K576" s="2">
        <v>486</v>
      </c>
      <c r="L576" s="8" t="s">
        <v>3892</v>
      </c>
      <c r="M576" s="2">
        <v>5.5</v>
      </c>
      <c r="N576" s="8" t="s">
        <v>3893</v>
      </c>
      <c r="O576" s="8" t="str">
        <f t="shared" si="57"/>
        <v>PDFを開く</v>
      </c>
      <c r="P576" s="8" t="s">
        <v>591</v>
      </c>
    </row>
    <row r="577" spans="1:16" ht="33.950000000000003" customHeight="1">
      <c r="A577" s="5" t="s">
        <v>582</v>
      </c>
      <c r="B577" s="5" t="s">
        <v>73</v>
      </c>
      <c r="C577" s="9" t="s">
        <v>583</v>
      </c>
      <c r="D577" s="5">
        <v>2</v>
      </c>
      <c r="E577" s="9" t="s">
        <v>3184</v>
      </c>
      <c r="F577" s="5" t="s">
        <v>86</v>
      </c>
      <c r="G577" s="19" t="s">
        <v>3189</v>
      </c>
      <c r="H577" s="5"/>
      <c r="I577" s="9" t="s">
        <v>3305</v>
      </c>
      <c r="J577" s="5"/>
      <c r="K577" s="5">
        <v>644</v>
      </c>
      <c r="L577" s="9" t="s">
        <v>3894</v>
      </c>
      <c r="M577" s="5">
        <v>5.5</v>
      </c>
      <c r="N577" s="9" t="s">
        <v>3893</v>
      </c>
      <c r="O577" s="9" t="str">
        <f t="shared" si="57"/>
        <v>PDFを開く</v>
      </c>
      <c r="P577" s="9" t="s">
        <v>591</v>
      </c>
    </row>
    <row r="578" spans="1:16" ht="33.950000000000003" customHeight="1">
      <c r="A578" s="2" t="s">
        <v>582</v>
      </c>
      <c r="B578" s="2" t="s">
        <v>73</v>
      </c>
      <c r="C578" s="8" t="s">
        <v>583</v>
      </c>
      <c r="D578" s="2">
        <v>2</v>
      </c>
      <c r="E578" s="8" t="s">
        <v>3184</v>
      </c>
      <c r="F578" s="2" t="s">
        <v>86</v>
      </c>
      <c r="G578" s="19" t="s">
        <v>3189</v>
      </c>
      <c r="H578" s="2"/>
      <c r="I578" s="8" t="s">
        <v>3302</v>
      </c>
      <c r="J578" s="2"/>
      <c r="K578" s="2">
        <v>414</v>
      </c>
      <c r="L578" s="8" t="s">
        <v>3895</v>
      </c>
      <c r="M578" s="2">
        <v>5.5</v>
      </c>
      <c r="N578" s="8" t="s">
        <v>3893</v>
      </c>
      <c r="O578" s="8" t="str">
        <f t="shared" si="57"/>
        <v>PDFを開く</v>
      </c>
      <c r="P578" s="8" t="s">
        <v>591</v>
      </c>
    </row>
    <row r="579" spans="1:16" ht="33.950000000000003" customHeight="1">
      <c r="A579" s="5" t="s">
        <v>582</v>
      </c>
      <c r="B579" s="5" t="s">
        <v>73</v>
      </c>
      <c r="C579" s="9" t="s">
        <v>583</v>
      </c>
      <c r="D579" s="5">
        <v>2</v>
      </c>
      <c r="E579" s="9" t="s">
        <v>3184</v>
      </c>
      <c r="F579" s="5" t="s">
        <v>86</v>
      </c>
      <c r="G579" s="19" t="s">
        <v>3189</v>
      </c>
      <c r="H579" s="5"/>
      <c r="I579" s="9" t="s">
        <v>3302</v>
      </c>
      <c r="J579" s="5"/>
      <c r="K579" s="5">
        <v>546</v>
      </c>
      <c r="L579" s="9" t="s">
        <v>3896</v>
      </c>
      <c r="M579" s="5">
        <v>5.5</v>
      </c>
      <c r="N579" s="9" t="s">
        <v>3893</v>
      </c>
      <c r="O579" s="9" t="str">
        <f t="shared" si="57"/>
        <v>PDFを開く</v>
      </c>
      <c r="P579" s="9" t="s">
        <v>591</v>
      </c>
    </row>
    <row r="580" spans="1:16" ht="33.950000000000003" customHeight="1">
      <c r="A580" s="2" t="s">
        <v>582</v>
      </c>
      <c r="B580" s="2" t="s">
        <v>73</v>
      </c>
      <c r="C580" s="8" t="s">
        <v>583</v>
      </c>
      <c r="D580" s="2">
        <v>2</v>
      </c>
      <c r="E580" s="8" t="s">
        <v>3191</v>
      </c>
      <c r="F580" s="2" t="s">
        <v>2513</v>
      </c>
      <c r="G580" s="19" t="s">
        <v>3189</v>
      </c>
      <c r="H580" s="2"/>
      <c r="I580" s="8" t="s">
        <v>3302</v>
      </c>
      <c r="J580" s="2"/>
      <c r="K580" s="2">
        <v>198</v>
      </c>
      <c r="L580" s="8" t="s">
        <v>3897</v>
      </c>
      <c r="M580" s="2"/>
      <c r="N580" s="8" t="s">
        <v>3898</v>
      </c>
      <c r="O580" s="8" t="str">
        <f t="shared" si="57"/>
        <v>PDFを開く</v>
      </c>
      <c r="P580" s="8" t="s">
        <v>591</v>
      </c>
    </row>
    <row r="581" spans="1:16" ht="33.950000000000003" customHeight="1">
      <c r="A581" s="5" t="s">
        <v>582</v>
      </c>
      <c r="B581" s="5" t="s">
        <v>73</v>
      </c>
      <c r="C581" s="9" t="s">
        <v>583</v>
      </c>
      <c r="D581" s="5">
        <v>2</v>
      </c>
      <c r="E581" s="9" t="s">
        <v>3191</v>
      </c>
      <c r="F581" s="5" t="s">
        <v>2513</v>
      </c>
      <c r="G581" s="19" t="s">
        <v>3189</v>
      </c>
      <c r="H581" s="5"/>
      <c r="I581" s="9" t="s">
        <v>3305</v>
      </c>
      <c r="J581" s="5"/>
      <c r="K581" s="5">
        <v>220</v>
      </c>
      <c r="L581" s="9" t="s">
        <v>3899</v>
      </c>
      <c r="M581" s="5"/>
      <c r="N581" s="9" t="s">
        <v>3898</v>
      </c>
      <c r="O581" s="9" t="str">
        <f t="shared" si="57"/>
        <v>PDFを開く</v>
      </c>
      <c r="P581" s="9" t="s">
        <v>591</v>
      </c>
    </row>
    <row r="582" spans="1:16" ht="33.950000000000003" customHeight="1">
      <c r="A582" s="2" t="s">
        <v>582</v>
      </c>
      <c r="B582" s="2" t="s">
        <v>73</v>
      </c>
      <c r="C582" s="8" t="s">
        <v>583</v>
      </c>
      <c r="D582" s="2">
        <v>2</v>
      </c>
      <c r="E582" s="8" t="s">
        <v>3191</v>
      </c>
      <c r="F582" s="2" t="s">
        <v>2513</v>
      </c>
      <c r="G582" s="19" t="s">
        <v>3189</v>
      </c>
      <c r="H582" s="2"/>
      <c r="I582" s="8" t="s">
        <v>3305</v>
      </c>
      <c r="J582" s="2"/>
      <c r="K582" s="2">
        <v>20</v>
      </c>
      <c r="L582" s="8" t="s">
        <v>3900</v>
      </c>
      <c r="M582" s="2"/>
      <c r="N582" s="8" t="s">
        <v>3898</v>
      </c>
      <c r="O582" s="8" t="str">
        <f t="shared" si="57"/>
        <v>PDFを開く</v>
      </c>
      <c r="P582" s="8" t="s">
        <v>591</v>
      </c>
    </row>
    <row r="583" spans="1:16" ht="33.950000000000003" customHeight="1">
      <c r="A583" s="5" t="s">
        <v>582</v>
      </c>
      <c r="B583" s="5" t="s">
        <v>73</v>
      </c>
      <c r="C583" s="9" t="s">
        <v>583</v>
      </c>
      <c r="D583" s="5">
        <v>2</v>
      </c>
      <c r="E583" s="9" t="s">
        <v>3176</v>
      </c>
      <c r="F583" s="5" t="s">
        <v>86</v>
      </c>
      <c r="G583" s="5" t="s">
        <v>3177</v>
      </c>
      <c r="H583" s="5"/>
      <c r="I583" s="9" t="s">
        <v>3227</v>
      </c>
      <c r="J583" s="5">
        <v>2026</v>
      </c>
      <c r="K583" s="5">
        <v>897</v>
      </c>
      <c r="L583" s="9" t="s">
        <v>3889</v>
      </c>
      <c r="M583" s="5">
        <v>15.3</v>
      </c>
      <c r="N583" s="9" t="s">
        <v>3901</v>
      </c>
      <c r="O583" s="9" t="str">
        <f t="shared" si="57"/>
        <v>PDFを開く</v>
      </c>
      <c r="P583" s="9" t="s">
        <v>591</v>
      </c>
    </row>
    <row r="584" spans="1:16" ht="33.950000000000003" customHeight="1">
      <c r="A584" s="2" t="s">
        <v>582</v>
      </c>
      <c r="B584" s="2" t="s">
        <v>73</v>
      </c>
      <c r="C584" s="8" t="s">
        <v>583</v>
      </c>
      <c r="D584" s="2">
        <v>2</v>
      </c>
      <c r="E584" s="8" t="s">
        <v>3176</v>
      </c>
      <c r="F584" s="2" t="s">
        <v>86</v>
      </c>
      <c r="G584" s="2" t="s">
        <v>3177</v>
      </c>
      <c r="H584" s="2"/>
      <c r="I584" s="8" t="s">
        <v>3230</v>
      </c>
      <c r="J584" s="2">
        <v>2029</v>
      </c>
      <c r="K584" s="2">
        <v>1376</v>
      </c>
      <c r="L584" s="8" t="s">
        <v>3902</v>
      </c>
      <c r="M584" s="2">
        <v>15.3</v>
      </c>
      <c r="N584" s="8" t="s">
        <v>3901</v>
      </c>
      <c r="O584" s="8" t="str">
        <f t="shared" si="57"/>
        <v>PDFを開く</v>
      </c>
      <c r="P584" s="8" t="s">
        <v>591</v>
      </c>
    </row>
    <row r="585" spans="1:16" ht="33.950000000000003" customHeight="1">
      <c r="A585" s="5" t="s">
        <v>582</v>
      </c>
      <c r="B585" s="5" t="s">
        <v>73</v>
      </c>
      <c r="C585" s="9" t="s">
        <v>583</v>
      </c>
      <c r="D585" s="5">
        <v>2</v>
      </c>
      <c r="E585" s="9" t="s">
        <v>3184</v>
      </c>
      <c r="F585" s="5" t="s">
        <v>86</v>
      </c>
      <c r="G585" s="5" t="s">
        <v>3177</v>
      </c>
      <c r="H585" s="5"/>
      <c r="I585" s="9" t="s">
        <v>3227</v>
      </c>
      <c r="J585" s="5">
        <v>2026</v>
      </c>
      <c r="K585" s="5">
        <v>414</v>
      </c>
      <c r="L585" s="9" t="s">
        <v>3895</v>
      </c>
      <c r="M585" s="5">
        <v>5.5</v>
      </c>
      <c r="N585" s="9" t="s">
        <v>3903</v>
      </c>
      <c r="O585" s="9" t="str">
        <f t="shared" si="57"/>
        <v>PDFを開く</v>
      </c>
      <c r="P585" s="9" t="s">
        <v>591</v>
      </c>
    </row>
    <row r="586" spans="1:16" ht="33.950000000000003" customHeight="1">
      <c r="A586" s="2" t="s">
        <v>582</v>
      </c>
      <c r="B586" s="2" t="s">
        <v>73</v>
      </c>
      <c r="C586" s="8" t="s">
        <v>583</v>
      </c>
      <c r="D586" s="2">
        <v>2</v>
      </c>
      <c r="E586" s="8" t="s">
        <v>3184</v>
      </c>
      <c r="F586" s="2" t="s">
        <v>86</v>
      </c>
      <c r="G586" s="2" t="s">
        <v>3177</v>
      </c>
      <c r="H586" s="2"/>
      <c r="I586" s="8" t="s">
        <v>3230</v>
      </c>
      <c r="J586" s="2">
        <v>2029</v>
      </c>
      <c r="K586" s="2">
        <v>486</v>
      </c>
      <c r="L586" s="8" t="s">
        <v>3892</v>
      </c>
      <c r="M586" s="2">
        <v>5.5</v>
      </c>
      <c r="N586" s="8" t="s">
        <v>3903</v>
      </c>
      <c r="O586" s="8" t="str">
        <f t="shared" si="57"/>
        <v>PDFを開く</v>
      </c>
      <c r="P586" s="8" t="s">
        <v>591</v>
      </c>
    </row>
    <row r="587" spans="1:16" ht="33.950000000000003" customHeight="1">
      <c r="A587" s="5" t="s">
        <v>582</v>
      </c>
      <c r="B587" s="5" t="s">
        <v>73</v>
      </c>
      <c r="C587" s="9" t="s">
        <v>583</v>
      </c>
      <c r="D587" s="5">
        <v>2</v>
      </c>
      <c r="E587" s="9" t="s">
        <v>3188</v>
      </c>
      <c r="F587" s="5" t="s">
        <v>86</v>
      </c>
      <c r="G587" s="5" t="s">
        <v>3177</v>
      </c>
      <c r="H587" s="5"/>
      <c r="I587" s="9" t="s">
        <v>3227</v>
      </c>
      <c r="J587" s="5">
        <v>2026</v>
      </c>
      <c r="K587" s="5">
        <v>546</v>
      </c>
      <c r="L587" s="9" t="s">
        <v>3896</v>
      </c>
      <c r="M587" s="5">
        <v>5.7</v>
      </c>
      <c r="N587" s="9" t="s">
        <v>3904</v>
      </c>
      <c r="O587" s="9" t="str">
        <f t="shared" si="57"/>
        <v>PDFを開く</v>
      </c>
      <c r="P587" s="9" t="s">
        <v>591</v>
      </c>
    </row>
    <row r="588" spans="1:16" ht="33.950000000000003" customHeight="1">
      <c r="A588" s="2" t="s">
        <v>582</v>
      </c>
      <c r="B588" s="2" t="s">
        <v>73</v>
      </c>
      <c r="C588" s="8" t="s">
        <v>583</v>
      </c>
      <c r="D588" s="2">
        <v>2</v>
      </c>
      <c r="E588" s="8" t="s">
        <v>3188</v>
      </c>
      <c r="F588" s="2" t="s">
        <v>86</v>
      </c>
      <c r="G588" s="2" t="s">
        <v>3177</v>
      </c>
      <c r="H588" s="2"/>
      <c r="I588" s="8" t="s">
        <v>3230</v>
      </c>
      <c r="J588" s="2">
        <v>2029</v>
      </c>
      <c r="K588" s="2">
        <v>644</v>
      </c>
      <c r="L588" s="8" t="s">
        <v>3894</v>
      </c>
      <c r="M588" s="2">
        <v>5.7</v>
      </c>
      <c r="N588" s="8" t="s">
        <v>3904</v>
      </c>
      <c r="O588" s="8" t="str">
        <f t="shared" si="57"/>
        <v>PDFを開く</v>
      </c>
      <c r="P588" s="8" t="s">
        <v>591</v>
      </c>
    </row>
    <row r="589" spans="1:16" ht="33.950000000000003" customHeight="1">
      <c r="A589" s="5" t="s">
        <v>582</v>
      </c>
      <c r="B589" s="5" t="s">
        <v>73</v>
      </c>
      <c r="C589" s="9" t="s">
        <v>583</v>
      </c>
      <c r="D589" s="5">
        <v>2</v>
      </c>
      <c r="E589" s="9" t="s">
        <v>3191</v>
      </c>
      <c r="F589" s="5" t="s">
        <v>2513</v>
      </c>
      <c r="G589" s="5" t="s">
        <v>3177</v>
      </c>
      <c r="H589" s="5"/>
      <c r="I589" s="9" t="s">
        <v>3227</v>
      </c>
      <c r="J589" s="5">
        <v>2026</v>
      </c>
      <c r="K589" s="5">
        <v>198</v>
      </c>
      <c r="L589" s="9" t="s">
        <v>3897</v>
      </c>
      <c r="M589" s="5"/>
      <c r="N589" s="9" t="s">
        <v>3905</v>
      </c>
      <c r="O589" s="9" t="str">
        <f t="shared" si="57"/>
        <v>PDFを開く</v>
      </c>
      <c r="P589" s="9" t="s">
        <v>591</v>
      </c>
    </row>
    <row r="590" spans="1:16" ht="33.950000000000003" customHeight="1">
      <c r="A590" s="2" t="s">
        <v>582</v>
      </c>
      <c r="B590" s="2" t="s">
        <v>73</v>
      </c>
      <c r="C590" s="8" t="s">
        <v>583</v>
      </c>
      <c r="D590" s="2">
        <v>2</v>
      </c>
      <c r="E590" s="8" t="s">
        <v>3191</v>
      </c>
      <c r="F590" s="2" t="s">
        <v>2513</v>
      </c>
      <c r="G590" s="2" t="s">
        <v>3177</v>
      </c>
      <c r="H590" s="2"/>
      <c r="I590" s="8" t="s">
        <v>3230</v>
      </c>
      <c r="J590" s="2">
        <v>2029</v>
      </c>
      <c r="K590" s="2">
        <v>220</v>
      </c>
      <c r="L590" s="8" t="s">
        <v>3899</v>
      </c>
      <c r="M590" s="2"/>
      <c r="N590" s="8" t="s">
        <v>3905</v>
      </c>
      <c r="O590" s="8" t="str">
        <f t="shared" si="57"/>
        <v>PDFを開く</v>
      </c>
      <c r="P590" s="8" t="s">
        <v>591</v>
      </c>
    </row>
    <row r="591" spans="1:16" ht="33.950000000000003" customHeight="1">
      <c r="A591" s="5" t="s">
        <v>592</v>
      </c>
      <c r="B591" s="5" t="s">
        <v>73</v>
      </c>
      <c r="C591" s="9" t="s">
        <v>593</v>
      </c>
      <c r="D591" s="5">
        <v>2</v>
      </c>
      <c r="E591" s="9" t="s">
        <v>3176</v>
      </c>
      <c r="F591" s="5" t="s">
        <v>86</v>
      </c>
      <c r="G591" s="5" t="s">
        <v>3177</v>
      </c>
      <c r="H591" s="5" t="s">
        <v>3178</v>
      </c>
      <c r="I591" s="9" t="s">
        <v>3179</v>
      </c>
      <c r="J591" s="5">
        <v>2026</v>
      </c>
      <c r="K591" s="5">
        <v>1030</v>
      </c>
      <c r="L591" s="9" t="s">
        <v>3906</v>
      </c>
      <c r="M591" s="5">
        <v>14.3</v>
      </c>
      <c r="N591" s="9" t="s">
        <v>3907</v>
      </c>
      <c r="O591" s="9" t="str">
        <f t="shared" ref="O591:O598" si="58">HYPERLINK("https://seichotoushi-hojo.jp/assets/pdf/koufu/outline_155.pdf","PDFを開く")</f>
        <v>PDFを開く</v>
      </c>
      <c r="P591" s="9" t="s">
        <v>600</v>
      </c>
    </row>
    <row r="592" spans="1:16" ht="33.950000000000003" customHeight="1">
      <c r="A592" s="2" t="s">
        <v>592</v>
      </c>
      <c r="B592" s="2" t="s">
        <v>73</v>
      </c>
      <c r="C592" s="8" t="s">
        <v>593</v>
      </c>
      <c r="D592" s="2">
        <v>2</v>
      </c>
      <c r="E592" s="8" t="s">
        <v>3176</v>
      </c>
      <c r="F592" s="2" t="s">
        <v>86</v>
      </c>
      <c r="G592" s="2" t="s">
        <v>3177</v>
      </c>
      <c r="H592" s="2" t="s">
        <v>3178</v>
      </c>
      <c r="I592" s="8" t="s">
        <v>3182</v>
      </c>
      <c r="J592" s="2">
        <v>2029</v>
      </c>
      <c r="K592" s="2">
        <v>1538</v>
      </c>
      <c r="L592" s="8" t="s">
        <v>3908</v>
      </c>
      <c r="M592" s="2">
        <v>14.3</v>
      </c>
      <c r="N592" s="8" t="s">
        <v>3907</v>
      </c>
      <c r="O592" s="8" t="str">
        <f t="shared" si="58"/>
        <v>PDFを開く</v>
      </c>
      <c r="P592" s="8" t="s">
        <v>600</v>
      </c>
    </row>
    <row r="593" spans="1:16" ht="33.950000000000003" customHeight="1">
      <c r="A593" s="5" t="s">
        <v>592</v>
      </c>
      <c r="B593" s="5" t="s">
        <v>73</v>
      </c>
      <c r="C593" s="9" t="s">
        <v>593</v>
      </c>
      <c r="D593" s="5">
        <v>2</v>
      </c>
      <c r="E593" s="9" t="s">
        <v>3184</v>
      </c>
      <c r="F593" s="5" t="s">
        <v>86</v>
      </c>
      <c r="G593" s="5" t="s">
        <v>3177</v>
      </c>
      <c r="H593" s="5" t="s">
        <v>3178</v>
      </c>
      <c r="I593" s="9" t="s">
        <v>3179</v>
      </c>
      <c r="J593" s="5">
        <v>2026</v>
      </c>
      <c r="K593" s="5">
        <v>635</v>
      </c>
      <c r="L593" s="9" t="s">
        <v>3909</v>
      </c>
      <c r="M593" s="5">
        <v>4.5999999999999996</v>
      </c>
      <c r="N593" s="9" t="s">
        <v>3910</v>
      </c>
      <c r="O593" s="9" t="str">
        <f t="shared" si="58"/>
        <v>PDFを開く</v>
      </c>
      <c r="P593" s="9" t="s">
        <v>600</v>
      </c>
    </row>
    <row r="594" spans="1:16" ht="33.950000000000003" customHeight="1">
      <c r="A594" s="2" t="s">
        <v>592</v>
      </c>
      <c r="B594" s="2" t="s">
        <v>73</v>
      </c>
      <c r="C594" s="8" t="s">
        <v>593</v>
      </c>
      <c r="D594" s="2">
        <v>2</v>
      </c>
      <c r="E594" s="8" t="s">
        <v>3184</v>
      </c>
      <c r="F594" s="2" t="s">
        <v>86</v>
      </c>
      <c r="G594" s="2" t="s">
        <v>3177</v>
      </c>
      <c r="H594" s="2" t="s">
        <v>3178</v>
      </c>
      <c r="I594" s="8" t="s">
        <v>3182</v>
      </c>
      <c r="J594" s="2">
        <v>2029</v>
      </c>
      <c r="K594" s="2">
        <v>727</v>
      </c>
      <c r="L594" s="8" t="s">
        <v>3911</v>
      </c>
      <c r="M594" s="2">
        <v>4.5999999999999996</v>
      </c>
      <c r="N594" s="8" t="s">
        <v>3910</v>
      </c>
      <c r="O594" s="8" t="str">
        <f t="shared" si="58"/>
        <v>PDFを開く</v>
      </c>
      <c r="P594" s="8" t="s">
        <v>600</v>
      </c>
    </row>
    <row r="595" spans="1:16" ht="33.950000000000003" customHeight="1">
      <c r="A595" s="5" t="s">
        <v>592</v>
      </c>
      <c r="B595" s="5" t="s">
        <v>73</v>
      </c>
      <c r="C595" s="9" t="s">
        <v>593</v>
      </c>
      <c r="D595" s="5">
        <v>2</v>
      </c>
      <c r="E595" s="9" t="s">
        <v>3188</v>
      </c>
      <c r="F595" s="5" t="s">
        <v>86</v>
      </c>
      <c r="G595" s="5" t="s">
        <v>3177</v>
      </c>
      <c r="H595" s="5" t="s">
        <v>3178</v>
      </c>
      <c r="I595" s="9" t="s">
        <v>3179</v>
      </c>
      <c r="J595" s="5">
        <v>2026</v>
      </c>
      <c r="K595" s="5">
        <v>1500</v>
      </c>
      <c r="L595" s="9" t="s">
        <v>3439</v>
      </c>
      <c r="M595" s="5">
        <v>4</v>
      </c>
      <c r="N595" s="9" t="s">
        <v>3912</v>
      </c>
      <c r="O595" s="9" t="str">
        <f t="shared" si="58"/>
        <v>PDFを開く</v>
      </c>
      <c r="P595" s="9" t="s">
        <v>600</v>
      </c>
    </row>
    <row r="596" spans="1:16" ht="33.950000000000003" customHeight="1">
      <c r="A596" s="2" t="s">
        <v>592</v>
      </c>
      <c r="B596" s="2" t="s">
        <v>73</v>
      </c>
      <c r="C596" s="8" t="s">
        <v>593</v>
      </c>
      <c r="D596" s="2">
        <v>2</v>
      </c>
      <c r="E596" s="8" t="s">
        <v>3188</v>
      </c>
      <c r="F596" s="2" t="s">
        <v>86</v>
      </c>
      <c r="G596" s="2" t="s">
        <v>3177</v>
      </c>
      <c r="H596" s="2" t="s">
        <v>3178</v>
      </c>
      <c r="I596" s="8" t="s">
        <v>3182</v>
      </c>
      <c r="J596" s="2">
        <v>2029</v>
      </c>
      <c r="K596" s="2">
        <v>1687</v>
      </c>
      <c r="L596" s="8" t="s">
        <v>3913</v>
      </c>
      <c r="M596" s="2">
        <v>4</v>
      </c>
      <c r="N596" s="8" t="s">
        <v>3912</v>
      </c>
      <c r="O596" s="8" t="str">
        <f t="shared" si="58"/>
        <v>PDFを開く</v>
      </c>
      <c r="P596" s="8" t="s">
        <v>600</v>
      </c>
    </row>
    <row r="597" spans="1:16" ht="33.950000000000003" customHeight="1">
      <c r="A597" s="5" t="s">
        <v>592</v>
      </c>
      <c r="B597" s="5" t="s">
        <v>73</v>
      </c>
      <c r="C597" s="9" t="s">
        <v>593</v>
      </c>
      <c r="D597" s="5">
        <v>2</v>
      </c>
      <c r="E597" s="9" t="s">
        <v>3191</v>
      </c>
      <c r="F597" s="5" t="s">
        <v>2513</v>
      </c>
      <c r="G597" s="5" t="s">
        <v>3177</v>
      </c>
      <c r="H597" s="5" t="s">
        <v>3178</v>
      </c>
      <c r="I597" s="9" t="s">
        <v>3179</v>
      </c>
      <c r="J597" s="5">
        <v>2026</v>
      </c>
      <c r="K597" s="5">
        <v>1099</v>
      </c>
      <c r="L597" s="9" t="s">
        <v>3914</v>
      </c>
      <c r="M597" s="5"/>
      <c r="N597" s="9" t="s">
        <v>3915</v>
      </c>
      <c r="O597" s="9" t="str">
        <f t="shared" si="58"/>
        <v>PDFを開く</v>
      </c>
      <c r="P597" s="9" t="s">
        <v>600</v>
      </c>
    </row>
    <row r="598" spans="1:16" ht="33.950000000000003" customHeight="1">
      <c r="A598" s="2" t="s">
        <v>592</v>
      </c>
      <c r="B598" s="2" t="s">
        <v>73</v>
      </c>
      <c r="C598" s="8" t="s">
        <v>593</v>
      </c>
      <c r="D598" s="2">
        <v>2</v>
      </c>
      <c r="E598" s="8" t="s">
        <v>3191</v>
      </c>
      <c r="F598" s="2" t="s">
        <v>2513</v>
      </c>
      <c r="G598" s="2" t="s">
        <v>3177</v>
      </c>
      <c r="H598" s="2" t="s">
        <v>3178</v>
      </c>
      <c r="I598" s="8" t="s">
        <v>3182</v>
      </c>
      <c r="J598" s="2">
        <v>2029</v>
      </c>
      <c r="K598" s="2">
        <v>1125</v>
      </c>
      <c r="L598" s="8" t="s">
        <v>3916</v>
      </c>
      <c r="M598" s="2"/>
      <c r="N598" s="8" t="s">
        <v>3915</v>
      </c>
      <c r="O598" s="8" t="str">
        <f t="shared" si="58"/>
        <v>PDFを開く</v>
      </c>
      <c r="P598" s="8" t="s">
        <v>600</v>
      </c>
    </row>
    <row r="599" spans="1:16" ht="33.950000000000003" customHeight="1">
      <c r="A599" s="5" t="s">
        <v>601</v>
      </c>
      <c r="B599" s="5" t="s">
        <v>73</v>
      </c>
      <c r="C599" s="9" t="s">
        <v>602</v>
      </c>
      <c r="D599" s="5">
        <v>2</v>
      </c>
      <c r="E599" s="9" t="s">
        <v>3176</v>
      </c>
      <c r="F599" s="5" t="s">
        <v>86</v>
      </c>
      <c r="G599" s="5" t="s">
        <v>3177</v>
      </c>
      <c r="H599" s="5" t="s">
        <v>3178</v>
      </c>
      <c r="I599" s="9" t="s">
        <v>3574</v>
      </c>
      <c r="J599" s="5">
        <v>2026</v>
      </c>
      <c r="K599" s="5">
        <v>280</v>
      </c>
      <c r="L599" s="9" t="s">
        <v>3353</v>
      </c>
      <c r="M599" s="5">
        <v>14.8</v>
      </c>
      <c r="N599" s="9" t="s">
        <v>3917</v>
      </c>
      <c r="O599" s="9" t="str">
        <f t="shared" ref="O599:O606" si="59">HYPERLINK("https://seichotoushi-hojo.jp/assets/pdf/koufu/outline_156.pdf","PDFを開く")</f>
        <v>PDFを開く</v>
      </c>
      <c r="P599" s="9" t="s">
        <v>608</v>
      </c>
    </row>
    <row r="600" spans="1:16" ht="33.950000000000003" customHeight="1">
      <c r="A600" s="2" t="s">
        <v>601</v>
      </c>
      <c r="B600" s="2" t="s">
        <v>73</v>
      </c>
      <c r="C600" s="8" t="s">
        <v>602</v>
      </c>
      <c r="D600" s="2">
        <v>2</v>
      </c>
      <c r="E600" s="8" t="s">
        <v>3176</v>
      </c>
      <c r="F600" s="2" t="s">
        <v>86</v>
      </c>
      <c r="G600" s="2" t="s">
        <v>3177</v>
      </c>
      <c r="H600" s="2" t="s">
        <v>3178</v>
      </c>
      <c r="I600" s="8" t="s">
        <v>3577</v>
      </c>
      <c r="J600" s="2">
        <v>2029</v>
      </c>
      <c r="K600" s="2">
        <v>424</v>
      </c>
      <c r="L600" s="8" t="s">
        <v>3918</v>
      </c>
      <c r="M600" s="2">
        <v>14.8</v>
      </c>
      <c r="N600" s="8" t="s">
        <v>3917</v>
      </c>
      <c r="O600" s="8" t="str">
        <f t="shared" si="59"/>
        <v>PDFを開く</v>
      </c>
      <c r="P600" s="8" t="s">
        <v>608</v>
      </c>
    </row>
    <row r="601" spans="1:16" ht="33.950000000000003" customHeight="1">
      <c r="A601" s="5" t="s">
        <v>601</v>
      </c>
      <c r="B601" s="5" t="s">
        <v>73</v>
      </c>
      <c r="C601" s="9" t="s">
        <v>602</v>
      </c>
      <c r="D601" s="5">
        <v>2</v>
      </c>
      <c r="E601" s="9" t="s">
        <v>3184</v>
      </c>
      <c r="F601" s="5" t="s">
        <v>86</v>
      </c>
      <c r="G601" s="5" t="s">
        <v>3177</v>
      </c>
      <c r="H601" s="5" t="s">
        <v>3178</v>
      </c>
      <c r="I601" s="9" t="s">
        <v>3574</v>
      </c>
      <c r="J601" s="5">
        <v>2026</v>
      </c>
      <c r="K601" s="5">
        <v>232</v>
      </c>
      <c r="L601" s="9" t="s">
        <v>3778</v>
      </c>
      <c r="M601" s="5">
        <v>8.1999999999999993</v>
      </c>
      <c r="N601" s="9" t="s">
        <v>3919</v>
      </c>
      <c r="O601" s="9" t="str">
        <f t="shared" si="59"/>
        <v>PDFを開く</v>
      </c>
      <c r="P601" s="9" t="s">
        <v>608</v>
      </c>
    </row>
    <row r="602" spans="1:16" ht="33.950000000000003" customHeight="1">
      <c r="A602" s="2" t="s">
        <v>601</v>
      </c>
      <c r="B602" s="2" t="s">
        <v>73</v>
      </c>
      <c r="C602" s="8" t="s">
        <v>602</v>
      </c>
      <c r="D602" s="2">
        <v>2</v>
      </c>
      <c r="E602" s="8" t="s">
        <v>3184</v>
      </c>
      <c r="F602" s="2" t="s">
        <v>86</v>
      </c>
      <c r="G602" s="2" t="s">
        <v>3177</v>
      </c>
      <c r="H602" s="2" t="s">
        <v>3178</v>
      </c>
      <c r="I602" s="8" t="s">
        <v>3577</v>
      </c>
      <c r="J602" s="2">
        <v>2029</v>
      </c>
      <c r="K602" s="2">
        <v>293</v>
      </c>
      <c r="L602" s="8" t="s">
        <v>3920</v>
      </c>
      <c r="M602" s="2">
        <v>8.1999999999999993</v>
      </c>
      <c r="N602" s="8" t="s">
        <v>3919</v>
      </c>
      <c r="O602" s="8" t="str">
        <f t="shared" si="59"/>
        <v>PDFを開く</v>
      </c>
      <c r="P602" s="8" t="s">
        <v>608</v>
      </c>
    </row>
    <row r="603" spans="1:16" ht="33.950000000000003" customHeight="1">
      <c r="A603" s="5" t="s">
        <v>601</v>
      </c>
      <c r="B603" s="5" t="s">
        <v>73</v>
      </c>
      <c r="C603" s="9" t="s">
        <v>602</v>
      </c>
      <c r="D603" s="5">
        <v>2</v>
      </c>
      <c r="E603" s="9" t="s">
        <v>3188</v>
      </c>
      <c r="F603" s="5" t="s">
        <v>86</v>
      </c>
      <c r="G603" s="5" t="s">
        <v>3177</v>
      </c>
      <c r="H603" s="5" t="s">
        <v>3178</v>
      </c>
      <c r="I603" s="9" t="s">
        <v>3574</v>
      </c>
      <c r="J603" s="5">
        <v>2026</v>
      </c>
      <c r="K603" s="5">
        <v>1342</v>
      </c>
      <c r="L603" s="9" t="s">
        <v>3921</v>
      </c>
      <c r="M603" s="5">
        <v>7.7</v>
      </c>
      <c r="N603" s="9" t="s">
        <v>3922</v>
      </c>
      <c r="O603" s="9" t="str">
        <f t="shared" si="59"/>
        <v>PDFを開く</v>
      </c>
      <c r="P603" s="9" t="s">
        <v>608</v>
      </c>
    </row>
    <row r="604" spans="1:16" ht="33.950000000000003" customHeight="1">
      <c r="A604" s="2" t="s">
        <v>601</v>
      </c>
      <c r="B604" s="2" t="s">
        <v>73</v>
      </c>
      <c r="C604" s="8" t="s">
        <v>602</v>
      </c>
      <c r="D604" s="2">
        <v>2</v>
      </c>
      <c r="E604" s="8" t="s">
        <v>3188</v>
      </c>
      <c r="F604" s="2" t="s">
        <v>86</v>
      </c>
      <c r="G604" s="2" t="s">
        <v>3177</v>
      </c>
      <c r="H604" s="2" t="s">
        <v>3178</v>
      </c>
      <c r="I604" s="8" t="s">
        <v>3577</v>
      </c>
      <c r="J604" s="2">
        <v>2029</v>
      </c>
      <c r="K604" s="2">
        <v>1676</v>
      </c>
      <c r="L604" s="8" t="s">
        <v>3923</v>
      </c>
      <c r="M604" s="2">
        <v>7.7</v>
      </c>
      <c r="N604" s="8" t="s">
        <v>3922</v>
      </c>
      <c r="O604" s="8" t="str">
        <f t="shared" si="59"/>
        <v>PDFを開く</v>
      </c>
      <c r="P604" s="8" t="s">
        <v>608</v>
      </c>
    </row>
    <row r="605" spans="1:16" ht="33.950000000000003" customHeight="1">
      <c r="A605" s="5" t="s">
        <v>601</v>
      </c>
      <c r="B605" s="5" t="s">
        <v>73</v>
      </c>
      <c r="C605" s="9" t="s">
        <v>602</v>
      </c>
      <c r="D605" s="5">
        <v>2</v>
      </c>
      <c r="E605" s="9" t="s">
        <v>3191</v>
      </c>
      <c r="F605" s="5" t="s">
        <v>2513</v>
      </c>
      <c r="G605" s="5" t="s">
        <v>3177</v>
      </c>
      <c r="H605" s="5" t="s">
        <v>3178</v>
      </c>
      <c r="I605" s="9" t="s">
        <v>3574</v>
      </c>
      <c r="J605" s="5">
        <v>2026</v>
      </c>
      <c r="K605" s="5">
        <v>306</v>
      </c>
      <c r="L605" s="9" t="s">
        <v>3924</v>
      </c>
      <c r="M605" s="5"/>
      <c r="N605" s="9" t="s">
        <v>3925</v>
      </c>
      <c r="O605" s="9" t="str">
        <f t="shared" si="59"/>
        <v>PDFを開く</v>
      </c>
      <c r="P605" s="9" t="s">
        <v>608</v>
      </c>
    </row>
    <row r="606" spans="1:16" ht="33.950000000000003" customHeight="1">
      <c r="A606" s="2" t="s">
        <v>601</v>
      </c>
      <c r="B606" s="2" t="s">
        <v>73</v>
      </c>
      <c r="C606" s="8" t="s">
        <v>602</v>
      </c>
      <c r="D606" s="2">
        <v>2</v>
      </c>
      <c r="E606" s="8" t="s">
        <v>3191</v>
      </c>
      <c r="F606" s="2" t="s">
        <v>2513</v>
      </c>
      <c r="G606" s="2" t="s">
        <v>3177</v>
      </c>
      <c r="H606" s="2" t="s">
        <v>3178</v>
      </c>
      <c r="I606" s="8" t="s">
        <v>3577</v>
      </c>
      <c r="J606" s="2">
        <v>2029</v>
      </c>
      <c r="K606" s="2">
        <v>315</v>
      </c>
      <c r="L606" s="8" t="s">
        <v>3826</v>
      </c>
      <c r="M606" s="2"/>
      <c r="N606" s="8" t="s">
        <v>3925</v>
      </c>
      <c r="O606" s="8" t="str">
        <f t="shared" si="59"/>
        <v>PDFを開く</v>
      </c>
      <c r="P606" s="8" t="s">
        <v>608</v>
      </c>
    </row>
    <row r="607" spans="1:16" ht="33.950000000000003" customHeight="1">
      <c r="A607" s="5" t="s">
        <v>609</v>
      </c>
      <c r="B607" s="5" t="s">
        <v>73</v>
      </c>
      <c r="C607" s="9" t="s">
        <v>610</v>
      </c>
      <c r="D607" s="5">
        <v>2</v>
      </c>
      <c r="E607" s="9" t="s">
        <v>3176</v>
      </c>
      <c r="F607" s="5" t="s">
        <v>86</v>
      </c>
      <c r="G607" s="5" t="s">
        <v>3177</v>
      </c>
      <c r="H607" s="5" t="s">
        <v>3178</v>
      </c>
      <c r="I607" s="9" t="s">
        <v>3179</v>
      </c>
      <c r="J607" s="5">
        <v>2026</v>
      </c>
      <c r="K607" s="5">
        <v>1145</v>
      </c>
      <c r="L607" s="9" t="s">
        <v>3926</v>
      </c>
      <c r="M607" s="5">
        <v>10.199999999999999</v>
      </c>
      <c r="N607" s="9" t="s">
        <v>3927</v>
      </c>
      <c r="O607" s="9" t="str">
        <f t="shared" ref="O607:O614" si="60">HYPERLINK("https://seichotoushi-hojo.jp/assets/pdf/koufu/outline_157.pdf","PDFを開く")</f>
        <v>PDFを開く</v>
      </c>
      <c r="P607" s="9" t="s">
        <v>616</v>
      </c>
    </row>
    <row r="608" spans="1:16" ht="33.950000000000003" customHeight="1">
      <c r="A608" s="2" t="s">
        <v>609</v>
      </c>
      <c r="B608" s="2" t="s">
        <v>73</v>
      </c>
      <c r="C608" s="8" t="s">
        <v>610</v>
      </c>
      <c r="D608" s="2">
        <v>2</v>
      </c>
      <c r="E608" s="8" t="s">
        <v>3176</v>
      </c>
      <c r="F608" s="2" t="s">
        <v>86</v>
      </c>
      <c r="G608" s="2" t="s">
        <v>3177</v>
      </c>
      <c r="H608" s="2" t="s">
        <v>3178</v>
      </c>
      <c r="I608" s="8" t="s">
        <v>3182</v>
      </c>
      <c r="J608" s="2">
        <v>2029</v>
      </c>
      <c r="K608" s="2">
        <v>1531</v>
      </c>
      <c r="L608" s="8" t="s">
        <v>3928</v>
      </c>
      <c r="M608" s="2">
        <v>10.199999999999999</v>
      </c>
      <c r="N608" s="8" t="s">
        <v>3927</v>
      </c>
      <c r="O608" s="8" t="str">
        <f t="shared" si="60"/>
        <v>PDFを開く</v>
      </c>
      <c r="P608" s="8" t="s">
        <v>616</v>
      </c>
    </row>
    <row r="609" spans="1:16" ht="33.950000000000003" customHeight="1">
      <c r="A609" s="5" t="s">
        <v>609</v>
      </c>
      <c r="B609" s="5" t="s">
        <v>73</v>
      </c>
      <c r="C609" s="9" t="s">
        <v>610</v>
      </c>
      <c r="D609" s="5">
        <v>2</v>
      </c>
      <c r="E609" s="9" t="s">
        <v>3184</v>
      </c>
      <c r="F609" s="5" t="s">
        <v>86</v>
      </c>
      <c r="G609" s="5" t="s">
        <v>3177</v>
      </c>
      <c r="H609" s="5" t="s">
        <v>3178</v>
      </c>
      <c r="I609" s="9" t="s">
        <v>3179</v>
      </c>
      <c r="J609" s="5">
        <v>2026</v>
      </c>
      <c r="K609" s="5">
        <v>470</v>
      </c>
      <c r="L609" s="9" t="s">
        <v>3768</v>
      </c>
      <c r="M609" s="5">
        <v>6</v>
      </c>
      <c r="N609" s="9" t="s">
        <v>3929</v>
      </c>
      <c r="O609" s="9" t="str">
        <f t="shared" si="60"/>
        <v>PDFを開く</v>
      </c>
      <c r="P609" s="9" t="s">
        <v>616</v>
      </c>
    </row>
    <row r="610" spans="1:16" ht="33.950000000000003" customHeight="1">
      <c r="A610" s="2" t="s">
        <v>609</v>
      </c>
      <c r="B610" s="2" t="s">
        <v>73</v>
      </c>
      <c r="C610" s="8" t="s">
        <v>610</v>
      </c>
      <c r="D610" s="2">
        <v>2</v>
      </c>
      <c r="E610" s="8" t="s">
        <v>3184</v>
      </c>
      <c r="F610" s="2" t="s">
        <v>86</v>
      </c>
      <c r="G610" s="2" t="s">
        <v>3177</v>
      </c>
      <c r="H610" s="2" t="s">
        <v>3178</v>
      </c>
      <c r="I610" s="8" t="s">
        <v>3182</v>
      </c>
      <c r="J610" s="2">
        <v>2029</v>
      </c>
      <c r="K610" s="2">
        <v>560</v>
      </c>
      <c r="L610" s="8" t="s">
        <v>3637</v>
      </c>
      <c r="M610" s="2">
        <v>6</v>
      </c>
      <c r="N610" s="8" t="s">
        <v>3929</v>
      </c>
      <c r="O610" s="8" t="str">
        <f t="shared" si="60"/>
        <v>PDFを開く</v>
      </c>
      <c r="P610" s="8" t="s">
        <v>616</v>
      </c>
    </row>
    <row r="611" spans="1:16" ht="33.950000000000003" customHeight="1">
      <c r="A611" s="5" t="s">
        <v>609</v>
      </c>
      <c r="B611" s="5" t="s">
        <v>73</v>
      </c>
      <c r="C611" s="9" t="s">
        <v>610</v>
      </c>
      <c r="D611" s="5">
        <v>2</v>
      </c>
      <c r="E611" s="9" t="s">
        <v>3188</v>
      </c>
      <c r="F611" s="5" t="s">
        <v>86</v>
      </c>
      <c r="G611" s="19" t="s">
        <v>3189</v>
      </c>
      <c r="H611" s="5" t="s">
        <v>3178</v>
      </c>
      <c r="I611" s="9"/>
      <c r="J611" s="5"/>
      <c r="K611" s="5"/>
      <c r="L611" s="9"/>
      <c r="M611" s="5">
        <v>6</v>
      </c>
      <c r="N611" s="9" t="s">
        <v>3930</v>
      </c>
      <c r="O611" s="9" t="str">
        <f t="shared" si="60"/>
        <v>PDFを開く</v>
      </c>
      <c r="P611" s="9" t="s">
        <v>616</v>
      </c>
    </row>
    <row r="612" spans="1:16" ht="33.950000000000003" customHeight="1">
      <c r="A612" s="2" t="s">
        <v>609</v>
      </c>
      <c r="B612" s="2" t="s">
        <v>73</v>
      </c>
      <c r="C612" s="8" t="s">
        <v>610</v>
      </c>
      <c r="D612" s="2">
        <v>2</v>
      </c>
      <c r="E612" s="8" t="s">
        <v>3191</v>
      </c>
      <c r="F612" s="2" t="s">
        <v>2513</v>
      </c>
      <c r="G612" s="2" t="s">
        <v>3177</v>
      </c>
      <c r="H612" s="2" t="s">
        <v>3178</v>
      </c>
      <c r="I612" s="8" t="s">
        <v>3179</v>
      </c>
      <c r="J612" s="2">
        <v>2026</v>
      </c>
      <c r="K612" s="2">
        <v>363</v>
      </c>
      <c r="L612" s="8" t="s">
        <v>3931</v>
      </c>
      <c r="M612" s="2"/>
      <c r="N612" s="8" t="s">
        <v>3932</v>
      </c>
      <c r="O612" s="8" t="str">
        <f t="shared" si="60"/>
        <v>PDFを開く</v>
      </c>
      <c r="P612" s="8" t="s">
        <v>616</v>
      </c>
    </row>
    <row r="613" spans="1:16" ht="33.950000000000003" customHeight="1">
      <c r="A613" s="5" t="s">
        <v>609</v>
      </c>
      <c r="B613" s="5" t="s">
        <v>73</v>
      </c>
      <c r="C613" s="9" t="s">
        <v>610</v>
      </c>
      <c r="D613" s="5">
        <v>2</v>
      </c>
      <c r="E613" s="9" t="s">
        <v>3191</v>
      </c>
      <c r="F613" s="5" t="s">
        <v>2513</v>
      </c>
      <c r="G613" s="5" t="s">
        <v>3177</v>
      </c>
      <c r="H613" s="5" t="s">
        <v>3178</v>
      </c>
      <c r="I613" s="9" t="s">
        <v>3182</v>
      </c>
      <c r="J613" s="5">
        <v>2029</v>
      </c>
      <c r="K613" s="5">
        <v>370</v>
      </c>
      <c r="L613" s="9" t="s">
        <v>3933</v>
      </c>
      <c r="M613" s="5"/>
      <c r="N613" s="9" t="s">
        <v>3932</v>
      </c>
      <c r="O613" s="9" t="str">
        <f t="shared" si="60"/>
        <v>PDFを開く</v>
      </c>
      <c r="P613" s="9" t="s">
        <v>616</v>
      </c>
    </row>
    <row r="614" spans="1:16" ht="33.950000000000003" customHeight="1">
      <c r="A614" s="2" t="s">
        <v>609</v>
      </c>
      <c r="B614" s="2" t="s">
        <v>73</v>
      </c>
      <c r="C614" s="8" t="s">
        <v>610</v>
      </c>
      <c r="D614" s="2">
        <v>3</v>
      </c>
      <c r="E614" s="8" t="s">
        <v>3176</v>
      </c>
      <c r="F614" s="2"/>
      <c r="G614" s="19" t="s">
        <v>3189</v>
      </c>
      <c r="H614" s="2"/>
      <c r="I614" s="8"/>
      <c r="J614" s="2"/>
      <c r="K614" s="2"/>
      <c r="L614" s="8"/>
      <c r="M614" s="2"/>
      <c r="N614" s="8" t="s">
        <v>3934</v>
      </c>
      <c r="O614" s="8" t="str">
        <f t="shared" si="60"/>
        <v>PDFを開く</v>
      </c>
      <c r="P614" s="8" t="s">
        <v>616</v>
      </c>
    </row>
    <row r="615" spans="1:16" ht="33.950000000000003" customHeight="1">
      <c r="A615" s="5" t="s">
        <v>617</v>
      </c>
      <c r="B615" s="5" t="s">
        <v>73</v>
      </c>
      <c r="C615" s="9" t="s">
        <v>618</v>
      </c>
      <c r="D615" s="5">
        <v>2</v>
      </c>
      <c r="E615" s="9" t="s">
        <v>3176</v>
      </c>
      <c r="F615" s="5" t="s">
        <v>86</v>
      </c>
      <c r="G615" s="5" t="s">
        <v>3177</v>
      </c>
      <c r="H615" s="5" t="s">
        <v>3178</v>
      </c>
      <c r="I615" s="9" t="s">
        <v>3259</v>
      </c>
      <c r="J615" s="5">
        <v>2027</v>
      </c>
      <c r="K615" s="5">
        <v>1892</v>
      </c>
      <c r="L615" s="9" t="s">
        <v>3935</v>
      </c>
      <c r="M615" s="5">
        <v>12.6</v>
      </c>
      <c r="N615" s="9" t="s">
        <v>3936</v>
      </c>
      <c r="O615" s="9" t="str">
        <f t="shared" ref="O615:O622" si="61">HYPERLINK("https://seichotoushi-hojo.jp/assets/pdf/koufu/outline_158.pdf","PDFを開く")</f>
        <v>PDFを開く</v>
      </c>
      <c r="P615" s="9" t="s">
        <v>624</v>
      </c>
    </row>
    <row r="616" spans="1:16" ht="33.950000000000003" customHeight="1">
      <c r="A616" s="2" t="s">
        <v>617</v>
      </c>
      <c r="B616" s="2" t="s">
        <v>73</v>
      </c>
      <c r="C616" s="8" t="s">
        <v>618</v>
      </c>
      <c r="D616" s="2">
        <v>2</v>
      </c>
      <c r="E616" s="8" t="s">
        <v>3176</v>
      </c>
      <c r="F616" s="2" t="s">
        <v>86</v>
      </c>
      <c r="G616" s="2" t="s">
        <v>3177</v>
      </c>
      <c r="H616" s="2" t="s">
        <v>3178</v>
      </c>
      <c r="I616" s="8" t="s">
        <v>3262</v>
      </c>
      <c r="J616" s="2">
        <v>2030</v>
      </c>
      <c r="K616" s="2">
        <v>2699</v>
      </c>
      <c r="L616" s="8" t="s">
        <v>3937</v>
      </c>
      <c r="M616" s="2">
        <v>12.6</v>
      </c>
      <c r="N616" s="8" t="s">
        <v>3936</v>
      </c>
      <c r="O616" s="8" t="str">
        <f t="shared" si="61"/>
        <v>PDFを開く</v>
      </c>
      <c r="P616" s="8" t="s">
        <v>624</v>
      </c>
    </row>
    <row r="617" spans="1:16" ht="33.950000000000003" customHeight="1">
      <c r="A617" s="5" t="s">
        <v>617</v>
      </c>
      <c r="B617" s="5" t="s">
        <v>73</v>
      </c>
      <c r="C617" s="9" t="s">
        <v>618</v>
      </c>
      <c r="D617" s="5">
        <v>2</v>
      </c>
      <c r="E617" s="9" t="s">
        <v>3184</v>
      </c>
      <c r="F617" s="5" t="s">
        <v>86</v>
      </c>
      <c r="G617" s="5" t="s">
        <v>3177</v>
      </c>
      <c r="H617" s="5" t="s">
        <v>3178</v>
      </c>
      <c r="I617" s="9" t="s">
        <v>3259</v>
      </c>
      <c r="J617" s="5">
        <v>2027</v>
      </c>
      <c r="K617" s="5">
        <v>483</v>
      </c>
      <c r="L617" s="9" t="s">
        <v>3938</v>
      </c>
      <c r="M617" s="5">
        <v>5.5</v>
      </c>
      <c r="N617" s="9" t="s">
        <v>3939</v>
      </c>
      <c r="O617" s="9" t="str">
        <f t="shared" si="61"/>
        <v>PDFを開く</v>
      </c>
      <c r="P617" s="9" t="s">
        <v>624</v>
      </c>
    </row>
    <row r="618" spans="1:16" ht="33.950000000000003" customHeight="1">
      <c r="A618" s="2" t="s">
        <v>617</v>
      </c>
      <c r="B618" s="2" t="s">
        <v>73</v>
      </c>
      <c r="C618" s="8" t="s">
        <v>618</v>
      </c>
      <c r="D618" s="2">
        <v>2</v>
      </c>
      <c r="E618" s="8" t="s">
        <v>3184</v>
      </c>
      <c r="F618" s="2" t="s">
        <v>86</v>
      </c>
      <c r="G618" s="2" t="s">
        <v>3177</v>
      </c>
      <c r="H618" s="2" t="s">
        <v>3178</v>
      </c>
      <c r="I618" s="8" t="s">
        <v>3262</v>
      </c>
      <c r="J618" s="2">
        <v>2030</v>
      </c>
      <c r="K618" s="2">
        <v>567</v>
      </c>
      <c r="L618" s="8" t="s">
        <v>3940</v>
      </c>
      <c r="M618" s="2">
        <v>5.5</v>
      </c>
      <c r="N618" s="8" t="s">
        <v>3939</v>
      </c>
      <c r="O618" s="8" t="str">
        <f t="shared" si="61"/>
        <v>PDFを開く</v>
      </c>
      <c r="P618" s="8" t="s">
        <v>624</v>
      </c>
    </row>
    <row r="619" spans="1:16" ht="33.950000000000003" customHeight="1">
      <c r="A619" s="5" t="s">
        <v>617</v>
      </c>
      <c r="B619" s="5" t="s">
        <v>73</v>
      </c>
      <c r="C619" s="9" t="s">
        <v>618</v>
      </c>
      <c r="D619" s="5">
        <v>2</v>
      </c>
      <c r="E619" s="9" t="s">
        <v>3188</v>
      </c>
      <c r="F619" s="5" t="s">
        <v>86</v>
      </c>
      <c r="G619" s="5" t="s">
        <v>3177</v>
      </c>
      <c r="H619" s="5" t="s">
        <v>3178</v>
      </c>
      <c r="I619" s="9" t="s">
        <v>3259</v>
      </c>
      <c r="J619" s="5">
        <v>2027</v>
      </c>
      <c r="K619" s="5">
        <v>1902</v>
      </c>
      <c r="L619" s="9" t="s">
        <v>3941</v>
      </c>
      <c r="M619" s="5">
        <v>4.5</v>
      </c>
      <c r="N619" s="9" t="s">
        <v>3942</v>
      </c>
      <c r="O619" s="9" t="str">
        <f t="shared" si="61"/>
        <v>PDFを開く</v>
      </c>
      <c r="P619" s="9" t="s">
        <v>624</v>
      </c>
    </row>
    <row r="620" spans="1:16" ht="33.950000000000003" customHeight="1">
      <c r="A620" s="2" t="s">
        <v>617</v>
      </c>
      <c r="B620" s="2" t="s">
        <v>73</v>
      </c>
      <c r="C620" s="8" t="s">
        <v>618</v>
      </c>
      <c r="D620" s="2">
        <v>2</v>
      </c>
      <c r="E620" s="8" t="s">
        <v>3188</v>
      </c>
      <c r="F620" s="2" t="s">
        <v>86</v>
      </c>
      <c r="G620" s="2" t="s">
        <v>3177</v>
      </c>
      <c r="H620" s="2" t="s">
        <v>3178</v>
      </c>
      <c r="I620" s="8" t="s">
        <v>3262</v>
      </c>
      <c r="J620" s="2">
        <v>2030</v>
      </c>
      <c r="K620" s="2">
        <v>2170</v>
      </c>
      <c r="L620" s="8" t="s">
        <v>3943</v>
      </c>
      <c r="M620" s="2">
        <v>4.5</v>
      </c>
      <c r="N620" s="8" t="s">
        <v>3942</v>
      </c>
      <c r="O620" s="8" t="str">
        <f t="shared" si="61"/>
        <v>PDFを開く</v>
      </c>
      <c r="P620" s="8" t="s">
        <v>624</v>
      </c>
    </row>
    <row r="621" spans="1:16" ht="33.950000000000003" customHeight="1">
      <c r="A621" s="5" t="s">
        <v>617</v>
      </c>
      <c r="B621" s="5" t="s">
        <v>73</v>
      </c>
      <c r="C621" s="9" t="s">
        <v>618</v>
      </c>
      <c r="D621" s="5">
        <v>2</v>
      </c>
      <c r="E621" s="9" t="s">
        <v>3191</v>
      </c>
      <c r="F621" s="5" t="s">
        <v>2513</v>
      </c>
      <c r="G621" s="5" t="s">
        <v>3177</v>
      </c>
      <c r="H621" s="5" t="s">
        <v>3178</v>
      </c>
      <c r="I621" s="9" t="s">
        <v>3259</v>
      </c>
      <c r="J621" s="5">
        <v>2027</v>
      </c>
      <c r="K621" s="5">
        <v>55</v>
      </c>
      <c r="L621" s="9" t="s">
        <v>3944</v>
      </c>
      <c r="M621" s="5"/>
      <c r="N621" s="9" t="s">
        <v>3945</v>
      </c>
      <c r="O621" s="9" t="str">
        <f t="shared" si="61"/>
        <v>PDFを開く</v>
      </c>
      <c r="P621" s="9" t="s">
        <v>624</v>
      </c>
    </row>
    <row r="622" spans="1:16" ht="33.950000000000003" customHeight="1">
      <c r="A622" s="2" t="s">
        <v>617</v>
      </c>
      <c r="B622" s="2" t="s">
        <v>73</v>
      </c>
      <c r="C622" s="8" t="s">
        <v>618</v>
      </c>
      <c r="D622" s="2">
        <v>2</v>
      </c>
      <c r="E622" s="8" t="s">
        <v>3191</v>
      </c>
      <c r="F622" s="2" t="s">
        <v>2513</v>
      </c>
      <c r="G622" s="2" t="s">
        <v>3177</v>
      </c>
      <c r="H622" s="2" t="s">
        <v>3178</v>
      </c>
      <c r="I622" s="8" t="s">
        <v>3262</v>
      </c>
      <c r="J622" s="2">
        <v>2030</v>
      </c>
      <c r="K622" s="2">
        <v>80</v>
      </c>
      <c r="L622" s="8" t="s">
        <v>3252</v>
      </c>
      <c r="M622" s="2"/>
      <c r="N622" s="8" t="s">
        <v>3945</v>
      </c>
      <c r="O622" s="8" t="str">
        <f t="shared" si="61"/>
        <v>PDFを開く</v>
      </c>
      <c r="P622" s="8" t="s">
        <v>624</v>
      </c>
    </row>
    <row r="623" spans="1:16" ht="33.950000000000003" customHeight="1">
      <c r="A623" s="5" t="s">
        <v>625</v>
      </c>
      <c r="B623" s="5" t="s">
        <v>73</v>
      </c>
      <c r="C623" s="9" t="s">
        <v>626</v>
      </c>
      <c r="D623" s="5">
        <v>2</v>
      </c>
      <c r="E623" s="9" t="s">
        <v>3176</v>
      </c>
      <c r="F623" s="5" t="s">
        <v>86</v>
      </c>
      <c r="G623" s="5" t="s">
        <v>3177</v>
      </c>
      <c r="H623" s="5" t="s">
        <v>3178</v>
      </c>
      <c r="I623" s="9" t="s">
        <v>3179</v>
      </c>
      <c r="J623" s="5">
        <v>2026</v>
      </c>
      <c r="K623" s="5">
        <v>730</v>
      </c>
      <c r="L623" s="9" t="s">
        <v>3525</v>
      </c>
      <c r="M623" s="5">
        <v>11</v>
      </c>
      <c r="N623" s="9" t="s">
        <v>3946</v>
      </c>
      <c r="O623" s="9" t="str">
        <f t="shared" ref="O623:O646" si="62">HYPERLINK("https://seichotoushi-hojo.jp/assets/pdf/koufu/outline_159.pdf","PDFを開く")</f>
        <v>PDFを開く</v>
      </c>
      <c r="P623" s="9" t="s">
        <v>633</v>
      </c>
    </row>
    <row r="624" spans="1:16" ht="33.950000000000003" customHeight="1">
      <c r="A624" s="2" t="s">
        <v>625</v>
      </c>
      <c r="B624" s="2" t="s">
        <v>73</v>
      </c>
      <c r="C624" s="8" t="s">
        <v>626</v>
      </c>
      <c r="D624" s="2">
        <v>2</v>
      </c>
      <c r="E624" s="8" t="s">
        <v>3176</v>
      </c>
      <c r="F624" s="2" t="s">
        <v>86</v>
      </c>
      <c r="G624" s="2" t="s">
        <v>3177</v>
      </c>
      <c r="H624" s="2" t="s">
        <v>3178</v>
      </c>
      <c r="I624" s="8" t="s">
        <v>3182</v>
      </c>
      <c r="J624" s="2">
        <v>2029</v>
      </c>
      <c r="K624" s="2">
        <v>999</v>
      </c>
      <c r="L624" s="8" t="s">
        <v>3385</v>
      </c>
      <c r="M624" s="2">
        <v>11</v>
      </c>
      <c r="N624" s="8" t="s">
        <v>3946</v>
      </c>
      <c r="O624" s="8" t="str">
        <f t="shared" si="62"/>
        <v>PDFを開く</v>
      </c>
      <c r="P624" s="8" t="s">
        <v>633</v>
      </c>
    </row>
    <row r="625" spans="1:16" ht="33.950000000000003" customHeight="1">
      <c r="A625" s="5" t="s">
        <v>625</v>
      </c>
      <c r="B625" s="5" t="s">
        <v>73</v>
      </c>
      <c r="C625" s="9" t="s">
        <v>626</v>
      </c>
      <c r="D625" s="5">
        <v>2</v>
      </c>
      <c r="E625" s="9" t="s">
        <v>3184</v>
      </c>
      <c r="F625" s="5" t="s">
        <v>86</v>
      </c>
      <c r="G625" s="5" t="s">
        <v>3177</v>
      </c>
      <c r="H625" s="5" t="s">
        <v>3178</v>
      </c>
      <c r="I625" s="9" t="s">
        <v>3179</v>
      </c>
      <c r="J625" s="5">
        <v>2026</v>
      </c>
      <c r="K625" s="5">
        <v>326</v>
      </c>
      <c r="L625" s="9" t="s">
        <v>3947</v>
      </c>
      <c r="M625" s="5">
        <v>5.6</v>
      </c>
      <c r="N625" s="9" t="s">
        <v>3948</v>
      </c>
      <c r="O625" s="9" t="str">
        <f t="shared" si="62"/>
        <v>PDFを開く</v>
      </c>
      <c r="P625" s="9" t="s">
        <v>633</v>
      </c>
    </row>
    <row r="626" spans="1:16" ht="33.950000000000003" customHeight="1">
      <c r="A626" s="2" t="s">
        <v>625</v>
      </c>
      <c r="B626" s="2" t="s">
        <v>73</v>
      </c>
      <c r="C626" s="8" t="s">
        <v>626</v>
      </c>
      <c r="D626" s="2">
        <v>2</v>
      </c>
      <c r="E626" s="8" t="s">
        <v>3184</v>
      </c>
      <c r="F626" s="2" t="s">
        <v>86</v>
      </c>
      <c r="G626" s="2" t="s">
        <v>3177</v>
      </c>
      <c r="H626" s="2" t="s">
        <v>3178</v>
      </c>
      <c r="I626" s="8" t="s">
        <v>3182</v>
      </c>
      <c r="J626" s="2">
        <v>2029</v>
      </c>
      <c r="K626" s="2">
        <v>385</v>
      </c>
      <c r="L626" s="8" t="s">
        <v>3511</v>
      </c>
      <c r="M626" s="2">
        <v>5.6</v>
      </c>
      <c r="N626" s="8" t="s">
        <v>3948</v>
      </c>
      <c r="O626" s="8" t="str">
        <f t="shared" si="62"/>
        <v>PDFを開く</v>
      </c>
      <c r="P626" s="8" t="s">
        <v>633</v>
      </c>
    </row>
    <row r="627" spans="1:16" ht="33.950000000000003" customHeight="1">
      <c r="A627" s="5" t="s">
        <v>625</v>
      </c>
      <c r="B627" s="5" t="s">
        <v>73</v>
      </c>
      <c r="C627" s="9" t="s">
        <v>626</v>
      </c>
      <c r="D627" s="5">
        <v>2</v>
      </c>
      <c r="E627" s="9" t="s">
        <v>3188</v>
      </c>
      <c r="F627" s="5" t="s">
        <v>86</v>
      </c>
      <c r="G627" s="5" t="s">
        <v>3177</v>
      </c>
      <c r="H627" s="5" t="s">
        <v>3178</v>
      </c>
      <c r="I627" s="9" t="s">
        <v>3179</v>
      </c>
      <c r="J627" s="5">
        <v>2026</v>
      </c>
      <c r="K627" s="5">
        <v>1033</v>
      </c>
      <c r="L627" s="9" t="s">
        <v>3949</v>
      </c>
      <c r="M627" s="5">
        <v>4</v>
      </c>
      <c r="N627" s="9" t="s">
        <v>3950</v>
      </c>
      <c r="O627" s="9" t="str">
        <f t="shared" si="62"/>
        <v>PDFを開く</v>
      </c>
      <c r="P627" s="9" t="s">
        <v>633</v>
      </c>
    </row>
    <row r="628" spans="1:16" ht="33.950000000000003" customHeight="1">
      <c r="A628" s="2" t="s">
        <v>625</v>
      </c>
      <c r="B628" s="2" t="s">
        <v>73</v>
      </c>
      <c r="C628" s="8" t="s">
        <v>626</v>
      </c>
      <c r="D628" s="2">
        <v>2</v>
      </c>
      <c r="E628" s="8" t="s">
        <v>3188</v>
      </c>
      <c r="F628" s="2" t="s">
        <v>86</v>
      </c>
      <c r="G628" s="2" t="s">
        <v>3177</v>
      </c>
      <c r="H628" s="2" t="s">
        <v>3178</v>
      </c>
      <c r="I628" s="8" t="s">
        <v>3182</v>
      </c>
      <c r="J628" s="2">
        <v>2029</v>
      </c>
      <c r="K628" s="2">
        <v>1162</v>
      </c>
      <c r="L628" s="8" t="s">
        <v>3951</v>
      </c>
      <c r="M628" s="2">
        <v>4</v>
      </c>
      <c r="N628" s="8" t="s">
        <v>3950</v>
      </c>
      <c r="O628" s="8" t="str">
        <f t="shared" si="62"/>
        <v>PDFを開く</v>
      </c>
      <c r="P628" s="8" t="s">
        <v>633</v>
      </c>
    </row>
    <row r="629" spans="1:16" ht="33.950000000000003" customHeight="1">
      <c r="A629" s="5" t="s">
        <v>625</v>
      </c>
      <c r="B629" s="5" t="s">
        <v>73</v>
      </c>
      <c r="C629" s="9" t="s">
        <v>626</v>
      </c>
      <c r="D629" s="5">
        <v>2</v>
      </c>
      <c r="E629" s="9" t="s">
        <v>3191</v>
      </c>
      <c r="F629" s="5" t="s">
        <v>2513</v>
      </c>
      <c r="G629" s="5" t="s">
        <v>3177</v>
      </c>
      <c r="H629" s="5" t="s">
        <v>3178</v>
      </c>
      <c r="I629" s="9" t="s">
        <v>3179</v>
      </c>
      <c r="J629" s="5">
        <v>2026</v>
      </c>
      <c r="K629" s="5">
        <v>236</v>
      </c>
      <c r="L629" s="9" t="s">
        <v>3436</v>
      </c>
      <c r="M629" s="5"/>
      <c r="N629" s="9" t="s">
        <v>3952</v>
      </c>
      <c r="O629" s="9" t="str">
        <f t="shared" si="62"/>
        <v>PDFを開く</v>
      </c>
      <c r="P629" s="9" t="s">
        <v>633</v>
      </c>
    </row>
    <row r="630" spans="1:16" ht="33.950000000000003" customHeight="1">
      <c r="A630" s="2" t="s">
        <v>625</v>
      </c>
      <c r="B630" s="2" t="s">
        <v>73</v>
      </c>
      <c r="C630" s="8" t="s">
        <v>626</v>
      </c>
      <c r="D630" s="2">
        <v>2</v>
      </c>
      <c r="E630" s="8" t="s">
        <v>3191</v>
      </c>
      <c r="F630" s="2" t="s">
        <v>2513</v>
      </c>
      <c r="G630" s="2" t="s">
        <v>3177</v>
      </c>
      <c r="H630" s="2" t="s">
        <v>3178</v>
      </c>
      <c r="I630" s="8" t="s">
        <v>3182</v>
      </c>
      <c r="J630" s="2">
        <v>2029</v>
      </c>
      <c r="K630" s="2">
        <v>236</v>
      </c>
      <c r="L630" s="8" t="s">
        <v>3436</v>
      </c>
      <c r="M630" s="2"/>
      <c r="N630" s="8" t="s">
        <v>3952</v>
      </c>
      <c r="O630" s="8" t="str">
        <f t="shared" si="62"/>
        <v>PDFを開く</v>
      </c>
      <c r="P630" s="8" t="s">
        <v>633</v>
      </c>
    </row>
    <row r="631" spans="1:16" ht="33.950000000000003" customHeight="1">
      <c r="A631" s="5" t="s">
        <v>625</v>
      </c>
      <c r="B631" s="5" t="s">
        <v>73</v>
      </c>
      <c r="C631" s="9" t="s">
        <v>626</v>
      </c>
      <c r="D631" s="5">
        <v>3</v>
      </c>
      <c r="E631" s="9" t="s">
        <v>3176</v>
      </c>
      <c r="F631" s="5" t="s">
        <v>86</v>
      </c>
      <c r="G631" s="5" t="s">
        <v>3177</v>
      </c>
      <c r="H631" s="5" t="s">
        <v>3178</v>
      </c>
      <c r="I631" s="9" t="s">
        <v>3259</v>
      </c>
      <c r="J631" s="5">
        <v>2027</v>
      </c>
      <c r="K631" s="5">
        <v>526</v>
      </c>
      <c r="L631" s="9" t="s">
        <v>3288</v>
      </c>
      <c r="M631" s="5">
        <v>13</v>
      </c>
      <c r="N631" s="9" t="s">
        <v>3953</v>
      </c>
      <c r="O631" s="9" t="str">
        <f t="shared" si="62"/>
        <v>PDFを開く</v>
      </c>
      <c r="P631" s="9" t="s">
        <v>633</v>
      </c>
    </row>
    <row r="632" spans="1:16" ht="33.950000000000003" customHeight="1">
      <c r="A632" s="2" t="s">
        <v>625</v>
      </c>
      <c r="B632" s="2" t="s">
        <v>73</v>
      </c>
      <c r="C632" s="8" t="s">
        <v>626</v>
      </c>
      <c r="D632" s="2">
        <v>3</v>
      </c>
      <c r="E632" s="8" t="s">
        <v>3176</v>
      </c>
      <c r="F632" s="2" t="s">
        <v>86</v>
      </c>
      <c r="G632" s="2" t="s">
        <v>3177</v>
      </c>
      <c r="H632" s="2" t="s">
        <v>3178</v>
      </c>
      <c r="I632" s="8" t="s">
        <v>3262</v>
      </c>
      <c r="J632" s="2">
        <v>2030</v>
      </c>
      <c r="K632" s="2">
        <v>755</v>
      </c>
      <c r="L632" s="8" t="s">
        <v>3954</v>
      </c>
      <c r="M632" s="2">
        <v>13</v>
      </c>
      <c r="N632" s="8" t="s">
        <v>3953</v>
      </c>
      <c r="O632" s="8" t="str">
        <f t="shared" si="62"/>
        <v>PDFを開く</v>
      </c>
      <c r="P632" s="8" t="s">
        <v>633</v>
      </c>
    </row>
    <row r="633" spans="1:16" ht="33.950000000000003" customHeight="1">
      <c r="A633" s="5" t="s">
        <v>625</v>
      </c>
      <c r="B633" s="5" t="s">
        <v>73</v>
      </c>
      <c r="C633" s="9" t="s">
        <v>626</v>
      </c>
      <c r="D633" s="5">
        <v>3</v>
      </c>
      <c r="E633" s="9" t="s">
        <v>3184</v>
      </c>
      <c r="F633" s="5" t="s">
        <v>86</v>
      </c>
      <c r="G633" s="5" t="s">
        <v>3177</v>
      </c>
      <c r="H633" s="5" t="s">
        <v>3178</v>
      </c>
      <c r="I633" s="9" t="s">
        <v>3259</v>
      </c>
      <c r="J633" s="5">
        <v>2027</v>
      </c>
      <c r="K633" s="5">
        <v>343</v>
      </c>
      <c r="L633" s="9" t="s">
        <v>3615</v>
      </c>
      <c r="M633" s="5">
        <v>5.8</v>
      </c>
      <c r="N633" s="9" t="s">
        <v>3955</v>
      </c>
      <c r="O633" s="9" t="str">
        <f t="shared" si="62"/>
        <v>PDFを開く</v>
      </c>
      <c r="P633" s="9" t="s">
        <v>633</v>
      </c>
    </row>
    <row r="634" spans="1:16" ht="33.950000000000003" customHeight="1">
      <c r="A634" s="2" t="s">
        <v>625</v>
      </c>
      <c r="B634" s="2" t="s">
        <v>73</v>
      </c>
      <c r="C634" s="8" t="s">
        <v>626</v>
      </c>
      <c r="D634" s="2">
        <v>3</v>
      </c>
      <c r="E634" s="8" t="s">
        <v>3184</v>
      </c>
      <c r="F634" s="2" t="s">
        <v>86</v>
      </c>
      <c r="G634" s="2" t="s">
        <v>3177</v>
      </c>
      <c r="H634" s="2" t="s">
        <v>3178</v>
      </c>
      <c r="I634" s="8" t="s">
        <v>3262</v>
      </c>
      <c r="J634" s="2">
        <v>2030</v>
      </c>
      <c r="K634" s="2">
        <v>407</v>
      </c>
      <c r="L634" s="8" t="s">
        <v>3956</v>
      </c>
      <c r="M634" s="2">
        <v>5.8</v>
      </c>
      <c r="N634" s="8" t="s">
        <v>3955</v>
      </c>
      <c r="O634" s="8" t="str">
        <f t="shared" si="62"/>
        <v>PDFを開く</v>
      </c>
      <c r="P634" s="8" t="s">
        <v>633</v>
      </c>
    </row>
    <row r="635" spans="1:16" ht="33.950000000000003" customHeight="1">
      <c r="A635" s="5" t="s">
        <v>625</v>
      </c>
      <c r="B635" s="5" t="s">
        <v>73</v>
      </c>
      <c r="C635" s="9" t="s">
        <v>626</v>
      </c>
      <c r="D635" s="5">
        <v>3</v>
      </c>
      <c r="E635" s="9" t="s">
        <v>3188</v>
      </c>
      <c r="F635" s="5" t="s">
        <v>86</v>
      </c>
      <c r="G635" s="5" t="s">
        <v>3177</v>
      </c>
      <c r="H635" s="5" t="s">
        <v>3178</v>
      </c>
      <c r="I635" s="9" t="s">
        <v>3259</v>
      </c>
      <c r="J635" s="5">
        <v>2027</v>
      </c>
      <c r="K635" s="5">
        <v>612</v>
      </c>
      <c r="L635" s="9" t="s">
        <v>3957</v>
      </c>
      <c r="M635" s="5">
        <v>8</v>
      </c>
      <c r="N635" s="9" t="s">
        <v>3958</v>
      </c>
      <c r="O635" s="9" t="str">
        <f t="shared" si="62"/>
        <v>PDFを開く</v>
      </c>
      <c r="P635" s="9" t="s">
        <v>633</v>
      </c>
    </row>
    <row r="636" spans="1:16" ht="33.950000000000003" customHeight="1">
      <c r="A636" s="2" t="s">
        <v>625</v>
      </c>
      <c r="B636" s="2" t="s">
        <v>73</v>
      </c>
      <c r="C636" s="8" t="s">
        <v>626</v>
      </c>
      <c r="D636" s="2">
        <v>3</v>
      </c>
      <c r="E636" s="8" t="s">
        <v>3188</v>
      </c>
      <c r="F636" s="2" t="s">
        <v>86</v>
      </c>
      <c r="G636" s="2" t="s">
        <v>3177</v>
      </c>
      <c r="H636" s="2" t="s">
        <v>3178</v>
      </c>
      <c r="I636" s="8" t="s">
        <v>3262</v>
      </c>
      <c r="J636" s="2">
        <v>2030</v>
      </c>
      <c r="K636" s="2">
        <v>771</v>
      </c>
      <c r="L636" s="8" t="s">
        <v>3959</v>
      </c>
      <c r="M636" s="2">
        <v>8</v>
      </c>
      <c r="N636" s="8" t="s">
        <v>3958</v>
      </c>
      <c r="O636" s="8" t="str">
        <f t="shared" si="62"/>
        <v>PDFを開く</v>
      </c>
      <c r="P636" s="8" t="s">
        <v>633</v>
      </c>
    </row>
    <row r="637" spans="1:16" ht="33.950000000000003" customHeight="1">
      <c r="A637" s="5" t="s">
        <v>625</v>
      </c>
      <c r="B637" s="5" t="s">
        <v>73</v>
      </c>
      <c r="C637" s="9" t="s">
        <v>626</v>
      </c>
      <c r="D637" s="5">
        <v>3</v>
      </c>
      <c r="E637" s="9" t="s">
        <v>3191</v>
      </c>
      <c r="F637" s="5" t="s">
        <v>2513</v>
      </c>
      <c r="G637" s="5" t="s">
        <v>3177</v>
      </c>
      <c r="H637" s="5" t="s">
        <v>3178</v>
      </c>
      <c r="I637" s="9" t="s">
        <v>3259</v>
      </c>
      <c r="J637" s="5">
        <v>2027</v>
      </c>
      <c r="K637" s="5">
        <v>60</v>
      </c>
      <c r="L637" s="9" t="s">
        <v>3406</v>
      </c>
      <c r="M637" s="5"/>
      <c r="N637" s="9" t="s">
        <v>3960</v>
      </c>
      <c r="O637" s="9" t="str">
        <f t="shared" si="62"/>
        <v>PDFを開く</v>
      </c>
      <c r="P637" s="9" t="s">
        <v>633</v>
      </c>
    </row>
    <row r="638" spans="1:16" ht="33.950000000000003" customHeight="1">
      <c r="A638" s="2" t="s">
        <v>625</v>
      </c>
      <c r="B638" s="2" t="s">
        <v>73</v>
      </c>
      <c r="C638" s="8" t="s">
        <v>626</v>
      </c>
      <c r="D638" s="2">
        <v>3</v>
      </c>
      <c r="E638" s="8" t="s">
        <v>3191</v>
      </c>
      <c r="F638" s="2" t="s">
        <v>2513</v>
      </c>
      <c r="G638" s="2" t="s">
        <v>3177</v>
      </c>
      <c r="H638" s="2" t="s">
        <v>3178</v>
      </c>
      <c r="I638" s="8" t="s">
        <v>3262</v>
      </c>
      <c r="J638" s="2">
        <v>2030</v>
      </c>
      <c r="K638" s="2">
        <v>62</v>
      </c>
      <c r="L638" s="8" t="s">
        <v>3961</v>
      </c>
      <c r="M638" s="2"/>
      <c r="N638" s="8" t="s">
        <v>3960</v>
      </c>
      <c r="O638" s="8" t="str">
        <f t="shared" si="62"/>
        <v>PDFを開く</v>
      </c>
      <c r="P638" s="8" t="s">
        <v>633</v>
      </c>
    </row>
    <row r="639" spans="1:16" ht="33.950000000000003" customHeight="1">
      <c r="A639" s="5" t="s">
        <v>625</v>
      </c>
      <c r="B639" s="5" t="s">
        <v>73</v>
      </c>
      <c r="C639" s="9" t="s">
        <v>626</v>
      </c>
      <c r="D639" s="5">
        <v>4</v>
      </c>
      <c r="E639" s="9" t="s">
        <v>3176</v>
      </c>
      <c r="F639" s="5" t="s">
        <v>86</v>
      </c>
      <c r="G639" s="5" t="s">
        <v>3177</v>
      </c>
      <c r="H639" s="5" t="s">
        <v>3178</v>
      </c>
      <c r="I639" s="9" t="s">
        <v>3179</v>
      </c>
      <c r="J639" s="5">
        <v>2026</v>
      </c>
      <c r="K639" s="5">
        <v>373</v>
      </c>
      <c r="L639" s="9" t="s">
        <v>3962</v>
      </c>
      <c r="M639" s="5">
        <v>17</v>
      </c>
      <c r="N639" s="9" t="s">
        <v>3963</v>
      </c>
      <c r="O639" s="9" t="str">
        <f t="shared" si="62"/>
        <v>PDFを開く</v>
      </c>
      <c r="P639" s="9" t="s">
        <v>633</v>
      </c>
    </row>
    <row r="640" spans="1:16" ht="33.950000000000003" customHeight="1">
      <c r="A640" s="2" t="s">
        <v>625</v>
      </c>
      <c r="B640" s="2" t="s">
        <v>73</v>
      </c>
      <c r="C640" s="8" t="s">
        <v>626</v>
      </c>
      <c r="D640" s="2">
        <v>4</v>
      </c>
      <c r="E640" s="8" t="s">
        <v>3176</v>
      </c>
      <c r="F640" s="2" t="s">
        <v>86</v>
      </c>
      <c r="G640" s="2" t="s">
        <v>3177</v>
      </c>
      <c r="H640" s="2" t="s">
        <v>3178</v>
      </c>
      <c r="I640" s="8" t="s">
        <v>3182</v>
      </c>
      <c r="J640" s="2">
        <v>2029</v>
      </c>
      <c r="K640" s="2">
        <v>589</v>
      </c>
      <c r="L640" s="8" t="s">
        <v>3533</v>
      </c>
      <c r="M640" s="2">
        <v>17</v>
      </c>
      <c r="N640" s="8" t="s">
        <v>3963</v>
      </c>
      <c r="O640" s="8" t="str">
        <f t="shared" si="62"/>
        <v>PDFを開く</v>
      </c>
      <c r="P640" s="8" t="s">
        <v>633</v>
      </c>
    </row>
    <row r="641" spans="1:16" ht="33.950000000000003" customHeight="1">
      <c r="A641" s="5" t="s">
        <v>625</v>
      </c>
      <c r="B641" s="5" t="s">
        <v>73</v>
      </c>
      <c r="C641" s="9" t="s">
        <v>626</v>
      </c>
      <c r="D641" s="5">
        <v>4</v>
      </c>
      <c r="E641" s="9" t="s">
        <v>3184</v>
      </c>
      <c r="F641" s="5" t="s">
        <v>86</v>
      </c>
      <c r="G641" s="5" t="s">
        <v>3177</v>
      </c>
      <c r="H641" s="5" t="s">
        <v>3178</v>
      </c>
      <c r="I641" s="9" t="s">
        <v>3179</v>
      </c>
      <c r="J641" s="5">
        <v>2026</v>
      </c>
      <c r="K641" s="5">
        <v>316</v>
      </c>
      <c r="L641" s="9" t="s">
        <v>3880</v>
      </c>
      <c r="M641" s="5">
        <v>8.6999999999999993</v>
      </c>
      <c r="N641" s="9" t="s">
        <v>3964</v>
      </c>
      <c r="O641" s="9" t="str">
        <f t="shared" si="62"/>
        <v>PDFを開く</v>
      </c>
      <c r="P641" s="9" t="s">
        <v>633</v>
      </c>
    </row>
    <row r="642" spans="1:16" ht="33.950000000000003" customHeight="1">
      <c r="A642" s="2" t="s">
        <v>625</v>
      </c>
      <c r="B642" s="2" t="s">
        <v>73</v>
      </c>
      <c r="C642" s="8" t="s">
        <v>626</v>
      </c>
      <c r="D642" s="2">
        <v>4</v>
      </c>
      <c r="E642" s="8" t="s">
        <v>3184</v>
      </c>
      <c r="F642" s="2" t="s">
        <v>86</v>
      </c>
      <c r="G642" s="2" t="s">
        <v>3177</v>
      </c>
      <c r="H642" s="2" t="s">
        <v>3178</v>
      </c>
      <c r="I642" s="8" t="s">
        <v>3182</v>
      </c>
      <c r="J642" s="2">
        <v>2029</v>
      </c>
      <c r="K642" s="2">
        <v>406</v>
      </c>
      <c r="L642" s="8" t="s">
        <v>3965</v>
      </c>
      <c r="M642" s="2">
        <v>8.6999999999999993</v>
      </c>
      <c r="N642" s="8" t="s">
        <v>3964</v>
      </c>
      <c r="O642" s="8" t="str">
        <f t="shared" si="62"/>
        <v>PDFを開く</v>
      </c>
      <c r="P642" s="8" t="s">
        <v>633</v>
      </c>
    </row>
    <row r="643" spans="1:16" ht="33.950000000000003" customHeight="1">
      <c r="A643" s="5" t="s">
        <v>625</v>
      </c>
      <c r="B643" s="5" t="s">
        <v>73</v>
      </c>
      <c r="C643" s="9" t="s">
        <v>626</v>
      </c>
      <c r="D643" s="5">
        <v>4</v>
      </c>
      <c r="E643" s="9" t="s">
        <v>3188</v>
      </c>
      <c r="F643" s="5" t="s">
        <v>86</v>
      </c>
      <c r="G643" s="5" t="s">
        <v>3177</v>
      </c>
      <c r="H643" s="5" t="s">
        <v>3178</v>
      </c>
      <c r="I643" s="9" t="s">
        <v>3179</v>
      </c>
      <c r="J643" s="5">
        <v>2026</v>
      </c>
      <c r="K643" s="5">
        <v>840</v>
      </c>
      <c r="L643" s="9" t="s">
        <v>3207</v>
      </c>
      <c r="M643" s="5">
        <v>6</v>
      </c>
      <c r="N643" s="9" t="s">
        <v>3966</v>
      </c>
      <c r="O643" s="9" t="str">
        <f t="shared" si="62"/>
        <v>PDFを開く</v>
      </c>
      <c r="P643" s="9" t="s">
        <v>633</v>
      </c>
    </row>
    <row r="644" spans="1:16" ht="33.950000000000003" customHeight="1">
      <c r="A644" s="2" t="s">
        <v>625</v>
      </c>
      <c r="B644" s="2" t="s">
        <v>73</v>
      </c>
      <c r="C644" s="8" t="s">
        <v>626</v>
      </c>
      <c r="D644" s="2">
        <v>4</v>
      </c>
      <c r="E644" s="8" t="s">
        <v>3188</v>
      </c>
      <c r="F644" s="2" t="s">
        <v>86</v>
      </c>
      <c r="G644" s="2" t="s">
        <v>3177</v>
      </c>
      <c r="H644" s="2" t="s">
        <v>3178</v>
      </c>
      <c r="I644" s="8" t="s">
        <v>3182</v>
      </c>
      <c r="J644" s="2">
        <v>2029</v>
      </c>
      <c r="K644" s="2">
        <v>1000</v>
      </c>
      <c r="L644" s="8" t="s">
        <v>3967</v>
      </c>
      <c r="M644" s="2">
        <v>6</v>
      </c>
      <c r="N644" s="8" t="s">
        <v>3966</v>
      </c>
      <c r="O644" s="8" t="str">
        <f t="shared" si="62"/>
        <v>PDFを開く</v>
      </c>
      <c r="P644" s="8" t="s">
        <v>633</v>
      </c>
    </row>
    <row r="645" spans="1:16" ht="33.950000000000003" customHeight="1">
      <c r="A645" s="5" t="s">
        <v>625</v>
      </c>
      <c r="B645" s="5" t="s">
        <v>73</v>
      </c>
      <c r="C645" s="9" t="s">
        <v>626</v>
      </c>
      <c r="D645" s="5">
        <v>4</v>
      </c>
      <c r="E645" s="9" t="s">
        <v>3191</v>
      </c>
      <c r="F645" s="5" t="s">
        <v>2513</v>
      </c>
      <c r="G645" s="5" t="s">
        <v>3177</v>
      </c>
      <c r="H645" s="5" t="s">
        <v>3178</v>
      </c>
      <c r="I645" s="9" t="s">
        <v>3179</v>
      </c>
      <c r="J645" s="5">
        <v>2026</v>
      </c>
      <c r="K645" s="5">
        <v>110</v>
      </c>
      <c r="L645" s="9" t="s">
        <v>3968</v>
      </c>
      <c r="M645" s="5"/>
      <c r="N645" s="9" t="s">
        <v>3969</v>
      </c>
      <c r="O645" s="9" t="str">
        <f t="shared" si="62"/>
        <v>PDFを開く</v>
      </c>
      <c r="P645" s="9" t="s">
        <v>633</v>
      </c>
    </row>
    <row r="646" spans="1:16" ht="33.950000000000003" customHeight="1">
      <c r="A646" s="2" t="s">
        <v>625</v>
      </c>
      <c r="B646" s="2" t="s">
        <v>73</v>
      </c>
      <c r="C646" s="8" t="s">
        <v>626</v>
      </c>
      <c r="D646" s="2">
        <v>4</v>
      </c>
      <c r="E646" s="8" t="s">
        <v>3191</v>
      </c>
      <c r="F646" s="2" t="s">
        <v>2513</v>
      </c>
      <c r="G646" s="2" t="s">
        <v>3177</v>
      </c>
      <c r="H646" s="2" t="s">
        <v>3178</v>
      </c>
      <c r="I646" s="8" t="s">
        <v>3182</v>
      </c>
      <c r="J646" s="2">
        <v>2029</v>
      </c>
      <c r="K646" s="2">
        <v>114</v>
      </c>
      <c r="L646" s="8" t="s">
        <v>3970</v>
      </c>
      <c r="M646" s="2"/>
      <c r="N646" s="8" t="s">
        <v>3969</v>
      </c>
      <c r="O646" s="8" t="str">
        <f t="shared" si="62"/>
        <v>PDFを開く</v>
      </c>
      <c r="P646" s="8" t="s">
        <v>633</v>
      </c>
    </row>
    <row r="647" spans="1:16" ht="33.950000000000003" customHeight="1">
      <c r="A647" s="5" t="s">
        <v>634</v>
      </c>
      <c r="B647" s="5" t="s">
        <v>73</v>
      </c>
      <c r="C647" s="9" t="s">
        <v>635</v>
      </c>
      <c r="D647" s="5">
        <v>2</v>
      </c>
      <c r="E647" s="9" t="s">
        <v>3176</v>
      </c>
      <c r="F647" s="5" t="s">
        <v>86</v>
      </c>
      <c r="G647" s="19" t="s">
        <v>3494</v>
      </c>
      <c r="H647" s="5"/>
      <c r="I647" s="9" t="s">
        <v>3507</v>
      </c>
      <c r="J647" s="5">
        <v>2029</v>
      </c>
      <c r="K647" s="5">
        <v>1187.5999999999999</v>
      </c>
      <c r="L647" s="9" t="s">
        <v>3971</v>
      </c>
      <c r="M647" s="5">
        <v>12.4</v>
      </c>
      <c r="N647" s="9" t="s">
        <v>3972</v>
      </c>
      <c r="O647" s="9" t="str">
        <f t="shared" ref="O647:O665" si="63">HYPERLINK("https://seichotoushi-hojo.jp/assets/pdf/koufu/outline_16.pdf","PDFを開く")</f>
        <v>PDFを開く</v>
      </c>
      <c r="P647" s="9" t="s">
        <v>644</v>
      </c>
    </row>
    <row r="648" spans="1:16" ht="33.950000000000003" customHeight="1">
      <c r="A648" s="2" t="s">
        <v>634</v>
      </c>
      <c r="B648" s="2" t="s">
        <v>73</v>
      </c>
      <c r="C648" s="8" t="s">
        <v>635</v>
      </c>
      <c r="D648" s="2">
        <v>2</v>
      </c>
      <c r="E648" s="8" t="s">
        <v>3176</v>
      </c>
      <c r="F648" s="2" t="s">
        <v>86</v>
      </c>
      <c r="G648" s="19" t="s">
        <v>3494</v>
      </c>
      <c r="H648" s="2"/>
      <c r="I648" s="8" t="s">
        <v>3507</v>
      </c>
      <c r="J648" s="2">
        <v>2029</v>
      </c>
      <c r="K648" s="2">
        <v>826.7</v>
      </c>
      <c r="L648" s="8" t="s">
        <v>3973</v>
      </c>
      <c r="M648" s="2">
        <v>12.4</v>
      </c>
      <c r="N648" s="8" t="s">
        <v>3972</v>
      </c>
      <c r="O648" s="8" t="str">
        <f t="shared" si="63"/>
        <v>PDFを開く</v>
      </c>
      <c r="P648" s="8" t="s">
        <v>644</v>
      </c>
    </row>
    <row r="649" spans="1:16" ht="33.950000000000003" customHeight="1">
      <c r="A649" s="5" t="s">
        <v>634</v>
      </c>
      <c r="B649" s="5" t="s">
        <v>73</v>
      </c>
      <c r="C649" s="9" t="s">
        <v>635</v>
      </c>
      <c r="D649" s="5">
        <v>2</v>
      </c>
      <c r="E649" s="9" t="s">
        <v>3176</v>
      </c>
      <c r="F649" s="5" t="s">
        <v>86</v>
      </c>
      <c r="G649" s="19" t="s">
        <v>3494</v>
      </c>
      <c r="H649" s="5"/>
      <c r="I649" s="9" t="s">
        <v>3507</v>
      </c>
      <c r="J649" s="5">
        <v>2029</v>
      </c>
      <c r="K649" s="5">
        <v>1182.5</v>
      </c>
      <c r="L649" s="9" t="s">
        <v>3974</v>
      </c>
      <c r="M649" s="5">
        <v>12.4</v>
      </c>
      <c r="N649" s="9" t="s">
        <v>3972</v>
      </c>
      <c r="O649" s="9" t="str">
        <f t="shared" si="63"/>
        <v>PDFを開く</v>
      </c>
      <c r="P649" s="9" t="s">
        <v>644</v>
      </c>
    </row>
    <row r="650" spans="1:16" ht="33.950000000000003" customHeight="1">
      <c r="A650" s="2" t="s">
        <v>634</v>
      </c>
      <c r="B650" s="2" t="s">
        <v>73</v>
      </c>
      <c r="C650" s="8" t="s">
        <v>635</v>
      </c>
      <c r="D650" s="2">
        <v>2</v>
      </c>
      <c r="E650" s="8" t="s">
        <v>3184</v>
      </c>
      <c r="F650" s="2" t="s">
        <v>86</v>
      </c>
      <c r="G650" s="19" t="s">
        <v>3494</v>
      </c>
      <c r="H650" s="2"/>
      <c r="I650" s="8" t="s">
        <v>3507</v>
      </c>
      <c r="J650" s="2">
        <v>2029</v>
      </c>
      <c r="K650" s="2">
        <v>639.5</v>
      </c>
      <c r="L650" s="8" t="s">
        <v>3975</v>
      </c>
      <c r="M650" s="2">
        <v>8.26</v>
      </c>
      <c r="N650" s="8" t="s">
        <v>3976</v>
      </c>
      <c r="O650" s="8" t="str">
        <f t="shared" si="63"/>
        <v>PDFを開く</v>
      </c>
      <c r="P650" s="8" t="s">
        <v>644</v>
      </c>
    </row>
    <row r="651" spans="1:16" ht="33.950000000000003" customHeight="1">
      <c r="A651" s="5" t="s">
        <v>634</v>
      </c>
      <c r="B651" s="5" t="s">
        <v>73</v>
      </c>
      <c r="C651" s="9" t="s">
        <v>635</v>
      </c>
      <c r="D651" s="5">
        <v>2</v>
      </c>
      <c r="E651" s="9" t="s">
        <v>3184</v>
      </c>
      <c r="F651" s="5" t="s">
        <v>86</v>
      </c>
      <c r="G651" s="19" t="s">
        <v>3494</v>
      </c>
      <c r="H651" s="5"/>
      <c r="I651" s="9" t="s">
        <v>3507</v>
      </c>
      <c r="J651" s="5">
        <v>2029</v>
      </c>
      <c r="K651" s="5">
        <v>456.1</v>
      </c>
      <c r="L651" s="9" t="s">
        <v>3977</v>
      </c>
      <c r="M651" s="5">
        <v>8.26</v>
      </c>
      <c r="N651" s="9" t="s">
        <v>3976</v>
      </c>
      <c r="O651" s="9" t="str">
        <f t="shared" si="63"/>
        <v>PDFを開く</v>
      </c>
      <c r="P651" s="9" t="s">
        <v>644</v>
      </c>
    </row>
    <row r="652" spans="1:16" ht="33.950000000000003" customHeight="1">
      <c r="A652" s="2" t="s">
        <v>634</v>
      </c>
      <c r="B652" s="2" t="s">
        <v>73</v>
      </c>
      <c r="C652" s="8" t="s">
        <v>635</v>
      </c>
      <c r="D652" s="2">
        <v>2</v>
      </c>
      <c r="E652" s="8" t="s">
        <v>3184</v>
      </c>
      <c r="F652" s="2" t="s">
        <v>86</v>
      </c>
      <c r="G652" s="19" t="s">
        <v>3494</v>
      </c>
      <c r="H652" s="2"/>
      <c r="I652" s="8" t="s">
        <v>3507</v>
      </c>
      <c r="J652" s="2">
        <v>2029</v>
      </c>
      <c r="K652" s="2">
        <v>645.9</v>
      </c>
      <c r="L652" s="8" t="s">
        <v>3978</v>
      </c>
      <c r="M652" s="2">
        <v>8.26</v>
      </c>
      <c r="N652" s="8" t="s">
        <v>3976</v>
      </c>
      <c r="O652" s="8" t="str">
        <f t="shared" si="63"/>
        <v>PDFを開く</v>
      </c>
      <c r="P652" s="8" t="s">
        <v>644</v>
      </c>
    </row>
    <row r="653" spans="1:16" ht="33.950000000000003" customHeight="1">
      <c r="A653" s="5" t="s">
        <v>634</v>
      </c>
      <c r="B653" s="5" t="s">
        <v>73</v>
      </c>
      <c r="C653" s="9" t="s">
        <v>635</v>
      </c>
      <c r="D653" s="5">
        <v>2</v>
      </c>
      <c r="E653" s="9" t="s">
        <v>3188</v>
      </c>
      <c r="F653" s="5" t="s">
        <v>86</v>
      </c>
      <c r="G653" s="19" t="s">
        <v>3494</v>
      </c>
      <c r="H653" s="5"/>
      <c r="I653" s="9"/>
      <c r="J653" s="5"/>
      <c r="K653" s="5"/>
      <c r="L653" s="9"/>
      <c r="M653" s="5">
        <v>6.27</v>
      </c>
      <c r="N653" s="9" t="s">
        <v>3979</v>
      </c>
      <c r="O653" s="9" t="str">
        <f t="shared" si="63"/>
        <v>PDFを開く</v>
      </c>
      <c r="P653" s="9" t="s">
        <v>644</v>
      </c>
    </row>
    <row r="654" spans="1:16" ht="33.950000000000003" customHeight="1">
      <c r="A654" s="2" t="s">
        <v>634</v>
      </c>
      <c r="B654" s="2" t="s">
        <v>73</v>
      </c>
      <c r="C654" s="8" t="s">
        <v>635</v>
      </c>
      <c r="D654" s="2">
        <v>2</v>
      </c>
      <c r="E654" s="8" t="s">
        <v>3191</v>
      </c>
      <c r="F654" s="2" t="s">
        <v>2513</v>
      </c>
      <c r="G654" s="19" t="s">
        <v>3494</v>
      </c>
      <c r="H654" s="2"/>
      <c r="I654" s="8" t="s">
        <v>3504</v>
      </c>
      <c r="J654" s="2">
        <v>2026</v>
      </c>
      <c r="K654" s="2">
        <v>25</v>
      </c>
      <c r="L654" s="8" t="s">
        <v>3885</v>
      </c>
      <c r="M654" s="2"/>
      <c r="N654" s="8" t="s">
        <v>3980</v>
      </c>
      <c r="O654" s="8" t="str">
        <f t="shared" si="63"/>
        <v>PDFを開く</v>
      </c>
      <c r="P654" s="8" t="s">
        <v>644</v>
      </c>
    </row>
    <row r="655" spans="1:16" ht="33.950000000000003" customHeight="1">
      <c r="A655" s="5" t="s">
        <v>634</v>
      </c>
      <c r="B655" s="5" t="s">
        <v>73</v>
      </c>
      <c r="C655" s="9" t="s">
        <v>635</v>
      </c>
      <c r="D655" s="5">
        <v>2</v>
      </c>
      <c r="E655" s="9" t="s">
        <v>3191</v>
      </c>
      <c r="F655" s="5" t="s">
        <v>2513</v>
      </c>
      <c r="G655" s="19" t="s">
        <v>3494</v>
      </c>
      <c r="H655" s="5"/>
      <c r="I655" s="9" t="s">
        <v>3504</v>
      </c>
      <c r="J655" s="5">
        <v>2026</v>
      </c>
      <c r="K655" s="5">
        <v>70</v>
      </c>
      <c r="L655" s="9" t="s">
        <v>3545</v>
      </c>
      <c r="M655" s="5"/>
      <c r="N655" s="9" t="s">
        <v>3980</v>
      </c>
      <c r="O655" s="9" t="str">
        <f t="shared" si="63"/>
        <v>PDFを開く</v>
      </c>
      <c r="P655" s="9" t="s">
        <v>644</v>
      </c>
    </row>
    <row r="656" spans="1:16" ht="33.950000000000003" customHeight="1">
      <c r="A656" s="2" t="s">
        <v>634</v>
      </c>
      <c r="B656" s="2" t="s">
        <v>73</v>
      </c>
      <c r="C656" s="8" t="s">
        <v>635</v>
      </c>
      <c r="D656" s="2">
        <v>2</v>
      </c>
      <c r="E656" s="8" t="s">
        <v>3191</v>
      </c>
      <c r="F656" s="2" t="s">
        <v>2513</v>
      </c>
      <c r="G656" s="19" t="s">
        <v>3494</v>
      </c>
      <c r="H656" s="2"/>
      <c r="I656" s="8" t="s">
        <v>3504</v>
      </c>
      <c r="J656" s="2">
        <v>2026</v>
      </c>
      <c r="K656" s="2">
        <v>23</v>
      </c>
      <c r="L656" s="8" t="s">
        <v>3543</v>
      </c>
      <c r="M656" s="2"/>
      <c r="N656" s="8" t="s">
        <v>3980</v>
      </c>
      <c r="O656" s="8" t="str">
        <f t="shared" si="63"/>
        <v>PDFを開く</v>
      </c>
      <c r="P656" s="8" t="s">
        <v>644</v>
      </c>
    </row>
    <row r="657" spans="1:16" ht="33.950000000000003" customHeight="1">
      <c r="A657" s="5" t="s">
        <v>634</v>
      </c>
      <c r="B657" s="5" t="s">
        <v>73</v>
      </c>
      <c r="C657" s="9" t="s">
        <v>635</v>
      </c>
      <c r="D657" s="5">
        <v>2</v>
      </c>
      <c r="E657" s="9" t="s">
        <v>3191</v>
      </c>
      <c r="F657" s="5" t="s">
        <v>2513</v>
      </c>
      <c r="G657" s="19" t="s">
        <v>3494</v>
      </c>
      <c r="H657" s="5"/>
      <c r="I657" s="9" t="s">
        <v>3507</v>
      </c>
      <c r="J657" s="5">
        <v>2029</v>
      </c>
      <c r="K657" s="5">
        <v>43</v>
      </c>
      <c r="L657" s="9" t="s">
        <v>3981</v>
      </c>
      <c r="M657" s="5"/>
      <c r="N657" s="9" t="s">
        <v>3980</v>
      </c>
      <c r="O657" s="9" t="str">
        <f t="shared" si="63"/>
        <v>PDFを開く</v>
      </c>
      <c r="P657" s="9" t="s">
        <v>644</v>
      </c>
    </row>
    <row r="658" spans="1:16" ht="33.950000000000003" customHeight="1">
      <c r="A658" s="2" t="s">
        <v>634</v>
      </c>
      <c r="B658" s="2" t="s">
        <v>73</v>
      </c>
      <c r="C658" s="8" t="s">
        <v>635</v>
      </c>
      <c r="D658" s="2">
        <v>2</v>
      </c>
      <c r="E658" s="8" t="s">
        <v>3191</v>
      </c>
      <c r="F658" s="2" t="s">
        <v>2513</v>
      </c>
      <c r="G658" s="19" t="s">
        <v>3494</v>
      </c>
      <c r="H658" s="2"/>
      <c r="I658" s="8" t="s">
        <v>3507</v>
      </c>
      <c r="J658" s="2">
        <v>2029</v>
      </c>
      <c r="K658" s="2">
        <v>76</v>
      </c>
      <c r="L658" s="8" t="s">
        <v>3631</v>
      </c>
      <c r="M658" s="2"/>
      <c r="N658" s="8" t="s">
        <v>3980</v>
      </c>
      <c r="O658" s="8" t="str">
        <f t="shared" si="63"/>
        <v>PDFを開く</v>
      </c>
      <c r="P658" s="8" t="s">
        <v>644</v>
      </c>
    </row>
    <row r="659" spans="1:16" ht="33.950000000000003" customHeight="1">
      <c r="A659" s="5" t="s">
        <v>634</v>
      </c>
      <c r="B659" s="5" t="s">
        <v>73</v>
      </c>
      <c r="C659" s="9" t="s">
        <v>635</v>
      </c>
      <c r="D659" s="5">
        <v>2</v>
      </c>
      <c r="E659" s="9" t="s">
        <v>3191</v>
      </c>
      <c r="F659" s="5" t="s">
        <v>2513</v>
      </c>
      <c r="G659" s="19" t="s">
        <v>3494</v>
      </c>
      <c r="H659" s="5"/>
      <c r="I659" s="9" t="s">
        <v>3507</v>
      </c>
      <c r="J659" s="5">
        <v>2029</v>
      </c>
      <c r="K659" s="5">
        <v>26</v>
      </c>
      <c r="L659" s="9" t="s">
        <v>3982</v>
      </c>
      <c r="M659" s="5"/>
      <c r="N659" s="9" t="s">
        <v>3980</v>
      </c>
      <c r="O659" s="9" t="str">
        <f t="shared" si="63"/>
        <v>PDFを開く</v>
      </c>
      <c r="P659" s="9" t="s">
        <v>644</v>
      </c>
    </row>
    <row r="660" spans="1:16" ht="33.950000000000003" customHeight="1">
      <c r="A660" s="2" t="s">
        <v>634</v>
      </c>
      <c r="B660" s="2" t="s">
        <v>73</v>
      </c>
      <c r="C660" s="8" t="s">
        <v>635</v>
      </c>
      <c r="D660" s="2">
        <v>2</v>
      </c>
      <c r="E660" s="8" t="s">
        <v>3176</v>
      </c>
      <c r="F660" s="2" t="s">
        <v>86</v>
      </c>
      <c r="G660" s="2" t="s">
        <v>3177</v>
      </c>
      <c r="H660" s="2"/>
      <c r="I660" s="8" t="s">
        <v>3227</v>
      </c>
      <c r="J660" s="2">
        <v>2026</v>
      </c>
      <c r="K660" s="2">
        <v>724.9</v>
      </c>
      <c r="L660" s="8" t="s">
        <v>3983</v>
      </c>
      <c r="M660" s="2">
        <v>12.4</v>
      </c>
      <c r="N660" s="8" t="s">
        <v>3984</v>
      </c>
      <c r="O660" s="8" t="str">
        <f t="shared" si="63"/>
        <v>PDFを開く</v>
      </c>
      <c r="P660" s="8" t="s">
        <v>644</v>
      </c>
    </row>
    <row r="661" spans="1:16" ht="33.950000000000003" customHeight="1">
      <c r="A661" s="5" t="s">
        <v>634</v>
      </c>
      <c r="B661" s="5" t="s">
        <v>73</v>
      </c>
      <c r="C661" s="9" t="s">
        <v>635</v>
      </c>
      <c r="D661" s="5">
        <v>2</v>
      </c>
      <c r="E661" s="9" t="s">
        <v>3176</v>
      </c>
      <c r="F661" s="5" t="s">
        <v>86</v>
      </c>
      <c r="G661" s="5" t="s">
        <v>3177</v>
      </c>
      <c r="H661" s="5"/>
      <c r="I661" s="9" t="s">
        <v>3230</v>
      </c>
      <c r="J661" s="5">
        <v>2029</v>
      </c>
      <c r="K661" s="5">
        <v>1033.0999999999999</v>
      </c>
      <c r="L661" s="9" t="s">
        <v>3985</v>
      </c>
      <c r="M661" s="5">
        <v>12.4</v>
      </c>
      <c r="N661" s="9" t="s">
        <v>3984</v>
      </c>
      <c r="O661" s="9" t="str">
        <f t="shared" si="63"/>
        <v>PDFを開く</v>
      </c>
      <c r="P661" s="9" t="s">
        <v>644</v>
      </c>
    </row>
    <row r="662" spans="1:16" ht="33.950000000000003" customHeight="1">
      <c r="A662" s="2" t="s">
        <v>634</v>
      </c>
      <c r="B662" s="2" t="s">
        <v>73</v>
      </c>
      <c r="C662" s="8" t="s">
        <v>635</v>
      </c>
      <c r="D662" s="2">
        <v>2</v>
      </c>
      <c r="E662" s="8" t="s">
        <v>3184</v>
      </c>
      <c r="F662" s="2" t="s">
        <v>86</v>
      </c>
      <c r="G662" s="2" t="s">
        <v>3177</v>
      </c>
      <c r="H662" s="2"/>
      <c r="I662" s="8" t="s">
        <v>3227</v>
      </c>
      <c r="J662" s="2">
        <v>2026</v>
      </c>
      <c r="K662" s="2">
        <v>428.8</v>
      </c>
      <c r="L662" s="8" t="s">
        <v>3986</v>
      </c>
      <c r="M662" s="2">
        <v>8.26</v>
      </c>
      <c r="N662" s="8" t="s">
        <v>3987</v>
      </c>
      <c r="O662" s="8" t="str">
        <f t="shared" si="63"/>
        <v>PDFを開く</v>
      </c>
      <c r="P662" s="8" t="s">
        <v>644</v>
      </c>
    </row>
    <row r="663" spans="1:16" ht="33.950000000000003" customHeight="1">
      <c r="A663" s="5" t="s">
        <v>634</v>
      </c>
      <c r="B663" s="5" t="s">
        <v>73</v>
      </c>
      <c r="C663" s="9" t="s">
        <v>635</v>
      </c>
      <c r="D663" s="5">
        <v>2</v>
      </c>
      <c r="E663" s="9" t="s">
        <v>3184</v>
      </c>
      <c r="F663" s="5" t="s">
        <v>86</v>
      </c>
      <c r="G663" s="5" t="s">
        <v>3177</v>
      </c>
      <c r="H663" s="5"/>
      <c r="I663" s="9" t="s">
        <v>3230</v>
      </c>
      <c r="J663" s="5">
        <v>2029</v>
      </c>
      <c r="K663" s="5">
        <v>544.29999999999995</v>
      </c>
      <c r="L663" s="9" t="s">
        <v>3988</v>
      </c>
      <c r="M663" s="5">
        <v>8.26</v>
      </c>
      <c r="N663" s="9" t="s">
        <v>3987</v>
      </c>
      <c r="O663" s="9" t="str">
        <f t="shared" si="63"/>
        <v>PDFを開く</v>
      </c>
      <c r="P663" s="9" t="s">
        <v>644</v>
      </c>
    </row>
    <row r="664" spans="1:16" ht="33.950000000000003" customHeight="1">
      <c r="A664" s="2" t="s">
        <v>634</v>
      </c>
      <c r="B664" s="2" t="s">
        <v>73</v>
      </c>
      <c r="C664" s="8" t="s">
        <v>635</v>
      </c>
      <c r="D664" s="2">
        <v>2</v>
      </c>
      <c r="E664" s="8" t="s">
        <v>3191</v>
      </c>
      <c r="F664" s="2" t="s">
        <v>2513</v>
      </c>
      <c r="G664" s="2" t="s">
        <v>3177</v>
      </c>
      <c r="H664" s="2"/>
      <c r="I664" s="8" t="s">
        <v>3227</v>
      </c>
      <c r="J664" s="2">
        <v>2026</v>
      </c>
      <c r="K664" s="2">
        <v>118</v>
      </c>
      <c r="L664" s="8" t="s">
        <v>3989</v>
      </c>
      <c r="M664" s="2"/>
      <c r="N664" s="8" t="s">
        <v>3990</v>
      </c>
      <c r="O664" s="8" t="str">
        <f t="shared" si="63"/>
        <v>PDFを開く</v>
      </c>
      <c r="P664" s="8" t="s">
        <v>644</v>
      </c>
    </row>
    <row r="665" spans="1:16" ht="33.950000000000003" customHeight="1">
      <c r="A665" s="5" t="s">
        <v>634</v>
      </c>
      <c r="B665" s="5" t="s">
        <v>73</v>
      </c>
      <c r="C665" s="9" t="s">
        <v>635</v>
      </c>
      <c r="D665" s="5">
        <v>2</v>
      </c>
      <c r="E665" s="9" t="s">
        <v>3191</v>
      </c>
      <c r="F665" s="5" t="s">
        <v>2513</v>
      </c>
      <c r="G665" s="5" t="s">
        <v>3177</v>
      </c>
      <c r="H665" s="5"/>
      <c r="I665" s="9" t="s">
        <v>3230</v>
      </c>
      <c r="J665" s="5">
        <v>2029</v>
      </c>
      <c r="K665" s="5">
        <v>145</v>
      </c>
      <c r="L665" s="9" t="s">
        <v>3455</v>
      </c>
      <c r="M665" s="5"/>
      <c r="N665" s="9" t="s">
        <v>3990</v>
      </c>
      <c r="O665" s="9" t="str">
        <f t="shared" si="63"/>
        <v>PDFを開く</v>
      </c>
      <c r="P665" s="9" t="s">
        <v>644</v>
      </c>
    </row>
    <row r="666" spans="1:16" ht="33.950000000000003" customHeight="1">
      <c r="A666" s="2" t="s">
        <v>645</v>
      </c>
      <c r="B666" s="2" t="s">
        <v>73</v>
      </c>
      <c r="C666" s="8" t="s">
        <v>646</v>
      </c>
      <c r="D666" s="2">
        <v>2</v>
      </c>
      <c r="E666" s="8" t="s">
        <v>3176</v>
      </c>
      <c r="F666" s="2" t="s">
        <v>86</v>
      </c>
      <c r="G666" s="2" t="s">
        <v>3177</v>
      </c>
      <c r="H666" s="2"/>
      <c r="I666" s="8" t="s">
        <v>3302</v>
      </c>
      <c r="J666" s="2"/>
      <c r="K666" s="2">
        <v>897</v>
      </c>
      <c r="L666" s="8" t="s">
        <v>3889</v>
      </c>
      <c r="M666" s="2">
        <v>14.1</v>
      </c>
      <c r="N666" s="8" t="s">
        <v>3991</v>
      </c>
      <c r="O666" s="8" t="str">
        <f t="shared" ref="O666:O673" si="64">HYPERLINK("https://seichotoushi-hojo.jp/assets/pdf/koufu/outline_162.pdf","PDFを開く")</f>
        <v>PDFを開く</v>
      </c>
      <c r="P666" s="8" t="s">
        <v>652</v>
      </c>
    </row>
    <row r="667" spans="1:16" ht="33.950000000000003" customHeight="1">
      <c r="A667" s="5" t="s">
        <v>645</v>
      </c>
      <c r="B667" s="5" t="s">
        <v>73</v>
      </c>
      <c r="C667" s="9" t="s">
        <v>646</v>
      </c>
      <c r="D667" s="5">
        <v>2</v>
      </c>
      <c r="E667" s="9" t="s">
        <v>3176</v>
      </c>
      <c r="F667" s="5" t="s">
        <v>86</v>
      </c>
      <c r="G667" s="5" t="s">
        <v>3177</v>
      </c>
      <c r="H667" s="5"/>
      <c r="I667" s="9" t="s">
        <v>3305</v>
      </c>
      <c r="J667" s="5"/>
      <c r="K667" s="5">
        <v>1332</v>
      </c>
      <c r="L667" s="9" t="s">
        <v>3992</v>
      </c>
      <c r="M667" s="5">
        <v>14.1</v>
      </c>
      <c r="N667" s="9" t="s">
        <v>3991</v>
      </c>
      <c r="O667" s="9" t="str">
        <f t="shared" si="64"/>
        <v>PDFを開く</v>
      </c>
      <c r="P667" s="9" t="s">
        <v>652</v>
      </c>
    </row>
    <row r="668" spans="1:16" ht="33.950000000000003" customHeight="1">
      <c r="A668" s="2" t="s">
        <v>645</v>
      </c>
      <c r="B668" s="2" t="s">
        <v>73</v>
      </c>
      <c r="C668" s="8" t="s">
        <v>646</v>
      </c>
      <c r="D668" s="2">
        <v>2</v>
      </c>
      <c r="E668" s="8" t="s">
        <v>3184</v>
      </c>
      <c r="F668" s="2" t="s">
        <v>86</v>
      </c>
      <c r="G668" s="2" t="s">
        <v>3177</v>
      </c>
      <c r="H668" s="2"/>
      <c r="I668" s="8" t="s">
        <v>3302</v>
      </c>
      <c r="J668" s="2"/>
      <c r="K668" s="2">
        <v>530</v>
      </c>
      <c r="L668" s="8" t="s">
        <v>3993</v>
      </c>
      <c r="M668" s="2">
        <v>8.9</v>
      </c>
      <c r="N668" s="8" t="s">
        <v>3994</v>
      </c>
      <c r="O668" s="8" t="str">
        <f t="shared" si="64"/>
        <v>PDFを開く</v>
      </c>
      <c r="P668" s="8" t="s">
        <v>652</v>
      </c>
    </row>
    <row r="669" spans="1:16" ht="33.950000000000003" customHeight="1">
      <c r="A669" s="5" t="s">
        <v>645</v>
      </c>
      <c r="B669" s="5" t="s">
        <v>73</v>
      </c>
      <c r="C669" s="9" t="s">
        <v>646</v>
      </c>
      <c r="D669" s="5">
        <v>2</v>
      </c>
      <c r="E669" s="9" t="s">
        <v>3184</v>
      </c>
      <c r="F669" s="5" t="s">
        <v>86</v>
      </c>
      <c r="G669" s="5" t="s">
        <v>3177</v>
      </c>
      <c r="H669" s="5"/>
      <c r="I669" s="9" t="s">
        <v>3305</v>
      </c>
      <c r="J669" s="5"/>
      <c r="K669" s="5">
        <v>685</v>
      </c>
      <c r="L669" s="9" t="s">
        <v>3995</v>
      </c>
      <c r="M669" s="5">
        <v>8.9</v>
      </c>
      <c r="N669" s="9" t="s">
        <v>3994</v>
      </c>
      <c r="O669" s="9" t="str">
        <f t="shared" si="64"/>
        <v>PDFを開く</v>
      </c>
      <c r="P669" s="9" t="s">
        <v>652</v>
      </c>
    </row>
    <row r="670" spans="1:16" ht="33.950000000000003" customHeight="1">
      <c r="A670" s="2" t="s">
        <v>645</v>
      </c>
      <c r="B670" s="2" t="s">
        <v>73</v>
      </c>
      <c r="C670" s="8" t="s">
        <v>646</v>
      </c>
      <c r="D670" s="2">
        <v>2</v>
      </c>
      <c r="E670" s="8" t="s">
        <v>3188</v>
      </c>
      <c r="F670" s="2" t="s">
        <v>86</v>
      </c>
      <c r="G670" s="2" t="s">
        <v>3177</v>
      </c>
      <c r="H670" s="2"/>
      <c r="I670" s="8" t="s">
        <v>3302</v>
      </c>
      <c r="J670" s="2"/>
      <c r="K670" s="2">
        <v>1753</v>
      </c>
      <c r="L670" s="8" t="s">
        <v>3996</v>
      </c>
      <c r="M670" s="2">
        <v>5.0999999999999996</v>
      </c>
      <c r="N670" s="8" t="s">
        <v>3997</v>
      </c>
      <c r="O670" s="8" t="str">
        <f t="shared" si="64"/>
        <v>PDFを開く</v>
      </c>
      <c r="P670" s="8" t="s">
        <v>652</v>
      </c>
    </row>
    <row r="671" spans="1:16" ht="33.950000000000003" customHeight="1">
      <c r="A671" s="5" t="s">
        <v>645</v>
      </c>
      <c r="B671" s="5" t="s">
        <v>73</v>
      </c>
      <c r="C671" s="9" t="s">
        <v>646</v>
      </c>
      <c r="D671" s="5">
        <v>2</v>
      </c>
      <c r="E671" s="9" t="s">
        <v>3188</v>
      </c>
      <c r="F671" s="5" t="s">
        <v>86</v>
      </c>
      <c r="G671" s="5" t="s">
        <v>3177</v>
      </c>
      <c r="H671" s="5"/>
      <c r="I671" s="9" t="s">
        <v>3305</v>
      </c>
      <c r="J671" s="5"/>
      <c r="K671" s="5">
        <v>2033</v>
      </c>
      <c r="L671" s="9" t="s">
        <v>3998</v>
      </c>
      <c r="M671" s="5">
        <v>5.0999999999999996</v>
      </c>
      <c r="N671" s="9" t="s">
        <v>3997</v>
      </c>
      <c r="O671" s="9" t="str">
        <f t="shared" si="64"/>
        <v>PDFを開く</v>
      </c>
      <c r="P671" s="9" t="s">
        <v>652</v>
      </c>
    </row>
    <row r="672" spans="1:16" ht="33.950000000000003" customHeight="1">
      <c r="A672" s="2" t="s">
        <v>645</v>
      </c>
      <c r="B672" s="2" t="s">
        <v>73</v>
      </c>
      <c r="C672" s="8" t="s">
        <v>646</v>
      </c>
      <c r="D672" s="2">
        <v>2</v>
      </c>
      <c r="E672" s="8" t="s">
        <v>3191</v>
      </c>
      <c r="F672" s="2" t="s">
        <v>2513</v>
      </c>
      <c r="G672" s="2" t="s">
        <v>3177</v>
      </c>
      <c r="H672" s="2"/>
      <c r="I672" s="8" t="s">
        <v>3302</v>
      </c>
      <c r="J672" s="2"/>
      <c r="K672" s="2">
        <v>136</v>
      </c>
      <c r="L672" s="8" t="s">
        <v>3999</v>
      </c>
      <c r="M672" s="2"/>
      <c r="N672" s="8" t="s">
        <v>4000</v>
      </c>
      <c r="O672" s="8" t="str">
        <f t="shared" si="64"/>
        <v>PDFを開く</v>
      </c>
      <c r="P672" s="8" t="s">
        <v>652</v>
      </c>
    </row>
    <row r="673" spans="1:16" ht="33.950000000000003" customHeight="1">
      <c r="A673" s="5" t="s">
        <v>645</v>
      </c>
      <c r="B673" s="5" t="s">
        <v>73</v>
      </c>
      <c r="C673" s="9" t="s">
        <v>646</v>
      </c>
      <c r="D673" s="5">
        <v>2</v>
      </c>
      <c r="E673" s="9" t="s">
        <v>3191</v>
      </c>
      <c r="F673" s="5" t="s">
        <v>2513</v>
      </c>
      <c r="G673" s="5" t="s">
        <v>3177</v>
      </c>
      <c r="H673" s="5"/>
      <c r="I673" s="9" t="s">
        <v>3305</v>
      </c>
      <c r="J673" s="5"/>
      <c r="K673" s="5">
        <v>141</v>
      </c>
      <c r="L673" s="9" t="s">
        <v>4001</v>
      </c>
      <c r="M673" s="5"/>
      <c r="N673" s="9" t="s">
        <v>4000</v>
      </c>
      <c r="O673" s="9" t="str">
        <f t="shared" si="64"/>
        <v>PDFを開く</v>
      </c>
      <c r="P673" s="9" t="s">
        <v>652</v>
      </c>
    </row>
    <row r="674" spans="1:16" ht="33.950000000000003" customHeight="1">
      <c r="A674" s="2" t="s">
        <v>653</v>
      </c>
      <c r="B674" s="2" t="s">
        <v>73</v>
      </c>
      <c r="C674" s="8" t="s">
        <v>654</v>
      </c>
      <c r="D674" s="2">
        <v>2</v>
      </c>
      <c r="E674" s="8" t="s">
        <v>3176</v>
      </c>
      <c r="F674" s="2" t="s">
        <v>86</v>
      </c>
      <c r="G674" s="2" t="s">
        <v>3177</v>
      </c>
      <c r="H674" s="2" t="s">
        <v>3178</v>
      </c>
      <c r="I674" s="8" t="s">
        <v>3179</v>
      </c>
      <c r="J674" s="2">
        <v>2026</v>
      </c>
      <c r="K674" s="2">
        <v>1400</v>
      </c>
      <c r="L674" s="8" t="s">
        <v>4002</v>
      </c>
      <c r="M674" s="2">
        <v>5.5</v>
      </c>
      <c r="N674" s="8" t="s">
        <v>4003</v>
      </c>
      <c r="O674" s="8" t="str">
        <f t="shared" ref="O674:O682" si="65">HYPERLINK("https://seichotoushi-hojo.jp/assets/pdf/koufu/outline_164.pdf","PDFを開く")</f>
        <v>PDFを開く</v>
      </c>
      <c r="P674" s="8" t="s">
        <v>662</v>
      </c>
    </row>
    <row r="675" spans="1:16" ht="33.950000000000003" customHeight="1">
      <c r="A675" s="5" t="s">
        <v>653</v>
      </c>
      <c r="B675" s="5" t="s">
        <v>73</v>
      </c>
      <c r="C675" s="9" t="s">
        <v>654</v>
      </c>
      <c r="D675" s="5">
        <v>2</v>
      </c>
      <c r="E675" s="9" t="s">
        <v>3176</v>
      </c>
      <c r="F675" s="5" t="s">
        <v>86</v>
      </c>
      <c r="G675" s="5" t="s">
        <v>3177</v>
      </c>
      <c r="H675" s="5" t="s">
        <v>3178</v>
      </c>
      <c r="I675" s="9" t="s">
        <v>3182</v>
      </c>
      <c r="J675" s="5">
        <v>2029</v>
      </c>
      <c r="K675" s="5">
        <v>1643</v>
      </c>
      <c r="L675" s="9" t="s">
        <v>4004</v>
      </c>
      <c r="M675" s="5">
        <v>5.5</v>
      </c>
      <c r="N675" s="9" t="s">
        <v>4003</v>
      </c>
      <c r="O675" s="9" t="str">
        <f t="shared" si="65"/>
        <v>PDFを開く</v>
      </c>
      <c r="P675" s="9" t="s">
        <v>662</v>
      </c>
    </row>
    <row r="676" spans="1:16" ht="33.950000000000003" customHeight="1">
      <c r="A676" s="2" t="s">
        <v>653</v>
      </c>
      <c r="B676" s="2" t="s">
        <v>73</v>
      </c>
      <c r="C676" s="8" t="s">
        <v>654</v>
      </c>
      <c r="D676" s="2">
        <v>2</v>
      </c>
      <c r="E676" s="8" t="s">
        <v>3184</v>
      </c>
      <c r="F676" s="2" t="s">
        <v>86</v>
      </c>
      <c r="G676" s="2" t="s">
        <v>3177</v>
      </c>
      <c r="H676" s="2" t="s">
        <v>3178</v>
      </c>
      <c r="I676" s="8" t="s">
        <v>3179</v>
      </c>
      <c r="J676" s="2">
        <v>2026</v>
      </c>
      <c r="K676" s="2">
        <v>501</v>
      </c>
      <c r="L676" s="8" t="s">
        <v>4005</v>
      </c>
      <c r="M676" s="2">
        <v>4.0999999999999996</v>
      </c>
      <c r="N676" s="8" t="s">
        <v>4006</v>
      </c>
      <c r="O676" s="8" t="str">
        <f t="shared" si="65"/>
        <v>PDFを開く</v>
      </c>
      <c r="P676" s="8" t="s">
        <v>662</v>
      </c>
    </row>
    <row r="677" spans="1:16" ht="33.950000000000003" customHeight="1">
      <c r="A677" s="5" t="s">
        <v>653</v>
      </c>
      <c r="B677" s="5" t="s">
        <v>73</v>
      </c>
      <c r="C677" s="9" t="s">
        <v>654</v>
      </c>
      <c r="D677" s="5">
        <v>2</v>
      </c>
      <c r="E677" s="9" t="s">
        <v>3184</v>
      </c>
      <c r="F677" s="5" t="s">
        <v>86</v>
      </c>
      <c r="G677" s="5" t="s">
        <v>3177</v>
      </c>
      <c r="H677" s="5" t="s">
        <v>3178</v>
      </c>
      <c r="I677" s="9" t="s">
        <v>3182</v>
      </c>
      <c r="J677" s="5">
        <v>2029</v>
      </c>
      <c r="K677" s="5">
        <v>564</v>
      </c>
      <c r="L677" s="9" t="s">
        <v>4007</v>
      </c>
      <c r="M677" s="5">
        <v>4.0999999999999996</v>
      </c>
      <c r="N677" s="9" t="s">
        <v>4006</v>
      </c>
      <c r="O677" s="9" t="str">
        <f t="shared" si="65"/>
        <v>PDFを開く</v>
      </c>
      <c r="P677" s="9" t="s">
        <v>662</v>
      </c>
    </row>
    <row r="678" spans="1:16" ht="33.950000000000003" customHeight="1">
      <c r="A678" s="2" t="s">
        <v>653</v>
      </c>
      <c r="B678" s="2" t="s">
        <v>73</v>
      </c>
      <c r="C678" s="8" t="s">
        <v>654</v>
      </c>
      <c r="D678" s="2">
        <v>2</v>
      </c>
      <c r="E678" s="8" t="s">
        <v>3188</v>
      </c>
      <c r="F678" s="2" t="s">
        <v>86</v>
      </c>
      <c r="G678" s="19" t="s">
        <v>3189</v>
      </c>
      <c r="H678" s="2" t="s">
        <v>3178</v>
      </c>
      <c r="I678" s="8"/>
      <c r="J678" s="2"/>
      <c r="K678" s="2"/>
      <c r="L678" s="8"/>
      <c r="M678" s="2">
        <v>5</v>
      </c>
      <c r="N678" s="8" t="s">
        <v>3377</v>
      </c>
      <c r="O678" s="8" t="str">
        <f t="shared" si="65"/>
        <v>PDFを開く</v>
      </c>
      <c r="P678" s="8" t="s">
        <v>662</v>
      </c>
    </row>
    <row r="679" spans="1:16" ht="33.950000000000003" customHeight="1">
      <c r="A679" s="5" t="s">
        <v>653</v>
      </c>
      <c r="B679" s="5" t="s">
        <v>73</v>
      </c>
      <c r="C679" s="9" t="s">
        <v>654</v>
      </c>
      <c r="D679" s="5">
        <v>2</v>
      </c>
      <c r="E679" s="9" t="s">
        <v>3191</v>
      </c>
      <c r="F679" s="5" t="s">
        <v>2513</v>
      </c>
      <c r="G679" s="5" t="s">
        <v>3177</v>
      </c>
      <c r="H679" s="5" t="s">
        <v>3178</v>
      </c>
      <c r="I679" s="9" t="s">
        <v>3179</v>
      </c>
      <c r="J679" s="5">
        <v>2026</v>
      </c>
      <c r="K679" s="5">
        <v>209</v>
      </c>
      <c r="L679" s="9" t="s">
        <v>4008</v>
      </c>
      <c r="M679" s="5"/>
      <c r="N679" s="9" t="s">
        <v>4009</v>
      </c>
      <c r="O679" s="9" t="str">
        <f t="shared" si="65"/>
        <v>PDFを開く</v>
      </c>
      <c r="P679" s="9" t="s">
        <v>662</v>
      </c>
    </row>
    <row r="680" spans="1:16" ht="33.950000000000003" customHeight="1">
      <c r="A680" s="2" t="s">
        <v>653</v>
      </c>
      <c r="B680" s="2" t="s">
        <v>73</v>
      </c>
      <c r="C680" s="8" t="s">
        <v>654</v>
      </c>
      <c r="D680" s="2">
        <v>2</v>
      </c>
      <c r="E680" s="8" t="s">
        <v>3191</v>
      </c>
      <c r="F680" s="2" t="s">
        <v>2513</v>
      </c>
      <c r="G680" s="2" t="s">
        <v>3177</v>
      </c>
      <c r="H680" s="2" t="s">
        <v>3178</v>
      </c>
      <c r="I680" s="8" t="s">
        <v>3182</v>
      </c>
      <c r="J680" s="2">
        <v>2029</v>
      </c>
      <c r="K680" s="2">
        <v>222</v>
      </c>
      <c r="L680" s="8" t="s">
        <v>4010</v>
      </c>
      <c r="M680" s="2"/>
      <c r="N680" s="8" t="s">
        <v>4009</v>
      </c>
      <c r="O680" s="8" t="str">
        <f t="shared" si="65"/>
        <v>PDFを開く</v>
      </c>
      <c r="P680" s="8" t="s">
        <v>662</v>
      </c>
    </row>
    <row r="681" spans="1:16" ht="33.950000000000003" customHeight="1">
      <c r="A681" s="5" t="s">
        <v>653</v>
      </c>
      <c r="B681" s="5" t="s">
        <v>73</v>
      </c>
      <c r="C681" s="9" t="s">
        <v>654</v>
      </c>
      <c r="D681" s="5">
        <v>2</v>
      </c>
      <c r="E681" s="9" t="s">
        <v>3188</v>
      </c>
      <c r="F681" s="5" t="s">
        <v>86</v>
      </c>
      <c r="G681" s="5" t="s">
        <v>3177</v>
      </c>
      <c r="H681" s="5"/>
      <c r="I681" s="9" t="s">
        <v>4011</v>
      </c>
      <c r="J681" s="5">
        <v>2026</v>
      </c>
      <c r="K681" s="5"/>
      <c r="L681" s="9" t="s">
        <v>3211</v>
      </c>
      <c r="M681" s="5">
        <v>5</v>
      </c>
      <c r="N681" s="9" t="s">
        <v>3382</v>
      </c>
      <c r="O681" s="9" t="str">
        <f t="shared" si="65"/>
        <v>PDFを開く</v>
      </c>
      <c r="P681" s="9" t="s">
        <v>662</v>
      </c>
    </row>
    <row r="682" spans="1:16" ht="33.950000000000003" customHeight="1">
      <c r="A682" s="2" t="s">
        <v>653</v>
      </c>
      <c r="B682" s="2" t="s">
        <v>73</v>
      </c>
      <c r="C682" s="8" t="s">
        <v>654</v>
      </c>
      <c r="D682" s="2">
        <v>2</v>
      </c>
      <c r="E682" s="8" t="s">
        <v>3188</v>
      </c>
      <c r="F682" s="2" t="s">
        <v>86</v>
      </c>
      <c r="G682" s="2" t="s">
        <v>3177</v>
      </c>
      <c r="H682" s="2"/>
      <c r="I682" s="8" t="s">
        <v>4012</v>
      </c>
      <c r="J682" s="2">
        <v>2029</v>
      </c>
      <c r="K682" s="2"/>
      <c r="L682" s="8" t="s">
        <v>3384</v>
      </c>
      <c r="M682" s="2">
        <v>5</v>
      </c>
      <c r="N682" s="8" t="s">
        <v>3382</v>
      </c>
      <c r="O682" s="8" t="str">
        <f t="shared" si="65"/>
        <v>PDFを開く</v>
      </c>
      <c r="P682" s="8" t="s">
        <v>662</v>
      </c>
    </row>
    <row r="683" spans="1:16" ht="33.950000000000003" customHeight="1">
      <c r="A683" s="5" t="s">
        <v>663</v>
      </c>
      <c r="B683" s="5" t="s">
        <v>73</v>
      </c>
      <c r="C683" s="9" t="s">
        <v>664</v>
      </c>
      <c r="D683" s="5">
        <v>2</v>
      </c>
      <c r="E683" s="9" t="s">
        <v>3176</v>
      </c>
      <c r="F683" s="5" t="s">
        <v>86</v>
      </c>
      <c r="G683" s="5" t="s">
        <v>3177</v>
      </c>
      <c r="H683" s="5" t="s">
        <v>3178</v>
      </c>
      <c r="I683" s="9" t="s">
        <v>3179</v>
      </c>
      <c r="J683" s="5">
        <v>2026</v>
      </c>
      <c r="K683" s="5">
        <v>1492</v>
      </c>
      <c r="L683" s="9" t="s">
        <v>3245</v>
      </c>
      <c r="M683" s="5">
        <v>20</v>
      </c>
      <c r="N683" s="9" t="s">
        <v>4013</v>
      </c>
      <c r="O683" s="9" t="str">
        <f t="shared" ref="O683:O692" si="66">HYPERLINK("https://seichotoushi-hojo.jp/assets/pdf/koufu/outline_166.pdf","PDFを開く")</f>
        <v>PDFを開く</v>
      </c>
      <c r="P683" s="9" t="s">
        <v>670</v>
      </c>
    </row>
    <row r="684" spans="1:16" ht="33.950000000000003" customHeight="1">
      <c r="A684" s="2" t="s">
        <v>663</v>
      </c>
      <c r="B684" s="2" t="s">
        <v>73</v>
      </c>
      <c r="C684" s="8" t="s">
        <v>664</v>
      </c>
      <c r="D684" s="2">
        <v>2</v>
      </c>
      <c r="E684" s="8" t="s">
        <v>3176</v>
      </c>
      <c r="F684" s="2" t="s">
        <v>86</v>
      </c>
      <c r="G684" s="2" t="s">
        <v>3177</v>
      </c>
      <c r="H684" s="2" t="s">
        <v>3178</v>
      </c>
      <c r="I684" s="8" t="s">
        <v>3182</v>
      </c>
      <c r="J684" s="2">
        <v>2029</v>
      </c>
      <c r="K684" s="2">
        <v>2579</v>
      </c>
      <c r="L684" s="8" t="s">
        <v>4014</v>
      </c>
      <c r="M684" s="2">
        <v>20</v>
      </c>
      <c r="N684" s="8" t="s">
        <v>4013</v>
      </c>
      <c r="O684" s="8" t="str">
        <f t="shared" si="66"/>
        <v>PDFを開く</v>
      </c>
      <c r="P684" s="8" t="s">
        <v>670</v>
      </c>
    </row>
    <row r="685" spans="1:16" ht="33.950000000000003" customHeight="1">
      <c r="A685" s="5" t="s">
        <v>663</v>
      </c>
      <c r="B685" s="5" t="s">
        <v>73</v>
      </c>
      <c r="C685" s="9" t="s">
        <v>664</v>
      </c>
      <c r="D685" s="5">
        <v>2</v>
      </c>
      <c r="E685" s="9" t="s">
        <v>3184</v>
      </c>
      <c r="F685" s="5" t="s">
        <v>86</v>
      </c>
      <c r="G685" s="5" t="s">
        <v>3177</v>
      </c>
      <c r="H685" s="5" t="s">
        <v>3178</v>
      </c>
      <c r="I685" s="9" t="s">
        <v>3179</v>
      </c>
      <c r="J685" s="5">
        <v>2026</v>
      </c>
      <c r="K685" s="5">
        <v>622</v>
      </c>
      <c r="L685" s="9" t="s">
        <v>4015</v>
      </c>
      <c r="M685" s="5">
        <v>2</v>
      </c>
      <c r="N685" s="9" t="s">
        <v>4016</v>
      </c>
      <c r="O685" s="9" t="str">
        <f t="shared" si="66"/>
        <v>PDFを開く</v>
      </c>
      <c r="P685" s="9" t="s">
        <v>670</v>
      </c>
    </row>
    <row r="686" spans="1:16" ht="33.950000000000003" customHeight="1">
      <c r="A686" s="2" t="s">
        <v>663</v>
      </c>
      <c r="B686" s="2" t="s">
        <v>73</v>
      </c>
      <c r="C686" s="8" t="s">
        <v>664</v>
      </c>
      <c r="D686" s="2">
        <v>2</v>
      </c>
      <c r="E686" s="8" t="s">
        <v>3184</v>
      </c>
      <c r="F686" s="2" t="s">
        <v>86</v>
      </c>
      <c r="G686" s="2" t="s">
        <v>3177</v>
      </c>
      <c r="H686" s="2" t="s">
        <v>3178</v>
      </c>
      <c r="I686" s="8" t="s">
        <v>3182</v>
      </c>
      <c r="J686" s="2">
        <v>2029</v>
      </c>
      <c r="K686" s="2">
        <v>723</v>
      </c>
      <c r="L686" s="8" t="s">
        <v>4017</v>
      </c>
      <c r="M686" s="2">
        <v>2</v>
      </c>
      <c r="N686" s="8" t="s">
        <v>4016</v>
      </c>
      <c r="O686" s="8" t="str">
        <f t="shared" si="66"/>
        <v>PDFを開く</v>
      </c>
      <c r="P686" s="8" t="s">
        <v>670</v>
      </c>
    </row>
    <row r="687" spans="1:16" ht="33.950000000000003" customHeight="1">
      <c r="A687" s="5" t="s">
        <v>663</v>
      </c>
      <c r="B687" s="5" t="s">
        <v>73</v>
      </c>
      <c r="C687" s="9" t="s">
        <v>664</v>
      </c>
      <c r="D687" s="5">
        <v>2</v>
      </c>
      <c r="E687" s="9" t="s">
        <v>3188</v>
      </c>
      <c r="F687" s="5" t="s">
        <v>86</v>
      </c>
      <c r="G687" s="5" t="s">
        <v>3177</v>
      </c>
      <c r="H687" s="5" t="s">
        <v>3178</v>
      </c>
      <c r="I687" s="9" t="s">
        <v>3179</v>
      </c>
      <c r="J687" s="5">
        <v>2026</v>
      </c>
      <c r="K687" s="5">
        <v>1428</v>
      </c>
      <c r="L687" s="9" t="s">
        <v>3570</v>
      </c>
      <c r="M687" s="5">
        <v>5</v>
      </c>
      <c r="N687" s="9" t="s">
        <v>4018</v>
      </c>
      <c r="O687" s="9" t="str">
        <f t="shared" si="66"/>
        <v>PDFを開く</v>
      </c>
      <c r="P687" s="9" t="s">
        <v>670</v>
      </c>
    </row>
    <row r="688" spans="1:16" ht="33.950000000000003" customHeight="1">
      <c r="A688" s="2" t="s">
        <v>663</v>
      </c>
      <c r="B688" s="2" t="s">
        <v>73</v>
      </c>
      <c r="C688" s="8" t="s">
        <v>664</v>
      </c>
      <c r="D688" s="2">
        <v>2</v>
      </c>
      <c r="E688" s="8" t="s">
        <v>3188</v>
      </c>
      <c r="F688" s="2" t="s">
        <v>86</v>
      </c>
      <c r="G688" s="2" t="s">
        <v>3177</v>
      </c>
      <c r="H688" s="2" t="s">
        <v>3178</v>
      </c>
      <c r="I688" s="8" t="s">
        <v>3182</v>
      </c>
      <c r="J688" s="2">
        <v>2029</v>
      </c>
      <c r="K688" s="2">
        <v>1653</v>
      </c>
      <c r="L688" s="8" t="s">
        <v>3655</v>
      </c>
      <c r="M688" s="2">
        <v>5</v>
      </c>
      <c r="N688" s="8" t="s">
        <v>4018</v>
      </c>
      <c r="O688" s="8" t="str">
        <f t="shared" si="66"/>
        <v>PDFを開く</v>
      </c>
      <c r="P688" s="8" t="s">
        <v>670</v>
      </c>
    </row>
    <row r="689" spans="1:16" ht="33.950000000000003" customHeight="1">
      <c r="A689" s="5" t="s">
        <v>663</v>
      </c>
      <c r="B689" s="5" t="s">
        <v>73</v>
      </c>
      <c r="C689" s="9" t="s">
        <v>664</v>
      </c>
      <c r="D689" s="5">
        <v>2</v>
      </c>
      <c r="E689" s="9" t="s">
        <v>3191</v>
      </c>
      <c r="F689" s="5" t="s">
        <v>2513</v>
      </c>
      <c r="G689" s="5" t="s">
        <v>3177</v>
      </c>
      <c r="H689" s="5" t="s">
        <v>3178</v>
      </c>
      <c r="I689" s="9" t="s">
        <v>3179</v>
      </c>
      <c r="J689" s="5">
        <v>2026</v>
      </c>
      <c r="K689" s="5">
        <v>33</v>
      </c>
      <c r="L689" s="9" t="s">
        <v>3554</v>
      </c>
      <c r="M689" s="5"/>
      <c r="N689" s="9" t="s">
        <v>4019</v>
      </c>
      <c r="O689" s="9" t="str">
        <f t="shared" si="66"/>
        <v>PDFを開く</v>
      </c>
      <c r="P689" s="9" t="s">
        <v>670</v>
      </c>
    </row>
    <row r="690" spans="1:16" ht="33.950000000000003" customHeight="1">
      <c r="A690" s="2" t="s">
        <v>663</v>
      </c>
      <c r="B690" s="2" t="s">
        <v>73</v>
      </c>
      <c r="C690" s="8" t="s">
        <v>664</v>
      </c>
      <c r="D690" s="2">
        <v>2</v>
      </c>
      <c r="E690" s="8" t="s">
        <v>3191</v>
      </c>
      <c r="F690" s="2" t="s">
        <v>2513</v>
      </c>
      <c r="G690" s="2" t="s">
        <v>3177</v>
      </c>
      <c r="H690" s="2" t="s">
        <v>3178</v>
      </c>
      <c r="I690" s="8" t="s">
        <v>3182</v>
      </c>
      <c r="J690" s="2">
        <v>2029</v>
      </c>
      <c r="K690" s="2">
        <v>59</v>
      </c>
      <c r="L690" s="8" t="s">
        <v>4020</v>
      </c>
      <c r="M690" s="2"/>
      <c r="N690" s="8" t="s">
        <v>4019</v>
      </c>
      <c r="O690" s="8" t="str">
        <f t="shared" si="66"/>
        <v>PDFを開く</v>
      </c>
      <c r="P690" s="8" t="s">
        <v>670</v>
      </c>
    </row>
    <row r="691" spans="1:16" ht="33.950000000000003" customHeight="1">
      <c r="A691" s="5" t="s">
        <v>663</v>
      </c>
      <c r="B691" s="5" t="s">
        <v>73</v>
      </c>
      <c r="C691" s="9" t="s">
        <v>664</v>
      </c>
      <c r="D691" s="5">
        <v>2</v>
      </c>
      <c r="E691" s="9" t="s">
        <v>3184</v>
      </c>
      <c r="F691" s="5" t="s">
        <v>86</v>
      </c>
      <c r="G691" s="5" t="s">
        <v>3177</v>
      </c>
      <c r="H691" s="5"/>
      <c r="I691" s="9" t="s">
        <v>3227</v>
      </c>
      <c r="J691" s="5">
        <v>2026</v>
      </c>
      <c r="K691" s="5">
        <v>622</v>
      </c>
      <c r="L691" s="9" t="s">
        <v>4015</v>
      </c>
      <c r="M691" s="5">
        <v>5.2</v>
      </c>
      <c r="N691" s="9" t="s">
        <v>4021</v>
      </c>
      <c r="O691" s="9" t="str">
        <f t="shared" si="66"/>
        <v>PDFを開く</v>
      </c>
      <c r="P691" s="9" t="s">
        <v>670</v>
      </c>
    </row>
    <row r="692" spans="1:16" ht="33.950000000000003" customHeight="1">
      <c r="A692" s="2" t="s">
        <v>663</v>
      </c>
      <c r="B692" s="2" t="s">
        <v>73</v>
      </c>
      <c r="C692" s="8" t="s">
        <v>664</v>
      </c>
      <c r="D692" s="2">
        <v>2</v>
      </c>
      <c r="E692" s="8" t="s">
        <v>3184</v>
      </c>
      <c r="F692" s="2" t="s">
        <v>86</v>
      </c>
      <c r="G692" s="2" t="s">
        <v>3177</v>
      </c>
      <c r="H692" s="2"/>
      <c r="I692" s="8" t="s">
        <v>3230</v>
      </c>
      <c r="J692" s="2">
        <v>2029</v>
      </c>
      <c r="K692" s="2">
        <v>723</v>
      </c>
      <c r="L692" s="8" t="s">
        <v>4017</v>
      </c>
      <c r="M692" s="2">
        <v>5.2</v>
      </c>
      <c r="N692" s="8" t="s">
        <v>4021</v>
      </c>
      <c r="O692" s="8" t="str">
        <f t="shared" si="66"/>
        <v>PDFを開く</v>
      </c>
      <c r="P692" s="8" t="s">
        <v>670</v>
      </c>
    </row>
    <row r="693" spans="1:16" ht="33.950000000000003" customHeight="1">
      <c r="A693" s="5" t="s">
        <v>671</v>
      </c>
      <c r="B693" s="5" t="s">
        <v>73</v>
      </c>
      <c r="C693" s="9" t="s">
        <v>672</v>
      </c>
      <c r="D693" s="5">
        <v>2</v>
      </c>
      <c r="E693" s="9" t="s">
        <v>3176</v>
      </c>
      <c r="F693" s="5" t="s">
        <v>86</v>
      </c>
      <c r="G693" s="5" t="s">
        <v>3177</v>
      </c>
      <c r="H693" s="5" t="s">
        <v>3178</v>
      </c>
      <c r="I693" s="9" t="s">
        <v>3845</v>
      </c>
      <c r="J693" s="5">
        <v>2026</v>
      </c>
      <c r="K693" s="5">
        <v>1554</v>
      </c>
      <c r="L693" s="9" t="s">
        <v>4022</v>
      </c>
      <c r="M693" s="5">
        <v>7.1</v>
      </c>
      <c r="N693" s="9" t="s">
        <v>4023</v>
      </c>
      <c r="O693" s="9" t="str">
        <f t="shared" ref="O693:O700" si="67">HYPERLINK("https://seichotoushi-hojo.jp/assets/pdf/koufu/outline_167.pdf","PDFを開く")</f>
        <v>PDFを開く</v>
      </c>
      <c r="P693" s="9" t="s">
        <v>679</v>
      </c>
    </row>
    <row r="694" spans="1:16" ht="33.950000000000003" customHeight="1">
      <c r="A694" s="2" t="s">
        <v>671</v>
      </c>
      <c r="B694" s="2" t="s">
        <v>73</v>
      </c>
      <c r="C694" s="8" t="s">
        <v>672</v>
      </c>
      <c r="D694" s="2">
        <v>2</v>
      </c>
      <c r="E694" s="8" t="s">
        <v>3176</v>
      </c>
      <c r="F694" s="2" t="s">
        <v>86</v>
      </c>
      <c r="G694" s="2" t="s">
        <v>3177</v>
      </c>
      <c r="H694" s="2" t="s">
        <v>3178</v>
      </c>
      <c r="I694" s="8" t="s">
        <v>3848</v>
      </c>
      <c r="J694" s="2">
        <v>2029</v>
      </c>
      <c r="K694" s="2">
        <v>1911</v>
      </c>
      <c r="L694" s="8" t="s">
        <v>4024</v>
      </c>
      <c r="M694" s="2">
        <v>7.1</v>
      </c>
      <c r="N694" s="8" t="s">
        <v>4023</v>
      </c>
      <c r="O694" s="8" t="str">
        <f t="shared" si="67"/>
        <v>PDFを開く</v>
      </c>
      <c r="P694" s="8" t="s">
        <v>679</v>
      </c>
    </row>
    <row r="695" spans="1:16" ht="33.950000000000003" customHeight="1">
      <c r="A695" s="5" t="s">
        <v>671</v>
      </c>
      <c r="B695" s="5" t="s">
        <v>73</v>
      </c>
      <c r="C695" s="9" t="s">
        <v>672</v>
      </c>
      <c r="D695" s="5">
        <v>2</v>
      </c>
      <c r="E695" s="9" t="s">
        <v>3184</v>
      </c>
      <c r="F695" s="5" t="s">
        <v>86</v>
      </c>
      <c r="G695" s="5" t="s">
        <v>3177</v>
      </c>
      <c r="H695" s="5" t="s">
        <v>3178</v>
      </c>
      <c r="I695" s="9" t="s">
        <v>3845</v>
      </c>
      <c r="J695" s="5">
        <v>2026</v>
      </c>
      <c r="K695" s="5">
        <v>558</v>
      </c>
      <c r="L695" s="9" t="s">
        <v>3461</v>
      </c>
      <c r="M695" s="5">
        <v>5</v>
      </c>
      <c r="N695" s="9" t="s">
        <v>4025</v>
      </c>
      <c r="O695" s="9" t="str">
        <f t="shared" si="67"/>
        <v>PDFを開く</v>
      </c>
      <c r="P695" s="9" t="s">
        <v>679</v>
      </c>
    </row>
    <row r="696" spans="1:16" ht="33.950000000000003" customHeight="1">
      <c r="A696" s="2" t="s">
        <v>671</v>
      </c>
      <c r="B696" s="2" t="s">
        <v>73</v>
      </c>
      <c r="C696" s="8" t="s">
        <v>672</v>
      </c>
      <c r="D696" s="2">
        <v>2</v>
      </c>
      <c r="E696" s="8" t="s">
        <v>3184</v>
      </c>
      <c r="F696" s="2" t="s">
        <v>86</v>
      </c>
      <c r="G696" s="2" t="s">
        <v>3177</v>
      </c>
      <c r="H696" s="2" t="s">
        <v>3178</v>
      </c>
      <c r="I696" s="8" t="s">
        <v>3848</v>
      </c>
      <c r="J696" s="2">
        <v>2029</v>
      </c>
      <c r="K696" s="2">
        <v>646</v>
      </c>
      <c r="L696" s="8" t="s">
        <v>4026</v>
      </c>
      <c r="M696" s="2">
        <v>5</v>
      </c>
      <c r="N696" s="8" t="s">
        <v>4025</v>
      </c>
      <c r="O696" s="8" t="str">
        <f t="shared" si="67"/>
        <v>PDFを開く</v>
      </c>
      <c r="P696" s="8" t="s">
        <v>679</v>
      </c>
    </row>
    <row r="697" spans="1:16" ht="33.950000000000003" customHeight="1">
      <c r="A697" s="5" t="s">
        <v>671</v>
      </c>
      <c r="B697" s="5" t="s">
        <v>73</v>
      </c>
      <c r="C697" s="9" t="s">
        <v>672</v>
      </c>
      <c r="D697" s="5">
        <v>2</v>
      </c>
      <c r="E697" s="9" t="s">
        <v>3188</v>
      </c>
      <c r="F697" s="5" t="s">
        <v>86</v>
      </c>
      <c r="G697" s="5" t="s">
        <v>3177</v>
      </c>
      <c r="H697" s="5" t="s">
        <v>3178</v>
      </c>
      <c r="I697" s="9" t="s">
        <v>3845</v>
      </c>
      <c r="J697" s="5">
        <v>2026</v>
      </c>
      <c r="K697" s="5">
        <v>1061</v>
      </c>
      <c r="L697" s="9" t="s">
        <v>4027</v>
      </c>
      <c r="M697" s="5">
        <v>5</v>
      </c>
      <c r="N697" s="9" t="s">
        <v>4028</v>
      </c>
      <c r="O697" s="9" t="str">
        <f t="shared" si="67"/>
        <v>PDFを開く</v>
      </c>
      <c r="P697" s="9" t="s">
        <v>679</v>
      </c>
    </row>
    <row r="698" spans="1:16" ht="33.950000000000003" customHeight="1">
      <c r="A698" s="2" t="s">
        <v>671</v>
      </c>
      <c r="B698" s="2" t="s">
        <v>73</v>
      </c>
      <c r="C698" s="8" t="s">
        <v>672</v>
      </c>
      <c r="D698" s="2">
        <v>2</v>
      </c>
      <c r="E698" s="8" t="s">
        <v>3188</v>
      </c>
      <c r="F698" s="2" t="s">
        <v>86</v>
      </c>
      <c r="G698" s="2" t="s">
        <v>3177</v>
      </c>
      <c r="H698" s="2" t="s">
        <v>3178</v>
      </c>
      <c r="I698" s="8" t="s">
        <v>3848</v>
      </c>
      <c r="J698" s="2">
        <v>2029</v>
      </c>
      <c r="K698" s="2">
        <v>1229</v>
      </c>
      <c r="L698" s="8" t="s">
        <v>4029</v>
      </c>
      <c r="M698" s="2">
        <v>5</v>
      </c>
      <c r="N698" s="8" t="s">
        <v>4028</v>
      </c>
      <c r="O698" s="8" t="str">
        <f t="shared" si="67"/>
        <v>PDFを開く</v>
      </c>
      <c r="P698" s="8" t="s">
        <v>679</v>
      </c>
    </row>
    <row r="699" spans="1:16" ht="33.950000000000003" customHeight="1">
      <c r="A699" s="5" t="s">
        <v>671</v>
      </c>
      <c r="B699" s="5" t="s">
        <v>73</v>
      </c>
      <c r="C699" s="9" t="s">
        <v>672</v>
      </c>
      <c r="D699" s="5">
        <v>2</v>
      </c>
      <c r="E699" s="9" t="s">
        <v>3191</v>
      </c>
      <c r="F699" s="5" t="s">
        <v>2513</v>
      </c>
      <c r="G699" s="5" t="s">
        <v>3177</v>
      </c>
      <c r="H699" s="5" t="s">
        <v>3178</v>
      </c>
      <c r="I699" s="9" t="s">
        <v>3845</v>
      </c>
      <c r="J699" s="5">
        <v>2026</v>
      </c>
      <c r="K699" s="5">
        <v>379</v>
      </c>
      <c r="L699" s="9" t="s">
        <v>4030</v>
      </c>
      <c r="M699" s="5"/>
      <c r="N699" s="9" t="s">
        <v>4031</v>
      </c>
      <c r="O699" s="9" t="str">
        <f t="shared" si="67"/>
        <v>PDFを開く</v>
      </c>
      <c r="P699" s="9" t="s">
        <v>679</v>
      </c>
    </row>
    <row r="700" spans="1:16" ht="33.950000000000003" customHeight="1">
      <c r="A700" s="2" t="s">
        <v>671</v>
      </c>
      <c r="B700" s="2" t="s">
        <v>73</v>
      </c>
      <c r="C700" s="8" t="s">
        <v>672</v>
      </c>
      <c r="D700" s="2">
        <v>2</v>
      </c>
      <c r="E700" s="8" t="s">
        <v>3191</v>
      </c>
      <c r="F700" s="2" t="s">
        <v>2513</v>
      </c>
      <c r="G700" s="2" t="s">
        <v>3177</v>
      </c>
      <c r="H700" s="2" t="s">
        <v>3178</v>
      </c>
      <c r="I700" s="8" t="s">
        <v>3848</v>
      </c>
      <c r="J700" s="2">
        <v>2029</v>
      </c>
      <c r="K700" s="2">
        <v>390</v>
      </c>
      <c r="L700" s="8" t="s">
        <v>4032</v>
      </c>
      <c r="M700" s="2"/>
      <c r="N700" s="8" t="s">
        <v>4031</v>
      </c>
      <c r="O700" s="8" t="str">
        <f t="shared" si="67"/>
        <v>PDFを開く</v>
      </c>
      <c r="P700" s="8" t="s">
        <v>679</v>
      </c>
    </row>
    <row r="701" spans="1:16" ht="33.950000000000003" customHeight="1">
      <c r="A701" s="5" t="s">
        <v>680</v>
      </c>
      <c r="B701" s="5" t="s">
        <v>73</v>
      </c>
      <c r="C701" s="9" t="s">
        <v>681</v>
      </c>
      <c r="D701" s="5">
        <v>2</v>
      </c>
      <c r="E701" s="9" t="s">
        <v>3176</v>
      </c>
      <c r="F701" s="5" t="s">
        <v>86</v>
      </c>
      <c r="G701" s="5" t="s">
        <v>3177</v>
      </c>
      <c r="H701" s="5" t="s">
        <v>3178</v>
      </c>
      <c r="I701" s="9" t="s">
        <v>3418</v>
      </c>
      <c r="J701" s="5">
        <v>2027</v>
      </c>
      <c r="K701" s="5">
        <v>8275</v>
      </c>
      <c r="L701" s="9" t="s">
        <v>4033</v>
      </c>
      <c r="M701" s="5">
        <v>12.2</v>
      </c>
      <c r="N701" s="9" t="s">
        <v>4034</v>
      </c>
      <c r="O701" s="9" t="str">
        <f t="shared" ref="O701:O707" si="68">HYPERLINK("https://seichotoushi-hojo.jp/assets/pdf/koufu/outline_168.pdf","PDFを開く")</f>
        <v>PDFを開く</v>
      </c>
      <c r="P701" s="9" t="s">
        <v>687</v>
      </c>
    </row>
    <row r="702" spans="1:16" ht="33.950000000000003" customHeight="1">
      <c r="A702" s="2" t="s">
        <v>680</v>
      </c>
      <c r="B702" s="2" t="s">
        <v>73</v>
      </c>
      <c r="C702" s="8" t="s">
        <v>681</v>
      </c>
      <c r="D702" s="2">
        <v>2</v>
      </c>
      <c r="E702" s="8" t="s">
        <v>3176</v>
      </c>
      <c r="F702" s="2" t="s">
        <v>86</v>
      </c>
      <c r="G702" s="2" t="s">
        <v>3177</v>
      </c>
      <c r="H702" s="2" t="s">
        <v>3178</v>
      </c>
      <c r="I702" s="8" t="s">
        <v>3421</v>
      </c>
      <c r="J702" s="2">
        <v>2030</v>
      </c>
      <c r="K702" s="2">
        <v>11703</v>
      </c>
      <c r="L702" s="8" t="s">
        <v>4035</v>
      </c>
      <c r="M702" s="2">
        <v>12.2</v>
      </c>
      <c r="N702" s="8" t="s">
        <v>4034</v>
      </c>
      <c r="O702" s="8" t="str">
        <f t="shared" si="68"/>
        <v>PDFを開く</v>
      </c>
      <c r="P702" s="8" t="s">
        <v>687</v>
      </c>
    </row>
    <row r="703" spans="1:16" ht="33.950000000000003" customHeight="1">
      <c r="A703" s="5" t="s">
        <v>680</v>
      </c>
      <c r="B703" s="5" t="s">
        <v>73</v>
      </c>
      <c r="C703" s="9" t="s">
        <v>681</v>
      </c>
      <c r="D703" s="5">
        <v>2</v>
      </c>
      <c r="E703" s="9" t="s">
        <v>3184</v>
      </c>
      <c r="F703" s="5" t="s">
        <v>86</v>
      </c>
      <c r="G703" s="5" t="s">
        <v>3177</v>
      </c>
      <c r="H703" s="5" t="s">
        <v>3178</v>
      </c>
      <c r="I703" s="9" t="s">
        <v>3418</v>
      </c>
      <c r="J703" s="5">
        <v>2027</v>
      </c>
      <c r="K703" s="5">
        <v>791</v>
      </c>
      <c r="L703" s="9" t="s">
        <v>4036</v>
      </c>
      <c r="M703" s="5">
        <v>5.5</v>
      </c>
      <c r="N703" s="9" t="s">
        <v>4037</v>
      </c>
      <c r="O703" s="9" t="str">
        <f t="shared" si="68"/>
        <v>PDFを開く</v>
      </c>
      <c r="P703" s="9" t="s">
        <v>687</v>
      </c>
    </row>
    <row r="704" spans="1:16" ht="33.950000000000003" customHeight="1">
      <c r="A704" s="2" t="s">
        <v>680</v>
      </c>
      <c r="B704" s="2" t="s">
        <v>73</v>
      </c>
      <c r="C704" s="8" t="s">
        <v>681</v>
      </c>
      <c r="D704" s="2">
        <v>2</v>
      </c>
      <c r="E704" s="8" t="s">
        <v>3184</v>
      </c>
      <c r="F704" s="2" t="s">
        <v>86</v>
      </c>
      <c r="G704" s="2" t="s">
        <v>3177</v>
      </c>
      <c r="H704" s="2" t="s">
        <v>3178</v>
      </c>
      <c r="I704" s="8" t="s">
        <v>3421</v>
      </c>
      <c r="J704" s="2">
        <v>2030</v>
      </c>
      <c r="K704" s="2">
        <v>929</v>
      </c>
      <c r="L704" s="8" t="s">
        <v>4038</v>
      </c>
      <c r="M704" s="2">
        <v>5.5</v>
      </c>
      <c r="N704" s="8" t="s">
        <v>4037</v>
      </c>
      <c r="O704" s="8" t="str">
        <f t="shared" si="68"/>
        <v>PDFを開く</v>
      </c>
      <c r="P704" s="8" t="s">
        <v>687</v>
      </c>
    </row>
    <row r="705" spans="1:16" ht="33.950000000000003" customHeight="1">
      <c r="A705" s="5" t="s">
        <v>680</v>
      </c>
      <c r="B705" s="5" t="s">
        <v>73</v>
      </c>
      <c r="C705" s="9" t="s">
        <v>681</v>
      </c>
      <c r="D705" s="5">
        <v>2</v>
      </c>
      <c r="E705" s="9" t="s">
        <v>3188</v>
      </c>
      <c r="F705" s="5" t="s">
        <v>86</v>
      </c>
      <c r="G705" s="19" t="s">
        <v>3189</v>
      </c>
      <c r="H705" s="5" t="s">
        <v>3178</v>
      </c>
      <c r="I705" s="9"/>
      <c r="J705" s="5"/>
      <c r="K705" s="5"/>
      <c r="L705" s="9"/>
      <c r="M705" s="5"/>
      <c r="N705" s="9" t="s">
        <v>4039</v>
      </c>
      <c r="O705" s="9" t="str">
        <f t="shared" si="68"/>
        <v>PDFを開く</v>
      </c>
      <c r="P705" s="9" t="s">
        <v>687</v>
      </c>
    </row>
    <row r="706" spans="1:16" ht="33.950000000000003" customHeight="1">
      <c r="A706" s="2" t="s">
        <v>680</v>
      </c>
      <c r="B706" s="2" t="s">
        <v>73</v>
      </c>
      <c r="C706" s="8" t="s">
        <v>681</v>
      </c>
      <c r="D706" s="2">
        <v>2</v>
      </c>
      <c r="E706" s="8" t="s">
        <v>3191</v>
      </c>
      <c r="F706" s="2" t="s">
        <v>2513</v>
      </c>
      <c r="G706" s="2" t="s">
        <v>3177</v>
      </c>
      <c r="H706" s="2" t="s">
        <v>3178</v>
      </c>
      <c r="I706" s="8" t="s">
        <v>3418</v>
      </c>
      <c r="J706" s="2">
        <v>2027</v>
      </c>
      <c r="K706" s="2">
        <v>30</v>
      </c>
      <c r="L706" s="8" t="s">
        <v>4040</v>
      </c>
      <c r="M706" s="2"/>
      <c r="N706" s="8" t="s">
        <v>4041</v>
      </c>
      <c r="O706" s="8" t="str">
        <f t="shared" si="68"/>
        <v>PDFを開く</v>
      </c>
      <c r="P706" s="8" t="s">
        <v>687</v>
      </c>
    </row>
    <row r="707" spans="1:16" ht="33.950000000000003" customHeight="1">
      <c r="A707" s="5" t="s">
        <v>680</v>
      </c>
      <c r="B707" s="5" t="s">
        <v>73</v>
      </c>
      <c r="C707" s="9" t="s">
        <v>681</v>
      </c>
      <c r="D707" s="5">
        <v>2</v>
      </c>
      <c r="E707" s="9" t="s">
        <v>3191</v>
      </c>
      <c r="F707" s="5" t="s">
        <v>2513</v>
      </c>
      <c r="G707" s="5" t="s">
        <v>3177</v>
      </c>
      <c r="H707" s="5" t="s">
        <v>3178</v>
      </c>
      <c r="I707" s="9" t="s">
        <v>3421</v>
      </c>
      <c r="J707" s="5">
        <v>2030</v>
      </c>
      <c r="K707" s="5">
        <v>110</v>
      </c>
      <c r="L707" s="9" t="s">
        <v>3968</v>
      </c>
      <c r="M707" s="5"/>
      <c r="N707" s="9" t="s">
        <v>4041</v>
      </c>
      <c r="O707" s="9" t="str">
        <f t="shared" si="68"/>
        <v>PDFを開く</v>
      </c>
      <c r="P707" s="9" t="s">
        <v>687</v>
      </c>
    </row>
    <row r="708" spans="1:16" ht="33.950000000000003" customHeight="1">
      <c r="A708" s="2" t="s">
        <v>688</v>
      </c>
      <c r="B708" s="2" t="s">
        <v>73</v>
      </c>
      <c r="C708" s="8" t="s">
        <v>689</v>
      </c>
      <c r="D708" s="2">
        <v>2</v>
      </c>
      <c r="E708" s="8" t="s">
        <v>3176</v>
      </c>
      <c r="F708" s="2" t="s">
        <v>86</v>
      </c>
      <c r="G708" s="2" t="s">
        <v>3177</v>
      </c>
      <c r="H708" s="2" t="s">
        <v>3178</v>
      </c>
      <c r="I708" s="8" t="s">
        <v>3259</v>
      </c>
      <c r="J708" s="2">
        <v>2027</v>
      </c>
      <c r="K708" s="2">
        <v>3059</v>
      </c>
      <c r="L708" s="8" t="s">
        <v>4042</v>
      </c>
      <c r="M708" s="2">
        <v>11.6</v>
      </c>
      <c r="N708" s="8" t="s">
        <v>4043</v>
      </c>
      <c r="O708" s="8" t="str">
        <f t="shared" ref="O708:O714" si="69">HYPERLINK("https://seichotoushi-hojo.jp/assets/pdf/koufu/outline_169.pdf","PDFを開く")</f>
        <v>PDFを開く</v>
      </c>
      <c r="P708" s="8" t="s">
        <v>695</v>
      </c>
    </row>
    <row r="709" spans="1:16" ht="33.950000000000003" customHeight="1">
      <c r="A709" s="5" t="s">
        <v>688</v>
      </c>
      <c r="B709" s="5" t="s">
        <v>73</v>
      </c>
      <c r="C709" s="9" t="s">
        <v>689</v>
      </c>
      <c r="D709" s="5">
        <v>2</v>
      </c>
      <c r="E709" s="9" t="s">
        <v>3176</v>
      </c>
      <c r="F709" s="5" t="s">
        <v>86</v>
      </c>
      <c r="G709" s="5" t="s">
        <v>3177</v>
      </c>
      <c r="H709" s="5" t="s">
        <v>3178</v>
      </c>
      <c r="I709" s="9" t="s">
        <v>3262</v>
      </c>
      <c r="J709" s="5">
        <v>2030</v>
      </c>
      <c r="K709" s="5">
        <v>4247</v>
      </c>
      <c r="L709" s="9" t="s">
        <v>4044</v>
      </c>
      <c r="M709" s="5">
        <v>11.6</v>
      </c>
      <c r="N709" s="9" t="s">
        <v>4043</v>
      </c>
      <c r="O709" s="9" t="str">
        <f t="shared" si="69"/>
        <v>PDFを開く</v>
      </c>
      <c r="P709" s="9" t="s">
        <v>695</v>
      </c>
    </row>
    <row r="710" spans="1:16" ht="33.950000000000003" customHeight="1">
      <c r="A710" s="2" t="s">
        <v>688</v>
      </c>
      <c r="B710" s="2" t="s">
        <v>73</v>
      </c>
      <c r="C710" s="8" t="s">
        <v>689</v>
      </c>
      <c r="D710" s="2">
        <v>2</v>
      </c>
      <c r="E710" s="8" t="s">
        <v>3184</v>
      </c>
      <c r="F710" s="2" t="s">
        <v>86</v>
      </c>
      <c r="G710" s="2" t="s">
        <v>3177</v>
      </c>
      <c r="H710" s="2" t="s">
        <v>3178</v>
      </c>
      <c r="I710" s="8" t="s">
        <v>3259</v>
      </c>
      <c r="J710" s="2">
        <v>2027</v>
      </c>
      <c r="K710" s="2">
        <v>740</v>
      </c>
      <c r="L710" s="8" t="s">
        <v>4045</v>
      </c>
      <c r="M710" s="2">
        <v>6</v>
      </c>
      <c r="N710" s="8" t="s">
        <v>4046</v>
      </c>
      <c r="O710" s="8" t="str">
        <f t="shared" si="69"/>
        <v>PDFを開く</v>
      </c>
      <c r="P710" s="8" t="s">
        <v>695</v>
      </c>
    </row>
    <row r="711" spans="1:16" ht="33.950000000000003" customHeight="1">
      <c r="A711" s="5" t="s">
        <v>688</v>
      </c>
      <c r="B711" s="5" t="s">
        <v>73</v>
      </c>
      <c r="C711" s="9" t="s">
        <v>689</v>
      </c>
      <c r="D711" s="5">
        <v>2</v>
      </c>
      <c r="E711" s="9" t="s">
        <v>3184</v>
      </c>
      <c r="F711" s="5" t="s">
        <v>86</v>
      </c>
      <c r="G711" s="5" t="s">
        <v>3177</v>
      </c>
      <c r="H711" s="5" t="s">
        <v>3178</v>
      </c>
      <c r="I711" s="9" t="s">
        <v>3262</v>
      </c>
      <c r="J711" s="5">
        <v>2030</v>
      </c>
      <c r="K711" s="5">
        <v>881</v>
      </c>
      <c r="L711" s="9" t="s">
        <v>4047</v>
      </c>
      <c r="M711" s="5">
        <v>6</v>
      </c>
      <c r="N711" s="9" t="s">
        <v>4046</v>
      </c>
      <c r="O711" s="9" t="str">
        <f t="shared" si="69"/>
        <v>PDFを開く</v>
      </c>
      <c r="P711" s="9" t="s">
        <v>695</v>
      </c>
    </row>
    <row r="712" spans="1:16" ht="33.950000000000003" customHeight="1">
      <c r="A712" s="2" t="s">
        <v>688</v>
      </c>
      <c r="B712" s="2" t="s">
        <v>73</v>
      </c>
      <c r="C712" s="8" t="s">
        <v>689</v>
      </c>
      <c r="D712" s="2">
        <v>2</v>
      </c>
      <c r="E712" s="8" t="s">
        <v>3188</v>
      </c>
      <c r="F712" s="2" t="s">
        <v>86</v>
      </c>
      <c r="G712" s="19" t="s">
        <v>3189</v>
      </c>
      <c r="H712" s="2" t="s">
        <v>3178</v>
      </c>
      <c r="I712" s="8"/>
      <c r="J712" s="2"/>
      <c r="K712" s="2"/>
      <c r="L712" s="8"/>
      <c r="M712" s="2"/>
      <c r="N712" s="8" t="s">
        <v>4048</v>
      </c>
      <c r="O712" s="8" t="str">
        <f t="shared" si="69"/>
        <v>PDFを開く</v>
      </c>
      <c r="P712" s="8" t="s">
        <v>695</v>
      </c>
    </row>
    <row r="713" spans="1:16" ht="33.950000000000003" customHeight="1">
      <c r="A713" s="5" t="s">
        <v>688</v>
      </c>
      <c r="B713" s="5" t="s">
        <v>73</v>
      </c>
      <c r="C713" s="9" t="s">
        <v>689</v>
      </c>
      <c r="D713" s="5">
        <v>2</v>
      </c>
      <c r="E713" s="9" t="s">
        <v>3191</v>
      </c>
      <c r="F713" s="5" t="s">
        <v>2513</v>
      </c>
      <c r="G713" s="5" t="s">
        <v>3177</v>
      </c>
      <c r="H713" s="5" t="s">
        <v>3178</v>
      </c>
      <c r="I713" s="9" t="s">
        <v>3259</v>
      </c>
      <c r="J713" s="5">
        <v>2027</v>
      </c>
      <c r="K713" s="5">
        <v>158</v>
      </c>
      <c r="L713" s="9" t="s">
        <v>4049</v>
      </c>
      <c r="M713" s="5"/>
      <c r="N713" s="9" t="s">
        <v>4050</v>
      </c>
      <c r="O713" s="9" t="str">
        <f t="shared" si="69"/>
        <v>PDFを開く</v>
      </c>
      <c r="P713" s="9" t="s">
        <v>695</v>
      </c>
    </row>
    <row r="714" spans="1:16" ht="33.950000000000003" customHeight="1">
      <c r="A714" s="2" t="s">
        <v>688</v>
      </c>
      <c r="B714" s="2" t="s">
        <v>73</v>
      </c>
      <c r="C714" s="8" t="s">
        <v>689</v>
      </c>
      <c r="D714" s="2">
        <v>2</v>
      </c>
      <c r="E714" s="8" t="s">
        <v>3191</v>
      </c>
      <c r="F714" s="2" t="s">
        <v>2513</v>
      </c>
      <c r="G714" s="2" t="s">
        <v>3177</v>
      </c>
      <c r="H714" s="2" t="s">
        <v>3178</v>
      </c>
      <c r="I714" s="8" t="s">
        <v>3262</v>
      </c>
      <c r="J714" s="2">
        <v>2030</v>
      </c>
      <c r="K714" s="2">
        <v>171</v>
      </c>
      <c r="L714" s="8" t="s">
        <v>4051</v>
      </c>
      <c r="M714" s="2"/>
      <c r="N714" s="8" t="s">
        <v>4050</v>
      </c>
      <c r="O714" s="8" t="str">
        <f t="shared" si="69"/>
        <v>PDFを開く</v>
      </c>
      <c r="P714" s="8" t="s">
        <v>695</v>
      </c>
    </row>
    <row r="715" spans="1:16" ht="33.950000000000003" customHeight="1">
      <c r="A715" s="5" t="s">
        <v>696</v>
      </c>
      <c r="B715" s="5" t="s">
        <v>73</v>
      </c>
      <c r="C715" s="9" t="s">
        <v>697</v>
      </c>
      <c r="D715" s="5">
        <v>2</v>
      </c>
      <c r="E715" s="9" t="s">
        <v>3176</v>
      </c>
      <c r="F715" s="5" t="s">
        <v>86</v>
      </c>
      <c r="G715" s="5" t="s">
        <v>3177</v>
      </c>
      <c r="H715" s="5" t="s">
        <v>3178</v>
      </c>
      <c r="I715" s="9" t="s">
        <v>3179</v>
      </c>
      <c r="J715" s="5">
        <v>2026</v>
      </c>
      <c r="K715" s="5">
        <v>2439</v>
      </c>
      <c r="L715" s="9" t="s">
        <v>4052</v>
      </c>
      <c r="M715" s="5">
        <v>19.78</v>
      </c>
      <c r="N715" s="9" t="s">
        <v>4053</v>
      </c>
      <c r="O715" s="9" t="str">
        <f t="shared" ref="O715:O723" si="70">HYPERLINK("https://seichotoushi-hojo.jp/assets/pdf/koufu/outline_17.pdf","PDFを開く")</f>
        <v>PDFを開く</v>
      </c>
      <c r="P715" s="9" t="s">
        <v>704</v>
      </c>
    </row>
    <row r="716" spans="1:16" ht="33.950000000000003" customHeight="1">
      <c r="A716" s="2" t="s">
        <v>696</v>
      </c>
      <c r="B716" s="2" t="s">
        <v>73</v>
      </c>
      <c r="C716" s="8" t="s">
        <v>697</v>
      </c>
      <c r="D716" s="2">
        <v>2</v>
      </c>
      <c r="E716" s="8" t="s">
        <v>3176</v>
      </c>
      <c r="F716" s="2" t="s">
        <v>86</v>
      </c>
      <c r="G716" s="2" t="s">
        <v>3177</v>
      </c>
      <c r="H716" s="2" t="s">
        <v>3178</v>
      </c>
      <c r="I716" s="8" t="s">
        <v>3182</v>
      </c>
      <c r="J716" s="2">
        <v>2029</v>
      </c>
      <c r="K716" s="2">
        <v>4187</v>
      </c>
      <c r="L716" s="8" t="s">
        <v>4054</v>
      </c>
      <c r="M716" s="2">
        <v>19.78</v>
      </c>
      <c r="N716" s="8" t="s">
        <v>4053</v>
      </c>
      <c r="O716" s="8" t="str">
        <f t="shared" si="70"/>
        <v>PDFを開く</v>
      </c>
      <c r="P716" s="8" t="s">
        <v>704</v>
      </c>
    </row>
    <row r="717" spans="1:16" ht="33.950000000000003" customHeight="1">
      <c r="A717" s="5" t="s">
        <v>696</v>
      </c>
      <c r="B717" s="5" t="s">
        <v>73</v>
      </c>
      <c r="C717" s="9" t="s">
        <v>697</v>
      </c>
      <c r="D717" s="5">
        <v>2</v>
      </c>
      <c r="E717" s="9" t="s">
        <v>3184</v>
      </c>
      <c r="F717" s="5" t="s">
        <v>86</v>
      </c>
      <c r="G717" s="5" t="s">
        <v>3177</v>
      </c>
      <c r="H717" s="5" t="s">
        <v>3178</v>
      </c>
      <c r="I717" s="9" t="s">
        <v>3179</v>
      </c>
      <c r="J717" s="5">
        <v>2026</v>
      </c>
      <c r="K717" s="5">
        <v>497</v>
      </c>
      <c r="L717" s="9" t="s">
        <v>4055</v>
      </c>
      <c r="M717" s="5">
        <v>5.34</v>
      </c>
      <c r="N717" s="9" t="s">
        <v>4056</v>
      </c>
      <c r="O717" s="9" t="str">
        <f t="shared" si="70"/>
        <v>PDFを開く</v>
      </c>
      <c r="P717" s="9" t="s">
        <v>704</v>
      </c>
    </row>
    <row r="718" spans="1:16" ht="33.950000000000003" customHeight="1">
      <c r="A718" s="2" t="s">
        <v>696</v>
      </c>
      <c r="B718" s="2" t="s">
        <v>73</v>
      </c>
      <c r="C718" s="8" t="s">
        <v>697</v>
      </c>
      <c r="D718" s="2">
        <v>2</v>
      </c>
      <c r="E718" s="8" t="s">
        <v>3184</v>
      </c>
      <c r="F718" s="2" t="s">
        <v>86</v>
      </c>
      <c r="G718" s="2" t="s">
        <v>3177</v>
      </c>
      <c r="H718" s="2" t="s">
        <v>3178</v>
      </c>
      <c r="I718" s="8" t="s">
        <v>3182</v>
      </c>
      <c r="J718" s="2">
        <v>2029</v>
      </c>
      <c r="K718" s="2">
        <v>580</v>
      </c>
      <c r="L718" s="8" t="s">
        <v>4057</v>
      </c>
      <c r="M718" s="2">
        <v>5.34</v>
      </c>
      <c r="N718" s="8" t="s">
        <v>4056</v>
      </c>
      <c r="O718" s="8" t="str">
        <f t="shared" si="70"/>
        <v>PDFを開く</v>
      </c>
      <c r="P718" s="8" t="s">
        <v>704</v>
      </c>
    </row>
    <row r="719" spans="1:16" ht="33.950000000000003" customHeight="1">
      <c r="A719" s="5" t="s">
        <v>696</v>
      </c>
      <c r="B719" s="5" t="s">
        <v>73</v>
      </c>
      <c r="C719" s="9" t="s">
        <v>697</v>
      </c>
      <c r="D719" s="5">
        <v>2</v>
      </c>
      <c r="E719" s="9" t="s">
        <v>3188</v>
      </c>
      <c r="F719" s="5" t="s">
        <v>86</v>
      </c>
      <c r="G719" s="19" t="s">
        <v>3189</v>
      </c>
      <c r="H719" s="5" t="s">
        <v>3178</v>
      </c>
      <c r="I719" s="9"/>
      <c r="J719" s="5"/>
      <c r="K719" s="5"/>
      <c r="L719" s="9"/>
      <c r="M719" s="5">
        <v>5</v>
      </c>
      <c r="N719" s="9" t="s">
        <v>4058</v>
      </c>
      <c r="O719" s="9" t="str">
        <f t="shared" si="70"/>
        <v>PDFを開く</v>
      </c>
      <c r="P719" s="9" t="s">
        <v>704</v>
      </c>
    </row>
    <row r="720" spans="1:16" ht="33.950000000000003" customHeight="1">
      <c r="A720" s="2" t="s">
        <v>696</v>
      </c>
      <c r="B720" s="2" t="s">
        <v>73</v>
      </c>
      <c r="C720" s="8" t="s">
        <v>697</v>
      </c>
      <c r="D720" s="2">
        <v>2</v>
      </c>
      <c r="E720" s="8" t="s">
        <v>3191</v>
      </c>
      <c r="F720" s="2" t="s">
        <v>2513</v>
      </c>
      <c r="G720" s="2" t="s">
        <v>3177</v>
      </c>
      <c r="H720" s="2" t="s">
        <v>3178</v>
      </c>
      <c r="I720" s="8" t="s">
        <v>3179</v>
      </c>
      <c r="J720" s="2">
        <v>2026</v>
      </c>
      <c r="K720" s="2">
        <v>213</v>
      </c>
      <c r="L720" s="8" t="s">
        <v>4059</v>
      </c>
      <c r="M720" s="2"/>
      <c r="N720" s="8" t="s">
        <v>4060</v>
      </c>
      <c r="O720" s="8" t="str">
        <f t="shared" si="70"/>
        <v>PDFを開く</v>
      </c>
      <c r="P720" s="8" t="s">
        <v>704</v>
      </c>
    </row>
    <row r="721" spans="1:16" ht="33.950000000000003" customHeight="1">
      <c r="A721" s="5" t="s">
        <v>696</v>
      </c>
      <c r="B721" s="5" t="s">
        <v>73</v>
      </c>
      <c r="C721" s="9" t="s">
        <v>697</v>
      </c>
      <c r="D721" s="5">
        <v>2</v>
      </c>
      <c r="E721" s="9" t="s">
        <v>3191</v>
      </c>
      <c r="F721" s="5" t="s">
        <v>2513</v>
      </c>
      <c r="G721" s="5" t="s">
        <v>3177</v>
      </c>
      <c r="H721" s="5" t="s">
        <v>3178</v>
      </c>
      <c r="I721" s="9" t="s">
        <v>3182</v>
      </c>
      <c r="J721" s="5">
        <v>2029</v>
      </c>
      <c r="K721" s="5">
        <v>222</v>
      </c>
      <c r="L721" s="9" t="s">
        <v>4010</v>
      </c>
      <c r="M721" s="5"/>
      <c r="N721" s="9" t="s">
        <v>4060</v>
      </c>
      <c r="O721" s="9" t="str">
        <f t="shared" si="70"/>
        <v>PDFを開く</v>
      </c>
      <c r="P721" s="9" t="s">
        <v>704</v>
      </c>
    </row>
    <row r="722" spans="1:16" ht="33.950000000000003" customHeight="1">
      <c r="A722" s="2" t="s">
        <v>696</v>
      </c>
      <c r="B722" s="2" t="s">
        <v>73</v>
      </c>
      <c r="C722" s="8" t="s">
        <v>697</v>
      </c>
      <c r="D722" s="2">
        <v>2</v>
      </c>
      <c r="E722" s="8" t="s">
        <v>3188</v>
      </c>
      <c r="F722" s="2" t="s">
        <v>86</v>
      </c>
      <c r="G722" s="2" t="s">
        <v>3177</v>
      </c>
      <c r="H722" s="2"/>
      <c r="I722" s="8" t="s">
        <v>4061</v>
      </c>
      <c r="J722" s="2">
        <v>2026</v>
      </c>
      <c r="K722" s="2"/>
      <c r="L722" s="8" t="s">
        <v>3211</v>
      </c>
      <c r="M722" s="2">
        <v>5</v>
      </c>
      <c r="N722" s="8" t="s">
        <v>4062</v>
      </c>
      <c r="O722" s="8" t="str">
        <f t="shared" si="70"/>
        <v>PDFを開く</v>
      </c>
      <c r="P722" s="8" t="s">
        <v>704</v>
      </c>
    </row>
    <row r="723" spans="1:16" ht="33.950000000000003" customHeight="1">
      <c r="A723" s="5" t="s">
        <v>696</v>
      </c>
      <c r="B723" s="5" t="s">
        <v>73</v>
      </c>
      <c r="C723" s="9" t="s">
        <v>697</v>
      </c>
      <c r="D723" s="5">
        <v>2</v>
      </c>
      <c r="E723" s="9" t="s">
        <v>3188</v>
      </c>
      <c r="F723" s="5" t="s">
        <v>86</v>
      </c>
      <c r="G723" s="5" t="s">
        <v>3177</v>
      </c>
      <c r="H723" s="5"/>
      <c r="I723" s="9" t="s">
        <v>4063</v>
      </c>
      <c r="J723" s="5">
        <v>2029</v>
      </c>
      <c r="K723" s="5"/>
      <c r="L723" s="9" t="s">
        <v>4064</v>
      </c>
      <c r="M723" s="5">
        <v>5</v>
      </c>
      <c r="N723" s="9" t="s">
        <v>4062</v>
      </c>
      <c r="O723" s="9" t="str">
        <f t="shared" si="70"/>
        <v>PDFを開く</v>
      </c>
      <c r="P723" s="9" t="s">
        <v>704</v>
      </c>
    </row>
    <row r="724" spans="1:16" ht="33.950000000000003" customHeight="1">
      <c r="A724" s="2" t="s">
        <v>705</v>
      </c>
      <c r="B724" s="2" t="s">
        <v>73</v>
      </c>
      <c r="C724" s="8" t="s">
        <v>706</v>
      </c>
      <c r="D724" s="2">
        <v>2</v>
      </c>
      <c r="E724" s="8" t="s">
        <v>3176</v>
      </c>
      <c r="F724" s="2" t="s">
        <v>86</v>
      </c>
      <c r="G724" s="2" t="s">
        <v>3177</v>
      </c>
      <c r="H724" s="2" t="s">
        <v>3178</v>
      </c>
      <c r="I724" s="8" t="s">
        <v>3755</v>
      </c>
      <c r="J724" s="2">
        <v>2026</v>
      </c>
      <c r="K724" s="2">
        <v>678</v>
      </c>
      <c r="L724" s="8" t="s">
        <v>4065</v>
      </c>
      <c r="M724" s="2">
        <v>7.9</v>
      </c>
      <c r="N724" s="8" t="s">
        <v>4066</v>
      </c>
      <c r="O724" s="8" t="str">
        <f t="shared" ref="O724:O730" si="71">HYPERLINK("https://seichotoushi-hojo.jp/assets/pdf/koufu/outline_170.pdf","PDFを開く")</f>
        <v>PDFを開く</v>
      </c>
      <c r="P724" s="8" t="s">
        <v>712</v>
      </c>
    </row>
    <row r="725" spans="1:16" ht="33.950000000000003" customHeight="1">
      <c r="A725" s="5" t="s">
        <v>705</v>
      </c>
      <c r="B725" s="5" t="s">
        <v>73</v>
      </c>
      <c r="C725" s="9" t="s">
        <v>706</v>
      </c>
      <c r="D725" s="5">
        <v>2</v>
      </c>
      <c r="E725" s="9" t="s">
        <v>3176</v>
      </c>
      <c r="F725" s="5" t="s">
        <v>86</v>
      </c>
      <c r="G725" s="5" t="s">
        <v>3177</v>
      </c>
      <c r="H725" s="5" t="s">
        <v>3178</v>
      </c>
      <c r="I725" s="9" t="s">
        <v>3758</v>
      </c>
      <c r="J725" s="5">
        <v>2029</v>
      </c>
      <c r="K725" s="5">
        <v>852</v>
      </c>
      <c r="L725" s="9" t="s">
        <v>4067</v>
      </c>
      <c r="M725" s="5">
        <v>7.9</v>
      </c>
      <c r="N725" s="9" t="s">
        <v>4066</v>
      </c>
      <c r="O725" s="9" t="str">
        <f t="shared" si="71"/>
        <v>PDFを開く</v>
      </c>
      <c r="P725" s="9" t="s">
        <v>712</v>
      </c>
    </row>
    <row r="726" spans="1:16" ht="33.950000000000003" customHeight="1">
      <c r="A726" s="2" t="s">
        <v>705</v>
      </c>
      <c r="B726" s="2" t="s">
        <v>73</v>
      </c>
      <c r="C726" s="8" t="s">
        <v>706</v>
      </c>
      <c r="D726" s="2">
        <v>2</v>
      </c>
      <c r="E726" s="8" t="s">
        <v>3184</v>
      </c>
      <c r="F726" s="2" t="s">
        <v>86</v>
      </c>
      <c r="G726" s="2" t="s">
        <v>3177</v>
      </c>
      <c r="H726" s="2" t="s">
        <v>3178</v>
      </c>
      <c r="I726" s="8" t="s">
        <v>3755</v>
      </c>
      <c r="J726" s="2">
        <v>2026</v>
      </c>
      <c r="K726" s="2">
        <v>436</v>
      </c>
      <c r="L726" s="8" t="s">
        <v>4068</v>
      </c>
      <c r="M726" s="2">
        <v>4.5999999999999996</v>
      </c>
      <c r="N726" s="8" t="s">
        <v>4069</v>
      </c>
      <c r="O726" s="8" t="str">
        <f t="shared" si="71"/>
        <v>PDFを開く</v>
      </c>
      <c r="P726" s="8" t="s">
        <v>712</v>
      </c>
    </row>
    <row r="727" spans="1:16" ht="33.950000000000003" customHeight="1">
      <c r="A727" s="5" t="s">
        <v>705</v>
      </c>
      <c r="B727" s="5" t="s">
        <v>73</v>
      </c>
      <c r="C727" s="9" t="s">
        <v>706</v>
      </c>
      <c r="D727" s="5">
        <v>2</v>
      </c>
      <c r="E727" s="9" t="s">
        <v>3184</v>
      </c>
      <c r="F727" s="5" t="s">
        <v>86</v>
      </c>
      <c r="G727" s="5" t="s">
        <v>3177</v>
      </c>
      <c r="H727" s="5" t="s">
        <v>3178</v>
      </c>
      <c r="I727" s="9" t="s">
        <v>3758</v>
      </c>
      <c r="J727" s="5">
        <v>2029</v>
      </c>
      <c r="K727" s="5">
        <v>499</v>
      </c>
      <c r="L727" s="9" t="s">
        <v>3774</v>
      </c>
      <c r="M727" s="5">
        <v>4.5999999999999996</v>
      </c>
      <c r="N727" s="9" t="s">
        <v>4069</v>
      </c>
      <c r="O727" s="9" t="str">
        <f t="shared" si="71"/>
        <v>PDFを開く</v>
      </c>
      <c r="P727" s="9" t="s">
        <v>712</v>
      </c>
    </row>
    <row r="728" spans="1:16" ht="33.950000000000003" customHeight="1">
      <c r="A728" s="2" t="s">
        <v>705</v>
      </c>
      <c r="B728" s="2" t="s">
        <v>73</v>
      </c>
      <c r="C728" s="8" t="s">
        <v>706</v>
      </c>
      <c r="D728" s="2">
        <v>2</v>
      </c>
      <c r="E728" s="8" t="s">
        <v>3188</v>
      </c>
      <c r="F728" s="2" t="s">
        <v>86</v>
      </c>
      <c r="G728" s="19" t="s">
        <v>3189</v>
      </c>
      <c r="H728" s="2" t="s">
        <v>3178</v>
      </c>
      <c r="I728" s="8"/>
      <c r="J728" s="2"/>
      <c r="K728" s="2"/>
      <c r="L728" s="8"/>
      <c r="M728" s="2">
        <v>0</v>
      </c>
      <c r="N728" s="8" t="s">
        <v>4070</v>
      </c>
      <c r="O728" s="8" t="str">
        <f t="shared" si="71"/>
        <v>PDFを開く</v>
      </c>
      <c r="P728" s="8" t="s">
        <v>712</v>
      </c>
    </row>
    <row r="729" spans="1:16" ht="33.950000000000003" customHeight="1">
      <c r="A729" s="5" t="s">
        <v>705</v>
      </c>
      <c r="B729" s="5" t="s">
        <v>73</v>
      </c>
      <c r="C729" s="9" t="s">
        <v>706</v>
      </c>
      <c r="D729" s="5">
        <v>2</v>
      </c>
      <c r="E729" s="9" t="s">
        <v>3191</v>
      </c>
      <c r="F729" s="5" t="s">
        <v>2513</v>
      </c>
      <c r="G729" s="5" t="s">
        <v>3177</v>
      </c>
      <c r="H729" s="5" t="s">
        <v>3178</v>
      </c>
      <c r="I729" s="9" t="s">
        <v>3755</v>
      </c>
      <c r="J729" s="5">
        <v>2026</v>
      </c>
      <c r="K729" s="5">
        <v>22</v>
      </c>
      <c r="L729" s="9" t="s">
        <v>4071</v>
      </c>
      <c r="M729" s="5"/>
      <c r="N729" s="9" t="s">
        <v>4072</v>
      </c>
      <c r="O729" s="9" t="str">
        <f t="shared" si="71"/>
        <v>PDFを開く</v>
      </c>
      <c r="P729" s="9" t="s">
        <v>712</v>
      </c>
    </row>
    <row r="730" spans="1:16" ht="33.950000000000003" customHeight="1">
      <c r="A730" s="2" t="s">
        <v>705</v>
      </c>
      <c r="B730" s="2" t="s">
        <v>73</v>
      </c>
      <c r="C730" s="8" t="s">
        <v>706</v>
      </c>
      <c r="D730" s="2">
        <v>2</v>
      </c>
      <c r="E730" s="8" t="s">
        <v>3191</v>
      </c>
      <c r="F730" s="2" t="s">
        <v>2513</v>
      </c>
      <c r="G730" s="2" t="s">
        <v>3177</v>
      </c>
      <c r="H730" s="2" t="s">
        <v>3178</v>
      </c>
      <c r="I730" s="8" t="s">
        <v>3758</v>
      </c>
      <c r="J730" s="2">
        <v>2029</v>
      </c>
      <c r="K730" s="2">
        <v>77</v>
      </c>
      <c r="L730" s="8" t="s">
        <v>4073</v>
      </c>
      <c r="M730" s="2"/>
      <c r="N730" s="8" t="s">
        <v>4072</v>
      </c>
      <c r="O730" s="8" t="str">
        <f t="shared" si="71"/>
        <v>PDFを開く</v>
      </c>
      <c r="P730" s="8" t="s">
        <v>712</v>
      </c>
    </row>
    <row r="731" spans="1:16" ht="33.950000000000003" customHeight="1">
      <c r="A731" s="5" t="s">
        <v>713</v>
      </c>
      <c r="B731" s="5" t="s">
        <v>73</v>
      </c>
      <c r="C731" s="9" t="s">
        <v>714</v>
      </c>
      <c r="D731" s="5">
        <v>2</v>
      </c>
      <c r="E731" s="9" t="s">
        <v>3176</v>
      </c>
      <c r="F731" s="5" t="s">
        <v>86</v>
      </c>
      <c r="G731" s="5" t="s">
        <v>3177</v>
      </c>
      <c r="H731" s="5" t="s">
        <v>3178</v>
      </c>
      <c r="I731" s="9" t="s">
        <v>3179</v>
      </c>
      <c r="J731" s="5">
        <v>2026</v>
      </c>
      <c r="K731" s="5">
        <v>1588</v>
      </c>
      <c r="L731" s="9" t="s">
        <v>4074</v>
      </c>
      <c r="M731" s="5">
        <v>18.600000000000001</v>
      </c>
      <c r="N731" s="9" t="s">
        <v>4075</v>
      </c>
      <c r="O731" s="9" t="str">
        <f t="shared" ref="O731:O737" si="72">HYPERLINK("https://seichotoushi-hojo.jp/assets/pdf/koufu/outline_171.pdf","PDFを開く")</f>
        <v>PDFを開く</v>
      </c>
      <c r="P731" s="9" t="s">
        <v>719</v>
      </c>
    </row>
    <row r="732" spans="1:16" ht="33.950000000000003" customHeight="1">
      <c r="A732" s="2" t="s">
        <v>713</v>
      </c>
      <c r="B732" s="2" t="s">
        <v>73</v>
      </c>
      <c r="C732" s="8" t="s">
        <v>714</v>
      </c>
      <c r="D732" s="2">
        <v>2</v>
      </c>
      <c r="E732" s="8" t="s">
        <v>3176</v>
      </c>
      <c r="F732" s="2" t="s">
        <v>86</v>
      </c>
      <c r="G732" s="2" t="s">
        <v>3177</v>
      </c>
      <c r="H732" s="2" t="s">
        <v>3178</v>
      </c>
      <c r="I732" s="8" t="s">
        <v>3182</v>
      </c>
      <c r="J732" s="2">
        <v>2029</v>
      </c>
      <c r="K732" s="2">
        <v>2647</v>
      </c>
      <c r="L732" s="8" t="s">
        <v>4076</v>
      </c>
      <c r="M732" s="2">
        <v>18.600000000000001</v>
      </c>
      <c r="N732" s="8" t="s">
        <v>4075</v>
      </c>
      <c r="O732" s="8" t="str">
        <f t="shared" si="72"/>
        <v>PDFを開く</v>
      </c>
      <c r="P732" s="8" t="s">
        <v>719</v>
      </c>
    </row>
    <row r="733" spans="1:16" ht="33.950000000000003" customHeight="1">
      <c r="A733" s="5" t="s">
        <v>713</v>
      </c>
      <c r="B733" s="5" t="s">
        <v>73</v>
      </c>
      <c r="C733" s="9" t="s">
        <v>714</v>
      </c>
      <c r="D733" s="5">
        <v>2</v>
      </c>
      <c r="E733" s="9" t="s">
        <v>3184</v>
      </c>
      <c r="F733" s="5" t="s">
        <v>86</v>
      </c>
      <c r="G733" s="5" t="s">
        <v>3177</v>
      </c>
      <c r="H733" s="5" t="s">
        <v>3178</v>
      </c>
      <c r="I733" s="9" t="s">
        <v>3179</v>
      </c>
      <c r="J733" s="5">
        <v>2026</v>
      </c>
      <c r="K733" s="5">
        <v>408</v>
      </c>
      <c r="L733" s="9" t="s">
        <v>3627</v>
      </c>
      <c r="M733" s="5">
        <v>5</v>
      </c>
      <c r="N733" s="9" t="s">
        <v>4077</v>
      </c>
      <c r="O733" s="9" t="str">
        <f t="shared" si="72"/>
        <v>PDFを開く</v>
      </c>
      <c r="P733" s="9" t="s">
        <v>719</v>
      </c>
    </row>
    <row r="734" spans="1:16" ht="33.950000000000003" customHeight="1">
      <c r="A734" s="2" t="s">
        <v>713</v>
      </c>
      <c r="B734" s="2" t="s">
        <v>73</v>
      </c>
      <c r="C734" s="8" t="s">
        <v>714</v>
      </c>
      <c r="D734" s="2">
        <v>2</v>
      </c>
      <c r="E734" s="8" t="s">
        <v>3184</v>
      </c>
      <c r="F734" s="2" t="s">
        <v>86</v>
      </c>
      <c r="G734" s="2" t="s">
        <v>3177</v>
      </c>
      <c r="H734" s="2" t="s">
        <v>3178</v>
      </c>
      <c r="I734" s="8" t="s">
        <v>3182</v>
      </c>
      <c r="J734" s="2">
        <v>2029</v>
      </c>
      <c r="K734" s="2">
        <v>472</v>
      </c>
      <c r="L734" s="8" t="s">
        <v>3264</v>
      </c>
      <c r="M734" s="2">
        <v>5</v>
      </c>
      <c r="N734" s="8" t="s">
        <v>4077</v>
      </c>
      <c r="O734" s="8" t="str">
        <f t="shared" si="72"/>
        <v>PDFを開く</v>
      </c>
      <c r="P734" s="8" t="s">
        <v>719</v>
      </c>
    </row>
    <row r="735" spans="1:16" ht="33.950000000000003" customHeight="1">
      <c r="A735" s="5" t="s">
        <v>713</v>
      </c>
      <c r="B735" s="5" t="s">
        <v>73</v>
      </c>
      <c r="C735" s="9" t="s">
        <v>714</v>
      </c>
      <c r="D735" s="5">
        <v>2</v>
      </c>
      <c r="E735" s="9" t="s">
        <v>3188</v>
      </c>
      <c r="F735" s="5" t="s">
        <v>86</v>
      </c>
      <c r="G735" s="19" t="s">
        <v>3189</v>
      </c>
      <c r="H735" s="5" t="s">
        <v>3178</v>
      </c>
      <c r="I735" s="9"/>
      <c r="J735" s="5"/>
      <c r="K735" s="5"/>
      <c r="L735" s="9"/>
      <c r="M735" s="5"/>
      <c r="N735" s="9" t="s">
        <v>4078</v>
      </c>
      <c r="O735" s="9" t="str">
        <f t="shared" si="72"/>
        <v>PDFを開く</v>
      </c>
      <c r="P735" s="9" t="s">
        <v>719</v>
      </c>
    </row>
    <row r="736" spans="1:16" ht="33.950000000000003" customHeight="1">
      <c r="A736" s="2" t="s">
        <v>713</v>
      </c>
      <c r="B736" s="2" t="s">
        <v>73</v>
      </c>
      <c r="C736" s="8" t="s">
        <v>714</v>
      </c>
      <c r="D736" s="2">
        <v>2</v>
      </c>
      <c r="E736" s="8" t="s">
        <v>3191</v>
      </c>
      <c r="F736" s="2" t="s">
        <v>2513</v>
      </c>
      <c r="G736" s="2" t="s">
        <v>3177</v>
      </c>
      <c r="H736" s="2" t="s">
        <v>3178</v>
      </c>
      <c r="I736" s="8" t="s">
        <v>3179</v>
      </c>
      <c r="J736" s="2">
        <v>2026</v>
      </c>
      <c r="K736" s="2">
        <v>99</v>
      </c>
      <c r="L736" s="8" t="s">
        <v>3792</v>
      </c>
      <c r="M736" s="2"/>
      <c r="N736" s="8" t="s">
        <v>4079</v>
      </c>
      <c r="O736" s="8" t="str">
        <f t="shared" si="72"/>
        <v>PDFを開く</v>
      </c>
      <c r="P736" s="8" t="s">
        <v>719</v>
      </c>
    </row>
    <row r="737" spans="1:16" ht="33.950000000000003" customHeight="1">
      <c r="A737" s="5" t="s">
        <v>713</v>
      </c>
      <c r="B737" s="5" t="s">
        <v>73</v>
      </c>
      <c r="C737" s="9" t="s">
        <v>714</v>
      </c>
      <c r="D737" s="5">
        <v>2</v>
      </c>
      <c r="E737" s="9" t="s">
        <v>3191</v>
      </c>
      <c r="F737" s="5" t="s">
        <v>2513</v>
      </c>
      <c r="G737" s="5" t="s">
        <v>3177</v>
      </c>
      <c r="H737" s="5" t="s">
        <v>3178</v>
      </c>
      <c r="I737" s="9" t="s">
        <v>3182</v>
      </c>
      <c r="J737" s="5">
        <v>2029</v>
      </c>
      <c r="K737" s="5">
        <v>120</v>
      </c>
      <c r="L737" s="9" t="s">
        <v>4080</v>
      </c>
      <c r="M737" s="5"/>
      <c r="N737" s="9" t="s">
        <v>4079</v>
      </c>
      <c r="O737" s="9" t="str">
        <f t="shared" si="72"/>
        <v>PDFを開く</v>
      </c>
      <c r="P737" s="9" t="s">
        <v>719</v>
      </c>
    </row>
    <row r="738" spans="1:16" ht="33.950000000000003" customHeight="1">
      <c r="A738" s="2" t="s">
        <v>720</v>
      </c>
      <c r="B738" s="2" t="s">
        <v>73</v>
      </c>
      <c r="C738" s="8" t="s">
        <v>721</v>
      </c>
      <c r="D738" s="2">
        <v>2</v>
      </c>
      <c r="E738" s="8" t="s">
        <v>3176</v>
      </c>
      <c r="F738" s="2"/>
      <c r="G738" s="19" t="s">
        <v>3494</v>
      </c>
      <c r="H738" s="2" t="s">
        <v>3178</v>
      </c>
      <c r="I738" s="8" t="s">
        <v>3456</v>
      </c>
      <c r="J738" s="2">
        <v>2025</v>
      </c>
      <c r="K738" s="2">
        <v>1074</v>
      </c>
      <c r="L738" s="8" t="s">
        <v>4081</v>
      </c>
      <c r="M738" s="2">
        <v>34.200000000000003</v>
      </c>
      <c r="N738" s="8" t="s">
        <v>4082</v>
      </c>
      <c r="O738" s="8" t="str">
        <f t="shared" ref="O738:O761" si="73">HYPERLINK("https://seichotoushi-hojo.jp/assets/pdf/koufu/outline_173.pdf","PDFを開く")</f>
        <v>PDFを開く</v>
      </c>
      <c r="P738" s="8" t="s">
        <v>727</v>
      </c>
    </row>
    <row r="739" spans="1:16" ht="33.950000000000003" customHeight="1">
      <c r="A739" s="5" t="s">
        <v>720</v>
      </c>
      <c r="B739" s="5" t="s">
        <v>73</v>
      </c>
      <c r="C739" s="9" t="s">
        <v>721</v>
      </c>
      <c r="D739" s="5">
        <v>2</v>
      </c>
      <c r="E739" s="9" t="s">
        <v>3176</v>
      </c>
      <c r="F739" s="5"/>
      <c r="G739" s="19" t="s">
        <v>3494</v>
      </c>
      <c r="H739" s="5" t="s">
        <v>3178</v>
      </c>
      <c r="I739" s="9" t="s">
        <v>3459</v>
      </c>
      <c r="J739" s="5">
        <v>2028</v>
      </c>
      <c r="K739" s="5">
        <v>2592</v>
      </c>
      <c r="L739" s="9" t="s">
        <v>3263</v>
      </c>
      <c r="M739" s="5">
        <v>34.200000000000003</v>
      </c>
      <c r="N739" s="9" t="s">
        <v>4082</v>
      </c>
      <c r="O739" s="9" t="str">
        <f t="shared" si="73"/>
        <v>PDFを開く</v>
      </c>
      <c r="P739" s="9" t="s">
        <v>727</v>
      </c>
    </row>
    <row r="740" spans="1:16" ht="33.950000000000003" customHeight="1">
      <c r="A740" s="2" t="s">
        <v>720</v>
      </c>
      <c r="B740" s="2" t="s">
        <v>73</v>
      </c>
      <c r="C740" s="8" t="s">
        <v>721</v>
      </c>
      <c r="D740" s="2">
        <v>2</v>
      </c>
      <c r="E740" s="8" t="s">
        <v>3176</v>
      </c>
      <c r="F740" s="2"/>
      <c r="G740" s="19" t="s">
        <v>3494</v>
      </c>
      <c r="H740" s="2" t="s">
        <v>3178</v>
      </c>
      <c r="I740" s="8" t="s">
        <v>3456</v>
      </c>
      <c r="J740" s="2">
        <v>2025</v>
      </c>
      <c r="K740" s="2">
        <v>527</v>
      </c>
      <c r="L740" s="8" t="s">
        <v>4083</v>
      </c>
      <c r="M740" s="2">
        <v>34.200000000000003</v>
      </c>
      <c r="N740" s="8" t="s">
        <v>4082</v>
      </c>
      <c r="O740" s="8" t="str">
        <f t="shared" si="73"/>
        <v>PDFを開く</v>
      </c>
      <c r="P740" s="8" t="s">
        <v>727</v>
      </c>
    </row>
    <row r="741" spans="1:16" ht="33.950000000000003" customHeight="1">
      <c r="A741" s="5" t="s">
        <v>720</v>
      </c>
      <c r="B741" s="5" t="s">
        <v>73</v>
      </c>
      <c r="C741" s="9" t="s">
        <v>721</v>
      </c>
      <c r="D741" s="5">
        <v>2</v>
      </c>
      <c r="E741" s="9" t="s">
        <v>3176</v>
      </c>
      <c r="F741" s="5"/>
      <c r="G741" s="19" t="s">
        <v>3494</v>
      </c>
      <c r="H741" s="5" t="s">
        <v>3178</v>
      </c>
      <c r="I741" s="9" t="s">
        <v>3459</v>
      </c>
      <c r="J741" s="5">
        <v>2028</v>
      </c>
      <c r="K741" s="5">
        <v>1077</v>
      </c>
      <c r="L741" s="9" t="s">
        <v>3668</v>
      </c>
      <c r="M741" s="5">
        <v>34.200000000000003</v>
      </c>
      <c r="N741" s="9" t="s">
        <v>4082</v>
      </c>
      <c r="O741" s="9" t="str">
        <f t="shared" si="73"/>
        <v>PDFを開く</v>
      </c>
      <c r="P741" s="9" t="s">
        <v>727</v>
      </c>
    </row>
    <row r="742" spans="1:16" ht="33.950000000000003" customHeight="1">
      <c r="A742" s="2" t="s">
        <v>720</v>
      </c>
      <c r="B742" s="2" t="s">
        <v>73</v>
      </c>
      <c r="C742" s="8" t="s">
        <v>721</v>
      </c>
      <c r="D742" s="2">
        <v>2</v>
      </c>
      <c r="E742" s="8" t="s">
        <v>3184</v>
      </c>
      <c r="F742" s="2"/>
      <c r="G742" s="19" t="s">
        <v>3494</v>
      </c>
      <c r="H742" s="2" t="s">
        <v>3178</v>
      </c>
      <c r="I742" s="8" t="s">
        <v>3456</v>
      </c>
      <c r="J742" s="2">
        <v>2025</v>
      </c>
      <c r="K742" s="2">
        <v>539</v>
      </c>
      <c r="L742" s="8" t="s">
        <v>4084</v>
      </c>
      <c r="M742" s="2">
        <v>6.1</v>
      </c>
      <c r="N742" s="8" t="s">
        <v>4085</v>
      </c>
      <c r="O742" s="8" t="str">
        <f t="shared" si="73"/>
        <v>PDFを開く</v>
      </c>
      <c r="P742" s="8" t="s">
        <v>727</v>
      </c>
    </row>
    <row r="743" spans="1:16" ht="33.950000000000003" customHeight="1">
      <c r="A743" s="5" t="s">
        <v>720</v>
      </c>
      <c r="B743" s="5" t="s">
        <v>73</v>
      </c>
      <c r="C743" s="9" t="s">
        <v>721</v>
      </c>
      <c r="D743" s="5">
        <v>2</v>
      </c>
      <c r="E743" s="9" t="s">
        <v>3184</v>
      </c>
      <c r="F743" s="5"/>
      <c r="G743" s="19" t="s">
        <v>3494</v>
      </c>
      <c r="H743" s="5" t="s">
        <v>3178</v>
      </c>
      <c r="I743" s="9" t="s">
        <v>3459</v>
      </c>
      <c r="J743" s="5">
        <v>2028</v>
      </c>
      <c r="K743" s="5">
        <v>644</v>
      </c>
      <c r="L743" s="9" t="s">
        <v>3894</v>
      </c>
      <c r="M743" s="5">
        <v>6.1</v>
      </c>
      <c r="N743" s="9" t="s">
        <v>4085</v>
      </c>
      <c r="O743" s="9" t="str">
        <f t="shared" si="73"/>
        <v>PDFを開く</v>
      </c>
      <c r="P743" s="9" t="s">
        <v>727</v>
      </c>
    </row>
    <row r="744" spans="1:16" ht="33.950000000000003" customHeight="1">
      <c r="A744" s="2" t="s">
        <v>720</v>
      </c>
      <c r="B744" s="2" t="s">
        <v>73</v>
      </c>
      <c r="C744" s="8" t="s">
        <v>721</v>
      </c>
      <c r="D744" s="2">
        <v>2</v>
      </c>
      <c r="E744" s="8" t="s">
        <v>3184</v>
      </c>
      <c r="F744" s="2"/>
      <c r="G744" s="19" t="s">
        <v>3494</v>
      </c>
      <c r="H744" s="2" t="s">
        <v>3178</v>
      </c>
      <c r="I744" s="8" t="s">
        <v>3456</v>
      </c>
      <c r="J744" s="2">
        <v>2025</v>
      </c>
      <c r="K744" s="2">
        <v>490</v>
      </c>
      <c r="L744" s="8" t="s">
        <v>3396</v>
      </c>
      <c r="M744" s="2">
        <v>6.1</v>
      </c>
      <c r="N744" s="8" t="s">
        <v>4085</v>
      </c>
      <c r="O744" s="8" t="str">
        <f t="shared" si="73"/>
        <v>PDFを開く</v>
      </c>
      <c r="P744" s="8" t="s">
        <v>727</v>
      </c>
    </row>
    <row r="745" spans="1:16" ht="33.950000000000003" customHeight="1">
      <c r="A745" s="5" t="s">
        <v>720</v>
      </c>
      <c r="B745" s="5" t="s">
        <v>73</v>
      </c>
      <c r="C745" s="9" t="s">
        <v>721</v>
      </c>
      <c r="D745" s="5">
        <v>2</v>
      </c>
      <c r="E745" s="9" t="s">
        <v>3184</v>
      </c>
      <c r="F745" s="5"/>
      <c r="G745" s="19" t="s">
        <v>3494</v>
      </c>
      <c r="H745" s="5" t="s">
        <v>3178</v>
      </c>
      <c r="I745" s="9" t="s">
        <v>3459</v>
      </c>
      <c r="J745" s="5">
        <v>2028</v>
      </c>
      <c r="K745" s="5">
        <v>585</v>
      </c>
      <c r="L745" s="9" t="s">
        <v>3449</v>
      </c>
      <c r="M745" s="5">
        <v>6.1</v>
      </c>
      <c r="N745" s="9" t="s">
        <v>4085</v>
      </c>
      <c r="O745" s="9" t="str">
        <f t="shared" si="73"/>
        <v>PDFを開く</v>
      </c>
      <c r="P745" s="9" t="s">
        <v>727</v>
      </c>
    </row>
    <row r="746" spans="1:16" ht="33.950000000000003" customHeight="1">
      <c r="A746" s="2" t="s">
        <v>720</v>
      </c>
      <c r="B746" s="2" t="s">
        <v>73</v>
      </c>
      <c r="C746" s="8" t="s">
        <v>721</v>
      </c>
      <c r="D746" s="2">
        <v>2</v>
      </c>
      <c r="E746" s="8" t="s">
        <v>3188</v>
      </c>
      <c r="F746" s="2"/>
      <c r="G746" s="19" t="s">
        <v>3494</v>
      </c>
      <c r="H746" s="2" t="s">
        <v>3178</v>
      </c>
      <c r="I746" s="8" t="s">
        <v>3456</v>
      </c>
      <c r="J746" s="2">
        <v>2025</v>
      </c>
      <c r="K746" s="2">
        <v>1650</v>
      </c>
      <c r="L746" s="8" t="s">
        <v>3842</v>
      </c>
      <c r="M746" s="2">
        <v>6.1</v>
      </c>
      <c r="N746" s="8" t="s">
        <v>4086</v>
      </c>
      <c r="O746" s="8" t="str">
        <f t="shared" si="73"/>
        <v>PDFを開く</v>
      </c>
      <c r="P746" s="8" t="s">
        <v>727</v>
      </c>
    </row>
    <row r="747" spans="1:16" ht="33.950000000000003" customHeight="1">
      <c r="A747" s="5" t="s">
        <v>720</v>
      </c>
      <c r="B747" s="5" t="s">
        <v>73</v>
      </c>
      <c r="C747" s="9" t="s">
        <v>721</v>
      </c>
      <c r="D747" s="5">
        <v>2</v>
      </c>
      <c r="E747" s="9" t="s">
        <v>3188</v>
      </c>
      <c r="F747" s="5"/>
      <c r="G747" s="19" t="s">
        <v>3494</v>
      </c>
      <c r="H747" s="5" t="s">
        <v>3178</v>
      </c>
      <c r="I747" s="9" t="s">
        <v>3459</v>
      </c>
      <c r="J747" s="5">
        <v>2028</v>
      </c>
      <c r="K747" s="5">
        <v>1972</v>
      </c>
      <c r="L747" s="9" t="s">
        <v>4087</v>
      </c>
      <c r="M747" s="5">
        <v>6.1</v>
      </c>
      <c r="N747" s="9" t="s">
        <v>4086</v>
      </c>
      <c r="O747" s="9" t="str">
        <f t="shared" si="73"/>
        <v>PDFを開く</v>
      </c>
      <c r="P747" s="9" t="s">
        <v>727</v>
      </c>
    </row>
    <row r="748" spans="1:16" ht="33.950000000000003" customHeight="1">
      <c r="A748" s="2" t="s">
        <v>720</v>
      </c>
      <c r="B748" s="2" t="s">
        <v>73</v>
      </c>
      <c r="C748" s="8" t="s">
        <v>721</v>
      </c>
      <c r="D748" s="2">
        <v>2</v>
      </c>
      <c r="E748" s="8" t="s">
        <v>3188</v>
      </c>
      <c r="F748" s="2"/>
      <c r="G748" s="19" t="s">
        <v>3494</v>
      </c>
      <c r="H748" s="2" t="s">
        <v>3178</v>
      </c>
      <c r="I748" s="8" t="s">
        <v>3456</v>
      </c>
      <c r="J748" s="2">
        <v>2025</v>
      </c>
      <c r="K748" s="2">
        <v>100</v>
      </c>
      <c r="L748" s="8" t="s">
        <v>3417</v>
      </c>
      <c r="M748" s="2">
        <v>6.1</v>
      </c>
      <c r="N748" s="8" t="s">
        <v>4086</v>
      </c>
      <c r="O748" s="8" t="str">
        <f t="shared" si="73"/>
        <v>PDFを開く</v>
      </c>
      <c r="P748" s="8" t="s">
        <v>727</v>
      </c>
    </row>
    <row r="749" spans="1:16" ht="33.950000000000003" customHeight="1">
      <c r="A749" s="5" t="s">
        <v>720</v>
      </c>
      <c r="B749" s="5" t="s">
        <v>73</v>
      </c>
      <c r="C749" s="9" t="s">
        <v>721</v>
      </c>
      <c r="D749" s="5">
        <v>2</v>
      </c>
      <c r="E749" s="9" t="s">
        <v>3188</v>
      </c>
      <c r="F749" s="5"/>
      <c r="G749" s="19" t="s">
        <v>3494</v>
      </c>
      <c r="H749" s="5" t="s">
        <v>3178</v>
      </c>
      <c r="I749" s="9" t="s">
        <v>3459</v>
      </c>
      <c r="J749" s="5">
        <v>2028</v>
      </c>
      <c r="K749" s="5">
        <v>150</v>
      </c>
      <c r="L749" s="9" t="s">
        <v>4088</v>
      </c>
      <c r="M749" s="5">
        <v>6.1</v>
      </c>
      <c r="N749" s="9" t="s">
        <v>4086</v>
      </c>
      <c r="O749" s="9" t="str">
        <f t="shared" si="73"/>
        <v>PDFを開く</v>
      </c>
      <c r="P749" s="9" t="s">
        <v>727</v>
      </c>
    </row>
    <row r="750" spans="1:16" ht="33.950000000000003" customHeight="1">
      <c r="A750" s="2" t="s">
        <v>720</v>
      </c>
      <c r="B750" s="2" t="s">
        <v>73</v>
      </c>
      <c r="C750" s="8" t="s">
        <v>721</v>
      </c>
      <c r="D750" s="2">
        <v>2</v>
      </c>
      <c r="E750" s="8" t="s">
        <v>3191</v>
      </c>
      <c r="F750" s="2" t="s">
        <v>2513</v>
      </c>
      <c r="G750" s="19" t="s">
        <v>3494</v>
      </c>
      <c r="H750" s="2" t="s">
        <v>3178</v>
      </c>
      <c r="I750" s="8" t="s">
        <v>3456</v>
      </c>
      <c r="J750" s="2">
        <v>2025</v>
      </c>
      <c r="K750" s="2">
        <v>35</v>
      </c>
      <c r="L750" s="8" t="s">
        <v>3269</v>
      </c>
      <c r="M750" s="2"/>
      <c r="N750" s="8" t="s">
        <v>4089</v>
      </c>
      <c r="O750" s="8" t="str">
        <f t="shared" si="73"/>
        <v>PDFを開く</v>
      </c>
      <c r="P750" s="8" t="s">
        <v>727</v>
      </c>
    </row>
    <row r="751" spans="1:16" ht="33.950000000000003" customHeight="1">
      <c r="A751" s="5" t="s">
        <v>720</v>
      </c>
      <c r="B751" s="5" t="s">
        <v>73</v>
      </c>
      <c r="C751" s="9" t="s">
        <v>721</v>
      </c>
      <c r="D751" s="5">
        <v>2</v>
      </c>
      <c r="E751" s="9" t="s">
        <v>3191</v>
      </c>
      <c r="F751" s="5" t="s">
        <v>2513</v>
      </c>
      <c r="G751" s="19" t="s">
        <v>3494</v>
      </c>
      <c r="H751" s="5" t="s">
        <v>3178</v>
      </c>
      <c r="I751" s="9" t="s">
        <v>3459</v>
      </c>
      <c r="J751" s="5">
        <v>2028</v>
      </c>
      <c r="K751" s="5">
        <v>36</v>
      </c>
      <c r="L751" s="9" t="s">
        <v>4090</v>
      </c>
      <c r="M751" s="5"/>
      <c r="N751" s="9" t="s">
        <v>4089</v>
      </c>
      <c r="O751" s="9" t="str">
        <f t="shared" si="73"/>
        <v>PDFを開く</v>
      </c>
      <c r="P751" s="9" t="s">
        <v>727</v>
      </c>
    </row>
    <row r="752" spans="1:16" ht="33.950000000000003" customHeight="1">
      <c r="A752" s="2" t="s">
        <v>720</v>
      </c>
      <c r="B752" s="2" t="s">
        <v>73</v>
      </c>
      <c r="C752" s="8" t="s">
        <v>721</v>
      </c>
      <c r="D752" s="2">
        <v>2</v>
      </c>
      <c r="E752" s="8" t="s">
        <v>3191</v>
      </c>
      <c r="F752" s="2" t="s">
        <v>2513</v>
      </c>
      <c r="G752" s="19" t="s">
        <v>3494</v>
      </c>
      <c r="H752" s="2" t="s">
        <v>3178</v>
      </c>
      <c r="I752" s="8" t="s">
        <v>3456</v>
      </c>
      <c r="J752" s="2">
        <v>2025</v>
      </c>
      <c r="K752" s="2">
        <v>31</v>
      </c>
      <c r="L752" s="8" t="s">
        <v>3588</v>
      </c>
      <c r="M752" s="2"/>
      <c r="N752" s="8" t="s">
        <v>4089</v>
      </c>
      <c r="O752" s="8" t="str">
        <f t="shared" si="73"/>
        <v>PDFを開く</v>
      </c>
      <c r="P752" s="8" t="s">
        <v>727</v>
      </c>
    </row>
    <row r="753" spans="1:16" ht="33.950000000000003" customHeight="1">
      <c r="A753" s="5" t="s">
        <v>720</v>
      </c>
      <c r="B753" s="5" t="s">
        <v>73</v>
      </c>
      <c r="C753" s="9" t="s">
        <v>721</v>
      </c>
      <c r="D753" s="5">
        <v>2</v>
      </c>
      <c r="E753" s="9" t="s">
        <v>3191</v>
      </c>
      <c r="F753" s="5" t="s">
        <v>2513</v>
      </c>
      <c r="G753" s="19" t="s">
        <v>3494</v>
      </c>
      <c r="H753" s="5" t="s">
        <v>3178</v>
      </c>
      <c r="I753" s="9" t="s">
        <v>3459</v>
      </c>
      <c r="J753" s="5">
        <v>2028</v>
      </c>
      <c r="K753" s="5">
        <v>34</v>
      </c>
      <c r="L753" s="9" t="s">
        <v>4091</v>
      </c>
      <c r="M753" s="5"/>
      <c r="N753" s="9" t="s">
        <v>4089</v>
      </c>
      <c r="O753" s="9" t="str">
        <f t="shared" si="73"/>
        <v>PDFを開く</v>
      </c>
      <c r="P753" s="9" t="s">
        <v>727</v>
      </c>
    </row>
    <row r="754" spans="1:16" ht="33.950000000000003" customHeight="1">
      <c r="A754" s="2" t="s">
        <v>720</v>
      </c>
      <c r="B754" s="2" t="s">
        <v>73</v>
      </c>
      <c r="C754" s="8" t="s">
        <v>721</v>
      </c>
      <c r="D754" s="2">
        <v>2</v>
      </c>
      <c r="E754" s="8" t="s">
        <v>3176</v>
      </c>
      <c r="F754" s="2" t="s">
        <v>86</v>
      </c>
      <c r="G754" s="2" t="s">
        <v>3177</v>
      </c>
      <c r="H754" s="2" t="s">
        <v>3178</v>
      </c>
      <c r="I754" s="8" t="s">
        <v>3456</v>
      </c>
      <c r="J754" s="2">
        <v>2025</v>
      </c>
      <c r="K754" s="2">
        <v>1074</v>
      </c>
      <c r="L754" s="8" t="s">
        <v>4081</v>
      </c>
      <c r="M754" s="2">
        <v>34.200000000000003</v>
      </c>
      <c r="N754" s="8" t="s">
        <v>4082</v>
      </c>
      <c r="O754" s="8" t="str">
        <f t="shared" si="73"/>
        <v>PDFを開く</v>
      </c>
      <c r="P754" s="8" t="s">
        <v>727</v>
      </c>
    </row>
    <row r="755" spans="1:16" ht="33.950000000000003" customHeight="1">
      <c r="A755" s="5" t="s">
        <v>720</v>
      </c>
      <c r="B755" s="5" t="s">
        <v>73</v>
      </c>
      <c r="C755" s="9" t="s">
        <v>721</v>
      </c>
      <c r="D755" s="5">
        <v>2</v>
      </c>
      <c r="E755" s="9" t="s">
        <v>3176</v>
      </c>
      <c r="F755" s="5" t="s">
        <v>86</v>
      </c>
      <c r="G755" s="5" t="s">
        <v>3177</v>
      </c>
      <c r="H755" s="5" t="s">
        <v>3178</v>
      </c>
      <c r="I755" s="9" t="s">
        <v>3459</v>
      </c>
      <c r="J755" s="5">
        <v>2028</v>
      </c>
      <c r="K755" s="5">
        <v>2592</v>
      </c>
      <c r="L755" s="9" t="s">
        <v>3263</v>
      </c>
      <c r="M755" s="5">
        <v>34.200000000000003</v>
      </c>
      <c r="N755" s="9" t="s">
        <v>4082</v>
      </c>
      <c r="O755" s="9" t="str">
        <f t="shared" si="73"/>
        <v>PDFを開く</v>
      </c>
      <c r="P755" s="9" t="s">
        <v>727</v>
      </c>
    </row>
    <row r="756" spans="1:16" ht="33.950000000000003" customHeight="1">
      <c r="A756" s="2" t="s">
        <v>720</v>
      </c>
      <c r="B756" s="2" t="s">
        <v>73</v>
      </c>
      <c r="C756" s="8" t="s">
        <v>721</v>
      </c>
      <c r="D756" s="2">
        <v>2</v>
      </c>
      <c r="E756" s="8" t="s">
        <v>3188</v>
      </c>
      <c r="F756" s="2" t="s">
        <v>86</v>
      </c>
      <c r="G756" s="2" t="s">
        <v>3177</v>
      </c>
      <c r="H756" s="2" t="s">
        <v>3178</v>
      </c>
      <c r="I756" s="8" t="s">
        <v>3456</v>
      </c>
      <c r="J756" s="2">
        <v>2025</v>
      </c>
      <c r="K756" s="2">
        <v>1650</v>
      </c>
      <c r="L756" s="8" t="s">
        <v>3842</v>
      </c>
      <c r="M756" s="2">
        <v>6.1</v>
      </c>
      <c r="N756" s="8" t="s">
        <v>4086</v>
      </c>
      <c r="O756" s="8" t="str">
        <f t="shared" si="73"/>
        <v>PDFを開く</v>
      </c>
      <c r="P756" s="8" t="s">
        <v>727</v>
      </c>
    </row>
    <row r="757" spans="1:16" ht="33.950000000000003" customHeight="1">
      <c r="A757" s="5" t="s">
        <v>720</v>
      </c>
      <c r="B757" s="5" t="s">
        <v>73</v>
      </c>
      <c r="C757" s="9" t="s">
        <v>721</v>
      </c>
      <c r="D757" s="5">
        <v>2</v>
      </c>
      <c r="E757" s="9" t="s">
        <v>3188</v>
      </c>
      <c r="F757" s="5" t="s">
        <v>86</v>
      </c>
      <c r="G757" s="5" t="s">
        <v>3177</v>
      </c>
      <c r="H757" s="5" t="s">
        <v>3178</v>
      </c>
      <c r="I757" s="9" t="s">
        <v>3459</v>
      </c>
      <c r="J757" s="5">
        <v>2028</v>
      </c>
      <c r="K757" s="5">
        <v>1972</v>
      </c>
      <c r="L757" s="9" t="s">
        <v>4087</v>
      </c>
      <c r="M757" s="5">
        <v>6.1</v>
      </c>
      <c r="N757" s="9" t="s">
        <v>4086</v>
      </c>
      <c r="O757" s="9" t="str">
        <f t="shared" si="73"/>
        <v>PDFを開く</v>
      </c>
      <c r="P757" s="9" t="s">
        <v>727</v>
      </c>
    </row>
    <row r="758" spans="1:16" ht="33.950000000000003" customHeight="1">
      <c r="A758" s="2" t="s">
        <v>720</v>
      </c>
      <c r="B758" s="2" t="s">
        <v>73</v>
      </c>
      <c r="C758" s="8" t="s">
        <v>721</v>
      </c>
      <c r="D758" s="2">
        <v>2</v>
      </c>
      <c r="E758" s="8" t="s">
        <v>3191</v>
      </c>
      <c r="F758" s="2" t="s">
        <v>2513</v>
      </c>
      <c r="G758" s="2" t="s">
        <v>3177</v>
      </c>
      <c r="H758" s="2" t="s">
        <v>3178</v>
      </c>
      <c r="I758" s="8" t="s">
        <v>3456</v>
      </c>
      <c r="J758" s="2">
        <v>2025</v>
      </c>
      <c r="K758" s="2">
        <v>35</v>
      </c>
      <c r="L758" s="8" t="s">
        <v>3269</v>
      </c>
      <c r="M758" s="2"/>
      <c r="N758" s="8" t="s">
        <v>4089</v>
      </c>
      <c r="O758" s="8" t="str">
        <f t="shared" si="73"/>
        <v>PDFを開く</v>
      </c>
      <c r="P758" s="8" t="s">
        <v>727</v>
      </c>
    </row>
    <row r="759" spans="1:16" ht="33.950000000000003" customHeight="1">
      <c r="A759" s="5" t="s">
        <v>720</v>
      </c>
      <c r="B759" s="5" t="s">
        <v>73</v>
      </c>
      <c r="C759" s="9" t="s">
        <v>721</v>
      </c>
      <c r="D759" s="5">
        <v>2</v>
      </c>
      <c r="E759" s="9" t="s">
        <v>3191</v>
      </c>
      <c r="F759" s="5" t="s">
        <v>2513</v>
      </c>
      <c r="G759" s="5" t="s">
        <v>3177</v>
      </c>
      <c r="H759" s="5" t="s">
        <v>3178</v>
      </c>
      <c r="I759" s="9" t="s">
        <v>3459</v>
      </c>
      <c r="J759" s="5">
        <v>2028</v>
      </c>
      <c r="K759" s="5">
        <v>36</v>
      </c>
      <c r="L759" s="9" t="s">
        <v>4090</v>
      </c>
      <c r="M759" s="5"/>
      <c r="N759" s="9" t="s">
        <v>4089</v>
      </c>
      <c r="O759" s="9" t="str">
        <f t="shared" si="73"/>
        <v>PDFを開く</v>
      </c>
      <c r="P759" s="9" t="s">
        <v>727</v>
      </c>
    </row>
    <row r="760" spans="1:16" ht="33.950000000000003" customHeight="1">
      <c r="A760" s="2" t="s">
        <v>720</v>
      </c>
      <c r="B760" s="2" t="s">
        <v>73</v>
      </c>
      <c r="C760" s="8" t="s">
        <v>721</v>
      </c>
      <c r="D760" s="2">
        <v>2</v>
      </c>
      <c r="E760" s="8" t="s">
        <v>3184</v>
      </c>
      <c r="F760" s="2" t="s">
        <v>86</v>
      </c>
      <c r="G760" s="2" t="s">
        <v>3177</v>
      </c>
      <c r="H760" s="2" t="s">
        <v>3178</v>
      </c>
      <c r="I760" s="8" t="s">
        <v>3456</v>
      </c>
      <c r="J760" s="2">
        <v>2025</v>
      </c>
      <c r="K760" s="2">
        <v>539</v>
      </c>
      <c r="L760" s="8" t="s">
        <v>4084</v>
      </c>
      <c r="M760" s="2">
        <v>6.1</v>
      </c>
      <c r="N760" s="8" t="s">
        <v>4085</v>
      </c>
      <c r="O760" s="8" t="str">
        <f t="shared" si="73"/>
        <v>PDFを開く</v>
      </c>
      <c r="P760" s="8" t="s">
        <v>727</v>
      </c>
    </row>
    <row r="761" spans="1:16" ht="33.950000000000003" customHeight="1">
      <c r="A761" s="5" t="s">
        <v>720</v>
      </c>
      <c r="B761" s="5" t="s">
        <v>73</v>
      </c>
      <c r="C761" s="9" t="s">
        <v>721</v>
      </c>
      <c r="D761" s="5">
        <v>2</v>
      </c>
      <c r="E761" s="9" t="s">
        <v>3184</v>
      </c>
      <c r="F761" s="5" t="s">
        <v>86</v>
      </c>
      <c r="G761" s="5" t="s">
        <v>3177</v>
      </c>
      <c r="H761" s="5" t="s">
        <v>3178</v>
      </c>
      <c r="I761" s="9" t="s">
        <v>3459</v>
      </c>
      <c r="J761" s="5">
        <v>2028</v>
      </c>
      <c r="K761" s="5">
        <v>644</v>
      </c>
      <c r="L761" s="9" t="s">
        <v>3894</v>
      </c>
      <c r="M761" s="5">
        <v>6.1</v>
      </c>
      <c r="N761" s="9" t="s">
        <v>4085</v>
      </c>
      <c r="O761" s="9" t="str">
        <f t="shared" si="73"/>
        <v>PDFを開く</v>
      </c>
      <c r="P761" s="9" t="s">
        <v>727</v>
      </c>
    </row>
    <row r="762" spans="1:16" ht="33.950000000000003" customHeight="1">
      <c r="A762" s="2" t="s">
        <v>728</v>
      </c>
      <c r="B762" s="2" t="s">
        <v>73</v>
      </c>
      <c r="C762" s="8" t="s">
        <v>729</v>
      </c>
      <c r="D762" s="2">
        <v>3</v>
      </c>
      <c r="E762" s="8" t="s">
        <v>3176</v>
      </c>
      <c r="F762" s="2" t="s">
        <v>86</v>
      </c>
      <c r="G762" s="19" t="s">
        <v>3494</v>
      </c>
      <c r="H762" s="2" t="s">
        <v>3178</v>
      </c>
      <c r="I762" s="8" t="s">
        <v>4092</v>
      </c>
      <c r="J762" s="2">
        <v>2026</v>
      </c>
      <c r="K762" s="2">
        <v>123</v>
      </c>
      <c r="L762" s="8" t="s">
        <v>4093</v>
      </c>
      <c r="M762" s="2">
        <v>32</v>
      </c>
      <c r="N762" s="8" t="s">
        <v>4094</v>
      </c>
      <c r="O762" s="8" t="str">
        <f t="shared" ref="O762:O791" si="74">HYPERLINK("https://seichotoushi-hojo.jp/assets/pdf/koufu/outline_174.pdf","PDFを開く")</f>
        <v>PDFを開く</v>
      </c>
      <c r="P762" s="8" t="s">
        <v>735</v>
      </c>
    </row>
    <row r="763" spans="1:16" ht="33.950000000000003" customHeight="1">
      <c r="A763" s="5" t="s">
        <v>728</v>
      </c>
      <c r="B763" s="5" t="s">
        <v>73</v>
      </c>
      <c r="C763" s="9" t="s">
        <v>729</v>
      </c>
      <c r="D763" s="5">
        <v>3</v>
      </c>
      <c r="E763" s="9" t="s">
        <v>3176</v>
      </c>
      <c r="F763" s="5" t="s">
        <v>86</v>
      </c>
      <c r="G763" s="19" t="s">
        <v>3494</v>
      </c>
      <c r="H763" s="5" t="s">
        <v>3178</v>
      </c>
      <c r="I763" s="9" t="s">
        <v>4095</v>
      </c>
      <c r="J763" s="5">
        <v>2029</v>
      </c>
      <c r="K763" s="5">
        <v>1440</v>
      </c>
      <c r="L763" s="9" t="s">
        <v>4096</v>
      </c>
      <c r="M763" s="5">
        <v>32</v>
      </c>
      <c r="N763" s="9" t="s">
        <v>4094</v>
      </c>
      <c r="O763" s="9" t="str">
        <f t="shared" si="74"/>
        <v>PDFを開く</v>
      </c>
      <c r="P763" s="9" t="s">
        <v>735</v>
      </c>
    </row>
    <row r="764" spans="1:16" ht="33.950000000000003" customHeight="1">
      <c r="A764" s="2" t="s">
        <v>728</v>
      </c>
      <c r="B764" s="2" t="s">
        <v>73</v>
      </c>
      <c r="C764" s="8" t="s">
        <v>729</v>
      </c>
      <c r="D764" s="2">
        <v>3</v>
      </c>
      <c r="E764" s="8" t="s">
        <v>3176</v>
      </c>
      <c r="F764" s="2" t="s">
        <v>86</v>
      </c>
      <c r="G764" s="19" t="s">
        <v>3494</v>
      </c>
      <c r="H764" s="2" t="s">
        <v>3178</v>
      </c>
      <c r="I764" s="8" t="s">
        <v>4097</v>
      </c>
      <c r="J764" s="2">
        <v>2026</v>
      </c>
      <c r="K764" s="2">
        <v>75</v>
      </c>
      <c r="L764" s="8" t="s">
        <v>4098</v>
      </c>
      <c r="M764" s="2">
        <v>32</v>
      </c>
      <c r="N764" s="8" t="s">
        <v>4094</v>
      </c>
      <c r="O764" s="8" t="str">
        <f t="shared" si="74"/>
        <v>PDFを開く</v>
      </c>
      <c r="P764" s="8" t="s">
        <v>735</v>
      </c>
    </row>
    <row r="765" spans="1:16" ht="33.950000000000003" customHeight="1">
      <c r="A765" s="5" t="s">
        <v>728</v>
      </c>
      <c r="B765" s="5" t="s">
        <v>73</v>
      </c>
      <c r="C765" s="9" t="s">
        <v>729</v>
      </c>
      <c r="D765" s="5">
        <v>3</v>
      </c>
      <c r="E765" s="9" t="s">
        <v>3176</v>
      </c>
      <c r="F765" s="5" t="s">
        <v>86</v>
      </c>
      <c r="G765" s="19" t="s">
        <v>3494</v>
      </c>
      <c r="H765" s="5" t="s">
        <v>3178</v>
      </c>
      <c r="I765" s="9" t="s">
        <v>4099</v>
      </c>
      <c r="J765" s="5">
        <v>2029</v>
      </c>
      <c r="K765" s="5">
        <v>1464</v>
      </c>
      <c r="L765" s="9" t="s">
        <v>4100</v>
      </c>
      <c r="M765" s="5">
        <v>32</v>
      </c>
      <c r="N765" s="9" t="s">
        <v>4094</v>
      </c>
      <c r="O765" s="9" t="str">
        <f t="shared" si="74"/>
        <v>PDFを開く</v>
      </c>
      <c r="P765" s="9" t="s">
        <v>735</v>
      </c>
    </row>
    <row r="766" spans="1:16" ht="33.950000000000003" customHeight="1">
      <c r="A766" s="2" t="s">
        <v>728</v>
      </c>
      <c r="B766" s="2" t="s">
        <v>73</v>
      </c>
      <c r="C766" s="8" t="s">
        <v>729</v>
      </c>
      <c r="D766" s="2">
        <v>3</v>
      </c>
      <c r="E766" s="8" t="s">
        <v>3176</v>
      </c>
      <c r="F766" s="2" t="s">
        <v>86</v>
      </c>
      <c r="G766" s="19" t="s">
        <v>3494</v>
      </c>
      <c r="H766" s="2" t="s">
        <v>3178</v>
      </c>
      <c r="I766" s="8" t="s">
        <v>4101</v>
      </c>
      <c r="J766" s="2">
        <v>2026</v>
      </c>
      <c r="K766" s="2">
        <v>550</v>
      </c>
      <c r="L766" s="8" t="s">
        <v>3277</v>
      </c>
      <c r="M766" s="2">
        <v>32</v>
      </c>
      <c r="N766" s="8" t="s">
        <v>4094</v>
      </c>
      <c r="O766" s="8" t="str">
        <f t="shared" si="74"/>
        <v>PDFを開く</v>
      </c>
      <c r="P766" s="8" t="s">
        <v>735</v>
      </c>
    </row>
    <row r="767" spans="1:16" ht="33.950000000000003" customHeight="1">
      <c r="A767" s="5" t="s">
        <v>728</v>
      </c>
      <c r="B767" s="5" t="s">
        <v>73</v>
      </c>
      <c r="C767" s="9" t="s">
        <v>729</v>
      </c>
      <c r="D767" s="5">
        <v>3</v>
      </c>
      <c r="E767" s="9" t="s">
        <v>3176</v>
      </c>
      <c r="F767" s="5" t="s">
        <v>86</v>
      </c>
      <c r="G767" s="19" t="s">
        <v>3494</v>
      </c>
      <c r="H767" s="5" t="s">
        <v>3178</v>
      </c>
      <c r="I767" s="9" t="s">
        <v>4102</v>
      </c>
      <c r="J767" s="5">
        <v>2029</v>
      </c>
      <c r="K767" s="5">
        <v>1266</v>
      </c>
      <c r="L767" s="9" t="s">
        <v>4103</v>
      </c>
      <c r="M767" s="5">
        <v>32</v>
      </c>
      <c r="N767" s="9" t="s">
        <v>4094</v>
      </c>
      <c r="O767" s="9" t="str">
        <f t="shared" si="74"/>
        <v>PDFを開く</v>
      </c>
      <c r="P767" s="9" t="s">
        <v>735</v>
      </c>
    </row>
    <row r="768" spans="1:16" ht="33.950000000000003" customHeight="1">
      <c r="A768" s="2" t="s">
        <v>728</v>
      </c>
      <c r="B768" s="2" t="s">
        <v>73</v>
      </c>
      <c r="C768" s="8" t="s">
        <v>729</v>
      </c>
      <c r="D768" s="2">
        <v>3</v>
      </c>
      <c r="E768" s="8" t="s">
        <v>3184</v>
      </c>
      <c r="F768" s="2" t="s">
        <v>86</v>
      </c>
      <c r="G768" s="19" t="s">
        <v>3494</v>
      </c>
      <c r="H768" s="2" t="s">
        <v>3178</v>
      </c>
      <c r="I768" s="8" t="s">
        <v>4092</v>
      </c>
      <c r="J768" s="2">
        <v>2026</v>
      </c>
      <c r="K768" s="2">
        <v>352</v>
      </c>
      <c r="L768" s="8" t="s">
        <v>4104</v>
      </c>
      <c r="M768" s="2">
        <v>7.4</v>
      </c>
      <c r="N768" s="8" t="s">
        <v>4105</v>
      </c>
      <c r="O768" s="8" t="str">
        <f t="shared" si="74"/>
        <v>PDFを開く</v>
      </c>
      <c r="P768" s="8" t="s">
        <v>735</v>
      </c>
    </row>
    <row r="769" spans="1:16" ht="33.950000000000003" customHeight="1">
      <c r="A769" s="5" t="s">
        <v>728</v>
      </c>
      <c r="B769" s="5" t="s">
        <v>73</v>
      </c>
      <c r="C769" s="9" t="s">
        <v>729</v>
      </c>
      <c r="D769" s="5">
        <v>3</v>
      </c>
      <c r="E769" s="9" t="s">
        <v>3184</v>
      </c>
      <c r="F769" s="5" t="s">
        <v>86</v>
      </c>
      <c r="G769" s="19" t="s">
        <v>3494</v>
      </c>
      <c r="H769" s="5" t="s">
        <v>3178</v>
      </c>
      <c r="I769" s="9" t="s">
        <v>4095</v>
      </c>
      <c r="J769" s="5">
        <v>2029</v>
      </c>
      <c r="K769" s="5">
        <v>436</v>
      </c>
      <c r="L769" s="9" t="s">
        <v>4068</v>
      </c>
      <c r="M769" s="5">
        <v>7.4</v>
      </c>
      <c r="N769" s="9" t="s">
        <v>4105</v>
      </c>
      <c r="O769" s="9" t="str">
        <f t="shared" si="74"/>
        <v>PDFを開く</v>
      </c>
      <c r="P769" s="9" t="s">
        <v>735</v>
      </c>
    </row>
    <row r="770" spans="1:16" ht="33.950000000000003" customHeight="1">
      <c r="A770" s="2" t="s">
        <v>728</v>
      </c>
      <c r="B770" s="2" t="s">
        <v>73</v>
      </c>
      <c r="C770" s="8" t="s">
        <v>729</v>
      </c>
      <c r="D770" s="2">
        <v>3</v>
      </c>
      <c r="E770" s="8" t="s">
        <v>3184</v>
      </c>
      <c r="F770" s="2" t="s">
        <v>86</v>
      </c>
      <c r="G770" s="19" t="s">
        <v>3494</v>
      </c>
      <c r="H770" s="2" t="s">
        <v>3178</v>
      </c>
      <c r="I770" s="8" t="s">
        <v>4097</v>
      </c>
      <c r="J770" s="2">
        <v>2026</v>
      </c>
      <c r="K770" s="2">
        <v>335</v>
      </c>
      <c r="L770" s="8" t="s">
        <v>4106</v>
      </c>
      <c r="M770" s="2">
        <v>7.4</v>
      </c>
      <c r="N770" s="8" t="s">
        <v>4105</v>
      </c>
      <c r="O770" s="8" t="str">
        <f t="shared" si="74"/>
        <v>PDFを開く</v>
      </c>
      <c r="P770" s="8" t="s">
        <v>735</v>
      </c>
    </row>
    <row r="771" spans="1:16" ht="33.950000000000003" customHeight="1">
      <c r="A771" s="5" t="s">
        <v>728</v>
      </c>
      <c r="B771" s="5" t="s">
        <v>73</v>
      </c>
      <c r="C771" s="9" t="s">
        <v>729</v>
      </c>
      <c r="D771" s="5">
        <v>3</v>
      </c>
      <c r="E771" s="9" t="s">
        <v>3184</v>
      </c>
      <c r="F771" s="5" t="s">
        <v>86</v>
      </c>
      <c r="G771" s="19" t="s">
        <v>3494</v>
      </c>
      <c r="H771" s="5" t="s">
        <v>3178</v>
      </c>
      <c r="I771" s="9" t="s">
        <v>4099</v>
      </c>
      <c r="J771" s="5">
        <v>2029</v>
      </c>
      <c r="K771" s="5">
        <v>402</v>
      </c>
      <c r="L771" s="9" t="s">
        <v>4107</v>
      </c>
      <c r="M771" s="5">
        <v>7.4</v>
      </c>
      <c r="N771" s="9" t="s">
        <v>4105</v>
      </c>
      <c r="O771" s="9" t="str">
        <f t="shared" si="74"/>
        <v>PDFを開く</v>
      </c>
      <c r="P771" s="9" t="s">
        <v>735</v>
      </c>
    </row>
    <row r="772" spans="1:16" ht="33.950000000000003" customHeight="1">
      <c r="A772" s="2" t="s">
        <v>728</v>
      </c>
      <c r="B772" s="2" t="s">
        <v>73</v>
      </c>
      <c r="C772" s="8" t="s">
        <v>729</v>
      </c>
      <c r="D772" s="2">
        <v>3</v>
      </c>
      <c r="E772" s="8" t="s">
        <v>3184</v>
      </c>
      <c r="F772" s="2" t="s">
        <v>86</v>
      </c>
      <c r="G772" s="19" t="s">
        <v>3494</v>
      </c>
      <c r="H772" s="2" t="s">
        <v>3178</v>
      </c>
      <c r="I772" s="8" t="s">
        <v>4101</v>
      </c>
      <c r="J772" s="2">
        <v>2026</v>
      </c>
      <c r="K772" s="2">
        <v>500</v>
      </c>
      <c r="L772" s="8" t="s">
        <v>4108</v>
      </c>
      <c r="M772" s="2">
        <v>7.4</v>
      </c>
      <c r="N772" s="8" t="s">
        <v>4105</v>
      </c>
      <c r="O772" s="8" t="str">
        <f t="shared" si="74"/>
        <v>PDFを開く</v>
      </c>
      <c r="P772" s="8" t="s">
        <v>735</v>
      </c>
    </row>
    <row r="773" spans="1:16" ht="33.950000000000003" customHeight="1">
      <c r="A773" s="5" t="s">
        <v>728</v>
      </c>
      <c r="B773" s="5" t="s">
        <v>73</v>
      </c>
      <c r="C773" s="9" t="s">
        <v>729</v>
      </c>
      <c r="D773" s="5">
        <v>3</v>
      </c>
      <c r="E773" s="9" t="s">
        <v>3184</v>
      </c>
      <c r="F773" s="5" t="s">
        <v>86</v>
      </c>
      <c r="G773" s="19" t="s">
        <v>3494</v>
      </c>
      <c r="H773" s="5" t="s">
        <v>3178</v>
      </c>
      <c r="I773" s="9" t="s">
        <v>4102</v>
      </c>
      <c r="J773" s="5">
        <v>2029</v>
      </c>
      <c r="K773" s="5">
        <v>679</v>
      </c>
      <c r="L773" s="9" t="s">
        <v>3756</v>
      </c>
      <c r="M773" s="5">
        <v>7.4</v>
      </c>
      <c r="N773" s="9" t="s">
        <v>4105</v>
      </c>
      <c r="O773" s="9" t="str">
        <f t="shared" si="74"/>
        <v>PDFを開く</v>
      </c>
      <c r="P773" s="9" t="s">
        <v>735</v>
      </c>
    </row>
    <row r="774" spans="1:16" ht="33.950000000000003" customHeight="1">
      <c r="A774" s="2" t="s">
        <v>728</v>
      </c>
      <c r="B774" s="2" t="s">
        <v>73</v>
      </c>
      <c r="C774" s="8" t="s">
        <v>729</v>
      </c>
      <c r="D774" s="2">
        <v>3</v>
      </c>
      <c r="E774" s="8" t="s">
        <v>3188</v>
      </c>
      <c r="F774" s="2" t="s">
        <v>86</v>
      </c>
      <c r="G774" s="19" t="s">
        <v>3494</v>
      </c>
      <c r="H774" s="2" t="s">
        <v>3178</v>
      </c>
      <c r="I774" s="8" t="s">
        <v>4092</v>
      </c>
      <c r="J774" s="2">
        <v>2026</v>
      </c>
      <c r="K774" s="2">
        <v>360</v>
      </c>
      <c r="L774" s="8" t="s">
        <v>3828</v>
      </c>
      <c r="M774" s="2">
        <v>49</v>
      </c>
      <c r="N774" s="8" t="s">
        <v>4109</v>
      </c>
      <c r="O774" s="8" t="str">
        <f t="shared" si="74"/>
        <v>PDFを開く</v>
      </c>
      <c r="P774" s="8" t="s">
        <v>735</v>
      </c>
    </row>
    <row r="775" spans="1:16" ht="33.950000000000003" customHeight="1">
      <c r="A775" s="5" t="s">
        <v>728</v>
      </c>
      <c r="B775" s="5" t="s">
        <v>73</v>
      </c>
      <c r="C775" s="9" t="s">
        <v>729</v>
      </c>
      <c r="D775" s="5">
        <v>3</v>
      </c>
      <c r="E775" s="9" t="s">
        <v>3188</v>
      </c>
      <c r="F775" s="5" t="s">
        <v>86</v>
      </c>
      <c r="G775" s="19" t="s">
        <v>3494</v>
      </c>
      <c r="H775" s="5" t="s">
        <v>3178</v>
      </c>
      <c r="I775" s="9" t="s">
        <v>4095</v>
      </c>
      <c r="J775" s="5">
        <v>2029</v>
      </c>
      <c r="K775" s="5">
        <v>1200</v>
      </c>
      <c r="L775" s="9" t="s">
        <v>4110</v>
      </c>
      <c r="M775" s="5">
        <v>49</v>
      </c>
      <c r="N775" s="9" t="s">
        <v>4109</v>
      </c>
      <c r="O775" s="9" t="str">
        <f t="shared" si="74"/>
        <v>PDFを開く</v>
      </c>
      <c r="P775" s="9" t="s">
        <v>735</v>
      </c>
    </row>
    <row r="776" spans="1:16" ht="33.950000000000003" customHeight="1">
      <c r="A776" s="2" t="s">
        <v>728</v>
      </c>
      <c r="B776" s="2" t="s">
        <v>73</v>
      </c>
      <c r="C776" s="8" t="s">
        <v>729</v>
      </c>
      <c r="D776" s="2">
        <v>3</v>
      </c>
      <c r="E776" s="8" t="s">
        <v>3188</v>
      </c>
      <c r="F776" s="2" t="s">
        <v>86</v>
      </c>
      <c r="G776" s="19" t="s">
        <v>3494</v>
      </c>
      <c r="H776" s="2" t="s">
        <v>3178</v>
      </c>
      <c r="I776" s="8" t="s">
        <v>4097</v>
      </c>
      <c r="J776" s="2">
        <v>2026</v>
      </c>
      <c r="K776" s="2">
        <v>360</v>
      </c>
      <c r="L776" s="8" t="s">
        <v>3828</v>
      </c>
      <c r="M776" s="2">
        <v>49</v>
      </c>
      <c r="N776" s="8" t="s">
        <v>4109</v>
      </c>
      <c r="O776" s="8" t="str">
        <f t="shared" si="74"/>
        <v>PDFを開く</v>
      </c>
      <c r="P776" s="8" t="s">
        <v>735</v>
      </c>
    </row>
    <row r="777" spans="1:16" ht="33.950000000000003" customHeight="1">
      <c r="A777" s="5" t="s">
        <v>728</v>
      </c>
      <c r="B777" s="5" t="s">
        <v>73</v>
      </c>
      <c r="C777" s="9" t="s">
        <v>729</v>
      </c>
      <c r="D777" s="5">
        <v>3</v>
      </c>
      <c r="E777" s="9" t="s">
        <v>3188</v>
      </c>
      <c r="F777" s="5" t="s">
        <v>86</v>
      </c>
      <c r="G777" s="19" t="s">
        <v>3494</v>
      </c>
      <c r="H777" s="5" t="s">
        <v>3178</v>
      </c>
      <c r="I777" s="9" t="s">
        <v>4099</v>
      </c>
      <c r="J777" s="5">
        <v>2029</v>
      </c>
      <c r="K777" s="5">
        <v>1200</v>
      </c>
      <c r="L777" s="9" t="s">
        <v>4110</v>
      </c>
      <c r="M777" s="5">
        <v>49</v>
      </c>
      <c r="N777" s="9" t="s">
        <v>4109</v>
      </c>
      <c r="O777" s="9" t="str">
        <f t="shared" si="74"/>
        <v>PDFを開く</v>
      </c>
      <c r="P777" s="9" t="s">
        <v>735</v>
      </c>
    </row>
    <row r="778" spans="1:16" ht="33.950000000000003" customHeight="1">
      <c r="A778" s="2" t="s">
        <v>728</v>
      </c>
      <c r="B778" s="2" t="s">
        <v>73</v>
      </c>
      <c r="C778" s="8" t="s">
        <v>729</v>
      </c>
      <c r="D778" s="2">
        <v>3</v>
      </c>
      <c r="E778" s="8" t="s">
        <v>3191</v>
      </c>
      <c r="F778" s="2" t="s">
        <v>2513</v>
      </c>
      <c r="G778" s="19" t="s">
        <v>3494</v>
      </c>
      <c r="H778" s="2" t="s">
        <v>3178</v>
      </c>
      <c r="I778" s="8" t="s">
        <v>4092</v>
      </c>
      <c r="J778" s="2">
        <v>2026</v>
      </c>
      <c r="K778" s="2">
        <v>78</v>
      </c>
      <c r="L778" s="8" t="s">
        <v>4111</v>
      </c>
      <c r="M778" s="2">
        <v>19</v>
      </c>
      <c r="N778" s="8" t="s">
        <v>4112</v>
      </c>
      <c r="O778" s="8" t="str">
        <f t="shared" si="74"/>
        <v>PDFを開く</v>
      </c>
      <c r="P778" s="8" t="s">
        <v>735</v>
      </c>
    </row>
    <row r="779" spans="1:16" ht="33.950000000000003" customHeight="1">
      <c r="A779" s="5" t="s">
        <v>728</v>
      </c>
      <c r="B779" s="5" t="s">
        <v>73</v>
      </c>
      <c r="C779" s="9" t="s">
        <v>729</v>
      </c>
      <c r="D779" s="5">
        <v>3</v>
      </c>
      <c r="E779" s="9" t="s">
        <v>3191</v>
      </c>
      <c r="F779" s="5" t="s">
        <v>2513</v>
      </c>
      <c r="G779" s="19" t="s">
        <v>3494</v>
      </c>
      <c r="H779" s="5" t="s">
        <v>3178</v>
      </c>
      <c r="I779" s="9" t="s">
        <v>4095</v>
      </c>
      <c r="J779" s="5">
        <v>2029</v>
      </c>
      <c r="K779" s="5">
        <v>130</v>
      </c>
      <c r="L779" s="9" t="s">
        <v>3499</v>
      </c>
      <c r="M779" s="5">
        <v>19</v>
      </c>
      <c r="N779" s="9" t="s">
        <v>4112</v>
      </c>
      <c r="O779" s="9" t="str">
        <f t="shared" si="74"/>
        <v>PDFを開く</v>
      </c>
      <c r="P779" s="9" t="s">
        <v>735</v>
      </c>
    </row>
    <row r="780" spans="1:16" ht="33.950000000000003" customHeight="1">
      <c r="A780" s="2" t="s">
        <v>728</v>
      </c>
      <c r="B780" s="2" t="s">
        <v>73</v>
      </c>
      <c r="C780" s="8" t="s">
        <v>729</v>
      </c>
      <c r="D780" s="2">
        <v>3</v>
      </c>
      <c r="E780" s="8" t="s">
        <v>3191</v>
      </c>
      <c r="F780" s="2" t="s">
        <v>2513</v>
      </c>
      <c r="G780" s="19" t="s">
        <v>3494</v>
      </c>
      <c r="H780" s="2" t="s">
        <v>3178</v>
      </c>
      <c r="I780" s="8" t="s">
        <v>4097</v>
      </c>
      <c r="J780" s="2">
        <v>2026</v>
      </c>
      <c r="K780" s="2">
        <v>70</v>
      </c>
      <c r="L780" s="8" t="s">
        <v>3545</v>
      </c>
      <c r="M780" s="2">
        <v>19</v>
      </c>
      <c r="N780" s="8" t="s">
        <v>4112</v>
      </c>
      <c r="O780" s="8" t="str">
        <f t="shared" si="74"/>
        <v>PDFを開く</v>
      </c>
      <c r="P780" s="8" t="s">
        <v>735</v>
      </c>
    </row>
    <row r="781" spans="1:16" ht="33.950000000000003" customHeight="1">
      <c r="A781" s="5" t="s">
        <v>728</v>
      </c>
      <c r="B781" s="5" t="s">
        <v>73</v>
      </c>
      <c r="C781" s="9" t="s">
        <v>729</v>
      </c>
      <c r="D781" s="5">
        <v>3</v>
      </c>
      <c r="E781" s="9" t="s">
        <v>3191</v>
      </c>
      <c r="F781" s="5" t="s">
        <v>2513</v>
      </c>
      <c r="G781" s="19" t="s">
        <v>3494</v>
      </c>
      <c r="H781" s="5" t="s">
        <v>3178</v>
      </c>
      <c r="I781" s="9" t="s">
        <v>4099</v>
      </c>
      <c r="J781" s="5">
        <v>2029</v>
      </c>
      <c r="K781" s="5">
        <v>114</v>
      </c>
      <c r="L781" s="9" t="s">
        <v>3970</v>
      </c>
      <c r="M781" s="5">
        <v>19</v>
      </c>
      <c r="N781" s="9" t="s">
        <v>4112</v>
      </c>
      <c r="O781" s="9" t="str">
        <f t="shared" si="74"/>
        <v>PDFを開く</v>
      </c>
      <c r="P781" s="9" t="s">
        <v>735</v>
      </c>
    </row>
    <row r="782" spans="1:16" ht="33.950000000000003" customHeight="1">
      <c r="A782" s="2" t="s">
        <v>728</v>
      </c>
      <c r="B782" s="2" t="s">
        <v>73</v>
      </c>
      <c r="C782" s="8" t="s">
        <v>729</v>
      </c>
      <c r="D782" s="2">
        <v>3</v>
      </c>
      <c r="E782" s="8" t="s">
        <v>3191</v>
      </c>
      <c r="F782" s="2" t="s">
        <v>2513</v>
      </c>
      <c r="G782" s="19" t="s">
        <v>3494</v>
      </c>
      <c r="H782" s="2" t="s">
        <v>3178</v>
      </c>
      <c r="I782" s="8" t="s">
        <v>4101</v>
      </c>
      <c r="J782" s="2">
        <v>2026</v>
      </c>
      <c r="K782" s="2">
        <v>8</v>
      </c>
      <c r="L782" s="8" t="s">
        <v>4113</v>
      </c>
      <c r="M782" s="2">
        <v>19</v>
      </c>
      <c r="N782" s="8" t="s">
        <v>4112</v>
      </c>
      <c r="O782" s="8" t="str">
        <f t="shared" si="74"/>
        <v>PDFを開く</v>
      </c>
      <c r="P782" s="8" t="s">
        <v>735</v>
      </c>
    </row>
    <row r="783" spans="1:16" ht="33.950000000000003" customHeight="1">
      <c r="A783" s="5" t="s">
        <v>728</v>
      </c>
      <c r="B783" s="5" t="s">
        <v>73</v>
      </c>
      <c r="C783" s="9" t="s">
        <v>729</v>
      </c>
      <c r="D783" s="5">
        <v>3</v>
      </c>
      <c r="E783" s="9" t="s">
        <v>3191</v>
      </c>
      <c r="F783" s="5" t="s">
        <v>2513</v>
      </c>
      <c r="G783" s="19" t="s">
        <v>3494</v>
      </c>
      <c r="H783" s="5" t="s">
        <v>3178</v>
      </c>
      <c r="I783" s="9" t="s">
        <v>4102</v>
      </c>
      <c r="J783" s="5">
        <v>2029</v>
      </c>
      <c r="K783" s="5">
        <v>16</v>
      </c>
      <c r="L783" s="9" t="s">
        <v>4114</v>
      </c>
      <c r="M783" s="5">
        <v>19</v>
      </c>
      <c r="N783" s="9" t="s">
        <v>4112</v>
      </c>
      <c r="O783" s="9" t="str">
        <f t="shared" si="74"/>
        <v>PDFを開く</v>
      </c>
      <c r="P783" s="9" t="s">
        <v>735</v>
      </c>
    </row>
    <row r="784" spans="1:16" ht="33.950000000000003" customHeight="1">
      <c r="A784" s="2" t="s">
        <v>728</v>
      </c>
      <c r="B784" s="2" t="s">
        <v>73</v>
      </c>
      <c r="C784" s="8" t="s">
        <v>729</v>
      </c>
      <c r="D784" s="2">
        <v>2</v>
      </c>
      <c r="E784" s="8" t="s">
        <v>3176</v>
      </c>
      <c r="F784" s="2" t="s">
        <v>86</v>
      </c>
      <c r="G784" s="2" t="s">
        <v>3177</v>
      </c>
      <c r="H784" s="2"/>
      <c r="I784" s="8" t="s">
        <v>3227</v>
      </c>
      <c r="J784" s="2">
        <v>2026</v>
      </c>
      <c r="K784" s="2">
        <v>1237</v>
      </c>
      <c r="L784" s="8" t="s">
        <v>4115</v>
      </c>
      <c r="M784" s="2">
        <v>12.7</v>
      </c>
      <c r="N784" s="8" t="s">
        <v>4116</v>
      </c>
      <c r="O784" s="8" t="str">
        <f t="shared" si="74"/>
        <v>PDFを開く</v>
      </c>
      <c r="P784" s="8" t="s">
        <v>735</v>
      </c>
    </row>
    <row r="785" spans="1:16" ht="33.950000000000003" customHeight="1">
      <c r="A785" s="5" t="s">
        <v>728</v>
      </c>
      <c r="B785" s="5" t="s">
        <v>73</v>
      </c>
      <c r="C785" s="9" t="s">
        <v>729</v>
      </c>
      <c r="D785" s="5">
        <v>2</v>
      </c>
      <c r="E785" s="9" t="s">
        <v>3176</v>
      </c>
      <c r="F785" s="5" t="s">
        <v>86</v>
      </c>
      <c r="G785" s="5" t="s">
        <v>3177</v>
      </c>
      <c r="H785" s="5"/>
      <c r="I785" s="9" t="s">
        <v>3230</v>
      </c>
      <c r="J785" s="5">
        <v>2029</v>
      </c>
      <c r="K785" s="5">
        <v>1440</v>
      </c>
      <c r="L785" s="9" t="s">
        <v>4096</v>
      </c>
      <c r="M785" s="5">
        <v>12.7</v>
      </c>
      <c r="N785" s="9" t="s">
        <v>4116</v>
      </c>
      <c r="O785" s="9" t="str">
        <f t="shared" si="74"/>
        <v>PDFを開く</v>
      </c>
      <c r="P785" s="9" t="s">
        <v>735</v>
      </c>
    </row>
    <row r="786" spans="1:16" ht="33.950000000000003" customHeight="1">
      <c r="A786" s="2" t="s">
        <v>728</v>
      </c>
      <c r="B786" s="2" t="s">
        <v>73</v>
      </c>
      <c r="C786" s="8" t="s">
        <v>729</v>
      </c>
      <c r="D786" s="2">
        <v>3</v>
      </c>
      <c r="E786" s="8" t="s">
        <v>3188</v>
      </c>
      <c r="F786" s="2" t="s">
        <v>86</v>
      </c>
      <c r="G786" s="2" t="s">
        <v>3177</v>
      </c>
      <c r="H786" s="2" t="s">
        <v>3178</v>
      </c>
      <c r="I786" s="8" t="s">
        <v>4092</v>
      </c>
      <c r="J786" s="2">
        <v>2026</v>
      </c>
      <c r="K786" s="2">
        <v>360</v>
      </c>
      <c r="L786" s="8" t="s">
        <v>3828</v>
      </c>
      <c r="M786" s="2">
        <v>49</v>
      </c>
      <c r="N786" s="8" t="s">
        <v>4109</v>
      </c>
      <c r="O786" s="8" t="str">
        <f t="shared" si="74"/>
        <v>PDFを開く</v>
      </c>
      <c r="P786" s="8" t="s">
        <v>735</v>
      </c>
    </row>
    <row r="787" spans="1:16" ht="33.950000000000003" customHeight="1">
      <c r="A787" s="5" t="s">
        <v>728</v>
      </c>
      <c r="B787" s="5" t="s">
        <v>73</v>
      </c>
      <c r="C787" s="9" t="s">
        <v>729</v>
      </c>
      <c r="D787" s="5">
        <v>3</v>
      </c>
      <c r="E787" s="9" t="s">
        <v>3188</v>
      </c>
      <c r="F787" s="5" t="s">
        <v>86</v>
      </c>
      <c r="G787" s="5" t="s">
        <v>3177</v>
      </c>
      <c r="H787" s="5" t="s">
        <v>3178</v>
      </c>
      <c r="I787" s="9" t="s">
        <v>4095</v>
      </c>
      <c r="J787" s="5">
        <v>2029</v>
      </c>
      <c r="K787" s="5">
        <v>1200</v>
      </c>
      <c r="L787" s="9" t="s">
        <v>4110</v>
      </c>
      <c r="M787" s="5">
        <v>49</v>
      </c>
      <c r="N787" s="9" t="s">
        <v>4109</v>
      </c>
      <c r="O787" s="9" t="str">
        <f t="shared" si="74"/>
        <v>PDFを開く</v>
      </c>
      <c r="P787" s="9" t="s">
        <v>735</v>
      </c>
    </row>
    <row r="788" spans="1:16" ht="33.950000000000003" customHeight="1">
      <c r="A788" s="2" t="s">
        <v>728</v>
      </c>
      <c r="B788" s="2" t="s">
        <v>73</v>
      </c>
      <c r="C788" s="8" t="s">
        <v>729</v>
      </c>
      <c r="D788" s="2">
        <v>3</v>
      </c>
      <c r="E788" s="8" t="s">
        <v>3191</v>
      </c>
      <c r="F788" s="2" t="s">
        <v>2513</v>
      </c>
      <c r="G788" s="2" t="s">
        <v>3177</v>
      </c>
      <c r="H788" s="2" t="s">
        <v>3178</v>
      </c>
      <c r="I788" s="8" t="s">
        <v>4092</v>
      </c>
      <c r="J788" s="2">
        <v>2026</v>
      </c>
      <c r="K788" s="2">
        <v>78</v>
      </c>
      <c r="L788" s="8" t="s">
        <v>4111</v>
      </c>
      <c r="M788" s="2">
        <v>19</v>
      </c>
      <c r="N788" s="8" t="s">
        <v>4112</v>
      </c>
      <c r="O788" s="8" t="str">
        <f t="shared" si="74"/>
        <v>PDFを開く</v>
      </c>
      <c r="P788" s="8" t="s">
        <v>735</v>
      </c>
    </row>
    <row r="789" spans="1:16" ht="33.950000000000003" customHeight="1">
      <c r="A789" s="5" t="s">
        <v>728</v>
      </c>
      <c r="B789" s="5" t="s">
        <v>73</v>
      </c>
      <c r="C789" s="9" t="s">
        <v>729</v>
      </c>
      <c r="D789" s="5">
        <v>3</v>
      </c>
      <c r="E789" s="9" t="s">
        <v>3191</v>
      </c>
      <c r="F789" s="5" t="s">
        <v>2513</v>
      </c>
      <c r="G789" s="5" t="s">
        <v>3177</v>
      </c>
      <c r="H789" s="5" t="s">
        <v>3178</v>
      </c>
      <c r="I789" s="9" t="s">
        <v>4095</v>
      </c>
      <c r="J789" s="5">
        <v>2029</v>
      </c>
      <c r="K789" s="5">
        <v>130</v>
      </c>
      <c r="L789" s="9" t="s">
        <v>3499</v>
      </c>
      <c r="M789" s="5">
        <v>19</v>
      </c>
      <c r="N789" s="9" t="s">
        <v>4112</v>
      </c>
      <c r="O789" s="9" t="str">
        <f t="shared" si="74"/>
        <v>PDFを開く</v>
      </c>
      <c r="P789" s="9" t="s">
        <v>735</v>
      </c>
    </row>
    <row r="790" spans="1:16" ht="33.950000000000003" customHeight="1">
      <c r="A790" s="2" t="s">
        <v>728</v>
      </c>
      <c r="B790" s="2" t="s">
        <v>73</v>
      </c>
      <c r="C790" s="8" t="s">
        <v>729</v>
      </c>
      <c r="D790" s="2">
        <v>3</v>
      </c>
      <c r="E790" s="8" t="s">
        <v>3184</v>
      </c>
      <c r="F790" s="2" t="s">
        <v>86</v>
      </c>
      <c r="G790" s="2" t="s">
        <v>3177</v>
      </c>
      <c r="H790" s="2" t="s">
        <v>3178</v>
      </c>
      <c r="I790" s="8" t="s">
        <v>4092</v>
      </c>
      <c r="J790" s="2">
        <v>2026</v>
      </c>
      <c r="K790" s="2">
        <v>352</v>
      </c>
      <c r="L790" s="8" t="s">
        <v>4104</v>
      </c>
      <c r="M790" s="2">
        <v>7.4</v>
      </c>
      <c r="N790" s="8" t="s">
        <v>4105</v>
      </c>
      <c r="O790" s="8" t="str">
        <f t="shared" si="74"/>
        <v>PDFを開く</v>
      </c>
      <c r="P790" s="8" t="s">
        <v>735</v>
      </c>
    </row>
    <row r="791" spans="1:16" ht="33.950000000000003" customHeight="1">
      <c r="A791" s="5" t="s">
        <v>728</v>
      </c>
      <c r="B791" s="5" t="s">
        <v>73</v>
      </c>
      <c r="C791" s="9" t="s">
        <v>729</v>
      </c>
      <c r="D791" s="5">
        <v>3</v>
      </c>
      <c r="E791" s="9" t="s">
        <v>3184</v>
      </c>
      <c r="F791" s="5" t="s">
        <v>86</v>
      </c>
      <c r="G791" s="5" t="s">
        <v>3177</v>
      </c>
      <c r="H791" s="5" t="s">
        <v>3178</v>
      </c>
      <c r="I791" s="9" t="s">
        <v>4095</v>
      </c>
      <c r="J791" s="5">
        <v>2029</v>
      </c>
      <c r="K791" s="5">
        <v>436</v>
      </c>
      <c r="L791" s="9" t="s">
        <v>4068</v>
      </c>
      <c r="M791" s="5">
        <v>7.4</v>
      </c>
      <c r="N791" s="9" t="s">
        <v>4105</v>
      </c>
      <c r="O791" s="9" t="str">
        <f t="shared" si="74"/>
        <v>PDFを開く</v>
      </c>
      <c r="P791" s="9" t="s">
        <v>735</v>
      </c>
    </row>
    <row r="792" spans="1:16" ht="33.950000000000003" customHeight="1">
      <c r="A792" s="2" t="s">
        <v>736</v>
      </c>
      <c r="B792" s="2" t="s">
        <v>73</v>
      </c>
      <c r="C792" s="8" t="s">
        <v>737</v>
      </c>
      <c r="D792" s="2">
        <v>2</v>
      </c>
      <c r="E792" s="8" t="s">
        <v>3176</v>
      </c>
      <c r="F792" s="2" t="s">
        <v>86</v>
      </c>
      <c r="G792" s="19" t="s">
        <v>3494</v>
      </c>
      <c r="H792" s="2" t="s">
        <v>3178</v>
      </c>
      <c r="I792" s="8" t="s">
        <v>4117</v>
      </c>
      <c r="J792" s="2">
        <v>2026</v>
      </c>
      <c r="K792" s="2">
        <v>2338</v>
      </c>
      <c r="L792" s="8" t="s">
        <v>4118</v>
      </c>
      <c r="M792" s="2">
        <v>9.8000000000000007</v>
      </c>
      <c r="N792" s="8" t="s">
        <v>4119</v>
      </c>
      <c r="O792" s="8" t="str">
        <f t="shared" ref="O792:O811" si="75">HYPERLINK("https://seichotoushi-hojo.jp/assets/pdf/koufu/outline_177.pdf","PDFを開く")</f>
        <v>PDFを開く</v>
      </c>
      <c r="P792" s="8" t="s">
        <v>744</v>
      </c>
    </row>
    <row r="793" spans="1:16" ht="33.950000000000003" customHeight="1">
      <c r="A793" s="5" t="s">
        <v>736</v>
      </c>
      <c r="B793" s="5" t="s">
        <v>73</v>
      </c>
      <c r="C793" s="9" t="s">
        <v>737</v>
      </c>
      <c r="D793" s="5">
        <v>2</v>
      </c>
      <c r="E793" s="9" t="s">
        <v>3176</v>
      </c>
      <c r="F793" s="5" t="s">
        <v>86</v>
      </c>
      <c r="G793" s="19" t="s">
        <v>3494</v>
      </c>
      <c r="H793" s="5" t="s">
        <v>3178</v>
      </c>
      <c r="I793" s="9"/>
      <c r="J793" s="5"/>
      <c r="K793" s="5">
        <v>1974</v>
      </c>
      <c r="L793" s="9" t="s">
        <v>4120</v>
      </c>
      <c r="M793" s="5">
        <v>9.8000000000000007</v>
      </c>
      <c r="N793" s="9" t="s">
        <v>4119</v>
      </c>
      <c r="O793" s="9" t="str">
        <f t="shared" si="75"/>
        <v>PDFを開く</v>
      </c>
      <c r="P793" s="9" t="s">
        <v>744</v>
      </c>
    </row>
    <row r="794" spans="1:16" ht="33.950000000000003" customHeight="1">
      <c r="A794" s="2" t="s">
        <v>736</v>
      </c>
      <c r="B794" s="2" t="s">
        <v>73</v>
      </c>
      <c r="C794" s="8" t="s">
        <v>737</v>
      </c>
      <c r="D794" s="2">
        <v>2</v>
      </c>
      <c r="E794" s="8" t="s">
        <v>3176</v>
      </c>
      <c r="F794" s="2" t="s">
        <v>86</v>
      </c>
      <c r="G794" s="19" t="s">
        <v>3494</v>
      </c>
      <c r="H794" s="2" t="s">
        <v>3178</v>
      </c>
      <c r="I794" s="8" t="s">
        <v>4121</v>
      </c>
      <c r="J794" s="2">
        <v>2029</v>
      </c>
      <c r="K794" s="2">
        <v>3093</v>
      </c>
      <c r="L794" s="8" t="s">
        <v>4122</v>
      </c>
      <c r="M794" s="2">
        <v>9.8000000000000007</v>
      </c>
      <c r="N794" s="8" t="s">
        <v>4119</v>
      </c>
      <c r="O794" s="8" t="str">
        <f t="shared" si="75"/>
        <v>PDFを開く</v>
      </c>
      <c r="P794" s="8" t="s">
        <v>744</v>
      </c>
    </row>
    <row r="795" spans="1:16" ht="33.950000000000003" customHeight="1">
      <c r="A795" s="5" t="s">
        <v>736</v>
      </c>
      <c r="B795" s="5" t="s">
        <v>73</v>
      </c>
      <c r="C795" s="9" t="s">
        <v>737</v>
      </c>
      <c r="D795" s="5">
        <v>2</v>
      </c>
      <c r="E795" s="9" t="s">
        <v>3176</v>
      </c>
      <c r="F795" s="5" t="s">
        <v>86</v>
      </c>
      <c r="G795" s="19" t="s">
        <v>3494</v>
      </c>
      <c r="H795" s="5" t="s">
        <v>3178</v>
      </c>
      <c r="I795" s="9"/>
      <c r="J795" s="5"/>
      <c r="K795" s="5">
        <v>2475</v>
      </c>
      <c r="L795" s="9" t="s">
        <v>4123</v>
      </c>
      <c r="M795" s="5">
        <v>9.8000000000000007</v>
      </c>
      <c r="N795" s="9" t="s">
        <v>4119</v>
      </c>
      <c r="O795" s="9" t="str">
        <f t="shared" si="75"/>
        <v>PDFを開く</v>
      </c>
      <c r="P795" s="9" t="s">
        <v>744</v>
      </c>
    </row>
    <row r="796" spans="1:16" ht="33.950000000000003" customHeight="1">
      <c r="A796" s="2" t="s">
        <v>736</v>
      </c>
      <c r="B796" s="2" t="s">
        <v>73</v>
      </c>
      <c r="C796" s="8" t="s">
        <v>737</v>
      </c>
      <c r="D796" s="2">
        <v>2</v>
      </c>
      <c r="E796" s="8" t="s">
        <v>3188</v>
      </c>
      <c r="F796" s="2" t="s">
        <v>86</v>
      </c>
      <c r="G796" s="19" t="s">
        <v>3494</v>
      </c>
      <c r="H796" s="2" t="s">
        <v>3178</v>
      </c>
      <c r="I796" s="8" t="s">
        <v>4117</v>
      </c>
      <c r="J796" s="2">
        <v>2026</v>
      </c>
      <c r="K796" s="2">
        <v>640</v>
      </c>
      <c r="L796" s="8" t="s">
        <v>3374</v>
      </c>
      <c r="M796" s="2">
        <v>5.3</v>
      </c>
      <c r="N796" s="8" t="s">
        <v>4124</v>
      </c>
      <c r="O796" s="8" t="str">
        <f t="shared" si="75"/>
        <v>PDFを開く</v>
      </c>
      <c r="P796" s="8" t="s">
        <v>744</v>
      </c>
    </row>
    <row r="797" spans="1:16" ht="33.950000000000003" customHeight="1">
      <c r="A797" s="5" t="s">
        <v>736</v>
      </c>
      <c r="B797" s="5" t="s">
        <v>73</v>
      </c>
      <c r="C797" s="9" t="s">
        <v>737</v>
      </c>
      <c r="D797" s="5">
        <v>2</v>
      </c>
      <c r="E797" s="9" t="s">
        <v>3188</v>
      </c>
      <c r="F797" s="5" t="s">
        <v>86</v>
      </c>
      <c r="G797" s="19" t="s">
        <v>3494</v>
      </c>
      <c r="H797" s="5" t="s">
        <v>3178</v>
      </c>
      <c r="I797" s="9"/>
      <c r="J797" s="5"/>
      <c r="K797" s="5">
        <v>247</v>
      </c>
      <c r="L797" s="9" t="s">
        <v>3559</v>
      </c>
      <c r="M797" s="5">
        <v>5.3</v>
      </c>
      <c r="N797" s="9" t="s">
        <v>4124</v>
      </c>
      <c r="O797" s="9" t="str">
        <f t="shared" si="75"/>
        <v>PDFを開く</v>
      </c>
      <c r="P797" s="9" t="s">
        <v>744</v>
      </c>
    </row>
    <row r="798" spans="1:16" ht="33.950000000000003" customHeight="1">
      <c r="A798" s="2" t="s">
        <v>736</v>
      </c>
      <c r="B798" s="2" t="s">
        <v>73</v>
      </c>
      <c r="C798" s="8" t="s">
        <v>737</v>
      </c>
      <c r="D798" s="2">
        <v>2</v>
      </c>
      <c r="E798" s="8" t="s">
        <v>3188</v>
      </c>
      <c r="F798" s="2" t="s">
        <v>86</v>
      </c>
      <c r="G798" s="19" t="s">
        <v>3494</v>
      </c>
      <c r="H798" s="2" t="s">
        <v>3178</v>
      </c>
      <c r="I798" s="8" t="s">
        <v>4121</v>
      </c>
      <c r="J798" s="2">
        <v>2029</v>
      </c>
      <c r="K798" s="2">
        <v>747</v>
      </c>
      <c r="L798" s="8" t="s">
        <v>4125</v>
      </c>
      <c r="M798" s="2">
        <v>5.3</v>
      </c>
      <c r="N798" s="8" t="s">
        <v>4124</v>
      </c>
      <c r="O798" s="8" t="str">
        <f t="shared" si="75"/>
        <v>PDFを開く</v>
      </c>
      <c r="P798" s="8" t="s">
        <v>744</v>
      </c>
    </row>
    <row r="799" spans="1:16" ht="33.950000000000003" customHeight="1">
      <c r="A799" s="5" t="s">
        <v>736</v>
      </c>
      <c r="B799" s="5" t="s">
        <v>73</v>
      </c>
      <c r="C799" s="9" t="s">
        <v>737</v>
      </c>
      <c r="D799" s="5">
        <v>2</v>
      </c>
      <c r="E799" s="9" t="s">
        <v>3188</v>
      </c>
      <c r="F799" s="5" t="s">
        <v>86</v>
      </c>
      <c r="G799" s="19" t="s">
        <v>3494</v>
      </c>
      <c r="H799" s="5" t="s">
        <v>3178</v>
      </c>
      <c r="I799" s="9"/>
      <c r="J799" s="5"/>
      <c r="K799" s="5">
        <v>286</v>
      </c>
      <c r="L799" s="9" t="s">
        <v>3805</v>
      </c>
      <c r="M799" s="5">
        <v>5.3</v>
      </c>
      <c r="N799" s="9" t="s">
        <v>4124</v>
      </c>
      <c r="O799" s="9" t="str">
        <f t="shared" si="75"/>
        <v>PDFを開く</v>
      </c>
      <c r="P799" s="9" t="s">
        <v>744</v>
      </c>
    </row>
    <row r="800" spans="1:16" ht="33.950000000000003" customHeight="1">
      <c r="A800" s="2" t="s">
        <v>736</v>
      </c>
      <c r="B800" s="2" t="s">
        <v>73</v>
      </c>
      <c r="C800" s="8" t="s">
        <v>737</v>
      </c>
      <c r="D800" s="2">
        <v>2</v>
      </c>
      <c r="E800" s="8" t="s">
        <v>3191</v>
      </c>
      <c r="F800" s="2" t="s">
        <v>2513</v>
      </c>
      <c r="G800" s="19" t="s">
        <v>3494</v>
      </c>
      <c r="H800" s="2" t="s">
        <v>3178</v>
      </c>
      <c r="I800" s="8" t="s">
        <v>4117</v>
      </c>
      <c r="J800" s="2">
        <v>2026</v>
      </c>
      <c r="K800" s="2">
        <v>32</v>
      </c>
      <c r="L800" s="8" t="s">
        <v>4126</v>
      </c>
      <c r="M800" s="2"/>
      <c r="N800" s="8" t="s">
        <v>4127</v>
      </c>
      <c r="O800" s="8" t="str">
        <f t="shared" si="75"/>
        <v>PDFを開く</v>
      </c>
      <c r="P800" s="8" t="s">
        <v>744</v>
      </c>
    </row>
    <row r="801" spans="1:16" ht="33.950000000000003" customHeight="1">
      <c r="A801" s="5" t="s">
        <v>736</v>
      </c>
      <c r="B801" s="5" t="s">
        <v>73</v>
      </c>
      <c r="C801" s="9" t="s">
        <v>737</v>
      </c>
      <c r="D801" s="5">
        <v>2</v>
      </c>
      <c r="E801" s="9" t="s">
        <v>3191</v>
      </c>
      <c r="F801" s="5" t="s">
        <v>2513</v>
      </c>
      <c r="G801" s="19" t="s">
        <v>3494</v>
      </c>
      <c r="H801" s="5" t="s">
        <v>3178</v>
      </c>
      <c r="I801" s="9"/>
      <c r="J801" s="5"/>
      <c r="K801" s="5">
        <v>6</v>
      </c>
      <c r="L801" s="9" t="s">
        <v>4128</v>
      </c>
      <c r="M801" s="5"/>
      <c r="N801" s="9" t="s">
        <v>4127</v>
      </c>
      <c r="O801" s="9" t="str">
        <f t="shared" si="75"/>
        <v>PDFを開く</v>
      </c>
      <c r="P801" s="9" t="s">
        <v>744</v>
      </c>
    </row>
    <row r="802" spans="1:16" ht="33.950000000000003" customHeight="1">
      <c r="A802" s="2" t="s">
        <v>736</v>
      </c>
      <c r="B802" s="2" t="s">
        <v>73</v>
      </c>
      <c r="C802" s="8" t="s">
        <v>737</v>
      </c>
      <c r="D802" s="2">
        <v>2</v>
      </c>
      <c r="E802" s="8" t="s">
        <v>3191</v>
      </c>
      <c r="F802" s="2" t="s">
        <v>2513</v>
      </c>
      <c r="G802" s="19" t="s">
        <v>3494</v>
      </c>
      <c r="H802" s="2" t="s">
        <v>3178</v>
      </c>
      <c r="I802" s="8" t="s">
        <v>4121</v>
      </c>
      <c r="J802" s="2">
        <v>2029</v>
      </c>
      <c r="K802" s="2">
        <v>45</v>
      </c>
      <c r="L802" s="8" t="s">
        <v>3404</v>
      </c>
      <c r="M802" s="2"/>
      <c r="N802" s="8" t="s">
        <v>4127</v>
      </c>
      <c r="O802" s="8" t="str">
        <f t="shared" si="75"/>
        <v>PDFを開く</v>
      </c>
      <c r="P802" s="8" t="s">
        <v>744</v>
      </c>
    </row>
    <row r="803" spans="1:16" ht="33.950000000000003" customHeight="1">
      <c r="A803" s="5" t="s">
        <v>736</v>
      </c>
      <c r="B803" s="5" t="s">
        <v>73</v>
      </c>
      <c r="C803" s="9" t="s">
        <v>737</v>
      </c>
      <c r="D803" s="5">
        <v>2</v>
      </c>
      <c r="E803" s="9" t="s">
        <v>3191</v>
      </c>
      <c r="F803" s="5" t="s">
        <v>2513</v>
      </c>
      <c r="G803" s="19" t="s">
        <v>3494</v>
      </c>
      <c r="H803" s="5" t="s">
        <v>3178</v>
      </c>
      <c r="I803" s="9"/>
      <c r="J803" s="5"/>
      <c r="K803" s="5">
        <v>6</v>
      </c>
      <c r="L803" s="9" t="s">
        <v>4128</v>
      </c>
      <c r="M803" s="5"/>
      <c r="N803" s="9" t="s">
        <v>4127</v>
      </c>
      <c r="O803" s="9" t="str">
        <f t="shared" si="75"/>
        <v>PDFを開く</v>
      </c>
      <c r="P803" s="9" t="s">
        <v>744</v>
      </c>
    </row>
    <row r="804" spans="1:16" ht="33.950000000000003" customHeight="1">
      <c r="A804" s="2" t="s">
        <v>736</v>
      </c>
      <c r="B804" s="2" t="s">
        <v>73</v>
      </c>
      <c r="C804" s="8" t="s">
        <v>737</v>
      </c>
      <c r="D804" s="2">
        <v>2</v>
      </c>
      <c r="E804" s="8" t="s">
        <v>3176</v>
      </c>
      <c r="F804" s="2" t="s">
        <v>86</v>
      </c>
      <c r="G804" s="2" t="s">
        <v>3177</v>
      </c>
      <c r="H804" s="2"/>
      <c r="I804" s="8" t="s">
        <v>3227</v>
      </c>
      <c r="J804" s="2">
        <v>2026</v>
      </c>
      <c r="K804" s="2">
        <v>2338</v>
      </c>
      <c r="L804" s="8" t="s">
        <v>4118</v>
      </c>
      <c r="M804" s="2">
        <v>9.8000000000000007</v>
      </c>
      <c r="N804" s="8" t="s">
        <v>4129</v>
      </c>
      <c r="O804" s="8" t="str">
        <f t="shared" si="75"/>
        <v>PDFを開く</v>
      </c>
      <c r="P804" s="8" t="s">
        <v>744</v>
      </c>
    </row>
    <row r="805" spans="1:16" ht="33.950000000000003" customHeight="1">
      <c r="A805" s="5" t="s">
        <v>736</v>
      </c>
      <c r="B805" s="5" t="s">
        <v>73</v>
      </c>
      <c r="C805" s="9" t="s">
        <v>737</v>
      </c>
      <c r="D805" s="5">
        <v>2</v>
      </c>
      <c r="E805" s="9" t="s">
        <v>3176</v>
      </c>
      <c r="F805" s="5" t="s">
        <v>86</v>
      </c>
      <c r="G805" s="5" t="s">
        <v>3177</v>
      </c>
      <c r="H805" s="5"/>
      <c r="I805" s="9" t="s">
        <v>3230</v>
      </c>
      <c r="J805" s="5">
        <v>2029</v>
      </c>
      <c r="K805" s="5">
        <v>3093</v>
      </c>
      <c r="L805" s="9" t="s">
        <v>4122</v>
      </c>
      <c r="M805" s="5">
        <v>9.8000000000000007</v>
      </c>
      <c r="N805" s="9" t="s">
        <v>4129</v>
      </c>
      <c r="O805" s="9" t="str">
        <f t="shared" si="75"/>
        <v>PDFを開く</v>
      </c>
      <c r="P805" s="9" t="s">
        <v>744</v>
      </c>
    </row>
    <row r="806" spans="1:16" ht="33.950000000000003" customHeight="1">
      <c r="A806" s="2" t="s">
        <v>736</v>
      </c>
      <c r="B806" s="2" t="s">
        <v>73</v>
      </c>
      <c r="C806" s="8" t="s">
        <v>737</v>
      </c>
      <c r="D806" s="2">
        <v>2</v>
      </c>
      <c r="E806" s="8" t="s">
        <v>3184</v>
      </c>
      <c r="F806" s="2" t="s">
        <v>86</v>
      </c>
      <c r="G806" s="2" t="s">
        <v>3177</v>
      </c>
      <c r="H806" s="2"/>
      <c r="I806" s="8" t="s">
        <v>3227</v>
      </c>
      <c r="J806" s="2">
        <v>2026</v>
      </c>
      <c r="K806" s="2">
        <v>640</v>
      </c>
      <c r="L806" s="8" t="s">
        <v>3374</v>
      </c>
      <c r="M806" s="2">
        <v>5.3</v>
      </c>
      <c r="N806" s="8" t="s">
        <v>4130</v>
      </c>
      <c r="O806" s="8" t="str">
        <f t="shared" si="75"/>
        <v>PDFを開く</v>
      </c>
      <c r="P806" s="8" t="s">
        <v>744</v>
      </c>
    </row>
    <row r="807" spans="1:16" ht="33.950000000000003" customHeight="1">
      <c r="A807" s="5" t="s">
        <v>736</v>
      </c>
      <c r="B807" s="5" t="s">
        <v>73</v>
      </c>
      <c r="C807" s="9" t="s">
        <v>737</v>
      </c>
      <c r="D807" s="5">
        <v>2</v>
      </c>
      <c r="E807" s="9" t="s">
        <v>3184</v>
      </c>
      <c r="F807" s="5" t="s">
        <v>86</v>
      </c>
      <c r="G807" s="5" t="s">
        <v>3177</v>
      </c>
      <c r="H807" s="5"/>
      <c r="I807" s="9" t="s">
        <v>3230</v>
      </c>
      <c r="J807" s="5">
        <v>2029</v>
      </c>
      <c r="K807" s="5">
        <v>747</v>
      </c>
      <c r="L807" s="9" t="s">
        <v>4125</v>
      </c>
      <c r="M807" s="5">
        <v>5.3</v>
      </c>
      <c r="N807" s="9" t="s">
        <v>4130</v>
      </c>
      <c r="O807" s="9" t="str">
        <f t="shared" si="75"/>
        <v>PDFを開く</v>
      </c>
      <c r="P807" s="9" t="s">
        <v>744</v>
      </c>
    </row>
    <row r="808" spans="1:16" ht="33.950000000000003" customHeight="1">
      <c r="A808" s="2" t="s">
        <v>736</v>
      </c>
      <c r="B808" s="2" t="s">
        <v>73</v>
      </c>
      <c r="C808" s="8" t="s">
        <v>737</v>
      </c>
      <c r="D808" s="2">
        <v>2</v>
      </c>
      <c r="E808" s="8" t="s">
        <v>3191</v>
      </c>
      <c r="F808" s="2" t="s">
        <v>2513</v>
      </c>
      <c r="G808" s="2" t="s">
        <v>3177</v>
      </c>
      <c r="H808" s="2"/>
      <c r="I808" s="8" t="s">
        <v>3227</v>
      </c>
      <c r="J808" s="2">
        <v>2026</v>
      </c>
      <c r="K808" s="2">
        <v>32</v>
      </c>
      <c r="L808" s="8" t="s">
        <v>4126</v>
      </c>
      <c r="M808" s="2"/>
      <c r="N808" s="8" t="s">
        <v>4131</v>
      </c>
      <c r="O808" s="8" t="str">
        <f t="shared" si="75"/>
        <v>PDFを開く</v>
      </c>
      <c r="P808" s="8" t="s">
        <v>744</v>
      </c>
    </row>
    <row r="809" spans="1:16" ht="33.950000000000003" customHeight="1">
      <c r="A809" s="5" t="s">
        <v>736</v>
      </c>
      <c r="B809" s="5" t="s">
        <v>73</v>
      </c>
      <c r="C809" s="9" t="s">
        <v>737</v>
      </c>
      <c r="D809" s="5">
        <v>2</v>
      </c>
      <c r="E809" s="9" t="s">
        <v>3191</v>
      </c>
      <c r="F809" s="5" t="s">
        <v>2513</v>
      </c>
      <c r="G809" s="5" t="s">
        <v>3177</v>
      </c>
      <c r="H809" s="5"/>
      <c r="I809" s="9" t="s">
        <v>3230</v>
      </c>
      <c r="J809" s="5">
        <v>2029</v>
      </c>
      <c r="K809" s="5">
        <v>45</v>
      </c>
      <c r="L809" s="9" t="s">
        <v>3404</v>
      </c>
      <c r="M809" s="5"/>
      <c r="N809" s="9" t="s">
        <v>4131</v>
      </c>
      <c r="O809" s="9" t="str">
        <f t="shared" si="75"/>
        <v>PDFを開く</v>
      </c>
      <c r="P809" s="9" t="s">
        <v>744</v>
      </c>
    </row>
    <row r="810" spans="1:16" ht="33.950000000000003" customHeight="1">
      <c r="A810" s="2" t="s">
        <v>736</v>
      </c>
      <c r="B810" s="2" t="s">
        <v>73</v>
      </c>
      <c r="C810" s="8" t="s">
        <v>737</v>
      </c>
      <c r="D810" s="2">
        <v>2</v>
      </c>
      <c r="E810" s="8" t="s">
        <v>3188</v>
      </c>
      <c r="F810" s="2" t="s">
        <v>86</v>
      </c>
      <c r="G810" s="2" t="s">
        <v>3177</v>
      </c>
      <c r="H810" s="2" t="s">
        <v>3178</v>
      </c>
      <c r="I810" s="8" t="s">
        <v>4117</v>
      </c>
      <c r="J810" s="2">
        <v>2026</v>
      </c>
      <c r="K810" s="2">
        <v>640</v>
      </c>
      <c r="L810" s="8" t="s">
        <v>3374</v>
      </c>
      <c r="M810" s="2">
        <v>5.3</v>
      </c>
      <c r="N810" s="8" t="s">
        <v>4124</v>
      </c>
      <c r="O810" s="8" t="str">
        <f t="shared" si="75"/>
        <v>PDFを開く</v>
      </c>
      <c r="P810" s="8" t="s">
        <v>744</v>
      </c>
    </row>
    <row r="811" spans="1:16" ht="33.950000000000003" customHeight="1">
      <c r="A811" s="5" t="s">
        <v>736</v>
      </c>
      <c r="B811" s="5" t="s">
        <v>73</v>
      </c>
      <c r="C811" s="9" t="s">
        <v>737</v>
      </c>
      <c r="D811" s="5">
        <v>2</v>
      </c>
      <c r="E811" s="9" t="s">
        <v>3188</v>
      </c>
      <c r="F811" s="5" t="s">
        <v>86</v>
      </c>
      <c r="G811" s="5" t="s">
        <v>3177</v>
      </c>
      <c r="H811" s="5" t="s">
        <v>3178</v>
      </c>
      <c r="I811" s="9" t="s">
        <v>4121</v>
      </c>
      <c r="J811" s="5">
        <v>2029</v>
      </c>
      <c r="K811" s="5">
        <v>747</v>
      </c>
      <c r="L811" s="9" t="s">
        <v>4125</v>
      </c>
      <c r="M811" s="5">
        <v>5.3</v>
      </c>
      <c r="N811" s="9" t="s">
        <v>4124</v>
      </c>
      <c r="O811" s="9" t="str">
        <f t="shared" si="75"/>
        <v>PDFを開く</v>
      </c>
      <c r="P811" s="9" t="s">
        <v>744</v>
      </c>
    </row>
    <row r="812" spans="1:16" ht="33.950000000000003" customHeight="1">
      <c r="A812" s="2" t="s">
        <v>745</v>
      </c>
      <c r="B812" s="2" t="s">
        <v>73</v>
      </c>
      <c r="C812" s="8" t="s">
        <v>746</v>
      </c>
      <c r="D812" s="2">
        <v>2</v>
      </c>
      <c r="E812" s="8" t="s">
        <v>3176</v>
      </c>
      <c r="F812" s="2" t="s">
        <v>86</v>
      </c>
      <c r="G812" s="2" t="s">
        <v>3177</v>
      </c>
      <c r="H812" s="2" t="s">
        <v>3178</v>
      </c>
      <c r="I812" s="8" t="s">
        <v>3179</v>
      </c>
      <c r="J812" s="2">
        <v>2026</v>
      </c>
      <c r="K812" s="2">
        <v>1407</v>
      </c>
      <c r="L812" s="8" t="s">
        <v>4132</v>
      </c>
      <c r="M812" s="2">
        <v>57</v>
      </c>
      <c r="N812" s="8" t="s">
        <v>4133</v>
      </c>
      <c r="O812" s="8" t="str">
        <f t="shared" ref="O812:O820" si="76">HYPERLINK("https://seichotoushi-hojo.jp/assets/pdf/koufu/outline_19.pdf","PDFを開く")</f>
        <v>PDFを開く</v>
      </c>
      <c r="P812" s="8" t="s">
        <v>752</v>
      </c>
    </row>
    <row r="813" spans="1:16" ht="33.950000000000003" customHeight="1">
      <c r="A813" s="5" t="s">
        <v>745</v>
      </c>
      <c r="B813" s="5" t="s">
        <v>73</v>
      </c>
      <c r="C813" s="9" t="s">
        <v>746</v>
      </c>
      <c r="D813" s="5">
        <v>2</v>
      </c>
      <c r="E813" s="9" t="s">
        <v>3176</v>
      </c>
      <c r="F813" s="5" t="s">
        <v>86</v>
      </c>
      <c r="G813" s="5" t="s">
        <v>3177</v>
      </c>
      <c r="H813" s="5" t="s">
        <v>3178</v>
      </c>
      <c r="I813" s="9" t="s">
        <v>3182</v>
      </c>
      <c r="J813" s="5">
        <v>2029</v>
      </c>
      <c r="K813" s="5">
        <v>5456</v>
      </c>
      <c r="L813" s="9" t="s">
        <v>4134</v>
      </c>
      <c r="M813" s="5">
        <v>57</v>
      </c>
      <c r="N813" s="9" t="s">
        <v>4133</v>
      </c>
      <c r="O813" s="9" t="str">
        <f t="shared" si="76"/>
        <v>PDFを開く</v>
      </c>
      <c r="P813" s="9" t="s">
        <v>752</v>
      </c>
    </row>
    <row r="814" spans="1:16" ht="33.950000000000003" customHeight="1">
      <c r="A814" s="2" t="s">
        <v>745</v>
      </c>
      <c r="B814" s="2" t="s">
        <v>73</v>
      </c>
      <c r="C814" s="8" t="s">
        <v>746</v>
      </c>
      <c r="D814" s="2">
        <v>2</v>
      </c>
      <c r="E814" s="8" t="s">
        <v>3184</v>
      </c>
      <c r="F814" s="2" t="s">
        <v>86</v>
      </c>
      <c r="G814" s="2" t="s">
        <v>3177</v>
      </c>
      <c r="H814" s="2" t="s">
        <v>3178</v>
      </c>
      <c r="I814" s="8" t="s">
        <v>3179</v>
      </c>
      <c r="J814" s="2">
        <v>2026</v>
      </c>
      <c r="K814" s="2">
        <v>428</v>
      </c>
      <c r="L814" s="8" t="s">
        <v>4135</v>
      </c>
      <c r="M814" s="2">
        <v>4</v>
      </c>
      <c r="N814" s="8" t="s">
        <v>4136</v>
      </c>
      <c r="O814" s="8" t="str">
        <f t="shared" si="76"/>
        <v>PDFを開く</v>
      </c>
      <c r="P814" s="8" t="s">
        <v>752</v>
      </c>
    </row>
    <row r="815" spans="1:16" ht="33.950000000000003" customHeight="1">
      <c r="A815" s="5" t="s">
        <v>745</v>
      </c>
      <c r="B815" s="5" t="s">
        <v>73</v>
      </c>
      <c r="C815" s="9" t="s">
        <v>746</v>
      </c>
      <c r="D815" s="5">
        <v>2</v>
      </c>
      <c r="E815" s="9" t="s">
        <v>3184</v>
      </c>
      <c r="F815" s="5" t="s">
        <v>86</v>
      </c>
      <c r="G815" s="5" t="s">
        <v>3177</v>
      </c>
      <c r="H815" s="5" t="s">
        <v>3178</v>
      </c>
      <c r="I815" s="9" t="s">
        <v>3182</v>
      </c>
      <c r="J815" s="5">
        <v>2029</v>
      </c>
      <c r="K815" s="5">
        <v>482</v>
      </c>
      <c r="L815" s="9" t="s">
        <v>3275</v>
      </c>
      <c r="M815" s="5">
        <v>4</v>
      </c>
      <c r="N815" s="9" t="s">
        <v>4136</v>
      </c>
      <c r="O815" s="9" t="str">
        <f t="shared" si="76"/>
        <v>PDFを開く</v>
      </c>
      <c r="P815" s="9" t="s">
        <v>752</v>
      </c>
    </row>
    <row r="816" spans="1:16" ht="33.950000000000003" customHeight="1">
      <c r="A816" s="2" t="s">
        <v>745</v>
      </c>
      <c r="B816" s="2" t="s">
        <v>73</v>
      </c>
      <c r="C816" s="8" t="s">
        <v>746</v>
      </c>
      <c r="D816" s="2">
        <v>2</v>
      </c>
      <c r="E816" s="8" t="s">
        <v>3188</v>
      </c>
      <c r="F816" s="2" t="s">
        <v>86</v>
      </c>
      <c r="G816" s="19" t="s">
        <v>3189</v>
      </c>
      <c r="H816" s="2" t="s">
        <v>3178</v>
      </c>
      <c r="I816" s="8"/>
      <c r="J816" s="2"/>
      <c r="K816" s="2"/>
      <c r="L816" s="8"/>
      <c r="M816" s="2">
        <v>4</v>
      </c>
      <c r="N816" s="8" t="s">
        <v>4137</v>
      </c>
      <c r="O816" s="8" t="str">
        <f t="shared" si="76"/>
        <v>PDFを開く</v>
      </c>
      <c r="P816" s="8" t="s">
        <v>752</v>
      </c>
    </row>
    <row r="817" spans="1:16" ht="33.950000000000003" customHeight="1">
      <c r="A817" s="5" t="s">
        <v>745</v>
      </c>
      <c r="B817" s="5" t="s">
        <v>73</v>
      </c>
      <c r="C817" s="9" t="s">
        <v>746</v>
      </c>
      <c r="D817" s="5">
        <v>2</v>
      </c>
      <c r="E817" s="9" t="s">
        <v>3191</v>
      </c>
      <c r="F817" s="5" t="s">
        <v>2513</v>
      </c>
      <c r="G817" s="5" t="s">
        <v>3177</v>
      </c>
      <c r="H817" s="5" t="s">
        <v>3178</v>
      </c>
      <c r="I817" s="9" t="s">
        <v>3179</v>
      </c>
      <c r="J817" s="5">
        <v>2026</v>
      </c>
      <c r="K817" s="5">
        <v>23</v>
      </c>
      <c r="L817" s="9" t="s">
        <v>3543</v>
      </c>
      <c r="M817" s="5"/>
      <c r="N817" s="9" t="s">
        <v>4138</v>
      </c>
      <c r="O817" s="9" t="str">
        <f t="shared" si="76"/>
        <v>PDFを開く</v>
      </c>
      <c r="P817" s="9" t="s">
        <v>752</v>
      </c>
    </row>
    <row r="818" spans="1:16" ht="33.950000000000003" customHeight="1">
      <c r="A818" s="2" t="s">
        <v>745</v>
      </c>
      <c r="B818" s="2" t="s">
        <v>73</v>
      </c>
      <c r="C818" s="8" t="s">
        <v>746</v>
      </c>
      <c r="D818" s="2">
        <v>2</v>
      </c>
      <c r="E818" s="8" t="s">
        <v>3191</v>
      </c>
      <c r="F818" s="2" t="s">
        <v>2513</v>
      </c>
      <c r="G818" s="2" t="s">
        <v>3177</v>
      </c>
      <c r="H818" s="2" t="s">
        <v>3178</v>
      </c>
      <c r="I818" s="8" t="s">
        <v>3182</v>
      </c>
      <c r="J818" s="2">
        <v>2029</v>
      </c>
      <c r="K818" s="2">
        <v>32</v>
      </c>
      <c r="L818" s="8" t="s">
        <v>4126</v>
      </c>
      <c r="M818" s="2"/>
      <c r="N818" s="8" t="s">
        <v>4138</v>
      </c>
      <c r="O818" s="8" t="str">
        <f t="shared" si="76"/>
        <v>PDFを開く</v>
      </c>
      <c r="P818" s="8" t="s">
        <v>752</v>
      </c>
    </row>
    <row r="819" spans="1:16" ht="33.950000000000003" customHeight="1">
      <c r="A819" s="5" t="s">
        <v>745</v>
      </c>
      <c r="B819" s="5" t="s">
        <v>73</v>
      </c>
      <c r="C819" s="9" t="s">
        <v>746</v>
      </c>
      <c r="D819" s="5">
        <v>2</v>
      </c>
      <c r="E819" s="9" t="s">
        <v>3188</v>
      </c>
      <c r="F819" s="5" t="s">
        <v>86</v>
      </c>
      <c r="G819" s="5" t="s">
        <v>3177</v>
      </c>
      <c r="H819" s="5"/>
      <c r="I819" s="9" t="s">
        <v>4139</v>
      </c>
      <c r="J819" s="5">
        <v>2026</v>
      </c>
      <c r="K819" s="5"/>
      <c r="L819" s="9" t="s">
        <v>3196</v>
      </c>
      <c r="M819" s="5">
        <v>4</v>
      </c>
      <c r="N819" s="9" t="s">
        <v>4140</v>
      </c>
      <c r="O819" s="9" t="str">
        <f t="shared" si="76"/>
        <v>PDFを開く</v>
      </c>
      <c r="P819" s="9" t="s">
        <v>752</v>
      </c>
    </row>
    <row r="820" spans="1:16" ht="33.950000000000003" customHeight="1">
      <c r="A820" s="2" t="s">
        <v>745</v>
      </c>
      <c r="B820" s="2" t="s">
        <v>73</v>
      </c>
      <c r="C820" s="8" t="s">
        <v>746</v>
      </c>
      <c r="D820" s="2">
        <v>2</v>
      </c>
      <c r="E820" s="8" t="s">
        <v>3188</v>
      </c>
      <c r="F820" s="2" t="s">
        <v>86</v>
      </c>
      <c r="G820" s="2" t="s">
        <v>3177</v>
      </c>
      <c r="H820" s="2"/>
      <c r="I820" s="8" t="s">
        <v>4141</v>
      </c>
      <c r="J820" s="2">
        <v>2029</v>
      </c>
      <c r="K820" s="2"/>
      <c r="L820" s="8" t="s">
        <v>4142</v>
      </c>
      <c r="M820" s="2">
        <v>4</v>
      </c>
      <c r="N820" s="8" t="s">
        <v>4140</v>
      </c>
      <c r="O820" s="8" t="str">
        <f t="shared" si="76"/>
        <v>PDFを開く</v>
      </c>
      <c r="P820" s="8" t="s">
        <v>752</v>
      </c>
    </row>
    <row r="821" spans="1:16" ht="33.950000000000003" customHeight="1">
      <c r="A821" s="5" t="s">
        <v>753</v>
      </c>
      <c r="B821" s="5" t="s">
        <v>73</v>
      </c>
      <c r="C821" s="9" t="s">
        <v>754</v>
      </c>
      <c r="D821" s="5">
        <v>2</v>
      </c>
      <c r="E821" s="9" t="s">
        <v>3176</v>
      </c>
      <c r="F821" s="5" t="s">
        <v>86</v>
      </c>
      <c r="G821" s="5" t="s">
        <v>3177</v>
      </c>
      <c r="H821" s="5" t="s">
        <v>3178</v>
      </c>
      <c r="I821" s="9" t="s">
        <v>4143</v>
      </c>
      <c r="J821" s="5">
        <v>2024</v>
      </c>
      <c r="K821" s="5">
        <v>1376</v>
      </c>
      <c r="L821" s="9" t="s">
        <v>3891</v>
      </c>
      <c r="M821" s="5">
        <v>44.7</v>
      </c>
      <c r="N821" s="9" t="s">
        <v>4144</v>
      </c>
      <c r="O821" s="9" t="str">
        <f t="shared" ref="O821:O828" si="77">HYPERLINK("https://seichotoushi-hojo.jp/assets/pdf/koufu/outline_2.pdf","PDFを開く")</f>
        <v>PDFを開く</v>
      </c>
      <c r="P821" s="9" t="s">
        <v>760</v>
      </c>
    </row>
    <row r="822" spans="1:16" ht="33.950000000000003" customHeight="1">
      <c r="A822" s="2" t="s">
        <v>753</v>
      </c>
      <c r="B822" s="2" t="s">
        <v>73</v>
      </c>
      <c r="C822" s="8" t="s">
        <v>754</v>
      </c>
      <c r="D822" s="2">
        <v>2</v>
      </c>
      <c r="E822" s="8" t="s">
        <v>3176</v>
      </c>
      <c r="F822" s="2" t="s">
        <v>86</v>
      </c>
      <c r="G822" s="2" t="s">
        <v>3177</v>
      </c>
      <c r="H822" s="2" t="s">
        <v>3178</v>
      </c>
      <c r="I822" s="8" t="s">
        <v>4145</v>
      </c>
      <c r="J822" s="2">
        <v>2027</v>
      </c>
      <c r="K822" s="2">
        <v>4166</v>
      </c>
      <c r="L822" s="8" t="s">
        <v>4146</v>
      </c>
      <c r="M822" s="2">
        <v>44.7</v>
      </c>
      <c r="N822" s="8" t="s">
        <v>4144</v>
      </c>
      <c r="O822" s="8" t="str">
        <f t="shared" si="77"/>
        <v>PDFを開く</v>
      </c>
      <c r="P822" s="8" t="s">
        <v>760</v>
      </c>
    </row>
    <row r="823" spans="1:16" ht="33.950000000000003" customHeight="1">
      <c r="A823" s="5" t="s">
        <v>753</v>
      </c>
      <c r="B823" s="5" t="s">
        <v>73</v>
      </c>
      <c r="C823" s="9" t="s">
        <v>754</v>
      </c>
      <c r="D823" s="5">
        <v>2</v>
      </c>
      <c r="E823" s="9" t="s">
        <v>3184</v>
      </c>
      <c r="F823" s="5" t="s">
        <v>86</v>
      </c>
      <c r="G823" s="5" t="s">
        <v>3177</v>
      </c>
      <c r="H823" s="5" t="s">
        <v>3178</v>
      </c>
      <c r="I823" s="9" t="s">
        <v>4143</v>
      </c>
      <c r="J823" s="5">
        <v>2024</v>
      </c>
      <c r="K823" s="5">
        <v>661</v>
      </c>
      <c r="L823" s="9" t="s">
        <v>4147</v>
      </c>
      <c r="M823" s="5">
        <v>8</v>
      </c>
      <c r="N823" s="9" t="s">
        <v>4148</v>
      </c>
      <c r="O823" s="9" t="str">
        <f t="shared" si="77"/>
        <v>PDFを開く</v>
      </c>
      <c r="P823" s="9" t="s">
        <v>760</v>
      </c>
    </row>
    <row r="824" spans="1:16" ht="33.950000000000003" customHeight="1">
      <c r="A824" s="2" t="s">
        <v>753</v>
      </c>
      <c r="B824" s="2" t="s">
        <v>73</v>
      </c>
      <c r="C824" s="8" t="s">
        <v>754</v>
      </c>
      <c r="D824" s="2">
        <v>2</v>
      </c>
      <c r="E824" s="8" t="s">
        <v>3184</v>
      </c>
      <c r="F824" s="2" t="s">
        <v>86</v>
      </c>
      <c r="G824" s="2" t="s">
        <v>3177</v>
      </c>
      <c r="H824" s="2" t="s">
        <v>3178</v>
      </c>
      <c r="I824" s="8" t="s">
        <v>4145</v>
      </c>
      <c r="J824" s="2">
        <v>2027</v>
      </c>
      <c r="K824" s="2">
        <v>832</v>
      </c>
      <c r="L824" s="8" t="s">
        <v>4149</v>
      </c>
      <c r="M824" s="2">
        <v>8</v>
      </c>
      <c r="N824" s="8" t="s">
        <v>4148</v>
      </c>
      <c r="O824" s="8" t="str">
        <f t="shared" si="77"/>
        <v>PDFを開く</v>
      </c>
      <c r="P824" s="8" t="s">
        <v>760</v>
      </c>
    </row>
    <row r="825" spans="1:16" ht="33.950000000000003" customHeight="1">
      <c r="A825" s="5" t="s">
        <v>753</v>
      </c>
      <c r="B825" s="5" t="s">
        <v>73</v>
      </c>
      <c r="C825" s="9" t="s">
        <v>754</v>
      </c>
      <c r="D825" s="5">
        <v>2</v>
      </c>
      <c r="E825" s="9" t="s">
        <v>3188</v>
      </c>
      <c r="F825" s="5" t="s">
        <v>86</v>
      </c>
      <c r="G825" s="5" t="s">
        <v>3177</v>
      </c>
      <c r="H825" s="5" t="s">
        <v>3178</v>
      </c>
      <c r="I825" s="9" t="s">
        <v>4143</v>
      </c>
      <c r="J825" s="5">
        <v>2024</v>
      </c>
      <c r="K825" s="5">
        <v>3407</v>
      </c>
      <c r="L825" s="9" t="s">
        <v>4150</v>
      </c>
      <c r="M825" s="5">
        <v>8</v>
      </c>
      <c r="N825" s="9" t="s">
        <v>4151</v>
      </c>
      <c r="O825" s="9" t="str">
        <f t="shared" si="77"/>
        <v>PDFを開く</v>
      </c>
      <c r="P825" s="9" t="s">
        <v>760</v>
      </c>
    </row>
    <row r="826" spans="1:16" ht="33.950000000000003" customHeight="1">
      <c r="A826" s="2" t="s">
        <v>753</v>
      </c>
      <c r="B826" s="2" t="s">
        <v>73</v>
      </c>
      <c r="C826" s="8" t="s">
        <v>754</v>
      </c>
      <c r="D826" s="2">
        <v>2</v>
      </c>
      <c r="E826" s="8" t="s">
        <v>3188</v>
      </c>
      <c r="F826" s="2" t="s">
        <v>86</v>
      </c>
      <c r="G826" s="2" t="s">
        <v>3177</v>
      </c>
      <c r="H826" s="2" t="s">
        <v>3178</v>
      </c>
      <c r="I826" s="8" t="s">
        <v>4145</v>
      </c>
      <c r="J826" s="2">
        <v>2027</v>
      </c>
      <c r="K826" s="2">
        <v>4292</v>
      </c>
      <c r="L826" s="8" t="s">
        <v>4152</v>
      </c>
      <c r="M826" s="2">
        <v>8</v>
      </c>
      <c r="N826" s="8" t="s">
        <v>4151</v>
      </c>
      <c r="O826" s="8" t="str">
        <f t="shared" si="77"/>
        <v>PDFを開く</v>
      </c>
      <c r="P826" s="8" t="s">
        <v>760</v>
      </c>
    </row>
    <row r="827" spans="1:16" ht="33.950000000000003" customHeight="1">
      <c r="A827" s="5" t="s">
        <v>753</v>
      </c>
      <c r="B827" s="5" t="s">
        <v>73</v>
      </c>
      <c r="C827" s="9" t="s">
        <v>754</v>
      </c>
      <c r="D827" s="5">
        <v>2</v>
      </c>
      <c r="E827" s="9" t="s">
        <v>3191</v>
      </c>
      <c r="F827" s="5" t="s">
        <v>2513</v>
      </c>
      <c r="G827" s="5" t="s">
        <v>3177</v>
      </c>
      <c r="H827" s="5" t="s">
        <v>3178</v>
      </c>
      <c r="I827" s="9" t="s">
        <v>4143</v>
      </c>
      <c r="J827" s="5">
        <v>2024</v>
      </c>
      <c r="K827" s="5">
        <v>2</v>
      </c>
      <c r="L827" s="9" t="s">
        <v>4153</v>
      </c>
      <c r="M827" s="5"/>
      <c r="N827" s="9" t="s">
        <v>4154</v>
      </c>
      <c r="O827" s="9" t="str">
        <f t="shared" si="77"/>
        <v>PDFを開く</v>
      </c>
      <c r="P827" s="9" t="s">
        <v>760</v>
      </c>
    </row>
    <row r="828" spans="1:16" ht="33.950000000000003" customHeight="1">
      <c r="A828" s="2" t="s">
        <v>753</v>
      </c>
      <c r="B828" s="2" t="s">
        <v>73</v>
      </c>
      <c r="C828" s="8" t="s">
        <v>754</v>
      </c>
      <c r="D828" s="2">
        <v>2</v>
      </c>
      <c r="E828" s="8" t="s">
        <v>3191</v>
      </c>
      <c r="F828" s="2" t="s">
        <v>2513</v>
      </c>
      <c r="G828" s="2" t="s">
        <v>3177</v>
      </c>
      <c r="H828" s="2" t="s">
        <v>3178</v>
      </c>
      <c r="I828" s="8" t="s">
        <v>4145</v>
      </c>
      <c r="J828" s="2">
        <v>2027</v>
      </c>
      <c r="K828" s="2">
        <v>37</v>
      </c>
      <c r="L828" s="8" t="s">
        <v>4155</v>
      </c>
      <c r="M828" s="2"/>
      <c r="N828" s="8" t="s">
        <v>4154</v>
      </c>
      <c r="O828" s="8" t="str">
        <f t="shared" si="77"/>
        <v>PDFを開く</v>
      </c>
      <c r="P828" s="8" t="s">
        <v>760</v>
      </c>
    </row>
    <row r="829" spans="1:16" ht="33.950000000000003" customHeight="1">
      <c r="A829" s="5" t="s">
        <v>761</v>
      </c>
      <c r="B829" s="5" t="s">
        <v>73</v>
      </c>
      <c r="C829" s="9" t="s">
        <v>762</v>
      </c>
      <c r="D829" s="5">
        <v>2</v>
      </c>
      <c r="E829" s="9" t="s">
        <v>3176</v>
      </c>
      <c r="F829" s="5" t="s">
        <v>86</v>
      </c>
      <c r="G829" s="5" t="s">
        <v>3177</v>
      </c>
      <c r="H829" s="5" t="s">
        <v>3178</v>
      </c>
      <c r="I829" s="9" t="s">
        <v>3407</v>
      </c>
      <c r="J829" s="5">
        <v>2025</v>
      </c>
      <c r="K829" s="5">
        <v>887</v>
      </c>
      <c r="L829" s="9" t="s">
        <v>4156</v>
      </c>
      <c r="M829" s="5">
        <v>11.3</v>
      </c>
      <c r="N829" s="9" t="s">
        <v>4157</v>
      </c>
      <c r="O829" s="9" t="str">
        <f t="shared" ref="O829:O834" si="78">HYPERLINK("https://seichotoushi-hojo.jp/assets/pdf/koufu/outline_20.pdf","PDFを開く")</f>
        <v>PDFを開く</v>
      </c>
      <c r="P829" s="9" t="s">
        <v>768</v>
      </c>
    </row>
    <row r="830" spans="1:16" ht="33.950000000000003" customHeight="1">
      <c r="A830" s="2" t="s">
        <v>761</v>
      </c>
      <c r="B830" s="2" t="s">
        <v>73</v>
      </c>
      <c r="C830" s="8" t="s">
        <v>762</v>
      </c>
      <c r="D830" s="2">
        <v>2</v>
      </c>
      <c r="E830" s="8" t="s">
        <v>3176</v>
      </c>
      <c r="F830" s="2" t="s">
        <v>86</v>
      </c>
      <c r="G830" s="2" t="s">
        <v>3177</v>
      </c>
      <c r="H830" s="2" t="s">
        <v>3178</v>
      </c>
      <c r="I830" s="8" t="s">
        <v>3335</v>
      </c>
      <c r="J830" s="2">
        <v>2028</v>
      </c>
      <c r="K830" s="2">
        <v>1224</v>
      </c>
      <c r="L830" s="8" t="s">
        <v>4158</v>
      </c>
      <c r="M830" s="2">
        <v>11.3</v>
      </c>
      <c r="N830" s="8" t="s">
        <v>4157</v>
      </c>
      <c r="O830" s="8" t="str">
        <f t="shared" si="78"/>
        <v>PDFを開く</v>
      </c>
      <c r="P830" s="8" t="s">
        <v>768</v>
      </c>
    </row>
    <row r="831" spans="1:16" ht="33.950000000000003" customHeight="1">
      <c r="A831" s="5" t="s">
        <v>761</v>
      </c>
      <c r="B831" s="5" t="s">
        <v>73</v>
      </c>
      <c r="C831" s="9" t="s">
        <v>762</v>
      </c>
      <c r="D831" s="5">
        <v>2</v>
      </c>
      <c r="E831" s="9" t="s">
        <v>3184</v>
      </c>
      <c r="F831" s="5" t="s">
        <v>86</v>
      </c>
      <c r="G831" s="5" t="s">
        <v>3177</v>
      </c>
      <c r="H831" s="5" t="s">
        <v>3178</v>
      </c>
      <c r="I831" s="9" t="s">
        <v>3407</v>
      </c>
      <c r="J831" s="5">
        <v>2025</v>
      </c>
      <c r="K831" s="5">
        <v>394</v>
      </c>
      <c r="L831" s="9" t="s">
        <v>4159</v>
      </c>
      <c r="M831" s="5">
        <v>4.8</v>
      </c>
      <c r="N831" s="9" t="s">
        <v>4160</v>
      </c>
      <c r="O831" s="9" t="str">
        <f t="shared" si="78"/>
        <v>PDFを開く</v>
      </c>
      <c r="P831" s="9" t="s">
        <v>768</v>
      </c>
    </row>
    <row r="832" spans="1:16" ht="33.950000000000003" customHeight="1">
      <c r="A832" s="2" t="s">
        <v>761</v>
      </c>
      <c r="B832" s="2" t="s">
        <v>73</v>
      </c>
      <c r="C832" s="8" t="s">
        <v>762</v>
      </c>
      <c r="D832" s="2">
        <v>2</v>
      </c>
      <c r="E832" s="8" t="s">
        <v>3184</v>
      </c>
      <c r="F832" s="2" t="s">
        <v>86</v>
      </c>
      <c r="G832" s="2" t="s">
        <v>3177</v>
      </c>
      <c r="H832" s="2" t="s">
        <v>3178</v>
      </c>
      <c r="I832" s="8" t="s">
        <v>3335</v>
      </c>
      <c r="J832" s="2">
        <v>2028</v>
      </c>
      <c r="K832" s="2">
        <v>454</v>
      </c>
      <c r="L832" s="8" t="s">
        <v>4161</v>
      </c>
      <c r="M832" s="2">
        <v>4.8</v>
      </c>
      <c r="N832" s="8" t="s">
        <v>4160</v>
      </c>
      <c r="O832" s="8" t="str">
        <f t="shared" si="78"/>
        <v>PDFを開く</v>
      </c>
      <c r="P832" s="8" t="s">
        <v>768</v>
      </c>
    </row>
    <row r="833" spans="1:16" ht="33.950000000000003" customHeight="1">
      <c r="A833" s="5" t="s">
        <v>761</v>
      </c>
      <c r="B833" s="5" t="s">
        <v>73</v>
      </c>
      <c r="C833" s="9" t="s">
        <v>762</v>
      </c>
      <c r="D833" s="5">
        <v>2</v>
      </c>
      <c r="E833" s="9" t="s">
        <v>3191</v>
      </c>
      <c r="F833" s="5" t="s">
        <v>2513</v>
      </c>
      <c r="G833" s="5" t="s">
        <v>3177</v>
      </c>
      <c r="H833" s="5" t="s">
        <v>3178</v>
      </c>
      <c r="I833" s="9" t="s">
        <v>3407</v>
      </c>
      <c r="J833" s="5">
        <v>2025</v>
      </c>
      <c r="K833" s="5">
        <v>155</v>
      </c>
      <c r="L833" s="9" t="s">
        <v>4162</v>
      </c>
      <c r="M833" s="5"/>
      <c r="N833" s="9" t="s">
        <v>4163</v>
      </c>
      <c r="O833" s="9" t="str">
        <f t="shared" si="78"/>
        <v>PDFを開く</v>
      </c>
      <c r="P833" s="9" t="s">
        <v>768</v>
      </c>
    </row>
    <row r="834" spans="1:16" ht="33.950000000000003" customHeight="1">
      <c r="A834" s="2" t="s">
        <v>761</v>
      </c>
      <c r="B834" s="2" t="s">
        <v>73</v>
      </c>
      <c r="C834" s="8" t="s">
        <v>762</v>
      </c>
      <c r="D834" s="2">
        <v>2</v>
      </c>
      <c r="E834" s="8" t="s">
        <v>3191</v>
      </c>
      <c r="F834" s="2" t="s">
        <v>2513</v>
      </c>
      <c r="G834" s="2" t="s">
        <v>3177</v>
      </c>
      <c r="H834" s="2" t="s">
        <v>3178</v>
      </c>
      <c r="I834" s="8" t="s">
        <v>3335</v>
      </c>
      <c r="J834" s="2">
        <v>2028</v>
      </c>
      <c r="K834" s="2">
        <v>170</v>
      </c>
      <c r="L834" s="8" t="s">
        <v>4164</v>
      </c>
      <c r="M834" s="2"/>
      <c r="N834" s="8" t="s">
        <v>4163</v>
      </c>
      <c r="O834" s="8" t="str">
        <f t="shared" si="78"/>
        <v>PDFを開く</v>
      </c>
      <c r="P834" s="8" t="s">
        <v>768</v>
      </c>
    </row>
    <row r="835" spans="1:16" ht="33.950000000000003" customHeight="1">
      <c r="A835" s="5" t="s">
        <v>769</v>
      </c>
      <c r="B835" s="5" t="s">
        <v>73</v>
      </c>
      <c r="C835" s="9" t="s">
        <v>770</v>
      </c>
      <c r="D835" s="5">
        <v>2</v>
      </c>
      <c r="E835" s="9" t="s">
        <v>3176</v>
      </c>
      <c r="F835" s="5" t="s">
        <v>86</v>
      </c>
      <c r="G835" s="5" t="s">
        <v>3177</v>
      </c>
      <c r="H835" s="5" t="s">
        <v>3178</v>
      </c>
      <c r="I835" s="9" t="s">
        <v>4165</v>
      </c>
      <c r="J835" s="5">
        <v>2026</v>
      </c>
      <c r="K835" s="5">
        <v>1616</v>
      </c>
      <c r="L835" s="9" t="s">
        <v>3238</v>
      </c>
      <c r="M835" s="5">
        <v>11.75</v>
      </c>
      <c r="N835" s="9" t="s">
        <v>4166</v>
      </c>
      <c r="O835" s="9" t="str">
        <f t="shared" ref="O835:O842" si="79">HYPERLINK("https://seichotoushi-hojo.jp/assets/pdf/koufu/outline_21.pdf","PDFを開く")</f>
        <v>PDFを開く</v>
      </c>
      <c r="P835" s="9" t="s">
        <v>777</v>
      </c>
    </row>
    <row r="836" spans="1:16" ht="33.950000000000003" customHeight="1">
      <c r="A836" s="2" t="s">
        <v>769</v>
      </c>
      <c r="B836" s="2" t="s">
        <v>73</v>
      </c>
      <c r="C836" s="8" t="s">
        <v>770</v>
      </c>
      <c r="D836" s="2">
        <v>2</v>
      </c>
      <c r="E836" s="8" t="s">
        <v>3176</v>
      </c>
      <c r="F836" s="2" t="s">
        <v>86</v>
      </c>
      <c r="G836" s="2" t="s">
        <v>3177</v>
      </c>
      <c r="H836" s="2" t="s">
        <v>3178</v>
      </c>
      <c r="I836" s="8" t="s">
        <v>4167</v>
      </c>
      <c r="J836" s="2">
        <v>2029</v>
      </c>
      <c r="K836" s="2">
        <v>2255</v>
      </c>
      <c r="L836" s="8" t="s">
        <v>4168</v>
      </c>
      <c r="M836" s="2">
        <v>11.75</v>
      </c>
      <c r="N836" s="8" t="s">
        <v>4166</v>
      </c>
      <c r="O836" s="8" t="str">
        <f t="shared" si="79"/>
        <v>PDFを開く</v>
      </c>
      <c r="P836" s="8" t="s">
        <v>777</v>
      </c>
    </row>
    <row r="837" spans="1:16" ht="33.950000000000003" customHeight="1">
      <c r="A837" s="5" t="s">
        <v>769</v>
      </c>
      <c r="B837" s="5" t="s">
        <v>73</v>
      </c>
      <c r="C837" s="9" t="s">
        <v>770</v>
      </c>
      <c r="D837" s="5">
        <v>2</v>
      </c>
      <c r="E837" s="9" t="s">
        <v>3184</v>
      </c>
      <c r="F837" s="5" t="s">
        <v>86</v>
      </c>
      <c r="G837" s="5" t="s">
        <v>3177</v>
      </c>
      <c r="H837" s="5" t="s">
        <v>3178</v>
      </c>
      <c r="I837" s="9" t="s">
        <v>4165</v>
      </c>
      <c r="J837" s="5">
        <v>2026</v>
      </c>
      <c r="K837" s="5">
        <v>357</v>
      </c>
      <c r="L837" s="9" t="s">
        <v>3745</v>
      </c>
      <c r="M837" s="5">
        <v>7.25</v>
      </c>
      <c r="N837" s="9" t="s">
        <v>4169</v>
      </c>
      <c r="O837" s="9" t="str">
        <f t="shared" si="79"/>
        <v>PDFを開く</v>
      </c>
      <c r="P837" s="9" t="s">
        <v>777</v>
      </c>
    </row>
    <row r="838" spans="1:16" ht="33.950000000000003" customHeight="1">
      <c r="A838" s="2" t="s">
        <v>769</v>
      </c>
      <c r="B838" s="2" t="s">
        <v>73</v>
      </c>
      <c r="C838" s="8" t="s">
        <v>770</v>
      </c>
      <c r="D838" s="2">
        <v>2</v>
      </c>
      <c r="E838" s="8" t="s">
        <v>3184</v>
      </c>
      <c r="F838" s="2" t="s">
        <v>86</v>
      </c>
      <c r="G838" s="2" t="s">
        <v>3177</v>
      </c>
      <c r="H838" s="2" t="s">
        <v>3178</v>
      </c>
      <c r="I838" s="8" t="s">
        <v>4167</v>
      </c>
      <c r="J838" s="2">
        <v>2029</v>
      </c>
      <c r="K838" s="2">
        <v>440</v>
      </c>
      <c r="L838" s="8" t="s">
        <v>3887</v>
      </c>
      <c r="M838" s="2">
        <v>7.25</v>
      </c>
      <c r="N838" s="8" t="s">
        <v>4169</v>
      </c>
      <c r="O838" s="8" t="str">
        <f t="shared" si="79"/>
        <v>PDFを開く</v>
      </c>
      <c r="P838" s="8" t="s">
        <v>777</v>
      </c>
    </row>
    <row r="839" spans="1:16" ht="33.950000000000003" customHeight="1">
      <c r="A839" s="5" t="s">
        <v>769</v>
      </c>
      <c r="B839" s="5" t="s">
        <v>73</v>
      </c>
      <c r="C839" s="9" t="s">
        <v>770</v>
      </c>
      <c r="D839" s="5">
        <v>2</v>
      </c>
      <c r="E839" s="9" t="s">
        <v>3188</v>
      </c>
      <c r="F839" s="5" t="s">
        <v>86</v>
      </c>
      <c r="G839" s="5" t="s">
        <v>3177</v>
      </c>
      <c r="H839" s="5" t="s">
        <v>3178</v>
      </c>
      <c r="I839" s="9" t="s">
        <v>4165</v>
      </c>
      <c r="J839" s="5">
        <v>2026</v>
      </c>
      <c r="K839" s="5">
        <v>0</v>
      </c>
      <c r="L839" s="9" t="s">
        <v>3267</v>
      </c>
      <c r="M839" s="5">
        <v>0</v>
      </c>
      <c r="N839" s="9" t="s">
        <v>3268</v>
      </c>
      <c r="O839" s="9" t="str">
        <f t="shared" si="79"/>
        <v>PDFを開く</v>
      </c>
      <c r="P839" s="9" t="s">
        <v>777</v>
      </c>
    </row>
    <row r="840" spans="1:16" ht="33.950000000000003" customHeight="1">
      <c r="A840" s="2" t="s">
        <v>769</v>
      </c>
      <c r="B840" s="2" t="s">
        <v>73</v>
      </c>
      <c r="C840" s="8" t="s">
        <v>770</v>
      </c>
      <c r="D840" s="2">
        <v>2</v>
      </c>
      <c r="E840" s="8" t="s">
        <v>3188</v>
      </c>
      <c r="F840" s="2" t="s">
        <v>86</v>
      </c>
      <c r="G840" s="2" t="s">
        <v>3177</v>
      </c>
      <c r="H840" s="2" t="s">
        <v>3178</v>
      </c>
      <c r="I840" s="8" t="s">
        <v>4167</v>
      </c>
      <c r="J840" s="2">
        <v>2029</v>
      </c>
      <c r="K840" s="2">
        <v>0</v>
      </c>
      <c r="L840" s="8" t="s">
        <v>3267</v>
      </c>
      <c r="M840" s="2">
        <v>0</v>
      </c>
      <c r="N840" s="8" t="s">
        <v>3268</v>
      </c>
      <c r="O840" s="8" t="str">
        <f t="shared" si="79"/>
        <v>PDFを開く</v>
      </c>
      <c r="P840" s="8" t="s">
        <v>777</v>
      </c>
    </row>
    <row r="841" spans="1:16" ht="33.950000000000003" customHeight="1">
      <c r="A841" s="5" t="s">
        <v>769</v>
      </c>
      <c r="B841" s="5" t="s">
        <v>73</v>
      </c>
      <c r="C841" s="9" t="s">
        <v>770</v>
      </c>
      <c r="D841" s="5">
        <v>2</v>
      </c>
      <c r="E841" s="9" t="s">
        <v>3191</v>
      </c>
      <c r="F841" s="5" t="s">
        <v>2513</v>
      </c>
      <c r="G841" s="5" t="s">
        <v>3177</v>
      </c>
      <c r="H841" s="5" t="s">
        <v>3178</v>
      </c>
      <c r="I841" s="9" t="s">
        <v>4165</v>
      </c>
      <c r="J841" s="5">
        <v>2026</v>
      </c>
      <c r="K841" s="5">
        <v>30</v>
      </c>
      <c r="L841" s="9" t="s">
        <v>4040</v>
      </c>
      <c r="M841" s="5"/>
      <c r="N841" s="9" t="s">
        <v>4170</v>
      </c>
      <c r="O841" s="9" t="str">
        <f t="shared" si="79"/>
        <v>PDFを開く</v>
      </c>
      <c r="P841" s="9" t="s">
        <v>777</v>
      </c>
    </row>
    <row r="842" spans="1:16" ht="33.950000000000003" customHeight="1">
      <c r="A842" s="2" t="s">
        <v>769</v>
      </c>
      <c r="B842" s="2" t="s">
        <v>73</v>
      </c>
      <c r="C842" s="8" t="s">
        <v>770</v>
      </c>
      <c r="D842" s="2">
        <v>2</v>
      </c>
      <c r="E842" s="8" t="s">
        <v>3191</v>
      </c>
      <c r="F842" s="2" t="s">
        <v>2513</v>
      </c>
      <c r="G842" s="2" t="s">
        <v>3177</v>
      </c>
      <c r="H842" s="2" t="s">
        <v>3178</v>
      </c>
      <c r="I842" s="8" t="s">
        <v>4167</v>
      </c>
      <c r="J842" s="2">
        <v>2029</v>
      </c>
      <c r="K842" s="2">
        <v>80</v>
      </c>
      <c r="L842" s="8" t="s">
        <v>3252</v>
      </c>
      <c r="M842" s="2"/>
      <c r="N842" s="8" t="s">
        <v>4170</v>
      </c>
      <c r="O842" s="8" t="str">
        <f t="shared" si="79"/>
        <v>PDFを開く</v>
      </c>
      <c r="P842" s="8" t="s">
        <v>777</v>
      </c>
    </row>
    <row r="843" spans="1:16" ht="33.950000000000003" customHeight="1">
      <c r="A843" s="5" t="s">
        <v>778</v>
      </c>
      <c r="B843" s="5" t="s">
        <v>73</v>
      </c>
      <c r="C843" s="9" t="s">
        <v>779</v>
      </c>
      <c r="D843" s="5">
        <v>2</v>
      </c>
      <c r="E843" s="9" t="s">
        <v>3176</v>
      </c>
      <c r="F843" s="5" t="s">
        <v>86</v>
      </c>
      <c r="G843" s="5" t="s">
        <v>3177</v>
      </c>
      <c r="H843" s="5" t="s">
        <v>3178</v>
      </c>
      <c r="I843" s="9" t="s">
        <v>3179</v>
      </c>
      <c r="J843" s="5">
        <v>2026</v>
      </c>
      <c r="K843" s="5">
        <v>1610</v>
      </c>
      <c r="L843" s="9" t="s">
        <v>4171</v>
      </c>
      <c r="M843" s="5">
        <v>7.6</v>
      </c>
      <c r="N843" s="9" t="s">
        <v>4172</v>
      </c>
      <c r="O843" s="9" t="str">
        <f t="shared" ref="O843:O851" si="80">HYPERLINK("https://seichotoushi-hojo.jp/assets/pdf/koufu/outline_22.pdf","PDFを開く")</f>
        <v>PDFを開く</v>
      </c>
      <c r="P843" s="9" t="s">
        <v>783</v>
      </c>
    </row>
    <row r="844" spans="1:16" ht="33.950000000000003" customHeight="1">
      <c r="A844" s="2" t="s">
        <v>778</v>
      </c>
      <c r="B844" s="2" t="s">
        <v>73</v>
      </c>
      <c r="C844" s="8" t="s">
        <v>779</v>
      </c>
      <c r="D844" s="2">
        <v>2</v>
      </c>
      <c r="E844" s="8" t="s">
        <v>3176</v>
      </c>
      <c r="F844" s="2" t="s">
        <v>86</v>
      </c>
      <c r="G844" s="2" t="s">
        <v>3177</v>
      </c>
      <c r="H844" s="2" t="s">
        <v>3178</v>
      </c>
      <c r="I844" s="8" t="s">
        <v>3182</v>
      </c>
      <c r="J844" s="2">
        <v>2029</v>
      </c>
      <c r="K844" s="2">
        <v>2004</v>
      </c>
      <c r="L844" s="8" t="s">
        <v>4173</v>
      </c>
      <c r="M844" s="2">
        <v>7.6</v>
      </c>
      <c r="N844" s="8" t="s">
        <v>4172</v>
      </c>
      <c r="O844" s="8" t="str">
        <f t="shared" si="80"/>
        <v>PDFを開く</v>
      </c>
      <c r="P844" s="8" t="s">
        <v>783</v>
      </c>
    </row>
    <row r="845" spans="1:16" ht="33.950000000000003" customHeight="1">
      <c r="A845" s="5" t="s">
        <v>778</v>
      </c>
      <c r="B845" s="5" t="s">
        <v>73</v>
      </c>
      <c r="C845" s="9" t="s">
        <v>779</v>
      </c>
      <c r="D845" s="5">
        <v>2</v>
      </c>
      <c r="E845" s="9" t="s">
        <v>3184</v>
      </c>
      <c r="F845" s="5" t="s">
        <v>86</v>
      </c>
      <c r="G845" s="5" t="s">
        <v>3177</v>
      </c>
      <c r="H845" s="5" t="s">
        <v>3178</v>
      </c>
      <c r="I845" s="9" t="s">
        <v>3179</v>
      </c>
      <c r="J845" s="5">
        <v>2026</v>
      </c>
      <c r="K845" s="5">
        <v>577</v>
      </c>
      <c r="L845" s="9" t="s">
        <v>3674</v>
      </c>
      <c r="M845" s="5">
        <v>4.8</v>
      </c>
      <c r="N845" s="9" t="s">
        <v>4174</v>
      </c>
      <c r="O845" s="9" t="str">
        <f t="shared" si="80"/>
        <v>PDFを開く</v>
      </c>
      <c r="P845" s="9" t="s">
        <v>783</v>
      </c>
    </row>
    <row r="846" spans="1:16" ht="33.950000000000003" customHeight="1">
      <c r="A846" s="2" t="s">
        <v>778</v>
      </c>
      <c r="B846" s="2" t="s">
        <v>73</v>
      </c>
      <c r="C846" s="8" t="s">
        <v>779</v>
      </c>
      <c r="D846" s="2">
        <v>2</v>
      </c>
      <c r="E846" s="8" t="s">
        <v>3184</v>
      </c>
      <c r="F846" s="2" t="s">
        <v>86</v>
      </c>
      <c r="G846" s="2" t="s">
        <v>3177</v>
      </c>
      <c r="H846" s="2" t="s">
        <v>3178</v>
      </c>
      <c r="I846" s="8" t="s">
        <v>3182</v>
      </c>
      <c r="J846" s="2">
        <v>2029</v>
      </c>
      <c r="K846" s="2">
        <v>664</v>
      </c>
      <c r="L846" s="8" t="s">
        <v>4175</v>
      </c>
      <c r="M846" s="2">
        <v>4.8</v>
      </c>
      <c r="N846" s="8" t="s">
        <v>4174</v>
      </c>
      <c r="O846" s="8" t="str">
        <f t="shared" si="80"/>
        <v>PDFを開く</v>
      </c>
      <c r="P846" s="8" t="s">
        <v>783</v>
      </c>
    </row>
    <row r="847" spans="1:16" ht="33.950000000000003" customHeight="1">
      <c r="A847" s="5" t="s">
        <v>778</v>
      </c>
      <c r="B847" s="5" t="s">
        <v>73</v>
      </c>
      <c r="C847" s="9" t="s">
        <v>779</v>
      </c>
      <c r="D847" s="5">
        <v>2</v>
      </c>
      <c r="E847" s="9" t="s">
        <v>3188</v>
      </c>
      <c r="F847" s="5" t="s">
        <v>86</v>
      </c>
      <c r="G847" s="19" t="s">
        <v>3189</v>
      </c>
      <c r="H847" s="5" t="s">
        <v>3178</v>
      </c>
      <c r="I847" s="9"/>
      <c r="J847" s="5"/>
      <c r="K847" s="5"/>
      <c r="L847" s="9"/>
      <c r="M847" s="5">
        <v>4</v>
      </c>
      <c r="N847" s="9" t="s">
        <v>4176</v>
      </c>
      <c r="O847" s="9" t="str">
        <f t="shared" si="80"/>
        <v>PDFを開く</v>
      </c>
      <c r="P847" s="9" t="s">
        <v>783</v>
      </c>
    </row>
    <row r="848" spans="1:16" ht="33.950000000000003" customHeight="1">
      <c r="A848" s="2" t="s">
        <v>778</v>
      </c>
      <c r="B848" s="2" t="s">
        <v>73</v>
      </c>
      <c r="C848" s="8" t="s">
        <v>779</v>
      </c>
      <c r="D848" s="2">
        <v>2</v>
      </c>
      <c r="E848" s="8" t="s">
        <v>3191</v>
      </c>
      <c r="F848" s="2" t="s">
        <v>2513</v>
      </c>
      <c r="G848" s="2" t="s">
        <v>3177</v>
      </c>
      <c r="H848" s="2" t="s">
        <v>3178</v>
      </c>
      <c r="I848" s="8" t="s">
        <v>3179</v>
      </c>
      <c r="J848" s="2">
        <v>2026</v>
      </c>
      <c r="K848" s="2">
        <v>376</v>
      </c>
      <c r="L848" s="8" t="s">
        <v>4177</v>
      </c>
      <c r="M848" s="2"/>
      <c r="N848" s="8" t="s">
        <v>4178</v>
      </c>
      <c r="O848" s="8" t="str">
        <f t="shared" si="80"/>
        <v>PDFを開く</v>
      </c>
      <c r="P848" s="8" t="s">
        <v>783</v>
      </c>
    </row>
    <row r="849" spans="1:16" ht="33.950000000000003" customHeight="1">
      <c r="A849" s="5" t="s">
        <v>778</v>
      </c>
      <c r="B849" s="5" t="s">
        <v>73</v>
      </c>
      <c r="C849" s="9" t="s">
        <v>779</v>
      </c>
      <c r="D849" s="5">
        <v>2</v>
      </c>
      <c r="E849" s="9" t="s">
        <v>3191</v>
      </c>
      <c r="F849" s="5" t="s">
        <v>2513</v>
      </c>
      <c r="G849" s="5" t="s">
        <v>3177</v>
      </c>
      <c r="H849" s="5" t="s">
        <v>3178</v>
      </c>
      <c r="I849" s="9" t="s">
        <v>3182</v>
      </c>
      <c r="J849" s="5">
        <v>2029</v>
      </c>
      <c r="K849" s="5">
        <v>407</v>
      </c>
      <c r="L849" s="9" t="s">
        <v>3956</v>
      </c>
      <c r="M849" s="5"/>
      <c r="N849" s="9" t="s">
        <v>4178</v>
      </c>
      <c r="O849" s="9" t="str">
        <f t="shared" si="80"/>
        <v>PDFを開く</v>
      </c>
      <c r="P849" s="9" t="s">
        <v>783</v>
      </c>
    </row>
    <row r="850" spans="1:16" ht="33.950000000000003" customHeight="1">
      <c r="A850" s="2" t="s">
        <v>778</v>
      </c>
      <c r="B850" s="2" t="s">
        <v>73</v>
      </c>
      <c r="C850" s="8" t="s">
        <v>779</v>
      </c>
      <c r="D850" s="2">
        <v>2</v>
      </c>
      <c r="E850" s="8" t="s">
        <v>3188</v>
      </c>
      <c r="F850" s="2" t="s">
        <v>86</v>
      </c>
      <c r="G850" s="2" t="s">
        <v>3177</v>
      </c>
      <c r="H850" s="2"/>
      <c r="I850" s="8" t="s">
        <v>4179</v>
      </c>
      <c r="J850" s="2">
        <v>2026</v>
      </c>
      <c r="K850" s="2"/>
      <c r="L850" s="8" t="s">
        <v>3196</v>
      </c>
      <c r="M850" s="2">
        <v>4</v>
      </c>
      <c r="N850" s="8" t="s">
        <v>4180</v>
      </c>
      <c r="O850" s="8" t="str">
        <f t="shared" si="80"/>
        <v>PDFを開く</v>
      </c>
      <c r="P850" s="8" t="s">
        <v>783</v>
      </c>
    </row>
    <row r="851" spans="1:16" ht="33.950000000000003" customHeight="1">
      <c r="A851" s="5" t="s">
        <v>778</v>
      </c>
      <c r="B851" s="5" t="s">
        <v>73</v>
      </c>
      <c r="C851" s="9" t="s">
        <v>779</v>
      </c>
      <c r="D851" s="5">
        <v>2</v>
      </c>
      <c r="E851" s="9" t="s">
        <v>3188</v>
      </c>
      <c r="F851" s="5" t="s">
        <v>86</v>
      </c>
      <c r="G851" s="5" t="s">
        <v>3177</v>
      </c>
      <c r="H851" s="5"/>
      <c r="I851" s="9" t="s">
        <v>4181</v>
      </c>
      <c r="J851" s="5">
        <v>2029</v>
      </c>
      <c r="K851" s="5"/>
      <c r="L851" s="9" t="s">
        <v>4182</v>
      </c>
      <c r="M851" s="5">
        <v>4</v>
      </c>
      <c r="N851" s="9" t="s">
        <v>4180</v>
      </c>
      <c r="O851" s="9" t="str">
        <f t="shared" si="80"/>
        <v>PDFを開く</v>
      </c>
      <c r="P851" s="9" t="s">
        <v>783</v>
      </c>
    </row>
    <row r="852" spans="1:16" ht="33.950000000000003" customHeight="1">
      <c r="A852" s="2" t="s">
        <v>784</v>
      </c>
      <c r="B852" s="2" t="s">
        <v>73</v>
      </c>
      <c r="C852" s="8" t="s">
        <v>785</v>
      </c>
      <c r="D852" s="2">
        <v>2</v>
      </c>
      <c r="E852" s="8" t="s">
        <v>3176</v>
      </c>
      <c r="F852" s="2" t="s">
        <v>86</v>
      </c>
      <c r="G852" s="2" t="s">
        <v>3177</v>
      </c>
      <c r="H852" s="2" t="s">
        <v>3178</v>
      </c>
      <c r="I852" s="8" t="s">
        <v>3694</v>
      </c>
      <c r="J852" s="2">
        <v>2027</v>
      </c>
      <c r="K852" s="2">
        <v>2909</v>
      </c>
      <c r="L852" s="8" t="s">
        <v>4183</v>
      </c>
      <c r="M852" s="2">
        <v>24.36</v>
      </c>
      <c r="N852" s="8" t="s">
        <v>4184</v>
      </c>
      <c r="O852" s="8" t="str">
        <f t="shared" ref="O852:O858" si="81">HYPERLINK("https://seichotoushi-hojo.jp/assets/pdf/koufu/outline_23.pdf","PDFを開く")</f>
        <v>PDFを開く</v>
      </c>
      <c r="P852" s="8" t="s">
        <v>791</v>
      </c>
    </row>
    <row r="853" spans="1:16" ht="33.950000000000003" customHeight="1">
      <c r="A853" s="5" t="s">
        <v>784</v>
      </c>
      <c r="B853" s="5" t="s">
        <v>73</v>
      </c>
      <c r="C853" s="9" t="s">
        <v>785</v>
      </c>
      <c r="D853" s="5">
        <v>2</v>
      </c>
      <c r="E853" s="9" t="s">
        <v>3176</v>
      </c>
      <c r="F853" s="5" t="s">
        <v>86</v>
      </c>
      <c r="G853" s="5" t="s">
        <v>3177</v>
      </c>
      <c r="H853" s="5" t="s">
        <v>3178</v>
      </c>
      <c r="I853" s="9" t="s">
        <v>3697</v>
      </c>
      <c r="J853" s="5">
        <v>2030</v>
      </c>
      <c r="K853" s="5">
        <v>5595</v>
      </c>
      <c r="L853" s="9" t="s">
        <v>4185</v>
      </c>
      <c r="M853" s="5">
        <v>24.36</v>
      </c>
      <c r="N853" s="9" t="s">
        <v>4184</v>
      </c>
      <c r="O853" s="9" t="str">
        <f t="shared" si="81"/>
        <v>PDFを開く</v>
      </c>
      <c r="P853" s="9" t="s">
        <v>791</v>
      </c>
    </row>
    <row r="854" spans="1:16" ht="33.950000000000003" customHeight="1">
      <c r="A854" s="2" t="s">
        <v>784</v>
      </c>
      <c r="B854" s="2" t="s">
        <v>73</v>
      </c>
      <c r="C854" s="8" t="s">
        <v>785</v>
      </c>
      <c r="D854" s="2">
        <v>2</v>
      </c>
      <c r="E854" s="8" t="s">
        <v>3184</v>
      </c>
      <c r="F854" s="2" t="s">
        <v>86</v>
      </c>
      <c r="G854" s="2" t="s">
        <v>3177</v>
      </c>
      <c r="H854" s="2" t="s">
        <v>3178</v>
      </c>
      <c r="I854" s="8" t="s">
        <v>3694</v>
      </c>
      <c r="J854" s="2">
        <v>2027</v>
      </c>
      <c r="K854" s="2">
        <v>500</v>
      </c>
      <c r="L854" s="8" t="s">
        <v>4108</v>
      </c>
      <c r="M854" s="2">
        <v>3.3</v>
      </c>
      <c r="N854" s="8" t="s">
        <v>4186</v>
      </c>
      <c r="O854" s="8" t="str">
        <f t="shared" si="81"/>
        <v>PDFを開く</v>
      </c>
      <c r="P854" s="8" t="s">
        <v>791</v>
      </c>
    </row>
    <row r="855" spans="1:16" ht="33.950000000000003" customHeight="1">
      <c r="A855" s="5" t="s">
        <v>784</v>
      </c>
      <c r="B855" s="5" t="s">
        <v>73</v>
      </c>
      <c r="C855" s="9" t="s">
        <v>785</v>
      </c>
      <c r="D855" s="5">
        <v>2</v>
      </c>
      <c r="E855" s="9" t="s">
        <v>3184</v>
      </c>
      <c r="F855" s="5" t="s">
        <v>86</v>
      </c>
      <c r="G855" s="5" t="s">
        <v>3177</v>
      </c>
      <c r="H855" s="5" t="s">
        <v>3178</v>
      </c>
      <c r="I855" s="9" t="s">
        <v>3697</v>
      </c>
      <c r="J855" s="5">
        <v>2030</v>
      </c>
      <c r="K855" s="5">
        <v>551</v>
      </c>
      <c r="L855" s="9" t="s">
        <v>3266</v>
      </c>
      <c r="M855" s="5">
        <v>3.3</v>
      </c>
      <c r="N855" s="9" t="s">
        <v>4186</v>
      </c>
      <c r="O855" s="9" t="str">
        <f t="shared" si="81"/>
        <v>PDFを開く</v>
      </c>
      <c r="P855" s="9" t="s">
        <v>791</v>
      </c>
    </row>
    <row r="856" spans="1:16" ht="33.950000000000003" customHeight="1">
      <c r="A856" s="2" t="s">
        <v>784</v>
      </c>
      <c r="B856" s="2" t="s">
        <v>73</v>
      </c>
      <c r="C856" s="8" t="s">
        <v>785</v>
      </c>
      <c r="D856" s="2">
        <v>2</v>
      </c>
      <c r="E856" s="8" t="s">
        <v>3188</v>
      </c>
      <c r="F856" s="2" t="s">
        <v>86</v>
      </c>
      <c r="G856" s="19" t="s">
        <v>3189</v>
      </c>
      <c r="H856" s="2" t="s">
        <v>3178</v>
      </c>
      <c r="I856" s="8"/>
      <c r="J856" s="2"/>
      <c r="K856" s="2"/>
      <c r="L856" s="8"/>
      <c r="M856" s="2"/>
      <c r="N856" s="8" t="s">
        <v>3488</v>
      </c>
      <c r="O856" s="8" t="str">
        <f t="shared" si="81"/>
        <v>PDFを開く</v>
      </c>
      <c r="P856" s="8" t="s">
        <v>791</v>
      </c>
    </row>
    <row r="857" spans="1:16" ht="33.950000000000003" customHeight="1">
      <c r="A857" s="5" t="s">
        <v>784</v>
      </c>
      <c r="B857" s="5" t="s">
        <v>73</v>
      </c>
      <c r="C857" s="9" t="s">
        <v>785</v>
      </c>
      <c r="D857" s="5">
        <v>2</v>
      </c>
      <c r="E857" s="9" t="s">
        <v>3191</v>
      </c>
      <c r="F857" s="5" t="s">
        <v>2513</v>
      </c>
      <c r="G857" s="5" t="s">
        <v>3177</v>
      </c>
      <c r="H857" s="5" t="s">
        <v>3178</v>
      </c>
      <c r="I857" s="9" t="s">
        <v>3694</v>
      </c>
      <c r="J857" s="5">
        <v>2027</v>
      </c>
      <c r="K857" s="5">
        <v>25</v>
      </c>
      <c r="L857" s="9" t="s">
        <v>3885</v>
      </c>
      <c r="M857" s="5"/>
      <c r="N857" s="9" t="s">
        <v>4187</v>
      </c>
      <c r="O857" s="9" t="str">
        <f t="shared" si="81"/>
        <v>PDFを開く</v>
      </c>
      <c r="P857" s="9" t="s">
        <v>791</v>
      </c>
    </row>
    <row r="858" spans="1:16" ht="33.950000000000003" customHeight="1">
      <c r="A858" s="2" t="s">
        <v>784</v>
      </c>
      <c r="B858" s="2" t="s">
        <v>73</v>
      </c>
      <c r="C858" s="8" t="s">
        <v>785</v>
      </c>
      <c r="D858" s="2">
        <v>2</v>
      </c>
      <c r="E858" s="8" t="s">
        <v>3191</v>
      </c>
      <c r="F858" s="2" t="s">
        <v>2513</v>
      </c>
      <c r="G858" s="2" t="s">
        <v>3177</v>
      </c>
      <c r="H858" s="2" t="s">
        <v>3178</v>
      </c>
      <c r="I858" s="8" t="s">
        <v>3697</v>
      </c>
      <c r="J858" s="2">
        <v>2030</v>
      </c>
      <c r="K858" s="2">
        <v>65</v>
      </c>
      <c r="L858" s="8" t="s">
        <v>3642</v>
      </c>
      <c r="M858" s="2"/>
      <c r="N858" s="8" t="s">
        <v>4187</v>
      </c>
      <c r="O858" s="8" t="str">
        <f t="shared" si="81"/>
        <v>PDFを開く</v>
      </c>
      <c r="P858" s="8" t="s">
        <v>791</v>
      </c>
    </row>
    <row r="859" spans="1:16" ht="33.950000000000003" customHeight="1">
      <c r="A859" s="5" t="s">
        <v>792</v>
      </c>
      <c r="B859" s="5" t="s">
        <v>73</v>
      </c>
      <c r="C859" s="9" t="s">
        <v>793</v>
      </c>
      <c r="D859" s="5">
        <v>2</v>
      </c>
      <c r="E859" s="9" t="s">
        <v>3176</v>
      </c>
      <c r="F859" s="5" t="s">
        <v>86</v>
      </c>
      <c r="G859" s="5" t="s">
        <v>3177</v>
      </c>
      <c r="H859" s="5" t="s">
        <v>3178</v>
      </c>
      <c r="I859" s="9" t="s">
        <v>3179</v>
      </c>
      <c r="J859" s="5">
        <v>2026</v>
      </c>
      <c r="K859" s="5">
        <v>1360</v>
      </c>
      <c r="L859" s="9" t="s">
        <v>4188</v>
      </c>
      <c r="M859" s="5">
        <v>18</v>
      </c>
      <c r="N859" s="9" t="s">
        <v>4189</v>
      </c>
      <c r="O859" s="9" t="str">
        <f t="shared" ref="O859:O865" si="82">HYPERLINK("https://seichotoushi-hojo.jp/assets/pdf/koufu/outline_24.pdf","PDFを開く")</f>
        <v>PDFを開く</v>
      </c>
      <c r="P859" s="9" t="s">
        <v>799</v>
      </c>
    </row>
    <row r="860" spans="1:16" ht="33.950000000000003" customHeight="1">
      <c r="A860" s="2" t="s">
        <v>792</v>
      </c>
      <c r="B860" s="2" t="s">
        <v>73</v>
      </c>
      <c r="C860" s="8" t="s">
        <v>793</v>
      </c>
      <c r="D860" s="2">
        <v>2</v>
      </c>
      <c r="E860" s="8" t="s">
        <v>3176</v>
      </c>
      <c r="F860" s="2" t="s">
        <v>86</v>
      </c>
      <c r="G860" s="2" t="s">
        <v>3177</v>
      </c>
      <c r="H860" s="2" t="s">
        <v>3178</v>
      </c>
      <c r="I860" s="8" t="s">
        <v>3182</v>
      </c>
      <c r="J860" s="2">
        <v>2029</v>
      </c>
      <c r="K860" s="2">
        <v>2232</v>
      </c>
      <c r="L860" s="8" t="s">
        <v>4190</v>
      </c>
      <c r="M860" s="2">
        <v>18</v>
      </c>
      <c r="N860" s="8" t="s">
        <v>4189</v>
      </c>
      <c r="O860" s="8" t="str">
        <f t="shared" si="82"/>
        <v>PDFを開く</v>
      </c>
      <c r="P860" s="8" t="s">
        <v>799</v>
      </c>
    </row>
    <row r="861" spans="1:16" ht="33.950000000000003" customHeight="1">
      <c r="A861" s="5" t="s">
        <v>792</v>
      </c>
      <c r="B861" s="5" t="s">
        <v>73</v>
      </c>
      <c r="C861" s="9" t="s">
        <v>793</v>
      </c>
      <c r="D861" s="5">
        <v>2</v>
      </c>
      <c r="E861" s="9" t="s">
        <v>3184</v>
      </c>
      <c r="F861" s="5" t="s">
        <v>86</v>
      </c>
      <c r="G861" s="5" t="s">
        <v>3177</v>
      </c>
      <c r="H861" s="5" t="s">
        <v>3178</v>
      </c>
      <c r="I861" s="9" t="s">
        <v>3179</v>
      </c>
      <c r="J861" s="5">
        <v>2026</v>
      </c>
      <c r="K861" s="5">
        <v>552</v>
      </c>
      <c r="L861" s="9" t="s">
        <v>4191</v>
      </c>
      <c r="M861" s="5">
        <v>5</v>
      </c>
      <c r="N861" s="9" t="s">
        <v>4192</v>
      </c>
      <c r="O861" s="9" t="str">
        <f t="shared" si="82"/>
        <v>PDFを開く</v>
      </c>
      <c r="P861" s="9" t="s">
        <v>799</v>
      </c>
    </row>
    <row r="862" spans="1:16" ht="33.950000000000003" customHeight="1">
      <c r="A862" s="2" t="s">
        <v>792</v>
      </c>
      <c r="B862" s="2" t="s">
        <v>73</v>
      </c>
      <c r="C862" s="8" t="s">
        <v>793</v>
      </c>
      <c r="D862" s="2">
        <v>2</v>
      </c>
      <c r="E862" s="8" t="s">
        <v>3184</v>
      </c>
      <c r="F862" s="2" t="s">
        <v>86</v>
      </c>
      <c r="G862" s="2" t="s">
        <v>3177</v>
      </c>
      <c r="H862" s="2" t="s">
        <v>3178</v>
      </c>
      <c r="I862" s="8" t="s">
        <v>3182</v>
      </c>
      <c r="J862" s="2">
        <v>2029</v>
      </c>
      <c r="K862" s="2">
        <v>639</v>
      </c>
      <c r="L862" s="8" t="s">
        <v>4193</v>
      </c>
      <c r="M862" s="2">
        <v>5</v>
      </c>
      <c r="N862" s="8" t="s">
        <v>4192</v>
      </c>
      <c r="O862" s="8" t="str">
        <f t="shared" si="82"/>
        <v>PDFを開く</v>
      </c>
      <c r="P862" s="8" t="s">
        <v>799</v>
      </c>
    </row>
    <row r="863" spans="1:16" ht="33.950000000000003" customHeight="1">
      <c r="A863" s="5" t="s">
        <v>792</v>
      </c>
      <c r="B863" s="5" t="s">
        <v>73</v>
      </c>
      <c r="C863" s="9" t="s">
        <v>793</v>
      </c>
      <c r="D863" s="5">
        <v>2</v>
      </c>
      <c r="E863" s="9" t="s">
        <v>3188</v>
      </c>
      <c r="F863" s="5" t="s">
        <v>86</v>
      </c>
      <c r="G863" s="19" t="s">
        <v>3189</v>
      </c>
      <c r="H863" s="5" t="s">
        <v>3178</v>
      </c>
      <c r="I863" s="9"/>
      <c r="J863" s="5"/>
      <c r="K863" s="5"/>
      <c r="L863" s="9"/>
      <c r="M863" s="5"/>
      <c r="N863" s="9" t="s">
        <v>4194</v>
      </c>
      <c r="O863" s="9" t="str">
        <f t="shared" si="82"/>
        <v>PDFを開く</v>
      </c>
      <c r="P863" s="9" t="s">
        <v>799</v>
      </c>
    </row>
    <row r="864" spans="1:16" ht="33.950000000000003" customHeight="1">
      <c r="A864" s="2" t="s">
        <v>792</v>
      </c>
      <c r="B864" s="2" t="s">
        <v>73</v>
      </c>
      <c r="C864" s="8" t="s">
        <v>793</v>
      </c>
      <c r="D864" s="2">
        <v>2</v>
      </c>
      <c r="E864" s="8" t="s">
        <v>3191</v>
      </c>
      <c r="F864" s="2" t="s">
        <v>2513</v>
      </c>
      <c r="G864" s="2" t="s">
        <v>3177</v>
      </c>
      <c r="H864" s="2" t="s">
        <v>3178</v>
      </c>
      <c r="I864" s="8" t="s">
        <v>3179</v>
      </c>
      <c r="J864" s="2">
        <v>2026</v>
      </c>
      <c r="K864" s="2">
        <v>540</v>
      </c>
      <c r="L864" s="8" t="s">
        <v>3875</v>
      </c>
      <c r="M864" s="2"/>
      <c r="N864" s="8" t="s">
        <v>4195</v>
      </c>
      <c r="O864" s="8" t="str">
        <f t="shared" si="82"/>
        <v>PDFを開く</v>
      </c>
      <c r="P864" s="8" t="s">
        <v>799</v>
      </c>
    </row>
    <row r="865" spans="1:16" ht="33.950000000000003" customHeight="1">
      <c r="A865" s="5" t="s">
        <v>792</v>
      </c>
      <c r="B865" s="5" t="s">
        <v>73</v>
      </c>
      <c r="C865" s="9" t="s">
        <v>793</v>
      </c>
      <c r="D865" s="5">
        <v>2</v>
      </c>
      <c r="E865" s="9" t="s">
        <v>3191</v>
      </c>
      <c r="F865" s="5" t="s">
        <v>2513</v>
      </c>
      <c r="G865" s="5" t="s">
        <v>3177</v>
      </c>
      <c r="H865" s="5" t="s">
        <v>3178</v>
      </c>
      <c r="I865" s="9" t="s">
        <v>3182</v>
      </c>
      <c r="J865" s="5">
        <v>2029</v>
      </c>
      <c r="K865" s="5">
        <v>540</v>
      </c>
      <c r="L865" s="9" t="s">
        <v>3875</v>
      </c>
      <c r="M865" s="5"/>
      <c r="N865" s="9" t="s">
        <v>4195</v>
      </c>
      <c r="O865" s="9" t="str">
        <f t="shared" si="82"/>
        <v>PDFを開く</v>
      </c>
      <c r="P865" s="9" t="s">
        <v>799</v>
      </c>
    </row>
    <row r="866" spans="1:16" ht="33.950000000000003" customHeight="1">
      <c r="A866" s="2" t="s">
        <v>800</v>
      </c>
      <c r="B866" s="2" t="s">
        <v>73</v>
      </c>
      <c r="C866" s="8" t="s">
        <v>801</v>
      </c>
      <c r="D866" s="2">
        <v>2</v>
      </c>
      <c r="E866" s="8" t="s">
        <v>3176</v>
      </c>
      <c r="F866" s="2" t="s">
        <v>86</v>
      </c>
      <c r="G866" s="2" t="s">
        <v>3177</v>
      </c>
      <c r="H866" s="2" t="s">
        <v>3178</v>
      </c>
      <c r="I866" s="8" t="s">
        <v>3179</v>
      </c>
      <c r="J866" s="2">
        <v>2026</v>
      </c>
      <c r="K866" s="2">
        <v>1846</v>
      </c>
      <c r="L866" s="8" t="s">
        <v>4196</v>
      </c>
      <c r="M866" s="2">
        <v>10.19</v>
      </c>
      <c r="N866" s="8" t="s">
        <v>4197</v>
      </c>
      <c r="O866" s="8" t="str">
        <f t="shared" ref="O866:O872" si="83">HYPERLINK("https://seichotoushi-hojo.jp/assets/pdf/koufu/outline_25.pdf","PDFを開く")</f>
        <v>PDFを開く</v>
      </c>
      <c r="P866" s="8" t="s">
        <v>807</v>
      </c>
    </row>
    <row r="867" spans="1:16" ht="33.950000000000003" customHeight="1">
      <c r="A867" s="5" t="s">
        <v>800</v>
      </c>
      <c r="B867" s="5" t="s">
        <v>73</v>
      </c>
      <c r="C867" s="9" t="s">
        <v>801</v>
      </c>
      <c r="D867" s="5">
        <v>2</v>
      </c>
      <c r="E867" s="9" t="s">
        <v>3176</v>
      </c>
      <c r="F867" s="5" t="s">
        <v>86</v>
      </c>
      <c r="G867" s="5" t="s">
        <v>3177</v>
      </c>
      <c r="H867" s="5" t="s">
        <v>3178</v>
      </c>
      <c r="I867" s="9" t="s">
        <v>3182</v>
      </c>
      <c r="J867" s="5">
        <v>2029</v>
      </c>
      <c r="K867" s="5">
        <v>2467</v>
      </c>
      <c r="L867" s="9" t="s">
        <v>4198</v>
      </c>
      <c r="M867" s="5">
        <v>10.19</v>
      </c>
      <c r="N867" s="9" t="s">
        <v>4197</v>
      </c>
      <c r="O867" s="9" t="str">
        <f t="shared" si="83"/>
        <v>PDFを開く</v>
      </c>
      <c r="P867" s="9" t="s">
        <v>807</v>
      </c>
    </row>
    <row r="868" spans="1:16" ht="33.950000000000003" customHeight="1">
      <c r="A868" s="2" t="s">
        <v>800</v>
      </c>
      <c r="B868" s="2" t="s">
        <v>73</v>
      </c>
      <c r="C868" s="8" t="s">
        <v>801</v>
      </c>
      <c r="D868" s="2">
        <v>2</v>
      </c>
      <c r="E868" s="8" t="s">
        <v>3184</v>
      </c>
      <c r="F868" s="2" t="s">
        <v>86</v>
      </c>
      <c r="G868" s="2" t="s">
        <v>3177</v>
      </c>
      <c r="H868" s="2" t="s">
        <v>3178</v>
      </c>
      <c r="I868" s="8" t="s">
        <v>3179</v>
      </c>
      <c r="J868" s="2">
        <v>2026</v>
      </c>
      <c r="K868" s="2">
        <v>471</v>
      </c>
      <c r="L868" s="8" t="s">
        <v>3246</v>
      </c>
      <c r="M868" s="2">
        <v>5</v>
      </c>
      <c r="N868" s="8" t="s">
        <v>4199</v>
      </c>
      <c r="O868" s="8" t="str">
        <f t="shared" si="83"/>
        <v>PDFを開く</v>
      </c>
      <c r="P868" s="8" t="s">
        <v>807</v>
      </c>
    </row>
    <row r="869" spans="1:16" ht="33.950000000000003" customHeight="1">
      <c r="A869" s="5" t="s">
        <v>800</v>
      </c>
      <c r="B869" s="5" t="s">
        <v>73</v>
      </c>
      <c r="C869" s="9" t="s">
        <v>801</v>
      </c>
      <c r="D869" s="5">
        <v>2</v>
      </c>
      <c r="E869" s="9" t="s">
        <v>3184</v>
      </c>
      <c r="F869" s="5" t="s">
        <v>86</v>
      </c>
      <c r="G869" s="5" t="s">
        <v>3177</v>
      </c>
      <c r="H869" s="5" t="s">
        <v>3178</v>
      </c>
      <c r="I869" s="9" t="s">
        <v>3182</v>
      </c>
      <c r="J869" s="5">
        <v>2029</v>
      </c>
      <c r="K869" s="5">
        <v>545</v>
      </c>
      <c r="L869" s="9" t="s">
        <v>3490</v>
      </c>
      <c r="M869" s="5">
        <v>5</v>
      </c>
      <c r="N869" s="9" t="s">
        <v>4199</v>
      </c>
      <c r="O869" s="9" t="str">
        <f t="shared" si="83"/>
        <v>PDFを開く</v>
      </c>
      <c r="P869" s="9" t="s">
        <v>807</v>
      </c>
    </row>
    <row r="870" spans="1:16" ht="33.950000000000003" customHeight="1">
      <c r="A870" s="2" t="s">
        <v>800</v>
      </c>
      <c r="B870" s="2" t="s">
        <v>73</v>
      </c>
      <c r="C870" s="8" t="s">
        <v>801</v>
      </c>
      <c r="D870" s="2">
        <v>2</v>
      </c>
      <c r="E870" s="8" t="s">
        <v>3188</v>
      </c>
      <c r="F870" s="2" t="s">
        <v>86</v>
      </c>
      <c r="G870" s="19" t="s">
        <v>3189</v>
      </c>
      <c r="H870" s="2" t="s">
        <v>3178</v>
      </c>
      <c r="I870" s="8"/>
      <c r="J870" s="2"/>
      <c r="K870" s="2"/>
      <c r="L870" s="8"/>
      <c r="M870" s="2"/>
      <c r="N870" s="8" t="s">
        <v>4200</v>
      </c>
      <c r="O870" s="8" t="str">
        <f t="shared" si="83"/>
        <v>PDFを開く</v>
      </c>
      <c r="P870" s="8" t="s">
        <v>807</v>
      </c>
    </row>
    <row r="871" spans="1:16" ht="33.950000000000003" customHeight="1">
      <c r="A871" s="5" t="s">
        <v>800</v>
      </c>
      <c r="B871" s="5" t="s">
        <v>73</v>
      </c>
      <c r="C871" s="9" t="s">
        <v>801</v>
      </c>
      <c r="D871" s="5">
        <v>2</v>
      </c>
      <c r="E871" s="9" t="s">
        <v>3191</v>
      </c>
      <c r="F871" s="5" t="s">
        <v>2513</v>
      </c>
      <c r="G871" s="5" t="s">
        <v>3177</v>
      </c>
      <c r="H871" s="5" t="s">
        <v>3178</v>
      </c>
      <c r="I871" s="9" t="s">
        <v>3179</v>
      </c>
      <c r="J871" s="5">
        <v>2026</v>
      </c>
      <c r="K871" s="5">
        <v>80</v>
      </c>
      <c r="L871" s="9" t="s">
        <v>3252</v>
      </c>
      <c r="M871" s="5"/>
      <c r="N871" s="9" t="s">
        <v>4201</v>
      </c>
      <c r="O871" s="9" t="str">
        <f t="shared" si="83"/>
        <v>PDFを開く</v>
      </c>
      <c r="P871" s="9" t="s">
        <v>807</v>
      </c>
    </row>
    <row r="872" spans="1:16" ht="33.950000000000003" customHeight="1">
      <c r="A872" s="2" t="s">
        <v>800</v>
      </c>
      <c r="B872" s="2" t="s">
        <v>73</v>
      </c>
      <c r="C872" s="8" t="s">
        <v>801</v>
      </c>
      <c r="D872" s="2">
        <v>2</v>
      </c>
      <c r="E872" s="8" t="s">
        <v>3191</v>
      </c>
      <c r="F872" s="2" t="s">
        <v>2513</v>
      </c>
      <c r="G872" s="2" t="s">
        <v>3177</v>
      </c>
      <c r="H872" s="2" t="s">
        <v>3178</v>
      </c>
      <c r="I872" s="8" t="s">
        <v>3182</v>
      </c>
      <c r="J872" s="2">
        <v>2029</v>
      </c>
      <c r="K872" s="2">
        <v>85</v>
      </c>
      <c r="L872" s="8" t="s">
        <v>4202</v>
      </c>
      <c r="M872" s="2"/>
      <c r="N872" s="8" t="s">
        <v>4201</v>
      </c>
      <c r="O872" s="8" t="str">
        <f t="shared" si="83"/>
        <v>PDFを開く</v>
      </c>
      <c r="P872" s="8" t="s">
        <v>807</v>
      </c>
    </row>
    <row r="873" spans="1:16" ht="33.950000000000003" customHeight="1">
      <c r="A873" s="5" t="s">
        <v>808</v>
      </c>
      <c r="B873" s="5" t="s">
        <v>73</v>
      </c>
      <c r="C873" s="9" t="s">
        <v>809</v>
      </c>
      <c r="D873" s="5">
        <v>2</v>
      </c>
      <c r="E873" s="9" t="s">
        <v>3176</v>
      </c>
      <c r="F873" s="5" t="s">
        <v>86</v>
      </c>
      <c r="G873" s="5" t="s">
        <v>3177</v>
      </c>
      <c r="H873" s="5"/>
      <c r="I873" s="9" t="s">
        <v>3507</v>
      </c>
      <c r="J873" s="5">
        <v>2029</v>
      </c>
      <c r="K873" s="5">
        <v>3221</v>
      </c>
      <c r="L873" s="9" t="s">
        <v>4203</v>
      </c>
      <c r="M873" s="5">
        <v>7.3</v>
      </c>
      <c r="N873" s="9" t="s">
        <v>4204</v>
      </c>
      <c r="O873" s="9" t="str">
        <f t="shared" ref="O873:O881" si="84">HYPERLINK("https://seichotoushi-hojo.jp/assets/pdf/koufu/outline_26.pdf","PDFを開く")</f>
        <v>PDFを開く</v>
      </c>
      <c r="P873" s="9" t="s">
        <v>815</v>
      </c>
    </row>
    <row r="874" spans="1:16" ht="33.950000000000003" customHeight="1">
      <c r="A874" s="2" t="s">
        <v>808</v>
      </c>
      <c r="B874" s="2" t="s">
        <v>73</v>
      </c>
      <c r="C874" s="8" t="s">
        <v>809</v>
      </c>
      <c r="D874" s="2">
        <v>2</v>
      </c>
      <c r="E874" s="8" t="s">
        <v>3176</v>
      </c>
      <c r="F874" s="2" t="s">
        <v>86</v>
      </c>
      <c r="G874" s="2" t="s">
        <v>3177</v>
      </c>
      <c r="H874" s="2"/>
      <c r="I874" s="8" t="s">
        <v>3504</v>
      </c>
      <c r="J874" s="2">
        <v>2026</v>
      </c>
      <c r="K874" s="2">
        <v>2604</v>
      </c>
      <c r="L874" s="8" t="s">
        <v>4205</v>
      </c>
      <c r="M874" s="2">
        <v>7.3</v>
      </c>
      <c r="N874" s="8" t="s">
        <v>4204</v>
      </c>
      <c r="O874" s="8" t="str">
        <f t="shared" si="84"/>
        <v>PDFを開く</v>
      </c>
      <c r="P874" s="8" t="s">
        <v>815</v>
      </c>
    </row>
    <row r="875" spans="1:16" ht="33.950000000000003" customHeight="1">
      <c r="A875" s="5" t="s">
        <v>808</v>
      </c>
      <c r="B875" s="5" t="s">
        <v>73</v>
      </c>
      <c r="C875" s="9" t="s">
        <v>809</v>
      </c>
      <c r="D875" s="5">
        <v>2</v>
      </c>
      <c r="E875" s="9" t="s">
        <v>3184</v>
      </c>
      <c r="F875" s="5" t="s">
        <v>86</v>
      </c>
      <c r="G875" s="5" t="s">
        <v>3177</v>
      </c>
      <c r="H875" s="5"/>
      <c r="I875" s="9" t="s">
        <v>3507</v>
      </c>
      <c r="J875" s="5">
        <v>2029</v>
      </c>
      <c r="K875" s="5">
        <v>865</v>
      </c>
      <c r="L875" s="9" t="s">
        <v>4206</v>
      </c>
      <c r="M875" s="5">
        <v>3.51</v>
      </c>
      <c r="N875" s="9" t="s">
        <v>4207</v>
      </c>
      <c r="O875" s="9" t="str">
        <f t="shared" si="84"/>
        <v>PDFを開く</v>
      </c>
      <c r="P875" s="9" t="s">
        <v>815</v>
      </c>
    </row>
    <row r="876" spans="1:16" ht="33.950000000000003" customHeight="1">
      <c r="A876" s="2" t="s">
        <v>808</v>
      </c>
      <c r="B876" s="2" t="s">
        <v>73</v>
      </c>
      <c r="C876" s="8" t="s">
        <v>809</v>
      </c>
      <c r="D876" s="2">
        <v>2</v>
      </c>
      <c r="E876" s="8" t="s">
        <v>3184</v>
      </c>
      <c r="F876" s="2" t="s">
        <v>86</v>
      </c>
      <c r="G876" s="2" t="s">
        <v>3177</v>
      </c>
      <c r="H876" s="2"/>
      <c r="I876" s="8" t="s">
        <v>3504</v>
      </c>
      <c r="J876" s="2">
        <v>2026</v>
      </c>
      <c r="K876" s="2">
        <v>780</v>
      </c>
      <c r="L876" s="8" t="s">
        <v>4208</v>
      </c>
      <c r="M876" s="2">
        <v>3.51</v>
      </c>
      <c r="N876" s="8" t="s">
        <v>4207</v>
      </c>
      <c r="O876" s="8" t="str">
        <f t="shared" si="84"/>
        <v>PDFを開く</v>
      </c>
      <c r="P876" s="8" t="s">
        <v>815</v>
      </c>
    </row>
    <row r="877" spans="1:16" ht="33.950000000000003" customHeight="1">
      <c r="A877" s="5" t="s">
        <v>808</v>
      </c>
      <c r="B877" s="5" t="s">
        <v>73</v>
      </c>
      <c r="C877" s="9" t="s">
        <v>809</v>
      </c>
      <c r="D877" s="5">
        <v>2</v>
      </c>
      <c r="E877" s="9" t="s">
        <v>3188</v>
      </c>
      <c r="F877" s="5" t="s">
        <v>86</v>
      </c>
      <c r="G877" s="19" t="s">
        <v>3189</v>
      </c>
      <c r="H877" s="5"/>
      <c r="I877" s="9"/>
      <c r="J877" s="5"/>
      <c r="K877" s="5"/>
      <c r="L877" s="9"/>
      <c r="M877" s="5">
        <v>3.5</v>
      </c>
      <c r="N877" s="9" t="s">
        <v>4209</v>
      </c>
      <c r="O877" s="9" t="str">
        <f t="shared" si="84"/>
        <v>PDFを開く</v>
      </c>
      <c r="P877" s="9" t="s">
        <v>815</v>
      </c>
    </row>
    <row r="878" spans="1:16" ht="33.950000000000003" customHeight="1">
      <c r="A878" s="2" t="s">
        <v>808</v>
      </c>
      <c r="B878" s="2" t="s">
        <v>73</v>
      </c>
      <c r="C878" s="8" t="s">
        <v>809</v>
      </c>
      <c r="D878" s="2">
        <v>2</v>
      </c>
      <c r="E878" s="8" t="s">
        <v>3191</v>
      </c>
      <c r="F878" s="2" t="s">
        <v>2513</v>
      </c>
      <c r="G878" s="2" t="s">
        <v>3177</v>
      </c>
      <c r="H878" s="2"/>
      <c r="I878" s="8" t="s">
        <v>3504</v>
      </c>
      <c r="J878" s="2">
        <v>2026</v>
      </c>
      <c r="K878" s="2">
        <v>238</v>
      </c>
      <c r="L878" s="8" t="s">
        <v>4210</v>
      </c>
      <c r="M878" s="2"/>
      <c r="N878" s="8" t="s">
        <v>4211</v>
      </c>
      <c r="O878" s="8" t="str">
        <f t="shared" si="84"/>
        <v>PDFを開く</v>
      </c>
      <c r="P878" s="8" t="s">
        <v>815</v>
      </c>
    </row>
    <row r="879" spans="1:16" ht="33.950000000000003" customHeight="1">
      <c r="A879" s="5" t="s">
        <v>808</v>
      </c>
      <c r="B879" s="5" t="s">
        <v>73</v>
      </c>
      <c r="C879" s="9" t="s">
        <v>809</v>
      </c>
      <c r="D879" s="5">
        <v>2</v>
      </c>
      <c r="E879" s="9" t="s">
        <v>3191</v>
      </c>
      <c r="F879" s="5" t="s">
        <v>2513</v>
      </c>
      <c r="G879" s="5" t="s">
        <v>3177</v>
      </c>
      <c r="H879" s="5"/>
      <c r="I879" s="9" t="s">
        <v>3507</v>
      </c>
      <c r="J879" s="5">
        <v>2029</v>
      </c>
      <c r="K879" s="5">
        <v>266</v>
      </c>
      <c r="L879" s="9" t="s">
        <v>4212</v>
      </c>
      <c r="M879" s="5"/>
      <c r="N879" s="9" t="s">
        <v>4211</v>
      </c>
      <c r="O879" s="9" t="str">
        <f t="shared" si="84"/>
        <v>PDFを開く</v>
      </c>
      <c r="P879" s="9" t="s">
        <v>815</v>
      </c>
    </row>
    <row r="880" spans="1:16" ht="33.950000000000003" customHeight="1">
      <c r="A880" s="2" t="s">
        <v>808</v>
      </c>
      <c r="B880" s="2" t="s">
        <v>73</v>
      </c>
      <c r="C880" s="8" t="s">
        <v>809</v>
      </c>
      <c r="D880" s="2">
        <v>2</v>
      </c>
      <c r="E880" s="8" t="s">
        <v>3188</v>
      </c>
      <c r="F880" s="2" t="s">
        <v>86</v>
      </c>
      <c r="G880" s="2" t="s">
        <v>3177</v>
      </c>
      <c r="H880" s="2"/>
      <c r="I880" s="8" t="s">
        <v>4213</v>
      </c>
      <c r="J880" s="2">
        <v>2026</v>
      </c>
      <c r="K880" s="2"/>
      <c r="L880" s="8" t="s">
        <v>3196</v>
      </c>
      <c r="M880" s="2">
        <v>3.5</v>
      </c>
      <c r="N880" s="8" t="s">
        <v>4214</v>
      </c>
      <c r="O880" s="8" t="str">
        <f t="shared" si="84"/>
        <v>PDFを開く</v>
      </c>
      <c r="P880" s="8" t="s">
        <v>815</v>
      </c>
    </row>
    <row r="881" spans="1:16" ht="33.950000000000003" customHeight="1">
      <c r="A881" s="5" t="s">
        <v>808</v>
      </c>
      <c r="B881" s="5" t="s">
        <v>73</v>
      </c>
      <c r="C881" s="9" t="s">
        <v>809</v>
      </c>
      <c r="D881" s="5">
        <v>2</v>
      </c>
      <c r="E881" s="9" t="s">
        <v>3188</v>
      </c>
      <c r="F881" s="5" t="s">
        <v>86</v>
      </c>
      <c r="G881" s="5" t="s">
        <v>3177</v>
      </c>
      <c r="H881" s="5"/>
      <c r="I881" s="9" t="s">
        <v>4215</v>
      </c>
      <c r="J881" s="5">
        <v>2029</v>
      </c>
      <c r="K881" s="5"/>
      <c r="L881" s="9" t="s">
        <v>4216</v>
      </c>
      <c r="M881" s="5">
        <v>3.5</v>
      </c>
      <c r="N881" s="9" t="s">
        <v>4214</v>
      </c>
      <c r="O881" s="9" t="str">
        <f t="shared" si="84"/>
        <v>PDFを開く</v>
      </c>
      <c r="P881" s="9" t="s">
        <v>815</v>
      </c>
    </row>
    <row r="882" spans="1:16" ht="33.950000000000003" customHeight="1">
      <c r="A882" s="2" t="s">
        <v>816</v>
      </c>
      <c r="B882" s="2" t="s">
        <v>73</v>
      </c>
      <c r="C882" s="8" t="s">
        <v>817</v>
      </c>
      <c r="D882" s="2">
        <v>2</v>
      </c>
      <c r="E882" s="8" t="s">
        <v>3176</v>
      </c>
      <c r="F882" s="2" t="s">
        <v>86</v>
      </c>
      <c r="G882" s="2" t="s">
        <v>3177</v>
      </c>
      <c r="H882" s="2" t="s">
        <v>3178</v>
      </c>
      <c r="I882" s="8" t="s">
        <v>3179</v>
      </c>
      <c r="J882" s="2">
        <v>2026</v>
      </c>
      <c r="K882" s="2">
        <v>133.6</v>
      </c>
      <c r="L882" s="8" t="s">
        <v>4217</v>
      </c>
      <c r="M882" s="2"/>
      <c r="N882" s="8" t="s">
        <v>4218</v>
      </c>
      <c r="O882" s="8" t="str">
        <f t="shared" ref="O882:O890" si="85">HYPERLINK("https://seichotoushi-hojo.jp/assets/pdf/koufu/outline_27.pdf","PDFを開く")</f>
        <v>PDFを開く</v>
      </c>
      <c r="P882" s="8" t="s">
        <v>824</v>
      </c>
    </row>
    <row r="883" spans="1:16" ht="33.950000000000003" customHeight="1">
      <c r="A883" s="5" t="s">
        <v>816</v>
      </c>
      <c r="B883" s="5" t="s">
        <v>73</v>
      </c>
      <c r="C883" s="9" t="s">
        <v>817</v>
      </c>
      <c r="D883" s="5">
        <v>2</v>
      </c>
      <c r="E883" s="9" t="s">
        <v>3176</v>
      </c>
      <c r="F883" s="5" t="s">
        <v>86</v>
      </c>
      <c r="G883" s="5" t="s">
        <v>3177</v>
      </c>
      <c r="H883" s="5" t="s">
        <v>3178</v>
      </c>
      <c r="I883" s="9" t="s">
        <v>3182</v>
      </c>
      <c r="J883" s="5">
        <v>2029</v>
      </c>
      <c r="K883" s="5">
        <v>1809.8</v>
      </c>
      <c r="L883" s="9" t="s">
        <v>4219</v>
      </c>
      <c r="M883" s="5"/>
      <c r="N883" s="9" t="s">
        <v>4218</v>
      </c>
      <c r="O883" s="9" t="str">
        <f t="shared" si="85"/>
        <v>PDFを開く</v>
      </c>
      <c r="P883" s="9" t="s">
        <v>824</v>
      </c>
    </row>
    <row r="884" spans="1:16" ht="33.950000000000003" customHeight="1">
      <c r="A884" s="2" t="s">
        <v>816</v>
      </c>
      <c r="B884" s="2" t="s">
        <v>73</v>
      </c>
      <c r="C884" s="8" t="s">
        <v>817</v>
      </c>
      <c r="D884" s="2">
        <v>2</v>
      </c>
      <c r="E884" s="8" t="s">
        <v>3184</v>
      </c>
      <c r="F884" s="2" t="s">
        <v>86</v>
      </c>
      <c r="G884" s="2" t="s">
        <v>3177</v>
      </c>
      <c r="H884" s="2" t="s">
        <v>3178</v>
      </c>
      <c r="I884" s="8" t="s">
        <v>3179</v>
      </c>
      <c r="J884" s="2">
        <v>2026</v>
      </c>
      <c r="K884" s="2">
        <v>420</v>
      </c>
      <c r="L884" s="8" t="s">
        <v>3394</v>
      </c>
      <c r="M884" s="2">
        <v>4.04</v>
      </c>
      <c r="N884" s="8" t="s">
        <v>4220</v>
      </c>
      <c r="O884" s="8" t="str">
        <f t="shared" si="85"/>
        <v>PDFを開く</v>
      </c>
      <c r="P884" s="8" t="s">
        <v>824</v>
      </c>
    </row>
    <row r="885" spans="1:16" ht="33.950000000000003" customHeight="1">
      <c r="A885" s="5" t="s">
        <v>816</v>
      </c>
      <c r="B885" s="5" t="s">
        <v>73</v>
      </c>
      <c r="C885" s="9" t="s">
        <v>817</v>
      </c>
      <c r="D885" s="5">
        <v>2</v>
      </c>
      <c r="E885" s="9" t="s">
        <v>3184</v>
      </c>
      <c r="F885" s="5" t="s">
        <v>86</v>
      </c>
      <c r="G885" s="5" t="s">
        <v>3177</v>
      </c>
      <c r="H885" s="5" t="s">
        <v>3178</v>
      </c>
      <c r="I885" s="9" t="s">
        <v>3182</v>
      </c>
      <c r="J885" s="5">
        <v>2029</v>
      </c>
      <c r="K885" s="5">
        <v>473</v>
      </c>
      <c r="L885" s="9" t="s">
        <v>4221</v>
      </c>
      <c r="M885" s="5">
        <v>4.04</v>
      </c>
      <c r="N885" s="9" t="s">
        <v>4220</v>
      </c>
      <c r="O885" s="9" t="str">
        <f t="shared" si="85"/>
        <v>PDFを開く</v>
      </c>
      <c r="P885" s="9" t="s">
        <v>824</v>
      </c>
    </row>
    <row r="886" spans="1:16" ht="33.950000000000003" customHeight="1">
      <c r="A886" s="2" t="s">
        <v>816</v>
      </c>
      <c r="B886" s="2" t="s">
        <v>73</v>
      </c>
      <c r="C886" s="8" t="s">
        <v>817</v>
      </c>
      <c r="D886" s="2">
        <v>2</v>
      </c>
      <c r="E886" s="8" t="s">
        <v>3188</v>
      </c>
      <c r="F886" s="2" t="s">
        <v>86</v>
      </c>
      <c r="G886" s="19" t="s">
        <v>3189</v>
      </c>
      <c r="H886" s="2" t="s">
        <v>3178</v>
      </c>
      <c r="I886" s="8"/>
      <c r="J886" s="2"/>
      <c r="K886" s="2"/>
      <c r="L886" s="8"/>
      <c r="M886" s="2">
        <v>3.5</v>
      </c>
      <c r="N886" s="8" t="s">
        <v>4222</v>
      </c>
      <c r="O886" s="8" t="str">
        <f t="shared" si="85"/>
        <v>PDFを開く</v>
      </c>
      <c r="P886" s="8" t="s">
        <v>824</v>
      </c>
    </row>
    <row r="887" spans="1:16" ht="33.950000000000003" customHeight="1">
      <c r="A887" s="5" t="s">
        <v>816</v>
      </c>
      <c r="B887" s="5" t="s">
        <v>73</v>
      </c>
      <c r="C887" s="9" t="s">
        <v>817</v>
      </c>
      <c r="D887" s="5">
        <v>2</v>
      </c>
      <c r="E887" s="9" t="s">
        <v>3191</v>
      </c>
      <c r="F887" s="5" t="s">
        <v>2513</v>
      </c>
      <c r="G887" s="5" t="s">
        <v>3177</v>
      </c>
      <c r="H887" s="5" t="s">
        <v>3178</v>
      </c>
      <c r="I887" s="9" t="s">
        <v>3179</v>
      </c>
      <c r="J887" s="5">
        <v>2026</v>
      </c>
      <c r="K887" s="5">
        <v>21</v>
      </c>
      <c r="L887" s="9" t="s">
        <v>4223</v>
      </c>
      <c r="M887" s="5"/>
      <c r="N887" s="9" t="s">
        <v>4224</v>
      </c>
      <c r="O887" s="9" t="str">
        <f t="shared" si="85"/>
        <v>PDFを開く</v>
      </c>
      <c r="P887" s="9" t="s">
        <v>824</v>
      </c>
    </row>
    <row r="888" spans="1:16" ht="33.950000000000003" customHeight="1">
      <c r="A888" s="2" t="s">
        <v>816</v>
      </c>
      <c r="B888" s="2" t="s">
        <v>73</v>
      </c>
      <c r="C888" s="8" t="s">
        <v>817</v>
      </c>
      <c r="D888" s="2">
        <v>2</v>
      </c>
      <c r="E888" s="8" t="s">
        <v>3191</v>
      </c>
      <c r="F888" s="2" t="s">
        <v>2513</v>
      </c>
      <c r="G888" s="2" t="s">
        <v>3177</v>
      </c>
      <c r="H888" s="2" t="s">
        <v>3178</v>
      </c>
      <c r="I888" s="8" t="s">
        <v>3182</v>
      </c>
      <c r="J888" s="2">
        <v>2029</v>
      </c>
      <c r="K888" s="2">
        <v>41</v>
      </c>
      <c r="L888" s="8" t="s">
        <v>4225</v>
      </c>
      <c r="M888" s="2"/>
      <c r="N888" s="8" t="s">
        <v>4224</v>
      </c>
      <c r="O888" s="8" t="str">
        <f t="shared" si="85"/>
        <v>PDFを開く</v>
      </c>
      <c r="P888" s="8" t="s">
        <v>824</v>
      </c>
    </row>
    <row r="889" spans="1:16" ht="33.950000000000003" customHeight="1">
      <c r="A889" s="5" t="s">
        <v>816</v>
      </c>
      <c r="B889" s="5" t="s">
        <v>73</v>
      </c>
      <c r="C889" s="9" t="s">
        <v>817</v>
      </c>
      <c r="D889" s="5">
        <v>2</v>
      </c>
      <c r="E889" s="9" t="s">
        <v>3188</v>
      </c>
      <c r="F889" s="5" t="s">
        <v>86</v>
      </c>
      <c r="G889" s="5" t="s">
        <v>3177</v>
      </c>
      <c r="H889" s="5"/>
      <c r="I889" s="9" t="s">
        <v>4226</v>
      </c>
      <c r="J889" s="5">
        <v>2026</v>
      </c>
      <c r="K889" s="5"/>
      <c r="L889" s="9" t="s">
        <v>4227</v>
      </c>
      <c r="M889" s="5">
        <v>3.5</v>
      </c>
      <c r="N889" s="9" t="s">
        <v>4228</v>
      </c>
      <c r="O889" s="9" t="str">
        <f t="shared" si="85"/>
        <v>PDFを開く</v>
      </c>
      <c r="P889" s="9" t="s">
        <v>824</v>
      </c>
    </row>
    <row r="890" spans="1:16" ht="33.950000000000003" customHeight="1">
      <c r="A890" s="2" t="s">
        <v>816</v>
      </c>
      <c r="B890" s="2" t="s">
        <v>73</v>
      </c>
      <c r="C890" s="8" t="s">
        <v>817</v>
      </c>
      <c r="D890" s="2">
        <v>2</v>
      </c>
      <c r="E890" s="8" t="s">
        <v>3188</v>
      </c>
      <c r="F890" s="2" t="s">
        <v>86</v>
      </c>
      <c r="G890" s="2" t="s">
        <v>3177</v>
      </c>
      <c r="H890" s="2"/>
      <c r="I890" s="8" t="s">
        <v>4229</v>
      </c>
      <c r="J890" s="2">
        <v>2029</v>
      </c>
      <c r="K890" s="2"/>
      <c r="L890" s="8" t="s">
        <v>4230</v>
      </c>
      <c r="M890" s="2">
        <v>3.5</v>
      </c>
      <c r="N890" s="8" t="s">
        <v>4228</v>
      </c>
      <c r="O890" s="8" t="str">
        <f t="shared" si="85"/>
        <v>PDFを開く</v>
      </c>
      <c r="P890" s="8" t="s">
        <v>824</v>
      </c>
    </row>
    <row r="891" spans="1:16" ht="33.950000000000003" customHeight="1">
      <c r="A891" s="5" t="s">
        <v>825</v>
      </c>
      <c r="B891" s="5" t="s">
        <v>73</v>
      </c>
      <c r="C891" s="9" t="s">
        <v>826</v>
      </c>
      <c r="D891" s="5">
        <v>2</v>
      </c>
      <c r="E891" s="9" t="s">
        <v>3176</v>
      </c>
      <c r="F891" s="5" t="s">
        <v>86</v>
      </c>
      <c r="G891" s="5" t="s">
        <v>3177</v>
      </c>
      <c r="H891" s="5" t="s">
        <v>3178</v>
      </c>
      <c r="I891" s="9" t="s">
        <v>3179</v>
      </c>
      <c r="J891" s="5">
        <v>2026</v>
      </c>
      <c r="K891" s="5">
        <v>639</v>
      </c>
      <c r="L891" s="9" t="s">
        <v>4193</v>
      </c>
      <c r="M891" s="5">
        <v>18.100000000000001</v>
      </c>
      <c r="N891" s="9" t="s">
        <v>4231</v>
      </c>
      <c r="O891" s="9" t="str">
        <f t="shared" ref="O891:O899" si="86">HYPERLINK("https://seichotoushi-hojo.jp/assets/pdf/koufu/outline_28.pdf","PDFを開く")</f>
        <v>PDFを開く</v>
      </c>
      <c r="P891" s="9" t="s">
        <v>831</v>
      </c>
    </row>
    <row r="892" spans="1:16" ht="33.950000000000003" customHeight="1">
      <c r="A892" s="2" t="s">
        <v>825</v>
      </c>
      <c r="B892" s="2" t="s">
        <v>73</v>
      </c>
      <c r="C892" s="8" t="s">
        <v>826</v>
      </c>
      <c r="D892" s="2">
        <v>2</v>
      </c>
      <c r="E892" s="8" t="s">
        <v>3176</v>
      </c>
      <c r="F892" s="2" t="s">
        <v>86</v>
      </c>
      <c r="G892" s="2" t="s">
        <v>3177</v>
      </c>
      <c r="H892" s="2" t="s">
        <v>3178</v>
      </c>
      <c r="I892" s="8" t="s">
        <v>3182</v>
      </c>
      <c r="J892" s="2">
        <v>2029</v>
      </c>
      <c r="K892" s="2">
        <v>1052</v>
      </c>
      <c r="L892" s="8" t="s">
        <v>4232</v>
      </c>
      <c r="M892" s="2">
        <v>18.100000000000001</v>
      </c>
      <c r="N892" s="8" t="s">
        <v>4231</v>
      </c>
      <c r="O892" s="8" t="str">
        <f t="shared" si="86"/>
        <v>PDFを開く</v>
      </c>
      <c r="P892" s="8" t="s">
        <v>831</v>
      </c>
    </row>
    <row r="893" spans="1:16" ht="33.950000000000003" customHeight="1">
      <c r="A893" s="5" t="s">
        <v>825</v>
      </c>
      <c r="B893" s="5" t="s">
        <v>73</v>
      </c>
      <c r="C893" s="9" t="s">
        <v>826</v>
      </c>
      <c r="D893" s="5">
        <v>2</v>
      </c>
      <c r="E893" s="9" t="s">
        <v>3184</v>
      </c>
      <c r="F893" s="5" t="s">
        <v>86</v>
      </c>
      <c r="G893" s="5" t="s">
        <v>3177</v>
      </c>
      <c r="H893" s="5" t="s">
        <v>3178</v>
      </c>
      <c r="I893" s="9" t="s">
        <v>3179</v>
      </c>
      <c r="J893" s="5">
        <v>2026</v>
      </c>
      <c r="K893" s="5">
        <v>310</v>
      </c>
      <c r="L893" s="9" t="s">
        <v>3888</v>
      </c>
      <c r="M893" s="5">
        <v>4.8</v>
      </c>
      <c r="N893" s="9" t="s">
        <v>4233</v>
      </c>
      <c r="O893" s="9" t="str">
        <f t="shared" si="86"/>
        <v>PDFを開く</v>
      </c>
      <c r="P893" s="9" t="s">
        <v>831</v>
      </c>
    </row>
    <row r="894" spans="1:16" ht="33.950000000000003" customHeight="1">
      <c r="A894" s="2" t="s">
        <v>825</v>
      </c>
      <c r="B894" s="2" t="s">
        <v>73</v>
      </c>
      <c r="C894" s="8" t="s">
        <v>826</v>
      </c>
      <c r="D894" s="2">
        <v>2</v>
      </c>
      <c r="E894" s="8" t="s">
        <v>3184</v>
      </c>
      <c r="F894" s="2" t="s">
        <v>86</v>
      </c>
      <c r="G894" s="2" t="s">
        <v>3177</v>
      </c>
      <c r="H894" s="2" t="s">
        <v>3178</v>
      </c>
      <c r="I894" s="8" t="s">
        <v>3182</v>
      </c>
      <c r="J894" s="2">
        <v>2029</v>
      </c>
      <c r="K894" s="2">
        <v>357</v>
      </c>
      <c r="L894" s="8" t="s">
        <v>3745</v>
      </c>
      <c r="M894" s="2">
        <v>4.8</v>
      </c>
      <c r="N894" s="8" t="s">
        <v>4233</v>
      </c>
      <c r="O894" s="8" t="str">
        <f t="shared" si="86"/>
        <v>PDFを開く</v>
      </c>
      <c r="P894" s="8" t="s">
        <v>831</v>
      </c>
    </row>
    <row r="895" spans="1:16" ht="33.950000000000003" customHeight="1">
      <c r="A895" s="5" t="s">
        <v>825</v>
      </c>
      <c r="B895" s="5" t="s">
        <v>73</v>
      </c>
      <c r="C895" s="9" t="s">
        <v>826</v>
      </c>
      <c r="D895" s="5">
        <v>2</v>
      </c>
      <c r="E895" s="9" t="s">
        <v>3188</v>
      </c>
      <c r="F895" s="5" t="s">
        <v>86</v>
      </c>
      <c r="G895" s="19" t="s">
        <v>3189</v>
      </c>
      <c r="H895" s="5" t="s">
        <v>3178</v>
      </c>
      <c r="I895" s="9"/>
      <c r="J895" s="5"/>
      <c r="K895" s="5"/>
      <c r="L895" s="9"/>
      <c r="M895" s="5">
        <v>11.14</v>
      </c>
      <c r="N895" s="9" t="s">
        <v>4234</v>
      </c>
      <c r="O895" s="9" t="str">
        <f t="shared" si="86"/>
        <v>PDFを開く</v>
      </c>
      <c r="P895" s="9" t="s">
        <v>831</v>
      </c>
    </row>
    <row r="896" spans="1:16" ht="33.950000000000003" customHeight="1">
      <c r="A896" s="2" t="s">
        <v>825</v>
      </c>
      <c r="B896" s="2" t="s">
        <v>73</v>
      </c>
      <c r="C896" s="8" t="s">
        <v>826</v>
      </c>
      <c r="D896" s="2">
        <v>2</v>
      </c>
      <c r="E896" s="8" t="s">
        <v>3191</v>
      </c>
      <c r="F896" s="2" t="s">
        <v>2513</v>
      </c>
      <c r="G896" s="2" t="s">
        <v>3177</v>
      </c>
      <c r="H896" s="2" t="s">
        <v>3178</v>
      </c>
      <c r="I896" s="8" t="s">
        <v>3179</v>
      </c>
      <c r="J896" s="2">
        <v>2026</v>
      </c>
      <c r="K896" s="2">
        <v>40</v>
      </c>
      <c r="L896" s="8" t="s">
        <v>4235</v>
      </c>
      <c r="M896" s="2"/>
      <c r="N896" s="8" t="s">
        <v>4236</v>
      </c>
      <c r="O896" s="8" t="str">
        <f t="shared" si="86"/>
        <v>PDFを開く</v>
      </c>
      <c r="P896" s="8" t="s">
        <v>831</v>
      </c>
    </row>
    <row r="897" spans="1:16" ht="33.950000000000003" customHeight="1">
      <c r="A897" s="5" t="s">
        <v>825</v>
      </c>
      <c r="B897" s="5" t="s">
        <v>73</v>
      </c>
      <c r="C897" s="9" t="s">
        <v>826</v>
      </c>
      <c r="D897" s="5">
        <v>2</v>
      </c>
      <c r="E897" s="9" t="s">
        <v>3191</v>
      </c>
      <c r="F897" s="5" t="s">
        <v>2513</v>
      </c>
      <c r="G897" s="5" t="s">
        <v>3177</v>
      </c>
      <c r="H897" s="5" t="s">
        <v>3178</v>
      </c>
      <c r="I897" s="9" t="s">
        <v>3182</v>
      </c>
      <c r="J897" s="5">
        <v>2029</v>
      </c>
      <c r="K897" s="5">
        <v>64</v>
      </c>
      <c r="L897" s="9" t="s">
        <v>4237</v>
      </c>
      <c r="M897" s="5"/>
      <c r="N897" s="9" t="s">
        <v>4236</v>
      </c>
      <c r="O897" s="9" t="str">
        <f t="shared" si="86"/>
        <v>PDFを開く</v>
      </c>
      <c r="P897" s="9" t="s">
        <v>831</v>
      </c>
    </row>
    <row r="898" spans="1:16" ht="33.950000000000003" customHeight="1">
      <c r="A898" s="2" t="s">
        <v>825</v>
      </c>
      <c r="B898" s="2" t="s">
        <v>73</v>
      </c>
      <c r="C898" s="8" t="s">
        <v>826</v>
      </c>
      <c r="D898" s="2">
        <v>2</v>
      </c>
      <c r="E898" s="8" t="s">
        <v>3188</v>
      </c>
      <c r="F898" s="2" t="s">
        <v>86</v>
      </c>
      <c r="G898" s="2" t="s">
        <v>3177</v>
      </c>
      <c r="H898" s="2"/>
      <c r="I898" s="8" t="s">
        <v>4238</v>
      </c>
      <c r="J898" s="2">
        <v>2026</v>
      </c>
      <c r="K898" s="2"/>
      <c r="L898" s="8" t="s">
        <v>3196</v>
      </c>
      <c r="M898" s="2">
        <v>11.14</v>
      </c>
      <c r="N898" s="8" t="s">
        <v>4239</v>
      </c>
      <c r="O898" s="8" t="str">
        <f t="shared" si="86"/>
        <v>PDFを開く</v>
      </c>
      <c r="P898" s="8" t="s">
        <v>831</v>
      </c>
    </row>
    <row r="899" spans="1:16" ht="33.950000000000003" customHeight="1">
      <c r="A899" s="5" t="s">
        <v>825</v>
      </c>
      <c r="B899" s="5" t="s">
        <v>73</v>
      </c>
      <c r="C899" s="9" t="s">
        <v>826</v>
      </c>
      <c r="D899" s="5">
        <v>2</v>
      </c>
      <c r="E899" s="9" t="s">
        <v>3188</v>
      </c>
      <c r="F899" s="5" t="s">
        <v>86</v>
      </c>
      <c r="G899" s="5" t="s">
        <v>3177</v>
      </c>
      <c r="H899" s="5"/>
      <c r="I899" s="9" t="s">
        <v>4240</v>
      </c>
      <c r="J899" s="5">
        <v>2029</v>
      </c>
      <c r="K899" s="5"/>
      <c r="L899" s="9" t="s">
        <v>4241</v>
      </c>
      <c r="M899" s="5">
        <v>11.14</v>
      </c>
      <c r="N899" s="9" t="s">
        <v>4239</v>
      </c>
      <c r="O899" s="9" t="str">
        <f t="shared" si="86"/>
        <v>PDFを開く</v>
      </c>
      <c r="P899" s="9" t="s">
        <v>831</v>
      </c>
    </row>
    <row r="900" spans="1:16" ht="33.950000000000003" customHeight="1">
      <c r="A900" s="2" t="s">
        <v>832</v>
      </c>
      <c r="B900" s="2" t="s">
        <v>73</v>
      </c>
      <c r="C900" s="8" t="s">
        <v>833</v>
      </c>
      <c r="D900" s="2">
        <v>2</v>
      </c>
      <c r="E900" s="8" t="s">
        <v>3176</v>
      </c>
      <c r="F900" s="2" t="s">
        <v>86</v>
      </c>
      <c r="G900" s="2" t="s">
        <v>3177</v>
      </c>
      <c r="H900" s="2" t="s">
        <v>3178</v>
      </c>
      <c r="I900" s="8" t="s">
        <v>3407</v>
      </c>
      <c r="J900" s="2">
        <v>2025</v>
      </c>
      <c r="K900" s="2">
        <v>1089</v>
      </c>
      <c r="L900" s="8" t="s">
        <v>4242</v>
      </c>
      <c r="M900" s="2">
        <v>29.9</v>
      </c>
      <c r="N900" s="8" t="s">
        <v>4243</v>
      </c>
      <c r="O900" s="8" t="str">
        <f t="shared" ref="O900:O906" si="87">HYPERLINK("https://seichotoushi-hojo.jp/assets/pdf/koufu/outline_29.pdf","PDFを開く")</f>
        <v>PDFを開く</v>
      </c>
      <c r="P900" s="8" t="s">
        <v>838</v>
      </c>
    </row>
    <row r="901" spans="1:16" ht="33.950000000000003" customHeight="1">
      <c r="A901" s="5" t="s">
        <v>832</v>
      </c>
      <c r="B901" s="5" t="s">
        <v>73</v>
      </c>
      <c r="C901" s="9" t="s">
        <v>833</v>
      </c>
      <c r="D901" s="5">
        <v>2</v>
      </c>
      <c r="E901" s="9" t="s">
        <v>3176</v>
      </c>
      <c r="F901" s="5" t="s">
        <v>86</v>
      </c>
      <c r="G901" s="5" t="s">
        <v>3177</v>
      </c>
      <c r="H901" s="5" t="s">
        <v>3178</v>
      </c>
      <c r="I901" s="9" t="s">
        <v>3335</v>
      </c>
      <c r="J901" s="5">
        <v>2028</v>
      </c>
      <c r="K901" s="5">
        <v>2386.3000000000002</v>
      </c>
      <c r="L901" s="9" t="s">
        <v>4244</v>
      </c>
      <c r="M901" s="5">
        <v>29.9</v>
      </c>
      <c r="N901" s="9" t="s">
        <v>4243</v>
      </c>
      <c r="O901" s="9" t="str">
        <f t="shared" si="87"/>
        <v>PDFを開く</v>
      </c>
      <c r="P901" s="9" t="s">
        <v>838</v>
      </c>
    </row>
    <row r="902" spans="1:16" ht="33.950000000000003" customHeight="1">
      <c r="A902" s="2" t="s">
        <v>832</v>
      </c>
      <c r="B902" s="2" t="s">
        <v>73</v>
      </c>
      <c r="C902" s="8" t="s">
        <v>833</v>
      </c>
      <c r="D902" s="2">
        <v>2</v>
      </c>
      <c r="E902" s="8" t="s">
        <v>3184</v>
      </c>
      <c r="F902" s="2" t="s">
        <v>86</v>
      </c>
      <c r="G902" s="2" t="s">
        <v>3177</v>
      </c>
      <c r="H902" s="2" t="s">
        <v>3178</v>
      </c>
      <c r="I902" s="8" t="s">
        <v>3407</v>
      </c>
      <c r="J902" s="2">
        <v>2025</v>
      </c>
      <c r="K902" s="2">
        <v>720</v>
      </c>
      <c r="L902" s="8" t="s">
        <v>4245</v>
      </c>
      <c r="M902" s="2">
        <v>4.5199999999999996</v>
      </c>
      <c r="N902" s="8" t="s">
        <v>4246</v>
      </c>
      <c r="O902" s="8" t="str">
        <f t="shared" si="87"/>
        <v>PDFを開く</v>
      </c>
      <c r="P902" s="8" t="s">
        <v>838</v>
      </c>
    </row>
    <row r="903" spans="1:16" ht="33.950000000000003" customHeight="1">
      <c r="A903" s="5" t="s">
        <v>832</v>
      </c>
      <c r="B903" s="5" t="s">
        <v>73</v>
      </c>
      <c r="C903" s="9" t="s">
        <v>833</v>
      </c>
      <c r="D903" s="5">
        <v>2</v>
      </c>
      <c r="E903" s="9" t="s">
        <v>3184</v>
      </c>
      <c r="F903" s="5" t="s">
        <v>86</v>
      </c>
      <c r="G903" s="5" t="s">
        <v>3177</v>
      </c>
      <c r="H903" s="5" t="s">
        <v>3178</v>
      </c>
      <c r="I903" s="9" t="s">
        <v>3335</v>
      </c>
      <c r="J903" s="5">
        <v>2028</v>
      </c>
      <c r="K903" s="5">
        <v>822.2</v>
      </c>
      <c r="L903" s="9" t="s">
        <v>4247</v>
      </c>
      <c r="M903" s="5">
        <v>4.5199999999999996</v>
      </c>
      <c r="N903" s="9" t="s">
        <v>4246</v>
      </c>
      <c r="O903" s="9" t="str">
        <f t="shared" si="87"/>
        <v>PDFを開く</v>
      </c>
      <c r="P903" s="9" t="s">
        <v>838</v>
      </c>
    </row>
    <row r="904" spans="1:16" ht="33.950000000000003" customHeight="1">
      <c r="A904" s="2" t="s">
        <v>832</v>
      </c>
      <c r="B904" s="2" t="s">
        <v>73</v>
      </c>
      <c r="C904" s="8" t="s">
        <v>833</v>
      </c>
      <c r="D904" s="2">
        <v>2</v>
      </c>
      <c r="E904" s="8" t="s">
        <v>3188</v>
      </c>
      <c r="F904" s="2" t="s">
        <v>86</v>
      </c>
      <c r="G904" s="19" t="s">
        <v>3189</v>
      </c>
      <c r="H904" s="2" t="s">
        <v>3178</v>
      </c>
      <c r="I904" s="8"/>
      <c r="J904" s="2"/>
      <c r="K904" s="2"/>
      <c r="L904" s="8"/>
      <c r="M904" s="2">
        <v>3.83</v>
      </c>
      <c r="N904" s="8" t="s">
        <v>4248</v>
      </c>
      <c r="O904" s="8" t="str">
        <f t="shared" si="87"/>
        <v>PDFを開く</v>
      </c>
      <c r="P904" s="8" t="s">
        <v>838</v>
      </c>
    </row>
    <row r="905" spans="1:16" ht="33.950000000000003" customHeight="1">
      <c r="A905" s="5" t="s">
        <v>832</v>
      </c>
      <c r="B905" s="5" t="s">
        <v>73</v>
      </c>
      <c r="C905" s="9" t="s">
        <v>833</v>
      </c>
      <c r="D905" s="5">
        <v>2</v>
      </c>
      <c r="E905" s="9" t="s">
        <v>3191</v>
      </c>
      <c r="F905" s="5" t="s">
        <v>2513</v>
      </c>
      <c r="G905" s="5" t="s">
        <v>3177</v>
      </c>
      <c r="H905" s="5" t="s">
        <v>3178</v>
      </c>
      <c r="I905" s="9" t="s">
        <v>3407</v>
      </c>
      <c r="J905" s="5">
        <v>2025</v>
      </c>
      <c r="K905" s="5">
        <v>6</v>
      </c>
      <c r="L905" s="9" t="s">
        <v>4128</v>
      </c>
      <c r="M905" s="5"/>
      <c r="N905" s="9" t="s">
        <v>4249</v>
      </c>
      <c r="O905" s="9" t="str">
        <f t="shared" si="87"/>
        <v>PDFを開く</v>
      </c>
      <c r="P905" s="9" t="s">
        <v>838</v>
      </c>
    </row>
    <row r="906" spans="1:16" ht="33.950000000000003" customHeight="1">
      <c r="A906" s="2" t="s">
        <v>832</v>
      </c>
      <c r="B906" s="2" t="s">
        <v>73</v>
      </c>
      <c r="C906" s="8" t="s">
        <v>833</v>
      </c>
      <c r="D906" s="2">
        <v>2</v>
      </c>
      <c r="E906" s="8" t="s">
        <v>3191</v>
      </c>
      <c r="F906" s="2" t="s">
        <v>2513</v>
      </c>
      <c r="G906" s="2" t="s">
        <v>3177</v>
      </c>
      <c r="H906" s="2" t="s">
        <v>3178</v>
      </c>
      <c r="I906" s="8" t="s">
        <v>3335</v>
      </c>
      <c r="J906" s="2">
        <v>2028</v>
      </c>
      <c r="K906" s="2">
        <v>53</v>
      </c>
      <c r="L906" s="8" t="s">
        <v>4250</v>
      </c>
      <c r="M906" s="2"/>
      <c r="N906" s="8" t="s">
        <v>4249</v>
      </c>
      <c r="O906" s="8" t="str">
        <f t="shared" si="87"/>
        <v>PDFを開く</v>
      </c>
      <c r="P906" s="8" t="s">
        <v>838</v>
      </c>
    </row>
    <row r="907" spans="1:16" ht="33.950000000000003" customHeight="1">
      <c r="A907" s="5" t="s">
        <v>839</v>
      </c>
      <c r="B907" s="5" t="s">
        <v>73</v>
      </c>
      <c r="C907" s="9" t="s">
        <v>840</v>
      </c>
      <c r="D907" s="5">
        <v>2</v>
      </c>
      <c r="E907" s="9" t="s">
        <v>3176</v>
      </c>
      <c r="F907" s="5" t="s">
        <v>86</v>
      </c>
      <c r="G907" s="5" t="s">
        <v>3177</v>
      </c>
      <c r="H907" s="5" t="s">
        <v>3178</v>
      </c>
      <c r="I907" s="9" t="s">
        <v>3179</v>
      </c>
      <c r="J907" s="5">
        <v>2026</v>
      </c>
      <c r="K907" s="5">
        <v>846</v>
      </c>
      <c r="L907" s="9" t="s">
        <v>4251</v>
      </c>
      <c r="M907" s="5">
        <v>34.659999999999997</v>
      </c>
      <c r="N907" s="9" t="s">
        <v>4252</v>
      </c>
      <c r="O907" s="9" t="str">
        <f t="shared" ref="O907:O913" si="88">HYPERLINK("https://seichotoushi-hojo.jp/assets/pdf/koufu/outline_3.pdf","PDFを開く")</f>
        <v>PDFを開く</v>
      </c>
      <c r="P907" s="9" t="s">
        <v>846</v>
      </c>
    </row>
    <row r="908" spans="1:16" ht="33.950000000000003" customHeight="1">
      <c r="A908" s="2" t="s">
        <v>839</v>
      </c>
      <c r="B908" s="2" t="s">
        <v>73</v>
      </c>
      <c r="C908" s="8" t="s">
        <v>840</v>
      </c>
      <c r="D908" s="2">
        <v>2</v>
      </c>
      <c r="E908" s="8" t="s">
        <v>3176</v>
      </c>
      <c r="F908" s="2" t="s">
        <v>86</v>
      </c>
      <c r="G908" s="2" t="s">
        <v>3177</v>
      </c>
      <c r="H908" s="2" t="s">
        <v>3178</v>
      </c>
      <c r="I908" s="8" t="s">
        <v>3182</v>
      </c>
      <c r="J908" s="2">
        <v>2029</v>
      </c>
      <c r="K908" s="2">
        <v>2065</v>
      </c>
      <c r="L908" s="8" t="s">
        <v>4253</v>
      </c>
      <c r="M908" s="2">
        <v>34.659999999999997</v>
      </c>
      <c r="N908" s="8" t="s">
        <v>4252</v>
      </c>
      <c r="O908" s="8" t="str">
        <f t="shared" si="88"/>
        <v>PDFを開く</v>
      </c>
      <c r="P908" s="8" t="s">
        <v>846</v>
      </c>
    </row>
    <row r="909" spans="1:16" ht="33.950000000000003" customHeight="1">
      <c r="A909" s="5" t="s">
        <v>839</v>
      </c>
      <c r="B909" s="5" t="s">
        <v>73</v>
      </c>
      <c r="C909" s="9" t="s">
        <v>840</v>
      </c>
      <c r="D909" s="5">
        <v>2</v>
      </c>
      <c r="E909" s="9" t="s">
        <v>3184</v>
      </c>
      <c r="F909" s="5" t="s">
        <v>86</v>
      </c>
      <c r="G909" s="5" t="s">
        <v>3177</v>
      </c>
      <c r="H909" s="5" t="s">
        <v>3178</v>
      </c>
      <c r="I909" s="9" t="s">
        <v>3179</v>
      </c>
      <c r="J909" s="5">
        <v>2026</v>
      </c>
      <c r="K909" s="5">
        <v>702</v>
      </c>
      <c r="L909" s="9" t="s">
        <v>4254</v>
      </c>
      <c r="M909" s="5">
        <v>4</v>
      </c>
      <c r="N909" s="9" t="s">
        <v>4255</v>
      </c>
      <c r="O909" s="9" t="str">
        <f t="shared" si="88"/>
        <v>PDFを開く</v>
      </c>
      <c r="P909" s="9" t="s">
        <v>846</v>
      </c>
    </row>
    <row r="910" spans="1:16" ht="33.950000000000003" customHeight="1">
      <c r="A910" s="2" t="s">
        <v>839</v>
      </c>
      <c r="B910" s="2" t="s">
        <v>73</v>
      </c>
      <c r="C910" s="8" t="s">
        <v>840</v>
      </c>
      <c r="D910" s="2">
        <v>2</v>
      </c>
      <c r="E910" s="8" t="s">
        <v>3184</v>
      </c>
      <c r="F910" s="2" t="s">
        <v>86</v>
      </c>
      <c r="G910" s="2" t="s">
        <v>3177</v>
      </c>
      <c r="H910" s="2" t="s">
        <v>3178</v>
      </c>
      <c r="I910" s="8" t="s">
        <v>3182</v>
      </c>
      <c r="J910" s="2">
        <v>2029</v>
      </c>
      <c r="K910" s="2">
        <v>790</v>
      </c>
      <c r="L910" s="8" t="s">
        <v>4256</v>
      </c>
      <c r="M910" s="2">
        <v>4</v>
      </c>
      <c r="N910" s="8" t="s">
        <v>4255</v>
      </c>
      <c r="O910" s="8" t="str">
        <f t="shared" si="88"/>
        <v>PDFを開く</v>
      </c>
      <c r="P910" s="8" t="s">
        <v>846</v>
      </c>
    </row>
    <row r="911" spans="1:16" ht="33.950000000000003" customHeight="1">
      <c r="A911" s="5" t="s">
        <v>839</v>
      </c>
      <c r="B911" s="5" t="s">
        <v>73</v>
      </c>
      <c r="C911" s="9" t="s">
        <v>840</v>
      </c>
      <c r="D911" s="5">
        <v>2</v>
      </c>
      <c r="E911" s="9" t="s">
        <v>3188</v>
      </c>
      <c r="F911" s="5" t="s">
        <v>86</v>
      </c>
      <c r="G911" s="19" t="s">
        <v>3189</v>
      </c>
      <c r="H911" s="5" t="s">
        <v>3178</v>
      </c>
      <c r="I911" s="9"/>
      <c r="J911" s="5"/>
      <c r="K911" s="5"/>
      <c r="L911" s="9"/>
      <c r="M911" s="5">
        <v>3.57</v>
      </c>
      <c r="N911" s="9" t="s">
        <v>4257</v>
      </c>
      <c r="O911" s="9" t="str">
        <f t="shared" si="88"/>
        <v>PDFを開く</v>
      </c>
      <c r="P911" s="9" t="s">
        <v>846</v>
      </c>
    </row>
    <row r="912" spans="1:16" ht="33.950000000000003" customHeight="1">
      <c r="A912" s="2" t="s">
        <v>839</v>
      </c>
      <c r="B912" s="2" t="s">
        <v>73</v>
      </c>
      <c r="C912" s="8" t="s">
        <v>840</v>
      </c>
      <c r="D912" s="2">
        <v>2</v>
      </c>
      <c r="E912" s="8" t="s">
        <v>3191</v>
      </c>
      <c r="F912" s="2" t="s">
        <v>2513</v>
      </c>
      <c r="G912" s="2" t="s">
        <v>3177</v>
      </c>
      <c r="H912" s="2" t="s">
        <v>3178</v>
      </c>
      <c r="I912" s="8" t="s">
        <v>3179</v>
      </c>
      <c r="J912" s="2">
        <v>2026</v>
      </c>
      <c r="K912" s="2">
        <v>841</v>
      </c>
      <c r="L912" s="8" t="s">
        <v>4258</v>
      </c>
      <c r="M912" s="2"/>
      <c r="N912" s="8" t="s">
        <v>4259</v>
      </c>
      <c r="O912" s="8" t="str">
        <f t="shared" si="88"/>
        <v>PDFを開く</v>
      </c>
      <c r="P912" s="8" t="s">
        <v>846</v>
      </c>
    </row>
    <row r="913" spans="1:16" ht="33.950000000000003" customHeight="1">
      <c r="A913" s="5" t="s">
        <v>839</v>
      </c>
      <c r="B913" s="5" t="s">
        <v>73</v>
      </c>
      <c r="C913" s="9" t="s">
        <v>840</v>
      </c>
      <c r="D913" s="5">
        <v>2</v>
      </c>
      <c r="E913" s="9" t="s">
        <v>3191</v>
      </c>
      <c r="F913" s="5" t="s">
        <v>2513</v>
      </c>
      <c r="G913" s="5" t="s">
        <v>3177</v>
      </c>
      <c r="H913" s="5" t="s">
        <v>3178</v>
      </c>
      <c r="I913" s="9" t="s">
        <v>3182</v>
      </c>
      <c r="J913" s="5">
        <v>2029</v>
      </c>
      <c r="K913" s="5">
        <v>902</v>
      </c>
      <c r="L913" s="9" t="s">
        <v>4260</v>
      </c>
      <c r="M913" s="5"/>
      <c r="N913" s="9" t="s">
        <v>4259</v>
      </c>
      <c r="O913" s="9" t="str">
        <f t="shared" si="88"/>
        <v>PDFを開く</v>
      </c>
      <c r="P913" s="9" t="s">
        <v>846</v>
      </c>
    </row>
    <row r="914" spans="1:16" ht="33.950000000000003" customHeight="1">
      <c r="A914" s="2" t="s">
        <v>847</v>
      </c>
      <c r="B914" s="2" t="s">
        <v>73</v>
      </c>
      <c r="C914" s="8" t="s">
        <v>848</v>
      </c>
      <c r="D914" s="2">
        <v>2</v>
      </c>
      <c r="E914" s="8" t="s">
        <v>3176</v>
      </c>
      <c r="F914" s="2" t="s">
        <v>86</v>
      </c>
      <c r="G914" s="2" t="s">
        <v>3177</v>
      </c>
      <c r="H914" s="2"/>
      <c r="I914" s="8" t="s">
        <v>3227</v>
      </c>
      <c r="J914" s="2">
        <v>2026</v>
      </c>
      <c r="K914" s="2">
        <v>698</v>
      </c>
      <c r="L914" s="8" t="s">
        <v>4261</v>
      </c>
      <c r="M914" s="2">
        <v>6.5</v>
      </c>
      <c r="N914" s="8" t="s">
        <v>4262</v>
      </c>
      <c r="O914" s="8" t="str">
        <f t="shared" ref="O914:O920" si="89">HYPERLINK("https://seichotoushi-hojo.jp/assets/pdf/koufu/outline_30.pdf","PDFを開く")</f>
        <v>PDFを開く</v>
      </c>
      <c r="P914" s="8" t="s">
        <v>855</v>
      </c>
    </row>
    <row r="915" spans="1:16" ht="33.950000000000003" customHeight="1">
      <c r="A915" s="5" t="s">
        <v>847</v>
      </c>
      <c r="B915" s="5" t="s">
        <v>73</v>
      </c>
      <c r="C915" s="9" t="s">
        <v>848</v>
      </c>
      <c r="D915" s="5">
        <v>2</v>
      </c>
      <c r="E915" s="9" t="s">
        <v>3176</v>
      </c>
      <c r="F915" s="5" t="s">
        <v>86</v>
      </c>
      <c r="G915" s="5" t="s">
        <v>3177</v>
      </c>
      <c r="H915" s="5"/>
      <c r="I915" s="9" t="s">
        <v>3292</v>
      </c>
      <c r="J915" s="5">
        <v>2029</v>
      </c>
      <c r="K915" s="5">
        <v>843</v>
      </c>
      <c r="L915" s="9" t="s">
        <v>4263</v>
      </c>
      <c r="M915" s="5">
        <v>6.5</v>
      </c>
      <c r="N915" s="9" t="s">
        <v>4262</v>
      </c>
      <c r="O915" s="9" t="str">
        <f t="shared" si="89"/>
        <v>PDFを開く</v>
      </c>
      <c r="P915" s="9" t="s">
        <v>855</v>
      </c>
    </row>
    <row r="916" spans="1:16" ht="33.950000000000003" customHeight="1">
      <c r="A916" s="2" t="s">
        <v>847</v>
      </c>
      <c r="B916" s="2" t="s">
        <v>73</v>
      </c>
      <c r="C916" s="8" t="s">
        <v>848</v>
      </c>
      <c r="D916" s="2">
        <v>2</v>
      </c>
      <c r="E916" s="8" t="s">
        <v>3184</v>
      </c>
      <c r="F916" s="2" t="s">
        <v>86</v>
      </c>
      <c r="G916" s="2" t="s">
        <v>3177</v>
      </c>
      <c r="H916" s="2"/>
      <c r="I916" s="8" t="s">
        <v>3227</v>
      </c>
      <c r="J916" s="2">
        <v>2026</v>
      </c>
      <c r="K916" s="2">
        <v>582</v>
      </c>
      <c r="L916" s="8" t="s">
        <v>4264</v>
      </c>
      <c r="M916" s="2">
        <v>6</v>
      </c>
      <c r="N916" s="8" t="s">
        <v>4265</v>
      </c>
      <c r="O916" s="8" t="str">
        <f t="shared" si="89"/>
        <v>PDFを開く</v>
      </c>
      <c r="P916" s="8" t="s">
        <v>855</v>
      </c>
    </row>
    <row r="917" spans="1:16" ht="33.950000000000003" customHeight="1">
      <c r="A917" s="5" t="s">
        <v>847</v>
      </c>
      <c r="B917" s="5" t="s">
        <v>73</v>
      </c>
      <c r="C917" s="9" t="s">
        <v>848</v>
      </c>
      <c r="D917" s="5">
        <v>2</v>
      </c>
      <c r="E917" s="9" t="s">
        <v>3184</v>
      </c>
      <c r="F917" s="5" t="s">
        <v>86</v>
      </c>
      <c r="G917" s="5" t="s">
        <v>3177</v>
      </c>
      <c r="H917" s="5"/>
      <c r="I917" s="9" t="s">
        <v>3292</v>
      </c>
      <c r="J917" s="5">
        <v>2029</v>
      </c>
      <c r="K917" s="5">
        <v>694</v>
      </c>
      <c r="L917" s="9" t="s">
        <v>4266</v>
      </c>
      <c r="M917" s="5">
        <v>6</v>
      </c>
      <c r="N917" s="9" t="s">
        <v>4265</v>
      </c>
      <c r="O917" s="9" t="str">
        <f t="shared" si="89"/>
        <v>PDFを開く</v>
      </c>
      <c r="P917" s="9" t="s">
        <v>855</v>
      </c>
    </row>
    <row r="918" spans="1:16" ht="33.950000000000003" customHeight="1">
      <c r="A918" s="2" t="s">
        <v>847</v>
      </c>
      <c r="B918" s="2" t="s">
        <v>73</v>
      </c>
      <c r="C918" s="8" t="s">
        <v>848</v>
      </c>
      <c r="D918" s="2">
        <v>2</v>
      </c>
      <c r="E918" s="8" t="s">
        <v>3188</v>
      </c>
      <c r="F918" s="2" t="s">
        <v>86</v>
      </c>
      <c r="G918" s="19" t="s">
        <v>3189</v>
      </c>
      <c r="H918" s="2"/>
      <c r="I918" s="8"/>
      <c r="J918" s="2"/>
      <c r="K918" s="2"/>
      <c r="L918" s="8"/>
      <c r="M918" s="2"/>
      <c r="N918" s="8" t="s">
        <v>4267</v>
      </c>
      <c r="O918" s="8" t="str">
        <f t="shared" si="89"/>
        <v>PDFを開く</v>
      </c>
      <c r="P918" s="8" t="s">
        <v>855</v>
      </c>
    </row>
    <row r="919" spans="1:16" ht="33.950000000000003" customHeight="1">
      <c r="A919" s="5" t="s">
        <v>847</v>
      </c>
      <c r="B919" s="5" t="s">
        <v>73</v>
      </c>
      <c r="C919" s="9" t="s">
        <v>848</v>
      </c>
      <c r="D919" s="5">
        <v>2</v>
      </c>
      <c r="E919" s="9" t="s">
        <v>3191</v>
      </c>
      <c r="F919" s="5" t="s">
        <v>2513</v>
      </c>
      <c r="G919" s="5" t="s">
        <v>3177</v>
      </c>
      <c r="H919" s="5"/>
      <c r="I919" s="9" t="s">
        <v>3227</v>
      </c>
      <c r="J919" s="5">
        <v>2026</v>
      </c>
      <c r="K919" s="5">
        <v>1600</v>
      </c>
      <c r="L919" s="9" t="s">
        <v>4268</v>
      </c>
      <c r="M919" s="5"/>
      <c r="N919" s="9" t="s">
        <v>4269</v>
      </c>
      <c r="O919" s="9" t="str">
        <f t="shared" si="89"/>
        <v>PDFを開く</v>
      </c>
      <c r="P919" s="9" t="s">
        <v>855</v>
      </c>
    </row>
    <row r="920" spans="1:16" ht="33.950000000000003" customHeight="1">
      <c r="A920" s="2" t="s">
        <v>847</v>
      </c>
      <c r="B920" s="2" t="s">
        <v>73</v>
      </c>
      <c r="C920" s="8" t="s">
        <v>848</v>
      </c>
      <c r="D920" s="2">
        <v>2</v>
      </c>
      <c r="E920" s="8" t="s">
        <v>3191</v>
      </c>
      <c r="F920" s="2" t="s">
        <v>2513</v>
      </c>
      <c r="G920" s="2" t="s">
        <v>3177</v>
      </c>
      <c r="H920" s="2"/>
      <c r="I920" s="8" t="s">
        <v>3292</v>
      </c>
      <c r="J920" s="2">
        <v>2029</v>
      </c>
      <c r="K920" s="2">
        <v>1700</v>
      </c>
      <c r="L920" s="8" t="s">
        <v>4270</v>
      </c>
      <c r="M920" s="2"/>
      <c r="N920" s="8" t="s">
        <v>4269</v>
      </c>
      <c r="O920" s="8" t="str">
        <f t="shared" si="89"/>
        <v>PDFを開く</v>
      </c>
      <c r="P920" s="8" t="s">
        <v>855</v>
      </c>
    </row>
    <row r="921" spans="1:16" ht="33.950000000000003" customHeight="1">
      <c r="A921" s="5" t="s">
        <v>856</v>
      </c>
      <c r="B921" s="5" t="s">
        <v>73</v>
      </c>
      <c r="C921" s="9" t="s">
        <v>857</v>
      </c>
      <c r="D921" s="5">
        <v>2</v>
      </c>
      <c r="E921" s="9" t="s">
        <v>3176</v>
      </c>
      <c r="F921" s="5" t="s">
        <v>86</v>
      </c>
      <c r="G921" s="5" t="s">
        <v>3177</v>
      </c>
      <c r="H921" s="5" t="s">
        <v>3178</v>
      </c>
      <c r="I921" s="9" t="s">
        <v>3179</v>
      </c>
      <c r="J921" s="5">
        <v>2026</v>
      </c>
      <c r="K921" s="5">
        <v>1159</v>
      </c>
      <c r="L921" s="9" t="s">
        <v>4271</v>
      </c>
      <c r="M921" s="5">
        <v>6.14</v>
      </c>
      <c r="N921" s="9" t="s">
        <v>4272</v>
      </c>
      <c r="O921" s="9" t="str">
        <f t="shared" ref="O921:O928" si="90">HYPERLINK("https://seichotoushi-hojo.jp/assets/pdf/koufu/outline_31.pdf","PDFを開く")</f>
        <v>PDFを開く</v>
      </c>
      <c r="P921" s="9" t="s">
        <v>863</v>
      </c>
    </row>
    <row r="922" spans="1:16" ht="33.950000000000003" customHeight="1">
      <c r="A922" s="2" t="s">
        <v>856</v>
      </c>
      <c r="B922" s="2" t="s">
        <v>73</v>
      </c>
      <c r="C922" s="8" t="s">
        <v>857</v>
      </c>
      <c r="D922" s="2">
        <v>2</v>
      </c>
      <c r="E922" s="8" t="s">
        <v>3176</v>
      </c>
      <c r="F922" s="2" t="s">
        <v>86</v>
      </c>
      <c r="G922" s="2" t="s">
        <v>3177</v>
      </c>
      <c r="H922" s="2" t="s">
        <v>3178</v>
      </c>
      <c r="I922" s="8" t="s">
        <v>3182</v>
      </c>
      <c r="J922" s="2">
        <v>2029</v>
      </c>
      <c r="K922" s="2">
        <v>1385</v>
      </c>
      <c r="L922" s="8" t="s">
        <v>4273</v>
      </c>
      <c r="M922" s="2">
        <v>6.14</v>
      </c>
      <c r="N922" s="8" t="s">
        <v>4272</v>
      </c>
      <c r="O922" s="8" t="str">
        <f t="shared" si="90"/>
        <v>PDFを開く</v>
      </c>
      <c r="P922" s="8" t="s">
        <v>863</v>
      </c>
    </row>
    <row r="923" spans="1:16" ht="33.950000000000003" customHeight="1">
      <c r="A923" s="5" t="s">
        <v>856</v>
      </c>
      <c r="B923" s="5" t="s">
        <v>73</v>
      </c>
      <c r="C923" s="9" t="s">
        <v>857</v>
      </c>
      <c r="D923" s="5">
        <v>2</v>
      </c>
      <c r="E923" s="9" t="s">
        <v>3184</v>
      </c>
      <c r="F923" s="5" t="s">
        <v>86</v>
      </c>
      <c r="G923" s="5" t="s">
        <v>3177</v>
      </c>
      <c r="H923" s="5" t="s">
        <v>3178</v>
      </c>
      <c r="I923" s="9" t="s">
        <v>3179</v>
      </c>
      <c r="J923" s="5">
        <v>2026</v>
      </c>
      <c r="K923" s="5">
        <v>413</v>
      </c>
      <c r="L923" s="9" t="s">
        <v>4274</v>
      </c>
      <c r="M923" s="5">
        <v>6.72</v>
      </c>
      <c r="N923" s="9" t="s">
        <v>4275</v>
      </c>
      <c r="O923" s="9" t="str">
        <f t="shared" si="90"/>
        <v>PDFを開く</v>
      </c>
      <c r="P923" s="9" t="s">
        <v>863</v>
      </c>
    </row>
    <row r="924" spans="1:16" ht="33.950000000000003" customHeight="1">
      <c r="A924" s="2" t="s">
        <v>856</v>
      </c>
      <c r="B924" s="2" t="s">
        <v>73</v>
      </c>
      <c r="C924" s="8" t="s">
        <v>857</v>
      </c>
      <c r="D924" s="2">
        <v>2</v>
      </c>
      <c r="E924" s="8" t="s">
        <v>3184</v>
      </c>
      <c r="F924" s="2" t="s">
        <v>86</v>
      </c>
      <c r="G924" s="2" t="s">
        <v>3177</v>
      </c>
      <c r="H924" s="2" t="s">
        <v>3178</v>
      </c>
      <c r="I924" s="8" t="s">
        <v>3182</v>
      </c>
      <c r="J924" s="2">
        <v>2029</v>
      </c>
      <c r="K924" s="2">
        <v>502</v>
      </c>
      <c r="L924" s="8" t="s">
        <v>4276</v>
      </c>
      <c r="M924" s="2">
        <v>6.72</v>
      </c>
      <c r="N924" s="8" t="s">
        <v>4275</v>
      </c>
      <c r="O924" s="8" t="str">
        <f t="shared" si="90"/>
        <v>PDFを開く</v>
      </c>
      <c r="P924" s="8" t="s">
        <v>863</v>
      </c>
    </row>
    <row r="925" spans="1:16" ht="33.950000000000003" customHeight="1">
      <c r="A925" s="5" t="s">
        <v>856</v>
      </c>
      <c r="B925" s="5" t="s">
        <v>73</v>
      </c>
      <c r="C925" s="9" t="s">
        <v>857</v>
      </c>
      <c r="D925" s="5">
        <v>2</v>
      </c>
      <c r="E925" s="9" t="s">
        <v>3188</v>
      </c>
      <c r="F925" s="5" t="s">
        <v>86</v>
      </c>
      <c r="G925" s="5" t="s">
        <v>3177</v>
      </c>
      <c r="H925" s="5" t="s">
        <v>3178</v>
      </c>
      <c r="I925" s="9" t="s">
        <v>3179</v>
      </c>
      <c r="J925" s="5">
        <v>2026</v>
      </c>
      <c r="K925" s="5">
        <v>1874</v>
      </c>
      <c r="L925" s="9" t="s">
        <v>4277</v>
      </c>
      <c r="M925" s="5">
        <v>5</v>
      </c>
      <c r="N925" s="9" t="s">
        <v>4278</v>
      </c>
      <c r="O925" s="9" t="str">
        <f t="shared" si="90"/>
        <v>PDFを開く</v>
      </c>
      <c r="P925" s="9" t="s">
        <v>863</v>
      </c>
    </row>
    <row r="926" spans="1:16" ht="33.950000000000003" customHeight="1">
      <c r="A926" s="2" t="s">
        <v>856</v>
      </c>
      <c r="B926" s="2" t="s">
        <v>73</v>
      </c>
      <c r="C926" s="8" t="s">
        <v>857</v>
      </c>
      <c r="D926" s="2">
        <v>2</v>
      </c>
      <c r="E926" s="8" t="s">
        <v>3188</v>
      </c>
      <c r="F926" s="2" t="s">
        <v>86</v>
      </c>
      <c r="G926" s="2" t="s">
        <v>3177</v>
      </c>
      <c r="H926" s="2" t="s">
        <v>3178</v>
      </c>
      <c r="I926" s="8" t="s">
        <v>3182</v>
      </c>
      <c r="J926" s="2">
        <v>2029</v>
      </c>
      <c r="K926" s="2">
        <v>2170</v>
      </c>
      <c r="L926" s="8" t="s">
        <v>4279</v>
      </c>
      <c r="M926" s="2">
        <v>5</v>
      </c>
      <c r="N926" s="8" t="s">
        <v>4278</v>
      </c>
      <c r="O926" s="8" t="str">
        <f t="shared" si="90"/>
        <v>PDFを開く</v>
      </c>
      <c r="P926" s="8" t="s">
        <v>863</v>
      </c>
    </row>
    <row r="927" spans="1:16" ht="33.950000000000003" customHeight="1">
      <c r="A927" s="5" t="s">
        <v>856</v>
      </c>
      <c r="B927" s="5" t="s">
        <v>73</v>
      </c>
      <c r="C927" s="9" t="s">
        <v>857</v>
      </c>
      <c r="D927" s="5">
        <v>2</v>
      </c>
      <c r="E927" s="9" t="s">
        <v>3191</v>
      </c>
      <c r="F927" s="5" t="s">
        <v>2513</v>
      </c>
      <c r="G927" s="5" t="s">
        <v>3177</v>
      </c>
      <c r="H927" s="5" t="s">
        <v>3178</v>
      </c>
      <c r="I927" s="9" t="s">
        <v>3179</v>
      </c>
      <c r="J927" s="5">
        <v>2026</v>
      </c>
      <c r="K927" s="5">
        <v>75</v>
      </c>
      <c r="L927" s="9" t="s">
        <v>4098</v>
      </c>
      <c r="M927" s="5"/>
      <c r="N927" s="9" t="s">
        <v>4280</v>
      </c>
      <c r="O927" s="9" t="str">
        <f t="shared" si="90"/>
        <v>PDFを開く</v>
      </c>
      <c r="P927" s="9" t="s">
        <v>863</v>
      </c>
    </row>
    <row r="928" spans="1:16" ht="33.950000000000003" customHeight="1">
      <c r="A928" s="2" t="s">
        <v>856</v>
      </c>
      <c r="B928" s="2" t="s">
        <v>73</v>
      </c>
      <c r="C928" s="8" t="s">
        <v>857</v>
      </c>
      <c r="D928" s="2">
        <v>2</v>
      </c>
      <c r="E928" s="8" t="s">
        <v>3191</v>
      </c>
      <c r="F928" s="2" t="s">
        <v>2513</v>
      </c>
      <c r="G928" s="2" t="s">
        <v>3177</v>
      </c>
      <c r="H928" s="2" t="s">
        <v>3178</v>
      </c>
      <c r="I928" s="8" t="s">
        <v>3182</v>
      </c>
      <c r="J928" s="2">
        <v>2029</v>
      </c>
      <c r="K928" s="2">
        <v>102</v>
      </c>
      <c r="L928" s="8" t="s">
        <v>3735</v>
      </c>
      <c r="M928" s="2"/>
      <c r="N928" s="8" t="s">
        <v>4280</v>
      </c>
      <c r="O928" s="8" t="str">
        <f t="shared" si="90"/>
        <v>PDFを開く</v>
      </c>
      <c r="P928" s="8" t="s">
        <v>863</v>
      </c>
    </row>
    <row r="929" spans="1:16" ht="33.950000000000003" customHeight="1">
      <c r="A929" s="5" t="s">
        <v>864</v>
      </c>
      <c r="B929" s="5" t="s">
        <v>73</v>
      </c>
      <c r="C929" s="9" t="s">
        <v>865</v>
      </c>
      <c r="D929" s="5">
        <v>2</v>
      </c>
      <c r="E929" s="9" t="s">
        <v>3176</v>
      </c>
      <c r="F929" s="5" t="s">
        <v>86</v>
      </c>
      <c r="G929" s="5" t="s">
        <v>3177</v>
      </c>
      <c r="H929" s="5" t="s">
        <v>3178</v>
      </c>
      <c r="I929" s="9" t="s">
        <v>3407</v>
      </c>
      <c r="J929" s="5">
        <v>2025</v>
      </c>
      <c r="K929" s="5">
        <v>1097</v>
      </c>
      <c r="L929" s="9" t="s">
        <v>4281</v>
      </c>
      <c r="M929" s="5">
        <v>21</v>
      </c>
      <c r="N929" s="9" t="s">
        <v>4282</v>
      </c>
      <c r="O929" s="9" t="str">
        <f t="shared" ref="O929:O943" si="91">HYPERLINK("https://seichotoushi-hojo.jp/assets/pdf/koufu/outline_32.pdf","PDFを開く")</f>
        <v>PDFを開く</v>
      </c>
      <c r="P929" s="9" t="s">
        <v>871</v>
      </c>
    </row>
    <row r="930" spans="1:16" ht="33.950000000000003" customHeight="1">
      <c r="A930" s="2" t="s">
        <v>864</v>
      </c>
      <c r="B930" s="2" t="s">
        <v>73</v>
      </c>
      <c r="C930" s="8" t="s">
        <v>865</v>
      </c>
      <c r="D930" s="2">
        <v>2</v>
      </c>
      <c r="E930" s="8" t="s">
        <v>3176</v>
      </c>
      <c r="F930" s="2" t="s">
        <v>86</v>
      </c>
      <c r="G930" s="2" t="s">
        <v>3177</v>
      </c>
      <c r="H930" s="2" t="s">
        <v>3178</v>
      </c>
      <c r="I930" s="8" t="s">
        <v>3182</v>
      </c>
      <c r="J930" s="2">
        <v>2029</v>
      </c>
      <c r="K930" s="2">
        <v>1943</v>
      </c>
      <c r="L930" s="8" t="s">
        <v>4283</v>
      </c>
      <c r="M930" s="2">
        <v>21</v>
      </c>
      <c r="N930" s="8" t="s">
        <v>4282</v>
      </c>
      <c r="O930" s="8" t="str">
        <f t="shared" si="91"/>
        <v>PDFを開く</v>
      </c>
      <c r="P930" s="8" t="s">
        <v>871</v>
      </c>
    </row>
    <row r="931" spans="1:16" ht="33.950000000000003" customHeight="1">
      <c r="A931" s="5" t="s">
        <v>864</v>
      </c>
      <c r="B931" s="5" t="s">
        <v>73</v>
      </c>
      <c r="C931" s="9" t="s">
        <v>865</v>
      </c>
      <c r="D931" s="5">
        <v>2</v>
      </c>
      <c r="E931" s="9" t="s">
        <v>3184</v>
      </c>
      <c r="F931" s="5" t="s">
        <v>86</v>
      </c>
      <c r="G931" s="5" t="s">
        <v>3177</v>
      </c>
      <c r="H931" s="5" t="s">
        <v>3178</v>
      </c>
      <c r="I931" s="9" t="s">
        <v>3407</v>
      </c>
      <c r="J931" s="5">
        <v>2025</v>
      </c>
      <c r="K931" s="5">
        <v>521</v>
      </c>
      <c r="L931" s="9" t="s">
        <v>4284</v>
      </c>
      <c r="M931" s="5">
        <v>4.51</v>
      </c>
      <c r="N931" s="9" t="s">
        <v>4285</v>
      </c>
      <c r="O931" s="9" t="str">
        <f t="shared" si="91"/>
        <v>PDFを開く</v>
      </c>
      <c r="P931" s="9" t="s">
        <v>871</v>
      </c>
    </row>
    <row r="932" spans="1:16" ht="33.950000000000003" customHeight="1">
      <c r="A932" s="2" t="s">
        <v>864</v>
      </c>
      <c r="B932" s="2" t="s">
        <v>73</v>
      </c>
      <c r="C932" s="8" t="s">
        <v>865</v>
      </c>
      <c r="D932" s="2">
        <v>2</v>
      </c>
      <c r="E932" s="8" t="s">
        <v>3184</v>
      </c>
      <c r="F932" s="2" t="s">
        <v>86</v>
      </c>
      <c r="G932" s="2" t="s">
        <v>3177</v>
      </c>
      <c r="H932" s="2" t="s">
        <v>3178</v>
      </c>
      <c r="I932" s="8" t="s">
        <v>3182</v>
      </c>
      <c r="J932" s="2">
        <v>2029</v>
      </c>
      <c r="K932" s="2">
        <v>594</v>
      </c>
      <c r="L932" s="8" t="s">
        <v>4286</v>
      </c>
      <c r="M932" s="2">
        <v>4.51</v>
      </c>
      <c r="N932" s="8" t="s">
        <v>4285</v>
      </c>
      <c r="O932" s="8" t="str">
        <f t="shared" si="91"/>
        <v>PDFを開く</v>
      </c>
      <c r="P932" s="8" t="s">
        <v>871</v>
      </c>
    </row>
    <row r="933" spans="1:16" ht="33.950000000000003" customHeight="1">
      <c r="A933" s="5" t="s">
        <v>864</v>
      </c>
      <c r="B933" s="5" t="s">
        <v>73</v>
      </c>
      <c r="C933" s="9" t="s">
        <v>865</v>
      </c>
      <c r="D933" s="5">
        <v>2</v>
      </c>
      <c r="E933" s="9" t="s">
        <v>3188</v>
      </c>
      <c r="F933" s="5" t="s">
        <v>86</v>
      </c>
      <c r="G933" s="19" t="s">
        <v>3189</v>
      </c>
      <c r="H933" s="5" t="s">
        <v>3178</v>
      </c>
      <c r="I933" s="9"/>
      <c r="J933" s="5"/>
      <c r="K933" s="5"/>
      <c r="L933" s="9"/>
      <c r="M933" s="5">
        <v>3</v>
      </c>
      <c r="N933" s="9" t="s">
        <v>4287</v>
      </c>
      <c r="O933" s="9" t="str">
        <f t="shared" si="91"/>
        <v>PDFを開く</v>
      </c>
      <c r="P933" s="9" t="s">
        <v>871</v>
      </c>
    </row>
    <row r="934" spans="1:16" ht="33.950000000000003" customHeight="1">
      <c r="A934" s="2" t="s">
        <v>864</v>
      </c>
      <c r="B934" s="2" t="s">
        <v>73</v>
      </c>
      <c r="C934" s="8" t="s">
        <v>865</v>
      </c>
      <c r="D934" s="2">
        <v>2</v>
      </c>
      <c r="E934" s="8" t="s">
        <v>3191</v>
      </c>
      <c r="F934" s="2" t="s">
        <v>2513</v>
      </c>
      <c r="G934" s="2" t="s">
        <v>3177</v>
      </c>
      <c r="H934" s="2" t="s">
        <v>3178</v>
      </c>
      <c r="I934" s="8" t="s">
        <v>3407</v>
      </c>
      <c r="J934" s="2">
        <v>2025</v>
      </c>
      <c r="K934" s="2">
        <v>89</v>
      </c>
      <c r="L934" s="8" t="s">
        <v>4288</v>
      </c>
      <c r="M934" s="2"/>
      <c r="N934" s="8" t="s">
        <v>4289</v>
      </c>
      <c r="O934" s="8" t="str">
        <f t="shared" si="91"/>
        <v>PDFを開く</v>
      </c>
      <c r="P934" s="8" t="s">
        <v>871</v>
      </c>
    </row>
    <row r="935" spans="1:16" ht="33.950000000000003" customHeight="1">
      <c r="A935" s="5" t="s">
        <v>864</v>
      </c>
      <c r="B935" s="5" t="s">
        <v>73</v>
      </c>
      <c r="C935" s="9" t="s">
        <v>865</v>
      </c>
      <c r="D935" s="5">
        <v>2</v>
      </c>
      <c r="E935" s="9" t="s">
        <v>3191</v>
      </c>
      <c r="F935" s="5" t="s">
        <v>2513</v>
      </c>
      <c r="G935" s="5" t="s">
        <v>3177</v>
      </c>
      <c r="H935" s="5" t="s">
        <v>3178</v>
      </c>
      <c r="I935" s="9" t="s">
        <v>3182</v>
      </c>
      <c r="J935" s="5">
        <v>2029</v>
      </c>
      <c r="K935" s="5">
        <v>95</v>
      </c>
      <c r="L935" s="9" t="s">
        <v>3313</v>
      </c>
      <c r="M935" s="5"/>
      <c r="N935" s="9" t="s">
        <v>4289</v>
      </c>
      <c r="O935" s="9" t="str">
        <f t="shared" si="91"/>
        <v>PDFを開く</v>
      </c>
      <c r="P935" s="9" t="s">
        <v>871</v>
      </c>
    </row>
    <row r="936" spans="1:16" ht="33.950000000000003" customHeight="1">
      <c r="A936" s="2" t="s">
        <v>864</v>
      </c>
      <c r="B936" s="2" t="s">
        <v>73</v>
      </c>
      <c r="C936" s="8" t="s">
        <v>865</v>
      </c>
      <c r="D936" s="2">
        <v>2</v>
      </c>
      <c r="E936" s="8" t="s">
        <v>3176</v>
      </c>
      <c r="F936" s="2" t="s">
        <v>86</v>
      </c>
      <c r="G936" s="2" t="s">
        <v>3177</v>
      </c>
      <c r="H936" s="2"/>
      <c r="I936" s="8" t="s">
        <v>4290</v>
      </c>
      <c r="J936" s="2">
        <v>2025</v>
      </c>
      <c r="K936" s="2">
        <v>1097</v>
      </c>
      <c r="L936" s="8" t="s">
        <v>4281</v>
      </c>
      <c r="M936" s="2">
        <v>21</v>
      </c>
      <c r="N936" s="8" t="s">
        <v>4291</v>
      </c>
      <c r="O936" s="8" t="str">
        <f t="shared" si="91"/>
        <v>PDFを開く</v>
      </c>
      <c r="P936" s="8" t="s">
        <v>871</v>
      </c>
    </row>
    <row r="937" spans="1:16" ht="33.950000000000003" customHeight="1">
      <c r="A937" s="5" t="s">
        <v>864</v>
      </c>
      <c r="B937" s="5" t="s">
        <v>73</v>
      </c>
      <c r="C937" s="9" t="s">
        <v>865</v>
      </c>
      <c r="D937" s="5">
        <v>2</v>
      </c>
      <c r="E937" s="9" t="s">
        <v>3176</v>
      </c>
      <c r="F937" s="5" t="s">
        <v>86</v>
      </c>
      <c r="G937" s="5" t="s">
        <v>3177</v>
      </c>
      <c r="H937" s="5"/>
      <c r="I937" s="9" t="s">
        <v>3230</v>
      </c>
      <c r="J937" s="5">
        <v>2029</v>
      </c>
      <c r="K937" s="5">
        <v>1943</v>
      </c>
      <c r="L937" s="9" t="s">
        <v>4283</v>
      </c>
      <c r="M937" s="5">
        <v>21</v>
      </c>
      <c r="N937" s="9" t="s">
        <v>4291</v>
      </c>
      <c r="O937" s="9" t="str">
        <f t="shared" si="91"/>
        <v>PDFを開く</v>
      </c>
      <c r="P937" s="9" t="s">
        <v>871</v>
      </c>
    </row>
    <row r="938" spans="1:16" ht="33.950000000000003" customHeight="1">
      <c r="A938" s="2" t="s">
        <v>864</v>
      </c>
      <c r="B938" s="2" t="s">
        <v>73</v>
      </c>
      <c r="C938" s="8" t="s">
        <v>865</v>
      </c>
      <c r="D938" s="2">
        <v>2</v>
      </c>
      <c r="E938" s="8" t="s">
        <v>3184</v>
      </c>
      <c r="F938" s="2" t="s">
        <v>86</v>
      </c>
      <c r="G938" s="2" t="s">
        <v>3177</v>
      </c>
      <c r="H938" s="2"/>
      <c r="I938" s="8" t="s">
        <v>4290</v>
      </c>
      <c r="J938" s="2">
        <v>2025</v>
      </c>
      <c r="K938" s="2">
        <v>521</v>
      </c>
      <c r="L938" s="8" t="s">
        <v>4284</v>
      </c>
      <c r="M938" s="2">
        <v>4.51</v>
      </c>
      <c r="N938" s="8" t="s">
        <v>4292</v>
      </c>
      <c r="O938" s="8" t="str">
        <f t="shared" si="91"/>
        <v>PDFを開く</v>
      </c>
      <c r="P938" s="8" t="s">
        <v>871</v>
      </c>
    </row>
    <row r="939" spans="1:16" ht="33.950000000000003" customHeight="1">
      <c r="A939" s="5" t="s">
        <v>864</v>
      </c>
      <c r="B939" s="5" t="s">
        <v>73</v>
      </c>
      <c r="C939" s="9" t="s">
        <v>865</v>
      </c>
      <c r="D939" s="5">
        <v>2</v>
      </c>
      <c r="E939" s="9" t="s">
        <v>3184</v>
      </c>
      <c r="F939" s="5" t="s">
        <v>86</v>
      </c>
      <c r="G939" s="5" t="s">
        <v>3177</v>
      </c>
      <c r="H939" s="5"/>
      <c r="I939" s="9" t="s">
        <v>3230</v>
      </c>
      <c r="J939" s="5">
        <v>2029</v>
      </c>
      <c r="K939" s="5">
        <v>594</v>
      </c>
      <c r="L939" s="9" t="s">
        <v>4286</v>
      </c>
      <c r="M939" s="5">
        <v>4.51</v>
      </c>
      <c r="N939" s="9" t="s">
        <v>4292</v>
      </c>
      <c r="O939" s="9" t="str">
        <f t="shared" si="91"/>
        <v>PDFを開く</v>
      </c>
      <c r="P939" s="9" t="s">
        <v>871</v>
      </c>
    </row>
    <row r="940" spans="1:16" ht="33.950000000000003" customHeight="1">
      <c r="A940" s="2" t="s">
        <v>864</v>
      </c>
      <c r="B940" s="2" t="s">
        <v>73</v>
      </c>
      <c r="C940" s="8" t="s">
        <v>865</v>
      </c>
      <c r="D940" s="2">
        <v>2</v>
      </c>
      <c r="E940" s="8" t="s">
        <v>3191</v>
      </c>
      <c r="F940" s="2" t="s">
        <v>2513</v>
      </c>
      <c r="G940" s="2" t="s">
        <v>3177</v>
      </c>
      <c r="H940" s="2"/>
      <c r="I940" s="8" t="s">
        <v>4290</v>
      </c>
      <c r="J940" s="2">
        <v>2025</v>
      </c>
      <c r="K940" s="2">
        <v>89</v>
      </c>
      <c r="L940" s="8" t="s">
        <v>4288</v>
      </c>
      <c r="M940" s="2"/>
      <c r="N940" s="8" t="s">
        <v>4293</v>
      </c>
      <c r="O940" s="8" t="str">
        <f t="shared" si="91"/>
        <v>PDFを開く</v>
      </c>
      <c r="P940" s="8" t="s">
        <v>871</v>
      </c>
    </row>
    <row r="941" spans="1:16" ht="33.950000000000003" customHeight="1">
      <c r="A941" s="5" t="s">
        <v>864</v>
      </c>
      <c r="B941" s="5" t="s">
        <v>73</v>
      </c>
      <c r="C941" s="9" t="s">
        <v>865</v>
      </c>
      <c r="D941" s="5">
        <v>2</v>
      </c>
      <c r="E941" s="9" t="s">
        <v>3191</v>
      </c>
      <c r="F941" s="5" t="s">
        <v>2513</v>
      </c>
      <c r="G941" s="5" t="s">
        <v>3177</v>
      </c>
      <c r="H941" s="5"/>
      <c r="I941" s="9" t="s">
        <v>3230</v>
      </c>
      <c r="J941" s="5">
        <v>2029</v>
      </c>
      <c r="K941" s="5">
        <v>95</v>
      </c>
      <c r="L941" s="9" t="s">
        <v>3313</v>
      </c>
      <c r="M941" s="5"/>
      <c r="N941" s="9" t="s">
        <v>4293</v>
      </c>
      <c r="O941" s="9" t="str">
        <f t="shared" si="91"/>
        <v>PDFを開く</v>
      </c>
      <c r="P941" s="9" t="s">
        <v>871</v>
      </c>
    </row>
    <row r="942" spans="1:16" ht="33.950000000000003" customHeight="1">
      <c r="A942" s="2" t="s">
        <v>864</v>
      </c>
      <c r="B942" s="2" t="s">
        <v>73</v>
      </c>
      <c r="C942" s="8" t="s">
        <v>865</v>
      </c>
      <c r="D942" s="2">
        <v>2</v>
      </c>
      <c r="E942" s="8" t="s">
        <v>3188</v>
      </c>
      <c r="F942" s="2" t="s">
        <v>86</v>
      </c>
      <c r="G942" s="2" t="s">
        <v>3177</v>
      </c>
      <c r="H942" s="2"/>
      <c r="I942" s="8" t="s">
        <v>4294</v>
      </c>
      <c r="J942" s="2">
        <v>2025</v>
      </c>
      <c r="K942" s="2"/>
      <c r="L942" s="8" t="s">
        <v>3211</v>
      </c>
      <c r="M942" s="2">
        <v>3</v>
      </c>
      <c r="N942" s="8" t="s">
        <v>4295</v>
      </c>
      <c r="O942" s="8" t="str">
        <f t="shared" si="91"/>
        <v>PDFを開く</v>
      </c>
      <c r="P942" s="8" t="s">
        <v>871</v>
      </c>
    </row>
    <row r="943" spans="1:16" ht="33.950000000000003" customHeight="1">
      <c r="A943" s="5" t="s">
        <v>864</v>
      </c>
      <c r="B943" s="5" t="s">
        <v>73</v>
      </c>
      <c r="C943" s="9" t="s">
        <v>865</v>
      </c>
      <c r="D943" s="5">
        <v>2</v>
      </c>
      <c r="E943" s="9" t="s">
        <v>3188</v>
      </c>
      <c r="F943" s="5" t="s">
        <v>86</v>
      </c>
      <c r="G943" s="5" t="s">
        <v>3177</v>
      </c>
      <c r="H943" s="5"/>
      <c r="I943" s="9" t="s">
        <v>4296</v>
      </c>
      <c r="J943" s="5">
        <v>2029</v>
      </c>
      <c r="K943" s="5"/>
      <c r="L943" s="9" t="s">
        <v>4297</v>
      </c>
      <c r="M943" s="5">
        <v>3</v>
      </c>
      <c r="N943" s="9" t="s">
        <v>4295</v>
      </c>
      <c r="O943" s="9" t="str">
        <f t="shared" si="91"/>
        <v>PDFを開く</v>
      </c>
      <c r="P943" s="9" t="s">
        <v>871</v>
      </c>
    </row>
    <row r="944" spans="1:16" ht="33.950000000000003" customHeight="1">
      <c r="A944" s="2" t="s">
        <v>872</v>
      </c>
      <c r="B944" s="2" t="s">
        <v>73</v>
      </c>
      <c r="C944" s="8" t="s">
        <v>873</v>
      </c>
      <c r="D944" s="2">
        <v>2</v>
      </c>
      <c r="E944" s="8" t="s">
        <v>3176</v>
      </c>
      <c r="F944" s="2" t="s">
        <v>86</v>
      </c>
      <c r="G944" s="2" t="s">
        <v>3177</v>
      </c>
      <c r="H944" s="2" t="s">
        <v>3178</v>
      </c>
      <c r="I944" s="8" t="s">
        <v>3407</v>
      </c>
      <c r="J944" s="2">
        <v>2025</v>
      </c>
      <c r="K944" s="2">
        <v>1608</v>
      </c>
      <c r="L944" s="8" t="s">
        <v>4298</v>
      </c>
      <c r="M944" s="2">
        <v>8.34</v>
      </c>
      <c r="N944" s="8" t="s">
        <v>4299</v>
      </c>
      <c r="O944" s="8" t="str">
        <f t="shared" ref="O944:O950" si="92">HYPERLINK("https://seichotoushi-hojo.jp/assets/pdf/koufu/outline_33.pdf","PDFを開く")</f>
        <v>PDFを開く</v>
      </c>
      <c r="P944" s="8" t="s">
        <v>878</v>
      </c>
    </row>
    <row r="945" spans="1:16" ht="33.950000000000003" customHeight="1">
      <c r="A945" s="5" t="s">
        <v>872</v>
      </c>
      <c r="B945" s="5" t="s">
        <v>73</v>
      </c>
      <c r="C945" s="9" t="s">
        <v>873</v>
      </c>
      <c r="D945" s="5">
        <v>2</v>
      </c>
      <c r="E945" s="9" t="s">
        <v>3176</v>
      </c>
      <c r="F945" s="5" t="s">
        <v>86</v>
      </c>
      <c r="G945" s="5" t="s">
        <v>3177</v>
      </c>
      <c r="H945" s="5" t="s">
        <v>3178</v>
      </c>
      <c r="I945" s="9" t="s">
        <v>4300</v>
      </c>
      <c r="J945" s="5">
        <v>2028</v>
      </c>
      <c r="K945" s="5">
        <v>2044</v>
      </c>
      <c r="L945" s="9" t="s">
        <v>4301</v>
      </c>
      <c r="M945" s="5">
        <v>8.34</v>
      </c>
      <c r="N945" s="9" t="s">
        <v>4299</v>
      </c>
      <c r="O945" s="9" t="str">
        <f t="shared" si="92"/>
        <v>PDFを開く</v>
      </c>
      <c r="P945" s="9" t="s">
        <v>878</v>
      </c>
    </row>
    <row r="946" spans="1:16" ht="33.950000000000003" customHeight="1">
      <c r="A946" s="2" t="s">
        <v>872</v>
      </c>
      <c r="B946" s="2" t="s">
        <v>73</v>
      </c>
      <c r="C946" s="8" t="s">
        <v>873</v>
      </c>
      <c r="D946" s="2">
        <v>2</v>
      </c>
      <c r="E946" s="8" t="s">
        <v>3184</v>
      </c>
      <c r="F946" s="2" t="s">
        <v>86</v>
      </c>
      <c r="G946" s="2" t="s">
        <v>3177</v>
      </c>
      <c r="H946" s="2" t="s">
        <v>3178</v>
      </c>
      <c r="I946" s="8" t="s">
        <v>3407</v>
      </c>
      <c r="J946" s="2">
        <v>2025</v>
      </c>
      <c r="K946" s="2">
        <v>452</v>
      </c>
      <c r="L946" s="8" t="s">
        <v>4302</v>
      </c>
      <c r="M946" s="2">
        <v>5</v>
      </c>
      <c r="N946" s="8" t="s">
        <v>4303</v>
      </c>
      <c r="O946" s="8" t="str">
        <f t="shared" si="92"/>
        <v>PDFを開く</v>
      </c>
      <c r="P946" s="8" t="s">
        <v>878</v>
      </c>
    </row>
    <row r="947" spans="1:16" ht="33.950000000000003" customHeight="1">
      <c r="A947" s="5" t="s">
        <v>872</v>
      </c>
      <c r="B947" s="5" t="s">
        <v>73</v>
      </c>
      <c r="C947" s="9" t="s">
        <v>873</v>
      </c>
      <c r="D947" s="5">
        <v>2</v>
      </c>
      <c r="E947" s="9" t="s">
        <v>3184</v>
      </c>
      <c r="F947" s="5" t="s">
        <v>86</v>
      </c>
      <c r="G947" s="5" t="s">
        <v>3177</v>
      </c>
      <c r="H947" s="5" t="s">
        <v>3178</v>
      </c>
      <c r="I947" s="9" t="s">
        <v>4300</v>
      </c>
      <c r="J947" s="5">
        <v>2028</v>
      </c>
      <c r="K947" s="5">
        <v>523</v>
      </c>
      <c r="L947" s="9" t="s">
        <v>4304</v>
      </c>
      <c r="M947" s="5">
        <v>5</v>
      </c>
      <c r="N947" s="9" t="s">
        <v>4303</v>
      </c>
      <c r="O947" s="9" t="str">
        <f t="shared" si="92"/>
        <v>PDFを開く</v>
      </c>
      <c r="P947" s="9" t="s">
        <v>878</v>
      </c>
    </row>
    <row r="948" spans="1:16" ht="33.950000000000003" customHeight="1">
      <c r="A948" s="2" t="s">
        <v>872</v>
      </c>
      <c r="B948" s="2" t="s">
        <v>73</v>
      </c>
      <c r="C948" s="8" t="s">
        <v>873</v>
      </c>
      <c r="D948" s="2">
        <v>2</v>
      </c>
      <c r="E948" s="8" t="s">
        <v>3188</v>
      </c>
      <c r="F948" s="2"/>
      <c r="G948" s="19" t="s">
        <v>3189</v>
      </c>
      <c r="H948" s="2"/>
      <c r="I948" s="8" t="s">
        <v>4300</v>
      </c>
      <c r="J948" s="2">
        <v>2028</v>
      </c>
      <c r="K948" s="2">
        <v>13602</v>
      </c>
      <c r="L948" s="8" t="s">
        <v>4305</v>
      </c>
      <c r="M948" s="2"/>
      <c r="N948" s="8" t="s">
        <v>4306</v>
      </c>
      <c r="O948" s="8" t="str">
        <f t="shared" si="92"/>
        <v>PDFを開く</v>
      </c>
      <c r="P948" s="8" t="s">
        <v>878</v>
      </c>
    </row>
    <row r="949" spans="1:16" ht="33.950000000000003" customHeight="1">
      <c r="A949" s="5" t="s">
        <v>872</v>
      </c>
      <c r="B949" s="5" t="s">
        <v>73</v>
      </c>
      <c r="C949" s="9" t="s">
        <v>873</v>
      </c>
      <c r="D949" s="5">
        <v>2</v>
      </c>
      <c r="E949" s="9" t="s">
        <v>3191</v>
      </c>
      <c r="F949" s="5" t="s">
        <v>2513</v>
      </c>
      <c r="G949" s="5" t="s">
        <v>3177</v>
      </c>
      <c r="H949" s="5" t="s">
        <v>3178</v>
      </c>
      <c r="I949" s="9" t="s">
        <v>3407</v>
      </c>
      <c r="J949" s="5">
        <v>2025</v>
      </c>
      <c r="K949" s="5">
        <v>101</v>
      </c>
      <c r="L949" s="9" t="s">
        <v>4307</v>
      </c>
      <c r="M949" s="5"/>
      <c r="N949" s="9" t="s">
        <v>4308</v>
      </c>
      <c r="O949" s="9" t="str">
        <f t="shared" si="92"/>
        <v>PDFを開く</v>
      </c>
      <c r="P949" s="9" t="s">
        <v>878</v>
      </c>
    </row>
    <row r="950" spans="1:16" ht="33.950000000000003" customHeight="1">
      <c r="A950" s="2" t="s">
        <v>872</v>
      </c>
      <c r="B950" s="2" t="s">
        <v>73</v>
      </c>
      <c r="C950" s="8" t="s">
        <v>873</v>
      </c>
      <c r="D950" s="2">
        <v>2</v>
      </c>
      <c r="E950" s="8" t="s">
        <v>3191</v>
      </c>
      <c r="F950" s="2" t="s">
        <v>2513</v>
      </c>
      <c r="G950" s="2" t="s">
        <v>3177</v>
      </c>
      <c r="H950" s="2" t="s">
        <v>3178</v>
      </c>
      <c r="I950" s="8" t="s">
        <v>4300</v>
      </c>
      <c r="J950" s="2">
        <v>2028</v>
      </c>
      <c r="K950" s="2">
        <v>116</v>
      </c>
      <c r="L950" s="8" t="s">
        <v>4309</v>
      </c>
      <c r="M950" s="2"/>
      <c r="N950" s="8" t="s">
        <v>4308</v>
      </c>
      <c r="O950" s="8" t="str">
        <f t="shared" si="92"/>
        <v>PDFを開く</v>
      </c>
      <c r="P950" s="8" t="s">
        <v>878</v>
      </c>
    </row>
    <row r="951" spans="1:16" ht="33.950000000000003" customHeight="1">
      <c r="A951" s="5" t="s">
        <v>879</v>
      </c>
      <c r="B951" s="5" t="s">
        <v>73</v>
      </c>
      <c r="C951" s="9" t="s">
        <v>880</v>
      </c>
      <c r="D951" s="5">
        <v>2</v>
      </c>
      <c r="E951" s="9" t="s">
        <v>3176</v>
      </c>
      <c r="F951" s="5" t="s">
        <v>86</v>
      </c>
      <c r="G951" s="5" t="s">
        <v>3177</v>
      </c>
      <c r="H951" s="5" t="s">
        <v>3178</v>
      </c>
      <c r="I951" s="9" t="s">
        <v>3179</v>
      </c>
      <c r="J951" s="5">
        <v>2026</v>
      </c>
      <c r="K951" s="5">
        <v>2605</v>
      </c>
      <c r="L951" s="9" t="s">
        <v>4310</v>
      </c>
      <c r="M951" s="5">
        <v>12.1</v>
      </c>
      <c r="N951" s="9" t="s">
        <v>4311</v>
      </c>
      <c r="O951" s="9" t="str">
        <f t="shared" ref="O951:O959" si="93">HYPERLINK("https://seichotoushi-hojo.jp/assets/pdf/koufu/outline_34.pdf","PDFを開く")</f>
        <v>PDFを開く</v>
      </c>
      <c r="P951" s="9" t="s">
        <v>886</v>
      </c>
    </row>
    <row r="952" spans="1:16" ht="33.950000000000003" customHeight="1">
      <c r="A952" s="2" t="s">
        <v>879</v>
      </c>
      <c r="B952" s="2" t="s">
        <v>73</v>
      </c>
      <c r="C952" s="8" t="s">
        <v>880</v>
      </c>
      <c r="D952" s="2">
        <v>2</v>
      </c>
      <c r="E952" s="8" t="s">
        <v>3176</v>
      </c>
      <c r="F952" s="2" t="s">
        <v>86</v>
      </c>
      <c r="G952" s="2" t="s">
        <v>3177</v>
      </c>
      <c r="H952" s="2" t="s">
        <v>3178</v>
      </c>
      <c r="I952" s="8" t="s">
        <v>3182</v>
      </c>
      <c r="J952" s="2">
        <v>2029</v>
      </c>
      <c r="K952" s="2">
        <v>3672</v>
      </c>
      <c r="L952" s="8" t="s">
        <v>4312</v>
      </c>
      <c r="M952" s="2">
        <v>12.1</v>
      </c>
      <c r="N952" s="8" t="s">
        <v>4311</v>
      </c>
      <c r="O952" s="8" t="str">
        <f t="shared" si="93"/>
        <v>PDFを開く</v>
      </c>
      <c r="P952" s="8" t="s">
        <v>886</v>
      </c>
    </row>
    <row r="953" spans="1:16" ht="33.950000000000003" customHeight="1">
      <c r="A953" s="5" t="s">
        <v>879</v>
      </c>
      <c r="B953" s="5" t="s">
        <v>73</v>
      </c>
      <c r="C953" s="9" t="s">
        <v>880</v>
      </c>
      <c r="D953" s="5">
        <v>2</v>
      </c>
      <c r="E953" s="9" t="s">
        <v>3184</v>
      </c>
      <c r="F953" s="5" t="s">
        <v>86</v>
      </c>
      <c r="G953" s="5" t="s">
        <v>3177</v>
      </c>
      <c r="H953" s="5" t="s">
        <v>3178</v>
      </c>
      <c r="I953" s="9" t="s">
        <v>3179</v>
      </c>
      <c r="J953" s="5">
        <v>2026</v>
      </c>
      <c r="K953" s="5">
        <v>532</v>
      </c>
      <c r="L953" s="9" t="s">
        <v>4313</v>
      </c>
      <c r="M953" s="5">
        <v>5</v>
      </c>
      <c r="N953" s="9" t="s">
        <v>4314</v>
      </c>
      <c r="O953" s="9" t="str">
        <f t="shared" si="93"/>
        <v>PDFを開く</v>
      </c>
      <c r="P953" s="9" t="s">
        <v>886</v>
      </c>
    </row>
    <row r="954" spans="1:16" ht="33.950000000000003" customHeight="1">
      <c r="A954" s="2" t="s">
        <v>879</v>
      </c>
      <c r="B954" s="2" t="s">
        <v>73</v>
      </c>
      <c r="C954" s="8" t="s">
        <v>880</v>
      </c>
      <c r="D954" s="2">
        <v>2</v>
      </c>
      <c r="E954" s="8" t="s">
        <v>3184</v>
      </c>
      <c r="F954" s="2" t="s">
        <v>86</v>
      </c>
      <c r="G954" s="2" t="s">
        <v>3177</v>
      </c>
      <c r="H954" s="2" t="s">
        <v>3178</v>
      </c>
      <c r="I954" s="8" t="s">
        <v>3182</v>
      </c>
      <c r="J954" s="2">
        <v>2029</v>
      </c>
      <c r="K954" s="2">
        <v>616</v>
      </c>
      <c r="L954" s="8" t="s">
        <v>4315</v>
      </c>
      <c r="M954" s="2">
        <v>5</v>
      </c>
      <c r="N954" s="8" t="s">
        <v>4314</v>
      </c>
      <c r="O954" s="8" t="str">
        <f t="shared" si="93"/>
        <v>PDFを開く</v>
      </c>
      <c r="P954" s="8" t="s">
        <v>886</v>
      </c>
    </row>
    <row r="955" spans="1:16" ht="33.950000000000003" customHeight="1">
      <c r="A955" s="5" t="s">
        <v>879</v>
      </c>
      <c r="B955" s="5" t="s">
        <v>73</v>
      </c>
      <c r="C955" s="9" t="s">
        <v>880</v>
      </c>
      <c r="D955" s="5">
        <v>2</v>
      </c>
      <c r="E955" s="9" t="s">
        <v>3188</v>
      </c>
      <c r="F955" s="5" t="s">
        <v>86</v>
      </c>
      <c r="G955" s="19" t="s">
        <v>3189</v>
      </c>
      <c r="H955" s="5" t="s">
        <v>3178</v>
      </c>
      <c r="I955" s="9"/>
      <c r="J955" s="5"/>
      <c r="K955" s="5"/>
      <c r="L955" s="9"/>
      <c r="M955" s="5">
        <v>5</v>
      </c>
      <c r="N955" s="9" t="s">
        <v>3377</v>
      </c>
      <c r="O955" s="9" t="str">
        <f t="shared" si="93"/>
        <v>PDFを開く</v>
      </c>
      <c r="P955" s="9" t="s">
        <v>886</v>
      </c>
    </row>
    <row r="956" spans="1:16" ht="33.950000000000003" customHeight="1">
      <c r="A956" s="2" t="s">
        <v>879</v>
      </c>
      <c r="B956" s="2" t="s">
        <v>73</v>
      </c>
      <c r="C956" s="8" t="s">
        <v>880</v>
      </c>
      <c r="D956" s="2">
        <v>2</v>
      </c>
      <c r="E956" s="8" t="s">
        <v>3191</v>
      </c>
      <c r="F956" s="2" t="s">
        <v>2513</v>
      </c>
      <c r="G956" s="2" t="s">
        <v>3177</v>
      </c>
      <c r="H956" s="2" t="s">
        <v>3178</v>
      </c>
      <c r="I956" s="8" t="s">
        <v>3179</v>
      </c>
      <c r="J956" s="2">
        <v>2026</v>
      </c>
      <c r="K956" s="2">
        <v>19</v>
      </c>
      <c r="L956" s="8" t="s">
        <v>4316</v>
      </c>
      <c r="M956" s="2"/>
      <c r="N956" s="8" t="s">
        <v>4317</v>
      </c>
      <c r="O956" s="8" t="str">
        <f t="shared" si="93"/>
        <v>PDFを開く</v>
      </c>
      <c r="P956" s="8" t="s">
        <v>886</v>
      </c>
    </row>
    <row r="957" spans="1:16" ht="33.950000000000003" customHeight="1">
      <c r="A957" s="5" t="s">
        <v>879</v>
      </c>
      <c r="B957" s="5" t="s">
        <v>73</v>
      </c>
      <c r="C957" s="9" t="s">
        <v>880</v>
      </c>
      <c r="D957" s="5">
        <v>2</v>
      </c>
      <c r="E957" s="9" t="s">
        <v>3191</v>
      </c>
      <c r="F957" s="5" t="s">
        <v>2513</v>
      </c>
      <c r="G957" s="5" t="s">
        <v>3177</v>
      </c>
      <c r="H957" s="5" t="s">
        <v>3178</v>
      </c>
      <c r="I957" s="9" t="s">
        <v>3182</v>
      </c>
      <c r="J957" s="5">
        <v>2029</v>
      </c>
      <c r="K957" s="5">
        <v>27</v>
      </c>
      <c r="L957" s="9" t="s">
        <v>4318</v>
      </c>
      <c r="M957" s="5"/>
      <c r="N957" s="9" t="s">
        <v>4317</v>
      </c>
      <c r="O957" s="9" t="str">
        <f t="shared" si="93"/>
        <v>PDFを開く</v>
      </c>
      <c r="P957" s="9" t="s">
        <v>886</v>
      </c>
    </row>
    <row r="958" spans="1:16" ht="33.950000000000003" customHeight="1">
      <c r="A958" s="2" t="s">
        <v>879</v>
      </c>
      <c r="B958" s="2" t="s">
        <v>73</v>
      </c>
      <c r="C958" s="8" t="s">
        <v>880</v>
      </c>
      <c r="D958" s="2">
        <v>2</v>
      </c>
      <c r="E958" s="8" t="s">
        <v>3188</v>
      </c>
      <c r="F958" s="2" t="s">
        <v>86</v>
      </c>
      <c r="G958" s="2" t="s">
        <v>3177</v>
      </c>
      <c r="H958" s="2"/>
      <c r="I958" s="8" t="s">
        <v>4319</v>
      </c>
      <c r="J958" s="2">
        <v>2026</v>
      </c>
      <c r="K958" s="2"/>
      <c r="L958" s="8" t="s">
        <v>3211</v>
      </c>
      <c r="M958" s="2">
        <v>5</v>
      </c>
      <c r="N958" s="8" t="s">
        <v>3382</v>
      </c>
      <c r="O958" s="8" t="str">
        <f t="shared" si="93"/>
        <v>PDFを開く</v>
      </c>
      <c r="P958" s="8" t="s">
        <v>886</v>
      </c>
    </row>
    <row r="959" spans="1:16" ht="33.950000000000003" customHeight="1">
      <c r="A959" s="5" t="s">
        <v>879</v>
      </c>
      <c r="B959" s="5" t="s">
        <v>73</v>
      </c>
      <c r="C959" s="9" t="s">
        <v>880</v>
      </c>
      <c r="D959" s="5">
        <v>2</v>
      </c>
      <c r="E959" s="9" t="s">
        <v>3188</v>
      </c>
      <c r="F959" s="5" t="s">
        <v>86</v>
      </c>
      <c r="G959" s="5" t="s">
        <v>3177</v>
      </c>
      <c r="H959" s="5"/>
      <c r="I959" s="9" t="s">
        <v>4320</v>
      </c>
      <c r="J959" s="5">
        <v>2029</v>
      </c>
      <c r="K959" s="5"/>
      <c r="L959" s="9" t="s">
        <v>3384</v>
      </c>
      <c r="M959" s="5">
        <v>5</v>
      </c>
      <c r="N959" s="9" t="s">
        <v>3382</v>
      </c>
      <c r="O959" s="9" t="str">
        <f t="shared" si="93"/>
        <v>PDFを開く</v>
      </c>
      <c r="P959" s="9" t="s">
        <v>886</v>
      </c>
    </row>
    <row r="960" spans="1:16" ht="33.950000000000003" customHeight="1">
      <c r="A960" s="2" t="s">
        <v>887</v>
      </c>
      <c r="B960" s="2" t="s">
        <v>73</v>
      </c>
      <c r="C960" s="8" t="s">
        <v>888</v>
      </c>
      <c r="D960" s="2">
        <v>2</v>
      </c>
      <c r="E960" s="8" t="s">
        <v>3176</v>
      </c>
      <c r="F960" s="2" t="s">
        <v>86</v>
      </c>
      <c r="G960" s="2" t="s">
        <v>3177</v>
      </c>
      <c r="H960" s="2" t="s">
        <v>3178</v>
      </c>
      <c r="I960" s="8" t="s">
        <v>3179</v>
      </c>
      <c r="J960" s="2">
        <v>2026</v>
      </c>
      <c r="K960" s="2">
        <v>2917.9</v>
      </c>
      <c r="L960" s="8" t="s">
        <v>4321</v>
      </c>
      <c r="M960" s="2">
        <v>11.7</v>
      </c>
      <c r="N960" s="8" t="s">
        <v>4322</v>
      </c>
      <c r="O960" s="8" t="str">
        <f t="shared" ref="O960:O966" si="94">HYPERLINK("https://seichotoushi-hojo.jp/assets/pdf/koufu/outline_35.pdf","PDFを開く")</f>
        <v>PDFを開く</v>
      </c>
      <c r="P960" s="8" t="s">
        <v>893</v>
      </c>
    </row>
    <row r="961" spans="1:16" ht="33.950000000000003" customHeight="1">
      <c r="A961" s="5" t="s">
        <v>887</v>
      </c>
      <c r="B961" s="5" t="s">
        <v>73</v>
      </c>
      <c r="C961" s="9" t="s">
        <v>888</v>
      </c>
      <c r="D961" s="5">
        <v>2</v>
      </c>
      <c r="E961" s="9" t="s">
        <v>3176</v>
      </c>
      <c r="F961" s="5" t="s">
        <v>86</v>
      </c>
      <c r="G961" s="5" t="s">
        <v>3177</v>
      </c>
      <c r="H961" s="5" t="s">
        <v>3178</v>
      </c>
      <c r="I961" s="9" t="s">
        <v>3182</v>
      </c>
      <c r="J961" s="5">
        <v>2029</v>
      </c>
      <c r="K961" s="5">
        <v>4070.1</v>
      </c>
      <c r="L961" s="9" t="s">
        <v>4323</v>
      </c>
      <c r="M961" s="5">
        <v>11.7</v>
      </c>
      <c r="N961" s="9" t="s">
        <v>4322</v>
      </c>
      <c r="O961" s="9" t="str">
        <f t="shared" si="94"/>
        <v>PDFを開く</v>
      </c>
      <c r="P961" s="9" t="s">
        <v>893</v>
      </c>
    </row>
    <row r="962" spans="1:16" ht="33.950000000000003" customHeight="1">
      <c r="A962" s="2" t="s">
        <v>887</v>
      </c>
      <c r="B962" s="2" t="s">
        <v>73</v>
      </c>
      <c r="C962" s="8" t="s">
        <v>888</v>
      </c>
      <c r="D962" s="2">
        <v>2</v>
      </c>
      <c r="E962" s="8" t="s">
        <v>3184</v>
      </c>
      <c r="F962" s="2" t="s">
        <v>86</v>
      </c>
      <c r="G962" s="2" t="s">
        <v>3177</v>
      </c>
      <c r="H962" s="2" t="s">
        <v>3178</v>
      </c>
      <c r="I962" s="8" t="s">
        <v>3179</v>
      </c>
      <c r="J962" s="2">
        <v>2026</v>
      </c>
      <c r="K962" s="2">
        <v>485.7</v>
      </c>
      <c r="L962" s="8" t="s">
        <v>4324</v>
      </c>
      <c r="M962" s="2">
        <v>5</v>
      </c>
      <c r="N962" s="8" t="s">
        <v>4325</v>
      </c>
      <c r="O962" s="8" t="str">
        <f t="shared" si="94"/>
        <v>PDFを開く</v>
      </c>
      <c r="P962" s="8" t="s">
        <v>893</v>
      </c>
    </row>
    <row r="963" spans="1:16" ht="33.950000000000003" customHeight="1">
      <c r="A963" s="5" t="s">
        <v>887</v>
      </c>
      <c r="B963" s="5" t="s">
        <v>73</v>
      </c>
      <c r="C963" s="9" t="s">
        <v>888</v>
      </c>
      <c r="D963" s="5">
        <v>2</v>
      </c>
      <c r="E963" s="9" t="s">
        <v>3184</v>
      </c>
      <c r="F963" s="5" t="s">
        <v>86</v>
      </c>
      <c r="G963" s="5" t="s">
        <v>3177</v>
      </c>
      <c r="H963" s="5" t="s">
        <v>3178</v>
      </c>
      <c r="I963" s="9" t="s">
        <v>3182</v>
      </c>
      <c r="J963" s="5">
        <v>2029</v>
      </c>
      <c r="K963" s="5">
        <v>562.20000000000005</v>
      </c>
      <c r="L963" s="9" t="s">
        <v>4326</v>
      </c>
      <c r="M963" s="5">
        <v>5</v>
      </c>
      <c r="N963" s="9" t="s">
        <v>4325</v>
      </c>
      <c r="O963" s="9" t="str">
        <f t="shared" si="94"/>
        <v>PDFを開く</v>
      </c>
      <c r="P963" s="9" t="s">
        <v>893</v>
      </c>
    </row>
    <row r="964" spans="1:16" ht="33.950000000000003" customHeight="1">
      <c r="A964" s="2" t="s">
        <v>887</v>
      </c>
      <c r="B964" s="2" t="s">
        <v>73</v>
      </c>
      <c r="C964" s="8" t="s">
        <v>888</v>
      </c>
      <c r="D964" s="2">
        <v>2</v>
      </c>
      <c r="E964" s="8" t="s">
        <v>3188</v>
      </c>
      <c r="F964" s="2" t="s">
        <v>86</v>
      </c>
      <c r="G964" s="19" t="s">
        <v>3189</v>
      </c>
      <c r="H964" s="2" t="s">
        <v>3178</v>
      </c>
      <c r="I964" s="8"/>
      <c r="J964" s="2"/>
      <c r="K964" s="2"/>
      <c r="L964" s="8"/>
      <c r="M964" s="2"/>
      <c r="N964" s="8" t="s">
        <v>3542</v>
      </c>
      <c r="O964" s="8" t="str">
        <f t="shared" si="94"/>
        <v>PDFを開く</v>
      </c>
      <c r="P964" s="8" t="s">
        <v>893</v>
      </c>
    </row>
    <row r="965" spans="1:16" ht="33.950000000000003" customHeight="1">
      <c r="A965" s="5" t="s">
        <v>887</v>
      </c>
      <c r="B965" s="5" t="s">
        <v>73</v>
      </c>
      <c r="C965" s="9" t="s">
        <v>888</v>
      </c>
      <c r="D965" s="5">
        <v>2</v>
      </c>
      <c r="E965" s="9" t="s">
        <v>3191</v>
      </c>
      <c r="F965" s="5" t="s">
        <v>2513</v>
      </c>
      <c r="G965" s="5" t="s">
        <v>3177</v>
      </c>
      <c r="H965" s="5" t="s">
        <v>3178</v>
      </c>
      <c r="I965" s="9" t="s">
        <v>3179</v>
      </c>
      <c r="J965" s="5">
        <v>2026</v>
      </c>
      <c r="K965" s="5">
        <v>61</v>
      </c>
      <c r="L965" s="9" t="s">
        <v>3415</v>
      </c>
      <c r="M965" s="5"/>
      <c r="N965" s="9" t="s">
        <v>4327</v>
      </c>
      <c r="O965" s="9" t="str">
        <f t="shared" si="94"/>
        <v>PDFを開く</v>
      </c>
      <c r="P965" s="9" t="s">
        <v>893</v>
      </c>
    </row>
    <row r="966" spans="1:16" ht="33.950000000000003" customHeight="1">
      <c r="A966" s="2" t="s">
        <v>887</v>
      </c>
      <c r="B966" s="2" t="s">
        <v>73</v>
      </c>
      <c r="C966" s="8" t="s">
        <v>888</v>
      </c>
      <c r="D966" s="2">
        <v>2</v>
      </c>
      <c r="E966" s="8" t="s">
        <v>3191</v>
      </c>
      <c r="F966" s="2" t="s">
        <v>2513</v>
      </c>
      <c r="G966" s="2" t="s">
        <v>3177</v>
      </c>
      <c r="H966" s="2" t="s">
        <v>3178</v>
      </c>
      <c r="I966" s="8" t="s">
        <v>3182</v>
      </c>
      <c r="J966" s="2">
        <v>2029</v>
      </c>
      <c r="K966" s="2">
        <v>71</v>
      </c>
      <c r="L966" s="8" t="s">
        <v>3515</v>
      </c>
      <c r="M966" s="2"/>
      <c r="N966" s="8" t="s">
        <v>4327</v>
      </c>
      <c r="O966" s="8" t="str">
        <f t="shared" si="94"/>
        <v>PDFを開く</v>
      </c>
      <c r="P966" s="8" t="s">
        <v>893</v>
      </c>
    </row>
    <row r="967" spans="1:16" ht="33.950000000000003" customHeight="1">
      <c r="A967" s="5" t="s">
        <v>894</v>
      </c>
      <c r="B967" s="5" t="s">
        <v>73</v>
      </c>
      <c r="C967" s="9" t="s">
        <v>895</v>
      </c>
      <c r="D967" s="5">
        <v>2</v>
      </c>
      <c r="E967" s="9" t="s">
        <v>3176</v>
      </c>
      <c r="F967" s="5" t="s">
        <v>86</v>
      </c>
      <c r="G967" s="5" t="s">
        <v>3177</v>
      </c>
      <c r="H967" s="5" t="s">
        <v>3178</v>
      </c>
      <c r="I967" s="9" t="s">
        <v>3708</v>
      </c>
      <c r="J967" s="5">
        <v>2027</v>
      </c>
      <c r="K967" s="5">
        <v>1868</v>
      </c>
      <c r="L967" s="9" t="s">
        <v>4328</v>
      </c>
      <c r="M967" s="5">
        <v>5.2</v>
      </c>
      <c r="N967" s="9" t="s">
        <v>4329</v>
      </c>
      <c r="O967" s="9" t="str">
        <f>HYPERLINK("https://seichotoushi-hojo.jp/assets/pdf/koufu/outline_36.pdf","PDFを開く")</f>
        <v>PDFを開く</v>
      </c>
      <c r="P967" s="9" t="s">
        <v>900</v>
      </c>
    </row>
    <row r="968" spans="1:16" ht="33.950000000000003" customHeight="1">
      <c r="A968" s="2" t="s">
        <v>894</v>
      </c>
      <c r="B968" s="2" t="s">
        <v>73</v>
      </c>
      <c r="C968" s="8" t="s">
        <v>895</v>
      </c>
      <c r="D968" s="2">
        <v>2</v>
      </c>
      <c r="E968" s="8" t="s">
        <v>3176</v>
      </c>
      <c r="F968" s="2" t="s">
        <v>86</v>
      </c>
      <c r="G968" s="2" t="s">
        <v>3177</v>
      </c>
      <c r="H968" s="2" t="s">
        <v>3178</v>
      </c>
      <c r="I968" s="8" t="s">
        <v>3711</v>
      </c>
      <c r="J968" s="2">
        <v>2030</v>
      </c>
      <c r="K968" s="2">
        <v>2172</v>
      </c>
      <c r="L968" s="8" t="s">
        <v>4330</v>
      </c>
      <c r="M968" s="2">
        <v>5.2</v>
      </c>
      <c r="N968" s="8" t="s">
        <v>4329</v>
      </c>
      <c r="O968" s="8" t="str">
        <f>HYPERLINK("https://seichotoushi-hojo.jp/assets/pdf/koufu/outline_36.pdf","PDFを開く")</f>
        <v>PDFを開く</v>
      </c>
      <c r="P968" s="8" t="s">
        <v>900</v>
      </c>
    </row>
    <row r="969" spans="1:16" ht="33.950000000000003" customHeight="1">
      <c r="A969" s="5" t="s">
        <v>894</v>
      </c>
      <c r="B969" s="5" t="s">
        <v>73</v>
      </c>
      <c r="C969" s="9" t="s">
        <v>895</v>
      </c>
      <c r="D969" s="5">
        <v>2</v>
      </c>
      <c r="E969" s="9" t="s">
        <v>3184</v>
      </c>
      <c r="F969" s="5" t="s">
        <v>86</v>
      </c>
      <c r="G969" s="5" t="s">
        <v>3177</v>
      </c>
      <c r="H969" s="5" t="s">
        <v>3178</v>
      </c>
      <c r="I969" s="9" t="s">
        <v>3708</v>
      </c>
      <c r="J969" s="5">
        <v>2027</v>
      </c>
      <c r="K969" s="5">
        <v>455</v>
      </c>
      <c r="L969" s="9" t="s">
        <v>4331</v>
      </c>
      <c r="M969" s="5">
        <v>4.2</v>
      </c>
      <c r="N969" s="9" t="s">
        <v>4332</v>
      </c>
      <c r="O969" s="9" t="str">
        <f>HYPERLINK("https://seichotoushi-hojo.jp/assets/pdf/koufu/outline_36.pdf","PDFを開く")</f>
        <v>PDFを開く</v>
      </c>
      <c r="P969" s="9" t="s">
        <v>900</v>
      </c>
    </row>
    <row r="970" spans="1:16" ht="33.950000000000003" customHeight="1">
      <c r="A970" s="2" t="s">
        <v>894</v>
      </c>
      <c r="B970" s="2" t="s">
        <v>73</v>
      </c>
      <c r="C970" s="8" t="s">
        <v>895</v>
      </c>
      <c r="D970" s="2">
        <v>2</v>
      </c>
      <c r="E970" s="8" t="s">
        <v>3184</v>
      </c>
      <c r="F970" s="2" t="s">
        <v>86</v>
      </c>
      <c r="G970" s="2" t="s">
        <v>3177</v>
      </c>
      <c r="H970" s="2" t="s">
        <v>3178</v>
      </c>
      <c r="I970" s="8" t="s">
        <v>3711</v>
      </c>
      <c r="J970" s="2">
        <v>2030</v>
      </c>
      <c r="K970" s="2">
        <v>515</v>
      </c>
      <c r="L970" s="8" t="s">
        <v>4333</v>
      </c>
      <c r="M970" s="2">
        <v>4.2</v>
      </c>
      <c r="N970" s="8" t="s">
        <v>4332</v>
      </c>
      <c r="O970" s="8" t="str">
        <f>HYPERLINK("https://seichotoushi-hojo.jp/assets/pdf/koufu/outline_36.pdf","PDFを開く")</f>
        <v>PDFを開く</v>
      </c>
      <c r="P970" s="8" t="s">
        <v>900</v>
      </c>
    </row>
    <row r="971" spans="1:16" ht="33.950000000000003" customHeight="1">
      <c r="A971" s="5" t="s">
        <v>901</v>
      </c>
      <c r="B971" s="5" t="s">
        <v>73</v>
      </c>
      <c r="C971" s="9" t="s">
        <v>902</v>
      </c>
      <c r="D971" s="5">
        <v>2</v>
      </c>
      <c r="E971" s="9" t="s">
        <v>3176</v>
      </c>
      <c r="F971" s="5" t="s">
        <v>86</v>
      </c>
      <c r="G971" s="5" t="s">
        <v>3177</v>
      </c>
      <c r="H971" s="5" t="s">
        <v>3178</v>
      </c>
      <c r="I971" s="9" t="s">
        <v>4334</v>
      </c>
      <c r="J971" s="5">
        <v>2025</v>
      </c>
      <c r="K971" s="5">
        <v>400.1</v>
      </c>
      <c r="L971" s="9" t="s">
        <v>4335</v>
      </c>
      <c r="M971" s="5">
        <v>16.48</v>
      </c>
      <c r="N971" s="9" t="s">
        <v>4336</v>
      </c>
      <c r="O971" s="9" t="str">
        <f t="shared" ref="O971:O976" si="95">HYPERLINK("https://seichotoushi-hojo.jp/assets/pdf/koufu/outline_37.pdf","PDFを開く")</f>
        <v>PDFを開く</v>
      </c>
      <c r="P971" s="9" t="s">
        <v>908</v>
      </c>
    </row>
    <row r="972" spans="1:16" ht="33.950000000000003" customHeight="1">
      <c r="A972" s="2" t="s">
        <v>901</v>
      </c>
      <c r="B972" s="2" t="s">
        <v>73</v>
      </c>
      <c r="C972" s="8" t="s">
        <v>902</v>
      </c>
      <c r="D972" s="2">
        <v>2</v>
      </c>
      <c r="E972" s="8" t="s">
        <v>3176</v>
      </c>
      <c r="F972" s="2" t="s">
        <v>86</v>
      </c>
      <c r="G972" s="2" t="s">
        <v>3177</v>
      </c>
      <c r="H972" s="2" t="s">
        <v>3178</v>
      </c>
      <c r="I972" s="8" t="s">
        <v>4337</v>
      </c>
      <c r="J972" s="2">
        <v>2028</v>
      </c>
      <c r="K972" s="2">
        <v>632.29999999999995</v>
      </c>
      <c r="L972" s="8" t="s">
        <v>4338</v>
      </c>
      <c r="M972" s="2">
        <v>16.48</v>
      </c>
      <c r="N972" s="8" t="s">
        <v>4336</v>
      </c>
      <c r="O972" s="8" t="str">
        <f t="shared" si="95"/>
        <v>PDFを開く</v>
      </c>
      <c r="P972" s="8" t="s">
        <v>908</v>
      </c>
    </row>
    <row r="973" spans="1:16" ht="33.950000000000003" customHeight="1">
      <c r="A973" s="5" t="s">
        <v>901</v>
      </c>
      <c r="B973" s="5" t="s">
        <v>73</v>
      </c>
      <c r="C973" s="9" t="s">
        <v>902</v>
      </c>
      <c r="D973" s="5">
        <v>2</v>
      </c>
      <c r="E973" s="9" t="s">
        <v>3184</v>
      </c>
      <c r="F973" s="5" t="s">
        <v>86</v>
      </c>
      <c r="G973" s="5" t="s">
        <v>3177</v>
      </c>
      <c r="H973" s="5" t="s">
        <v>3178</v>
      </c>
      <c r="I973" s="9" t="s">
        <v>4334</v>
      </c>
      <c r="J973" s="5">
        <v>2025</v>
      </c>
      <c r="K973" s="5">
        <v>256.2</v>
      </c>
      <c r="L973" s="9" t="s">
        <v>4339</v>
      </c>
      <c r="M973" s="5">
        <v>10.58</v>
      </c>
      <c r="N973" s="9" t="s">
        <v>4340</v>
      </c>
      <c r="O973" s="9" t="str">
        <f t="shared" si="95"/>
        <v>PDFを開く</v>
      </c>
      <c r="P973" s="9" t="s">
        <v>908</v>
      </c>
    </row>
    <row r="974" spans="1:16" ht="33.950000000000003" customHeight="1">
      <c r="A974" s="2" t="s">
        <v>901</v>
      </c>
      <c r="B974" s="2" t="s">
        <v>73</v>
      </c>
      <c r="C974" s="8" t="s">
        <v>902</v>
      </c>
      <c r="D974" s="2">
        <v>2</v>
      </c>
      <c r="E974" s="8" t="s">
        <v>3184</v>
      </c>
      <c r="F974" s="2" t="s">
        <v>86</v>
      </c>
      <c r="G974" s="2" t="s">
        <v>3177</v>
      </c>
      <c r="H974" s="2" t="s">
        <v>3178</v>
      </c>
      <c r="I974" s="8" t="s">
        <v>4337</v>
      </c>
      <c r="J974" s="2">
        <v>2028</v>
      </c>
      <c r="K974" s="2">
        <v>346.4</v>
      </c>
      <c r="L974" s="8" t="s">
        <v>4341</v>
      </c>
      <c r="M974" s="2">
        <v>10.58</v>
      </c>
      <c r="N974" s="8" t="s">
        <v>4340</v>
      </c>
      <c r="O974" s="8" t="str">
        <f t="shared" si="95"/>
        <v>PDFを開く</v>
      </c>
      <c r="P974" s="8" t="s">
        <v>908</v>
      </c>
    </row>
    <row r="975" spans="1:16" ht="33.950000000000003" customHeight="1">
      <c r="A975" s="5" t="s">
        <v>901</v>
      </c>
      <c r="B975" s="5" t="s">
        <v>73</v>
      </c>
      <c r="C975" s="9" t="s">
        <v>902</v>
      </c>
      <c r="D975" s="5">
        <v>2</v>
      </c>
      <c r="E975" s="9" t="s">
        <v>3191</v>
      </c>
      <c r="F975" s="5" t="s">
        <v>2513</v>
      </c>
      <c r="G975" s="5" t="s">
        <v>3177</v>
      </c>
      <c r="H975" s="5"/>
      <c r="I975" s="9" t="s">
        <v>4334</v>
      </c>
      <c r="J975" s="5">
        <v>2025</v>
      </c>
      <c r="K975" s="5">
        <v>76</v>
      </c>
      <c r="L975" s="9" t="s">
        <v>3631</v>
      </c>
      <c r="M975" s="5"/>
      <c r="N975" s="9" t="s">
        <v>4342</v>
      </c>
      <c r="O975" s="9" t="str">
        <f t="shared" si="95"/>
        <v>PDFを開く</v>
      </c>
      <c r="P975" s="9" t="s">
        <v>908</v>
      </c>
    </row>
    <row r="976" spans="1:16" ht="33.950000000000003" customHeight="1">
      <c r="A976" s="2" t="s">
        <v>901</v>
      </c>
      <c r="B976" s="2" t="s">
        <v>73</v>
      </c>
      <c r="C976" s="8" t="s">
        <v>902</v>
      </c>
      <c r="D976" s="2">
        <v>2</v>
      </c>
      <c r="E976" s="8" t="s">
        <v>3191</v>
      </c>
      <c r="F976" s="2" t="s">
        <v>2513</v>
      </c>
      <c r="G976" s="2" t="s">
        <v>3177</v>
      </c>
      <c r="H976" s="2"/>
      <c r="I976" s="8" t="s">
        <v>4337</v>
      </c>
      <c r="J976" s="2">
        <v>2028</v>
      </c>
      <c r="K976" s="2">
        <v>83</v>
      </c>
      <c r="L976" s="8" t="s">
        <v>4343</v>
      </c>
      <c r="M976" s="2"/>
      <c r="N976" s="8" t="s">
        <v>4342</v>
      </c>
      <c r="O976" s="8" t="str">
        <f t="shared" si="95"/>
        <v>PDFを開く</v>
      </c>
      <c r="P976" s="8" t="s">
        <v>908</v>
      </c>
    </row>
    <row r="977" spans="1:16" ht="33.950000000000003" customHeight="1">
      <c r="A977" s="5" t="s">
        <v>909</v>
      </c>
      <c r="B977" s="5" t="s">
        <v>73</v>
      </c>
      <c r="C977" s="9" t="s">
        <v>910</v>
      </c>
      <c r="D977" s="5">
        <v>2</v>
      </c>
      <c r="E977" s="9" t="s">
        <v>3176</v>
      </c>
      <c r="F977" s="5" t="s">
        <v>86</v>
      </c>
      <c r="G977" s="5" t="s">
        <v>3177</v>
      </c>
      <c r="H977" s="5" t="s">
        <v>3178</v>
      </c>
      <c r="I977" s="9" t="s">
        <v>3845</v>
      </c>
      <c r="J977" s="5">
        <v>2026</v>
      </c>
      <c r="K977" s="5">
        <v>759</v>
      </c>
      <c r="L977" s="9" t="s">
        <v>4344</v>
      </c>
      <c r="M977" s="5">
        <v>7.19</v>
      </c>
      <c r="N977" s="9" t="s">
        <v>4345</v>
      </c>
      <c r="O977" s="9" t="str">
        <f t="shared" ref="O977:O983" si="96">HYPERLINK("https://seichotoushi-hojo.jp/assets/pdf/koufu/outline_38.pdf","PDFを開く")</f>
        <v>PDFを開く</v>
      </c>
      <c r="P977" s="9" t="s">
        <v>914</v>
      </c>
    </row>
    <row r="978" spans="1:16" ht="33.950000000000003" customHeight="1">
      <c r="A978" s="2" t="s">
        <v>909</v>
      </c>
      <c r="B978" s="2" t="s">
        <v>73</v>
      </c>
      <c r="C978" s="8" t="s">
        <v>910</v>
      </c>
      <c r="D978" s="2">
        <v>2</v>
      </c>
      <c r="E978" s="8" t="s">
        <v>3176</v>
      </c>
      <c r="F978" s="2" t="s">
        <v>86</v>
      </c>
      <c r="G978" s="2" t="s">
        <v>3177</v>
      </c>
      <c r="H978" s="2" t="s">
        <v>3178</v>
      </c>
      <c r="I978" s="8" t="s">
        <v>3848</v>
      </c>
      <c r="J978" s="2">
        <v>2029</v>
      </c>
      <c r="K978" s="2">
        <v>935</v>
      </c>
      <c r="L978" s="8" t="s">
        <v>4346</v>
      </c>
      <c r="M978" s="2">
        <v>7.19</v>
      </c>
      <c r="N978" s="8" t="s">
        <v>4345</v>
      </c>
      <c r="O978" s="8" t="str">
        <f t="shared" si="96"/>
        <v>PDFを開く</v>
      </c>
      <c r="P978" s="8" t="s">
        <v>914</v>
      </c>
    </row>
    <row r="979" spans="1:16" ht="33.950000000000003" customHeight="1">
      <c r="A979" s="5" t="s">
        <v>909</v>
      </c>
      <c r="B979" s="5" t="s">
        <v>73</v>
      </c>
      <c r="C979" s="9" t="s">
        <v>910</v>
      </c>
      <c r="D979" s="5">
        <v>2</v>
      </c>
      <c r="E979" s="9" t="s">
        <v>3184</v>
      </c>
      <c r="F979" s="5" t="s">
        <v>86</v>
      </c>
      <c r="G979" s="5" t="s">
        <v>3177</v>
      </c>
      <c r="H979" s="5" t="s">
        <v>3178</v>
      </c>
      <c r="I979" s="9" t="s">
        <v>3845</v>
      </c>
      <c r="J979" s="5">
        <v>2026</v>
      </c>
      <c r="K979" s="5">
        <v>550</v>
      </c>
      <c r="L979" s="9" t="s">
        <v>3277</v>
      </c>
      <c r="M979" s="5">
        <v>3.51</v>
      </c>
      <c r="N979" s="9" t="s">
        <v>4347</v>
      </c>
      <c r="O979" s="9" t="str">
        <f t="shared" si="96"/>
        <v>PDFを開く</v>
      </c>
      <c r="P979" s="9" t="s">
        <v>914</v>
      </c>
    </row>
    <row r="980" spans="1:16" ht="33.950000000000003" customHeight="1">
      <c r="A980" s="2" t="s">
        <v>909</v>
      </c>
      <c r="B980" s="2" t="s">
        <v>73</v>
      </c>
      <c r="C980" s="8" t="s">
        <v>910</v>
      </c>
      <c r="D980" s="2">
        <v>2</v>
      </c>
      <c r="E980" s="8" t="s">
        <v>3184</v>
      </c>
      <c r="F980" s="2" t="s">
        <v>86</v>
      </c>
      <c r="G980" s="2" t="s">
        <v>3177</v>
      </c>
      <c r="H980" s="2" t="s">
        <v>3178</v>
      </c>
      <c r="I980" s="8" t="s">
        <v>3848</v>
      </c>
      <c r="J980" s="2">
        <v>2029</v>
      </c>
      <c r="K980" s="2">
        <v>610</v>
      </c>
      <c r="L980" s="8" t="s">
        <v>4348</v>
      </c>
      <c r="M980" s="2">
        <v>3.51</v>
      </c>
      <c r="N980" s="8" t="s">
        <v>4347</v>
      </c>
      <c r="O980" s="8" t="str">
        <f t="shared" si="96"/>
        <v>PDFを開く</v>
      </c>
      <c r="P980" s="8" t="s">
        <v>914</v>
      </c>
    </row>
    <row r="981" spans="1:16" ht="33.950000000000003" customHeight="1">
      <c r="A981" s="5" t="s">
        <v>909</v>
      </c>
      <c r="B981" s="5" t="s">
        <v>73</v>
      </c>
      <c r="C981" s="9" t="s">
        <v>910</v>
      </c>
      <c r="D981" s="5">
        <v>2</v>
      </c>
      <c r="E981" s="9" t="s">
        <v>3188</v>
      </c>
      <c r="F981" s="5" t="s">
        <v>86</v>
      </c>
      <c r="G981" s="19" t="s">
        <v>3189</v>
      </c>
      <c r="H981" s="5" t="s">
        <v>3178</v>
      </c>
      <c r="I981" s="9"/>
      <c r="J981" s="5"/>
      <c r="K981" s="5"/>
      <c r="L981" s="9"/>
      <c r="M981" s="5"/>
      <c r="N981" s="9" t="s">
        <v>4349</v>
      </c>
      <c r="O981" s="9" t="str">
        <f t="shared" si="96"/>
        <v>PDFを開く</v>
      </c>
      <c r="P981" s="9" t="s">
        <v>914</v>
      </c>
    </row>
    <row r="982" spans="1:16" ht="33.950000000000003" customHeight="1">
      <c r="A982" s="2" t="s">
        <v>909</v>
      </c>
      <c r="B982" s="2" t="s">
        <v>73</v>
      </c>
      <c r="C982" s="8" t="s">
        <v>910</v>
      </c>
      <c r="D982" s="2">
        <v>2</v>
      </c>
      <c r="E982" s="8" t="s">
        <v>3191</v>
      </c>
      <c r="F982" s="2" t="s">
        <v>2513</v>
      </c>
      <c r="G982" s="2" t="s">
        <v>3177</v>
      </c>
      <c r="H982" s="2" t="s">
        <v>3178</v>
      </c>
      <c r="I982" s="8" t="s">
        <v>3845</v>
      </c>
      <c r="J982" s="2">
        <v>2026</v>
      </c>
      <c r="K982" s="2">
        <v>1030</v>
      </c>
      <c r="L982" s="8" t="s">
        <v>3906</v>
      </c>
      <c r="M982" s="2"/>
      <c r="N982" s="8" t="s">
        <v>4350</v>
      </c>
      <c r="O982" s="8" t="str">
        <f t="shared" si="96"/>
        <v>PDFを開く</v>
      </c>
      <c r="P982" s="8" t="s">
        <v>914</v>
      </c>
    </row>
    <row r="983" spans="1:16" ht="33.950000000000003" customHeight="1">
      <c r="A983" s="5" t="s">
        <v>909</v>
      </c>
      <c r="B983" s="5" t="s">
        <v>73</v>
      </c>
      <c r="C983" s="9" t="s">
        <v>910</v>
      </c>
      <c r="D983" s="5">
        <v>2</v>
      </c>
      <c r="E983" s="9" t="s">
        <v>3191</v>
      </c>
      <c r="F983" s="5" t="s">
        <v>2513</v>
      </c>
      <c r="G983" s="5" t="s">
        <v>3177</v>
      </c>
      <c r="H983" s="5" t="s">
        <v>3178</v>
      </c>
      <c r="I983" s="9" t="s">
        <v>3848</v>
      </c>
      <c r="J983" s="5">
        <v>2029</v>
      </c>
      <c r="K983" s="5">
        <v>1160</v>
      </c>
      <c r="L983" s="9" t="s">
        <v>4351</v>
      </c>
      <c r="M983" s="5"/>
      <c r="N983" s="9" t="s">
        <v>4350</v>
      </c>
      <c r="O983" s="9" t="str">
        <f t="shared" si="96"/>
        <v>PDFを開く</v>
      </c>
      <c r="P983" s="9" t="s">
        <v>914</v>
      </c>
    </row>
    <row r="984" spans="1:16" ht="33.950000000000003" customHeight="1">
      <c r="A984" s="2" t="s">
        <v>915</v>
      </c>
      <c r="B984" s="2" t="s">
        <v>73</v>
      </c>
      <c r="C984" s="8" t="s">
        <v>916</v>
      </c>
      <c r="D984" s="2">
        <v>2</v>
      </c>
      <c r="E984" s="8" t="s">
        <v>3176</v>
      </c>
      <c r="F984" s="2" t="s">
        <v>86</v>
      </c>
      <c r="G984" s="2" t="s">
        <v>3177</v>
      </c>
      <c r="H984" s="2" t="s">
        <v>3178</v>
      </c>
      <c r="I984" s="8" t="s">
        <v>4352</v>
      </c>
      <c r="J984" s="2">
        <v>2026</v>
      </c>
      <c r="K984" s="2">
        <v>500</v>
      </c>
      <c r="L984" s="8" t="s">
        <v>4108</v>
      </c>
      <c r="M984" s="2">
        <v>17</v>
      </c>
      <c r="N984" s="8" t="s">
        <v>4353</v>
      </c>
      <c r="O984" s="8" t="str">
        <f t="shared" ref="O984:O990" si="97">HYPERLINK("https://seichotoushi-hojo.jp/assets/pdf/koufu/outline_39.pdf","PDFを開く")</f>
        <v>PDFを開く</v>
      </c>
      <c r="P984" s="8" t="s">
        <v>923</v>
      </c>
    </row>
    <row r="985" spans="1:16" ht="33.950000000000003" customHeight="1">
      <c r="A985" s="5" t="s">
        <v>915</v>
      </c>
      <c r="B985" s="5" t="s">
        <v>73</v>
      </c>
      <c r="C985" s="9" t="s">
        <v>916</v>
      </c>
      <c r="D985" s="5">
        <v>2</v>
      </c>
      <c r="E985" s="9" t="s">
        <v>3176</v>
      </c>
      <c r="F985" s="5" t="s">
        <v>86</v>
      </c>
      <c r="G985" s="5" t="s">
        <v>3177</v>
      </c>
      <c r="H985" s="5" t="s">
        <v>3178</v>
      </c>
      <c r="I985" s="9" t="s">
        <v>4354</v>
      </c>
      <c r="J985" s="5">
        <v>2029</v>
      </c>
      <c r="K985" s="5">
        <v>800</v>
      </c>
      <c r="L985" s="9" t="s">
        <v>4355</v>
      </c>
      <c r="M985" s="5">
        <v>17</v>
      </c>
      <c r="N985" s="9" t="s">
        <v>4353</v>
      </c>
      <c r="O985" s="9" t="str">
        <f t="shared" si="97"/>
        <v>PDFを開く</v>
      </c>
      <c r="P985" s="9" t="s">
        <v>923</v>
      </c>
    </row>
    <row r="986" spans="1:16" ht="33.950000000000003" customHeight="1">
      <c r="A986" s="2" t="s">
        <v>915</v>
      </c>
      <c r="B986" s="2" t="s">
        <v>73</v>
      </c>
      <c r="C986" s="8" t="s">
        <v>916</v>
      </c>
      <c r="D986" s="2">
        <v>2</v>
      </c>
      <c r="E986" s="8" t="s">
        <v>3184</v>
      </c>
      <c r="F986" s="2" t="s">
        <v>86</v>
      </c>
      <c r="G986" s="2" t="s">
        <v>3177</v>
      </c>
      <c r="H986" s="2" t="s">
        <v>3178</v>
      </c>
      <c r="I986" s="8" t="s">
        <v>4352</v>
      </c>
      <c r="J986" s="2">
        <v>2026</v>
      </c>
      <c r="K986" s="2">
        <v>362</v>
      </c>
      <c r="L986" s="8" t="s">
        <v>4356</v>
      </c>
      <c r="M986" s="2">
        <v>3.2</v>
      </c>
      <c r="N986" s="8" t="s">
        <v>4357</v>
      </c>
      <c r="O986" s="8" t="str">
        <f t="shared" si="97"/>
        <v>PDFを開く</v>
      </c>
      <c r="P986" s="8" t="s">
        <v>923</v>
      </c>
    </row>
    <row r="987" spans="1:16" ht="33.950000000000003" customHeight="1">
      <c r="A987" s="5" t="s">
        <v>915</v>
      </c>
      <c r="B987" s="5" t="s">
        <v>73</v>
      </c>
      <c r="C987" s="9" t="s">
        <v>916</v>
      </c>
      <c r="D987" s="5">
        <v>2</v>
      </c>
      <c r="E987" s="9" t="s">
        <v>3184</v>
      </c>
      <c r="F987" s="5" t="s">
        <v>86</v>
      </c>
      <c r="G987" s="5" t="s">
        <v>3177</v>
      </c>
      <c r="H987" s="5" t="s">
        <v>3178</v>
      </c>
      <c r="I987" s="9" t="s">
        <v>4354</v>
      </c>
      <c r="J987" s="5">
        <v>2029</v>
      </c>
      <c r="K987" s="5">
        <v>402</v>
      </c>
      <c r="L987" s="9" t="s">
        <v>4107</v>
      </c>
      <c r="M987" s="5">
        <v>3.2</v>
      </c>
      <c r="N987" s="9" t="s">
        <v>4357</v>
      </c>
      <c r="O987" s="9" t="str">
        <f t="shared" si="97"/>
        <v>PDFを開く</v>
      </c>
      <c r="P987" s="9" t="s">
        <v>923</v>
      </c>
    </row>
    <row r="988" spans="1:16" ht="33.950000000000003" customHeight="1">
      <c r="A988" s="2" t="s">
        <v>915</v>
      </c>
      <c r="B988" s="2" t="s">
        <v>73</v>
      </c>
      <c r="C988" s="8" t="s">
        <v>916</v>
      </c>
      <c r="D988" s="2">
        <v>2</v>
      </c>
      <c r="E988" s="8" t="s">
        <v>3188</v>
      </c>
      <c r="F988" s="2" t="s">
        <v>86</v>
      </c>
      <c r="G988" s="19" t="s">
        <v>3189</v>
      </c>
      <c r="H988" s="2" t="s">
        <v>3178</v>
      </c>
      <c r="I988" s="8"/>
      <c r="J988" s="2"/>
      <c r="K988" s="2"/>
      <c r="L988" s="8"/>
      <c r="M988" s="2">
        <v>3.2</v>
      </c>
      <c r="N988" s="8" t="s">
        <v>4358</v>
      </c>
      <c r="O988" s="8" t="str">
        <f t="shared" si="97"/>
        <v>PDFを開く</v>
      </c>
      <c r="P988" s="8" t="s">
        <v>923</v>
      </c>
    </row>
    <row r="989" spans="1:16" ht="33.950000000000003" customHeight="1">
      <c r="A989" s="5" t="s">
        <v>915</v>
      </c>
      <c r="B989" s="5" t="s">
        <v>73</v>
      </c>
      <c r="C989" s="9" t="s">
        <v>916</v>
      </c>
      <c r="D989" s="5">
        <v>2</v>
      </c>
      <c r="E989" s="9" t="s">
        <v>3191</v>
      </c>
      <c r="F989" s="5" t="s">
        <v>2513</v>
      </c>
      <c r="G989" s="5" t="s">
        <v>3177</v>
      </c>
      <c r="H989" s="5" t="s">
        <v>3178</v>
      </c>
      <c r="I989" s="9" t="s">
        <v>4352</v>
      </c>
      <c r="J989" s="5">
        <v>2026</v>
      </c>
      <c r="K989" s="5">
        <v>197</v>
      </c>
      <c r="L989" s="9" t="s">
        <v>4359</v>
      </c>
      <c r="M989" s="5"/>
      <c r="N989" s="9" t="s">
        <v>4360</v>
      </c>
      <c r="O989" s="9" t="str">
        <f t="shared" si="97"/>
        <v>PDFを開く</v>
      </c>
      <c r="P989" s="9" t="s">
        <v>923</v>
      </c>
    </row>
    <row r="990" spans="1:16" ht="33.950000000000003" customHeight="1">
      <c r="A990" s="2" t="s">
        <v>915</v>
      </c>
      <c r="B990" s="2" t="s">
        <v>73</v>
      </c>
      <c r="C990" s="8" t="s">
        <v>916</v>
      </c>
      <c r="D990" s="2">
        <v>2</v>
      </c>
      <c r="E990" s="8" t="s">
        <v>3191</v>
      </c>
      <c r="F990" s="2" t="s">
        <v>2513</v>
      </c>
      <c r="G990" s="2" t="s">
        <v>3177</v>
      </c>
      <c r="H990" s="2" t="s">
        <v>3178</v>
      </c>
      <c r="I990" s="8" t="s">
        <v>4354</v>
      </c>
      <c r="J990" s="2">
        <v>2029</v>
      </c>
      <c r="K990" s="2">
        <v>217</v>
      </c>
      <c r="L990" s="8" t="s">
        <v>4361</v>
      </c>
      <c r="M990" s="2"/>
      <c r="N990" s="8" t="s">
        <v>4360</v>
      </c>
      <c r="O990" s="8" t="str">
        <f t="shared" si="97"/>
        <v>PDFを開く</v>
      </c>
      <c r="P990" s="8" t="s">
        <v>923</v>
      </c>
    </row>
    <row r="991" spans="1:16" ht="33.950000000000003" customHeight="1">
      <c r="A991" s="5" t="s">
        <v>924</v>
      </c>
      <c r="B991" s="5" t="s">
        <v>73</v>
      </c>
      <c r="C991" s="9" t="s">
        <v>925</v>
      </c>
      <c r="D991" s="5">
        <v>2</v>
      </c>
      <c r="E991" s="9" t="s">
        <v>3176</v>
      </c>
      <c r="F991" s="5" t="s">
        <v>86</v>
      </c>
      <c r="G991" s="5" t="s">
        <v>3177</v>
      </c>
      <c r="H991" s="5"/>
      <c r="I991" s="9" t="s">
        <v>3456</v>
      </c>
      <c r="J991" s="5">
        <v>2025</v>
      </c>
      <c r="K991" s="5">
        <v>1037</v>
      </c>
      <c r="L991" s="9" t="s">
        <v>4362</v>
      </c>
      <c r="M991" s="5">
        <v>12.4</v>
      </c>
      <c r="N991" s="9" t="s">
        <v>4363</v>
      </c>
      <c r="O991" s="9" t="str">
        <f t="shared" ref="O991:O998" si="98">HYPERLINK("https://seichotoushi-hojo.jp/assets/pdf/koufu/outline_4.pdf","PDFを開く")</f>
        <v>PDFを開く</v>
      </c>
      <c r="P991" s="9" t="s">
        <v>930</v>
      </c>
    </row>
    <row r="992" spans="1:16" ht="33.950000000000003" customHeight="1">
      <c r="A992" s="2" t="s">
        <v>924</v>
      </c>
      <c r="B992" s="2" t="s">
        <v>73</v>
      </c>
      <c r="C992" s="8" t="s">
        <v>925</v>
      </c>
      <c r="D992" s="2">
        <v>2</v>
      </c>
      <c r="E992" s="8" t="s">
        <v>3176</v>
      </c>
      <c r="F992" s="2" t="s">
        <v>86</v>
      </c>
      <c r="G992" s="2" t="s">
        <v>3177</v>
      </c>
      <c r="H992" s="2"/>
      <c r="I992" s="8" t="s">
        <v>3459</v>
      </c>
      <c r="J992" s="2">
        <v>2028</v>
      </c>
      <c r="K992" s="2">
        <v>1474</v>
      </c>
      <c r="L992" s="8" t="s">
        <v>4364</v>
      </c>
      <c r="M992" s="2">
        <v>12.4</v>
      </c>
      <c r="N992" s="8" t="s">
        <v>4363</v>
      </c>
      <c r="O992" s="8" t="str">
        <f t="shared" si="98"/>
        <v>PDFを開く</v>
      </c>
      <c r="P992" s="8" t="s">
        <v>930</v>
      </c>
    </row>
    <row r="993" spans="1:16" ht="33.950000000000003" customHeight="1">
      <c r="A993" s="5" t="s">
        <v>924</v>
      </c>
      <c r="B993" s="5" t="s">
        <v>73</v>
      </c>
      <c r="C993" s="9" t="s">
        <v>925</v>
      </c>
      <c r="D993" s="5">
        <v>2</v>
      </c>
      <c r="E993" s="9" t="s">
        <v>3184</v>
      </c>
      <c r="F993" s="5" t="s">
        <v>86</v>
      </c>
      <c r="G993" s="5" t="s">
        <v>3177</v>
      </c>
      <c r="H993" s="5"/>
      <c r="I993" s="9" t="s">
        <v>3456</v>
      </c>
      <c r="J993" s="5">
        <v>2025</v>
      </c>
      <c r="K993" s="5">
        <v>621</v>
      </c>
      <c r="L993" s="9" t="s">
        <v>3413</v>
      </c>
      <c r="M993" s="5">
        <v>6.1</v>
      </c>
      <c r="N993" s="9" t="s">
        <v>4365</v>
      </c>
      <c r="O993" s="9" t="str">
        <f t="shared" si="98"/>
        <v>PDFを開く</v>
      </c>
      <c r="P993" s="9" t="s">
        <v>930</v>
      </c>
    </row>
    <row r="994" spans="1:16" ht="33.950000000000003" customHeight="1">
      <c r="A994" s="2" t="s">
        <v>924</v>
      </c>
      <c r="B994" s="2" t="s">
        <v>73</v>
      </c>
      <c r="C994" s="8" t="s">
        <v>925</v>
      </c>
      <c r="D994" s="2">
        <v>2</v>
      </c>
      <c r="E994" s="8" t="s">
        <v>3184</v>
      </c>
      <c r="F994" s="2" t="s">
        <v>86</v>
      </c>
      <c r="G994" s="2" t="s">
        <v>3177</v>
      </c>
      <c r="H994" s="2"/>
      <c r="I994" s="8" t="s">
        <v>3459</v>
      </c>
      <c r="J994" s="2">
        <v>2028</v>
      </c>
      <c r="K994" s="2">
        <v>742</v>
      </c>
      <c r="L994" s="8" t="s">
        <v>4366</v>
      </c>
      <c r="M994" s="2">
        <v>6.1</v>
      </c>
      <c r="N994" s="8" t="s">
        <v>4365</v>
      </c>
      <c r="O994" s="8" t="str">
        <f t="shared" si="98"/>
        <v>PDFを開く</v>
      </c>
      <c r="P994" s="8" t="s">
        <v>930</v>
      </c>
    </row>
    <row r="995" spans="1:16" ht="33.950000000000003" customHeight="1">
      <c r="A995" s="5" t="s">
        <v>924</v>
      </c>
      <c r="B995" s="5" t="s">
        <v>73</v>
      </c>
      <c r="C995" s="9" t="s">
        <v>925</v>
      </c>
      <c r="D995" s="5">
        <v>2</v>
      </c>
      <c r="E995" s="9" t="s">
        <v>3188</v>
      </c>
      <c r="F995" s="5" t="s">
        <v>86</v>
      </c>
      <c r="G995" s="5" t="s">
        <v>3177</v>
      </c>
      <c r="H995" s="5"/>
      <c r="I995" s="9" t="s">
        <v>3456</v>
      </c>
      <c r="J995" s="5">
        <v>2025</v>
      </c>
      <c r="K995" s="5">
        <v>1375</v>
      </c>
      <c r="L995" s="9" t="s">
        <v>3303</v>
      </c>
      <c r="M995" s="5">
        <v>3.5</v>
      </c>
      <c r="N995" s="9" t="s">
        <v>4367</v>
      </c>
      <c r="O995" s="9" t="str">
        <f t="shared" si="98"/>
        <v>PDFを開く</v>
      </c>
      <c r="P995" s="9" t="s">
        <v>930</v>
      </c>
    </row>
    <row r="996" spans="1:16" ht="33.950000000000003" customHeight="1">
      <c r="A996" s="2" t="s">
        <v>924</v>
      </c>
      <c r="B996" s="2" t="s">
        <v>73</v>
      </c>
      <c r="C996" s="8" t="s">
        <v>925</v>
      </c>
      <c r="D996" s="2">
        <v>2</v>
      </c>
      <c r="E996" s="8" t="s">
        <v>3188</v>
      </c>
      <c r="F996" s="2" t="s">
        <v>86</v>
      </c>
      <c r="G996" s="2" t="s">
        <v>3177</v>
      </c>
      <c r="H996" s="2"/>
      <c r="I996" s="8" t="s">
        <v>3459</v>
      </c>
      <c r="J996" s="2">
        <v>2028</v>
      </c>
      <c r="K996" s="2">
        <v>1525</v>
      </c>
      <c r="L996" s="8" t="s">
        <v>4368</v>
      </c>
      <c r="M996" s="2">
        <v>3.5</v>
      </c>
      <c r="N996" s="8" t="s">
        <v>4367</v>
      </c>
      <c r="O996" s="8" t="str">
        <f t="shared" si="98"/>
        <v>PDFを開く</v>
      </c>
      <c r="P996" s="8" t="s">
        <v>930</v>
      </c>
    </row>
    <row r="997" spans="1:16" ht="33.950000000000003" customHeight="1">
      <c r="A997" s="5" t="s">
        <v>924</v>
      </c>
      <c r="B997" s="5" t="s">
        <v>73</v>
      </c>
      <c r="C997" s="9" t="s">
        <v>925</v>
      </c>
      <c r="D997" s="5">
        <v>2</v>
      </c>
      <c r="E997" s="9" t="s">
        <v>3191</v>
      </c>
      <c r="F997" s="5" t="s">
        <v>2513</v>
      </c>
      <c r="G997" s="5" t="s">
        <v>3177</v>
      </c>
      <c r="H997" s="5"/>
      <c r="I997" s="9" t="s">
        <v>3456</v>
      </c>
      <c r="J997" s="5">
        <v>2025</v>
      </c>
      <c r="K997" s="5">
        <v>169</v>
      </c>
      <c r="L997" s="9" t="s">
        <v>3378</v>
      </c>
      <c r="M997" s="5"/>
      <c r="N997" s="9" t="s">
        <v>4369</v>
      </c>
      <c r="O997" s="9" t="str">
        <f t="shared" si="98"/>
        <v>PDFを開く</v>
      </c>
      <c r="P997" s="9" t="s">
        <v>930</v>
      </c>
    </row>
    <row r="998" spans="1:16" ht="33.950000000000003" customHeight="1">
      <c r="A998" s="2" t="s">
        <v>924</v>
      </c>
      <c r="B998" s="2" t="s">
        <v>73</v>
      </c>
      <c r="C998" s="8" t="s">
        <v>925</v>
      </c>
      <c r="D998" s="2">
        <v>2</v>
      </c>
      <c r="E998" s="8" t="s">
        <v>3191</v>
      </c>
      <c r="F998" s="2" t="s">
        <v>2513</v>
      </c>
      <c r="G998" s="2" t="s">
        <v>3177</v>
      </c>
      <c r="H998" s="2"/>
      <c r="I998" s="8" t="s">
        <v>3459</v>
      </c>
      <c r="J998" s="2">
        <v>2028</v>
      </c>
      <c r="K998" s="2">
        <v>198</v>
      </c>
      <c r="L998" s="8" t="s">
        <v>3897</v>
      </c>
      <c r="M998" s="2"/>
      <c r="N998" s="8" t="s">
        <v>4369</v>
      </c>
      <c r="O998" s="8" t="str">
        <f t="shared" si="98"/>
        <v>PDFを開く</v>
      </c>
      <c r="P998" s="8" t="s">
        <v>930</v>
      </c>
    </row>
    <row r="999" spans="1:16" ht="33.950000000000003" customHeight="1">
      <c r="A999" s="5" t="s">
        <v>931</v>
      </c>
      <c r="B999" s="5" t="s">
        <v>73</v>
      </c>
      <c r="C999" s="9" t="s">
        <v>932</v>
      </c>
      <c r="D999" s="5">
        <v>2</v>
      </c>
      <c r="E999" s="9" t="s">
        <v>3176</v>
      </c>
      <c r="F999" s="5" t="s">
        <v>86</v>
      </c>
      <c r="G999" s="5" t="s">
        <v>3177</v>
      </c>
      <c r="H999" s="5" t="s">
        <v>3178</v>
      </c>
      <c r="I999" s="9" t="s">
        <v>3407</v>
      </c>
      <c r="J999" s="5">
        <v>2025</v>
      </c>
      <c r="K999" s="5">
        <v>2661</v>
      </c>
      <c r="L999" s="9" t="s">
        <v>4370</v>
      </c>
      <c r="M999" s="5">
        <v>5.2</v>
      </c>
      <c r="N999" s="9" t="s">
        <v>4371</v>
      </c>
      <c r="O999" s="9" t="str">
        <f t="shared" ref="O999:O1005" si="99">HYPERLINK("https://seichotoushi-hojo.jp/assets/pdf/koufu/outline_40.pdf","PDFを開く")</f>
        <v>PDFを開く</v>
      </c>
      <c r="P999" s="9" t="s">
        <v>939</v>
      </c>
    </row>
    <row r="1000" spans="1:16" ht="33.950000000000003" customHeight="1">
      <c r="A1000" s="2" t="s">
        <v>931</v>
      </c>
      <c r="B1000" s="2" t="s">
        <v>73</v>
      </c>
      <c r="C1000" s="8" t="s">
        <v>932</v>
      </c>
      <c r="D1000" s="2">
        <v>2</v>
      </c>
      <c r="E1000" s="8" t="s">
        <v>3176</v>
      </c>
      <c r="F1000" s="2" t="s">
        <v>86</v>
      </c>
      <c r="G1000" s="2" t="s">
        <v>3177</v>
      </c>
      <c r="H1000" s="2" t="s">
        <v>3178</v>
      </c>
      <c r="I1000" s="8" t="s">
        <v>3335</v>
      </c>
      <c r="J1000" s="2">
        <v>2028</v>
      </c>
      <c r="K1000" s="2">
        <v>3095</v>
      </c>
      <c r="L1000" s="8" t="s">
        <v>4372</v>
      </c>
      <c r="M1000" s="2">
        <v>5.2</v>
      </c>
      <c r="N1000" s="8" t="s">
        <v>4371</v>
      </c>
      <c r="O1000" s="8" t="str">
        <f t="shared" si="99"/>
        <v>PDFを開く</v>
      </c>
      <c r="P1000" s="8" t="s">
        <v>939</v>
      </c>
    </row>
    <row r="1001" spans="1:16" ht="33.950000000000003" customHeight="1">
      <c r="A1001" s="5" t="s">
        <v>931</v>
      </c>
      <c r="B1001" s="5" t="s">
        <v>73</v>
      </c>
      <c r="C1001" s="9" t="s">
        <v>932</v>
      </c>
      <c r="D1001" s="5">
        <v>2</v>
      </c>
      <c r="E1001" s="9" t="s">
        <v>3184</v>
      </c>
      <c r="F1001" s="5" t="s">
        <v>86</v>
      </c>
      <c r="G1001" s="5" t="s">
        <v>3177</v>
      </c>
      <c r="H1001" s="5" t="s">
        <v>3178</v>
      </c>
      <c r="I1001" s="9" t="s">
        <v>3407</v>
      </c>
      <c r="J1001" s="5">
        <v>2025</v>
      </c>
      <c r="K1001" s="5">
        <v>592</v>
      </c>
      <c r="L1001" s="9" t="s">
        <v>4373</v>
      </c>
      <c r="M1001" s="5">
        <v>4</v>
      </c>
      <c r="N1001" s="9" t="s">
        <v>4374</v>
      </c>
      <c r="O1001" s="9" t="str">
        <f t="shared" si="99"/>
        <v>PDFを開く</v>
      </c>
      <c r="P1001" s="9" t="s">
        <v>939</v>
      </c>
    </row>
    <row r="1002" spans="1:16" ht="33.950000000000003" customHeight="1">
      <c r="A1002" s="2" t="s">
        <v>931</v>
      </c>
      <c r="B1002" s="2" t="s">
        <v>73</v>
      </c>
      <c r="C1002" s="8" t="s">
        <v>932</v>
      </c>
      <c r="D1002" s="2">
        <v>2</v>
      </c>
      <c r="E1002" s="8" t="s">
        <v>3184</v>
      </c>
      <c r="F1002" s="2" t="s">
        <v>86</v>
      </c>
      <c r="G1002" s="2" t="s">
        <v>3177</v>
      </c>
      <c r="H1002" s="2" t="s">
        <v>3178</v>
      </c>
      <c r="I1002" s="8" t="s">
        <v>3335</v>
      </c>
      <c r="J1002" s="2">
        <v>2028</v>
      </c>
      <c r="K1002" s="2">
        <v>667</v>
      </c>
      <c r="L1002" s="8" t="s">
        <v>4375</v>
      </c>
      <c r="M1002" s="2">
        <v>4</v>
      </c>
      <c r="N1002" s="8" t="s">
        <v>4374</v>
      </c>
      <c r="O1002" s="8" t="str">
        <f t="shared" si="99"/>
        <v>PDFを開く</v>
      </c>
      <c r="P1002" s="8" t="s">
        <v>939</v>
      </c>
    </row>
    <row r="1003" spans="1:16" ht="33.950000000000003" customHeight="1">
      <c r="A1003" s="5" t="s">
        <v>931</v>
      </c>
      <c r="B1003" s="5" t="s">
        <v>73</v>
      </c>
      <c r="C1003" s="9" t="s">
        <v>932</v>
      </c>
      <c r="D1003" s="5">
        <v>2</v>
      </c>
      <c r="E1003" s="9" t="s">
        <v>3188</v>
      </c>
      <c r="F1003" s="5" t="s">
        <v>86</v>
      </c>
      <c r="G1003" s="19" t="s">
        <v>3189</v>
      </c>
      <c r="H1003" s="5" t="s">
        <v>3178</v>
      </c>
      <c r="I1003" s="9"/>
      <c r="J1003" s="5"/>
      <c r="K1003" s="5"/>
      <c r="L1003" s="9"/>
      <c r="M1003" s="5">
        <v>2.6</v>
      </c>
      <c r="N1003" s="9" t="s">
        <v>4376</v>
      </c>
      <c r="O1003" s="9" t="str">
        <f t="shared" si="99"/>
        <v>PDFを開く</v>
      </c>
      <c r="P1003" s="9" t="s">
        <v>939</v>
      </c>
    </row>
    <row r="1004" spans="1:16" ht="33.950000000000003" customHeight="1">
      <c r="A1004" s="2" t="s">
        <v>931</v>
      </c>
      <c r="B1004" s="2" t="s">
        <v>73</v>
      </c>
      <c r="C1004" s="8" t="s">
        <v>932</v>
      </c>
      <c r="D1004" s="2">
        <v>2</v>
      </c>
      <c r="E1004" s="8" t="s">
        <v>3191</v>
      </c>
      <c r="F1004" s="2" t="s">
        <v>2513</v>
      </c>
      <c r="G1004" s="2" t="s">
        <v>3177</v>
      </c>
      <c r="H1004" s="2" t="s">
        <v>3178</v>
      </c>
      <c r="I1004" s="8" t="s">
        <v>3407</v>
      </c>
      <c r="J1004" s="2">
        <v>2025</v>
      </c>
      <c r="K1004" s="2">
        <v>155</v>
      </c>
      <c r="L1004" s="8" t="s">
        <v>4162</v>
      </c>
      <c r="M1004" s="2"/>
      <c r="N1004" s="8" t="s">
        <v>4377</v>
      </c>
      <c r="O1004" s="8" t="str">
        <f t="shared" si="99"/>
        <v>PDFを開く</v>
      </c>
      <c r="P1004" s="8" t="s">
        <v>939</v>
      </c>
    </row>
    <row r="1005" spans="1:16" ht="33.950000000000003" customHeight="1">
      <c r="A1005" s="5" t="s">
        <v>931</v>
      </c>
      <c r="B1005" s="5" t="s">
        <v>73</v>
      </c>
      <c r="C1005" s="9" t="s">
        <v>932</v>
      </c>
      <c r="D1005" s="5">
        <v>2</v>
      </c>
      <c r="E1005" s="9" t="s">
        <v>3191</v>
      </c>
      <c r="F1005" s="5" t="s">
        <v>2513</v>
      </c>
      <c r="G1005" s="5" t="s">
        <v>3177</v>
      </c>
      <c r="H1005" s="5" t="s">
        <v>3178</v>
      </c>
      <c r="I1005" s="9" t="s">
        <v>3335</v>
      </c>
      <c r="J1005" s="5">
        <v>2028</v>
      </c>
      <c r="K1005" s="5">
        <v>155</v>
      </c>
      <c r="L1005" s="9" t="s">
        <v>4162</v>
      </c>
      <c r="M1005" s="5"/>
      <c r="N1005" s="9" t="s">
        <v>4377</v>
      </c>
      <c r="O1005" s="9" t="str">
        <f t="shared" si="99"/>
        <v>PDFを開く</v>
      </c>
      <c r="P1005" s="9" t="s">
        <v>939</v>
      </c>
    </row>
    <row r="1006" spans="1:16" ht="33.950000000000003" customHeight="1">
      <c r="A1006" s="2" t="s">
        <v>940</v>
      </c>
      <c r="B1006" s="2" t="s">
        <v>73</v>
      </c>
      <c r="C1006" s="8" t="s">
        <v>941</v>
      </c>
      <c r="D1006" s="2">
        <v>2</v>
      </c>
      <c r="E1006" s="8" t="s">
        <v>3176</v>
      </c>
      <c r="F1006" s="2" t="s">
        <v>86</v>
      </c>
      <c r="G1006" s="2" t="s">
        <v>3177</v>
      </c>
      <c r="H1006" s="2" t="s">
        <v>3178</v>
      </c>
      <c r="I1006" s="8" t="s">
        <v>3179</v>
      </c>
      <c r="J1006" s="2">
        <v>2026</v>
      </c>
      <c r="K1006" s="2">
        <v>785</v>
      </c>
      <c r="L1006" s="8" t="s">
        <v>4378</v>
      </c>
      <c r="M1006" s="2">
        <v>14.4</v>
      </c>
      <c r="N1006" s="8" t="s">
        <v>4379</v>
      </c>
      <c r="O1006" s="8" t="str">
        <f t="shared" ref="O1006:O1014" si="100">HYPERLINK("https://seichotoushi-hojo.jp/assets/pdf/koufu/outline_41.pdf","PDFを開く")</f>
        <v>PDFを開く</v>
      </c>
      <c r="P1006" s="8" t="s">
        <v>947</v>
      </c>
    </row>
    <row r="1007" spans="1:16" ht="33.950000000000003" customHeight="1">
      <c r="A1007" s="5" t="s">
        <v>940</v>
      </c>
      <c r="B1007" s="5" t="s">
        <v>73</v>
      </c>
      <c r="C1007" s="9" t="s">
        <v>941</v>
      </c>
      <c r="D1007" s="5">
        <v>2</v>
      </c>
      <c r="E1007" s="9" t="s">
        <v>3176</v>
      </c>
      <c r="F1007" s="5" t="s">
        <v>86</v>
      </c>
      <c r="G1007" s="5" t="s">
        <v>3177</v>
      </c>
      <c r="H1007" s="5" t="s">
        <v>3178</v>
      </c>
      <c r="I1007" s="9" t="s">
        <v>3182</v>
      </c>
      <c r="J1007" s="5">
        <v>2029</v>
      </c>
      <c r="K1007" s="5">
        <v>1176</v>
      </c>
      <c r="L1007" s="9" t="s">
        <v>4380</v>
      </c>
      <c r="M1007" s="5">
        <v>14.4</v>
      </c>
      <c r="N1007" s="9" t="s">
        <v>4379</v>
      </c>
      <c r="O1007" s="9" t="str">
        <f t="shared" si="100"/>
        <v>PDFを開く</v>
      </c>
      <c r="P1007" s="9" t="s">
        <v>947</v>
      </c>
    </row>
    <row r="1008" spans="1:16" ht="33.950000000000003" customHeight="1">
      <c r="A1008" s="2" t="s">
        <v>940</v>
      </c>
      <c r="B1008" s="2" t="s">
        <v>73</v>
      </c>
      <c r="C1008" s="8" t="s">
        <v>941</v>
      </c>
      <c r="D1008" s="2">
        <v>2</v>
      </c>
      <c r="E1008" s="8" t="s">
        <v>3184</v>
      </c>
      <c r="F1008" s="2" t="s">
        <v>86</v>
      </c>
      <c r="G1008" s="2" t="s">
        <v>3177</v>
      </c>
      <c r="H1008" s="2" t="s">
        <v>3178</v>
      </c>
      <c r="I1008" s="8" t="s">
        <v>3179</v>
      </c>
      <c r="J1008" s="2">
        <v>2026</v>
      </c>
      <c r="K1008" s="2">
        <v>385</v>
      </c>
      <c r="L1008" s="8" t="s">
        <v>3511</v>
      </c>
      <c r="M1008" s="2">
        <v>9.07</v>
      </c>
      <c r="N1008" s="8" t="s">
        <v>4381</v>
      </c>
      <c r="O1008" s="8" t="str">
        <f t="shared" si="100"/>
        <v>PDFを開く</v>
      </c>
      <c r="P1008" s="8" t="s">
        <v>947</v>
      </c>
    </row>
    <row r="1009" spans="1:16" ht="33.950000000000003" customHeight="1">
      <c r="A1009" s="5" t="s">
        <v>940</v>
      </c>
      <c r="B1009" s="5" t="s">
        <v>73</v>
      </c>
      <c r="C1009" s="9" t="s">
        <v>941</v>
      </c>
      <c r="D1009" s="5">
        <v>2</v>
      </c>
      <c r="E1009" s="9" t="s">
        <v>3184</v>
      </c>
      <c r="F1009" s="5" t="s">
        <v>86</v>
      </c>
      <c r="G1009" s="5" t="s">
        <v>3177</v>
      </c>
      <c r="H1009" s="5" t="s">
        <v>3178</v>
      </c>
      <c r="I1009" s="9" t="s">
        <v>3182</v>
      </c>
      <c r="J1009" s="5">
        <v>2029</v>
      </c>
      <c r="K1009" s="5">
        <v>500</v>
      </c>
      <c r="L1009" s="9" t="s">
        <v>4108</v>
      </c>
      <c r="M1009" s="5">
        <v>9.07</v>
      </c>
      <c r="N1009" s="9" t="s">
        <v>4381</v>
      </c>
      <c r="O1009" s="9" t="str">
        <f t="shared" si="100"/>
        <v>PDFを開く</v>
      </c>
      <c r="P1009" s="9" t="s">
        <v>947</v>
      </c>
    </row>
    <row r="1010" spans="1:16" ht="33.950000000000003" customHeight="1">
      <c r="A1010" s="2" t="s">
        <v>940</v>
      </c>
      <c r="B1010" s="2" t="s">
        <v>73</v>
      </c>
      <c r="C1010" s="8" t="s">
        <v>941</v>
      </c>
      <c r="D1010" s="2">
        <v>2</v>
      </c>
      <c r="E1010" s="8" t="s">
        <v>3188</v>
      </c>
      <c r="F1010" s="2" t="s">
        <v>86</v>
      </c>
      <c r="G1010" s="19" t="s">
        <v>3189</v>
      </c>
      <c r="H1010" s="2" t="s">
        <v>3178</v>
      </c>
      <c r="I1010" s="8"/>
      <c r="J1010" s="2"/>
      <c r="K1010" s="2"/>
      <c r="L1010" s="8"/>
      <c r="M1010" s="2">
        <v>6.58</v>
      </c>
      <c r="N1010" s="8" t="s">
        <v>4382</v>
      </c>
      <c r="O1010" s="8" t="str">
        <f t="shared" si="100"/>
        <v>PDFを開く</v>
      </c>
      <c r="P1010" s="8" t="s">
        <v>947</v>
      </c>
    </row>
    <row r="1011" spans="1:16" ht="33.950000000000003" customHeight="1">
      <c r="A1011" s="5" t="s">
        <v>940</v>
      </c>
      <c r="B1011" s="5" t="s">
        <v>73</v>
      </c>
      <c r="C1011" s="9" t="s">
        <v>941</v>
      </c>
      <c r="D1011" s="5">
        <v>2</v>
      </c>
      <c r="E1011" s="9" t="s">
        <v>3191</v>
      </c>
      <c r="F1011" s="5" t="s">
        <v>2513</v>
      </c>
      <c r="G1011" s="5" t="s">
        <v>3177</v>
      </c>
      <c r="H1011" s="5" t="s">
        <v>3178</v>
      </c>
      <c r="I1011" s="9" t="s">
        <v>3179</v>
      </c>
      <c r="J1011" s="5">
        <v>2026</v>
      </c>
      <c r="K1011" s="5">
        <v>41</v>
      </c>
      <c r="L1011" s="9" t="s">
        <v>4225</v>
      </c>
      <c r="M1011" s="5"/>
      <c r="N1011" s="9" t="s">
        <v>4383</v>
      </c>
      <c r="O1011" s="9" t="str">
        <f t="shared" si="100"/>
        <v>PDFを開く</v>
      </c>
      <c r="P1011" s="9" t="s">
        <v>947</v>
      </c>
    </row>
    <row r="1012" spans="1:16" ht="33.950000000000003" customHeight="1">
      <c r="A1012" s="2" t="s">
        <v>940</v>
      </c>
      <c r="B1012" s="2" t="s">
        <v>73</v>
      </c>
      <c r="C1012" s="8" t="s">
        <v>941</v>
      </c>
      <c r="D1012" s="2">
        <v>2</v>
      </c>
      <c r="E1012" s="8" t="s">
        <v>3191</v>
      </c>
      <c r="F1012" s="2" t="s">
        <v>2513</v>
      </c>
      <c r="G1012" s="2" t="s">
        <v>3177</v>
      </c>
      <c r="H1012" s="2" t="s">
        <v>3178</v>
      </c>
      <c r="I1012" s="8" t="s">
        <v>3182</v>
      </c>
      <c r="J1012" s="2">
        <v>2029</v>
      </c>
      <c r="K1012" s="2">
        <v>54</v>
      </c>
      <c r="L1012" s="8" t="s">
        <v>3311</v>
      </c>
      <c r="M1012" s="2"/>
      <c r="N1012" s="8" t="s">
        <v>4383</v>
      </c>
      <c r="O1012" s="8" t="str">
        <f t="shared" si="100"/>
        <v>PDFを開く</v>
      </c>
      <c r="P1012" s="8" t="s">
        <v>947</v>
      </c>
    </row>
    <row r="1013" spans="1:16" ht="33.950000000000003" customHeight="1">
      <c r="A1013" s="5" t="s">
        <v>940</v>
      </c>
      <c r="B1013" s="5" t="s">
        <v>73</v>
      </c>
      <c r="C1013" s="9" t="s">
        <v>941</v>
      </c>
      <c r="D1013" s="5">
        <v>2</v>
      </c>
      <c r="E1013" s="9" t="s">
        <v>3188</v>
      </c>
      <c r="F1013" s="5" t="s">
        <v>86</v>
      </c>
      <c r="G1013" s="5" t="s">
        <v>3177</v>
      </c>
      <c r="H1013" s="5"/>
      <c r="I1013" s="9" t="s">
        <v>4384</v>
      </c>
      <c r="J1013" s="5">
        <v>2026</v>
      </c>
      <c r="K1013" s="5"/>
      <c r="L1013" s="9" t="s">
        <v>3211</v>
      </c>
      <c r="M1013" s="5">
        <v>6.58</v>
      </c>
      <c r="N1013" s="9" t="s">
        <v>4385</v>
      </c>
      <c r="O1013" s="9" t="str">
        <f t="shared" si="100"/>
        <v>PDFを開く</v>
      </c>
      <c r="P1013" s="9" t="s">
        <v>947</v>
      </c>
    </row>
    <row r="1014" spans="1:16" ht="33.950000000000003" customHeight="1">
      <c r="A1014" s="2" t="s">
        <v>940</v>
      </c>
      <c r="B1014" s="2" t="s">
        <v>73</v>
      </c>
      <c r="C1014" s="8" t="s">
        <v>941</v>
      </c>
      <c r="D1014" s="2">
        <v>2</v>
      </c>
      <c r="E1014" s="8" t="s">
        <v>3188</v>
      </c>
      <c r="F1014" s="2" t="s">
        <v>86</v>
      </c>
      <c r="G1014" s="2" t="s">
        <v>3177</v>
      </c>
      <c r="H1014" s="2"/>
      <c r="I1014" s="8" t="s">
        <v>4386</v>
      </c>
      <c r="J1014" s="2">
        <v>2029</v>
      </c>
      <c r="K1014" s="2"/>
      <c r="L1014" s="8" t="s">
        <v>4387</v>
      </c>
      <c r="M1014" s="2">
        <v>6.58</v>
      </c>
      <c r="N1014" s="8" t="s">
        <v>4385</v>
      </c>
      <c r="O1014" s="8" t="str">
        <f t="shared" si="100"/>
        <v>PDFを開く</v>
      </c>
      <c r="P1014" s="8" t="s">
        <v>947</v>
      </c>
    </row>
    <row r="1015" spans="1:16" ht="33.950000000000003" customHeight="1">
      <c r="A1015" s="5" t="s">
        <v>948</v>
      </c>
      <c r="B1015" s="5" t="s">
        <v>73</v>
      </c>
      <c r="C1015" s="9" t="s">
        <v>949</v>
      </c>
      <c r="D1015" s="5">
        <v>2</v>
      </c>
      <c r="E1015" s="9" t="s">
        <v>3176</v>
      </c>
      <c r="F1015" s="5" t="s">
        <v>447</v>
      </c>
      <c r="G1015" s="5" t="s">
        <v>3177</v>
      </c>
      <c r="H1015" s="5" t="s">
        <v>3178</v>
      </c>
      <c r="I1015" s="9" t="s">
        <v>3179</v>
      </c>
      <c r="J1015" s="5">
        <v>2026</v>
      </c>
      <c r="K1015" s="5">
        <v>17623</v>
      </c>
      <c r="L1015" s="9" t="s">
        <v>4388</v>
      </c>
      <c r="M1015" s="5">
        <v>49</v>
      </c>
      <c r="N1015" s="9" t="s">
        <v>4389</v>
      </c>
      <c r="O1015" s="9" t="str">
        <f t="shared" ref="O1015:O1023" si="101">HYPERLINK("https://seichotoushi-hojo.jp/assets/pdf/koufu/outline_42.pdf","PDFを開く")</f>
        <v>PDFを開く</v>
      </c>
      <c r="P1015" s="9" t="s">
        <v>954</v>
      </c>
    </row>
    <row r="1016" spans="1:16" ht="33.950000000000003" customHeight="1">
      <c r="A1016" s="2" t="s">
        <v>948</v>
      </c>
      <c r="B1016" s="2" t="s">
        <v>73</v>
      </c>
      <c r="C1016" s="8" t="s">
        <v>949</v>
      </c>
      <c r="D1016" s="2">
        <v>2</v>
      </c>
      <c r="E1016" s="8" t="s">
        <v>3176</v>
      </c>
      <c r="F1016" s="2" t="s">
        <v>447</v>
      </c>
      <c r="G1016" s="2" t="s">
        <v>3177</v>
      </c>
      <c r="H1016" s="2" t="s">
        <v>3178</v>
      </c>
      <c r="I1016" s="8" t="s">
        <v>3182</v>
      </c>
      <c r="J1016" s="2">
        <v>2029</v>
      </c>
      <c r="K1016" s="2">
        <v>58032</v>
      </c>
      <c r="L1016" s="8" t="s">
        <v>4390</v>
      </c>
      <c r="M1016" s="2">
        <v>49</v>
      </c>
      <c r="N1016" s="8" t="s">
        <v>4389</v>
      </c>
      <c r="O1016" s="8" t="str">
        <f t="shared" si="101"/>
        <v>PDFを開く</v>
      </c>
      <c r="P1016" s="8" t="s">
        <v>954</v>
      </c>
    </row>
    <row r="1017" spans="1:16" ht="33.950000000000003" customHeight="1">
      <c r="A1017" s="5" t="s">
        <v>948</v>
      </c>
      <c r="B1017" s="5" t="s">
        <v>73</v>
      </c>
      <c r="C1017" s="9" t="s">
        <v>949</v>
      </c>
      <c r="D1017" s="5">
        <v>2</v>
      </c>
      <c r="E1017" s="9" t="s">
        <v>3184</v>
      </c>
      <c r="F1017" s="5" t="s">
        <v>447</v>
      </c>
      <c r="G1017" s="5" t="s">
        <v>3177</v>
      </c>
      <c r="H1017" s="5" t="s">
        <v>3178</v>
      </c>
      <c r="I1017" s="9" t="s">
        <v>3179</v>
      </c>
      <c r="J1017" s="5">
        <v>2026</v>
      </c>
      <c r="K1017" s="5">
        <v>8300</v>
      </c>
      <c r="L1017" s="9" t="s">
        <v>4391</v>
      </c>
      <c r="M1017" s="5">
        <v>5.95</v>
      </c>
      <c r="N1017" s="9" t="s">
        <v>4392</v>
      </c>
      <c r="O1017" s="9" t="str">
        <f t="shared" si="101"/>
        <v>PDFを開く</v>
      </c>
      <c r="P1017" s="9" t="s">
        <v>954</v>
      </c>
    </row>
    <row r="1018" spans="1:16" ht="33.950000000000003" customHeight="1">
      <c r="A1018" s="2" t="s">
        <v>948</v>
      </c>
      <c r="B1018" s="2" t="s">
        <v>73</v>
      </c>
      <c r="C1018" s="8" t="s">
        <v>949</v>
      </c>
      <c r="D1018" s="2">
        <v>2</v>
      </c>
      <c r="E1018" s="8" t="s">
        <v>3184</v>
      </c>
      <c r="F1018" s="2" t="s">
        <v>447</v>
      </c>
      <c r="G1018" s="2" t="s">
        <v>3177</v>
      </c>
      <c r="H1018" s="2" t="s">
        <v>3178</v>
      </c>
      <c r="I1018" s="8" t="s">
        <v>3182</v>
      </c>
      <c r="J1018" s="2">
        <v>2029</v>
      </c>
      <c r="K1018" s="2">
        <v>9883</v>
      </c>
      <c r="L1018" s="8" t="s">
        <v>4393</v>
      </c>
      <c r="M1018" s="2">
        <v>5.95</v>
      </c>
      <c r="N1018" s="8" t="s">
        <v>4392</v>
      </c>
      <c r="O1018" s="8" t="str">
        <f t="shared" si="101"/>
        <v>PDFを開く</v>
      </c>
      <c r="P1018" s="8" t="s">
        <v>954</v>
      </c>
    </row>
    <row r="1019" spans="1:16" ht="33.950000000000003" customHeight="1">
      <c r="A1019" s="5" t="s">
        <v>948</v>
      </c>
      <c r="B1019" s="5" t="s">
        <v>73</v>
      </c>
      <c r="C1019" s="9" t="s">
        <v>949</v>
      </c>
      <c r="D1019" s="5">
        <v>2</v>
      </c>
      <c r="E1019" s="9" t="s">
        <v>3188</v>
      </c>
      <c r="F1019" s="5" t="s">
        <v>447</v>
      </c>
      <c r="G1019" s="19" t="s">
        <v>3189</v>
      </c>
      <c r="H1019" s="5" t="s">
        <v>3178</v>
      </c>
      <c r="I1019" s="9"/>
      <c r="J1019" s="5"/>
      <c r="K1019" s="5"/>
      <c r="L1019" s="9"/>
      <c r="M1019" s="5">
        <v>3.7</v>
      </c>
      <c r="N1019" s="9" t="s">
        <v>4394</v>
      </c>
      <c r="O1019" s="9" t="str">
        <f t="shared" si="101"/>
        <v>PDFを開く</v>
      </c>
      <c r="P1019" s="9" t="s">
        <v>954</v>
      </c>
    </row>
    <row r="1020" spans="1:16" ht="33.950000000000003" customHeight="1">
      <c r="A1020" s="2" t="s">
        <v>948</v>
      </c>
      <c r="B1020" s="2" t="s">
        <v>73</v>
      </c>
      <c r="C1020" s="8" t="s">
        <v>949</v>
      </c>
      <c r="D1020" s="2">
        <v>2</v>
      </c>
      <c r="E1020" s="8" t="s">
        <v>3191</v>
      </c>
      <c r="F1020" s="2" t="s">
        <v>2513</v>
      </c>
      <c r="G1020" s="2" t="s">
        <v>3177</v>
      </c>
      <c r="H1020" s="2" t="s">
        <v>3178</v>
      </c>
      <c r="I1020" s="8" t="s">
        <v>3179</v>
      </c>
      <c r="J1020" s="2">
        <v>2026</v>
      </c>
      <c r="K1020" s="2">
        <v>12</v>
      </c>
      <c r="L1020" s="8" t="s">
        <v>4395</v>
      </c>
      <c r="M1020" s="2"/>
      <c r="N1020" s="8" t="s">
        <v>4396</v>
      </c>
      <c r="O1020" s="8" t="str">
        <f t="shared" si="101"/>
        <v>PDFを開く</v>
      </c>
      <c r="P1020" s="8" t="s">
        <v>954</v>
      </c>
    </row>
    <row r="1021" spans="1:16" ht="33.950000000000003" customHeight="1">
      <c r="A1021" s="5" t="s">
        <v>948</v>
      </c>
      <c r="B1021" s="5" t="s">
        <v>73</v>
      </c>
      <c r="C1021" s="9" t="s">
        <v>949</v>
      </c>
      <c r="D1021" s="5">
        <v>2</v>
      </c>
      <c r="E1021" s="9" t="s">
        <v>3191</v>
      </c>
      <c r="F1021" s="5" t="s">
        <v>2513</v>
      </c>
      <c r="G1021" s="5" t="s">
        <v>3177</v>
      </c>
      <c r="H1021" s="5" t="s">
        <v>3178</v>
      </c>
      <c r="I1021" s="9" t="s">
        <v>3182</v>
      </c>
      <c r="J1021" s="5">
        <v>2029</v>
      </c>
      <c r="K1021" s="5">
        <v>30</v>
      </c>
      <c r="L1021" s="9" t="s">
        <v>4040</v>
      </c>
      <c r="M1021" s="5"/>
      <c r="N1021" s="9" t="s">
        <v>4396</v>
      </c>
      <c r="O1021" s="9" t="str">
        <f t="shared" si="101"/>
        <v>PDFを開く</v>
      </c>
      <c r="P1021" s="9" t="s">
        <v>954</v>
      </c>
    </row>
    <row r="1022" spans="1:16" ht="33.950000000000003" customHeight="1">
      <c r="A1022" s="2" t="s">
        <v>948</v>
      </c>
      <c r="B1022" s="2" t="s">
        <v>73</v>
      </c>
      <c r="C1022" s="8" t="s">
        <v>949</v>
      </c>
      <c r="D1022" s="2">
        <v>2</v>
      </c>
      <c r="E1022" s="8" t="s">
        <v>3188</v>
      </c>
      <c r="F1022" s="2" t="s">
        <v>447</v>
      </c>
      <c r="G1022" s="2" t="s">
        <v>3177</v>
      </c>
      <c r="H1022" s="2"/>
      <c r="I1022" s="8" t="s">
        <v>4397</v>
      </c>
      <c r="J1022" s="2">
        <v>2026</v>
      </c>
      <c r="K1022" s="2"/>
      <c r="L1022" s="8" t="s">
        <v>3211</v>
      </c>
      <c r="M1022" s="2">
        <v>3.7</v>
      </c>
      <c r="N1022" s="8" t="s">
        <v>4398</v>
      </c>
      <c r="O1022" s="8" t="str">
        <f t="shared" si="101"/>
        <v>PDFを開く</v>
      </c>
      <c r="P1022" s="8" t="s">
        <v>954</v>
      </c>
    </row>
    <row r="1023" spans="1:16" ht="33.950000000000003" customHeight="1">
      <c r="A1023" s="5" t="s">
        <v>948</v>
      </c>
      <c r="B1023" s="5" t="s">
        <v>73</v>
      </c>
      <c r="C1023" s="9" t="s">
        <v>949</v>
      </c>
      <c r="D1023" s="5">
        <v>2</v>
      </c>
      <c r="E1023" s="9" t="s">
        <v>3188</v>
      </c>
      <c r="F1023" s="5" t="s">
        <v>447</v>
      </c>
      <c r="G1023" s="5" t="s">
        <v>3177</v>
      </c>
      <c r="H1023" s="5"/>
      <c r="I1023" s="9" t="s">
        <v>4399</v>
      </c>
      <c r="J1023" s="5">
        <v>2029</v>
      </c>
      <c r="K1023" s="5"/>
      <c r="L1023" s="9" t="s">
        <v>4400</v>
      </c>
      <c r="M1023" s="5">
        <v>3.7</v>
      </c>
      <c r="N1023" s="9" t="s">
        <v>4398</v>
      </c>
      <c r="O1023" s="9" t="str">
        <f t="shared" si="101"/>
        <v>PDFを開く</v>
      </c>
      <c r="P1023" s="9" t="s">
        <v>954</v>
      </c>
    </row>
    <row r="1024" spans="1:16" ht="33.950000000000003" customHeight="1">
      <c r="A1024" s="2" t="s">
        <v>955</v>
      </c>
      <c r="B1024" s="2" t="s">
        <v>73</v>
      </c>
      <c r="C1024" s="8" t="s">
        <v>956</v>
      </c>
      <c r="D1024" s="2">
        <v>3</v>
      </c>
      <c r="E1024" s="8" t="s">
        <v>3176</v>
      </c>
      <c r="F1024" s="2" t="s">
        <v>447</v>
      </c>
      <c r="G1024" s="19" t="s">
        <v>3494</v>
      </c>
      <c r="H1024" s="2" t="s">
        <v>3178</v>
      </c>
      <c r="I1024" s="8" t="s">
        <v>4401</v>
      </c>
      <c r="J1024" s="2">
        <v>2025</v>
      </c>
      <c r="K1024" s="2">
        <v>6214</v>
      </c>
      <c r="L1024" s="8" t="s">
        <v>4402</v>
      </c>
      <c r="M1024" s="2">
        <v>5.79</v>
      </c>
      <c r="N1024" s="8" t="s">
        <v>4403</v>
      </c>
      <c r="O1024" s="8" t="str">
        <f t="shared" ref="O1024:O1043" si="102">HYPERLINK("https://seichotoushi-hojo.jp/assets/pdf/koufu/outline_43.pdf","PDFを開く")</f>
        <v>PDFを開く</v>
      </c>
      <c r="P1024" s="8" t="s">
        <v>964</v>
      </c>
    </row>
    <row r="1025" spans="1:16" ht="33.950000000000003" customHeight="1">
      <c r="A1025" s="5" t="s">
        <v>955</v>
      </c>
      <c r="B1025" s="5" t="s">
        <v>73</v>
      </c>
      <c r="C1025" s="9" t="s">
        <v>956</v>
      </c>
      <c r="D1025" s="5">
        <v>3</v>
      </c>
      <c r="E1025" s="9" t="s">
        <v>3176</v>
      </c>
      <c r="F1025" s="5" t="s">
        <v>447</v>
      </c>
      <c r="G1025" s="19" t="s">
        <v>3494</v>
      </c>
      <c r="H1025" s="5" t="s">
        <v>3178</v>
      </c>
      <c r="I1025" s="9" t="s">
        <v>4404</v>
      </c>
      <c r="J1025" s="5">
        <v>2028</v>
      </c>
      <c r="K1025" s="5">
        <v>7359</v>
      </c>
      <c r="L1025" s="9" t="s">
        <v>4405</v>
      </c>
      <c r="M1025" s="5">
        <v>5.79</v>
      </c>
      <c r="N1025" s="9" t="s">
        <v>4403</v>
      </c>
      <c r="O1025" s="9" t="str">
        <f t="shared" si="102"/>
        <v>PDFを開く</v>
      </c>
      <c r="P1025" s="9" t="s">
        <v>964</v>
      </c>
    </row>
    <row r="1026" spans="1:16" ht="33.950000000000003" customHeight="1">
      <c r="A1026" s="2" t="s">
        <v>955</v>
      </c>
      <c r="B1026" s="2" t="s">
        <v>73</v>
      </c>
      <c r="C1026" s="8" t="s">
        <v>956</v>
      </c>
      <c r="D1026" s="2">
        <v>3</v>
      </c>
      <c r="E1026" s="8" t="s">
        <v>3184</v>
      </c>
      <c r="F1026" s="2" t="s">
        <v>447</v>
      </c>
      <c r="G1026" s="19" t="s">
        <v>3494</v>
      </c>
      <c r="H1026" s="2" t="s">
        <v>3178</v>
      </c>
      <c r="I1026" s="8" t="s">
        <v>4401</v>
      </c>
      <c r="J1026" s="2">
        <v>2025</v>
      </c>
      <c r="K1026" s="2">
        <v>5677</v>
      </c>
      <c r="L1026" s="8" t="s">
        <v>4406</v>
      </c>
      <c r="M1026" s="2">
        <v>5.23</v>
      </c>
      <c r="N1026" s="8" t="s">
        <v>4407</v>
      </c>
      <c r="O1026" s="8" t="str">
        <f t="shared" si="102"/>
        <v>PDFを開く</v>
      </c>
      <c r="P1026" s="8" t="s">
        <v>964</v>
      </c>
    </row>
    <row r="1027" spans="1:16" ht="33.950000000000003" customHeight="1">
      <c r="A1027" s="5" t="s">
        <v>955</v>
      </c>
      <c r="B1027" s="5" t="s">
        <v>73</v>
      </c>
      <c r="C1027" s="9" t="s">
        <v>956</v>
      </c>
      <c r="D1027" s="5">
        <v>3</v>
      </c>
      <c r="E1027" s="9" t="s">
        <v>3184</v>
      </c>
      <c r="F1027" s="5" t="s">
        <v>447</v>
      </c>
      <c r="G1027" s="19" t="s">
        <v>3494</v>
      </c>
      <c r="H1027" s="5" t="s">
        <v>3178</v>
      </c>
      <c r="I1027" s="9" t="s">
        <v>4404</v>
      </c>
      <c r="J1027" s="5">
        <v>2028</v>
      </c>
      <c r="K1027" s="5">
        <v>6614</v>
      </c>
      <c r="L1027" s="9" t="s">
        <v>4408</v>
      </c>
      <c r="M1027" s="5">
        <v>5.23</v>
      </c>
      <c r="N1027" s="9" t="s">
        <v>4407</v>
      </c>
      <c r="O1027" s="9" t="str">
        <f t="shared" si="102"/>
        <v>PDFを開く</v>
      </c>
      <c r="P1027" s="9" t="s">
        <v>964</v>
      </c>
    </row>
    <row r="1028" spans="1:16" ht="33.950000000000003" customHeight="1">
      <c r="A1028" s="2" t="s">
        <v>955</v>
      </c>
      <c r="B1028" s="2" t="s">
        <v>73</v>
      </c>
      <c r="C1028" s="8" t="s">
        <v>956</v>
      </c>
      <c r="D1028" s="2">
        <v>3</v>
      </c>
      <c r="E1028" s="8" t="s">
        <v>3188</v>
      </c>
      <c r="F1028" s="2" t="s">
        <v>447</v>
      </c>
      <c r="G1028" s="19" t="s">
        <v>3189</v>
      </c>
      <c r="H1028" s="2" t="s">
        <v>3178</v>
      </c>
      <c r="I1028" s="8"/>
      <c r="J1028" s="2"/>
      <c r="K1028" s="2"/>
      <c r="L1028" s="8"/>
      <c r="M1028" s="2">
        <v>5</v>
      </c>
      <c r="N1028" s="8" t="s">
        <v>4409</v>
      </c>
      <c r="O1028" s="8" t="str">
        <f t="shared" si="102"/>
        <v>PDFを開く</v>
      </c>
      <c r="P1028" s="8" t="s">
        <v>964</v>
      </c>
    </row>
    <row r="1029" spans="1:16" ht="33.950000000000003" customHeight="1">
      <c r="A1029" s="5" t="s">
        <v>955</v>
      </c>
      <c r="B1029" s="5" t="s">
        <v>73</v>
      </c>
      <c r="C1029" s="9" t="s">
        <v>956</v>
      </c>
      <c r="D1029" s="5">
        <v>3</v>
      </c>
      <c r="E1029" s="9" t="s">
        <v>3191</v>
      </c>
      <c r="F1029" s="5" t="s">
        <v>2513</v>
      </c>
      <c r="G1029" s="19" t="s">
        <v>3494</v>
      </c>
      <c r="H1029" s="5" t="s">
        <v>3178</v>
      </c>
      <c r="I1029" s="9" t="s">
        <v>4401</v>
      </c>
      <c r="J1029" s="5">
        <v>2025</v>
      </c>
      <c r="K1029" s="5">
        <v>1685</v>
      </c>
      <c r="L1029" s="9" t="s">
        <v>4410</v>
      </c>
      <c r="M1029" s="5"/>
      <c r="N1029" s="9" t="s">
        <v>4411</v>
      </c>
      <c r="O1029" s="9" t="str">
        <f t="shared" si="102"/>
        <v>PDFを開く</v>
      </c>
      <c r="P1029" s="9" t="s">
        <v>964</v>
      </c>
    </row>
    <row r="1030" spans="1:16" ht="33.950000000000003" customHeight="1">
      <c r="A1030" s="2" t="s">
        <v>955</v>
      </c>
      <c r="B1030" s="2" t="s">
        <v>73</v>
      </c>
      <c r="C1030" s="8" t="s">
        <v>956</v>
      </c>
      <c r="D1030" s="2">
        <v>3</v>
      </c>
      <c r="E1030" s="8" t="s">
        <v>3191</v>
      </c>
      <c r="F1030" s="2" t="s">
        <v>2513</v>
      </c>
      <c r="G1030" s="19" t="s">
        <v>3494</v>
      </c>
      <c r="H1030" s="2" t="s">
        <v>3178</v>
      </c>
      <c r="I1030" s="8" t="s">
        <v>4404</v>
      </c>
      <c r="J1030" s="2">
        <v>2028</v>
      </c>
      <c r="K1030" s="2">
        <v>1985</v>
      </c>
      <c r="L1030" s="8" t="s">
        <v>4412</v>
      </c>
      <c r="M1030" s="2"/>
      <c r="N1030" s="8" t="s">
        <v>4411</v>
      </c>
      <c r="O1030" s="8" t="str">
        <f t="shared" si="102"/>
        <v>PDFを開く</v>
      </c>
      <c r="P1030" s="8" t="s">
        <v>964</v>
      </c>
    </row>
    <row r="1031" spans="1:16" ht="33.950000000000003" customHeight="1">
      <c r="A1031" s="5" t="s">
        <v>955</v>
      </c>
      <c r="B1031" s="5" t="s">
        <v>73</v>
      </c>
      <c r="C1031" s="9" t="s">
        <v>956</v>
      </c>
      <c r="D1031" s="5">
        <v>3</v>
      </c>
      <c r="E1031" s="9" t="s">
        <v>3176</v>
      </c>
      <c r="F1031" s="5" t="s">
        <v>447</v>
      </c>
      <c r="G1031" s="19" t="s">
        <v>3494</v>
      </c>
      <c r="H1031" s="5" t="s">
        <v>3178</v>
      </c>
      <c r="I1031" s="9" t="s">
        <v>4401</v>
      </c>
      <c r="J1031" s="5">
        <v>2025</v>
      </c>
      <c r="K1031" s="5">
        <v>3262</v>
      </c>
      <c r="L1031" s="9" t="s">
        <v>4413</v>
      </c>
      <c r="M1031" s="5">
        <v>34.94</v>
      </c>
      <c r="N1031" s="9" t="s">
        <v>4414</v>
      </c>
      <c r="O1031" s="9" t="str">
        <f t="shared" si="102"/>
        <v>PDFを開く</v>
      </c>
      <c r="P1031" s="9" t="s">
        <v>964</v>
      </c>
    </row>
    <row r="1032" spans="1:16" ht="33.950000000000003" customHeight="1">
      <c r="A1032" s="2" t="s">
        <v>955</v>
      </c>
      <c r="B1032" s="2" t="s">
        <v>73</v>
      </c>
      <c r="C1032" s="8" t="s">
        <v>956</v>
      </c>
      <c r="D1032" s="2">
        <v>3</v>
      </c>
      <c r="E1032" s="8" t="s">
        <v>3176</v>
      </c>
      <c r="F1032" s="2" t="s">
        <v>447</v>
      </c>
      <c r="G1032" s="19" t="s">
        <v>3494</v>
      </c>
      <c r="H1032" s="2" t="s">
        <v>3178</v>
      </c>
      <c r="I1032" s="8" t="s">
        <v>4404</v>
      </c>
      <c r="J1032" s="2">
        <v>2028</v>
      </c>
      <c r="K1032" s="2">
        <v>898</v>
      </c>
      <c r="L1032" s="8" t="s">
        <v>3738</v>
      </c>
      <c r="M1032" s="2">
        <v>34.94</v>
      </c>
      <c r="N1032" s="8" t="s">
        <v>4414</v>
      </c>
      <c r="O1032" s="8" t="str">
        <f t="shared" si="102"/>
        <v>PDFを開く</v>
      </c>
      <c r="P1032" s="8" t="s">
        <v>964</v>
      </c>
    </row>
    <row r="1033" spans="1:16" ht="33.950000000000003" customHeight="1">
      <c r="A1033" s="5" t="s">
        <v>955</v>
      </c>
      <c r="B1033" s="5" t="s">
        <v>73</v>
      </c>
      <c r="C1033" s="9" t="s">
        <v>956</v>
      </c>
      <c r="D1033" s="5">
        <v>3</v>
      </c>
      <c r="E1033" s="9" t="s">
        <v>3184</v>
      </c>
      <c r="F1033" s="5" t="s">
        <v>447</v>
      </c>
      <c r="G1033" s="19" t="s">
        <v>3494</v>
      </c>
      <c r="H1033" s="5" t="s">
        <v>3178</v>
      </c>
      <c r="I1033" s="9" t="s">
        <v>4401</v>
      </c>
      <c r="J1033" s="5">
        <v>2025</v>
      </c>
      <c r="K1033" s="5">
        <v>4496</v>
      </c>
      <c r="L1033" s="9" t="s">
        <v>4415</v>
      </c>
      <c r="M1033" s="5">
        <v>5.31</v>
      </c>
      <c r="N1033" s="9" t="s">
        <v>4416</v>
      </c>
      <c r="O1033" s="9" t="str">
        <f t="shared" si="102"/>
        <v>PDFを開く</v>
      </c>
      <c r="P1033" s="9" t="s">
        <v>964</v>
      </c>
    </row>
    <row r="1034" spans="1:16" ht="33.950000000000003" customHeight="1">
      <c r="A1034" s="2" t="s">
        <v>955</v>
      </c>
      <c r="B1034" s="2" t="s">
        <v>73</v>
      </c>
      <c r="C1034" s="8" t="s">
        <v>956</v>
      </c>
      <c r="D1034" s="2">
        <v>3</v>
      </c>
      <c r="E1034" s="8" t="s">
        <v>3184</v>
      </c>
      <c r="F1034" s="2" t="s">
        <v>447</v>
      </c>
      <c r="G1034" s="19" t="s">
        <v>3494</v>
      </c>
      <c r="H1034" s="2" t="s">
        <v>3178</v>
      </c>
      <c r="I1034" s="8" t="s">
        <v>4404</v>
      </c>
      <c r="J1034" s="2">
        <v>2028</v>
      </c>
      <c r="K1034" s="2">
        <v>5251</v>
      </c>
      <c r="L1034" s="8" t="s">
        <v>4417</v>
      </c>
      <c r="M1034" s="2">
        <v>5.31</v>
      </c>
      <c r="N1034" s="8" t="s">
        <v>4416</v>
      </c>
      <c r="O1034" s="8" t="str">
        <f t="shared" si="102"/>
        <v>PDFを開く</v>
      </c>
      <c r="P1034" s="8" t="s">
        <v>964</v>
      </c>
    </row>
    <row r="1035" spans="1:16" ht="33.950000000000003" customHeight="1">
      <c r="A1035" s="5" t="s">
        <v>955</v>
      </c>
      <c r="B1035" s="5" t="s">
        <v>73</v>
      </c>
      <c r="C1035" s="9" t="s">
        <v>956</v>
      </c>
      <c r="D1035" s="5">
        <v>3</v>
      </c>
      <c r="E1035" s="9" t="s">
        <v>3188</v>
      </c>
      <c r="F1035" s="5" t="s">
        <v>447</v>
      </c>
      <c r="G1035" s="19" t="s">
        <v>3189</v>
      </c>
      <c r="H1035" s="5" t="s">
        <v>3178</v>
      </c>
      <c r="I1035" s="9"/>
      <c r="J1035" s="5"/>
      <c r="K1035" s="5"/>
      <c r="L1035" s="9"/>
      <c r="M1035" s="5">
        <v>5</v>
      </c>
      <c r="N1035" s="9" t="s">
        <v>4409</v>
      </c>
      <c r="O1035" s="9" t="str">
        <f t="shared" si="102"/>
        <v>PDFを開く</v>
      </c>
      <c r="P1035" s="9" t="s">
        <v>964</v>
      </c>
    </row>
    <row r="1036" spans="1:16" ht="33.950000000000003" customHeight="1">
      <c r="A1036" s="2" t="s">
        <v>955</v>
      </c>
      <c r="B1036" s="2" t="s">
        <v>73</v>
      </c>
      <c r="C1036" s="8" t="s">
        <v>956</v>
      </c>
      <c r="D1036" s="2">
        <v>3</v>
      </c>
      <c r="E1036" s="8" t="s">
        <v>3191</v>
      </c>
      <c r="F1036" s="2" t="s">
        <v>2513</v>
      </c>
      <c r="G1036" s="19" t="s">
        <v>3494</v>
      </c>
      <c r="H1036" s="2" t="s">
        <v>3178</v>
      </c>
      <c r="I1036" s="8" t="s">
        <v>4401</v>
      </c>
      <c r="J1036" s="2">
        <v>2025</v>
      </c>
      <c r="K1036" s="2">
        <v>139</v>
      </c>
      <c r="L1036" s="8" t="s">
        <v>4418</v>
      </c>
      <c r="M1036" s="2"/>
      <c r="N1036" s="8" t="s">
        <v>4419</v>
      </c>
      <c r="O1036" s="8" t="str">
        <f t="shared" si="102"/>
        <v>PDFを開く</v>
      </c>
      <c r="P1036" s="8" t="s">
        <v>964</v>
      </c>
    </row>
    <row r="1037" spans="1:16" ht="33.950000000000003" customHeight="1">
      <c r="A1037" s="5" t="s">
        <v>955</v>
      </c>
      <c r="B1037" s="5" t="s">
        <v>73</v>
      </c>
      <c r="C1037" s="9" t="s">
        <v>956</v>
      </c>
      <c r="D1037" s="5">
        <v>3</v>
      </c>
      <c r="E1037" s="9" t="s">
        <v>3191</v>
      </c>
      <c r="F1037" s="5" t="s">
        <v>2513</v>
      </c>
      <c r="G1037" s="19" t="s">
        <v>3494</v>
      </c>
      <c r="H1037" s="5" t="s">
        <v>3178</v>
      </c>
      <c r="I1037" s="9" t="s">
        <v>4404</v>
      </c>
      <c r="J1037" s="5">
        <v>2028</v>
      </c>
      <c r="K1037" s="5">
        <v>182</v>
      </c>
      <c r="L1037" s="9" t="s">
        <v>4420</v>
      </c>
      <c r="M1037" s="5"/>
      <c r="N1037" s="9" t="s">
        <v>4419</v>
      </c>
      <c r="O1037" s="9" t="str">
        <f t="shared" si="102"/>
        <v>PDFを開く</v>
      </c>
      <c r="P1037" s="9" t="s">
        <v>964</v>
      </c>
    </row>
    <row r="1038" spans="1:16" ht="33.950000000000003" customHeight="1">
      <c r="A1038" s="2" t="s">
        <v>955</v>
      </c>
      <c r="B1038" s="2" t="s">
        <v>73</v>
      </c>
      <c r="C1038" s="8" t="s">
        <v>956</v>
      </c>
      <c r="D1038" s="2">
        <v>3</v>
      </c>
      <c r="E1038" s="8" t="s">
        <v>3176</v>
      </c>
      <c r="F1038" s="2" t="s">
        <v>447</v>
      </c>
      <c r="G1038" s="2" t="s">
        <v>3177</v>
      </c>
      <c r="H1038" s="2" t="s">
        <v>3178</v>
      </c>
      <c r="I1038" s="8" t="s">
        <v>4401</v>
      </c>
      <c r="J1038" s="2">
        <v>2025</v>
      </c>
      <c r="K1038" s="2">
        <v>6214</v>
      </c>
      <c r="L1038" s="8" t="s">
        <v>4402</v>
      </c>
      <c r="M1038" s="2">
        <v>5.79</v>
      </c>
      <c r="N1038" s="8" t="s">
        <v>4403</v>
      </c>
      <c r="O1038" s="8" t="str">
        <f t="shared" si="102"/>
        <v>PDFを開く</v>
      </c>
      <c r="P1038" s="8" t="s">
        <v>964</v>
      </c>
    </row>
    <row r="1039" spans="1:16" ht="33.950000000000003" customHeight="1">
      <c r="A1039" s="5" t="s">
        <v>955</v>
      </c>
      <c r="B1039" s="5" t="s">
        <v>73</v>
      </c>
      <c r="C1039" s="9" t="s">
        <v>956</v>
      </c>
      <c r="D1039" s="5">
        <v>3</v>
      </c>
      <c r="E1039" s="9" t="s">
        <v>3176</v>
      </c>
      <c r="F1039" s="5" t="s">
        <v>447</v>
      </c>
      <c r="G1039" s="5" t="s">
        <v>3177</v>
      </c>
      <c r="H1039" s="5" t="s">
        <v>3178</v>
      </c>
      <c r="I1039" s="9" t="s">
        <v>4404</v>
      </c>
      <c r="J1039" s="5">
        <v>2028</v>
      </c>
      <c r="K1039" s="5">
        <v>7359</v>
      </c>
      <c r="L1039" s="9" t="s">
        <v>4405</v>
      </c>
      <c r="M1039" s="5">
        <v>5.79</v>
      </c>
      <c r="N1039" s="9" t="s">
        <v>4403</v>
      </c>
      <c r="O1039" s="9" t="str">
        <f t="shared" si="102"/>
        <v>PDFを開く</v>
      </c>
      <c r="P1039" s="9" t="s">
        <v>964</v>
      </c>
    </row>
    <row r="1040" spans="1:16" ht="33.950000000000003" customHeight="1">
      <c r="A1040" s="2" t="s">
        <v>955</v>
      </c>
      <c r="B1040" s="2" t="s">
        <v>73</v>
      </c>
      <c r="C1040" s="8" t="s">
        <v>956</v>
      </c>
      <c r="D1040" s="2">
        <v>3</v>
      </c>
      <c r="E1040" s="8" t="s">
        <v>3191</v>
      </c>
      <c r="F1040" s="2" t="s">
        <v>2513</v>
      </c>
      <c r="G1040" s="2" t="s">
        <v>3177</v>
      </c>
      <c r="H1040" s="2" t="s">
        <v>3178</v>
      </c>
      <c r="I1040" s="8" t="s">
        <v>4401</v>
      </c>
      <c r="J1040" s="2">
        <v>2025</v>
      </c>
      <c r="K1040" s="2">
        <v>1685</v>
      </c>
      <c r="L1040" s="8" t="s">
        <v>4410</v>
      </c>
      <c r="M1040" s="2"/>
      <c r="N1040" s="8" t="s">
        <v>4411</v>
      </c>
      <c r="O1040" s="8" t="str">
        <f t="shared" si="102"/>
        <v>PDFを開く</v>
      </c>
      <c r="P1040" s="8" t="s">
        <v>964</v>
      </c>
    </row>
    <row r="1041" spans="1:16" ht="33.950000000000003" customHeight="1">
      <c r="A1041" s="5" t="s">
        <v>955</v>
      </c>
      <c r="B1041" s="5" t="s">
        <v>73</v>
      </c>
      <c r="C1041" s="9" t="s">
        <v>956</v>
      </c>
      <c r="D1041" s="5">
        <v>3</v>
      </c>
      <c r="E1041" s="9" t="s">
        <v>3191</v>
      </c>
      <c r="F1041" s="5" t="s">
        <v>2513</v>
      </c>
      <c r="G1041" s="5" t="s">
        <v>3177</v>
      </c>
      <c r="H1041" s="5" t="s">
        <v>3178</v>
      </c>
      <c r="I1041" s="9" t="s">
        <v>4404</v>
      </c>
      <c r="J1041" s="5">
        <v>2028</v>
      </c>
      <c r="K1041" s="5">
        <v>1985</v>
      </c>
      <c r="L1041" s="9" t="s">
        <v>4412</v>
      </c>
      <c r="M1041" s="5"/>
      <c r="N1041" s="9" t="s">
        <v>4411</v>
      </c>
      <c r="O1041" s="9" t="str">
        <f t="shared" si="102"/>
        <v>PDFを開く</v>
      </c>
      <c r="P1041" s="9" t="s">
        <v>964</v>
      </c>
    </row>
    <row r="1042" spans="1:16" ht="33.950000000000003" customHeight="1">
      <c r="A1042" s="2" t="s">
        <v>955</v>
      </c>
      <c r="B1042" s="2" t="s">
        <v>73</v>
      </c>
      <c r="C1042" s="8" t="s">
        <v>956</v>
      </c>
      <c r="D1042" s="2">
        <v>3</v>
      </c>
      <c r="E1042" s="8" t="s">
        <v>3184</v>
      </c>
      <c r="F1042" s="2" t="s">
        <v>447</v>
      </c>
      <c r="G1042" s="2" t="s">
        <v>3177</v>
      </c>
      <c r="H1042" s="2" t="s">
        <v>3178</v>
      </c>
      <c r="I1042" s="8" t="s">
        <v>4401</v>
      </c>
      <c r="J1042" s="2">
        <v>2025</v>
      </c>
      <c r="K1042" s="2">
        <v>5677</v>
      </c>
      <c r="L1042" s="8" t="s">
        <v>4406</v>
      </c>
      <c r="M1042" s="2">
        <v>5.23</v>
      </c>
      <c r="N1042" s="8" t="s">
        <v>4407</v>
      </c>
      <c r="O1042" s="8" t="str">
        <f t="shared" si="102"/>
        <v>PDFを開く</v>
      </c>
      <c r="P1042" s="8" t="s">
        <v>964</v>
      </c>
    </row>
    <row r="1043" spans="1:16" ht="33.950000000000003" customHeight="1">
      <c r="A1043" s="5" t="s">
        <v>955</v>
      </c>
      <c r="B1043" s="5" t="s">
        <v>73</v>
      </c>
      <c r="C1043" s="9" t="s">
        <v>956</v>
      </c>
      <c r="D1043" s="5">
        <v>3</v>
      </c>
      <c r="E1043" s="9" t="s">
        <v>3184</v>
      </c>
      <c r="F1043" s="5" t="s">
        <v>447</v>
      </c>
      <c r="G1043" s="5" t="s">
        <v>3177</v>
      </c>
      <c r="H1043" s="5" t="s">
        <v>3178</v>
      </c>
      <c r="I1043" s="9" t="s">
        <v>4404</v>
      </c>
      <c r="J1043" s="5">
        <v>2028</v>
      </c>
      <c r="K1043" s="5">
        <v>6614</v>
      </c>
      <c r="L1043" s="9" t="s">
        <v>4408</v>
      </c>
      <c r="M1043" s="5">
        <v>5.23</v>
      </c>
      <c r="N1043" s="9" t="s">
        <v>4407</v>
      </c>
      <c r="O1043" s="9" t="str">
        <f t="shared" si="102"/>
        <v>PDFを開く</v>
      </c>
      <c r="P1043" s="9" t="s">
        <v>964</v>
      </c>
    </row>
    <row r="1044" spans="1:16" ht="33.950000000000003" customHeight="1">
      <c r="A1044" s="2" t="s">
        <v>965</v>
      </c>
      <c r="B1044" s="2" t="s">
        <v>73</v>
      </c>
      <c r="C1044" s="8" t="s">
        <v>966</v>
      </c>
      <c r="D1044" s="2">
        <v>2</v>
      </c>
      <c r="E1044" s="8" t="s">
        <v>3176</v>
      </c>
      <c r="F1044" s="2" t="s">
        <v>86</v>
      </c>
      <c r="G1044" s="2" t="s">
        <v>3177</v>
      </c>
      <c r="H1044" s="2" t="s">
        <v>3178</v>
      </c>
      <c r="I1044" s="8" t="s">
        <v>3259</v>
      </c>
      <c r="J1044" s="2">
        <v>2027</v>
      </c>
      <c r="K1044" s="2">
        <v>1701</v>
      </c>
      <c r="L1044" s="8" t="s">
        <v>4421</v>
      </c>
      <c r="M1044" s="2">
        <v>6</v>
      </c>
      <c r="N1044" s="8" t="s">
        <v>4422</v>
      </c>
      <c r="O1044" s="8" t="str">
        <f t="shared" ref="O1044:O1052" si="103">HYPERLINK("https://seichotoushi-hojo.jp/assets/pdf/koufu/outline_45.pdf","PDFを開く")</f>
        <v>PDFを開く</v>
      </c>
      <c r="P1044" s="8" t="s">
        <v>971</v>
      </c>
    </row>
    <row r="1045" spans="1:16" ht="33.950000000000003" customHeight="1">
      <c r="A1045" s="5" t="s">
        <v>965</v>
      </c>
      <c r="B1045" s="5" t="s">
        <v>73</v>
      </c>
      <c r="C1045" s="9" t="s">
        <v>966</v>
      </c>
      <c r="D1045" s="5">
        <v>2</v>
      </c>
      <c r="E1045" s="9" t="s">
        <v>3176</v>
      </c>
      <c r="F1045" s="5" t="s">
        <v>86</v>
      </c>
      <c r="G1045" s="5" t="s">
        <v>3177</v>
      </c>
      <c r="H1045" s="5" t="s">
        <v>3178</v>
      </c>
      <c r="I1045" s="9" t="s">
        <v>3262</v>
      </c>
      <c r="J1045" s="5">
        <v>2030</v>
      </c>
      <c r="K1045" s="5">
        <v>2028</v>
      </c>
      <c r="L1045" s="9" t="s">
        <v>4423</v>
      </c>
      <c r="M1045" s="5">
        <v>6</v>
      </c>
      <c r="N1045" s="9" t="s">
        <v>4422</v>
      </c>
      <c r="O1045" s="9" t="str">
        <f t="shared" si="103"/>
        <v>PDFを開く</v>
      </c>
      <c r="P1045" s="9" t="s">
        <v>971</v>
      </c>
    </row>
    <row r="1046" spans="1:16" ht="33.950000000000003" customHeight="1">
      <c r="A1046" s="2" t="s">
        <v>965</v>
      </c>
      <c r="B1046" s="2" t="s">
        <v>73</v>
      </c>
      <c r="C1046" s="8" t="s">
        <v>966</v>
      </c>
      <c r="D1046" s="2">
        <v>2</v>
      </c>
      <c r="E1046" s="8" t="s">
        <v>3184</v>
      </c>
      <c r="F1046" s="2" t="s">
        <v>86</v>
      </c>
      <c r="G1046" s="2" t="s">
        <v>3177</v>
      </c>
      <c r="H1046" s="2" t="s">
        <v>3178</v>
      </c>
      <c r="I1046" s="8" t="s">
        <v>3259</v>
      </c>
      <c r="J1046" s="2">
        <v>2027</v>
      </c>
      <c r="K1046" s="2">
        <v>728</v>
      </c>
      <c r="L1046" s="8" t="s">
        <v>4424</v>
      </c>
      <c r="M1046" s="2">
        <v>3.5</v>
      </c>
      <c r="N1046" s="8" t="s">
        <v>4425</v>
      </c>
      <c r="O1046" s="8" t="str">
        <f t="shared" si="103"/>
        <v>PDFを開く</v>
      </c>
      <c r="P1046" s="8" t="s">
        <v>971</v>
      </c>
    </row>
    <row r="1047" spans="1:16" ht="33.950000000000003" customHeight="1">
      <c r="A1047" s="5" t="s">
        <v>965</v>
      </c>
      <c r="B1047" s="5" t="s">
        <v>73</v>
      </c>
      <c r="C1047" s="9" t="s">
        <v>966</v>
      </c>
      <c r="D1047" s="5">
        <v>2</v>
      </c>
      <c r="E1047" s="9" t="s">
        <v>3184</v>
      </c>
      <c r="F1047" s="5" t="s">
        <v>86</v>
      </c>
      <c r="G1047" s="5" t="s">
        <v>3177</v>
      </c>
      <c r="H1047" s="5" t="s">
        <v>3178</v>
      </c>
      <c r="I1047" s="9" t="s">
        <v>3262</v>
      </c>
      <c r="J1047" s="5">
        <v>2030</v>
      </c>
      <c r="K1047" s="5">
        <v>807</v>
      </c>
      <c r="L1047" s="9" t="s">
        <v>4426</v>
      </c>
      <c r="M1047" s="5">
        <v>3.5</v>
      </c>
      <c r="N1047" s="9" t="s">
        <v>4425</v>
      </c>
      <c r="O1047" s="9" t="str">
        <f t="shared" si="103"/>
        <v>PDFを開く</v>
      </c>
      <c r="P1047" s="9" t="s">
        <v>971</v>
      </c>
    </row>
    <row r="1048" spans="1:16" ht="33.950000000000003" customHeight="1">
      <c r="A1048" s="2" t="s">
        <v>965</v>
      </c>
      <c r="B1048" s="2" t="s">
        <v>73</v>
      </c>
      <c r="C1048" s="8" t="s">
        <v>966</v>
      </c>
      <c r="D1048" s="2">
        <v>2</v>
      </c>
      <c r="E1048" s="8" t="s">
        <v>3188</v>
      </c>
      <c r="F1048" s="2" t="s">
        <v>86</v>
      </c>
      <c r="G1048" s="19" t="s">
        <v>3189</v>
      </c>
      <c r="H1048" s="2" t="s">
        <v>3178</v>
      </c>
      <c r="I1048" s="8"/>
      <c r="J1048" s="2"/>
      <c r="K1048" s="2"/>
      <c r="L1048" s="8"/>
      <c r="M1048" s="2">
        <v>4</v>
      </c>
      <c r="N1048" s="8" t="s">
        <v>3474</v>
      </c>
      <c r="O1048" s="8" t="str">
        <f t="shared" si="103"/>
        <v>PDFを開く</v>
      </c>
      <c r="P1048" s="8" t="s">
        <v>971</v>
      </c>
    </row>
    <row r="1049" spans="1:16" ht="33.950000000000003" customHeight="1">
      <c r="A1049" s="5" t="s">
        <v>965</v>
      </c>
      <c r="B1049" s="5" t="s">
        <v>73</v>
      </c>
      <c r="C1049" s="9" t="s">
        <v>966</v>
      </c>
      <c r="D1049" s="5">
        <v>2</v>
      </c>
      <c r="E1049" s="9" t="s">
        <v>3191</v>
      </c>
      <c r="F1049" s="5" t="s">
        <v>2513</v>
      </c>
      <c r="G1049" s="5" t="s">
        <v>3177</v>
      </c>
      <c r="H1049" s="5" t="s">
        <v>3178</v>
      </c>
      <c r="I1049" s="9" t="s">
        <v>3259</v>
      </c>
      <c r="J1049" s="5">
        <v>2027</v>
      </c>
      <c r="K1049" s="5">
        <v>96</v>
      </c>
      <c r="L1049" s="9" t="s">
        <v>4427</v>
      </c>
      <c r="M1049" s="5"/>
      <c r="N1049" s="9" t="s">
        <v>4428</v>
      </c>
      <c r="O1049" s="9" t="str">
        <f t="shared" si="103"/>
        <v>PDFを開く</v>
      </c>
      <c r="P1049" s="9" t="s">
        <v>971</v>
      </c>
    </row>
    <row r="1050" spans="1:16" ht="33.950000000000003" customHeight="1">
      <c r="A1050" s="2" t="s">
        <v>965</v>
      </c>
      <c r="B1050" s="2" t="s">
        <v>73</v>
      </c>
      <c r="C1050" s="8" t="s">
        <v>966</v>
      </c>
      <c r="D1050" s="2">
        <v>2</v>
      </c>
      <c r="E1050" s="8" t="s">
        <v>3191</v>
      </c>
      <c r="F1050" s="2" t="s">
        <v>2513</v>
      </c>
      <c r="G1050" s="2" t="s">
        <v>3177</v>
      </c>
      <c r="H1050" s="2" t="s">
        <v>3178</v>
      </c>
      <c r="I1050" s="8" t="s">
        <v>3262</v>
      </c>
      <c r="J1050" s="2">
        <v>2030</v>
      </c>
      <c r="K1050" s="2">
        <v>110</v>
      </c>
      <c r="L1050" s="8" t="s">
        <v>3968</v>
      </c>
      <c r="M1050" s="2"/>
      <c r="N1050" s="8" t="s">
        <v>4428</v>
      </c>
      <c r="O1050" s="8" t="str">
        <f t="shared" si="103"/>
        <v>PDFを開く</v>
      </c>
      <c r="P1050" s="8" t="s">
        <v>971</v>
      </c>
    </row>
    <row r="1051" spans="1:16" ht="33.950000000000003" customHeight="1">
      <c r="A1051" s="5" t="s">
        <v>965</v>
      </c>
      <c r="B1051" s="5" t="s">
        <v>73</v>
      </c>
      <c r="C1051" s="9" t="s">
        <v>966</v>
      </c>
      <c r="D1051" s="5">
        <v>2</v>
      </c>
      <c r="E1051" s="9" t="s">
        <v>3188</v>
      </c>
      <c r="F1051" s="5" t="s">
        <v>86</v>
      </c>
      <c r="G1051" s="5" t="s">
        <v>3177</v>
      </c>
      <c r="H1051" s="5"/>
      <c r="I1051" s="9" t="s">
        <v>4429</v>
      </c>
      <c r="J1051" s="5">
        <v>2027</v>
      </c>
      <c r="K1051" s="5"/>
      <c r="L1051" s="9" t="s">
        <v>3211</v>
      </c>
      <c r="M1051" s="5">
        <v>4</v>
      </c>
      <c r="N1051" s="9" t="s">
        <v>3479</v>
      </c>
      <c r="O1051" s="9" t="str">
        <f t="shared" si="103"/>
        <v>PDFを開く</v>
      </c>
      <c r="P1051" s="9" t="s">
        <v>971</v>
      </c>
    </row>
    <row r="1052" spans="1:16" ht="33.950000000000003" customHeight="1">
      <c r="A1052" s="2" t="s">
        <v>965</v>
      </c>
      <c r="B1052" s="2" t="s">
        <v>73</v>
      </c>
      <c r="C1052" s="8" t="s">
        <v>966</v>
      </c>
      <c r="D1052" s="2">
        <v>2</v>
      </c>
      <c r="E1052" s="8" t="s">
        <v>3188</v>
      </c>
      <c r="F1052" s="2" t="s">
        <v>86</v>
      </c>
      <c r="G1052" s="2" t="s">
        <v>3177</v>
      </c>
      <c r="H1052" s="2"/>
      <c r="I1052" s="8" t="s">
        <v>4430</v>
      </c>
      <c r="J1052" s="2">
        <v>2030</v>
      </c>
      <c r="K1052" s="2"/>
      <c r="L1052" s="8" t="s">
        <v>3481</v>
      </c>
      <c r="M1052" s="2">
        <v>4</v>
      </c>
      <c r="N1052" s="8" t="s">
        <v>3479</v>
      </c>
      <c r="O1052" s="8" t="str">
        <f t="shared" si="103"/>
        <v>PDFを開く</v>
      </c>
      <c r="P1052" s="8" t="s">
        <v>971</v>
      </c>
    </row>
    <row r="1053" spans="1:16" ht="33.950000000000003" customHeight="1">
      <c r="A1053" s="5" t="s">
        <v>972</v>
      </c>
      <c r="B1053" s="5" t="s">
        <v>73</v>
      </c>
      <c r="C1053" s="9" t="s">
        <v>973</v>
      </c>
      <c r="D1053" s="5">
        <v>2</v>
      </c>
      <c r="E1053" s="9" t="s">
        <v>3176</v>
      </c>
      <c r="F1053" s="5" t="s">
        <v>86</v>
      </c>
      <c r="G1053" s="5" t="s">
        <v>3177</v>
      </c>
      <c r="H1053" s="5" t="s">
        <v>3178</v>
      </c>
      <c r="I1053" s="9" t="s">
        <v>3418</v>
      </c>
      <c r="J1053" s="5">
        <v>2027</v>
      </c>
      <c r="K1053" s="5">
        <v>654</v>
      </c>
      <c r="L1053" s="9" t="s">
        <v>4431</v>
      </c>
      <c r="M1053" s="5">
        <v>7.93</v>
      </c>
      <c r="N1053" s="9" t="s">
        <v>4432</v>
      </c>
      <c r="O1053" s="9" t="str">
        <f t="shared" ref="O1053:O1061" si="104">HYPERLINK("https://seichotoushi-hojo.jp/assets/pdf/koufu/outline_46.pdf","PDFを開く")</f>
        <v>PDFを開く</v>
      </c>
      <c r="P1053" s="9" t="s">
        <v>977</v>
      </c>
    </row>
    <row r="1054" spans="1:16" ht="33.950000000000003" customHeight="1">
      <c r="A1054" s="2" t="s">
        <v>972</v>
      </c>
      <c r="B1054" s="2" t="s">
        <v>73</v>
      </c>
      <c r="C1054" s="8" t="s">
        <v>973</v>
      </c>
      <c r="D1054" s="2">
        <v>2</v>
      </c>
      <c r="E1054" s="8" t="s">
        <v>3176</v>
      </c>
      <c r="F1054" s="2" t="s">
        <v>86</v>
      </c>
      <c r="G1054" s="2" t="s">
        <v>3177</v>
      </c>
      <c r="H1054" s="2" t="s">
        <v>3178</v>
      </c>
      <c r="I1054" s="8" t="s">
        <v>3421</v>
      </c>
      <c r="J1054" s="2">
        <v>2030</v>
      </c>
      <c r="K1054" s="2">
        <v>823</v>
      </c>
      <c r="L1054" s="8" t="s">
        <v>4433</v>
      </c>
      <c r="M1054" s="2">
        <v>7.93</v>
      </c>
      <c r="N1054" s="8" t="s">
        <v>4432</v>
      </c>
      <c r="O1054" s="8" t="str">
        <f t="shared" si="104"/>
        <v>PDFを開く</v>
      </c>
      <c r="P1054" s="8" t="s">
        <v>977</v>
      </c>
    </row>
    <row r="1055" spans="1:16" ht="33.950000000000003" customHeight="1">
      <c r="A1055" s="5" t="s">
        <v>972</v>
      </c>
      <c r="B1055" s="5" t="s">
        <v>73</v>
      </c>
      <c r="C1055" s="9" t="s">
        <v>973</v>
      </c>
      <c r="D1055" s="5">
        <v>2</v>
      </c>
      <c r="E1055" s="9" t="s">
        <v>3184</v>
      </c>
      <c r="F1055" s="5" t="s">
        <v>86</v>
      </c>
      <c r="G1055" s="5" t="s">
        <v>3177</v>
      </c>
      <c r="H1055" s="5" t="s">
        <v>3178</v>
      </c>
      <c r="I1055" s="9" t="s">
        <v>3418</v>
      </c>
      <c r="J1055" s="5">
        <v>2027</v>
      </c>
      <c r="K1055" s="5">
        <v>446</v>
      </c>
      <c r="L1055" s="9" t="s">
        <v>4434</v>
      </c>
      <c r="M1055" s="5">
        <v>4.07</v>
      </c>
      <c r="N1055" s="9" t="s">
        <v>4435</v>
      </c>
      <c r="O1055" s="9" t="str">
        <f t="shared" si="104"/>
        <v>PDFを開く</v>
      </c>
      <c r="P1055" s="9" t="s">
        <v>977</v>
      </c>
    </row>
    <row r="1056" spans="1:16" ht="33.950000000000003" customHeight="1">
      <c r="A1056" s="2" t="s">
        <v>972</v>
      </c>
      <c r="B1056" s="2" t="s">
        <v>73</v>
      </c>
      <c r="C1056" s="8" t="s">
        <v>973</v>
      </c>
      <c r="D1056" s="2">
        <v>2</v>
      </c>
      <c r="E1056" s="8" t="s">
        <v>3184</v>
      </c>
      <c r="F1056" s="2" t="s">
        <v>86</v>
      </c>
      <c r="G1056" s="2" t="s">
        <v>3177</v>
      </c>
      <c r="H1056" s="2" t="s">
        <v>3178</v>
      </c>
      <c r="I1056" s="8" t="s">
        <v>3421</v>
      </c>
      <c r="J1056" s="2">
        <v>2030</v>
      </c>
      <c r="K1056" s="2">
        <v>503</v>
      </c>
      <c r="L1056" s="8" t="s">
        <v>3858</v>
      </c>
      <c r="M1056" s="2">
        <v>4.07</v>
      </c>
      <c r="N1056" s="8" t="s">
        <v>4435</v>
      </c>
      <c r="O1056" s="8" t="str">
        <f t="shared" si="104"/>
        <v>PDFを開く</v>
      </c>
      <c r="P1056" s="8" t="s">
        <v>977</v>
      </c>
    </row>
    <row r="1057" spans="1:16" ht="33.950000000000003" customHeight="1">
      <c r="A1057" s="5" t="s">
        <v>972</v>
      </c>
      <c r="B1057" s="5" t="s">
        <v>73</v>
      </c>
      <c r="C1057" s="9" t="s">
        <v>973</v>
      </c>
      <c r="D1057" s="5">
        <v>2</v>
      </c>
      <c r="E1057" s="9" t="s">
        <v>3188</v>
      </c>
      <c r="F1057" s="5" t="s">
        <v>86</v>
      </c>
      <c r="G1057" s="19" t="s">
        <v>3189</v>
      </c>
      <c r="H1057" s="5" t="s">
        <v>3178</v>
      </c>
      <c r="I1057" s="9"/>
      <c r="J1057" s="5"/>
      <c r="K1057" s="5"/>
      <c r="L1057" s="9"/>
      <c r="M1057" s="5">
        <v>0</v>
      </c>
      <c r="N1057" s="9" t="s">
        <v>4070</v>
      </c>
      <c r="O1057" s="9" t="str">
        <f t="shared" si="104"/>
        <v>PDFを開く</v>
      </c>
      <c r="P1057" s="9" t="s">
        <v>977</v>
      </c>
    </row>
    <row r="1058" spans="1:16" ht="33.950000000000003" customHeight="1">
      <c r="A1058" s="2" t="s">
        <v>972</v>
      </c>
      <c r="B1058" s="2" t="s">
        <v>73</v>
      </c>
      <c r="C1058" s="8" t="s">
        <v>973</v>
      </c>
      <c r="D1058" s="2">
        <v>2</v>
      </c>
      <c r="E1058" s="8" t="s">
        <v>3191</v>
      </c>
      <c r="F1058" s="2" t="s">
        <v>2513</v>
      </c>
      <c r="G1058" s="2" t="s">
        <v>3177</v>
      </c>
      <c r="H1058" s="2" t="s">
        <v>3178</v>
      </c>
      <c r="I1058" s="8" t="s">
        <v>3418</v>
      </c>
      <c r="J1058" s="2">
        <v>2027</v>
      </c>
      <c r="K1058" s="2">
        <v>158</v>
      </c>
      <c r="L1058" s="8" t="s">
        <v>4049</v>
      </c>
      <c r="M1058" s="2"/>
      <c r="N1058" s="8" t="s">
        <v>4436</v>
      </c>
      <c r="O1058" s="8" t="str">
        <f t="shared" si="104"/>
        <v>PDFを開く</v>
      </c>
      <c r="P1058" s="8" t="s">
        <v>977</v>
      </c>
    </row>
    <row r="1059" spans="1:16" ht="33.950000000000003" customHeight="1">
      <c r="A1059" s="5" t="s">
        <v>972</v>
      </c>
      <c r="B1059" s="5" t="s">
        <v>73</v>
      </c>
      <c r="C1059" s="9" t="s">
        <v>973</v>
      </c>
      <c r="D1059" s="5">
        <v>2</v>
      </c>
      <c r="E1059" s="9" t="s">
        <v>3191</v>
      </c>
      <c r="F1059" s="5" t="s">
        <v>2513</v>
      </c>
      <c r="G1059" s="5" t="s">
        <v>3177</v>
      </c>
      <c r="H1059" s="5" t="s">
        <v>3178</v>
      </c>
      <c r="I1059" s="9" t="s">
        <v>3421</v>
      </c>
      <c r="J1059" s="5">
        <v>2030</v>
      </c>
      <c r="K1059" s="5">
        <v>188</v>
      </c>
      <c r="L1059" s="9" t="s">
        <v>4437</v>
      </c>
      <c r="M1059" s="5"/>
      <c r="N1059" s="9" t="s">
        <v>4436</v>
      </c>
      <c r="O1059" s="9" t="str">
        <f t="shared" si="104"/>
        <v>PDFを開く</v>
      </c>
      <c r="P1059" s="9" t="s">
        <v>977</v>
      </c>
    </row>
    <row r="1060" spans="1:16" ht="33.950000000000003" customHeight="1">
      <c r="A1060" s="2" t="s">
        <v>972</v>
      </c>
      <c r="B1060" s="2" t="s">
        <v>73</v>
      </c>
      <c r="C1060" s="8" t="s">
        <v>973</v>
      </c>
      <c r="D1060" s="2">
        <v>2</v>
      </c>
      <c r="E1060" s="8" t="s">
        <v>3188</v>
      </c>
      <c r="F1060" s="2" t="s">
        <v>86</v>
      </c>
      <c r="G1060" s="2" t="s">
        <v>3177</v>
      </c>
      <c r="H1060" s="2"/>
      <c r="I1060" s="8" t="s">
        <v>4438</v>
      </c>
      <c r="J1060" s="2">
        <v>2027</v>
      </c>
      <c r="K1060" s="2"/>
      <c r="L1060" s="8" t="s">
        <v>3211</v>
      </c>
      <c r="M1060" s="2">
        <v>0</v>
      </c>
      <c r="N1060" s="8" t="s">
        <v>4439</v>
      </c>
      <c r="O1060" s="8" t="str">
        <f t="shared" si="104"/>
        <v>PDFを開く</v>
      </c>
      <c r="P1060" s="8" t="s">
        <v>977</v>
      </c>
    </row>
    <row r="1061" spans="1:16" ht="33.950000000000003" customHeight="1">
      <c r="A1061" s="5" t="s">
        <v>972</v>
      </c>
      <c r="B1061" s="5" t="s">
        <v>73</v>
      </c>
      <c r="C1061" s="9" t="s">
        <v>973</v>
      </c>
      <c r="D1061" s="5">
        <v>2</v>
      </c>
      <c r="E1061" s="9" t="s">
        <v>3188</v>
      </c>
      <c r="F1061" s="5" t="s">
        <v>86</v>
      </c>
      <c r="G1061" s="5" t="s">
        <v>3177</v>
      </c>
      <c r="H1061" s="5"/>
      <c r="I1061" s="9" t="s">
        <v>4440</v>
      </c>
      <c r="J1061" s="5">
        <v>2030</v>
      </c>
      <c r="K1061" s="5"/>
      <c r="L1061" s="9" t="s">
        <v>4441</v>
      </c>
      <c r="M1061" s="5">
        <v>0</v>
      </c>
      <c r="N1061" s="9" t="s">
        <v>4439</v>
      </c>
      <c r="O1061" s="9" t="str">
        <f t="shared" si="104"/>
        <v>PDFを開く</v>
      </c>
      <c r="P1061" s="9" t="s">
        <v>977</v>
      </c>
    </row>
    <row r="1062" spans="1:16" ht="33.950000000000003" customHeight="1">
      <c r="A1062" s="2" t="s">
        <v>978</v>
      </c>
      <c r="B1062" s="2" t="s">
        <v>73</v>
      </c>
      <c r="C1062" s="8" t="s">
        <v>979</v>
      </c>
      <c r="D1062" s="2">
        <v>2</v>
      </c>
      <c r="E1062" s="8" t="s">
        <v>3176</v>
      </c>
      <c r="F1062" s="2" t="s">
        <v>86</v>
      </c>
      <c r="G1062" s="2" t="s">
        <v>3177</v>
      </c>
      <c r="H1062" s="2" t="s">
        <v>3178</v>
      </c>
      <c r="I1062" s="8" t="s">
        <v>3407</v>
      </c>
      <c r="J1062" s="2">
        <v>2025</v>
      </c>
      <c r="K1062" s="2">
        <v>1001</v>
      </c>
      <c r="L1062" s="8" t="s">
        <v>4442</v>
      </c>
      <c r="M1062" s="2">
        <v>12.3</v>
      </c>
      <c r="N1062" s="8" t="s">
        <v>4443</v>
      </c>
      <c r="O1062" s="8" t="str">
        <f t="shared" ref="O1062:O1069" si="105">HYPERLINK("https://seichotoushi-hojo.jp/assets/pdf/koufu/outline_47.pdf","PDFを開く")</f>
        <v>PDFを開く</v>
      </c>
      <c r="P1062" s="8" t="s">
        <v>984</v>
      </c>
    </row>
    <row r="1063" spans="1:16" ht="33.950000000000003" customHeight="1">
      <c r="A1063" s="5" t="s">
        <v>978</v>
      </c>
      <c r="B1063" s="5" t="s">
        <v>73</v>
      </c>
      <c r="C1063" s="9" t="s">
        <v>979</v>
      </c>
      <c r="D1063" s="5">
        <v>2</v>
      </c>
      <c r="E1063" s="9" t="s">
        <v>3176</v>
      </c>
      <c r="F1063" s="5" t="s">
        <v>86</v>
      </c>
      <c r="G1063" s="5" t="s">
        <v>3177</v>
      </c>
      <c r="H1063" s="5" t="s">
        <v>3178</v>
      </c>
      <c r="I1063" s="9" t="s">
        <v>3335</v>
      </c>
      <c r="J1063" s="5">
        <v>2028</v>
      </c>
      <c r="K1063" s="5">
        <v>1414</v>
      </c>
      <c r="L1063" s="9" t="s">
        <v>4444</v>
      </c>
      <c r="M1063" s="5">
        <v>12.3</v>
      </c>
      <c r="N1063" s="9" t="s">
        <v>4443</v>
      </c>
      <c r="O1063" s="9" t="str">
        <f t="shared" si="105"/>
        <v>PDFを開く</v>
      </c>
      <c r="P1063" s="9" t="s">
        <v>984</v>
      </c>
    </row>
    <row r="1064" spans="1:16" ht="33.950000000000003" customHeight="1">
      <c r="A1064" s="2" t="s">
        <v>978</v>
      </c>
      <c r="B1064" s="2" t="s">
        <v>73</v>
      </c>
      <c r="C1064" s="8" t="s">
        <v>979</v>
      </c>
      <c r="D1064" s="2">
        <v>2</v>
      </c>
      <c r="E1064" s="8" t="s">
        <v>3184</v>
      </c>
      <c r="F1064" s="2" t="s">
        <v>86</v>
      </c>
      <c r="G1064" s="2" t="s">
        <v>3177</v>
      </c>
      <c r="H1064" s="2" t="s">
        <v>3178</v>
      </c>
      <c r="I1064" s="8" t="s">
        <v>3407</v>
      </c>
      <c r="J1064" s="2">
        <v>2025</v>
      </c>
      <c r="K1064" s="2">
        <v>610</v>
      </c>
      <c r="L1064" s="8" t="s">
        <v>4348</v>
      </c>
      <c r="M1064" s="2">
        <v>3.9</v>
      </c>
      <c r="N1064" s="8" t="s">
        <v>4445</v>
      </c>
      <c r="O1064" s="8" t="str">
        <f t="shared" si="105"/>
        <v>PDFを開く</v>
      </c>
      <c r="P1064" s="8" t="s">
        <v>984</v>
      </c>
    </row>
    <row r="1065" spans="1:16" ht="33.950000000000003" customHeight="1">
      <c r="A1065" s="5" t="s">
        <v>978</v>
      </c>
      <c r="B1065" s="5" t="s">
        <v>73</v>
      </c>
      <c r="C1065" s="9" t="s">
        <v>979</v>
      </c>
      <c r="D1065" s="5">
        <v>2</v>
      </c>
      <c r="E1065" s="9" t="s">
        <v>3184</v>
      </c>
      <c r="F1065" s="5" t="s">
        <v>86</v>
      </c>
      <c r="G1065" s="5" t="s">
        <v>3177</v>
      </c>
      <c r="H1065" s="5" t="s">
        <v>3178</v>
      </c>
      <c r="I1065" s="9" t="s">
        <v>3335</v>
      </c>
      <c r="J1065" s="5">
        <v>2028</v>
      </c>
      <c r="K1065" s="5">
        <v>684</v>
      </c>
      <c r="L1065" s="9" t="s">
        <v>4446</v>
      </c>
      <c r="M1065" s="5">
        <v>3.9</v>
      </c>
      <c r="N1065" s="9" t="s">
        <v>4445</v>
      </c>
      <c r="O1065" s="9" t="str">
        <f t="shared" si="105"/>
        <v>PDFを開く</v>
      </c>
      <c r="P1065" s="9" t="s">
        <v>984</v>
      </c>
    </row>
    <row r="1066" spans="1:16" ht="33.950000000000003" customHeight="1">
      <c r="A1066" s="2" t="s">
        <v>978</v>
      </c>
      <c r="B1066" s="2" t="s">
        <v>73</v>
      </c>
      <c r="C1066" s="8" t="s">
        <v>979</v>
      </c>
      <c r="D1066" s="2">
        <v>2</v>
      </c>
      <c r="E1066" s="8" t="s">
        <v>3188</v>
      </c>
      <c r="F1066" s="2" t="s">
        <v>86</v>
      </c>
      <c r="G1066" s="2" t="s">
        <v>3177</v>
      </c>
      <c r="H1066" s="2" t="s">
        <v>3178</v>
      </c>
      <c r="I1066" s="8" t="s">
        <v>3407</v>
      </c>
      <c r="J1066" s="2">
        <v>2025</v>
      </c>
      <c r="K1066" s="2">
        <v>0</v>
      </c>
      <c r="L1066" s="8" t="s">
        <v>3267</v>
      </c>
      <c r="M1066" s="2">
        <v>0</v>
      </c>
      <c r="N1066" s="8" t="s">
        <v>3268</v>
      </c>
      <c r="O1066" s="8" t="str">
        <f t="shared" si="105"/>
        <v>PDFを開く</v>
      </c>
      <c r="P1066" s="8" t="s">
        <v>984</v>
      </c>
    </row>
    <row r="1067" spans="1:16" ht="33.950000000000003" customHeight="1">
      <c r="A1067" s="5" t="s">
        <v>978</v>
      </c>
      <c r="B1067" s="5" t="s">
        <v>73</v>
      </c>
      <c r="C1067" s="9" t="s">
        <v>979</v>
      </c>
      <c r="D1067" s="5">
        <v>2</v>
      </c>
      <c r="E1067" s="9" t="s">
        <v>3188</v>
      </c>
      <c r="F1067" s="5" t="s">
        <v>86</v>
      </c>
      <c r="G1067" s="5" t="s">
        <v>3177</v>
      </c>
      <c r="H1067" s="5" t="s">
        <v>3178</v>
      </c>
      <c r="I1067" s="9" t="s">
        <v>3335</v>
      </c>
      <c r="J1067" s="5">
        <v>2028</v>
      </c>
      <c r="K1067" s="5">
        <v>0</v>
      </c>
      <c r="L1067" s="9" t="s">
        <v>3267</v>
      </c>
      <c r="M1067" s="5">
        <v>0</v>
      </c>
      <c r="N1067" s="9" t="s">
        <v>3268</v>
      </c>
      <c r="O1067" s="9" t="str">
        <f t="shared" si="105"/>
        <v>PDFを開く</v>
      </c>
      <c r="P1067" s="9" t="s">
        <v>984</v>
      </c>
    </row>
    <row r="1068" spans="1:16" ht="33.950000000000003" customHeight="1">
      <c r="A1068" s="2" t="s">
        <v>978</v>
      </c>
      <c r="B1068" s="2" t="s">
        <v>73</v>
      </c>
      <c r="C1068" s="8" t="s">
        <v>979</v>
      </c>
      <c r="D1068" s="2">
        <v>2</v>
      </c>
      <c r="E1068" s="8" t="s">
        <v>3191</v>
      </c>
      <c r="F1068" s="2" t="s">
        <v>2513</v>
      </c>
      <c r="G1068" s="2" t="s">
        <v>3177</v>
      </c>
      <c r="H1068" s="2" t="s">
        <v>3178</v>
      </c>
      <c r="I1068" s="8" t="s">
        <v>3407</v>
      </c>
      <c r="J1068" s="2">
        <v>2025</v>
      </c>
      <c r="K1068" s="2">
        <v>183</v>
      </c>
      <c r="L1068" s="8" t="s">
        <v>4447</v>
      </c>
      <c r="M1068" s="2"/>
      <c r="N1068" s="8" t="s">
        <v>4448</v>
      </c>
      <c r="O1068" s="8" t="str">
        <f t="shared" si="105"/>
        <v>PDFを開く</v>
      </c>
      <c r="P1068" s="8" t="s">
        <v>984</v>
      </c>
    </row>
    <row r="1069" spans="1:16" ht="33.950000000000003" customHeight="1">
      <c r="A1069" s="5" t="s">
        <v>978</v>
      </c>
      <c r="B1069" s="5" t="s">
        <v>73</v>
      </c>
      <c r="C1069" s="9" t="s">
        <v>979</v>
      </c>
      <c r="D1069" s="5">
        <v>2</v>
      </c>
      <c r="E1069" s="9" t="s">
        <v>3191</v>
      </c>
      <c r="F1069" s="5" t="s">
        <v>2513</v>
      </c>
      <c r="G1069" s="5" t="s">
        <v>3177</v>
      </c>
      <c r="H1069" s="5" t="s">
        <v>3178</v>
      </c>
      <c r="I1069" s="9" t="s">
        <v>3335</v>
      </c>
      <c r="J1069" s="5">
        <v>2028</v>
      </c>
      <c r="K1069" s="5">
        <v>186</v>
      </c>
      <c r="L1069" s="9" t="s">
        <v>4449</v>
      </c>
      <c r="M1069" s="5"/>
      <c r="N1069" s="9" t="s">
        <v>4448</v>
      </c>
      <c r="O1069" s="9" t="str">
        <f t="shared" si="105"/>
        <v>PDFを開く</v>
      </c>
      <c r="P1069" s="9" t="s">
        <v>984</v>
      </c>
    </row>
    <row r="1070" spans="1:16" ht="33.950000000000003" customHeight="1">
      <c r="A1070" s="2" t="s">
        <v>985</v>
      </c>
      <c r="B1070" s="2" t="s">
        <v>73</v>
      </c>
      <c r="C1070" s="8" t="s">
        <v>986</v>
      </c>
      <c r="D1070" s="2">
        <v>2</v>
      </c>
      <c r="E1070" s="8" t="s">
        <v>3176</v>
      </c>
      <c r="F1070" s="2" t="s">
        <v>86</v>
      </c>
      <c r="G1070" s="2" t="s">
        <v>3177</v>
      </c>
      <c r="H1070" s="2" t="s">
        <v>3178</v>
      </c>
      <c r="I1070" s="8" t="s">
        <v>3179</v>
      </c>
      <c r="J1070" s="2">
        <v>2026</v>
      </c>
      <c r="K1070" s="2">
        <v>547</v>
      </c>
      <c r="L1070" s="8" t="s">
        <v>4450</v>
      </c>
      <c r="M1070" s="2">
        <v>33.299999999999997</v>
      </c>
      <c r="N1070" s="8" t="s">
        <v>4451</v>
      </c>
      <c r="O1070" s="8" t="str">
        <f t="shared" ref="O1070:O1077" si="106">HYPERLINK("https://seichotoushi-hojo.jp/assets/pdf/koufu/outline_48.pdf","PDFを開く")</f>
        <v>PDFを開く</v>
      </c>
      <c r="P1070" s="8" t="s">
        <v>993</v>
      </c>
    </row>
    <row r="1071" spans="1:16" ht="33.950000000000003" customHeight="1">
      <c r="A1071" s="5" t="s">
        <v>985</v>
      </c>
      <c r="B1071" s="5" t="s">
        <v>73</v>
      </c>
      <c r="C1071" s="9" t="s">
        <v>986</v>
      </c>
      <c r="D1071" s="5">
        <v>2</v>
      </c>
      <c r="E1071" s="9" t="s">
        <v>3176</v>
      </c>
      <c r="F1071" s="5" t="s">
        <v>86</v>
      </c>
      <c r="G1071" s="5" t="s">
        <v>3177</v>
      </c>
      <c r="H1071" s="5" t="s">
        <v>3178</v>
      </c>
      <c r="I1071" s="9" t="s">
        <v>3182</v>
      </c>
      <c r="J1071" s="5">
        <v>2029</v>
      </c>
      <c r="K1071" s="5">
        <v>1297</v>
      </c>
      <c r="L1071" s="9" t="s">
        <v>4452</v>
      </c>
      <c r="M1071" s="5">
        <v>33.299999999999997</v>
      </c>
      <c r="N1071" s="9" t="s">
        <v>4451</v>
      </c>
      <c r="O1071" s="9" t="str">
        <f t="shared" si="106"/>
        <v>PDFを開く</v>
      </c>
      <c r="P1071" s="9" t="s">
        <v>993</v>
      </c>
    </row>
    <row r="1072" spans="1:16" ht="33.950000000000003" customHeight="1">
      <c r="A1072" s="2" t="s">
        <v>985</v>
      </c>
      <c r="B1072" s="2" t="s">
        <v>73</v>
      </c>
      <c r="C1072" s="8" t="s">
        <v>986</v>
      </c>
      <c r="D1072" s="2">
        <v>2</v>
      </c>
      <c r="E1072" s="8" t="s">
        <v>3184</v>
      </c>
      <c r="F1072" s="2" t="s">
        <v>86</v>
      </c>
      <c r="G1072" s="2" t="s">
        <v>3177</v>
      </c>
      <c r="H1072" s="2" t="s">
        <v>3178</v>
      </c>
      <c r="I1072" s="8" t="s">
        <v>3179</v>
      </c>
      <c r="J1072" s="2">
        <v>2026</v>
      </c>
      <c r="K1072" s="2">
        <v>214</v>
      </c>
      <c r="L1072" s="8" t="s">
        <v>4453</v>
      </c>
      <c r="M1072" s="2">
        <v>5.9</v>
      </c>
      <c r="N1072" s="8" t="s">
        <v>4454</v>
      </c>
      <c r="O1072" s="8" t="str">
        <f t="shared" si="106"/>
        <v>PDFを開く</v>
      </c>
      <c r="P1072" s="8" t="s">
        <v>993</v>
      </c>
    </row>
    <row r="1073" spans="1:16" ht="33.950000000000003" customHeight="1">
      <c r="A1073" s="5" t="s">
        <v>985</v>
      </c>
      <c r="B1073" s="5" t="s">
        <v>73</v>
      </c>
      <c r="C1073" s="9" t="s">
        <v>986</v>
      </c>
      <c r="D1073" s="5">
        <v>2</v>
      </c>
      <c r="E1073" s="9" t="s">
        <v>3184</v>
      </c>
      <c r="F1073" s="5" t="s">
        <v>86</v>
      </c>
      <c r="G1073" s="5" t="s">
        <v>3177</v>
      </c>
      <c r="H1073" s="5" t="s">
        <v>3178</v>
      </c>
      <c r="I1073" s="9" t="s">
        <v>3182</v>
      </c>
      <c r="J1073" s="5">
        <v>2029</v>
      </c>
      <c r="K1073" s="5">
        <v>254</v>
      </c>
      <c r="L1073" s="9" t="s">
        <v>4455</v>
      </c>
      <c r="M1073" s="5">
        <v>5.9</v>
      </c>
      <c r="N1073" s="9" t="s">
        <v>4454</v>
      </c>
      <c r="O1073" s="9" t="str">
        <f t="shared" si="106"/>
        <v>PDFを開く</v>
      </c>
      <c r="P1073" s="9" t="s">
        <v>993</v>
      </c>
    </row>
    <row r="1074" spans="1:16" ht="33.950000000000003" customHeight="1">
      <c r="A1074" s="2" t="s">
        <v>985</v>
      </c>
      <c r="B1074" s="2" t="s">
        <v>73</v>
      </c>
      <c r="C1074" s="8" t="s">
        <v>986</v>
      </c>
      <c r="D1074" s="2">
        <v>2</v>
      </c>
      <c r="E1074" s="8" t="s">
        <v>3188</v>
      </c>
      <c r="F1074" s="2" t="s">
        <v>86</v>
      </c>
      <c r="G1074" s="2" t="s">
        <v>3177</v>
      </c>
      <c r="H1074" s="2" t="s">
        <v>3178</v>
      </c>
      <c r="I1074" s="8" t="s">
        <v>3179</v>
      </c>
      <c r="J1074" s="2">
        <v>2026</v>
      </c>
      <c r="K1074" s="2">
        <v>1361</v>
      </c>
      <c r="L1074" s="8" t="s">
        <v>4456</v>
      </c>
      <c r="M1074" s="2">
        <v>5.9</v>
      </c>
      <c r="N1074" s="8" t="s">
        <v>4457</v>
      </c>
      <c r="O1074" s="8" t="str">
        <f t="shared" si="106"/>
        <v>PDFを開く</v>
      </c>
      <c r="P1074" s="8" t="s">
        <v>993</v>
      </c>
    </row>
    <row r="1075" spans="1:16" ht="33.950000000000003" customHeight="1">
      <c r="A1075" s="5" t="s">
        <v>985</v>
      </c>
      <c r="B1075" s="5" t="s">
        <v>73</v>
      </c>
      <c r="C1075" s="9" t="s">
        <v>986</v>
      </c>
      <c r="D1075" s="5">
        <v>2</v>
      </c>
      <c r="E1075" s="9" t="s">
        <v>3188</v>
      </c>
      <c r="F1075" s="5" t="s">
        <v>86</v>
      </c>
      <c r="G1075" s="5" t="s">
        <v>3177</v>
      </c>
      <c r="H1075" s="5" t="s">
        <v>3178</v>
      </c>
      <c r="I1075" s="9" t="s">
        <v>3182</v>
      </c>
      <c r="J1075" s="5">
        <v>2029</v>
      </c>
      <c r="K1075" s="5">
        <v>1616</v>
      </c>
      <c r="L1075" s="9" t="s">
        <v>3238</v>
      </c>
      <c r="M1075" s="5">
        <v>5.9</v>
      </c>
      <c r="N1075" s="9" t="s">
        <v>4457</v>
      </c>
      <c r="O1075" s="9" t="str">
        <f t="shared" si="106"/>
        <v>PDFを開く</v>
      </c>
      <c r="P1075" s="9" t="s">
        <v>993</v>
      </c>
    </row>
    <row r="1076" spans="1:16" ht="33.950000000000003" customHeight="1">
      <c r="A1076" s="2" t="s">
        <v>985</v>
      </c>
      <c r="B1076" s="2" t="s">
        <v>73</v>
      </c>
      <c r="C1076" s="8" t="s">
        <v>986</v>
      </c>
      <c r="D1076" s="2">
        <v>2</v>
      </c>
      <c r="E1076" s="8" t="s">
        <v>3191</v>
      </c>
      <c r="F1076" s="2" t="s">
        <v>2513</v>
      </c>
      <c r="G1076" s="2" t="s">
        <v>3177</v>
      </c>
      <c r="H1076" s="2" t="s">
        <v>3178</v>
      </c>
      <c r="I1076" s="8" t="s">
        <v>3179</v>
      </c>
      <c r="J1076" s="2">
        <v>2026</v>
      </c>
      <c r="K1076" s="2">
        <v>115</v>
      </c>
      <c r="L1076" s="8" t="s">
        <v>4458</v>
      </c>
      <c r="M1076" s="2"/>
      <c r="N1076" s="8" t="s">
        <v>4459</v>
      </c>
      <c r="O1076" s="8" t="str">
        <f t="shared" si="106"/>
        <v>PDFを開く</v>
      </c>
      <c r="P1076" s="8" t="s">
        <v>993</v>
      </c>
    </row>
    <row r="1077" spans="1:16" ht="33.950000000000003" customHeight="1">
      <c r="A1077" s="5" t="s">
        <v>985</v>
      </c>
      <c r="B1077" s="5" t="s">
        <v>73</v>
      </c>
      <c r="C1077" s="9" t="s">
        <v>986</v>
      </c>
      <c r="D1077" s="5">
        <v>2</v>
      </c>
      <c r="E1077" s="9" t="s">
        <v>3191</v>
      </c>
      <c r="F1077" s="5" t="s">
        <v>2513</v>
      </c>
      <c r="G1077" s="5" t="s">
        <v>3177</v>
      </c>
      <c r="H1077" s="5" t="s">
        <v>3178</v>
      </c>
      <c r="I1077" s="9" t="s">
        <v>3182</v>
      </c>
      <c r="J1077" s="5">
        <v>2029</v>
      </c>
      <c r="K1077" s="5">
        <v>175</v>
      </c>
      <c r="L1077" s="9" t="s">
        <v>4460</v>
      </c>
      <c r="M1077" s="5"/>
      <c r="N1077" s="9" t="s">
        <v>4459</v>
      </c>
      <c r="O1077" s="9" t="str">
        <f t="shared" si="106"/>
        <v>PDFを開く</v>
      </c>
      <c r="P1077" s="9" t="s">
        <v>993</v>
      </c>
    </row>
    <row r="1078" spans="1:16" ht="33.950000000000003" customHeight="1">
      <c r="A1078" s="2" t="s">
        <v>994</v>
      </c>
      <c r="B1078" s="2" t="s">
        <v>73</v>
      </c>
      <c r="C1078" s="8" t="s">
        <v>995</v>
      </c>
      <c r="D1078" s="2">
        <v>2</v>
      </c>
      <c r="E1078" s="8" t="s">
        <v>3176</v>
      </c>
      <c r="F1078" s="2" t="s">
        <v>86</v>
      </c>
      <c r="G1078" s="2" t="s">
        <v>3177</v>
      </c>
      <c r="H1078" s="2" t="s">
        <v>3178</v>
      </c>
      <c r="I1078" s="8" t="s">
        <v>3407</v>
      </c>
      <c r="J1078" s="2">
        <v>2025</v>
      </c>
      <c r="K1078" s="2">
        <v>632</v>
      </c>
      <c r="L1078" s="8" t="s">
        <v>4461</v>
      </c>
      <c r="M1078" s="2">
        <v>8.9</v>
      </c>
      <c r="N1078" s="8" t="s">
        <v>4462</v>
      </c>
      <c r="O1078" s="8" t="str">
        <f t="shared" ref="O1078:O1086" si="107">HYPERLINK("https://seichotoushi-hojo.jp/assets/pdf/koufu/outline_49.pdf","PDFを開く")</f>
        <v>PDFを開く</v>
      </c>
      <c r="P1078" s="8" t="s">
        <v>1002</v>
      </c>
    </row>
    <row r="1079" spans="1:16" ht="33.950000000000003" customHeight="1">
      <c r="A1079" s="5" t="s">
        <v>994</v>
      </c>
      <c r="B1079" s="5" t="s">
        <v>73</v>
      </c>
      <c r="C1079" s="9" t="s">
        <v>995</v>
      </c>
      <c r="D1079" s="5">
        <v>2</v>
      </c>
      <c r="E1079" s="9" t="s">
        <v>3176</v>
      </c>
      <c r="F1079" s="5" t="s">
        <v>86</v>
      </c>
      <c r="G1079" s="5" t="s">
        <v>3177</v>
      </c>
      <c r="H1079" s="5" t="s">
        <v>3178</v>
      </c>
      <c r="I1079" s="9" t="s">
        <v>3335</v>
      </c>
      <c r="J1079" s="5">
        <v>2028</v>
      </c>
      <c r="K1079" s="5">
        <v>817</v>
      </c>
      <c r="L1079" s="9" t="s">
        <v>4463</v>
      </c>
      <c r="M1079" s="5">
        <v>8.9</v>
      </c>
      <c r="N1079" s="9" t="s">
        <v>4462</v>
      </c>
      <c r="O1079" s="9" t="str">
        <f t="shared" si="107"/>
        <v>PDFを開く</v>
      </c>
      <c r="P1079" s="9" t="s">
        <v>1002</v>
      </c>
    </row>
    <row r="1080" spans="1:16" ht="33.950000000000003" customHeight="1">
      <c r="A1080" s="2" t="s">
        <v>994</v>
      </c>
      <c r="B1080" s="2" t="s">
        <v>73</v>
      </c>
      <c r="C1080" s="8" t="s">
        <v>995</v>
      </c>
      <c r="D1080" s="2">
        <v>2</v>
      </c>
      <c r="E1080" s="8" t="s">
        <v>3184</v>
      </c>
      <c r="F1080" s="2" t="s">
        <v>86</v>
      </c>
      <c r="G1080" s="2" t="s">
        <v>3177</v>
      </c>
      <c r="H1080" s="2" t="s">
        <v>3178</v>
      </c>
      <c r="I1080" s="8" t="s">
        <v>3407</v>
      </c>
      <c r="J1080" s="2">
        <v>2025</v>
      </c>
      <c r="K1080" s="2">
        <v>418</v>
      </c>
      <c r="L1080" s="8" t="s">
        <v>4464</v>
      </c>
      <c r="M1080" s="2">
        <v>4</v>
      </c>
      <c r="N1080" s="8" t="s">
        <v>4465</v>
      </c>
      <c r="O1080" s="8" t="str">
        <f t="shared" si="107"/>
        <v>PDFを開く</v>
      </c>
      <c r="P1080" s="8" t="s">
        <v>1002</v>
      </c>
    </row>
    <row r="1081" spans="1:16" ht="33.950000000000003" customHeight="1">
      <c r="A1081" s="5" t="s">
        <v>994</v>
      </c>
      <c r="B1081" s="5" t="s">
        <v>73</v>
      </c>
      <c r="C1081" s="9" t="s">
        <v>995</v>
      </c>
      <c r="D1081" s="5">
        <v>2</v>
      </c>
      <c r="E1081" s="9" t="s">
        <v>3184</v>
      </c>
      <c r="F1081" s="5" t="s">
        <v>86</v>
      </c>
      <c r="G1081" s="5" t="s">
        <v>3177</v>
      </c>
      <c r="H1081" s="5" t="s">
        <v>3178</v>
      </c>
      <c r="I1081" s="9" t="s">
        <v>3335</v>
      </c>
      <c r="J1081" s="5">
        <v>2028</v>
      </c>
      <c r="K1081" s="5">
        <v>470</v>
      </c>
      <c r="L1081" s="9" t="s">
        <v>3768</v>
      </c>
      <c r="M1081" s="5">
        <v>4</v>
      </c>
      <c r="N1081" s="9" t="s">
        <v>4465</v>
      </c>
      <c r="O1081" s="9" t="str">
        <f t="shared" si="107"/>
        <v>PDFを開く</v>
      </c>
      <c r="P1081" s="9" t="s">
        <v>1002</v>
      </c>
    </row>
    <row r="1082" spans="1:16" ht="33.950000000000003" customHeight="1">
      <c r="A1082" s="2" t="s">
        <v>994</v>
      </c>
      <c r="B1082" s="2" t="s">
        <v>73</v>
      </c>
      <c r="C1082" s="8" t="s">
        <v>995</v>
      </c>
      <c r="D1082" s="2">
        <v>2</v>
      </c>
      <c r="E1082" s="8" t="s">
        <v>3188</v>
      </c>
      <c r="F1082" s="2" t="s">
        <v>86</v>
      </c>
      <c r="G1082" s="19" t="s">
        <v>3189</v>
      </c>
      <c r="H1082" s="2" t="s">
        <v>3178</v>
      </c>
      <c r="I1082" s="8"/>
      <c r="J1082" s="2"/>
      <c r="K1082" s="2"/>
      <c r="L1082" s="8"/>
      <c r="M1082" s="2">
        <v>4</v>
      </c>
      <c r="N1082" s="8" t="s">
        <v>4176</v>
      </c>
      <c r="O1082" s="8" t="str">
        <f t="shared" si="107"/>
        <v>PDFを開く</v>
      </c>
      <c r="P1082" s="8" t="s">
        <v>1002</v>
      </c>
    </row>
    <row r="1083" spans="1:16" ht="33.950000000000003" customHeight="1">
      <c r="A1083" s="5" t="s">
        <v>994</v>
      </c>
      <c r="B1083" s="5" t="s">
        <v>73</v>
      </c>
      <c r="C1083" s="9" t="s">
        <v>995</v>
      </c>
      <c r="D1083" s="5">
        <v>2</v>
      </c>
      <c r="E1083" s="9" t="s">
        <v>3191</v>
      </c>
      <c r="F1083" s="5" t="s">
        <v>2513</v>
      </c>
      <c r="G1083" s="5" t="s">
        <v>3177</v>
      </c>
      <c r="H1083" s="5" t="s">
        <v>3178</v>
      </c>
      <c r="I1083" s="9" t="s">
        <v>3407</v>
      </c>
      <c r="J1083" s="5">
        <v>2025</v>
      </c>
      <c r="K1083" s="5">
        <v>110</v>
      </c>
      <c r="L1083" s="9" t="s">
        <v>3968</v>
      </c>
      <c r="M1083" s="5"/>
      <c r="N1083" s="9" t="s">
        <v>4466</v>
      </c>
      <c r="O1083" s="9" t="str">
        <f t="shared" si="107"/>
        <v>PDFを開く</v>
      </c>
      <c r="P1083" s="9" t="s">
        <v>1002</v>
      </c>
    </row>
    <row r="1084" spans="1:16" ht="33.950000000000003" customHeight="1">
      <c r="A1084" s="2" t="s">
        <v>994</v>
      </c>
      <c r="B1084" s="2" t="s">
        <v>73</v>
      </c>
      <c r="C1084" s="8" t="s">
        <v>995</v>
      </c>
      <c r="D1084" s="2">
        <v>2</v>
      </c>
      <c r="E1084" s="8" t="s">
        <v>3191</v>
      </c>
      <c r="F1084" s="2" t="s">
        <v>2513</v>
      </c>
      <c r="G1084" s="2" t="s">
        <v>3177</v>
      </c>
      <c r="H1084" s="2" t="s">
        <v>3178</v>
      </c>
      <c r="I1084" s="8" t="s">
        <v>3335</v>
      </c>
      <c r="J1084" s="2">
        <v>2028</v>
      </c>
      <c r="K1084" s="2">
        <v>125</v>
      </c>
      <c r="L1084" s="8" t="s">
        <v>4467</v>
      </c>
      <c r="M1084" s="2"/>
      <c r="N1084" s="8" t="s">
        <v>4466</v>
      </c>
      <c r="O1084" s="8" t="str">
        <f t="shared" si="107"/>
        <v>PDFを開く</v>
      </c>
      <c r="P1084" s="8" t="s">
        <v>1002</v>
      </c>
    </row>
    <row r="1085" spans="1:16" ht="33.950000000000003" customHeight="1">
      <c r="A1085" s="5" t="s">
        <v>994</v>
      </c>
      <c r="B1085" s="5" t="s">
        <v>73</v>
      </c>
      <c r="C1085" s="9" t="s">
        <v>995</v>
      </c>
      <c r="D1085" s="5">
        <v>2</v>
      </c>
      <c r="E1085" s="9" t="s">
        <v>3188</v>
      </c>
      <c r="F1085" s="5" t="s">
        <v>86</v>
      </c>
      <c r="G1085" s="5" t="s">
        <v>3177</v>
      </c>
      <c r="H1085" s="5"/>
      <c r="I1085" s="9" t="s">
        <v>4468</v>
      </c>
      <c r="J1085" s="5">
        <v>2025</v>
      </c>
      <c r="K1085" s="5"/>
      <c r="L1085" s="9" t="s">
        <v>3196</v>
      </c>
      <c r="M1085" s="5">
        <v>4</v>
      </c>
      <c r="N1085" s="9" t="s">
        <v>4180</v>
      </c>
      <c r="O1085" s="9" t="str">
        <f t="shared" si="107"/>
        <v>PDFを開く</v>
      </c>
      <c r="P1085" s="9" t="s">
        <v>1002</v>
      </c>
    </row>
    <row r="1086" spans="1:16" ht="33.950000000000003" customHeight="1">
      <c r="A1086" s="2" t="s">
        <v>994</v>
      </c>
      <c r="B1086" s="2" t="s">
        <v>73</v>
      </c>
      <c r="C1086" s="8" t="s">
        <v>995</v>
      </c>
      <c r="D1086" s="2">
        <v>2</v>
      </c>
      <c r="E1086" s="8" t="s">
        <v>3188</v>
      </c>
      <c r="F1086" s="2" t="s">
        <v>86</v>
      </c>
      <c r="G1086" s="2" t="s">
        <v>3177</v>
      </c>
      <c r="H1086" s="2"/>
      <c r="I1086" s="8" t="s">
        <v>4469</v>
      </c>
      <c r="J1086" s="2">
        <v>2028</v>
      </c>
      <c r="K1086" s="2"/>
      <c r="L1086" s="8" t="s">
        <v>4182</v>
      </c>
      <c r="M1086" s="2">
        <v>4</v>
      </c>
      <c r="N1086" s="8" t="s">
        <v>4180</v>
      </c>
      <c r="O1086" s="8" t="str">
        <f t="shared" si="107"/>
        <v>PDFを開く</v>
      </c>
      <c r="P1086" s="8" t="s">
        <v>1002</v>
      </c>
    </row>
    <row r="1087" spans="1:16" ht="33.950000000000003" customHeight="1">
      <c r="A1087" s="5" t="s">
        <v>1003</v>
      </c>
      <c r="B1087" s="5" t="s">
        <v>73</v>
      </c>
      <c r="C1087" s="9" t="s">
        <v>1004</v>
      </c>
      <c r="D1087" s="5">
        <v>2</v>
      </c>
      <c r="E1087" s="9" t="s">
        <v>3176</v>
      </c>
      <c r="F1087" s="5"/>
      <c r="G1087" s="19" t="s">
        <v>3494</v>
      </c>
      <c r="H1087" s="5" t="s">
        <v>3178</v>
      </c>
      <c r="I1087" s="9" t="s">
        <v>4470</v>
      </c>
      <c r="J1087" s="5">
        <v>2026</v>
      </c>
      <c r="K1087" s="5">
        <v>1184</v>
      </c>
      <c r="L1087" s="9" t="s">
        <v>4471</v>
      </c>
      <c r="M1087" s="5">
        <v>5.7</v>
      </c>
      <c r="N1087" s="9" t="s">
        <v>4472</v>
      </c>
      <c r="O1087" s="9" t="str">
        <f t="shared" ref="O1087:O1105" si="108">HYPERLINK("https://seichotoushi-hojo.jp/assets/pdf/koufu/outline_5.pdf","PDFを開く")</f>
        <v>PDFを開く</v>
      </c>
      <c r="P1087" s="9" t="s">
        <v>1012</v>
      </c>
    </row>
    <row r="1088" spans="1:16" ht="33.950000000000003" customHeight="1">
      <c r="A1088" s="2" t="s">
        <v>1003</v>
      </c>
      <c r="B1088" s="2" t="s">
        <v>73</v>
      </c>
      <c r="C1088" s="8" t="s">
        <v>1004</v>
      </c>
      <c r="D1088" s="2">
        <v>2</v>
      </c>
      <c r="E1088" s="8" t="s">
        <v>3176</v>
      </c>
      <c r="F1088" s="2"/>
      <c r="G1088" s="19" t="s">
        <v>3494</v>
      </c>
      <c r="H1088" s="2" t="s">
        <v>3178</v>
      </c>
      <c r="I1088" s="8" t="s">
        <v>4473</v>
      </c>
      <c r="J1088" s="2">
        <v>2029</v>
      </c>
      <c r="K1088" s="2">
        <v>1398</v>
      </c>
      <c r="L1088" s="8" t="s">
        <v>4474</v>
      </c>
      <c r="M1088" s="2">
        <v>5.7</v>
      </c>
      <c r="N1088" s="8" t="s">
        <v>4472</v>
      </c>
      <c r="O1088" s="8" t="str">
        <f t="shared" si="108"/>
        <v>PDFを開く</v>
      </c>
      <c r="P1088" s="8" t="s">
        <v>1012</v>
      </c>
    </row>
    <row r="1089" spans="1:16" ht="33.950000000000003" customHeight="1">
      <c r="A1089" s="5" t="s">
        <v>1003</v>
      </c>
      <c r="B1089" s="5" t="s">
        <v>73</v>
      </c>
      <c r="C1089" s="9" t="s">
        <v>1004</v>
      </c>
      <c r="D1089" s="5">
        <v>2</v>
      </c>
      <c r="E1089" s="9" t="s">
        <v>3176</v>
      </c>
      <c r="F1089" s="5"/>
      <c r="G1089" s="19" t="s">
        <v>3494</v>
      </c>
      <c r="H1089" s="5" t="s">
        <v>3178</v>
      </c>
      <c r="I1089" s="9" t="s">
        <v>4470</v>
      </c>
      <c r="J1089" s="5">
        <v>2026</v>
      </c>
      <c r="K1089" s="5">
        <v>15270</v>
      </c>
      <c r="L1089" s="9" t="s">
        <v>4475</v>
      </c>
      <c r="M1089" s="5">
        <v>5.7</v>
      </c>
      <c r="N1089" s="9" t="s">
        <v>4472</v>
      </c>
      <c r="O1089" s="9" t="str">
        <f t="shared" si="108"/>
        <v>PDFを開く</v>
      </c>
      <c r="P1089" s="9" t="s">
        <v>1012</v>
      </c>
    </row>
    <row r="1090" spans="1:16" ht="33.950000000000003" customHeight="1">
      <c r="A1090" s="2" t="s">
        <v>1003</v>
      </c>
      <c r="B1090" s="2" t="s">
        <v>73</v>
      </c>
      <c r="C1090" s="8" t="s">
        <v>1004</v>
      </c>
      <c r="D1090" s="2">
        <v>2</v>
      </c>
      <c r="E1090" s="8" t="s">
        <v>3176</v>
      </c>
      <c r="F1090" s="2"/>
      <c r="G1090" s="19" t="s">
        <v>3494</v>
      </c>
      <c r="H1090" s="2" t="s">
        <v>3178</v>
      </c>
      <c r="I1090" s="8" t="s">
        <v>4473</v>
      </c>
      <c r="J1090" s="2">
        <v>2029</v>
      </c>
      <c r="K1090" s="2">
        <v>40319</v>
      </c>
      <c r="L1090" s="8" t="s">
        <v>4476</v>
      </c>
      <c r="M1090" s="2">
        <v>5.7</v>
      </c>
      <c r="N1090" s="8" t="s">
        <v>4472</v>
      </c>
      <c r="O1090" s="8" t="str">
        <f t="shared" si="108"/>
        <v>PDFを開く</v>
      </c>
      <c r="P1090" s="8" t="s">
        <v>1012</v>
      </c>
    </row>
    <row r="1091" spans="1:16" ht="33.950000000000003" customHeight="1">
      <c r="A1091" s="5" t="s">
        <v>1003</v>
      </c>
      <c r="B1091" s="5" t="s">
        <v>73</v>
      </c>
      <c r="C1091" s="9" t="s">
        <v>1004</v>
      </c>
      <c r="D1091" s="5">
        <v>2</v>
      </c>
      <c r="E1091" s="9" t="s">
        <v>3184</v>
      </c>
      <c r="F1091" s="5"/>
      <c r="G1091" s="19" t="s">
        <v>3494</v>
      </c>
      <c r="H1091" s="5" t="s">
        <v>3178</v>
      </c>
      <c r="I1091" s="9" t="s">
        <v>4470</v>
      </c>
      <c r="J1091" s="5">
        <v>2026</v>
      </c>
      <c r="K1091" s="5">
        <v>721</v>
      </c>
      <c r="L1091" s="9" t="s">
        <v>4477</v>
      </c>
      <c r="M1091" s="5">
        <v>4</v>
      </c>
      <c r="N1091" s="9" t="s">
        <v>4478</v>
      </c>
      <c r="O1091" s="9" t="str">
        <f t="shared" si="108"/>
        <v>PDFを開く</v>
      </c>
      <c r="P1091" s="9" t="s">
        <v>1012</v>
      </c>
    </row>
    <row r="1092" spans="1:16" ht="33.950000000000003" customHeight="1">
      <c r="A1092" s="2" t="s">
        <v>1003</v>
      </c>
      <c r="B1092" s="2" t="s">
        <v>73</v>
      </c>
      <c r="C1092" s="8" t="s">
        <v>1004</v>
      </c>
      <c r="D1092" s="2">
        <v>2</v>
      </c>
      <c r="E1092" s="8" t="s">
        <v>3184</v>
      </c>
      <c r="F1092" s="2"/>
      <c r="G1092" s="19" t="s">
        <v>3494</v>
      </c>
      <c r="H1092" s="2" t="s">
        <v>3178</v>
      </c>
      <c r="I1092" s="8" t="s">
        <v>4473</v>
      </c>
      <c r="J1092" s="2">
        <v>2029</v>
      </c>
      <c r="K1092" s="2">
        <v>811</v>
      </c>
      <c r="L1092" s="8" t="s">
        <v>4479</v>
      </c>
      <c r="M1092" s="2">
        <v>4</v>
      </c>
      <c r="N1092" s="8" t="s">
        <v>4478</v>
      </c>
      <c r="O1092" s="8" t="str">
        <f t="shared" si="108"/>
        <v>PDFを開く</v>
      </c>
      <c r="P1092" s="8" t="s">
        <v>1012</v>
      </c>
    </row>
    <row r="1093" spans="1:16" ht="33.950000000000003" customHeight="1">
      <c r="A1093" s="5" t="s">
        <v>1003</v>
      </c>
      <c r="B1093" s="5" t="s">
        <v>73</v>
      </c>
      <c r="C1093" s="9" t="s">
        <v>1004</v>
      </c>
      <c r="D1093" s="5">
        <v>2</v>
      </c>
      <c r="E1093" s="9" t="s">
        <v>3184</v>
      </c>
      <c r="F1093" s="5"/>
      <c r="G1093" s="19" t="s">
        <v>3494</v>
      </c>
      <c r="H1093" s="5" t="s">
        <v>3178</v>
      </c>
      <c r="I1093" s="9" t="s">
        <v>4470</v>
      </c>
      <c r="J1093" s="5">
        <v>2026</v>
      </c>
      <c r="K1093" s="5">
        <v>0</v>
      </c>
      <c r="L1093" s="9" t="s">
        <v>3267</v>
      </c>
      <c r="M1093" s="5">
        <v>4</v>
      </c>
      <c r="N1093" s="9" t="s">
        <v>4478</v>
      </c>
      <c r="O1093" s="9" t="str">
        <f t="shared" si="108"/>
        <v>PDFを開く</v>
      </c>
      <c r="P1093" s="9" t="s">
        <v>1012</v>
      </c>
    </row>
    <row r="1094" spans="1:16" ht="33.950000000000003" customHeight="1">
      <c r="A1094" s="2" t="s">
        <v>1003</v>
      </c>
      <c r="B1094" s="2" t="s">
        <v>73</v>
      </c>
      <c r="C1094" s="8" t="s">
        <v>1004</v>
      </c>
      <c r="D1094" s="2">
        <v>2</v>
      </c>
      <c r="E1094" s="8" t="s">
        <v>3184</v>
      </c>
      <c r="F1094" s="2"/>
      <c r="G1094" s="19" t="s">
        <v>3494</v>
      </c>
      <c r="H1094" s="2" t="s">
        <v>3178</v>
      </c>
      <c r="I1094" s="8" t="s">
        <v>4473</v>
      </c>
      <c r="J1094" s="2">
        <v>2029</v>
      </c>
      <c r="K1094" s="2">
        <v>0</v>
      </c>
      <c r="L1094" s="8" t="s">
        <v>3267</v>
      </c>
      <c r="M1094" s="2">
        <v>4</v>
      </c>
      <c r="N1094" s="8" t="s">
        <v>4478</v>
      </c>
      <c r="O1094" s="8" t="str">
        <f t="shared" si="108"/>
        <v>PDFを開く</v>
      </c>
      <c r="P1094" s="8" t="s">
        <v>1012</v>
      </c>
    </row>
    <row r="1095" spans="1:16" ht="33.950000000000003" customHeight="1">
      <c r="A1095" s="5" t="s">
        <v>1003</v>
      </c>
      <c r="B1095" s="5" t="s">
        <v>73</v>
      </c>
      <c r="C1095" s="9" t="s">
        <v>1004</v>
      </c>
      <c r="D1095" s="5">
        <v>2</v>
      </c>
      <c r="E1095" s="9" t="s">
        <v>3188</v>
      </c>
      <c r="F1095" s="5"/>
      <c r="G1095" s="19" t="s">
        <v>3494</v>
      </c>
      <c r="H1095" s="5" t="s">
        <v>3178</v>
      </c>
      <c r="I1095" s="9"/>
      <c r="J1095" s="5"/>
      <c r="K1095" s="5"/>
      <c r="L1095" s="9"/>
      <c r="M1095" s="5">
        <v>4</v>
      </c>
      <c r="N1095" s="9" t="s">
        <v>4480</v>
      </c>
      <c r="O1095" s="9" t="str">
        <f t="shared" si="108"/>
        <v>PDFを開く</v>
      </c>
      <c r="P1095" s="9" t="s">
        <v>1012</v>
      </c>
    </row>
    <row r="1096" spans="1:16" ht="33.950000000000003" customHeight="1">
      <c r="A1096" s="2" t="s">
        <v>1003</v>
      </c>
      <c r="B1096" s="2" t="s">
        <v>73</v>
      </c>
      <c r="C1096" s="8" t="s">
        <v>1004</v>
      </c>
      <c r="D1096" s="2">
        <v>2</v>
      </c>
      <c r="E1096" s="8" t="s">
        <v>3191</v>
      </c>
      <c r="F1096" s="2" t="s">
        <v>2513</v>
      </c>
      <c r="G1096" s="19" t="s">
        <v>3494</v>
      </c>
      <c r="H1096" s="2" t="s">
        <v>3178</v>
      </c>
      <c r="I1096" s="8" t="s">
        <v>4470</v>
      </c>
      <c r="J1096" s="2">
        <v>2026</v>
      </c>
      <c r="K1096" s="2">
        <v>685</v>
      </c>
      <c r="L1096" s="8" t="s">
        <v>3995</v>
      </c>
      <c r="M1096" s="2"/>
      <c r="N1096" s="8" t="s">
        <v>4481</v>
      </c>
      <c r="O1096" s="8" t="str">
        <f t="shared" si="108"/>
        <v>PDFを開く</v>
      </c>
      <c r="P1096" s="8" t="s">
        <v>1012</v>
      </c>
    </row>
    <row r="1097" spans="1:16" ht="33.950000000000003" customHeight="1">
      <c r="A1097" s="5" t="s">
        <v>1003</v>
      </c>
      <c r="B1097" s="5" t="s">
        <v>73</v>
      </c>
      <c r="C1097" s="9" t="s">
        <v>1004</v>
      </c>
      <c r="D1097" s="5">
        <v>2</v>
      </c>
      <c r="E1097" s="9" t="s">
        <v>3191</v>
      </c>
      <c r="F1097" s="5" t="s">
        <v>2513</v>
      </c>
      <c r="G1097" s="19" t="s">
        <v>3494</v>
      </c>
      <c r="H1097" s="5" t="s">
        <v>3178</v>
      </c>
      <c r="I1097" s="9" t="s">
        <v>4473</v>
      </c>
      <c r="J1097" s="5">
        <v>2029</v>
      </c>
      <c r="K1097" s="5">
        <v>730</v>
      </c>
      <c r="L1097" s="9" t="s">
        <v>3525</v>
      </c>
      <c r="M1097" s="5"/>
      <c r="N1097" s="9" t="s">
        <v>4481</v>
      </c>
      <c r="O1097" s="9" t="str">
        <f t="shared" si="108"/>
        <v>PDFを開く</v>
      </c>
      <c r="P1097" s="9" t="s">
        <v>1012</v>
      </c>
    </row>
    <row r="1098" spans="1:16" ht="33.950000000000003" customHeight="1">
      <c r="A1098" s="2" t="s">
        <v>1003</v>
      </c>
      <c r="B1098" s="2" t="s">
        <v>73</v>
      </c>
      <c r="C1098" s="8" t="s">
        <v>1004</v>
      </c>
      <c r="D1098" s="2">
        <v>2</v>
      </c>
      <c r="E1098" s="8" t="s">
        <v>3191</v>
      </c>
      <c r="F1098" s="2" t="s">
        <v>2513</v>
      </c>
      <c r="G1098" s="19" t="s">
        <v>3494</v>
      </c>
      <c r="H1098" s="2" t="s">
        <v>3178</v>
      </c>
      <c r="I1098" s="8" t="s">
        <v>4470</v>
      </c>
      <c r="J1098" s="2">
        <v>2026</v>
      </c>
      <c r="K1098" s="2">
        <v>0</v>
      </c>
      <c r="L1098" s="8" t="s">
        <v>3267</v>
      </c>
      <c r="M1098" s="2"/>
      <c r="N1098" s="8" t="s">
        <v>4481</v>
      </c>
      <c r="O1098" s="8" t="str">
        <f t="shared" si="108"/>
        <v>PDFを開く</v>
      </c>
      <c r="P1098" s="8" t="s">
        <v>1012</v>
      </c>
    </row>
    <row r="1099" spans="1:16" ht="33.950000000000003" customHeight="1">
      <c r="A1099" s="5" t="s">
        <v>1003</v>
      </c>
      <c r="B1099" s="5" t="s">
        <v>73</v>
      </c>
      <c r="C1099" s="9" t="s">
        <v>1004</v>
      </c>
      <c r="D1099" s="5">
        <v>2</v>
      </c>
      <c r="E1099" s="9" t="s">
        <v>3191</v>
      </c>
      <c r="F1099" s="5" t="s">
        <v>2513</v>
      </c>
      <c r="G1099" s="19" t="s">
        <v>3494</v>
      </c>
      <c r="H1099" s="5" t="s">
        <v>3178</v>
      </c>
      <c r="I1099" s="9" t="s">
        <v>4473</v>
      </c>
      <c r="J1099" s="5">
        <v>2029</v>
      </c>
      <c r="K1099" s="5">
        <v>0</v>
      </c>
      <c r="L1099" s="9" t="s">
        <v>3267</v>
      </c>
      <c r="M1099" s="5"/>
      <c r="N1099" s="9" t="s">
        <v>4481</v>
      </c>
      <c r="O1099" s="9" t="str">
        <f t="shared" si="108"/>
        <v>PDFを開く</v>
      </c>
      <c r="P1099" s="9" t="s">
        <v>1012</v>
      </c>
    </row>
    <row r="1100" spans="1:16" ht="33.950000000000003" customHeight="1">
      <c r="A1100" s="2" t="s">
        <v>1003</v>
      </c>
      <c r="B1100" s="2" t="s">
        <v>73</v>
      </c>
      <c r="C1100" s="8" t="s">
        <v>1004</v>
      </c>
      <c r="D1100" s="2">
        <v>2</v>
      </c>
      <c r="E1100" s="8" t="s">
        <v>3176</v>
      </c>
      <c r="F1100" s="2" t="s">
        <v>86</v>
      </c>
      <c r="G1100" s="2" t="s">
        <v>3177</v>
      </c>
      <c r="H1100" s="2" t="s">
        <v>3178</v>
      </c>
      <c r="I1100" s="8" t="s">
        <v>4470</v>
      </c>
      <c r="J1100" s="2">
        <v>2026</v>
      </c>
      <c r="K1100" s="2">
        <v>1184</v>
      </c>
      <c r="L1100" s="8" t="s">
        <v>4471</v>
      </c>
      <c r="M1100" s="2">
        <v>5.7</v>
      </c>
      <c r="N1100" s="8" t="s">
        <v>4472</v>
      </c>
      <c r="O1100" s="8" t="str">
        <f t="shared" si="108"/>
        <v>PDFを開く</v>
      </c>
      <c r="P1100" s="8" t="s">
        <v>1012</v>
      </c>
    </row>
    <row r="1101" spans="1:16" ht="33.950000000000003" customHeight="1">
      <c r="A1101" s="5" t="s">
        <v>1003</v>
      </c>
      <c r="B1101" s="5" t="s">
        <v>73</v>
      </c>
      <c r="C1101" s="9" t="s">
        <v>1004</v>
      </c>
      <c r="D1101" s="5">
        <v>2</v>
      </c>
      <c r="E1101" s="9" t="s">
        <v>3176</v>
      </c>
      <c r="F1101" s="5" t="s">
        <v>86</v>
      </c>
      <c r="G1101" s="5" t="s">
        <v>3177</v>
      </c>
      <c r="H1101" s="5" t="s">
        <v>3178</v>
      </c>
      <c r="I1101" s="9" t="s">
        <v>4473</v>
      </c>
      <c r="J1101" s="5">
        <v>2029</v>
      </c>
      <c r="K1101" s="5">
        <v>1398</v>
      </c>
      <c r="L1101" s="9" t="s">
        <v>4474</v>
      </c>
      <c r="M1101" s="5">
        <v>5.7</v>
      </c>
      <c r="N1101" s="9" t="s">
        <v>4472</v>
      </c>
      <c r="O1101" s="9" t="str">
        <f t="shared" si="108"/>
        <v>PDFを開く</v>
      </c>
      <c r="P1101" s="9" t="s">
        <v>1012</v>
      </c>
    </row>
    <row r="1102" spans="1:16" ht="33.950000000000003" customHeight="1">
      <c r="A1102" s="2" t="s">
        <v>1003</v>
      </c>
      <c r="B1102" s="2" t="s">
        <v>73</v>
      </c>
      <c r="C1102" s="8" t="s">
        <v>1004</v>
      </c>
      <c r="D1102" s="2">
        <v>2</v>
      </c>
      <c r="E1102" s="8" t="s">
        <v>3191</v>
      </c>
      <c r="F1102" s="2" t="s">
        <v>2513</v>
      </c>
      <c r="G1102" s="2" t="s">
        <v>3177</v>
      </c>
      <c r="H1102" s="2" t="s">
        <v>3178</v>
      </c>
      <c r="I1102" s="8" t="s">
        <v>4470</v>
      </c>
      <c r="J1102" s="2">
        <v>2026</v>
      </c>
      <c r="K1102" s="2">
        <v>685</v>
      </c>
      <c r="L1102" s="8" t="s">
        <v>3995</v>
      </c>
      <c r="M1102" s="2"/>
      <c r="N1102" s="8" t="s">
        <v>4481</v>
      </c>
      <c r="O1102" s="8" t="str">
        <f t="shared" si="108"/>
        <v>PDFを開く</v>
      </c>
      <c r="P1102" s="8" t="s">
        <v>1012</v>
      </c>
    </row>
    <row r="1103" spans="1:16" ht="33.950000000000003" customHeight="1">
      <c r="A1103" s="5" t="s">
        <v>1003</v>
      </c>
      <c r="B1103" s="5" t="s">
        <v>73</v>
      </c>
      <c r="C1103" s="9" t="s">
        <v>1004</v>
      </c>
      <c r="D1103" s="5">
        <v>2</v>
      </c>
      <c r="E1103" s="9" t="s">
        <v>3191</v>
      </c>
      <c r="F1103" s="5" t="s">
        <v>2513</v>
      </c>
      <c r="G1103" s="5" t="s">
        <v>3177</v>
      </c>
      <c r="H1103" s="5" t="s">
        <v>3178</v>
      </c>
      <c r="I1103" s="9" t="s">
        <v>4473</v>
      </c>
      <c r="J1103" s="5">
        <v>2029</v>
      </c>
      <c r="K1103" s="5">
        <v>730</v>
      </c>
      <c r="L1103" s="9" t="s">
        <v>3525</v>
      </c>
      <c r="M1103" s="5"/>
      <c r="N1103" s="9" t="s">
        <v>4481</v>
      </c>
      <c r="O1103" s="9" t="str">
        <f t="shared" si="108"/>
        <v>PDFを開く</v>
      </c>
      <c r="P1103" s="9" t="s">
        <v>1012</v>
      </c>
    </row>
    <row r="1104" spans="1:16" ht="33.950000000000003" customHeight="1">
      <c r="A1104" s="2" t="s">
        <v>1003</v>
      </c>
      <c r="B1104" s="2" t="s">
        <v>73</v>
      </c>
      <c r="C1104" s="8" t="s">
        <v>1004</v>
      </c>
      <c r="D1104" s="2">
        <v>2</v>
      </c>
      <c r="E1104" s="8" t="s">
        <v>3184</v>
      </c>
      <c r="F1104" s="2" t="s">
        <v>86</v>
      </c>
      <c r="G1104" s="2" t="s">
        <v>3177</v>
      </c>
      <c r="H1104" s="2" t="s">
        <v>3178</v>
      </c>
      <c r="I1104" s="8" t="s">
        <v>4470</v>
      </c>
      <c r="J1104" s="2">
        <v>2026</v>
      </c>
      <c r="K1104" s="2">
        <v>721</v>
      </c>
      <c r="L1104" s="8" t="s">
        <v>4477</v>
      </c>
      <c r="M1104" s="2">
        <v>4</v>
      </c>
      <c r="N1104" s="8" t="s">
        <v>4478</v>
      </c>
      <c r="O1104" s="8" t="str">
        <f t="shared" si="108"/>
        <v>PDFを開く</v>
      </c>
      <c r="P1104" s="8" t="s">
        <v>1012</v>
      </c>
    </row>
    <row r="1105" spans="1:16" ht="33.950000000000003" customHeight="1">
      <c r="A1105" s="5" t="s">
        <v>1003</v>
      </c>
      <c r="B1105" s="5" t="s">
        <v>73</v>
      </c>
      <c r="C1105" s="9" t="s">
        <v>1004</v>
      </c>
      <c r="D1105" s="5">
        <v>2</v>
      </c>
      <c r="E1105" s="9" t="s">
        <v>3184</v>
      </c>
      <c r="F1105" s="5" t="s">
        <v>86</v>
      </c>
      <c r="G1105" s="5" t="s">
        <v>3177</v>
      </c>
      <c r="H1105" s="5" t="s">
        <v>3178</v>
      </c>
      <c r="I1105" s="9" t="s">
        <v>4473</v>
      </c>
      <c r="J1105" s="5">
        <v>2029</v>
      </c>
      <c r="K1105" s="5">
        <v>811</v>
      </c>
      <c r="L1105" s="9" t="s">
        <v>4479</v>
      </c>
      <c r="M1105" s="5">
        <v>4</v>
      </c>
      <c r="N1105" s="9" t="s">
        <v>4478</v>
      </c>
      <c r="O1105" s="9" t="str">
        <f t="shared" si="108"/>
        <v>PDFを開く</v>
      </c>
      <c r="P1105" s="9" t="s">
        <v>1012</v>
      </c>
    </row>
    <row r="1106" spans="1:16" ht="33.950000000000003" customHeight="1">
      <c r="A1106" s="2" t="s">
        <v>1013</v>
      </c>
      <c r="B1106" s="2" t="s">
        <v>73</v>
      </c>
      <c r="C1106" s="8" t="s">
        <v>1014</v>
      </c>
      <c r="D1106" s="2">
        <v>2</v>
      </c>
      <c r="E1106" s="8" t="s">
        <v>3176</v>
      </c>
      <c r="F1106" s="2" t="s">
        <v>86</v>
      </c>
      <c r="G1106" s="2" t="s">
        <v>3177</v>
      </c>
      <c r="H1106" s="2" t="s">
        <v>3178</v>
      </c>
      <c r="I1106" s="8" t="s">
        <v>3179</v>
      </c>
      <c r="J1106" s="2">
        <v>2026</v>
      </c>
      <c r="K1106" s="2">
        <v>657</v>
      </c>
      <c r="L1106" s="8" t="s">
        <v>4482</v>
      </c>
      <c r="M1106" s="2">
        <v>6.5</v>
      </c>
      <c r="N1106" s="8" t="s">
        <v>4483</v>
      </c>
      <c r="O1106" s="8" t="str">
        <f t="shared" ref="O1106:O1114" si="109">HYPERLINK("https://seichotoushi-hojo.jp/assets/pdf/koufu/outline_50.pdf","PDFを開く")</f>
        <v>PDFを開く</v>
      </c>
      <c r="P1106" s="8" t="s">
        <v>1019</v>
      </c>
    </row>
    <row r="1107" spans="1:16" ht="33.950000000000003" customHeight="1">
      <c r="A1107" s="5" t="s">
        <v>1013</v>
      </c>
      <c r="B1107" s="5" t="s">
        <v>73</v>
      </c>
      <c r="C1107" s="9" t="s">
        <v>1014</v>
      </c>
      <c r="D1107" s="5">
        <v>2</v>
      </c>
      <c r="E1107" s="9" t="s">
        <v>3176</v>
      </c>
      <c r="F1107" s="5" t="s">
        <v>86</v>
      </c>
      <c r="G1107" s="5" t="s">
        <v>3177</v>
      </c>
      <c r="H1107" s="5" t="s">
        <v>3178</v>
      </c>
      <c r="I1107" s="9" t="s">
        <v>3182</v>
      </c>
      <c r="J1107" s="5">
        <v>2029</v>
      </c>
      <c r="K1107" s="5">
        <v>793</v>
      </c>
      <c r="L1107" s="9" t="s">
        <v>4484</v>
      </c>
      <c r="M1107" s="5">
        <v>6.5</v>
      </c>
      <c r="N1107" s="9" t="s">
        <v>4483</v>
      </c>
      <c r="O1107" s="9" t="str">
        <f t="shared" si="109"/>
        <v>PDFを開く</v>
      </c>
      <c r="P1107" s="9" t="s">
        <v>1019</v>
      </c>
    </row>
    <row r="1108" spans="1:16" ht="33.950000000000003" customHeight="1">
      <c r="A1108" s="2" t="s">
        <v>1013</v>
      </c>
      <c r="B1108" s="2" t="s">
        <v>73</v>
      </c>
      <c r="C1108" s="8" t="s">
        <v>1014</v>
      </c>
      <c r="D1108" s="2">
        <v>2</v>
      </c>
      <c r="E1108" s="8" t="s">
        <v>3184</v>
      </c>
      <c r="F1108" s="2" t="s">
        <v>86</v>
      </c>
      <c r="G1108" s="2" t="s">
        <v>3177</v>
      </c>
      <c r="H1108" s="2" t="s">
        <v>3178</v>
      </c>
      <c r="I1108" s="8" t="s">
        <v>3179</v>
      </c>
      <c r="J1108" s="2">
        <v>2026</v>
      </c>
      <c r="K1108" s="2">
        <v>515</v>
      </c>
      <c r="L1108" s="8" t="s">
        <v>4333</v>
      </c>
      <c r="M1108" s="2">
        <v>3</v>
      </c>
      <c r="N1108" s="8" t="s">
        <v>4485</v>
      </c>
      <c r="O1108" s="8" t="str">
        <f t="shared" si="109"/>
        <v>PDFを開く</v>
      </c>
      <c r="P1108" s="8" t="s">
        <v>1019</v>
      </c>
    </row>
    <row r="1109" spans="1:16" ht="33.950000000000003" customHeight="1">
      <c r="A1109" s="5" t="s">
        <v>1013</v>
      </c>
      <c r="B1109" s="5" t="s">
        <v>73</v>
      </c>
      <c r="C1109" s="9" t="s">
        <v>1014</v>
      </c>
      <c r="D1109" s="5">
        <v>2</v>
      </c>
      <c r="E1109" s="9" t="s">
        <v>3184</v>
      </c>
      <c r="F1109" s="5" t="s">
        <v>86</v>
      </c>
      <c r="G1109" s="5" t="s">
        <v>3177</v>
      </c>
      <c r="H1109" s="5" t="s">
        <v>3178</v>
      </c>
      <c r="I1109" s="9" t="s">
        <v>3182</v>
      </c>
      <c r="J1109" s="5">
        <v>2029</v>
      </c>
      <c r="K1109" s="5">
        <v>563</v>
      </c>
      <c r="L1109" s="9" t="s">
        <v>3553</v>
      </c>
      <c r="M1109" s="5">
        <v>3</v>
      </c>
      <c r="N1109" s="9" t="s">
        <v>4485</v>
      </c>
      <c r="O1109" s="9" t="str">
        <f t="shared" si="109"/>
        <v>PDFを開く</v>
      </c>
      <c r="P1109" s="9" t="s">
        <v>1019</v>
      </c>
    </row>
    <row r="1110" spans="1:16" ht="33.950000000000003" customHeight="1">
      <c r="A1110" s="2" t="s">
        <v>1013</v>
      </c>
      <c r="B1110" s="2" t="s">
        <v>73</v>
      </c>
      <c r="C1110" s="8" t="s">
        <v>1014</v>
      </c>
      <c r="D1110" s="2">
        <v>2</v>
      </c>
      <c r="E1110" s="8" t="s">
        <v>3188</v>
      </c>
      <c r="F1110" s="2" t="s">
        <v>86</v>
      </c>
      <c r="G1110" s="19" t="s">
        <v>3189</v>
      </c>
      <c r="H1110" s="2" t="s">
        <v>3178</v>
      </c>
      <c r="I1110" s="8"/>
      <c r="J1110" s="2"/>
      <c r="K1110" s="2"/>
      <c r="L1110" s="8"/>
      <c r="M1110" s="2">
        <v>3</v>
      </c>
      <c r="N1110" s="8" t="s">
        <v>4287</v>
      </c>
      <c r="O1110" s="8" t="str">
        <f t="shared" si="109"/>
        <v>PDFを開く</v>
      </c>
      <c r="P1110" s="8" t="s">
        <v>1019</v>
      </c>
    </row>
    <row r="1111" spans="1:16" ht="33.950000000000003" customHeight="1">
      <c r="A1111" s="5" t="s">
        <v>1013</v>
      </c>
      <c r="B1111" s="5" t="s">
        <v>73</v>
      </c>
      <c r="C1111" s="9" t="s">
        <v>1014</v>
      </c>
      <c r="D1111" s="5">
        <v>2</v>
      </c>
      <c r="E1111" s="9" t="s">
        <v>3191</v>
      </c>
      <c r="F1111" s="5" t="s">
        <v>2513</v>
      </c>
      <c r="G1111" s="5" t="s">
        <v>3177</v>
      </c>
      <c r="H1111" s="5" t="s">
        <v>3178</v>
      </c>
      <c r="I1111" s="9" t="s">
        <v>3179</v>
      </c>
      <c r="J1111" s="5">
        <v>2026</v>
      </c>
      <c r="K1111" s="5">
        <v>1390</v>
      </c>
      <c r="L1111" s="9" t="s">
        <v>4486</v>
      </c>
      <c r="M1111" s="5"/>
      <c r="N1111" s="9" t="s">
        <v>4487</v>
      </c>
      <c r="O1111" s="9" t="str">
        <f t="shared" si="109"/>
        <v>PDFを開く</v>
      </c>
      <c r="P1111" s="9" t="s">
        <v>1019</v>
      </c>
    </row>
    <row r="1112" spans="1:16" ht="33.950000000000003" customHeight="1">
      <c r="A1112" s="2" t="s">
        <v>1013</v>
      </c>
      <c r="B1112" s="2" t="s">
        <v>73</v>
      </c>
      <c r="C1112" s="8" t="s">
        <v>1014</v>
      </c>
      <c r="D1112" s="2">
        <v>2</v>
      </c>
      <c r="E1112" s="8" t="s">
        <v>3191</v>
      </c>
      <c r="F1112" s="2" t="s">
        <v>2513</v>
      </c>
      <c r="G1112" s="2" t="s">
        <v>3177</v>
      </c>
      <c r="H1112" s="2" t="s">
        <v>3178</v>
      </c>
      <c r="I1112" s="8" t="s">
        <v>3182</v>
      </c>
      <c r="J1112" s="2">
        <v>2029</v>
      </c>
      <c r="K1112" s="2">
        <v>1401</v>
      </c>
      <c r="L1112" s="8" t="s">
        <v>4488</v>
      </c>
      <c r="M1112" s="2"/>
      <c r="N1112" s="8" t="s">
        <v>4487</v>
      </c>
      <c r="O1112" s="8" t="str">
        <f t="shared" si="109"/>
        <v>PDFを開く</v>
      </c>
      <c r="P1112" s="8" t="s">
        <v>1019</v>
      </c>
    </row>
    <row r="1113" spans="1:16" ht="33.950000000000003" customHeight="1">
      <c r="A1113" s="5" t="s">
        <v>1013</v>
      </c>
      <c r="B1113" s="5" t="s">
        <v>73</v>
      </c>
      <c r="C1113" s="9" t="s">
        <v>1014</v>
      </c>
      <c r="D1113" s="5">
        <v>2</v>
      </c>
      <c r="E1113" s="9" t="s">
        <v>3188</v>
      </c>
      <c r="F1113" s="5" t="s">
        <v>86</v>
      </c>
      <c r="G1113" s="5" t="s">
        <v>3177</v>
      </c>
      <c r="H1113" s="5"/>
      <c r="I1113" s="9" t="s">
        <v>4489</v>
      </c>
      <c r="J1113" s="5">
        <v>2026</v>
      </c>
      <c r="K1113" s="5"/>
      <c r="L1113" s="9" t="s">
        <v>3211</v>
      </c>
      <c r="M1113" s="5">
        <v>3</v>
      </c>
      <c r="N1113" s="9" t="s">
        <v>4295</v>
      </c>
      <c r="O1113" s="9" t="str">
        <f t="shared" si="109"/>
        <v>PDFを開く</v>
      </c>
      <c r="P1113" s="9" t="s">
        <v>1019</v>
      </c>
    </row>
    <row r="1114" spans="1:16" ht="33.950000000000003" customHeight="1">
      <c r="A1114" s="2" t="s">
        <v>1013</v>
      </c>
      <c r="B1114" s="2" t="s">
        <v>73</v>
      </c>
      <c r="C1114" s="8" t="s">
        <v>1014</v>
      </c>
      <c r="D1114" s="2">
        <v>2</v>
      </c>
      <c r="E1114" s="8" t="s">
        <v>3188</v>
      </c>
      <c r="F1114" s="2" t="s">
        <v>86</v>
      </c>
      <c r="G1114" s="2" t="s">
        <v>3177</v>
      </c>
      <c r="H1114" s="2"/>
      <c r="I1114" s="8" t="s">
        <v>4490</v>
      </c>
      <c r="J1114" s="2">
        <v>2029</v>
      </c>
      <c r="K1114" s="2"/>
      <c r="L1114" s="8" t="s">
        <v>4491</v>
      </c>
      <c r="M1114" s="2">
        <v>3</v>
      </c>
      <c r="N1114" s="8" t="s">
        <v>4295</v>
      </c>
      <c r="O1114" s="8" t="str">
        <f t="shared" si="109"/>
        <v>PDFを開く</v>
      </c>
      <c r="P1114" s="8" t="s">
        <v>1019</v>
      </c>
    </row>
    <row r="1115" spans="1:16" ht="33.950000000000003" customHeight="1">
      <c r="A1115" s="5" t="s">
        <v>1020</v>
      </c>
      <c r="B1115" s="5" t="s">
        <v>73</v>
      </c>
      <c r="C1115" s="9" t="s">
        <v>1021</v>
      </c>
      <c r="D1115" s="5">
        <v>2</v>
      </c>
      <c r="E1115" s="9" t="s">
        <v>3176</v>
      </c>
      <c r="F1115" s="5" t="s">
        <v>86</v>
      </c>
      <c r="G1115" s="5" t="s">
        <v>3177</v>
      </c>
      <c r="H1115" s="5" t="s">
        <v>3178</v>
      </c>
      <c r="I1115" s="9" t="s">
        <v>3179</v>
      </c>
      <c r="J1115" s="5">
        <v>2026</v>
      </c>
      <c r="K1115" s="5">
        <v>1340</v>
      </c>
      <c r="L1115" s="9" t="s">
        <v>4492</v>
      </c>
      <c r="M1115" s="5">
        <v>5.81</v>
      </c>
      <c r="N1115" s="9" t="s">
        <v>4493</v>
      </c>
      <c r="O1115" s="9" t="str">
        <f t="shared" ref="O1115:O1123" si="110">HYPERLINK("https://seichotoushi-hojo.jp/assets/pdf/koufu/outline_51.pdf","PDFを開く")</f>
        <v>PDFを開く</v>
      </c>
      <c r="P1115" s="9" t="s">
        <v>1027</v>
      </c>
    </row>
    <row r="1116" spans="1:16" ht="33.950000000000003" customHeight="1">
      <c r="A1116" s="2" t="s">
        <v>1020</v>
      </c>
      <c r="B1116" s="2" t="s">
        <v>73</v>
      </c>
      <c r="C1116" s="8" t="s">
        <v>1021</v>
      </c>
      <c r="D1116" s="2">
        <v>2</v>
      </c>
      <c r="E1116" s="8" t="s">
        <v>3176</v>
      </c>
      <c r="F1116" s="2" t="s">
        <v>86</v>
      </c>
      <c r="G1116" s="2" t="s">
        <v>3177</v>
      </c>
      <c r="H1116" s="2" t="s">
        <v>3178</v>
      </c>
      <c r="I1116" s="8" t="s">
        <v>3182</v>
      </c>
      <c r="J1116" s="2">
        <v>2029</v>
      </c>
      <c r="K1116" s="2">
        <v>1587</v>
      </c>
      <c r="L1116" s="8" t="s">
        <v>4494</v>
      </c>
      <c r="M1116" s="2">
        <v>5.81</v>
      </c>
      <c r="N1116" s="8" t="s">
        <v>4493</v>
      </c>
      <c r="O1116" s="8" t="str">
        <f t="shared" si="110"/>
        <v>PDFを開く</v>
      </c>
      <c r="P1116" s="8" t="s">
        <v>1027</v>
      </c>
    </row>
    <row r="1117" spans="1:16" ht="33.950000000000003" customHeight="1">
      <c r="A1117" s="5" t="s">
        <v>1020</v>
      </c>
      <c r="B1117" s="5" t="s">
        <v>73</v>
      </c>
      <c r="C1117" s="9" t="s">
        <v>1021</v>
      </c>
      <c r="D1117" s="5">
        <v>2</v>
      </c>
      <c r="E1117" s="9" t="s">
        <v>3184</v>
      </c>
      <c r="F1117" s="5" t="s">
        <v>86</v>
      </c>
      <c r="G1117" s="5" t="s">
        <v>3177</v>
      </c>
      <c r="H1117" s="5" t="s">
        <v>3178</v>
      </c>
      <c r="I1117" s="9" t="s">
        <v>3179</v>
      </c>
      <c r="J1117" s="5">
        <v>2026</v>
      </c>
      <c r="K1117" s="5">
        <v>650</v>
      </c>
      <c r="L1117" s="9" t="s">
        <v>4495</v>
      </c>
      <c r="M1117" s="5">
        <v>5.51</v>
      </c>
      <c r="N1117" s="9" t="s">
        <v>4496</v>
      </c>
      <c r="O1117" s="9" t="str">
        <f t="shared" si="110"/>
        <v>PDFを開く</v>
      </c>
      <c r="P1117" s="9" t="s">
        <v>1027</v>
      </c>
    </row>
    <row r="1118" spans="1:16" ht="33.950000000000003" customHeight="1">
      <c r="A1118" s="2" t="s">
        <v>1020</v>
      </c>
      <c r="B1118" s="2" t="s">
        <v>73</v>
      </c>
      <c r="C1118" s="8" t="s">
        <v>1021</v>
      </c>
      <c r="D1118" s="2">
        <v>2</v>
      </c>
      <c r="E1118" s="8" t="s">
        <v>3184</v>
      </c>
      <c r="F1118" s="2" t="s">
        <v>86</v>
      </c>
      <c r="G1118" s="2" t="s">
        <v>3177</v>
      </c>
      <c r="H1118" s="2" t="s">
        <v>3178</v>
      </c>
      <c r="I1118" s="8" t="s">
        <v>3182</v>
      </c>
      <c r="J1118" s="2">
        <v>2029</v>
      </c>
      <c r="K1118" s="2">
        <v>763</v>
      </c>
      <c r="L1118" s="8" t="s">
        <v>4497</v>
      </c>
      <c r="M1118" s="2">
        <v>5.51</v>
      </c>
      <c r="N1118" s="8" t="s">
        <v>4496</v>
      </c>
      <c r="O1118" s="8" t="str">
        <f t="shared" si="110"/>
        <v>PDFを開く</v>
      </c>
      <c r="P1118" s="8" t="s">
        <v>1027</v>
      </c>
    </row>
    <row r="1119" spans="1:16" ht="33.950000000000003" customHeight="1">
      <c r="A1119" s="5" t="s">
        <v>1020</v>
      </c>
      <c r="B1119" s="5" t="s">
        <v>73</v>
      </c>
      <c r="C1119" s="9" t="s">
        <v>1021</v>
      </c>
      <c r="D1119" s="5">
        <v>2</v>
      </c>
      <c r="E1119" s="9" t="s">
        <v>3188</v>
      </c>
      <c r="F1119" s="5" t="s">
        <v>86</v>
      </c>
      <c r="G1119" s="19" t="s">
        <v>3189</v>
      </c>
      <c r="H1119" s="5" t="s">
        <v>3178</v>
      </c>
      <c r="I1119" s="9"/>
      <c r="J1119" s="5"/>
      <c r="K1119" s="5"/>
      <c r="L1119" s="9"/>
      <c r="M1119" s="5">
        <v>5</v>
      </c>
      <c r="N1119" s="9" t="s">
        <v>4058</v>
      </c>
      <c r="O1119" s="9" t="str">
        <f t="shared" si="110"/>
        <v>PDFを開く</v>
      </c>
      <c r="P1119" s="9" t="s">
        <v>1027</v>
      </c>
    </row>
    <row r="1120" spans="1:16" ht="33.950000000000003" customHeight="1">
      <c r="A1120" s="2" t="s">
        <v>1020</v>
      </c>
      <c r="B1120" s="2" t="s">
        <v>73</v>
      </c>
      <c r="C1120" s="8" t="s">
        <v>1021</v>
      </c>
      <c r="D1120" s="2">
        <v>2</v>
      </c>
      <c r="E1120" s="8" t="s">
        <v>3191</v>
      </c>
      <c r="F1120" s="2" t="s">
        <v>2513</v>
      </c>
      <c r="G1120" s="2" t="s">
        <v>3177</v>
      </c>
      <c r="H1120" s="2" t="s">
        <v>3178</v>
      </c>
      <c r="I1120" s="8" t="s">
        <v>3179</v>
      </c>
      <c r="J1120" s="2">
        <v>2026</v>
      </c>
      <c r="K1120" s="2">
        <v>254</v>
      </c>
      <c r="L1120" s="8" t="s">
        <v>4455</v>
      </c>
      <c r="M1120" s="2"/>
      <c r="N1120" s="8" t="s">
        <v>4498</v>
      </c>
      <c r="O1120" s="8" t="str">
        <f t="shared" si="110"/>
        <v>PDFを開く</v>
      </c>
      <c r="P1120" s="8" t="s">
        <v>1027</v>
      </c>
    </row>
    <row r="1121" spans="1:16" ht="33.950000000000003" customHeight="1">
      <c r="A1121" s="5" t="s">
        <v>1020</v>
      </c>
      <c r="B1121" s="5" t="s">
        <v>73</v>
      </c>
      <c r="C1121" s="9" t="s">
        <v>1021</v>
      </c>
      <c r="D1121" s="5">
        <v>2</v>
      </c>
      <c r="E1121" s="9" t="s">
        <v>3191</v>
      </c>
      <c r="F1121" s="5" t="s">
        <v>2513</v>
      </c>
      <c r="G1121" s="5" t="s">
        <v>3177</v>
      </c>
      <c r="H1121" s="5" t="s">
        <v>3178</v>
      </c>
      <c r="I1121" s="9" t="s">
        <v>3182</v>
      </c>
      <c r="J1121" s="5">
        <v>2029</v>
      </c>
      <c r="K1121" s="5">
        <v>276</v>
      </c>
      <c r="L1121" s="9" t="s">
        <v>4499</v>
      </c>
      <c r="M1121" s="5"/>
      <c r="N1121" s="9" t="s">
        <v>4498</v>
      </c>
      <c r="O1121" s="9" t="str">
        <f t="shared" si="110"/>
        <v>PDFを開く</v>
      </c>
      <c r="P1121" s="9" t="s">
        <v>1027</v>
      </c>
    </row>
    <row r="1122" spans="1:16" ht="33.950000000000003" customHeight="1">
      <c r="A1122" s="2" t="s">
        <v>1020</v>
      </c>
      <c r="B1122" s="2" t="s">
        <v>73</v>
      </c>
      <c r="C1122" s="8" t="s">
        <v>1021</v>
      </c>
      <c r="D1122" s="2">
        <v>2</v>
      </c>
      <c r="E1122" s="8" t="s">
        <v>3188</v>
      </c>
      <c r="F1122" s="2" t="s">
        <v>86</v>
      </c>
      <c r="G1122" s="2" t="s">
        <v>3177</v>
      </c>
      <c r="H1122" s="2"/>
      <c r="I1122" s="8" t="s">
        <v>4500</v>
      </c>
      <c r="J1122" s="2">
        <v>2026</v>
      </c>
      <c r="K1122" s="2"/>
      <c r="L1122" s="8" t="s">
        <v>3211</v>
      </c>
      <c r="M1122" s="2">
        <v>5</v>
      </c>
      <c r="N1122" s="8" t="s">
        <v>4062</v>
      </c>
      <c r="O1122" s="8" t="str">
        <f t="shared" si="110"/>
        <v>PDFを開く</v>
      </c>
      <c r="P1122" s="8" t="s">
        <v>1027</v>
      </c>
    </row>
    <row r="1123" spans="1:16" ht="33.950000000000003" customHeight="1">
      <c r="A1123" s="5" t="s">
        <v>1020</v>
      </c>
      <c r="B1123" s="5" t="s">
        <v>73</v>
      </c>
      <c r="C1123" s="9" t="s">
        <v>1021</v>
      </c>
      <c r="D1123" s="5">
        <v>2</v>
      </c>
      <c r="E1123" s="9" t="s">
        <v>3188</v>
      </c>
      <c r="F1123" s="5" t="s">
        <v>86</v>
      </c>
      <c r="G1123" s="5" t="s">
        <v>3177</v>
      </c>
      <c r="H1123" s="5"/>
      <c r="I1123" s="9" t="s">
        <v>4501</v>
      </c>
      <c r="J1123" s="5">
        <v>2029</v>
      </c>
      <c r="K1123" s="5"/>
      <c r="L1123" s="9" t="s">
        <v>4064</v>
      </c>
      <c r="M1123" s="5">
        <v>5</v>
      </c>
      <c r="N1123" s="9" t="s">
        <v>4062</v>
      </c>
      <c r="O1123" s="9" t="str">
        <f t="shared" si="110"/>
        <v>PDFを開く</v>
      </c>
      <c r="P1123" s="9" t="s">
        <v>1027</v>
      </c>
    </row>
    <row r="1124" spans="1:16" ht="33.950000000000003" customHeight="1">
      <c r="A1124" s="2" t="s">
        <v>1028</v>
      </c>
      <c r="B1124" s="2" t="s">
        <v>73</v>
      </c>
      <c r="C1124" s="8" t="s">
        <v>1029</v>
      </c>
      <c r="D1124" s="2">
        <v>2</v>
      </c>
      <c r="E1124" s="8" t="s">
        <v>3176</v>
      </c>
      <c r="F1124" s="2" t="s">
        <v>86</v>
      </c>
      <c r="G1124" s="2" t="s">
        <v>3177</v>
      </c>
      <c r="H1124" s="2" t="s">
        <v>3178</v>
      </c>
      <c r="I1124" s="8" t="s">
        <v>3259</v>
      </c>
      <c r="J1124" s="2">
        <v>2027</v>
      </c>
      <c r="K1124" s="2">
        <v>1291</v>
      </c>
      <c r="L1124" s="8" t="s">
        <v>4502</v>
      </c>
      <c r="M1124" s="2">
        <v>12.8</v>
      </c>
      <c r="N1124" s="8" t="s">
        <v>4503</v>
      </c>
      <c r="O1124" s="8" t="str">
        <f t="shared" ref="O1124:O1130" si="111">HYPERLINK("https://seichotoushi-hojo.jp/assets/pdf/koufu/outline_52.pdf","PDFを開く")</f>
        <v>PDFを開く</v>
      </c>
      <c r="P1124" s="8" t="s">
        <v>1035</v>
      </c>
    </row>
    <row r="1125" spans="1:16" ht="33.950000000000003" customHeight="1">
      <c r="A1125" s="5" t="s">
        <v>1028</v>
      </c>
      <c r="B1125" s="5" t="s">
        <v>73</v>
      </c>
      <c r="C1125" s="9" t="s">
        <v>1029</v>
      </c>
      <c r="D1125" s="5">
        <v>2</v>
      </c>
      <c r="E1125" s="9" t="s">
        <v>3176</v>
      </c>
      <c r="F1125" s="5" t="s">
        <v>86</v>
      </c>
      <c r="G1125" s="5" t="s">
        <v>3177</v>
      </c>
      <c r="H1125" s="5" t="s">
        <v>3178</v>
      </c>
      <c r="I1125" s="9" t="s">
        <v>3262</v>
      </c>
      <c r="J1125" s="5">
        <v>2030</v>
      </c>
      <c r="K1125" s="5">
        <v>1855</v>
      </c>
      <c r="L1125" s="9" t="s">
        <v>4504</v>
      </c>
      <c r="M1125" s="5">
        <v>12.8</v>
      </c>
      <c r="N1125" s="9" t="s">
        <v>4503</v>
      </c>
      <c r="O1125" s="9" t="str">
        <f t="shared" si="111"/>
        <v>PDFを開く</v>
      </c>
      <c r="P1125" s="9" t="s">
        <v>1035</v>
      </c>
    </row>
    <row r="1126" spans="1:16" ht="33.950000000000003" customHeight="1">
      <c r="A1126" s="2" t="s">
        <v>1028</v>
      </c>
      <c r="B1126" s="2" t="s">
        <v>73</v>
      </c>
      <c r="C1126" s="8" t="s">
        <v>1029</v>
      </c>
      <c r="D1126" s="2">
        <v>2</v>
      </c>
      <c r="E1126" s="8" t="s">
        <v>3184</v>
      </c>
      <c r="F1126" s="2" t="s">
        <v>86</v>
      </c>
      <c r="G1126" s="2" t="s">
        <v>3177</v>
      </c>
      <c r="H1126" s="2" t="s">
        <v>3178</v>
      </c>
      <c r="I1126" s="8" t="s">
        <v>3259</v>
      </c>
      <c r="J1126" s="2">
        <v>2027</v>
      </c>
      <c r="K1126" s="2">
        <v>411</v>
      </c>
      <c r="L1126" s="8" t="s">
        <v>4505</v>
      </c>
      <c r="M1126" s="2">
        <v>4.5999999999999996</v>
      </c>
      <c r="N1126" s="8" t="s">
        <v>4506</v>
      </c>
      <c r="O1126" s="8" t="str">
        <f t="shared" si="111"/>
        <v>PDFを開く</v>
      </c>
      <c r="P1126" s="8" t="s">
        <v>1035</v>
      </c>
    </row>
    <row r="1127" spans="1:16" ht="33.950000000000003" customHeight="1">
      <c r="A1127" s="5" t="s">
        <v>1028</v>
      </c>
      <c r="B1127" s="5" t="s">
        <v>73</v>
      </c>
      <c r="C1127" s="9" t="s">
        <v>1029</v>
      </c>
      <c r="D1127" s="5">
        <v>2</v>
      </c>
      <c r="E1127" s="9" t="s">
        <v>3184</v>
      </c>
      <c r="F1127" s="5" t="s">
        <v>86</v>
      </c>
      <c r="G1127" s="5" t="s">
        <v>3177</v>
      </c>
      <c r="H1127" s="5" t="s">
        <v>3178</v>
      </c>
      <c r="I1127" s="9" t="s">
        <v>3262</v>
      </c>
      <c r="J1127" s="5">
        <v>2030</v>
      </c>
      <c r="K1127" s="5">
        <v>470</v>
      </c>
      <c r="L1127" s="9" t="s">
        <v>3768</v>
      </c>
      <c r="M1127" s="5">
        <v>4.5999999999999996</v>
      </c>
      <c r="N1127" s="9" t="s">
        <v>4506</v>
      </c>
      <c r="O1127" s="9" t="str">
        <f t="shared" si="111"/>
        <v>PDFを開く</v>
      </c>
      <c r="P1127" s="9" t="s">
        <v>1035</v>
      </c>
    </row>
    <row r="1128" spans="1:16" ht="33.950000000000003" customHeight="1">
      <c r="A1128" s="2" t="s">
        <v>1028</v>
      </c>
      <c r="B1128" s="2" t="s">
        <v>73</v>
      </c>
      <c r="C1128" s="8" t="s">
        <v>1029</v>
      </c>
      <c r="D1128" s="2">
        <v>2</v>
      </c>
      <c r="E1128" s="8" t="s">
        <v>3188</v>
      </c>
      <c r="F1128" s="2" t="s">
        <v>86</v>
      </c>
      <c r="G1128" s="19" t="s">
        <v>3189</v>
      </c>
      <c r="H1128" s="2" t="s">
        <v>3178</v>
      </c>
      <c r="I1128" s="8"/>
      <c r="J1128" s="2"/>
      <c r="K1128" s="2"/>
      <c r="L1128" s="8"/>
      <c r="M1128" s="2"/>
      <c r="N1128" s="8" t="s">
        <v>3488</v>
      </c>
      <c r="O1128" s="8" t="str">
        <f t="shared" si="111"/>
        <v>PDFを開く</v>
      </c>
      <c r="P1128" s="8" t="s">
        <v>1035</v>
      </c>
    </row>
    <row r="1129" spans="1:16" ht="33.950000000000003" customHeight="1">
      <c r="A1129" s="5" t="s">
        <v>1028</v>
      </c>
      <c r="B1129" s="5" t="s">
        <v>73</v>
      </c>
      <c r="C1129" s="9" t="s">
        <v>1029</v>
      </c>
      <c r="D1129" s="5">
        <v>2</v>
      </c>
      <c r="E1129" s="9" t="s">
        <v>3191</v>
      </c>
      <c r="F1129" s="5" t="s">
        <v>2513</v>
      </c>
      <c r="G1129" s="5" t="s">
        <v>3177</v>
      </c>
      <c r="H1129" s="5" t="s">
        <v>3178</v>
      </c>
      <c r="I1129" s="9" t="s">
        <v>3259</v>
      </c>
      <c r="J1129" s="5">
        <v>2027</v>
      </c>
      <c r="K1129" s="5">
        <v>60</v>
      </c>
      <c r="L1129" s="9" t="s">
        <v>3406</v>
      </c>
      <c r="M1129" s="5"/>
      <c r="N1129" s="9" t="s">
        <v>4507</v>
      </c>
      <c r="O1129" s="9" t="str">
        <f t="shared" si="111"/>
        <v>PDFを開く</v>
      </c>
      <c r="P1129" s="9" t="s">
        <v>1035</v>
      </c>
    </row>
    <row r="1130" spans="1:16" ht="33.950000000000003" customHeight="1">
      <c r="A1130" s="2" t="s">
        <v>1028</v>
      </c>
      <c r="B1130" s="2" t="s">
        <v>73</v>
      </c>
      <c r="C1130" s="8" t="s">
        <v>1029</v>
      </c>
      <c r="D1130" s="2">
        <v>2</v>
      </c>
      <c r="E1130" s="8" t="s">
        <v>3191</v>
      </c>
      <c r="F1130" s="2" t="s">
        <v>2513</v>
      </c>
      <c r="G1130" s="2" t="s">
        <v>3177</v>
      </c>
      <c r="H1130" s="2" t="s">
        <v>3178</v>
      </c>
      <c r="I1130" s="8" t="s">
        <v>3262</v>
      </c>
      <c r="J1130" s="2">
        <v>2030</v>
      </c>
      <c r="K1130" s="2">
        <v>73</v>
      </c>
      <c r="L1130" s="8" t="s">
        <v>4508</v>
      </c>
      <c r="M1130" s="2"/>
      <c r="N1130" s="8" t="s">
        <v>4507</v>
      </c>
      <c r="O1130" s="8" t="str">
        <f t="shared" si="111"/>
        <v>PDFを開く</v>
      </c>
      <c r="P1130" s="8" t="s">
        <v>1035</v>
      </c>
    </row>
    <row r="1131" spans="1:16" ht="33.950000000000003" customHeight="1">
      <c r="A1131" s="5" t="s">
        <v>1036</v>
      </c>
      <c r="B1131" s="5" t="s">
        <v>73</v>
      </c>
      <c r="C1131" s="9" t="s">
        <v>1037</v>
      </c>
      <c r="D1131" s="5">
        <v>2</v>
      </c>
      <c r="E1131" s="9" t="s">
        <v>3176</v>
      </c>
      <c r="F1131" s="5" t="s">
        <v>86</v>
      </c>
      <c r="G1131" s="5" t="s">
        <v>3177</v>
      </c>
      <c r="H1131" s="5" t="s">
        <v>3178</v>
      </c>
      <c r="I1131" s="9" t="s">
        <v>3179</v>
      </c>
      <c r="J1131" s="5">
        <v>2026</v>
      </c>
      <c r="K1131" s="5">
        <v>425.5</v>
      </c>
      <c r="L1131" s="9" t="s">
        <v>4509</v>
      </c>
      <c r="M1131" s="5">
        <v>13.29</v>
      </c>
      <c r="N1131" s="9" t="s">
        <v>4510</v>
      </c>
      <c r="O1131" s="9" t="str">
        <f t="shared" ref="O1131:O1137" si="112">HYPERLINK("https://seichotoushi-hojo.jp/assets/pdf/koufu/outline_53.pdf","PDFを開く")</f>
        <v>PDFを開く</v>
      </c>
      <c r="P1131" s="9" t="s">
        <v>1043</v>
      </c>
    </row>
    <row r="1132" spans="1:16" ht="33.950000000000003" customHeight="1">
      <c r="A1132" s="2" t="s">
        <v>1036</v>
      </c>
      <c r="B1132" s="2" t="s">
        <v>73</v>
      </c>
      <c r="C1132" s="8" t="s">
        <v>1037</v>
      </c>
      <c r="D1132" s="2">
        <v>2</v>
      </c>
      <c r="E1132" s="8" t="s">
        <v>3176</v>
      </c>
      <c r="F1132" s="2" t="s">
        <v>86</v>
      </c>
      <c r="G1132" s="2" t="s">
        <v>3177</v>
      </c>
      <c r="H1132" s="2" t="s">
        <v>3178</v>
      </c>
      <c r="I1132" s="8" t="s">
        <v>3182</v>
      </c>
      <c r="J1132" s="2">
        <v>2029</v>
      </c>
      <c r="K1132" s="2">
        <v>618.6</v>
      </c>
      <c r="L1132" s="8" t="s">
        <v>4511</v>
      </c>
      <c r="M1132" s="2">
        <v>13.29</v>
      </c>
      <c r="N1132" s="8" t="s">
        <v>4510</v>
      </c>
      <c r="O1132" s="8" t="str">
        <f t="shared" si="112"/>
        <v>PDFを開く</v>
      </c>
      <c r="P1132" s="8" t="s">
        <v>1043</v>
      </c>
    </row>
    <row r="1133" spans="1:16" ht="33.950000000000003" customHeight="1">
      <c r="A1133" s="5" t="s">
        <v>1036</v>
      </c>
      <c r="B1133" s="5" t="s">
        <v>73</v>
      </c>
      <c r="C1133" s="9" t="s">
        <v>1037</v>
      </c>
      <c r="D1133" s="5">
        <v>2</v>
      </c>
      <c r="E1133" s="9" t="s">
        <v>3184</v>
      </c>
      <c r="F1133" s="5" t="s">
        <v>86</v>
      </c>
      <c r="G1133" s="5" t="s">
        <v>3177</v>
      </c>
      <c r="H1133" s="5" t="s">
        <v>3178</v>
      </c>
      <c r="I1133" s="9" t="s">
        <v>3179</v>
      </c>
      <c r="J1133" s="5">
        <v>2026</v>
      </c>
      <c r="K1133" s="5">
        <v>343.3</v>
      </c>
      <c r="L1133" s="9" t="s">
        <v>4512</v>
      </c>
      <c r="M1133" s="5">
        <v>6.04</v>
      </c>
      <c r="N1133" s="9" t="s">
        <v>4513</v>
      </c>
      <c r="O1133" s="9" t="str">
        <f t="shared" si="112"/>
        <v>PDFを開く</v>
      </c>
      <c r="P1133" s="9" t="s">
        <v>1043</v>
      </c>
    </row>
    <row r="1134" spans="1:16" ht="33.950000000000003" customHeight="1">
      <c r="A1134" s="2" t="s">
        <v>1036</v>
      </c>
      <c r="B1134" s="2" t="s">
        <v>73</v>
      </c>
      <c r="C1134" s="8" t="s">
        <v>1037</v>
      </c>
      <c r="D1134" s="2">
        <v>2</v>
      </c>
      <c r="E1134" s="8" t="s">
        <v>3184</v>
      </c>
      <c r="F1134" s="2" t="s">
        <v>86</v>
      </c>
      <c r="G1134" s="2" t="s">
        <v>3177</v>
      </c>
      <c r="H1134" s="2" t="s">
        <v>3178</v>
      </c>
      <c r="I1134" s="8" t="s">
        <v>3182</v>
      </c>
      <c r="J1134" s="2">
        <v>2029</v>
      </c>
      <c r="K1134" s="2">
        <v>409.3</v>
      </c>
      <c r="L1134" s="8" t="s">
        <v>4514</v>
      </c>
      <c r="M1134" s="2">
        <v>6.04</v>
      </c>
      <c r="N1134" s="8" t="s">
        <v>4513</v>
      </c>
      <c r="O1134" s="8" t="str">
        <f t="shared" si="112"/>
        <v>PDFを開く</v>
      </c>
      <c r="P1134" s="8" t="s">
        <v>1043</v>
      </c>
    </row>
    <row r="1135" spans="1:16" ht="33.950000000000003" customHeight="1">
      <c r="A1135" s="5" t="s">
        <v>1036</v>
      </c>
      <c r="B1135" s="5" t="s">
        <v>73</v>
      </c>
      <c r="C1135" s="9" t="s">
        <v>1037</v>
      </c>
      <c r="D1135" s="5">
        <v>2</v>
      </c>
      <c r="E1135" s="9" t="s">
        <v>3188</v>
      </c>
      <c r="F1135" s="5" t="s">
        <v>86</v>
      </c>
      <c r="G1135" s="19" t="s">
        <v>3189</v>
      </c>
      <c r="H1135" s="5" t="s">
        <v>3178</v>
      </c>
      <c r="I1135" s="9"/>
      <c r="J1135" s="5"/>
      <c r="K1135" s="5"/>
      <c r="L1135" s="9"/>
      <c r="M1135" s="5"/>
      <c r="N1135" s="9" t="s">
        <v>4515</v>
      </c>
      <c r="O1135" s="9" t="str">
        <f t="shared" si="112"/>
        <v>PDFを開く</v>
      </c>
      <c r="P1135" s="9" t="s">
        <v>1043</v>
      </c>
    </row>
    <row r="1136" spans="1:16" ht="33.950000000000003" customHeight="1">
      <c r="A1136" s="2" t="s">
        <v>1036</v>
      </c>
      <c r="B1136" s="2" t="s">
        <v>73</v>
      </c>
      <c r="C1136" s="8" t="s">
        <v>1037</v>
      </c>
      <c r="D1136" s="2">
        <v>2</v>
      </c>
      <c r="E1136" s="8" t="s">
        <v>3191</v>
      </c>
      <c r="F1136" s="2" t="s">
        <v>2513</v>
      </c>
      <c r="G1136" s="2" t="s">
        <v>3177</v>
      </c>
      <c r="H1136" s="2" t="s">
        <v>3178</v>
      </c>
      <c r="I1136" s="8" t="s">
        <v>3179</v>
      </c>
      <c r="J1136" s="2">
        <v>2026</v>
      </c>
      <c r="K1136" s="2">
        <v>197</v>
      </c>
      <c r="L1136" s="8" t="s">
        <v>4359</v>
      </c>
      <c r="M1136" s="2"/>
      <c r="N1136" s="8" t="s">
        <v>4516</v>
      </c>
      <c r="O1136" s="8" t="str">
        <f t="shared" si="112"/>
        <v>PDFを開く</v>
      </c>
      <c r="P1136" s="8" t="s">
        <v>1043</v>
      </c>
    </row>
    <row r="1137" spans="1:16" ht="33.950000000000003" customHeight="1">
      <c r="A1137" s="5" t="s">
        <v>1036</v>
      </c>
      <c r="B1137" s="5" t="s">
        <v>73</v>
      </c>
      <c r="C1137" s="9" t="s">
        <v>1037</v>
      </c>
      <c r="D1137" s="5">
        <v>2</v>
      </c>
      <c r="E1137" s="9" t="s">
        <v>3191</v>
      </c>
      <c r="F1137" s="5" t="s">
        <v>2513</v>
      </c>
      <c r="G1137" s="5" t="s">
        <v>3177</v>
      </c>
      <c r="H1137" s="5" t="s">
        <v>3178</v>
      </c>
      <c r="I1137" s="9" t="s">
        <v>3182</v>
      </c>
      <c r="J1137" s="5">
        <v>2029</v>
      </c>
      <c r="K1137" s="5">
        <v>189</v>
      </c>
      <c r="L1137" s="9" t="s">
        <v>4517</v>
      </c>
      <c r="M1137" s="5"/>
      <c r="N1137" s="9" t="s">
        <v>4516</v>
      </c>
      <c r="O1137" s="9" t="str">
        <f t="shared" si="112"/>
        <v>PDFを開く</v>
      </c>
      <c r="P1137" s="9" t="s">
        <v>1043</v>
      </c>
    </row>
    <row r="1138" spans="1:16" ht="33.950000000000003" customHeight="1">
      <c r="A1138" s="2" t="s">
        <v>1044</v>
      </c>
      <c r="B1138" s="2" t="s">
        <v>73</v>
      </c>
      <c r="C1138" s="8" t="s">
        <v>1045</v>
      </c>
      <c r="D1138" s="2">
        <v>2</v>
      </c>
      <c r="E1138" s="8" t="s">
        <v>3176</v>
      </c>
      <c r="F1138" s="2" t="s">
        <v>86</v>
      </c>
      <c r="G1138" s="2" t="s">
        <v>3177</v>
      </c>
      <c r="H1138" s="2"/>
      <c r="I1138" s="8" t="s">
        <v>4518</v>
      </c>
      <c r="J1138" s="2">
        <v>2028</v>
      </c>
      <c r="K1138" s="2">
        <v>10537</v>
      </c>
      <c r="L1138" s="8" t="s">
        <v>4519</v>
      </c>
      <c r="M1138" s="2">
        <v>25.5</v>
      </c>
      <c r="N1138" s="8" t="s">
        <v>4520</v>
      </c>
      <c r="O1138" s="8" t="str">
        <f t="shared" ref="O1138:O1144" si="113">HYPERLINK("https://seichotoushi-hojo.jp/assets/pdf/koufu/outline_55.pdf","PDFを開く")</f>
        <v>PDFを開く</v>
      </c>
      <c r="P1138" s="8" t="s">
        <v>1053</v>
      </c>
    </row>
    <row r="1139" spans="1:16" ht="33.950000000000003" customHeight="1">
      <c r="A1139" s="5" t="s">
        <v>1044</v>
      </c>
      <c r="B1139" s="5" t="s">
        <v>73</v>
      </c>
      <c r="C1139" s="9" t="s">
        <v>1045</v>
      </c>
      <c r="D1139" s="5">
        <v>2</v>
      </c>
      <c r="E1139" s="9" t="s">
        <v>3176</v>
      </c>
      <c r="F1139" s="5" t="s">
        <v>86</v>
      </c>
      <c r="G1139" s="5" t="s">
        <v>3177</v>
      </c>
      <c r="H1139" s="5"/>
      <c r="I1139" s="9" t="s">
        <v>3332</v>
      </c>
      <c r="J1139" s="5">
        <v>2025</v>
      </c>
      <c r="K1139" s="5">
        <v>5326</v>
      </c>
      <c r="L1139" s="9" t="s">
        <v>4521</v>
      </c>
      <c r="M1139" s="5">
        <v>25.5</v>
      </c>
      <c r="N1139" s="9" t="s">
        <v>4520</v>
      </c>
      <c r="O1139" s="9" t="str">
        <f t="shared" si="113"/>
        <v>PDFを開く</v>
      </c>
      <c r="P1139" s="9" t="s">
        <v>1053</v>
      </c>
    </row>
    <row r="1140" spans="1:16" ht="33.950000000000003" customHeight="1">
      <c r="A1140" s="2" t="s">
        <v>1044</v>
      </c>
      <c r="B1140" s="2" t="s">
        <v>73</v>
      </c>
      <c r="C1140" s="8" t="s">
        <v>1045</v>
      </c>
      <c r="D1140" s="2">
        <v>2</v>
      </c>
      <c r="E1140" s="8" t="s">
        <v>3184</v>
      </c>
      <c r="F1140" s="2" t="s">
        <v>86</v>
      </c>
      <c r="G1140" s="19" t="s">
        <v>3189</v>
      </c>
      <c r="H1140" s="2"/>
      <c r="I1140" s="8" t="s">
        <v>4518</v>
      </c>
      <c r="J1140" s="2">
        <v>2028</v>
      </c>
      <c r="K1140" s="2">
        <v>653</v>
      </c>
      <c r="L1140" s="8" t="s">
        <v>3491</v>
      </c>
      <c r="M1140" s="2">
        <v>3</v>
      </c>
      <c r="N1140" s="8" t="s">
        <v>4522</v>
      </c>
      <c r="O1140" s="8" t="str">
        <f t="shared" si="113"/>
        <v>PDFを開く</v>
      </c>
      <c r="P1140" s="8" t="s">
        <v>1053</v>
      </c>
    </row>
    <row r="1141" spans="1:16" ht="33.950000000000003" customHeight="1">
      <c r="A1141" s="5" t="s">
        <v>1044</v>
      </c>
      <c r="B1141" s="5" t="s">
        <v>73</v>
      </c>
      <c r="C1141" s="9" t="s">
        <v>1045</v>
      </c>
      <c r="D1141" s="5">
        <v>2</v>
      </c>
      <c r="E1141" s="9" t="s">
        <v>3184</v>
      </c>
      <c r="F1141" s="5" t="s">
        <v>86</v>
      </c>
      <c r="G1141" s="19" t="s">
        <v>3189</v>
      </c>
      <c r="H1141" s="5"/>
      <c r="I1141" s="9" t="s">
        <v>4518</v>
      </c>
      <c r="J1141" s="5">
        <v>2028</v>
      </c>
      <c r="K1141" s="5">
        <v>0</v>
      </c>
      <c r="L1141" s="9" t="s">
        <v>3267</v>
      </c>
      <c r="M1141" s="5">
        <v>3</v>
      </c>
      <c r="N1141" s="9" t="s">
        <v>4522</v>
      </c>
      <c r="O1141" s="9" t="str">
        <f t="shared" si="113"/>
        <v>PDFを開く</v>
      </c>
      <c r="P1141" s="9" t="s">
        <v>1053</v>
      </c>
    </row>
    <row r="1142" spans="1:16" ht="33.950000000000003" customHeight="1">
      <c r="A1142" s="2" t="s">
        <v>1044</v>
      </c>
      <c r="B1142" s="2" t="s">
        <v>73</v>
      </c>
      <c r="C1142" s="8" t="s">
        <v>1045</v>
      </c>
      <c r="D1142" s="2">
        <v>2</v>
      </c>
      <c r="E1142" s="8" t="s">
        <v>3184</v>
      </c>
      <c r="F1142" s="2" t="s">
        <v>86</v>
      </c>
      <c r="G1142" s="19" t="s">
        <v>3189</v>
      </c>
      <c r="H1142" s="2"/>
      <c r="I1142" s="8" t="s">
        <v>3332</v>
      </c>
      <c r="J1142" s="2">
        <v>2025</v>
      </c>
      <c r="K1142" s="2">
        <v>597</v>
      </c>
      <c r="L1142" s="8" t="s">
        <v>3652</v>
      </c>
      <c r="M1142" s="2">
        <v>3</v>
      </c>
      <c r="N1142" s="8" t="s">
        <v>4522</v>
      </c>
      <c r="O1142" s="8" t="str">
        <f t="shared" si="113"/>
        <v>PDFを開く</v>
      </c>
      <c r="P1142" s="8" t="s">
        <v>1053</v>
      </c>
    </row>
    <row r="1143" spans="1:16" ht="33.950000000000003" customHeight="1">
      <c r="A1143" s="5" t="s">
        <v>1044</v>
      </c>
      <c r="B1143" s="5" t="s">
        <v>73</v>
      </c>
      <c r="C1143" s="9" t="s">
        <v>1045</v>
      </c>
      <c r="D1143" s="5">
        <v>2</v>
      </c>
      <c r="E1143" s="9" t="s">
        <v>3184</v>
      </c>
      <c r="F1143" s="5" t="s">
        <v>86</v>
      </c>
      <c r="G1143" s="5" t="s">
        <v>3177</v>
      </c>
      <c r="H1143" s="5"/>
      <c r="I1143" s="9" t="s">
        <v>3332</v>
      </c>
      <c r="J1143" s="5">
        <v>2025</v>
      </c>
      <c r="K1143" s="5">
        <v>597</v>
      </c>
      <c r="L1143" s="9" t="s">
        <v>3652</v>
      </c>
      <c r="M1143" s="5">
        <v>3</v>
      </c>
      <c r="N1143" s="9" t="s">
        <v>4522</v>
      </c>
      <c r="O1143" s="9" t="str">
        <f t="shared" si="113"/>
        <v>PDFを開く</v>
      </c>
      <c r="P1143" s="9" t="s">
        <v>1053</v>
      </c>
    </row>
    <row r="1144" spans="1:16" ht="33.950000000000003" customHeight="1">
      <c r="A1144" s="2" t="s">
        <v>1044</v>
      </c>
      <c r="B1144" s="2" t="s">
        <v>73</v>
      </c>
      <c r="C1144" s="8" t="s">
        <v>1045</v>
      </c>
      <c r="D1144" s="2">
        <v>2</v>
      </c>
      <c r="E1144" s="8" t="s">
        <v>3184</v>
      </c>
      <c r="F1144" s="2" t="s">
        <v>86</v>
      </c>
      <c r="G1144" s="2" t="s">
        <v>3177</v>
      </c>
      <c r="H1144" s="2"/>
      <c r="I1144" s="8" t="s">
        <v>4518</v>
      </c>
      <c r="J1144" s="2">
        <v>2028</v>
      </c>
      <c r="K1144" s="2">
        <v>653</v>
      </c>
      <c r="L1144" s="8" t="s">
        <v>3491</v>
      </c>
      <c r="M1144" s="2">
        <v>3</v>
      </c>
      <c r="N1144" s="8" t="s">
        <v>4522</v>
      </c>
      <c r="O1144" s="8" t="str">
        <f t="shared" si="113"/>
        <v>PDFを開く</v>
      </c>
      <c r="P1144" s="8" t="s">
        <v>1053</v>
      </c>
    </row>
    <row r="1145" spans="1:16" ht="33.950000000000003" customHeight="1">
      <c r="A1145" s="5" t="s">
        <v>1054</v>
      </c>
      <c r="B1145" s="5" t="s">
        <v>73</v>
      </c>
      <c r="C1145" s="9" t="s">
        <v>1055</v>
      </c>
      <c r="D1145" s="5">
        <v>3</v>
      </c>
      <c r="E1145" s="9" t="s">
        <v>3176</v>
      </c>
      <c r="F1145" s="5" t="s">
        <v>86</v>
      </c>
      <c r="G1145" s="5" t="s">
        <v>3177</v>
      </c>
      <c r="H1145" s="5" t="s">
        <v>3178</v>
      </c>
      <c r="I1145" s="9" t="s">
        <v>3407</v>
      </c>
      <c r="J1145" s="5">
        <v>2025</v>
      </c>
      <c r="K1145" s="5">
        <v>692</v>
      </c>
      <c r="L1145" s="9" t="s">
        <v>4523</v>
      </c>
      <c r="M1145" s="5">
        <v>21.6</v>
      </c>
      <c r="N1145" s="9" t="s">
        <v>4524</v>
      </c>
      <c r="O1145" s="9" t="str">
        <f t="shared" ref="O1145:O1157" si="114">HYPERLINK("https://seichotoushi-hojo.jp/assets/pdf/koufu/outline_56.pdf","PDFを開く")</f>
        <v>PDFを開く</v>
      </c>
      <c r="P1145" s="9" t="s">
        <v>1062</v>
      </c>
    </row>
    <row r="1146" spans="1:16" ht="33.950000000000003" customHeight="1">
      <c r="A1146" s="2" t="s">
        <v>1054</v>
      </c>
      <c r="B1146" s="2" t="s">
        <v>73</v>
      </c>
      <c r="C1146" s="8" t="s">
        <v>1055</v>
      </c>
      <c r="D1146" s="2">
        <v>3</v>
      </c>
      <c r="E1146" s="8" t="s">
        <v>3176</v>
      </c>
      <c r="F1146" s="2" t="s">
        <v>86</v>
      </c>
      <c r="G1146" s="2" t="s">
        <v>3177</v>
      </c>
      <c r="H1146" s="2" t="s">
        <v>3178</v>
      </c>
      <c r="I1146" s="8" t="s">
        <v>3335</v>
      </c>
      <c r="J1146" s="2">
        <v>2028</v>
      </c>
      <c r="K1146" s="2">
        <v>1173</v>
      </c>
      <c r="L1146" s="8" t="s">
        <v>4525</v>
      </c>
      <c r="M1146" s="2">
        <v>21.6</v>
      </c>
      <c r="N1146" s="8" t="s">
        <v>4524</v>
      </c>
      <c r="O1146" s="8" t="str">
        <f t="shared" si="114"/>
        <v>PDFを開く</v>
      </c>
      <c r="P1146" s="8" t="s">
        <v>1062</v>
      </c>
    </row>
    <row r="1147" spans="1:16" ht="33.950000000000003" customHeight="1">
      <c r="A1147" s="5" t="s">
        <v>1054</v>
      </c>
      <c r="B1147" s="5" t="s">
        <v>73</v>
      </c>
      <c r="C1147" s="9" t="s">
        <v>1055</v>
      </c>
      <c r="D1147" s="5">
        <v>3</v>
      </c>
      <c r="E1147" s="9" t="s">
        <v>3184</v>
      </c>
      <c r="F1147" s="5" t="s">
        <v>86</v>
      </c>
      <c r="G1147" s="5" t="s">
        <v>3177</v>
      </c>
      <c r="H1147" s="5" t="s">
        <v>3178</v>
      </c>
      <c r="I1147" s="9" t="s">
        <v>3407</v>
      </c>
      <c r="J1147" s="5">
        <v>2025</v>
      </c>
      <c r="K1147" s="5">
        <v>384</v>
      </c>
      <c r="L1147" s="9" t="s">
        <v>3495</v>
      </c>
      <c r="M1147" s="5">
        <v>3.4</v>
      </c>
      <c r="N1147" s="9" t="s">
        <v>4526</v>
      </c>
      <c r="O1147" s="9" t="str">
        <f t="shared" si="114"/>
        <v>PDFを開く</v>
      </c>
      <c r="P1147" s="9" t="s">
        <v>1062</v>
      </c>
    </row>
    <row r="1148" spans="1:16" ht="33.950000000000003" customHeight="1">
      <c r="A1148" s="2" t="s">
        <v>1054</v>
      </c>
      <c r="B1148" s="2" t="s">
        <v>73</v>
      </c>
      <c r="C1148" s="8" t="s">
        <v>1055</v>
      </c>
      <c r="D1148" s="2">
        <v>3</v>
      </c>
      <c r="E1148" s="8" t="s">
        <v>3184</v>
      </c>
      <c r="F1148" s="2" t="s">
        <v>86</v>
      </c>
      <c r="G1148" s="2" t="s">
        <v>3177</v>
      </c>
      <c r="H1148" s="2" t="s">
        <v>3178</v>
      </c>
      <c r="I1148" s="8" t="s">
        <v>3335</v>
      </c>
      <c r="J1148" s="2">
        <v>2028</v>
      </c>
      <c r="K1148" s="2">
        <v>425</v>
      </c>
      <c r="L1148" s="8" t="s">
        <v>4527</v>
      </c>
      <c r="M1148" s="2">
        <v>3.4</v>
      </c>
      <c r="N1148" s="8" t="s">
        <v>4526</v>
      </c>
      <c r="O1148" s="8" t="str">
        <f t="shared" si="114"/>
        <v>PDFを開く</v>
      </c>
      <c r="P1148" s="8" t="s">
        <v>1062</v>
      </c>
    </row>
    <row r="1149" spans="1:16" ht="33.950000000000003" customHeight="1">
      <c r="A1149" s="5" t="s">
        <v>1054</v>
      </c>
      <c r="B1149" s="5" t="s">
        <v>73</v>
      </c>
      <c r="C1149" s="9" t="s">
        <v>1055</v>
      </c>
      <c r="D1149" s="5">
        <v>3</v>
      </c>
      <c r="E1149" s="9" t="s">
        <v>3188</v>
      </c>
      <c r="F1149" s="5" t="s">
        <v>86</v>
      </c>
      <c r="G1149" s="5" t="s">
        <v>3177</v>
      </c>
      <c r="H1149" s="5" t="s">
        <v>3178</v>
      </c>
      <c r="I1149" s="9" t="s">
        <v>3407</v>
      </c>
      <c r="J1149" s="5">
        <v>2025</v>
      </c>
      <c r="K1149" s="5">
        <v>0</v>
      </c>
      <c r="L1149" s="9" t="s">
        <v>3267</v>
      </c>
      <c r="M1149" s="5">
        <v>0</v>
      </c>
      <c r="N1149" s="9" t="s">
        <v>3268</v>
      </c>
      <c r="O1149" s="9" t="str">
        <f t="shared" si="114"/>
        <v>PDFを開く</v>
      </c>
      <c r="P1149" s="9" t="s">
        <v>1062</v>
      </c>
    </row>
    <row r="1150" spans="1:16" ht="33.950000000000003" customHeight="1">
      <c r="A1150" s="2" t="s">
        <v>1054</v>
      </c>
      <c r="B1150" s="2" t="s">
        <v>73</v>
      </c>
      <c r="C1150" s="8" t="s">
        <v>1055</v>
      </c>
      <c r="D1150" s="2">
        <v>3</v>
      </c>
      <c r="E1150" s="8" t="s">
        <v>3188</v>
      </c>
      <c r="F1150" s="2" t="s">
        <v>86</v>
      </c>
      <c r="G1150" s="2" t="s">
        <v>3177</v>
      </c>
      <c r="H1150" s="2" t="s">
        <v>3178</v>
      </c>
      <c r="I1150" s="8" t="s">
        <v>3335</v>
      </c>
      <c r="J1150" s="2">
        <v>2028</v>
      </c>
      <c r="K1150" s="2">
        <v>0</v>
      </c>
      <c r="L1150" s="8" t="s">
        <v>3267</v>
      </c>
      <c r="M1150" s="2">
        <v>0</v>
      </c>
      <c r="N1150" s="8" t="s">
        <v>3268</v>
      </c>
      <c r="O1150" s="8" t="str">
        <f t="shared" si="114"/>
        <v>PDFを開く</v>
      </c>
      <c r="P1150" s="8" t="s">
        <v>1062</v>
      </c>
    </row>
    <row r="1151" spans="1:16" ht="33.950000000000003" customHeight="1">
      <c r="A1151" s="5" t="s">
        <v>1054</v>
      </c>
      <c r="B1151" s="5" t="s">
        <v>73</v>
      </c>
      <c r="C1151" s="9" t="s">
        <v>1055</v>
      </c>
      <c r="D1151" s="5">
        <v>3</v>
      </c>
      <c r="E1151" s="9" t="s">
        <v>3191</v>
      </c>
      <c r="F1151" s="5" t="s">
        <v>2513</v>
      </c>
      <c r="G1151" s="5" t="s">
        <v>3177</v>
      </c>
      <c r="H1151" s="5" t="s">
        <v>3178</v>
      </c>
      <c r="I1151" s="9" t="s">
        <v>3407</v>
      </c>
      <c r="J1151" s="5">
        <v>2025</v>
      </c>
      <c r="K1151" s="5">
        <v>12</v>
      </c>
      <c r="L1151" s="9" t="s">
        <v>4395</v>
      </c>
      <c r="M1151" s="5"/>
      <c r="N1151" s="9" t="s">
        <v>4528</v>
      </c>
      <c r="O1151" s="9" t="str">
        <f t="shared" si="114"/>
        <v>PDFを開く</v>
      </c>
      <c r="P1151" s="9" t="s">
        <v>1062</v>
      </c>
    </row>
    <row r="1152" spans="1:16" ht="33.950000000000003" customHeight="1">
      <c r="A1152" s="2" t="s">
        <v>1054</v>
      </c>
      <c r="B1152" s="2" t="s">
        <v>73</v>
      </c>
      <c r="C1152" s="8" t="s">
        <v>1055</v>
      </c>
      <c r="D1152" s="2">
        <v>3</v>
      </c>
      <c r="E1152" s="8" t="s">
        <v>3191</v>
      </c>
      <c r="F1152" s="2" t="s">
        <v>2513</v>
      </c>
      <c r="G1152" s="2" t="s">
        <v>3177</v>
      </c>
      <c r="H1152" s="2" t="s">
        <v>3178</v>
      </c>
      <c r="I1152" s="8" t="s">
        <v>3335</v>
      </c>
      <c r="J1152" s="2">
        <v>2028</v>
      </c>
      <c r="K1152" s="2">
        <v>71</v>
      </c>
      <c r="L1152" s="8" t="s">
        <v>3515</v>
      </c>
      <c r="M1152" s="2"/>
      <c r="N1152" s="8" t="s">
        <v>4528</v>
      </c>
      <c r="O1152" s="8" t="str">
        <f t="shared" si="114"/>
        <v>PDFを開く</v>
      </c>
      <c r="P1152" s="8" t="s">
        <v>1062</v>
      </c>
    </row>
    <row r="1153" spans="1:16" ht="33.950000000000003" customHeight="1">
      <c r="A1153" s="5" t="s">
        <v>1054</v>
      </c>
      <c r="B1153" s="5" t="s">
        <v>73</v>
      </c>
      <c r="C1153" s="9" t="s">
        <v>1055</v>
      </c>
      <c r="D1153" s="5">
        <v>3</v>
      </c>
      <c r="E1153" s="9" t="s">
        <v>3191</v>
      </c>
      <c r="F1153" s="5" t="s">
        <v>2513</v>
      </c>
      <c r="G1153" s="19" t="s">
        <v>3494</v>
      </c>
      <c r="H1153" s="5" t="s">
        <v>3178</v>
      </c>
      <c r="I1153" s="9"/>
      <c r="J1153" s="5"/>
      <c r="K1153" s="5">
        <v>1</v>
      </c>
      <c r="L1153" s="9" t="s">
        <v>4529</v>
      </c>
      <c r="M1153" s="5"/>
      <c r="N1153" s="9" t="s">
        <v>4530</v>
      </c>
      <c r="O1153" s="9" t="str">
        <f t="shared" si="114"/>
        <v>PDFを開く</v>
      </c>
      <c r="P1153" s="9" t="s">
        <v>1062</v>
      </c>
    </row>
    <row r="1154" spans="1:16" ht="33.950000000000003" customHeight="1">
      <c r="A1154" s="2" t="s">
        <v>1054</v>
      </c>
      <c r="B1154" s="2" t="s">
        <v>73</v>
      </c>
      <c r="C1154" s="8" t="s">
        <v>1055</v>
      </c>
      <c r="D1154" s="2">
        <v>3</v>
      </c>
      <c r="E1154" s="8" t="s">
        <v>3191</v>
      </c>
      <c r="F1154" s="2" t="s">
        <v>2513</v>
      </c>
      <c r="G1154" s="19" t="s">
        <v>3494</v>
      </c>
      <c r="H1154" s="2" t="s">
        <v>3178</v>
      </c>
      <c r="I1154" s="8"/>
      <c r="J1154" s="2"/>
      <c r="K1154" s="2">
        <v>1</v>
      </c>
      <c r="L1154" s="8" t="s">
        <v>4529</v>
      </c>
      <c r="M1154" s="2"/>
      <c r="N1154" s="8" t="s">
        <v>4530</v>
      </c>
      <c r="O1154" s="8" t="str">
        <f t="shared" si="114"/>
        <v>PDFを開く</v>
      </c>
      <c r="P1154" s="8" t="s">
        <v>1062</v>
      </c>
    </row>
    <row r="1155" spans="1:16" ht="33.950000000000003" customHeight="1">
      <c r="A1155" s="5" t="s">
        <v>1054</v>
      </c>
      <c r="B1155" s="5" t="s">
        <v>73</v>
      </c>
      <c r="C1155" s="9" t="s">
        <v>1055</v>
      </c>
      <c r="D1155" s="5">
        <v>3</v>
      </c>
      <c r="E1155" s="9" t="s">
        <v>3191</v>
      </c>
      <c r="F1155" s="5" t="s">
        <v>2513</v>
      </c>
      <c r="G1155" s="19" t="s">
        <v>3494</v>
      </c>
      <c r="H1155" s="5" t="s">
        <v>3178</v>
      </c>
      <c r="I1155" s="9"/>
      <c r="J1155" s="5"/>
      <c r="K1155" s="5"/>
      <c r="L1155" s="9"/>
      <c r="M1155" s="5"/>
      <c r="N1155" s="9" t="s">
        <v>4531</v>
      </c>
      <c r="O1155" s="9" t="str">
        <f t="shared" si="114"/>
        <v>PDFを開く</v>
      </c>
      <c r="P1155" s="9" t="s">
        <v>1062</v>
      </c>
    </row>
    <row r="1156" spans="1:16" ht="33.950000000000003" customHeight="1">
      <c r="A1156" s="2" t="s">
        <v>1054</v>
      </c>
      <c r="B1156" s="2" t="s">
        <v>73</v>
      </c>
      <c r="C1156" s="8" t="s">
        <v>1055</v>
      </c>
      <c r="D1156" s="2">
        <v>2</v>
      </c>
      <c r="E1156" s="8" t="s">
        <v>3176</v>
      </c>
      <c r="F1156" s="2" t="s">
        <v>86</v>
      </c>
      <c r="G1156" s="2" t="s">
        <v>3177</v>
      </c>
      <c r="H1156" s="2"/>
      <c r="I1156" s="8" t="s">
        <v>4290</v>
      </c>
      <c r="J1156" s="2">
        <v>2025</v>
      </c>
      <c r="K1156" s="2">
        <v>692</v>
      </c>
      <c r="L1156" s="8" t="s">
        <v>4523</v>
      </c>
      <c r="M1156" s="2">
        <v>21.6</v>
      </c>
      <c r="N1156" s="8" t="s">
        <v>4532</v>
      </c>
      <c r="O1156" s="8" t="str">
        <f t="shared" si="114"/>
        <v>PDFを開く</v>
      </c>
      <c r="P1156" s="8" t="s">
        <v>1062</v>
      </c>
    </row>
    <row r="1157" spans="1:16" ht="33.950000000000003" customHeight="1">
      <c r="A1157" s="5" t="s">
        <v>1054</v>
      </c>
      <c r="B1157" s="5" t="s">
        <v>73</v>
      </c>
      <c r="C1157" s="9" t="s">
        <v>1055</v>
      </c>
      <c r="D1157" s="5">
        <v>2</v>
      </c>
      <c r="E1157" s="9" t="s">
        <v>3176</v>
      </c>
      <c r="F1157" s="5" t="s">
        <v>86</v>
      </c>
      <c r="G1157" s="5" t="s">
        <v>3177</v>
      </c>
      <c r="H1157" s="5"/>
      <c r="I1157" s="9" t="s">
        <v>4533</v>
      </c>
      <c r="J1157" s="5">
        <v>2028</v>
      </c>
      <c r="K1157" s="5">
        <v>1173</v>
      </c>
      <c r="L1157" s="9" t="s">
        <v>4534</v>
      </c>
      <c r="M1157" s="5">
        <v>21.6</v>
      </c>
      <c r="N1157" s="9" t="s">
        <v>4532</v>
      </c>
      <c r="O1157" s="9" t="str">
        <f t="shared" si="114"/>
        <v>PDFを開く</v>
      </c>
      <c r="P1157" s="9" t="s">
        <v>1062</v>
      </c>
    </row>
    <row r="1158" spans="1:16" ht="33.950000000000003" customHeight="1">
      <c r="A1158" s="2" t="s">
        <v>1063</v>
      </c>
      <c r="B1158" s="2" t="s">
        <v>73</v>
      </c>
      <c r="C1158" s="8" t="s">
        <v>1064</v>
      </c>
      <c r="D1158" s="2">
        <v>2</v>
      </c>
      <c r="E1158" s="8" t="s">
        <v>3176</v>
      </c>
      <c r="F1158" s="2" t="s">
        <v>86</v>
      </c>
      <c r="G1158" s="2" t="s">
        <v>3177</v>
      </c>
      <c r="H1158" s="2"/>
      <c r="I1158" s="8" t="s">
        <v>4535</v>
      </c>
      <c r="J1158" s="2">
        <v>2027</v>
      </c>
      <c r="K1158" s="2">
        <v>1275</v>
      </c>
      <c r="L1158" s="8" t="s">
        <v>4536</v>
      </c>
      <c r="M1158" s="2">
        <v>8.6999999999999993</v>
      </c>
      <c r="N1158" s="8" t="s">
        <v>4537</v>
      </c>
      <c r="O1158" s="8" t="str">
        <f t="shared" ref="O1158:O1164" si="115">HYPERLINK("https://seichotoushi-hojo.jp/assets/pdf/koufu/outline_58.pdf","PDFを開く")</f>
        <v>PDFを開く</v>
      </c>
      <c r="P1158" s="8" t="s">
        <v>1070</v>
      </c>
    </row>
    <row r="1159" spans="1:16" ht="33.950000000000003" customHeight="1">
      <c r="A1159" s="5" t="s">
        <v>1063</v>
      </c>
      <c r="B1159" s="5" t="s">
        <v>73</v>
      </c>
      <c r="C1159" s="9" t="s">
        <v>1064</v>
      </c>
      <c r="D1159" s="5">
        <v>2</v>
      </c>
      <c r="E1159" s="9" t="s">
        <v>3176</v>
      </c>
      <c r="F1159" s="5" t="s">
        <v>86</v>
      </c>
      <c r="G1159" s="5" t="s">
        <v>3177</v>
      </c>
      <c r="H1159" s="5"/>
      <c r="I1159" s="9" t="s">
        <v>4538</v>
      </c>
      <c r="J1159" s="5">
        <v>2024</v>
      </c>
      <c r="K1159" s="5">
        <v>993</v>
      </c>
      <c r="L1159" s="9" t="s">
        <v>4539</v>
      </c>
      <c r="M1159" s="5">
        <v>8.6999999999999993</v>
      </c>
      <c r="N1159" s="9" t="s">
        <v>4537</v>
      </c>
      <c r="O1159" s="9" t="str">
        <f t="shared" si="115"/>
        <v>PDFを開く</v>
      </c>
      <c r="P1159" s="9" t="s">
        <v>1070</v>
      </c>
    </row>
    <row r="1160" spans="1:16" ht="33.950000000000003" customHeight="1">
      <c r="A1160" s="2" t="s">
        <v>1063</v>
      </c>
      <c r="B1160" s="2" t="s">
        <v>73</v>
      </c>
      <c r="C1160" s="8" t="s">
        <v>1064</v>
      </c>
      <c r="D1160" s="2">
        <v>2</v>
      </c>
      <c r="E1160" s="8" t="s">
        <v>3184</v>
      </c>
      <c r="F1160" s="2" t="s">
        <v>86</v>
      </c>
      <c r="G1160" s="2" t="s">
        <v>3177</v>
      </c>
      <c r="H1160" s="2"/>
      <c r="I1160" s="8" t="s">
        <v>4538</v>
      </c>
      <c r="J1160" s="2">
        <v>2024</v>
      </c>
      <c r="K1160" s="2">
        <v>457</v>
      </c>
      <c r="L1160" s="8" t="s">
        <v>3497</v>
      </c>
      <c r="M1160" s="2">
        <v>3.6</v>
      </c>
      <c r="N1160" s="8" t="s">
        <v>4540</v>
      </c>
      <c r="O1160" s="8" t="str">
        <f t="shared" si="115"/>
        <v>PDFを開く</v>
      </c>
      <c r="P1160" s="8" t="s">
        <v>1070</v>
      </c>
    </row>
    <row r="1161" spans="1:16" ht="33.950000000000003" customHeight="1">
      <c r="A1161" s="5" t="s">
        <v>1063</v>
      </c>
      <c r="B1161" s="5" t="s">
        <v>73</v>
      </c>
      <c r="C1161" s="9" t="s">
        <v>1064</v>
      </c>
      <c r="D1161" s="5">
        <v>2</v>
      </c>
      <c r="E1161" s="9" t="s">
        <v>3184</v>
      </c>
      <c r="F1161" s="5" t="s">
        <v>86</v>
      </c>
      <c r="G1161" s="5" t="s">
        <v>3177</v>
      </c>
      <c r="H1161" s="5"/>
      <c r="I1161" s="9" t="s">
        <v>4535</v>
      </c>
      <c r="J1161" s="5">
        <v>2027</v>
      </c>
      <c r="K1161" s="5">
        <v>508</v>
      </c>
      <c r="L1161" s="9" t="s">
        <v>3784</v>
      </c>
      <c r="M1161" s="5">
        <v>3.6</v>
      </c>
      <c r="N1161" s="9" t="s">
        <v>4540</v>
      </c>
      <c r="O1161" s="9" t="str">
        <f t="shared" si="115"/>
        <v>PDFを開く</v>
      </c>
      <c r="P1161" s="9" t="s">
        <v>1070</v>
      </c>
    </row>
    <row r="1162" spans="1:16" ht="33.950000000000003" customHeight="1">
      <c r="A1162" s="2" t="s">
        <v>1063</v>
      </c>
      <c r="B1162" s="2" t="s">
        <v>73</v>
      </c>
      <c r="C1162" s="8" t="s">
        <v>1064</v>
      </c>
      <c r="D1162" s="2">
        <v>2</v>
      </c>
      <c r="E1162" s="8" t="s">
        <v>3188</v>
      </c>
      <c r="F1162" s="2" t="s">
        <v>86</v>
      </c>
      <c r="G1162" s="19" t="s">
        <v>3189</v>
      </c>
      <c r="H1162" s="2"/>
      <c r="I1162" s="8"/>
      <c r="J1162" s="2"/>
      <c r="K1162" s="2"/>
      <c r="L1162" s="8"/>
      <c r="M1162" s="2"/>
      <c r="N1162" s="8" t="s">
        <v>4541</v>
      </c>
      <c r="O1162" s="8" t="str">
        <f t="shared" si="115"/>
        <v>PDFを開く</v>
      </c>
      <c r="P1162" s="8" t="s">
        <v>1070</v>
      </c>
    </row>
    <row r="1163" spans="1:16" ht="33.950000000000003" customHeight="1">
      <c r="A1163" s="5" t="s">
        <v>1063</v>
      </c>
      <c r="B1163" s="5" t="s">
        <v>73</v>
      </c>
      <c r="C1163" s="9" t="s">
        <v>1064</v>
      </c>
      <c r="D1163" s="5">
        <v>2</v>
      </c>
      <c r="E1163" s="9" t="s">
        <v>3191</v>
      </c>
      <c r="F1163" s="5" t="s">
        <v>2513</v>
      </c>
      <c r="G1163" s="5" t="s">
        <v>3177</v>
      </c>
      <c r="H1163" s="5"/>
      <c r="I1163" s="9" t="s">
        <v>4538</v>
      </c>
      <c r="J1163" s="5">
        <v>2024</v>
      </c>
      <c r="K1163" s="5">
        <v>32</v>
      </c>
      <c r="L1163" s="9" t="s">
        <v>4126</v>
      </c>
      <c r="M1163" s="5"/>
      <c r="N1163" s="9" t="s">
        <v>4542</v>
      </c>
      <c r="O1163" s="9" t="str">
        <f t="shared" si="115"/>
        <v>PDFを開く</v>
      </c>
      <c r="P1163" s="9" t="s">
        <v>1070</v>
      </c>
    </row>
    <row r="1164" spans="1:16" ht="33.950000000000003" customHeight="1">
      <c r="A1164" s="2" t="s">
        <v>1063</v>
      </c>
      <c r="B1164" s="2" t="s">
        <v>73</v>
      </c>
      <c r="C1164" s="8" t="s">
        <v>1064</v>
      </c>
      <c r="D1164" s="2">
        <v>2</v>
      </c>
      <c r="E1164" s="8" t="s">
        <v>3191</v>
      </c>
      <c r="F1164" s="2" t="s">
        <v>2513</v>
      </c>
      <c r="G1164" s="2" t="s">
        <v>3177</v>
      </c>
      <c r="H1164" s="2"/>
      <c r="I1164" s="8" t="s">
        <v>4535</v>
      </c>
      <c r="J1164" s="2">
        <v>2027</v>
      </c>
      <c r="K1164" s="2">
        <v>110</v>
      </c>
      <c r="L1164" s="8" t="s">
        <v>3968</v>
      </c>
      <c r="M1164" s="2"/>
      <c r="N1164" s="8" t="s">
        <v>4542</v>
      </c>
      <c r="O1164" s="8" t="str">
        <f t="shared" si="115"/>
        <v>PDFを開く</v>
      </c>
      <c r="P1164" s="8" t="s">
        <v>1070</v>
      </c>
    </row>
    <row r="1165" spans="1:16" ht="33.950000000000003" customHeight="1">
      <c r="A1165" s="5" t="s">
        <v>1071</v>
      </c>
      <c r="B1165" s="5" t="s">
        <v>73</v>
      </c>
      <c r="C1165" s="9" t="s">
        <v>1072</v>
      </c>
      <c r="D1165" s="5">
        <v>2</v>
      </c>
      <c r="E1165" s="9" t="s">
        <v>3176</v>
      </c>
      <c r="F1165" s="5" t="s">
        <v>86</v>
      </c>
      <c r="G1165" s="5" t="s">
        <v>3177</v>
      </c>
      <c r="H1165" s="5"/>
      <c r="I1165" s="9" t="s">
        <v>3227</v>
      </c>
      <c r="J1165" s="5">
        <v>2026</v>
      </c>
      <c r="K1165" s="5">
        <v>1573</v>
      </c>
      <c r="L1165" s="9" t="s">
        <v>4543</v>
      </c>
      <c r="M1165" s="5">
        <v>3.6</v>
      </c>
      <c r="N1165" s="9" t="s">
        <v>4544</v>
      </c>
      <c r="O1165" s="9" t="str">
        <f t="shared" ref="O1165:O1176" si="116">HYPERLINK("https://seichotoushi-hojo.jp/assets/pdf/koufu/outline_61.pdf","PDFを開く")</f>
        <v>PDFを開く</v>
      </c>
      <c r="P1165" s="9" t="s">
        <v>1079</v>
      </c>
    </row>
    <row r="1166" spans="1:16" ht="33.950000000000003" customHeight="1">
      <c r="A1166" s="2" t="s">
        <v>1071</v>
      </c>
      <c r="B1166" s="2" t="s">
        <v>73</v>
      </c>
      <c r="C1166" s="8" t="s">
        <v>1072</v>
      </c>
      <c r="D1166" s="2">
        <v>2</v>
      </c>
      <c r="E1166" s="8" t="s">
        <v>3176</v>
      </c>
      <c r="F1166" s="2" t="s">
        <v>86</v>
      </c>
      <c r="G1166" s="2" t="s">
        <v>3177</v>
      </c>
      <c r="H1166" s="2"/>
      <c r="I1166" s="8" t="s">
        <v>3230</v>
      </c>
      <c r="J1166" s="2">
        <v>2029</v>
      </c>
      <c r="K1166" s="2">
        <v>1748</v>
      </c>
      <c r="L1166" s="8" t="s">
        <v>4545</v>
      </c>
      <c r="M1166" s="2">
        <v>3.6</v>
      </c>
      <c r="N1166" s="8" t="s">
        <v>4544</v>
      </c>
      <c r="O1166" s="8" t="str">
        <f t="shared" si="116"/>
        <v>PDFを開く</v>
      </c>
      <c r="P1166" s="8" t="s">
        <v>1079</v>
      </c>
    </row>
    <row r="1167" spans="1:16" ht="33.950000000000003" customHeight="1">
      <c r="A1167" s="5" t="s">
        <v>1071</v>
      </c>
      <c r="B1167" s="5" t="s">
        <v>73</v>
      </c>
      <c r="C1167" s="9" t="s">
        <v>1072</v>
      </c>
      <c r="D1167" s="5">
        <v>2</v>
      </c>
      <c r="E1167" s="9" t="s">
        <v>3184</v>
      </c>
      <c r="F1167" s="5" t="s">
        <v>86</v>
      </c>
      <c r="G1167" s="5" t="s">
        <v>3177</v>
      </c>
      <c r="H1167" s="5"/>
      <c r="I1167" s="9" t="s">
        <v>3227</v>
      </c>
      <c r="J1167" s="5">
        <v>2026</v>
      </c>
      <c r="K1167" s="5">
        <v>541</v>
      </c>
      <c r="L1167" s="9" t="s">
        <v>3397</v>
      </c>
      <c r="M1167" s="5">
        <v>3</v>
      </c>
      <c r="N1167" s="9" t="s">
        <v>4546</v>
      </c>
      <c r="O1167" s="9" t="str">
        <f t="shared" si="116"/>
        <v>PDFを開く</v>
      </c>
      <c r="P1167" s="9" t="s">
        <v>1079</v>
      </c>
    </row>
    <row r="1168" spans="1:16" ht="33.950000000000003" customHeight="1">
      <c r="A1168" s="2" t="s">
        <v>1071</v>
      </c>
      <c r="B1168" s="2" t="s">
        <v>73</v>
      </c>
      <c r="C1168" s="8" t="s">
        <v>1072</v>
      </c>
      <c r="D1168" s="2">
        <v>2</v>
      </c>
      <c r="E1168" s="8" t="s">
        <v>3184</v>
      </c>
      <c r="F1168" s="2" t="s">
        <v>86</v>
      </c>
      <c r="G1168" s="2" t="s">
        <v>3177</v>
      </c>
      <c r="H1168" s="2"/>
      <c r="I1168" s="8" t="s">
        <v>3230</v>
      </c>
      <c r="J1168" s="2">
        <v>2029</v>
      </c>
      <c r="K1168" s="2">
        <v>591</v>
      </c>
      <c r="L1168" s="8" t="s">
        <v>4547</v>
      </c>
      <c r="M1168" s="2">
        <v>3</v>
      </c>
      <c r="N1168" s="8" t="s">
        <v>4546</v>
      </c>
      <c r="O1168" s="8" t="str">
        <f t="shared" si="116"/>
        <v>PDFを開く</v>
      </c>
      <c r="P1168" s="8" t="s">
        <v>1079</v>
      </c>
    </row>
    <row r="1169" spans="1:16" ht="33.950000000000003" customHeight="1">
      <c r="A1169" s="5" t="s">
        <v>1071</v>
      </c>
      <c r="B1169" s="5" t="s">
        <v>73</v>
      </c>
      <c r="C1169" s="9" t="s">
        <v>1072</v>
      </c>
      <c r="D1169" s="5">
        <v>2</v>
      </c>
      <c r="E1169" s="9" t="s">
        <v>3191</v>
      </c>
      <c r="F1169" s="5" t="s">
        <v>2513</v>
      </c>
      <c r="G1169" s="5" t="s">
        <v>3177</v>
      </c>
      <c r="H1169" s="5"/>
      <c r="I1169" s="9" t="s">
        <v>3227</v>
      </c>
      <c r="J1169" s="5">
        <v>2026</v>
      </c>
      <c r="K1169" s="5">
        <v>311</v>
      </c>
      <c r="L1169" s="9" t="s">
        <v>4548</v>
      </c>
      <c r="M1169" s="5"/>
      <c r="N1169" s="9" t="s">
        <v>4549</v>
      </c>
      <c r="O1169" s="9" t="str">
        <f t="shared" si="116"/>
        <v>PDFを開く</v>
      </c>
      <c r="P1169" s="9" t="s">
        <v>1079</v>
      </c>
    </row>
    <row r="1170" spans="1:16" ht="33.950000000000003" customHeight="1">
      <c r="A1170" s="2" t="s">
        <v>1071</v>
      </c>
      <c r="B1170" s="2" t="s">
        <v>73</v>
      </c>
      <c r="C1170" s="8" t="s">
        <v>1072</v>
      </c>
      <c r="D1170" s="2">
        <v>2</v>
      </c>
      <c r="E1170" s="8" t="s">
        <v>3191</v>
      </c>
      <c r="F1170" s="2" t="s">
        <v>2513</v>
      </c>
      <c r="G1170" s="2" t="s">
        <v>3177</v>
      </c>
      <c r="H1170" s="2"/>
      <c r="I1170" s="8" t="s">
        <v>3230</v>
      </c>
      <c r="J1170" s="2">
        <v>2029</v>
      </c>
      <c r="K1170" s="2">
        <v>519</v>
      </c>
      <c r="L1170" s="8" t="s">
        <v>3349</v>
      </c>
      <c r="M1170" s="2"/>
      <c r="N1170" s="8" t="s">
        <v>4549</v>
      </c>
      <c r="O1170" s="8" t="str">
        <f t="shared" si="116"/>
        <v>PDFを開く</v>
      </c>
      <c r="P1170" s="8" t="s">
        <v>1079</v>
      </c>
    </row>
    <row r="1171" spans="1:16" ht="33.950000000000003" customHeight="1">
      <c r="A1171" s="5" t="s">
        <v>1071</v>
      </c>
      <c r="B1171" s="5" t="s">
        <v>73</v>
      </c>
      <c r="C1171" s="9" t="s">
        <v>1072</v>
      </c>
      <c r="D1171" s="5">
        <v>2</v>
      </c>
      <c r="E1171" s="9" t="s">
        <v>3176</v>
      </c>
      <c r="F1171" s="5" t="s">
        <v>86</v>
      </c>
      <c r="G1171" s="19" t="s">
        <v>3494</v>
      </c>
      <c r="H1171" s="5"/>
      <c r="I1171" s="9" t="s">
        <v>3227</v>
      </c>
      <c r="J1171" s="5">
        <v>2026</v>
      </c>
      <c r="K1171" s="5">
        <v>3200</v>
      </c>
      <c r="L1171" s="9" t="s">
        <v>4550</v>
      </c>
      <c r="M1171" s="5">
        <v>21.9</v>
      </c>
      <c r="N1171" s="9" t="s">
        <v>4551</v>
      </c>
      <c r="O1171" s="9" t="str">
        <f t="shared" si="116"/>
        <v>PDFを開く</v>
      </c>
      <c r="P1171" s="9" t="s">
        <v>1079</v>
      </c>
    </row>
    <row r="1172" spans="1:16" ht="33.950000000000003" customHeight="1">
      <c r="A1172" s="2" t="s">
        <v>1071</v>
      </c>
      <c r="B1172" s="2" t="s">
        <v>73</v>
      </c>
      <c r="C1172" s="8" t="s">
        <v>1072</v>
      </c>
      <c r="D1172" s="2">
        <v>2</v>
      </c>
      <c r="E1172" s="8" t="s">
        <v>3176</v>
      </c>
      <c r="F1172" s="2" t="s">
        <v>86</v>
      </c>
      <c r="G1172" s="19" t="s">
        <v>3494</v>
      </c>
      <c r="H1172" s="2"/>
      <c r="I1172" s="8" t="s">
        <v>3230</v>
      </c>
      <c r="J1172" s="2">
        <v>2029</v>
      </c>
      <c r="K1172" s="2">
        <v>5799</v>
      </c>
      <c r="L1172" s="8" t="s">
        <v>4552</v>
      </c>
      <c r="M1172" s="2">
        <v>21.9</v>
      </c>
      <c r="N1172" s="8" t="s">
        <v>4551</v>
      </c>
      <c r="O1172" s="8" t="str">
        <f t="shared" si="116"/>
        <v>PDFを開く</v>
      </c>
      <c r="P1172" s="8" t="s">
        <v>1079</v>
      </c>
    </row>
    <row r="1173" spans="1:16" ht="33.950000000000003" customHeight="1">
      <c r="A1173" s="5" t="s">
        <v>1071</v>
      </c>
      <c r="B1173" s="5" t="s">
        <v>73</v>
      </c>
      <c r="C1173" s="9" t="s">
        <v>1072</v>
      </c>
      <c r="D1173" s="5">
        <v>2</v>
      </c>
      <c r="E1173" s="9" t="s">
        <v>3184</v>
      </c>
      <c r="F1173" s="5" t="s">
        <v>86</v>
      </c>
      <c r="G1173" s="19" t="s">
        <v>3494</v>
      </c>
      <c r="H1173" s="5"/>
      <c r="I1173" s="9" t="s">
        <v>3227</v>
      </c>
      <c r="J1173" s="5">
        <v>2026</v>
      </c>
      <c r="K1173" s="5">
        <v>718</v>
      </c>
      <c r="L1173" s="9" t="s">
        <v>4553</v>
      </c>
      <c r="M1173" s="5">
        <v>3</v>
      </c>
      <c r="N1173" s="9" t="s">
        <v>4554</v>
      </c>
      <c r="O1173" s="9" t="str">
        <f t="shared" si="116"/>
        <v>PDFを開く</v>
      </c>
      <c r="P1173" s="9" t="s">
        <v>1079</v>
      </c>
    </row>
    <row r="1174" spans="1:16" ht="33.950000000000003" customHeight="1">
      <c r="A1174" s="2" t="s">
        <v>1071</v>
      </c>
      <c r="B1174" s="2" t="s">
        <v>73</v>
      </c>
      <c r="C1174" s="8" t="s">
        <v>1072</v>
      </c>
      <c r="D1174" s="2">
        <v>2</v>
      </c>
      <c r="E1174" s="8" t="s">
        <v>3184</v>
      </c>
      <c r="F1174" s="2" t="s">
        <v>86</v>
      </c>
      <c r="G1174" s="19" t="s">
        <v>3494</v>
      </c>
      <c r="H1174" s="2"/>
      <c r="I1174" s="8" t="s">
        <v>3230</v>
      </c>
      <c r="J1174" s="2">
        <v>2029</v>
      </c>
      <c r="K1174" s="2">
        <v>785</v>
      </c>
      <c r="L1174" s="8" t="s">
        <v>4378</v>
      </c>
      <c r="M1174" s="2">
        <v>3</v>
      </c>
      <c r="N1174" s="8" t="s">
        <v>4554</v>
      </c>
      <c r="O1174" s="8" t="str">
        <f t="shared" si="116"/>
        <v>PDFを開く</v>
      </c>
      <c r="P1174" s="8" t="s">
        <v>1079</v>
      </c>
    </row>
    <row r="1175" spans="1:16" ht="33.950000000000003" customHeight="1">
      <c r="A1175" s="5" t="s">
        <v>1071</v>
      </c>
      <c r="B1175" s="5" t="s">
        <v>73</v>
      </c>
      <c r="C1175" s="9" t="s">
        <v>1072</v>
      </c>
      <c r="D1175" s="5">
        <v>2</v>
      </c>
      <c r="E1175" s="9" t="s">
        <v>3191</v>
      </c>
      <c r="F1175" s="5" t="s">
        <v>2513</v>
      </c>
      <c r="G1175" s="19" t="s">
        <v>3494</v>
      </c>
      <c r="H1175" s="5"/>
      <c r="I1175" s="9" t="s">
        <v>3227</v>
      </c>
      <c r="J1175" s="5">
        <v>2026</v>
      </c>
      <c r="K1175" s="5">
        <v>23</v>
      </c>
      <c r="L1175" s="9" t="s">
        <v>3543</v>
      </c>
      <c r="M1175" s="5"/>
      <c r="N1175" s="9" t="s">
        <v>4555</v>
      </c>
      <c r="O1175" s="9" t="str">
        <f t="shared" si="116"/>
        <v>PDFを開く</v>
      </c>
      <c r="P1175" s="9" t="s">
        <v>1079</v>
      </c>
    </row>
    <row r="1176" spans="1:16" ht="33.950000000000003" customHeight="1">
      <c r="A1176" s="2" t="s">
        <v>1071</v>
      </c>
      <c r="B1176" s="2" t="s">
        <v>73</v>
      </c>
      <c r="C1176" s="8" t="s">
        <v>1072</v>
      </c>
      <c r="D1176" s="2">
        <v>2</v>
      </c>
      <c r="E1176" s="8" t="s">
        <v>3191</v>
      </c>
      <c r="F1176" s="2" t="s">
        <v>2513</v>
      </c>
      <c r="G1176" s="19" t="s">
        <v>3494</v>
      </c>
      <c r="H1176" s="2"/>
      <c r="I1176" s="8" t="s">
        <v>3230</v>
      </c>
      <c r="J1176" s="2">
        <v>2029</v>
      </c>
      <c r="K1176" s="2">
        <v>23</v>
      </c>
      <c r="L1176" s="8" t="s">
        <v>3543</v>
      </c>
      <c r="M1176" s="2"/>
      <c r="N1176" s="8" t="s">
        <v>4555</v>
      </c>
      <c r="O1176" s="8" t="str">
        <f t="shared" si="116"/>
        <v>PDFを開く</v>
      </c>
      <c r="P1176" s="8" t="s">
        <v>1079</v>
      </c>
    </row>
    <row r="1177" spans="1:16" ht="33.950000000000003" customHeight="1">
      <c r="A1177" s="5" t="s">
        <v>1080</v>
      </c>
      <c r="B1177" s="5" t="s">
        <v>73</v>
      </c>
      <c r="C1177" s="9" t="s">
        <v>1081</v>
      </c>
      <c r="D1177" s="5">
        <v>2</v>
      </c>
      <c r="E1177" s="9" t="s">
        <v>3176</v>
      </c>
      <c r="F1177" s="5" t="s">
        <v>86</v>
      </c>
      <c r="G1177" s="5" t="s">
        <v>3177</v>
      </c>
      <c r="H1177" s="5" t="s">
        <v>3178</v>
      </c>
      <c r="I1177" s="9" t="s">
        <v>3546</v>
      </c>
      <c r="J1177" s="5">
        <v>2027</v>
      </c>
      <c r="K1177" s="5">
        <v>3795</v>
      </c>
      <c r="L1177" s="9" t="s">
        <v>4556</v>
      </c>
      <c r="M1177" s="5">
        <v>4.5</v>
      </c>
      <c r="N1177" s="9" t="s">
        <v>4557</v>
      </c>
      <c r="O1177" s="9" t="str">
        <f t="shared" ref="O1177:O1185" si="117">HYPERLINK("https://seichotoushi-hojo.jp/assets/pdf/koufu/outline_62.pdf","PDFを開く")</f>
        <v>PDFを開く</v>
      </c>
      <c r="P1177" s="9" t="s">
        <v>1087</v>
      </c>
    </row>
    <row r="1178" spans="1:16" ht="33.950000000000003" customHeight="1">
      <c r="A1178" s="2" t="s">
        <v>1080</v>
      </c>
      <c r="B1178" s="2" t="s">
        <v>73</v>
      </c>
      <c r="C1178" s="8" t="s">
        <v>1081</v>
      </c>
      <c r="D1178" s="2">
        <v>2</v>
      </c>
      <c r="E1178" s="8" t="s">
        <v>3176</v>
      </c>
      <c r="F1178" s="2" t="s">
        <v>86</v>
      </c>
      <c r="G1178" s="2" t="s">
        <v>3177</v>
      </c>
      <c r="H1178" s="2" t="s">
        <v>3178</v>
      </c>
      <c r="I1178" s="8" t="s">
        <v>3549</v>
      </c>
      <c r="J1178" s="2">
        <v>2030</v>
      </c>
      <c r="K1178" s="2">
        <v>4336</v>
      </c>
      <c r="L1178" s="8" t="s">
        <v>4558</v>
      </c>
      <c r="M1178" s="2">
        <v>4.5</v>
      </c>
      <c r="N1178" s="8" t="s">
        <v>4557</v>
      </c>
      <c r="O1178" s="8" t="str">
        <f t="shared" si="117"/>
        <v>PDFを開く</v>
      </c>
      <c r="P1178" s="8" t="s">
        <v>1087</v>
      </c>
    </row>
    <row r="1179" spans="1:16" ht="33.950000000000003" customHeight="1">
      <c r="A1179" s="5" t="s">
        <v>1080</v>
      </c>
      <c r="B1179" s="5" t="s">
        <v>73</v>
      </c>
      <c r="C1179" s="9" t="s">
        <v>1081</v>
      </c>
      <c r="D1179" s="5">
        <v>2</v>
      </c>
      <c r="E1179" s="9" t="s">
        <v>3184</v>
      </c>
      <c r="F1179" s="5" t="s">
        <v>86</v>
      </c>
      <c r="G1179" s="5" t="s">
        <v>3177</v>
      </c>
      <c r="H1179" s="5" t="s">
        <v>3178</v>
      </c>
      <c r="I1179" s="9" t="s">
        <v>3546</v>
      </c>
      <c r="J1179" s="5">
        <v>2027</v>
      </c>
      <c r="K1179" s="5">
        <v>481</v>
      </c>
      <c r="L1179" s="9" t="s">
        <v>4559</v>
      </c>
      <c r="M1179" s="5">
        <v>3.1</v>
      </c>
      <c r="N1179" s="9" t="s">
        <v>4560</v>
      </c>
      <c r="O1179" s="9" t="str">
        <f t="shared" si="117"/>
        <v>PDFを開く</v>
      </c>
      <c r="P1179" s="9" t="s">
        <v>1087</v>
      </c>
    </row>
    <row r="1180" spans="1:16" ht="33.950000000000003" customHeight="1">
      <c r="A1180" s="2" t="s">
        <v>1080</v>
      </c>
      <c r="B1180" s="2" t="s">
        <v>73</v>
      </c>
      <c r="C1180" s="8" t="s">
        <v>1081</v>
      </c>
      <c r="D1180" s="2">
        <v>2</v>
      </c>
      <c r="E1180" s="8" t="s">
        <v>3184</v>
      </c>
      <c r="F1180" s="2" t="s">
        <v>86</v>
      </c>
      <c r="G1180" s="2" t="s">
        <v>3177</v>
      </c>
      <c r="H1180" s="2" t="s">
        <v>3178</v>
      </c>
      <c r="I1180" s="8" t="s">
        <v>3549</v>
      </c>
      <c r="J1180" s="2">
        <v>2030</v>
      </c>
      <c r="K1180" s="2">
        <v>528</v>
      </c>
      <c r="L1180" s="8" t="s">
        <v>4561</v>
      </c>
      <c r="M1180" s="2">
        <v>3.1</v>
      </c>
      <c r="N1180" s="8" t="s">
        <v>4560</v>
      </c>
      <c r="O1180" s="8" t="str">
        <f t="shared" si="117"/>
        <v>PDFを開く</v>
      </c>
      <c r="P1180" s="8" t="s">
        <v>1087</v>
      </c>
    </row>
    <row r="1181" spans="1:16" ht="33.950000000000003" customHeight="1">
      <c r="A1181" s="5" t="s">
        <v>1080</v>
      </c>
      <c r="B1181" s="5" t="s">
        <v>73</v>
      </c>
      <c r="C1181" s="9" t="s">
        <v>1081</v>
      </c>
      <c r="D1181" s="5">
        <v>2</v>
      </c>
      <c r="E1181" s="9" t="s">
        <v>3188</v>
      </c>
      <c r="F1181" s="5" t="s">
        <v>86</v>
      </c>
      <c r="G1181" s="19" t="s">
        <v>3189</v>
      </c>
      <c r="H1181" s="5" t="s">
        <v>3178</v>
      </c>
      <c r="I1181" s="9"/>
      <c r="J1181" s="5"/>
      <c r="K1181" s="5"/>
      <c r="L1181" s="9"/>
      <c r="M1181" s="5">
        <v>3.1</v>
      </c>
      <c r="N1181" s="9" t="s">
        <v>4562</v>
      </c>
      <c r="O1181" s="9" t="str">
        <f t="shared" si="117"/>
        <v>PDFを開く</v>
      </c>
      <c r="P1181" s="9" t="s">
        <v>1087</v>
      </c>
    </row>
    <row r="1182" spans="1:16" ht="33.950000000000003" customHeight="1">
      <c r="A1182" s="2" t="s">
        <v>1080</v>
      </c>
      <c r="B1182" s="2" t="s">
        <v>73</v>
      </c>
      <c r="C1182" s="8" t="s">
        <v>1081</v>
      </c>
      <c r="D1182" s="2">
        <v>2</v>
      </c>
      <c r="E1182" s="8" t="s">
        <v>3191</v>
      </c>
      <c r="F1182" s="2" t="s">
        <v>2513</v>
      </c>
      <c r="G1182" s="2" t="s">
        <v>3177</v>
      </c>
      <c r="H1182" s="2" t="s">
        <v>3178</v>
      </c>
      <c r="I1182" s="8" t="s">
        <v>3546</v>
      </c>
      <c r="J1182" s="2">
        <v>2027</v>
      </c>
      <c r="K1182" s="2">
        <v>184</v>
      </c>
      <c r="L1182" s="8" t="s">
        <v>4563</v>
      </c>
      <c r="M1182" s="2"/>
      <c r="N1182" s="8" t="s">
        <v>4564</v>
      </c>
      <c r="O1182" s="8" t="str">
        <f t="shared" si="117"/>
        <v>PDFを開く</v>
      </c>
      <c r="P1182" s="8" t="s">
        <v>1087</v>
      </c>
    </row>
    <row r="1183" spans="1:16" ht="33.950000000000003" customHeight="1">
      <c r="A1183" s="5" t="s">
        <v>1080</v>
      </c>
      <c r="B1183" s="5" t="s">
        <v>73</v>
      </c>
      <c r="C1183" s="9" t="s">
        <v>1081</v>
      </c>
      <c r="D1183" s="5">
        <v>2</v>
      </c>
      <c r="E1183" s="9" t="s">
        <v>3191</v>
      </c>
      <c r="F1183" s="5" t="s">
        <v>2513</v>
      </c>
      <c r="G1183" s="5" t="s">
        <v>3177</v>
      </c>
      <c r="H1183" s="5" t="s">
        <v>3178</v>
      </c>
      <c r="I1183" s="9" t="s">
        <v>3549</v>
      </c>
      <c r="J1183" s="5">
        <v>2030</v>
      </c>
      <c r="K1183" s="5">
        <v>232</v>
      </c>
      <c r="L1183" s="9" t="s">
        <v>3778</v>
      </c>
      <c r="M1183" s="5"/>
      <c r="N1183" s="9" t="s">
        <v>4564</v>
      </c>
      <c r="O1183" s="9" t="str">
        <f t="shared" si="117"/>
        <v>PDFを開く</v>
      </c>
      <c r="P1183" s="9" t="s">
        <v>1087</v>
      </c>
    </row>
    <row r="1184" spans="1:16" ht="33.950000000000003" customHeight="1">
      <c r="A1184" s="2" t="s">
        <v>1080</v>
      </c>
      <c r="B1184" s="2" t="s">
        <v>73</v>
      </c>
      <c r="C1184" s="8" t="s">
        <v>1081</v>
      </c>
      <c r="D1184" s="2">
        <v>2</v>
      </c>
      <c r="E1184" s="8" t="s">
        <v>3188</v>
      </c>
      <c r="F1184" s="2" t="s">
        <v>86</v>
      </c>
      <c r="G1184" s="2" t="s">
        <v>3177</v>
      </c>
      <c r="H1184" s="2"/>
      <c r="I1184" s="8" t="s">
        <v>4565</v>
      </c>
      <c r="J1184" s="2">
        <v>2027</v>
      </c>
      <c r="K1184" s="2"/>
      <c r="L1184" s="8" t="s">
        <v>3196</v>
      </c>
      <c r="M1184" s="2">
        <v>3.1</v>
      </c>
      <c r="N1184" s="8" t="s">
        <v>4566</v>
      </c>
      <c r="O1184" s="8" t="str">
        <f t="shared" si="117"/>
        <v>PDFを開く</v>
      </c>
      <c r="P1184" s="8" t="s">
        <v>1087</v>
      </c>
    </row>
    <row r="1185" spans="1:16" ht="33.950000000000003" customHeight="1">
      <c r="A1185" s="5" t="s">
        <v>1080</v>
      </c>
      <c r="B1185" s="5" t="s">
        <v>73</v>
      </c>
      <c r="C1185" s="9" t="s">
        <v>1081</v>
      </c>
      <c r="D1185" s="5">
        <v>2</v>
      </c>
      <c r="E1185" s="9" t="s">
        <v>3188</v>
      </c>
      <c r="F1185" s="5" t="s">
        <v>86</v>
      </c>
      <c r="G1185" s="5" t="s">
        <v>3177</v>
      </c>
      <c r="H1185" s="5"/>
      <c r="I1185" s="9" t="s">
        <v>4567</v>
      </c>
      <c r="J1185" s="5">
        <v>2030</v>
      </c>
      <c r="K1185" s="5"/>
      <c r="L1185" s="9" t="s">
        <v>4568</v>
      </c>
      <c r="M1185" s="5">
        <v>3.1</v>
      </c>
      <c r="N1185" s="9" t="s">
        <v>4566</v>
      </c>
      <c r="O1185" s="9" t="str">
        <f t="shared" si="117"/>
        <v>PDFを開く</v>
      </c>
      <c r="P1185" s="9" t="s">
        <v>1087</v>
      </c>
    </row>
    <row r="1186" spans="1:16" ht="33.950000000000003" customHeight="1">
      <c r="A1186" s="2" t="s">
        <v>1088</v>
      </c>
      <c r="B1186" s="2" t="s">
        <v>73</v>
      </c>
      <c r="C1186" s="8" t="s">
        <v>1089</v>
      </c>
      <c r="D1186" s="2">
        <v>2</v>
      </c>
      <c r="E1186" s="8" t="s">
        <v>3176</v>
      </c>
      <c r="F1186" s="2" t="s">
        <v>86</v>
      </c>
      <c r="G1186" s="2" t="s">
        <v>3177</v>
      </c>
      <c r="H1186" s="2"/>
      <c r="I1186" s="8" t="s">
        <v>4569</v>
      </c>
      <c r="J1186" s="2">
        <v>2027</v>
      </c>
      <c r="K1186" s="2">
        <v>4600</v>
      </c>
      <c r="L1186" s="8" t="s">
        <v>4570</v>
      </c>
      <c r="M1186" s="2">
        <v>12.9</v>
      </c>
      <c r="N1186" s="8" t="s">
        <v>4571</v>
      </c>
      <c r="O1186" s="8" t="str">
        <f t="shared" ref="O1186:O1196" si="118">HYPERLINK("https://seichotoushi-hojo.jp/assets/pdf/koufu/outline_63.pdf","PDFを開く")</f>
        <v>PDFを開く</v>
      </c>
      <c r="P1186" s="8" t="s">
        <v>1095</v>
      </c>
    </row>
    <row r="1187" spans="1:16" ht="33.950000000000003" customHeight="1">
      <c r="A1187" s="5" t="s">
        <v>1088</v>
      </c>
      <c r="B1187" s="5" t="s">
        <v>73</v>
      </c>
      <c r="C1187" s="9" t="s">
        <v>1089</v>
      </c>
      <c r="D1187" s="5">
        <v>2</v>
      </c>
      <c r="E1187" s="9" t="s">
        <v>3176</v>
      </c>
      <c r="F1187" s="5" t="s">
        <v>86</v>
      </c>
      <c r="G1187" s="5" t="s">
        <v>3177</v>
      </c>
      <c r="H1187" s="5"/>
      <c r="I1187" s="9" t="s">
        <v>4572</v>
      </c>
      <c r="J1187" s="5">
        <v>2030</v>
      </c>
      <c r="K1187" s="5">
        <v>5993</v>
      </c>
      <c r="L1187" s="9" t="s">
        <v>4573</v>
      </c>
      <c r="M1187" s="5">
        <v>12.9</v>
      </c>
      <c r="N1187" s="9" t="s">
        <v>4571</v>
      </c>
      <c r="O1187" s="9" t="str">
        <f t="shared" si="118"/>
        <v>PDFを開く</v>
      </c>
      <c r="P1187" s="9" t="s">
        <v>1095</v>
      </c>
    </row>
    <row r="1188" spans="1:16" ht="33.950000000000003" customHeight="1">
      <c r="A1188" s="2" t="s">
        <v>1088</v>
      </c>
      <c r="B1188" s="2" t="s">
        <v>73</v>
      </c>
      <c r="C1188" s="8" t="s">
        <v>1089</v>
      </c>
      <c r="D1188" s="2">
        <v>2</v>
      </c>
      <c r="E1188" s="8" t="s">
        <v>3184</v>
      </c>
      <c r="F1188" s="2" t="s">
        <v>86</v>
      </c>
      <c r="G1188" s="2" t="s">
        <v>3177</v>
      </c>
      <c r="H1188" s="2"/>
      <c r="I1188" s="8" t="s">
        <v>4569</v>
      </c>
      <c r="J1188" s="2">
        <v>2027</v>
      </c>
      <c r="K1188" s="2">
        <v>735</v>
      </c>
      <c r="L1188" s="8" t="s">
        <v>4574</v>
      </c>
      <c r="M1188" s="2">
        <v>3.18</v>
      </c>
      <c r="N1188" s="8" t="s">
        <v>4575</v>
      </c>
      <c r="O1188" s="8" t="str">
        <f t="shared" si="118"/>
        <v>PDFを開く</v>
      </c>
      <c r="P1188" s="8" t="s">
        <v>1095</v>
      </c>
    </row>
    <row r="1189" spans="1:16" ht="33.950000000000003" customHeight="1">
      <c r="A1189" s="5" t="s">
        <v>1088</v>
      </c>
      <c r="B1189" s="5" t="s">
        <v>73</v>
      </c>
      <c r="C1189" s="9" t="s">
        <v>1089</v>
      </c>
      <c r="D1189" s="5">
        <v>2</v>
      </c>
      <c r="E1189" s="9" t="s">
        <v>3184</v>
      </c>
      <c r="F1189" s="5" t="s">
        <v>86</v>
      </c>
      <c r="G1189" s="5" t="s">
        <v>3177</v>
      </c>
      <c r="H1189" s="5"/>
      <c r="I1189" s="9" t="s">
        <v>4572</v>
      </c>
      <c r="J1189" s="5">
        <v>2030</v>
      </c>
      <c r="K1189" s="5">
        <v>824</v>
      </c>
      <c r="L1189" s="9" t="s">
        <v>4576</v>
      </c>
      <c r="M1189" s="5">
        <v>3.18</v>
      </c>
      <c r="N1189" s="9" t="s">
        <v>4575</v>
      </c>
      <c r="O1189" s="9" t="str">
        <f t="shared" si="118"/>
        <v>PDFを開く</v>
      </c>
      <c r="P1189" s="9" t="s">
        <v>1095</v>
      </c>
    </row>
    <row r="1190" spans="1:16" ht="33.950000000000003" customHeight="1">
      <c r="A1190" s="2" t="s">
        <v>1088</v>
      </c>
      <c r="B1190" s="2" t="s">
        <v>73</v>
      </c>
      <c r="C1190" s="8" t="s">
        <v>1089</v>
      </c>
      <c r="D1190" s="2">
        <v>2</v>
      </c>
      <c r="E1190" s="8" t="s">
        <v>3188</v>
      </c>
      <c r="F1190" s="2" t="s">
        <v>86</v>
      </c>
      <c r="G1190" s="19" t="s">
        <v>3189</v>
      </c>
      <c r="H1190" s="2"/>
      <c r="I1190" s="8"/>
      <c r="J1190" s="2"/>
      <c r="K1190" s="2"/>
      <c r="L1190" s="8"/>
      <c r="M1190" s="2">
        <v>3</v>
      </c>
      <c r="N1190" s="8" t="s">
        <v>4577</v>
      </c>
      <c r="O1190" s="8" t="str">
        <f t="shared" si="118"/>
        <v>PDFを開く</v>
      </c>
      <c r="P1190" s="8" t="s">
        <v>1095</v>
      </c>
    </row>
    <row r="1191" spans="1:16" ht="33.950000000000003" customHeight="1">
      <c r="A1191" s="5" t="s">
        <v>1088</v>
      </c>
      <c r="B1191" s="5" t="s">
        <v>73</v>
      </c>
      <c r="C1191" s="9" t="s">
        <v>1089</v>
      </c>
      <c r="D1191" s="5">
        <v>2</v>
      </c>
      <c r="E1191" s="9" t="s">
        <v>3191</v>
      </c>
      <c r="F1191" s="5" t="s">
        <v>2513</v>
      </c>
      <c r="G1191" s="5" t="s">
        <v>3177</v>
      </c>
      <c r="H1191" s="5"/>
      <c r="I1191" s="9" t="s">
        <v>4569</v>
      </c>
      <c r="J1191" s="5">
        <v>2027</v>
      </c>
      <c r="K1191" s="5">
        <v>17</v>
      </c>
      <c r="L1191" s="9" t="s">
        <v>3535</v>
      </c>
      <c r="M1191" s="5">
        <v>1.6</v>
      </c>
      <c r="N1191" s="9" t="s">
        <v>4578</v>
      </c>
      <c r="O1191" s="9" t="str">
        <f t="shared" si="118"/>
        <v>PDFを開く</v>
      </c>
      <c r="P1191" s="9" t="s">
        <v>1095</v>
      </c>
    </row>
    <row r="1192" spans="1:16" ht="33.950000000000003" customHeight="1">
      <c r="A1192" s="2" t="s">
        <v>1088</v>
      </c>
      <c r="B1192" s="2" t="s">
        <v>73</v>
      </c>
      <c r="C1192" s="8" t="s">
        <v>1089</v>
      </c>
      <c r="D1192" s="2">
        <v>2</v>
      </c>
      <c r="E1192" s="8" t="s">
        <v>3191</v>
      </c>
      <c r="F1192" s="2" t="s">
        <v>2513</v>
      </c>
      <c r="G1192" s="2" t="s">
        <v>3177</v>
      </c>
      <c r="H1192" s="2"/>
      <c r="I1192" s="8" t="s">
        <v>4572</v>
      </c>
      <c r="J1192" s="2">
        <v>2030</v>
      </c>
      <c r="K1192" s="2">
        <v>17</v>
      </c>
      <c r="L1192" s="8" t="s">
        <v>3535</v>
      </c>
      <c r="M1192" s="2">
        <v>1.6</v>
      </c>
      <c r="N1192" s="8" t="s">
        <v>4578</v>
      </c>
      <c r="O1192" s="8" t="str">
        <f t="shared" si="118"/>
        <v>PDFを開く</v>
      </c>
      <c r="P1192" s="8" t="s">
        <v>1095</v>
      </c>
    </row>
    <row r="1193" spans="1:16" ht="33.950000000000003" customHeight="1">
      <c r="A1193" s="5" t="s">
        <v>1088</v>
      </c>
      <c r="B1193" s="5" t="s">
        <v>73</v>
      </c>
      <c r="C1193" s="9" t="s">
        <v>1089</v>
      </c>
      <c r="D1193" s="5">
        <v>2</v>
      </c>
      <c r="E1193" s="9" t="s">
        <v>3176</v>
      </c>
      <c r="F1193" s="5" t="s">
        <v>86</v>
      </c>
      <c r="G1193" s="5" t="s">
        <v>3177</v>
      </c>
      <c r="H1193" s="5"/>
      <c r="I1193" s="9" t="s">
        <v>3686</v>
      </c>
      <c r="J1193" s="5">
        <v>2027</v>
      </c>
      <c r="K1193" s="5">
        <v>4600</v>
      </c>
      <c r="L1193" s="9" t="s">
        <v>4579</v>
      </c>
      <c r="M1193" s="5">
        <v>12.9</v>
      </c>
      <c r="N1193" s="9" t="s">
        <v>4580</v>
      </c>
      <c r="O1193" s="9" t="str">
        <f t="shared" si="118"/>
        <v>PDFを開く</v>
      </c>
      <c r="P1193" s="9" t="s">
        <v>1095</v>
      </c>
    </row>
    <row r="1194" spans="1:16" ht="33.950000000000003" customHeight="1">
      <c r="A1194" s="2" t="s">
        <v>1088</v>
      </c>
      <c r="B1194" s="2" t="s">
        <v>73</v>
      </c>
      <c r="C1194" s="8" t="s">
        <v>1089</v>
      </c>
      <c r="D1194" s="2">
        <v>2</v>
      </c>
      <c r="E1194" s="8" t="s">
        <v>3176</v>
      </c>
      <c r="F1194" s="2" t="s">
        <v>86</v>
      </c>
      <c r="G1194" s="2" t="s">
        <v>3177</v>
      </c>
      <c r="H1194" s="2"/>
      <c r="I1194" s="8" t="s">
        <v>3688</v>
      </c>
      <c r="J1194" s="2">
        <v>2030</v>
      </c>
      <c r="K1194" s="2">
        <v>5993</v>
      </c>
      <c r="L1194" s="8" t="s">
        <v>4581</v>
      </c>
      <c r="M1194" s="2">
        <v>12.9</v>
      </c>
      <c r="N1194" s="8" t="s">
        <v>4580</v>
      </c>
      <c r="O1194" s="8" t="str">
        <f t="shared" si="118"/>
        <v>PDFを開く</v>
      </c>
      <c r="P1194" s="8" t="s">
        <v>1095</v>
      </c>
    </row>
    <row r="1195" spans="1:16" ht="33.950000000000003" customHeight="1">
      <c r="A1195" s="5" t="s">
        <v>1088</v>
      </c>
      <c r="B1195" s="5" t="s">
        <v>73</v>
      </c>
      <c r="C1195" s="9" t="s">
        <v>1089</v>
      </c>
      <c r="D1195" s="5">
        <v>2</v>
      </c>
      <c r="E1195" s="9" t="s">
        <v>3188</v>
      </c>
      <c r="F1195" s="5" t="s">
        <v>86</v>
      </c>
      <c r="G1195" s="5" t="s">
        <v>3177</v>
      </c>
      <c r="H1195" s="5"/>
      <c r="I1195" s="9" t="s">
        <v>4582</v>
      </c>
      <c r="J1195" s="5">
        <v>2027</v>
      </c>
      <c r="K1195" s="5"/>
      <c r="L1195" s="9" t="s">
        <v>3211</v>
      </c>
      <c r="M1195" s="5">
        <v>3</v>
      </c>
      <c r="N1195" s="9" t="s">
        <v>4583</v>
      </c>
      <c r="O1195" s="9" t="str">
        <f t="shared" si="118"/>
        <v>PDFを開く</v>
      </c>
      <c r="P1195" s="9" t="s">
        <v>1095</v>
      </c>
    </row>
    <row r="1196" spans="1:16" ht="33.950000000000003" customHeight="1">
      <c r="A1196" s="2" t="s">
        <v>1088</v>
      </c>
      <c r="B1196" s="2" t="s">
        <v>73</v>
      </c>
      <c r="C1196" s="8" t="s">
        <v>1089</v>
      </c>
      <c r="D1196" s="2">
        <v>2</v>
      </c>
      <c r="E1196" s="8" t="s">
        <v>3188</v>
      </c>
      <c r="F1196" s="2" t="s">
        <v>86</v>
      </c>
      <c r="G1196" s="2" t="s">
        <v>3177</v>
      </c>
      <c r="H1196" s="2"/>
      <c r="I1196" s="8" t="s">
        <v>4584</v>
      </c>
      <c r="J1196" s="2">
        <v>2030</v>
      </c>
      <c r="K1196" s="2"/>
      <c r="L1196" s="8" t="s">
        <v>4585</v>
      </c>
      <c r="M1196" s="2">
        <v>3</v>
      </c>
      <c r="N1196" s="8" t="s">
        <v>4583</v>
      </c>
      <c r="O1196" s="8" t="str">
        <f t="shared" si="118"/>
        <v>PDFを開く</v>
      </c>
      <c r="P1196" s="8" t="s">
        <v>1095</v>
      </c>
    </row>
    <row r="1197" spans="1:16" ht="33.950000000000003" customHeight="1">
      <c r="A1197" s="5" t="s">
        <v>1096</v>
      </c>
      <c r="B1197" s="5" t="s">
        <v>73</v>
      </c>
      <c r="C1197" s="9" t="s">
        <v>1097</v>
      </c>
      <c r="D1197" s="5">
        <v>2</v>
      </c>
      <c r="E1197" s="9" t="s">
        <v>3176</v>
      </c>
      <c r="F1197" s="5" t="s">
        <v>86</v>
      </c>
      <c r="G1197" s="5" t="s">
        <v>3177</v>
      </c>
      <c r="H1197" s="5" t="s">
        <v>3178</v>
      </c>
      <c r="I1197" s="9" t="s">
        <v>3407</v>
      </c>
      <c r="J1197" s="5">
        <v>2025</v>
      </c>
      <c r="K1197" s="5">
        <v>1745</v>
      </c>
      <c r="L1197" s="9" t="s">
        <v>4586</v>
      </c>
      <c r="M1197" s="5">
        <v>14.1</v>
      </c>
      <c r="N1197" s="9" t="s">
        <v>4587</v>
      </c>
      <c r="O1197" s="9" t="str">
        <f t="shared" ref="O1197:O1205" si="119">HYPERLINK("https://seichotoushi-hojo.jp/assets/pdf/koufu/outline_65.pdf","PDFを開く")</f>
        <v>PDFを開く</v>
      </c>
      <c r="P1197" s="9" t="s">
        <v>1103</v>
      </c>
    </row>
    <row r="1198" spans="1:16" ht="33.950000000000003" customHeight="1">
      <c r="A1198" s="2" t="s">
        <v>1096</v>
      </c>
      <c r="B1198" s="2" t="s">
        <v>73</v>
      </c>
      <c r="C1198" s="8" t="s">
        <v>1097</v>
      </c>
      <c r="D1198" s="2">
        <v>2</v>
      </c>
      <c r="E1198" s="8" t="s">
        <v>3176</v>
      </c>
      <c r="F1198" s="2" t="s">
        <v>86</v>
      </c>
      <c r="G1198" s="2" t="s">
        <v>3177</v>
      </c>
      <c r="H1198" s="2" t="s">
        <v>3178</v>
      </c>
      <c r="I1198" s="8" t="s">
        <v>3335</v>
      </c>
      <c r="J1198" s="2">
        <v>2028</v>
      </c>
      <c r="K1198" s="2">
        <v>2587</v>
      </c>
      <c r="L1198" s="8" t="s">
        <v>4588</v>
      </c>
      <c r="M1198" s="2">
        <v>14.1</v>
      </c>
      <c r="N1198" s="8" t="s">
        <v>4587</v>
      </c>
      <c r="O1198" s="8" t="str">
        <f t="shared" si="119"/>
        <v>PDFを開く</v>
      </c>
      <c r="P1198" s="8" t="s">
        <v>1103</v>
      </c>
    </row>
    <row r="1199" spans="1:16" ht="33.950000000000003" customHeight="1">
      <c r="A1199" s="5" t="s">
        <v>1096</v>
      </c>
      <c r="B1199" s="5" t="s">
        <v>73</v>
      </c>
      <c r="C1199" s="9" t="s">
        <v>1097</v>
      </c>
      <c r="D1199" s="5">
        <v>2</v>
      </c>
      <c r="E1199" s="9" t="s">
        <v>3184</v>
      </c>
      <c r="F1199" s="5" t="s">
        <v>86</v>
      </c>
      <c r="G1199" s="5" t="s">
        <v>3177</v>
      </c>
      <c r="H1199" s="5" t="s">
        <v>3178</v>
      </c>
      <c r="I1199" s="9" t="s">
        <v>3407</v>
      </c>
      <c r="J1199" s="5">
        <v>2025</v>
      </c>
      <c r="K1199" s="5">
        <v>486</v>
      </c>
      <c r="L1199" s="9" t="s">
        <v>3892</v>
      </c>
      <c r="M1199" s="5">
        <v>3</v>
      </c>
      <c r="N1199" s="9" t="s">
        <v>4589</v>
      </c>
      <c r="O1199" s="9" t="str">
        <f t="shared" si="119"/>
        <v>PDFを開く</v>
      </c>
      <c r="P1199" s="9" t="s">
        <v>1103</v>
      </c>
    </row>
    <row r="1200" spans="1:16" ht="33.950000000000003" customHeight="1">
      <c r="A1200" s="2" t="s">
        <v>1096</v>
      </c>
      <c r="B1200" s="2" t="s">
        <v>73</v>
      </c>
      <c r="C1200" s="8" t="s">
        <v>1097</v>
      </c>
      <c r="D1200" s="2">
        <v>2</v>
      </c>
      <c r="E1200" s="8" t="s">
        <v>3184</v>
      </c>
      <c r="F1200" s="2" t="s">
        <v>86</v>
      </c>
      <c r="G1200" s="2" t="s">
        <v>3177</v>
      </c>
      <c r="H1200" s="2" t="s">
        <v>3178</v>
      </c>
      <c r="I1200" s="8" t="s">
        <v>3335</v>
      </c>
      <c r="J1200" s="2">
        <v>2028</v>
      </c>
      <c r="K1200" s="2">
        <v>531</v>
      </c>
      <c r="L1200" s="8" t="s">
        <v>3423</v>
      </c>
      <c r="M1200" s="2">
        <v>3</v>
      </c>
      <c r="N1200" s="8" t="s">
        <v>4589</v>
      </c>
      <c r="O1200" s="8" t="str">
        <f t="shared" si="119"/>
        <v>PDFを開く</v>
      </c>
      <c r="P1200" s="8" t="s">
        <v>1103</v>
      </c>
    </row>
    <row r="1201" spans="1:16" ht="33.950000000000003" customHeight="1">
      <c r="A1201" s="5" t="s">
        <v>1096</v>
      </c>
      <c r="B1201" s="5" t="s">
        <v>73</v>
      </c>
      <c r="C1201" s="9" t="s">
        <v>1097</v>
      </c>
      <c r="D1201" s="5">
        <v>2</v>
      </c>
      <c r="E1201" s="9" t="s">
        <v>3188</v>
      </c>
      <c r="F1201" s="5" t="s">
        <v>86</v>
      </c>
      <c r="G1201" s="19" t="s">
        <v>3189</v>
      </c>
      <c r="H1201" s="5" t="s">
        <v>3178</v>
      </c>
      <c r="I1201" s="9"/>
      <c r="J1201" s="5"/>
      <c r="K1201" s="5"/>
      <c r="L1201" s="9"/>
      <c r="M1201" s="5">
        <v>3</v>
      </c>
      <c r="N1201" s="9" t="s">
        <v>4287</v>
      </c>
      <c r="O1201" s="9" t="str">
        <f t="shared" si="119"/>
        <v>PDFを開く</v>
      </c>
      <c r="P1201" s="9" t="s">
        <v>1103</v>
      </c>
    </row>
    <row r="1202" spans="1:16" ht="33.950000000000003" customHeight="1">
      <c r="A1202" s="2" t="s">
        <v>1096</v>
      </c>
      <c r="B1202" s="2" t="s">
        <v>73</v>
      </c>
      <c r="C1202" s="8" t="s">
        <v>1097</v>
      </c>
      <c r="D1202" s="2">
        <v>2</v>
      </c>
      <c r="E1202" s="8" t="s">
        <v>3191</v>
      </c>
      <c r="F1202" s="2" t="s">
        <v>2513</v>
      </c>
      <c r="G1202" s="2" t="s">
        <v>3177</v>
      </c>
      <c r="H1202" s="2" t="s">
        <v>3178</v>
      </c>
      <c r="I1202" s="8" t="s">
        <v>3407</v>
      </c>
      <c r="J1202" s="2">
        <v>2025</v>
      </c>
      <c r="K1202" s="2">
        <v>164</v>
      </c>
      <c r="L1202" s="8" t="s">
        <v>4590</v>
      </c>
      <c r="M1202" s="2"/>
      <c r="N1202" s="8" t="s">
        <v>4591</v>
      </c>
      <c r="O1202" s="8" t="str">
        <f t="shared" si="119"/>
        <v>PDFを開く</v>
      </c>
      <c r="P1202" s="8" t="s">
        <v>1103</v>
      </c>
    </row>
    <row r="1203" spans="1:16" ht="33.950000000000003" customHeight="1">
      <c r="A1203" s="5" t="s">
        <v>1096</v>
      </c>
      <c r="B1203" s="5" t="s">
        <v>73</v>
      </c>
      <c r="C1203" s="9" t="s">
        <v>1097</v>
      </c>
      <c r="D1203" s="5">
        <v>2</v>
      </c>
      <c r="E1203" s="9" t="s">
        <v>3191</v>
      </c>
      <c r="F1203" s="5" t="s">
        <v>2513</v>
      </c>
      <c r="G1203" s="5" t="s">
        <v>3177</v>
      </c>
      <c r="H1203" s="5" t="s">
        <v>3178</v>
      </c>
      <c r="I1203" s="9" t="s">
        <v>3335</v>
      </c>
      <c r="J1203" s="5">
        <v>2028</v>
      </c>
      <c r="K1203" s="5">
        <v>178</v>
      </c>
      <c r="L1203" s="9" t="s">
        <v>4592</v>
      </c>
      <c r="M1203" s="5"/>
      <c r="N1203" s="9" t="s">
        <v>4591</v>
      </c>
      <c r="O1203" s="9" t="str">
        <f t="shared" si="119"/>
        <v>PDFを開く</v>
      </c>
      <c r="P1203" s="9" t="s">
        <v>1103</v>
      </c>
    </row>
    <row r="1204" spans="1:16" ht="33.950000000000003" customHeight="1">
      <c r="A1204" s="2" t="s">
        <v>1096</v>
      </c>
      <c r="B1204" s="2" t="s">
        <v>73</v>
      </c>
      <c r="C1204" s="8" t="s">
        <v>1097</v>
      </c>
      <c r="D1204" s="2">
        <v>2</v>
      </c>
      <c r="E1204" s="8" t="s">
        <v>3188</v>
      </c>
      <c r="F1204" s="2" t="s">
        <v>86</v>
      </c>
      <c r="G1204" s="2" t="s">
        <v>3177</v>
      </c>
      <c r="H1204" s="2"/>
      <c r="I1204" s="8" t="s">
        <v>4593</v>
      </c>
      <c r="J1204" s="2">
        <v>2025</v>
      </c>
      <c r="K1204" s="2"/>
      <c r="L1204" s="8" t="s">
        <v>3211</v>
      </c>
      <c r="M1204" s="2">
        <v>3</v>
      </c>
      <c r="N1204" s="8" t="s">
        <v>4295</v>
      </c>
      <c r="O1204" s="8" t="str">
        <f t="shared" si="119"/>
        <v>PDFを開く</v>
      </c>
      <c r="P1204" s="8" t="s">
        <v>1103</v>
      </c>
    </row>
    <row r="1205" spans="1:16" ht="33.950000000000003" customHeight="1">
      <c r="A1205" s="5" t="s">
        <v>1096</v>
      </c>
      <c r="B1205" s="5" t="s">
        <v>73</v>
      </c>
      <c r="C1205" s="9" t="s">
        <v>1097</v>
      </c>
      <c r="D1205" s="5">
        <v>2</v>
      </c>
      <c r="E1205" s="9" t="s">
        <v>3188</v>
      </c>
      <c r="F1205" s="5" t="s">
        <v>86</v>
      </c>
      <c r="G1205" s="5" t="s">
        <v>3177</v>
      </c>
      <c r="H1205" s="5"/>
      <c r="I1205" s="9" t="s">
        <v>4594</v>
      </c>
      <c r="J1205" s="5">
        <v>2028</v>
      </c>
      <c r="K1205" s="5"/>
      <c r="L1205" s="9" t="s">
        <v>4491</v>
      </c>
      <c r="M1205" s="5">
        <v>3</v>
      </c>
      <c r="N1205" s="9" t="s">
        <v>4295</v>
      </c>
      <c r="O1205" s="9" t="str">
        <f t="shared" si="119"/>
        <v>PDFを開く</v>
      </c>
      <c r="P1205" s="9" t="s">
        <v>1103</v>
      </c>
    </row>
    <row r="1206" spans="1:16" ht="33.950000000000003" customHeight="1">
      <c r="A1206" s="2" t="s">
        <v>1104</v>
      </c>
      <c r="B1206" s="2" t="s">
        <v>73</v>
      </c>
      <c r="C1206" s="8" t="s">
        <v>1105</v>
      </c>
      <c r="D1206" s="2">
        <v>2</v>
      </c>
      <c r="E1206" s="8" t="s">
        <v>3176</v>
      </c>
      <c r="F1206" s="2" t="s">
        <v>86</v>
      </c>
      <c r="G1206" s="2" t="s">
        <v>3177</v>
      </c>
      <c r="H1206" s="2" t="s">
        <v>3178</v>
      </c>
      <c r="I1206" s="8" t="s">
        <v>3179</v>
      </c>
      <c r="J1206" s="2">
        <v>2026</v>
      </c>
      <c r="K1206" s="2">
        <v>1130</v>
      </c>
      <c r="L1206" s="8" t="s">
        <v>4595</v>
      </c>
      <c r="M1206" s="2">
        <v>32.1</v>
      </c>
      <c r="N1206" s="8" t="s">
        <v>4596</v>
      </c>
      <c r="O1206" s="8" t="str">
        <f t="shared" ref="O1206:O1214" si="120">HYPERLINK("https://seichotoushi-hojo.jp/assets/pdf/koufu/outline_66.pdf","PDFを開く")</f>
        <v>PDFを開く</v>
      </c>
      <c r="P1206" s="8" t="s">
        <v>1112</v>
      </c>
    </row>
    <row r="1207" spans="1:16" ht="33.950000000000003" customHeight="1">
      <c r="A1207" s="5" t="s">
        <v>1104</v>
      </c>
      <c r="B1207" s="5" t="s">
        <v>73</v>
      </c>
      <c r="C1207" s="9" t="s">
        <v>1105</v>
      </c>
      <c r="D1207" s="5">
        <v>2</v>
      </c>
      <c r="E1207" s="9" t="s">
        <v>3176</v>
      </c>
      <c r="F1207" s="5" t="s">
        <v>86</v>
      </c>
      <c r="G1207" s="5" t="s">
        <v>3177</v>
      </c>
      <c r="H1207" s="5" t="s">
        <v>3178</v>
      </c>
      <c r="I1207" s="9" t="s">
        <v>3182</v>
      </c>
      <c r="J1207" s="5">
        <v>2029</v>
      </c>
      <c r="K1207" s="5">
        <v>2606</v>
      </c>
      <c r="L1207" s="9" t="s">
        <v>4597</v>
      </c>
      <c r="M1207" s="5">
        <v>32.1</v>
      </c>
      <c r="N1207" s="9" t="s">
        <v>4596</v>
      </c>
      <c r="O1207" s="9" t="str">
        <f t="shared" si="120"/>
        <v>PDFを開く</v>
      </c>
      <c r="P1207" s="9" t="s">
        <v>1112</v>
      </c>
    </row>
    <row r="1208" spans="1:16" ht="33.950000000000003" customHeight="1">
      <c r="A1208" s="2" t="s">
        <v>1104</v>
      </c>
      <c r="B1208" s="2" t="s">
        <v>73</v>
      </c>
      <c r="C1208" s="8" t="s">
        <v>1105</v>
      </c>
      <c r="D1208" s="2">
        <v>2</v>
      </c>
      <c r="E1208" s="8" t="s">
        <v>3184</v>
      </c>
      <c r="F1208" s="2" t="s">
        <v>86</v>
      </c>
      <c r="G1208" s="2" t="s">
        <v>3177</v>
      </c>
      <c r="H1208" s="2" t="s">
        <v>3178</v>
      </c>
      <c r="I1208" s="8" t="s">
        <v>3179</v>
      </c>
      <c r="J1208" s="2">
        <v>2026</v>
      </c>
      <c r="K1208" s="2">
        <v>477</v>
      </c>
      <c r="L1208" s="8" t="s">
        <v>3402</v>
      </c>
      <c r="M1208" s="2">
        <v>3.5</v>
      </c>
      <c r="N1208" s="8" t="s">
        <v>4598</v>
      </c>
      <c r="O1208" s="8" t="str">
        <f t="shared" si="120"/>
        <v>PDFを開く</v>
      </c>
      <c r="P1208" s="8" t="s">
        <v>1112</v>
      </c>
    </row>
    <row r="1209" spans="1:16" ht="33.950000000000003" customHeight="1">
      <c r="A1209" s="5" t="s">
        <v>1104</v>
      </c>
      <c r="B1209" s="5" t="s">
        <v>73</v>
      </c>
      <c r="C1209" s="9" t="s">
        <v>1105</v>
      </c>
      <c r="D1209" s="5">
        <v>2</v>
      </c>
      <c r="E1209" s="9" t="s">
        <v>3184</v>
      </c>
      <c r="F1209" s="5" t="s">
        <v>86</v>
      </c>
      <c r="G1209" s="5" t="s">
        <v>3177</v>
      </c>
      <c r="H1209" s="5" t="s">
        <v>3178</v>
      </c>
      <c r="I1209" s="9" t="s">
        <v>3182</v>
      </c>
      <c r="J1209" s="5">
        <v>2029</v>
      </c>
      <c r="K1209" s="5">
        <v>529</v>
      </c>
      <c r="L1209" s="9" t="s">
        <v>4599</v>
      </c>
      <c r="M1209" s="5">
        <v>3.5</v>
      </c>
      <c r="N1209" s="9" t="s">
        <v>4598</v>
      </c>
      <c r="O1209" s="9" t="str">
        <f t="shared" si="120"/>
        <v>PDFを開く</v>
      </c>
      <c r="P1209" s="9" t="s">
        <v>1112</v>
      </c>
    </row>
    <row r="1210" spans="1:16" ht="33.950000000000003" customHeight="1">
      <c r="A1210" s="2" t="s">
        <v>1104</v>
      </c>
      <c r="B1210" s="2" t="s">
        <v>73</v>
      </c>
      <c r="C1210" s="8" t="s">
        <v>1105</v>
      </c>
      <c r="D1210" s="2">
        <v>2</v>
      </c>
      <c r="E1210" s="8" t="s">
        <v>3188</v>
      </c>
      <c r="F1210" s="2" t="s">
        <v>86</v>
      </c>
      <c r="G1210" s="19" t="s">
        <v>3189</v>
      </c>
      <c r="H1210" s="2" t="s">
        <v>3178</v>
      </c>
      <c r="I1210" s="8"/>
      <c r="J1210" s="2"/>
      <c r="K1210" s="2"/>
      <c r="L1210" s="8"/>
      <c r="M1210" s="2">
        <v>3.5</v>
      </c>
      <c r="N1210" s="8" t="s">
        <v>4600</v>
      </c>
      <c r="O1210" s="8" t="str">
        <f t="shared" si="120"/>
        <v>PDFを開く</v>
      </c>
      <c r="P1210" s="8" t="s">
        <v>1112</v>
      </c>
    </row>
    <row r="1211" spans="1:16" ht="33.950000000000003" customHeight="1">
      <c r="A1211" s="5" t="s">
        <v>1104</v>
      </c>
      <c r="B1211" s="5" t="s">
        <v>73</v>
      </c>
      <c r="C1211" s="9" t="s">
        <v>1105</v>
      </c>
      <c r="D1211" s="5">
        <v>2</v>
      </c>
      <c r="E1211" s="9" t="s">
        <v>3191</v>
      </c>
      <c r="F1211" s="5" t="s">
        <v>2513</v>
      </c>
      <c r="G1211" s="5" t="s">
        <v>3177</v>
      </c>
      <c r="H1211" s="5" t="s">
        <v>3178</v>
      </c>
      <c r="I1211" s="9" t="s">
        <v>3179</v>
      </c>
      <c r="J1211" s="5">
        <v>2026</v>
      </c>
      <c r="K1211" s="5">
        <v>16</v>
      </c>
      <c r="L1211" s="9" t="s">
        <v>4114</v>
      </c>
      <c r="M1211" s="5"/>
      <c r="N1211" s="9" t="s">
        <v>4601</v>
      </c>
      <c r="O1211" s="9" t="str">
        <f t="shared" si="120"/>
        <v>PDFを開く</v>
      </c>
      <c r="P1211" s="9" t="s">
        <v>1112</v>
      </c>
    </row>
    <row r="1212" spans="1:16" ht="33.950000000000003" customHeight="1">
      <c r="A1212" s="2" t="s">
        <v>1104</v>
      </c>
      <c r="B1212" s="2" t="s">
        <v>73</v>
      </c>
      <c r="C1212" s="8" t="s">
        <v>1105</v>
      </c>
      <c r="D1212" s="2">
        <v>2</v>
      </c>
      <c r="E1212" s="8" t="s">
        <v>3191</v>
      </c>
      <c r="F1212" s="2" t="s">
        <v>2513</v>
      </c>
      <c r="G1212" s="2" t="s">
        <v>3177</v>
      </c>
      <c r="H1212" s="2" t="s">
        <v>3178</v>
      </c>
      <c r="I1212" s="8" t="s">
        <v>3182</v>
      </c>
      <c r="J1212" s="2">
        <v>2029</v>
      </c>
      <c r="K1212" s="2">
        <v>38</v>
      </c>
      <c r="L1212" s="8" t="s">
        <v>3465</v>
      </c>
      <c r="M1212" s="2"/>
      <c r="N1212" s="8" t="s">
        <v>4601</v>
      </c>
      <c r="O1212" s="8" t="str">
        <f t="shared" si="120"/>
        <v>PDFを開く</v>
      </c>
      <c r="P1212" s="8" t="s">
        <v>1112</v>
      </c>
    </row>
    <row r="1213" spans="1:16" ht="33.950000000000003" customHeight="1">
      <c r="A1213" s="5" t="s">
        <v>1104</v>
      </c>
      <c r="B1213" s="5" t="s">
        <v>73</v>
      </c>
      <c r="C1213" s="9" t="s">
        <v>1105</v>
      </c>
      <c r="D1213" s="5">
        <v>2</v>
      </c>
      <c r="E1213" s="9" t="s">
        <v>3188</v>
      </c>
      <c r="F1213" s="5" t="s">
        <v>86</v>
      </c>
      <c r="G1213" s="5" t="s">
        <v>3177</v>
      </c>
      <c r="H1213" s="5"/>
      <c r="I1213" s="9" t="s">
        <v>4602</v>
      </c>
      <c r="J1213" s="5">
        <v>2026</v>
      </c>
      <c r="K1213" s="5"/>
      <c r="L1213" s="9" t="s">
        <v>3196</v>
      </c>
      <c r="M1213" s="5">
        <v>3.5</v>
      </c>
      <c r="N1213" s="9" t="s">
        <v>4603</v>
      </c>
      <c r="O1213" s="9" t="str">
        <f t="shared" si="120"/>
        <v>PDFを開く</v>
      </c>
      <c r="P1213" s="9" t="s">
        <v>1112</v>
      </c>
    </row>
    <row r="1214" spans="1:16" ht="33.950000000000003" customHeight="1">
      <c r="A1214" s="2" t="s">
        <v>1104</v>
      </c>
      <c r="B1214" s="2" t="s">
        <v>73</v>
      </c>
      <c r="C1214" s="8" t="s">
        <v>1105</v>
      </c>
      <c r="D1214" s="2">
        <v>2</v>
      </c>
      <c r="E1214" s="8" t="s">
        <v>3188</v>
      </c>
      <c r="F1214" s="2" t="s">
        <v>86</v>
      </c>
      <c r="G1214" s="2" t="s">
        <v>3177</v>
      </c>
      <c r="H1214" s="2"/>
      <c r="I1214" s="8" t="s">
        <v>4604</v>
      </c>
      <c r="J1214" s="2">
        <v>2029</v>
      </c>
      <c r="K1214" s="2"/>
      <c r="L1214" s="8" t="s">
        <v>4605</v>
      </c>
      <c r="M1214" s="2">
        <v>3.5</v>
      </c>
      <c r="N1214" s="8" t="s">
        <v>4603</v>
      </c>
      <c r="O1214" s="8" t="str">
        <f t="shared" si="120"/>
        <v>PDFを開く</v>
      </c>
      <c r="P1214" s="8" t="s">
        <v>1112</v>
      </c>
    </row>
    <row r="1215" spans="1:16" ht="33.950000000000003" customHeight="1">
      <c r="A1215" s="5" t="s">
        <v>1113</v>
      </c>
      <c r="B1215" s="5" t="s">
        <v>73</v>
      </c>
      <c r="C1215" s="9" t="s">
        <v>1114</v>
      </c>
      <c r="D1215" s="5">
        <v>2</v>
      </c>
      <c r="E1215" s="9" t="s">
        <v>3176</v>
      </c>
      <c r="F1215" s="5" t="s">
        <v>86</v>
      </c>
      <c r="G1215" s="5" t="s">
        <v>3177</v>
      </c>
      <c r="H1215" s="5" t="s">
        <v>3178</v>
      </c>
      <c r="I1215" s="9" t="s">
        <v>3407</v>
      </c>
      <c r="J1215" s="5">
        <v>2025</v>
      </c>
      <c r="K1215" s="5">
        <v>2917.9</v>
      </c>
      <c r="L1215" s="9" t="s">
        <v>4321</v>
      </c>
      <c r="M1215" s="5">
        <v>5.9</v>
      </c>
      <c r="N1215" s="9" t="s">
        <v>4606</v>
      </c>
      <c r="O1215" s="9" t="str">
        <f t="shared" ref="O1215:O1220" si="121">HYPERLINK("https://seichotoushi-hojo.jp/assets/pdf/koufu/outline_67.pdf","PDFを開く")</f>
        <v>PDFを開く</v>
      </c>
      <c r="P1215" s="9" t="s">
        <v>1119</v>
      </c>
    </row>
    <row r="1216" spans="1:16" ht="33.950000000000003" customHeight="1">
      <c r="A1216" s="2" t="s">
        <v>1113</v>
      </c>
      <c r="B1216" s="2" t="s">
        <v>73</v>
      </c>
      <c r="C1216" s="8" t="s">
        <v>1114</v>
      </c>
      <c r="D1216" s="2">
        <v>2</v>
      </c>
      <c r="E1216" s="8" t="s">
        <v>3176</v>
      </c>
      <c r="F1216" s="2" t="s">
        <v>86</v>
      </c>
      <c r="G1216" s="2" t="s">
        <v>3177</v>
      </c>
      <c r="H1216" s="2" t="s">
        <v>3178</v>
      </c>
      <c r="I1216" s="8" t="s">
        <v>3335</v>
      </c>
      <c r="J1216" s="2">
        <v>2028</v>
      </c>
      <c r="K1216" s="2">
        <v>3469.6</v>
      </c>
      <c r="L1216" s="8" t="s">
        <v>4607</v>
      </c>
      <c r="M1216" s="2">
        <v>5.9</v>
      </c>
      <c r="N1216" s="8" t="s">
        <v>4606</v>
      </c>
      <c r="O1216" s="8" t="str">
        <f t="shared" si="121"/>
        <v>PDFを開く</v>
      </c>
      <c r="P1216" s="8" t="s">
        <v>1119</v>
      </c>
    </row>
    <row r="1217" spans="1:16" ht="33.950000000000003" customHeight="1">
      <c r="A1217" s="5" t="s">
        <v>1113</v>
      </c>
      <c r="B1217" s="5" t="s">
        <v>73</v>
      </c>
      <c r="C1217" s="9" t="s">
        <v>1114</v>
      </c>
      <c r="D1217" s="5">
        <v>2</v>
      </c>
      <c r="E1217" s="9" t="s">
        <v>3184</v>
      </c>
      <c r="F1217" s="5" t="s">
        <v>86</v>
      </c>
      <c r="G1217" s="5" t="s">
        <v>3177</v>
      </c>
      <c r="H1217" s="5" t="s">
        <v>3178</v>
      </c>
      <c r="I1217" s="9" t="s">
        <v>3407</v>
      </c>
      <c r="J1217" s="5">
        <v>2025</v>
      </c>
      <c r="K1217" s="5">
        <v>613.70000000000005</v>
      </c>
      <c r="L1217" s="9" t="s">
        <v>4608</v>
      </c>
      <c r="M1217" s="5">
        <v>4.5</v>
      </c>
      <c r="N1217" s="9" t="s">
        <v>4609</v>
      </c>
      <c r="O1217" s="9" t="str">
        <f t="shared" si="121"/>
        <v>PDFを開く</v>
      </c>
      <c r="P1217" s="9" t="s">
        <v>1119</v>
      </c>
    </row>
    <row r="1218" spans="1:16" ht="33.950000000000003" customHeight="1">
      <c r="A1218" s="2" t="s">
        <v>1113</v>
      </c>
      <c r="B1218" s="2" t="s">
        <v>73</v>
      </c>
      <c r="C1218" s="8" t="s">
        <v>1114</v>
      </c>
      <c r="D1218" s="2">
        <v>2</v>
      </c>
      <c r="E1218" s="8" t="s">
        <v>3184</v>
      </c>
      <c r="F1218" s="2" t="s">
        <v>86</v>
      </c>
      <c r="G1218" s="2" t="s">
        <v>3177</v>
      </c>
      <c r="H1218" s="2" t="s">
        <v>3178</v>
      </c>
      <c r="I1218" s="8" t="s">
        <v>3335</v>
      </c>
      <c r="J1218" s="2">
        <v>2028</v>
      </c>
      <c r="K1218" s="2">
        <v>700.3</v>
      </c>
      <c r="L1218" s="8" t="s">
        <v>4610</v>
      </c>
      <c r="M1218" s="2">
        <v>4.5</v>
      </c>
      <c r="N1218" s="8" t="s">
        <v>4609</v>
      </c>
      <c r="O1218" s="8" t="str">
        <f t="shared" si="121"/>
        <v>PDFを開く</v>
      </c>
      <c r="P1218" s="8" t="s">
        <v>1119</v>
      </c>
    </row>
    <row r="1219" spans="1:16" ht="33.950000000000003" customHeight="1">
      <c r="A1219" s="5" t="s">
        <v>1113</v>
      </c>
      <c r="B1219" s="5" t="s">
        <v>73</v>
      </c>
      <c r="C1219" s="9" t="s">
        <v>1114</v>
      </c>
      <c r="D1219" s="5">
        <v>2</v>
      </c>
      <c r="E1219" s="9" t="s">
        <v>3191</v>
      </c>
      <c r="F1219" s="5" t="s">
        <v>2513</v>
      </c>
      <c r="G1219" s="5" t="s">
        <v>3177</v>
      </c>
      <c r="H1219" s="5" t="s">
        <v>3178</v>
      </c>
      <c r="I1219" s="9" t="s">
        <v>3407</v>
      </c>
      <c r="J1219" s="5">
        <v>2025</v>
      </c>
      <c r="K1219" s="5">
        <v>285</v>
      </c>
      <c r="L1219" s="9" t="s">
        <v>4611</v>
      </c>
      <c r="M1219" s="5"/>
      <c r="N1219" s="9" t="s">
        <v>4612</v>
      </c>
      <c r="O1219" s="9" t="str">
        <f t="shared" si="121"/>
        <v>PDFを開く</v>
      </c>
      <c r="P1219" s="9" t="s">
        <v>1119</v>
      </c>
    </row>
    <row r="1220" spans="1:16" ht="33.950000000000003" customHeight="1">
      <c r="A1220" s="2" t="s">
        <v>1113</v>
      </c>
      <c r="B1220" s="2" t="s">
        <v>73</v>
      </c>
      <c r="C1220" s="8" t="s">
        <v>1114</v>
      </c>
      <c r="D1220" s="2">
        <v>2</v>
      </c>
      <c r="E1220" s="8" t="s">
        <v>3191</v>
      </c>
      <c r="F1220" s="2" t="s">
        <v>2513</v>
      </c>
      <c r="G1220" s="2" t="s">
        <v>3177</v>
      </c>
      <c r="H1220" s="2" t="s">
        <v>3178</v>
      </c>
      <c r="I1220" s="8" t="s">
        <v>3335</v>
      </c>
      <c r="J1220" s="2">
        <v>2028</v>
      </c>
      <c r="K1220" s="2">
        <v>325</v>
      </c>
      <c r="L1220" s="8" t="s">
        <v>4613</v>
      </c>
      <c r="M1220" s="2"/>
      <c r="N1220" s="8" t="s">
        <v>4612</v>
      </c>
      <c r="O1220" s="8" t="str">
        <f t="shared" si="121"/>
        <v>PDFを開く</v>
      </c>
      <c r="P1220" s="8" t="s">
        <v>1119</v>
      </c>
    </row>
    <row r="1221" spans="1:16" ht="33.950000000000003" customHeight="1">
      <c r="A1221" s="5" t="s">
        <v>1120</v>
      </c>
      <c r="B1221" s="5" t="s">
        <v>73</v>
      </c>
      <c r="C1221" s="9" t="s">
        <v>1121</v>
      </c>
      <c r="D1221" s="5">
        <v>2</v>
      </c>
      <c r="E1221" s="9" t="s">
        <v>3176</v>
      </c>
      <c r="F1221" s="5" t="s">
        <v>86</v>
      </c>
      <c r="G1221" s="5" t="s">
        <v>3177</v>
      </c>
      <c r="H1221" s="5" t="s">
        <v>3178</v>
      </c>
      <c r="I1221" s="9" t="s">
        <v>3407</v>
      </c>
      <c r="J1221" s="5">
        <v>2025</v>
      </c>
      <c r="K1221" s="5">
        <v>1308</v>
      </c>
      <c r="L1221" s="9" t="s">
        <v>4614</v>
      </c>
      <c r="M1221" s="5">
        <v>2.9</v>
      </c>
      <c r="N1221" s="9" t="s">
        <v>4615</v>
      </c>
      <c r="O1221" s="9" t="str">
        <f t="shared" ref="O1221:O1229" si="122">HYPERLINK("https://seichotoushi-hojo.jp/assets/pdf/koufu/outline_68.pdf","PDFを開く")</f>
        <v>PDFを開く</v>
      </c>
      <c r="P1221" s="9" t="s">
        <v>1126</v>
      </c>
    </row>
    <row r="1222" spans="1:16" ht="33.950000000000003" customHeight="1">
      <c r="A1222" s="2" t="s">
        <v>1120</v>
      </c>
      <c r="B1222" s="2" t="s">
        <v>73</v>
      </c>
      <c r="C1222" s="8" t="s">
        <v>1121</v>
      </c>
      <c r="D1222" s="2">
        <v>2</v>
      </c>
      <c r="E1222" s="8" t="s">
        <v>3176</v>
      </c>
      <c r="F1222" s="2" t="s">
        <v>86</v>
      </c>
      <c r="G1222" s="2" t="s">
        <v>3177</v>
      </c>
      <c r="H1222" s="2" t="s">
        <v>3178</v>
      </c>
      <c r="I1222" s="8" t="s">
        <v>3335</v>
      </c>
      <c r="J1222" s="2">
        <v>2028</v>
      </c>
      <c r="K1222" s="2">
        <v>1423</v>
      </c>
      <c r="L1222" s="8" t="s">
        <v>4616</v>
      </c>
      <c r="M1222" s="2">
        <v>2.9</v>
      </c>
      <c r="N1222" s="8" t="s">
        <v>4615</v>
      </c>
      <c r="O1222" s="8" t="str">
        <f t="shared" si="122"/>
        <v>PDFを開く</v>
      </c>
      <c r="P1222" s="8" t="s">
        <v>1126</v>
      </c>
    </row>
    <row r="1223" spans="1:16" ht="33.950000000000003" customHeight="1">
      <c r="A1223" s="5" t="s">
        <v>1120</v>
      </c>
      <c r="B1223" s="5" t="s">
        <v>73</v>
      </c>
      <c r="C1223" s="9" t="s">
        <v>1121</v>
      </c>
      <c r="D1223" s="5">
        <v>2</v>
      </c>
      <c r="E1223" s="9" t="s">
        <v>3184</v>
      </c>
      <c r="F1223" s="5" t="s">
        <v>86</v>
      </c>
      <c r="G1223" s="5" t="s">
        <v>3177</v>
      </c>
      <c r="H1223" s="5" t="s">
        <v>3178</v>
      </c>
      <c r="I1223" s="9" t="s">
        <v>3407</v>
      </c>
      <c r="J1223" s="5">
        <v>2025</v>
      </c>
      <c r="K1223" s="5">
        <v>669.3</v>
      </c>
      <c r="L1223" s="9" t="s">
        <v>4617</v>
      </c>
      <c r="M1223" s="5">
        <v>3.01</v>
      </c>
      <c r="N1223" s="9" t="s">
        <v>4618</v>
      </c>
      <c r="O1223" s="9" t="str">
        <f t="shared" si="122"/>
        <v>PDFを開く</v>
      </c>
      <c r="P1223" s="9" t="s">
        <v>1126</v>
      </c>
    </row>
    <row r="1224" spans="1:16" ht="33.950000000000003" customHeight="1">
      <c r="A1224" s="2" t="s">
        <v>1120</v>
      </c>
      <c r="B1224" s="2" t="s">
        <v>73</v>
      </c>
      <c r="C1224" s="8" t="s">
        <v>1121</v>
      </c>
      <c r="D1224" s="2">
        <v>2</v>
      </c>
      <c r="E1224" s="8" t="s">
        <v>3184</v>
      </c>
      <c r="F1224" s="2" t="s">
        <v>86</v>
      </c>
      <c r="G1224" s="2" t="s">
        <v>3177</v>
      </c>
      <c r="H1224" s="2" t="s">
        <v>3178</v>
      </c>
      <c r="I1224" s="8" t="s">
        <v>3335</v>
      </c>
      <c r="J1224" s="2">
        <v>2028</v>
      </c>
      <c r="K1224" s="2">
        <v>731.5</v>
      </c>
      <c r="L1224" s="8" t="s">
        <v>4619</v>
      </c>
      <c r="M1224" s="2">
        <v>3.01</v>
      </c>
      <c r="N1224" s="8" t="s">
        <v>4618</v>
      </c>
      <c r="O1224" s="8" t="str">
        <f t="shared" si="122"/>
        <v>PDFを開く</v>
      </c>
      <c r="P1224" s="8" t="s">
        <v>1126</v>
      </c>
    </row>
    <row r="1225" spans="1:16" ht="33.950000000000003" customHeight="1">
      <c r="A1225" s="5" t="s">
        <v>1120</v>
      </c>
      <c r="B1225" s="5" t="s">
        <v>73</v>
      </c>
      <c r="C1225" s="9" t="s">
        <v>1121</v>
      </c>
      <c r="D1225" s="5">
        <v>2</v>
      </c>
      <c r="E1225" s="9" t="s">
        <v>3188</v>
      </c>
      <c r="F1225" s="5" t="s">
        <v>86</v>
      </c>
      <c r="G1225" s="19" t="s">
        <v>3189</v>
      </c>
      <c r="H1225" s="5" t="s">
        <v>3178</v>
      </c>
      <c r="I1225" s="9"/>
      <c r="J1225" s="5"/>
      <c r="K1225" s="5"/>
      <c r="L1225" s="9"/>
      <c r="M1225" s="5">
        <v>5</v>
      </c>
      <c r="N1225" s="9" t="s">
        <v>4620</v>
      </c>
      <c r="O1225" s="9" t="str">
        <f t="shared" si="122"/>
        <v>PDFを開く</v>
      </c>
      <c r="P1225" s="9" t="s">
        <v>1126</v>
      </c>
    </row>
    <row r="1226" spans="1:16" ht="33.950000000000003" customHeight="1">
      <c r="A1226" s="2" t="s">
        <v>1120</v>
      </c>
      <c r="B1226" s="2" t="s">
        <v>73</v>
      </c>
      <c r="C1226" s="8" t="s">
        <v>1121</v>
      </c>
      <c r="D1226" s="2">
        <v>2</v>
      </c>
      <c r="E1226" s="8" t="s">
        <v>3191</v>
      </c>
      <c r="F1226" s="2" t="s">
        <v>2513</v>
      </c>
      <c r="G1226" s="2" t="s">
        <v>3177</v>
      </c>
      <c r="H1226" s="2" t="s">
        <v>3178</v>
      </c>
      <c r="I1226" s="8" t="s">
        <v>3407</v>
      </c>
      <c r="J1226" s="2">
        <v>2025</v>
      </c>
      <c r="K1226" s="2">
        <v>978</v>
      </c>
      <c r="L1226" s="8" t="s">
        <v>4621</v>
      </c>
      <c r="M1226" s="2"/>
      <c r="N1226" s="8" t="s">
        <v>4622</v>
      </c>
      <c r="O1226" s="8" t="str">
        <f t="shared" si="122"/>
        <v>PDFを開く</v>
      </c>
      <c r="P1226" s="8" t="s">
        <v>1126</v>
      </c>
    </row>
    <row r="1227" spans="1:16" ht="33.950000000000003" customHeight="1">
      <c r="A1227" s="5" t="s">
        <v>1120</v>
      </c>
      <c r="B1227" s="5" t="s">
        <v>73</v>
      </c>
      <c r="C1227" s="9" t="s">
        <v>1121</v>
      </c>
      <c r="D1227" s="5">
        <v>2</v>
      </c>
      <c r="E1227" s="9" t="s">
        <v>3191</v>
      </c>
      <c r="F1227" s="5" t="s">
        <v>2513</v>
      </c>
      <c r="G1227" s="5" t="s">
        <v>3177</v>
      </c>
      <c r="H1227" s="5" t="s">
        <v>3178</v>
      </c>
      <c r="I1227" s="9" t="s">
        <v>3335</v>
      </c>
      <c r="J1227" s="5">
        <v>2028</v>
      </c>
      <c r="K1227" s="5">
        <v>1129</v>
      </c>
      <c r="L1227" s="9" t="s">
        <v>4623</v>
      </c>
      <c r="M1227" s="5"/>
      <c r="N1227" s="9" t="s">
        <v>4622</v>
      </c>
      <c r="O1227" s="9" t="str">
        <f t="shared" si="122"/>
        <v>PDFを開く</v>
      </c>
      <c r="P1227" s="9" t="s">
        <v>1126</v>
      </c>
    </row>
    <row r="1228" spans="1:16" ht="33.950000000000003" customHeight="1">
      <c r="A1228" s="2" t="s">
        <v>1120</v>
      </c>
      <c r="B1228" s="2" t="s">
        <v>73</v>
      </c>
      <c r="C1228" s="8" t="s">
        <v>1121</v>
      </c>
      <c r="D1228" s="2">
        <v>2</v>
      </c>
      <c r="E1228" s="8" t="s">
        <v>3188</v>
      </c>
      <c r="F1228" s="2" t="s">
        <v>86</v>
      </c>
      <c r="G1228" s="2" t="s">
        <v>3177</v>
      </c>
      <c r="H1228" s="2"/>
      <c r="I1228" s="8" t="s">
        <v>4624</v>
      </c>
      <c r="J1228" s="2">
        <v>2025</v>
      </c>
      <c r="K1228" s="2"/>
      <c r="L1228" s="8" t="s">
        <v>3196</v>
      </c>
      <c r="M1228" s="2">
        <v>5</v>
      </c>
      <c r="N1228" s="8" t="s">
        <v>4625</v>
      </c>
      <c r="O1228" s="8" t="str">
        <f t="shared" si="122"/>
        <v>PDFを開く</v>
      </c>
      <c r="P1228" s="8" t="s">
        <v>1126</v>
      </c>
    </row>
    <row r="1229" spans="1:16" ht="33.950000000000003" customHeight="1">
      <c r="A1229" s="5" t="s">
        <v>1120</v>
      </c>
      <c r="B1229" s="5" t="s">
        <v>73</v>
      </c>
      <c r="C1229" s="9" t="s">
        <v>1121</v>
      </c>
      <c r="D1229" s="5">
        <v>2</v>
      </c>
      <c r="E1229" s="9" t="s">
        <v>3188</v>
      </c>
      <c r="F1229" s="5" t="s">
        <v>86</v>
      </c>
      <c r="G1229" s="5" t="s">
        <v>3177</v>
      </c>
      <c r="H1229" s="5"/>
      <c r="I1229" s="9" t="s">
        <v>4626</v>
      </c>
      <c r="J1229" s="5">
        <v>2028</v>
      </c>
      <c r="K1229" s="5"/>
      <c r="L1229" s="9" t="s">
        <v>4627</v>
      </c>
      <c r="M1229" s="5">
        <v>5</v>
      </c>
      <c r="N1229" s="9" t="s">
        <v>4625</v>
      </c>
      <c r="O1229" s="9" t="str">
        <f t="shared" si="122"/>
        <v>PDFを開く</v>
      </c>
      <c r="P1229" s="9" t="s">
        <v>1126</v>
      </c>
    </row>
    <row r="1230" spans="1:16" ht="33.950000000000003" customHeight="1">
      <c r="A1230" s="2" t="s">
        <v>1127</v>
      </c>
      <c r="B1230" s="2" t="s">
        <v>73</v>
      </c>
      <c r="C1230" s="8" t="s">
        <v>1128</v>
      </c>
      <c r="D1230" s="2">
        <v>2</v>
      </c>
      <c r="E1230" s="8" t="s">
        <v>3176</v>
      </c>
      <c r="F1230" s="2" t="s">
        <v>86</v>
      </c>
      <c r="G1230" s="2" t="s">
        <v>3177</v>
      </c>
      <c r="H1230" s="2" t="s">
        <v>3178</v>
      </c>
      <c r="I1230" s="8" t="s">
        <v>3179</v>
      </c>
      <c r="J1230" s="2">
        <v>2026</v>
      </c>
      <c r="K1230" s="2">
        <v>10001</v>
      </c>
      <c r="L1230" s="8" t="s">
        <v>4628</v>
      </c>
      <c r="M1230" s="2">
        <v>5.3</v>
      </c>
      <c r="N1230" s="8" t="s">
        <v>4629</v>
      </c>
      <c r="O1230" s="8" t="str">
        <f t="shared" ref="O1230:O1238" si="123">HYPERLINK("https://seichotoushi-hojo.jp/assets/pdf/koufu/outline_69.pdf","PDFを開く")</f>
        <v>PDFを開く</v>
      </c>
      <c r="P1230" s="8" t="s">
        <v>1134</v>
      </c>
    </row>
    <row r="1231" spans="1:16" ht="33.950000000000003" customHeight="1">
      <c r="A1231" s="5" t="s">
        <v>1127</v>
      </c>
      <c r="B1231" s="5" t="s">
        <v>73</v>
      </c>
      <c r="C1231" s="9" t="s">
        <v>1128</v>
      </c>
      <c r="D1231" s="5">
        <v>2</v>
      </c>
      <c r="E1231" s="9" t="s">
        <v>3176</v>
      </c>
      <c r="F1231" s="5" t="s">
        <v>86</v>
      </c>
      <c r="G1231" s="5" t="s">
        <v>3177</v>
      </c>
      <c r="H1231" s="5" t="s">
        <v>3178</v>
      </c>
      <c r="I1231" s="9" t="s">
        <v>3182</v>
      </c>
      <c r="J1231" s="5">
        <v>2029</v>
      </c>
      <c r="K1231" s="5">
        <v>11690</v>
      </c>
      <c r="L1231" s="9" t="s">
        <v>4630</v>
      </c>
      <c r="M1231" s="5">
        <v>5.3</v>
      </c>
      <c r="N1231" s="9" t="s">
        <v>4629</v>
      </c>
      <c r="O1231" s="9" t="str">
        <f t="shared" si="123"/>
        <v>PDFを開く</v>
      </c>
      <c r="P1231" s="9" t="s">
        <v>1134</v>
      </c>
    </row>
    <row r="1232" spans="1:16" ht="33.950000000000003" customHeight="1">
      <c r="A1232" s="2" t="s">
        <v>1127</v>
      </c>
      <c r="B1232" s="2" t="s">
        <v>73</v>
      </c>
      <c r="C1232" s="8" t="s">
        <v>1128</v>
      </c>
      <c r="D1232" s="2">
        <v>2</v>
      </c>
      <c r="E1232" s="8" t="s">
        <v>3184</v>
      </c>
      <c r="F1232" s="2" t="s">
        <v>86</v>
      </c>
      <c r="G1232" s="2" t="s">
        <v>3177</v>
      </c>
      <c r="H1232" s="2" t="s">
        <v>3178</v>
      </c>
      <c r="I1232" s="8" t="s">
        <v>3179</v>
      </c>
      <c r="J1232" s="2">
        <v>2026</v>
      </c>
      <c r="K1232" s="2">
        <v>6892</v>
      </c>
      <c r="L1232" s="8" t="s">
        <v>4631</v>
      </c>
      <c r="M1232" s="2">
        <v>5.01</v>
      </c>
      <c r="N1232" s="8" t="s">
        <v>4632</v>
      </c>
      <c r="O1232" s="8" t="str">
        <f t="shared" si="123"/>
        <v>PDFを開く</v>
      </c>
      <c r="P1232" s="8" t="s">
        <v>1134</v>
      </c>
    </row>
    <row r="1233" spans="1:16" ht="33.950000000000003" customHeight="1">
      <c r="A1233" s="5" t="s">
        <v>1127</v>
      </c>
      <c r="B1233" s="5" t="s">
        <v>73</v>
      </c>
      <c r="C1233" s="9" t="s">
        <v>1128</v>
      </c>
      <c r="D1233" s="5">
        <v>2</v>
      </c>
      <c r="E1233" s="9" t="s">
        <v>3184</v>
      </c>
      <c r="F1233" s="5" t="s">
        <v>86</v>
      </c>
      <c r="G1233" s="5" t="s">
        <v>3177</v>
      </c>
      <c r="H1233" s="5" t="s">
        <v>3178</v>
      </c>
      <c r="I1233" s="9" t="s">
        <v>3182</v>
      </c>
      <c r="J1233" s="5">
        <v>2029</v>
      </c>
      <c r="K1233" s="5">
        <v>7980</v>
      </c>
      <c r="L1233" s="9" t="s">
        <v>4633</v>
      </c>
      <c r="M1233" s="5">
        <v>5.01</v>
      </c>
      <c r="N1233" s="9" t="s">
        <v>4632</v>
      </c>
      <c r="O1233" s="9" t="str">
        <f t="shared" si="123"/>
        <v>PDFを開く</v>
      </c>
      <c r="P1233" s="9" t="s">
        <v>1134</v>
      </c>
    </row>
    <row r="1234" spans="1:16" ht="33.950000000000003" customHeight="1">
      <c r="A1234" s="2" t="s">
        <v>1127</v>
      </c>
      <c r="B1234" s="2" t="s">
        <v>73</v>
      </c>
      <c r="C1234" s="8" t="s">
        <v>1128</v>
      </c>
      <c r="D1234" s="2">
        <v>2</v>
      </c>
      <c r="E1234" s="8" t="s">
        <v>3188</v>
      </c>
      <c r="F1234" s="2" t="s">
        <v>86</v>
      </c>
      <c r="G1234" s="19" t="s">
        <v>3189</v>
      </c>
      <c r="H1234" s="2" t="s">
        <v>3178</v>
      </c>
      <c r="I1234" s="8"/>
      <c r="J1234" s="2"/>
      <c r="K1234" s="2"/>
      <c r="L1234" s="8"/>
      <c r="M1234" s="2">
        <v>5</v>
      </c>
      <c r="N1234" s="8" t="s">
        <v>4058</v>
      </c>
      <c r="O1234" s="8" t="str">
        <f t="shared" si="123"/>
        <v>PDFを開く</v>
      </c>
      <c r="P1234" s="8" t="s">
        <v>1134</v>
      </c>
    </row>
    <row r="1235" spans="1:16" ht="33.950000000000003" customHeight="1">
      <c r="A1235" s="5" t="s">
        <v>1127</v>
      </c>
      <c r="B1235" s="5" t="s">
        <v>73</v>
      </c>
      <c r="C1235" s="9" t="s">
        <v>1128</v>
      </c>
      <c r="D1235" s="5">
        <v>2</v>
      </c>
      <c r="E1235" s="9" t="s">
        <v>3191</v>
      </c>
      <c r="F1235" s="5" t="s">
        <v>2513</v>
      </c>
      <c r="G1235" s="5" t="s">
        <v>3177</v>
      </c>
      <c r="H1235" s="5" t="s">
        <v>3178</v>
      </c>
      <c r="I1235" s="9" t="s">
        <v>3179</v>
      </c>
      <c r="J1235" s="5">
        <v>2026</v>
      </c>
      <c r="K1235" s="5">
        <v>209</v>
      </c>
      <c r="L1235" s="9" t="s">
        <v>4008</v>
      </c>
      <c r="M1235" s="5"/>
      <c r="N1235" s="9" t="s">
        <v>4634</v>
      </c>
      <c r="O1235" s="9" t="str">
        <f t="shared" si="123"/>
        <v>PDFを開く</v>
      </c>
      <c r="P1235" s="9" t="s">
        <v>1134</v>
      </c>
    </row>
    <row r="1236" spans="1:16" ht="33.950000000000003" customHeight="1">
      <c r="A1236" s="2" t="s">
        <v>1127</v>
      </c>
      <c r="B1236" s="2" t="s">
        <v>73</v>
      </c>
      <c r="C1236" s="8" t="s">
        <v>1128</v>
      </c>
      <c r="D1236" s="2">
        <v>2</v>
      </c>
      <c r="E1236" s="8" t="s">
        <v>3191</v>
      </c>
      <c r="F1236" s="2" t="s">
        <v>2513</v>
      </c>
      <c r="G1236" s="2" t="s">
        <v>3177</v>
      </c>
      <c r="H1236" s="2" t="s">
        <v>3178</v>
      </c>
      <c r="I1236" s="8" t="s">
        <v>3182</v>
      </c>
      <c r="J1236" s="2">
        <v>2029</v>
      </c>
      <c r="K1236" s="2">
        <v>227</v>
      </c>
      <c r="L1236" s="8" t="s">
        <v>3429</v>
      </c>
      <c r="M1236" s="2"/>
      <c r="N1236" s="8" t="s">
        <v>4634</v>
      </c>
      <c r="O1236" s="8" t="str">
        <f t="shared" si="123"/>
        <v>PDFを開く</v>
      </c>
      <c r="P1236" s="8" t="s">
        <v>1134</v>
      </c>
    </row>
    <row r="1237" spans="1:16" ht="33.950000000000003" customHeight="1">
      <c r="A1237" s="5" t="s">
        <v>1127</v>
      </c>
      <c r="B1237" s="5" t="s">
        <v>73</v>
      </c>
      <c r="C1237" s="9" t="s">
        <v>1128</v>
      </c>
      <c r="D1237" s="5">
        <v>2</v>
      </c>
      <c r="E1237" s="9" t="s">
        <v>3188</v>
      </c>
      <c r="F1237" s="5" t="s">
        <v>86</v>
      </c>
      <c r="G1237" s="5" t="s">
        <v>3177</v>
      </c>
      <c r="H1237" s="5"/>
      <c r="I1237" s="9" t="s">
        <v>4635</v>
      </c>
      <c r="J1237" s="5">
        <v>2026</v>
      </c>
      <c r="K1237" s="5"/>
      <c r="L1237" s="9" t="s">
        <v>3211</v>
      </c>
      <c r="M1237" s="5">
        <v>5</v>
      </c>
      <c r="N1237" s="9" t="s">
        <v>4062</v>
      </c>
      <c r="O1237" s="9" t="str">
        <f t="shared" si="123"/>
        <v>PDFを開く</v>
      </c>
      <c r="P1237" s="9" t="s">
        <v>1134</v>
      </c>
    </row>
    <row r="1238" spans="1:16" ht="33.950000000000003" customHeight="1">
      <c r="A1238" s="2" t="s">
        <v>1127</v>
      </c>
      <c r="B1238" s="2" t="s">
        <v>73</v>
      </c>
      <c r="C1238" s="8" t="s">
        <v>1128</v>
      </c>
      <c r="D1238" s="2">
        <v>2</v>
      </c>
      <c r="E1238" s="8" t="s">
        <v>3188</v>
      </c>
      <c r="F1238" s="2" t="s">
        <v>86</v>
      </c>
      <c r="G1238" s="2" t="s">
        <v>3177</v>
      </c>
      <c r="H1238" s="2"/>
      <c r="I1238" s="8" t="s">
        <v>4636</v>
      </c>
      <c r="J1238" s="2">
        <v>2029</v>
      </c>
      <c r="K1238" s="2"/>
      <c r="L1238" s="8" t="s">
        <v>4064</v>
      </c>
      <c r="M1238" s="2">
        <v>5</v>
      </c>
      <c r="N1238" s="8" t="s">
        <v>4062</v>
      </c>
      <c r="O1238" s="8" t="str">
        <f t="shared" si="123"/>
        <v>PDFを開く</v>
      </c>
      <c r="P1238" s="8" t="s">
        <v>1134</v>
      </c>
    </row>
    <row r="1239" spans="1:16" ht="33.950000000000003" customHeight="1">
      <c r="A1239" s="5" t="s">
        <v>1135</v>
      </c>
      <c r="B1239" s="5" t="s">
        <v>73</v>
      </c>
      <c r="C1239" s="9" t="s">
        <v>1136</v>
      </c>
      <c r="D1239" s="5">
        <v>2</v>
      </c>
      <c r="E1239" s="9" t="s">
        <v>3176</v>
      </c>
      <c r="F1239" s="5" t="s">
        <v>86</v>
      </c>
      <c r="G1239" s="5" t="s">
        <v>3177</v>
      </c>
      <c r="H1239" s="5" t="s">
        <v>3178</v>
      </c>
      <c r="I1239" s="9" t="s">
        <v>3179</v>
      </c>
      <c r="J1239" s="5">
        <v>2026</v>
      </c>
      <c r="K1239" s="5">
        <v>4373</v>
      </c>
      <c r="L1239" s="9" t="s">
        <v>4637</v>
      </c>
      <c r="M1239" s="5">
        <v>8.91</v>
      </c>
      <c r="N1239" s="9" t="s">
        <v>4638</v>
      </c>
      <c r="O1239" s="9" t="str">
        <f t="shared" ref="O1239:O1245" si="124">HYPERLINK("https://seichotoushi-hojo.jp/assets/pdf/koufu/outline_7.pdf","PDFを開く")</f>
        <v>PDFを開く</v>
      </c>
      <c r="P1239" s="9" t="s">
        <v>1145</v>
      </c>
    </row>
    <row r="1240" spans="1:16" ht="33.950000000000003" customHeight="1">
      <c r="A1240" s="2" t="s">
        <v>1135</v>
      </c>
      <c r="B1240" s="2" t="s">
        <v>73</v>
      </c>
      <c r="C1240" s="8" t="s">
        <v>1136</v>
      </c>
      <c r="D1240" s="2">
        <v>2</v>
      </c>
      <c r="E1240" s="8" t="s">
        <v>3176</v>
      </c>
      <c r="F1240" s="2" t="s">
        <v>86</v>
      </c>
      <c r="G1240" s="2" t="s">
        <v>3177</v>
      </c>
      <c r="H1240" s="2" t="s">
        <v>3178</v>
      </c>
      <c r="I1240" s="8" t="s">
        <v>3182</v>
      </c>
      <c r="J1240" s="2">
        <v>2029</v>
      </c>
      <c r="K1240" s="2">
        <v>5649</v>
      </c>
      <c r="L1240" s="8" t="s">
        <v>4639</v>
      </c>
      <c r="M1240" s="2">
        <v>8.91</v>
      </c>
      <c r="N1240" s="8" t="s">
        <v>4638</v>
      </c>
      <c r="O1240" s="8" t="str">
        <f t="shared" si="124"/>
        <v>PDFを開く</v>
      </c>
      <c r="P1240" s="8" t="s">
        <v>1145</v>
      </c>
    </row>
    <row r="1241" spans="1:16" ht="33.950000000000003" customHeight="1">
      <c r="A1241" s="5" t="s">
        <v>1135</v>
      </c>
      <c r="B1241" s="5" t="s">
        <v>73</v>
      </c>
      <c r="C1241" s="9" t="s">
        <v>1136</v>
      </c>
      <c r="D1241" s="5">
        <v>2</v>
      </c>
      <c r="E1241" s="9" t="s">
        <v>3184</v>
      </c>
      <c r="F1241" s="5" t="s">
        <v>86</v>
      </c>
      <c r="G1241" s="5" t="s">
        <v>3177</v>
      </c>
      <c r="H1241" s="5" t="s">
        <v>3178</v>
      </c>
      <c r="I1241" s="9" t="s">
        <v>3179</v>
      </c>
      <c r="J1241" s="5">
        <v>2026</v>
      </c>
      <c r="K1241" s="5">
        <v>655</v>
      </c>
      <c r="L1241" s="9" t="s">
        <v>3639</v>
      </c>
      <c r="M1241" s="5">
        <v>3.87</v>
      </c>
      <c r="N1241" s="9" t="s">
        <v>4640</v>
      </c>
      <c r="O1241" s="9" t="str">
        <f t="shared" si="124"/>
        <v>PDFを開く</v>
      </c>
      <c r="P1241" s="9" t="s">
        <v>1145</v>
      </c>
    </row>
    <row r="1242" spans="1:16" ht="33.950000000000003" customHeight="1">
      <c r="A1242" s="2" t="s">
        <v>1135</v>
      </c>
      <c r="B1242" s="2" t="s">
        <v>73</v>
      </c>
      <c r="C1242" s="8" t="s">
        <v>1136</v>
      </c>
      <c r="D1242" s="2">
        <v>2</v>
      </c>
      <c r="E1242" s="8" t="s">
        <v>3184</v>
      </c>
      <c r="F1242" s="2" t="s">
        <v>86</v>
      </c>
      <c r="G1242" s="2" t="s">
        <v>3177</v>
      </c>
      <c r="H1242" s="2" t="s">
        <v>3178</v>
      </c>
      <c r="I1242" s="8" t="s">
        <v>3182</v>
      </c>
      <c r="J1242" s="2">
        <v>2029</v>
      </c>
      <c r="K1242" s="2">
        <v>734</v>
      </c>
      <c r="L1242" s="8" t="s">
        <v>4641</v>
      </c>
      <c r="M1242" s="2">
        <v>3.87</v>
      </c>
      <c r="N1242" s="8" t="s">
        <v>4640</v>
      </c>
      <c r="O1242" s="8" t="str">
        <f t="shared" si="124"/>
        <v>PDFを開く</v>
      </c>
      <c r="P1242" s="8" t="s">
        <v>1145</v>
      </c>
    </row>
    <row r="1243" spans="1:16" ht="33.950000000000003" customHeight="1">
      <c r="A1243" s="5" t="s">
        <v>1135</v>
      </c>
      <c r="B1243" s="5" t="s">
        <v>73</v>
      </c>
      <c r="C1243" s="9" t="s">
        <v>1136</v>
      </c>
      <c r="D1243" s="5">
        <v>2</v>
      </c>
      <c r="E1243" s="9" t="s">
        <v>3188</v>
      </c>
      <c r="F1243" s="5" t="s">
        <v>86</v>
      </c>
      <c r="G1243" s="19" t="s">
        <v>3189</v>
      </c>
      <c r="H1243" s="5" t="s">
        <v>3178</v>
      </c>
      <c r="I1243" s="9"/>
      <c r="J1243" s="5"/>
      <c r="K1243" s="5"/>
      <c r="L1243" s="9"/>
      <c r="M1243" s="5"/>
      <c r="N1243" s="9" t="s">
        <v>3488</v>
      </c>
      <c r="O1243" s="9" t="str">
        <f t="shared" si="124"/>
        <v>PDFを開く</v>
      </c>
      <c r="P1243" s="9" t="s">
        <v>1145</v>
      </c>
    </row>
    <row r="1244" spans="1:16" ht="33.950000000000003" customHeight="1">
      <c r="A1244" s="2" t="s">
        <v>1135</v>
      </c>
      <c r="B1244" s="2" t="s">
        <v>73</v>
      </c>
      <c r="C1244" s="8" t="s">
        <v>1136</v>
      </c>
      <c r="D1244" s="2">
        <v>2</v>
      </c>
      <c r="E1244" s="8" t="s">
        <v>3191</v>
      </c>
      <c r="F1244" s="2" t="s">
        <v>2513</v>
      </c>
      <c r="G1244" s="2" t="s">
        <v>3177</v>
      </c>
      <c r="H1244" s="2" t="s">
        <v>3178</v>
      </c>
      <c r="I1244" s="8" t="s">
        <v>3179</v>
      </c>
      <c r="J1244" s="2">
        <v>2026</v>
      </c>
      <c r="K1244" s="2">
        <v>228</v>
      </c>
      <c r="L1244" s="8" t="s">
        <v>4642</v>
      </c>
      <c r="M1244" s="2"/>
      <c r="N1244" s="8" t="s">
        <v>4643</v>
      </c>
      <c r="O1244" s="8" t="str">
        <f t="shared" si="124"/>
        <v>PDFを開く</v>
      </c>
      <c r="P1244" s="8" t="s">
        <v>1145</v>
      </c>
    </row>
    <row r="1245" spans="1:16" ht="33.950000000000003" customHeight="1">
      <c r="A1245" s="5" t="s">
        <v>1135</v>
      </c>
      <c r="B1245" s="5" t="s">
        <v>73</v>
      </c>
      <c r="C1245" s="9" t="s">
        <v>1136</v>
      </c>
      <c r="D1245" s="5">
        <v>2</v>
      </c>
      <c r="E1245" s="9" t="s">
        <v>3191</v>
      </c>
      <c r="F1245" s="5" t="s">
        <v>2513</v>
      </c>
      <c r="G1245" s="5" t="s">
        <v>3177</v>
      </c>
      <c r="H1245" s="5" t="s">
        <v>3178</v>
      </c>
      <c r="I1245" s="9" t="s">
        <v>3182</v>
      </c>
      <c r="J1245" s="5">
        <v>2029</v>
      </c>
      <c r="K1245" s="5">
        <v>291</v>
      </c>
      <c r="L1245" s="9" t="s">
        <v>3579</v>
      </c>
      <c r="M1245" s="5"/>
      <c r="N1245" s="9" t="s">
        <v>4643</v>
      </c>
      <c r="O1245" s="9" t="str">
        <f t="shared" si="124"/>
        <v>PDFを開く</v>
      </c>
      <c r="P1245" s="9" t="s">
        <v>1145</v>
      </c>
    </row>
    <row r="1246" spans="1:16" ht="33.950000000000003" customHeight="1">
      <c r="A1246" s="2" t="s">
        <v>1146</v>
      </c>
      <c r="B1246" s="2" t="s">
        <v>73</v>
      </c>
      <c r="C1246" s="8" t="s">
        <v>1147</v>
      </c>
      <c r="D1246" s="2">
        <v>2</v>
      </c>
      <c r="E1246" s="8" t="s">
        <v>3176</v>
      </c>
      <c r="F1246" s="2" t="s">
        <v>86</v>
      </c>
      <c r="G1246" s="2" t="s">
        <v>3177</v>
      </c>
      <c r="H1246" s="2" t="s">
        <v>3178</v>
      </c>
      <c r="I1246" s="8" t="s">
        <v>3407</v>
      </c>
      <c r="J1246" s="2">
        <v>2025</v>
      </c>
      <c r="K1246" s="2">
        <v>921.2</v>
      </c>
      <c r="L1246" s="8" t="s">
        <v>4644</v>
      </c>
      <c r="M1246" s="2">
        <v>10</v>
      </c>
      <c r="N1246" s="8" t="s">
        <v>4645</v>
      </c>
      <c r="O1246" s="8" t="str">
        <f t="shared" ref="O1246:O1254" si="125">HYPERLINK("https://seichotoushi-hojo.jp/assets/pdf/koufu/outline_70.pdf","PDFを開く")</f>
        <v>PDFを開く</v>
      </c>
      <c r="P1246" s="8" t="s">
        <v>1153</v>
      </c>
    </row>
    <row r="1247" spans="1:16" ht="33.950000000000003" customHeight="1">
      <c r="A1247" s="5" t="s">
        <v>1146</v>
      </c>
      <c r="B1247" s="5" t="s">
        <v>73</v>
      </c>
      <c r="C1247" s="9" t="s">
        <v>1147</v>
      </c>
      <c r="D1247" s="5">
        <v>2</v>
      </c>
      <c r="E1247" s="9" t="s">
        <v>3176</v>
      </c>
      <c r="F1247" s="5" t="s">
        <v>86</v>
      </c>
      <c r="G1247" s="5" t="s">
        <v>3177</v>
      </c>
      <c r="H1247" s="5" t="s">
        <v>3178</v>
      </c>
      <c r="I1247" s="9" t="s">
        <v>3335</v>
      </c>
      <c r="J1247" s="5">
        <v>2028</v>
      </c>
      <c r="K1247" s="5">
        <v>1229.5</v>
      </c>
      <c r="L1247" s="9" t="s">
        <v>4646</v>
      </c>
      <c r="M1247" s="5">
        <v>10</v>
      </c>
      <c r="N1247" s="9" t="s">
        <v>4645</v>
      </c>
      <c r="O1247" s="9" t="str">
        <f t="shared" si="125"/>
        <v>PDFを開く</v>
      </c>
      <c r="P1247" s="9" t="s">
        <v>1153</v>
      </c>
    </row>
    <row r="1248" spans="1:16" ht="33.950000000000003" customHeight="1">
      <c r="A1248" s="2" t="s">
        <v>1146</v>
      </c>
      <c r="B1248" s="2" t="s">
        <v>73</v>
      </c>
      <c r="C1248" s="8" t="s">
        <v>1147</v>
      </c>
      <c r="D1248" s="2">
        <v>2</v>
      </c>
      <c r="E1248" s="8" t="s">
        <v>3184</v>
      </c>
      <c r="F1248" s="2" t="s">
        <v>86</v>
      </c>
      <c r="G1248" s="2" t="s">
        <v>3177</v>
      </c>
      <c r="H1248" s="2" t="s">
        <v>3178</v>
      </c>
      <c r="I1248" s="8" t="s">
        <v>3407</v>
      </c>
      <c r="J1248" s="2">
        <v>2025</v>
      </c>
      <c r="K1248" s="2">
        <v>477.4</v>
      </c>
      <c r="L1248" s="8" t="s">
        <v>4647</v>
      </c>
      <c r="M1248" s="2">
        <v>5</v>
      </c>
      <c r="N1248" s="8" t="s">
        <v>4648</v>
      </c>
      <c r="O1248" s="8" t="str">
        <f t="shared" si="125"/>
        <v>PDFを開く</v>
      </c>
      <c r="P1248" s="8" t="s">
        <v>1153</v>
      </c>
    </row>
    <row r="1249" spans="1:16" ht="33.950000000000003" customHeight="1">
      <c r="A1249" s="5" t="s">
        <v>1146</v>
      </c>
      <c r="B1249" s="5" t="s">
        <v>73</v>
      </c>
      <c r="C1249" s="9" t="s">
        <v>1147</v>
      </c>
      <c r="D1249" s="5">
        <v>2</v>
      </c>
      <c r="E1249" s="9" t="s">
        <v>3184</v>
      </c>
      <c r="F1249" s="5" t="s">
        <v>86</v>
      </c>
      <c r="G1249" s="5" t="s">
        <v>3177</v>
      </c>
      <c r="H1249" s="5" t="s">
        <v>3178</v>
      </c>
      <c r="I1249" s="9" t="s">
        <v>3335</v>
      </c>
      <c r="J1249" s="5">
        <v>2028</v>
      </c>
      <c r="K1249" s="5">
        <v>552.70000000000005</v>
      </c>
      <c r="L1249" s="9" t="s">
        <v>4649</v>
      </c>
      <c r="M1249" s="5">
        <v>5</v>
      </c>
      <c r="N1249" s="9" t="s">
        <v>4648</v>
      </c>
      <c r="O1249" s="9" t="str">
        <f t="shared" si="125"/>
        <v>PDFを開く</v>
      </c>
      <c r="P1249" s="9" t="s">
        <v>1153</v>
      </c>
    </row>
    <row r="1250" spans="1:16" ht="33.950000000000003" customHeight="1">
      <c r="A1250" s="2" t="s">
        <v>1146</v>
      </c>
      <c r="B1250" s="2" t="s">
        <v>73</v>
      </c>
      <c r="C1250" s="8" t="s">
        <v>1147</v>
      </c>
      <c r="D1250" s="2">
        <v>2</v>
      </c>
      <c r="E1250" s="8" t="s">
        <v>3188</v>
      </c>
      <c r="F1250" s="2" t="s">
        <v>86</v>
      </c>
      <c r="G1250" s="19" t="s">
        <v>3189</v>
      </c>
      <c r="H1250" s="2" t="s">
        <v>3178</v>
      </c>
      <c r="I1250" s="8"/>
      <c r="J1250" s="2"/>
      <c r="K1250" s="2"/>
      <c r="L1250" s="8"/>
      <c r="M1250" s="2">
        <v>4</v>
      </c>
      <c r="N1250" s="8" t="s">
        <v>4650</v>
      </c>
      <c r="O1250" s="8" t="str">
        <f t="shared" si="125"/>
        <v>PDFを開く</v>
      </c>
      <c r="P1250" s="8" t="s">
        <v>1153</v>
      </c>
    </row>
    <row r="1251" spans="1:16" ht="33.950000000000003" customHeight="1">
      <c r="A1251" s="5" t="s">
        <v>1146</v>
      </c>
      <c r="B1251" s="5" t="s">
        <v>73</v>
      </c>
      <c r="C1251" s="9" t="s">
        <v>1147</v>
      </c>
      <c r="D1251" s="5">
        <v>2</v>
      </c>
      <c r="E1251" s="9" t="s">
        <v>3191</v>
      </c>
      <c r="F1251" s="5" t="s">
        <v>2513</v>
      </c>
      <c r="G1251" s="5" t="s">
        <v>3177</v>
      </c>
      <c r="H1251" s="5" t="s">
        <v>3178</v>
      </c>
      <c r="I1251" s="9" t="s">
        <v>3407</v>
      </c>
      <c r="J1251" s="5">
        <v>2025</v>
      </c>
      <c r="K1251" s="5">
        <v>123</v>
      </c>
      <c r="L1251" s="9" t="s">
        <v>4093</v>
      </c>
      <c r="M1251" s="5"/>
      <c r="N1251" s="9" t="s">
        <v>4651</v>
      </c>
      <c r="O1251" s="9" t="str">
        <f t="shared" si="125"/>
        <v>PDFを開く</v>
      </c>
      <c r="P1251" s="9" t="s">
        <v>1153</v>
      </c>
    </row>
    <row r="1252" spans="1:16" ht="33.950000000000003" customHeight="1">
      <c r="A1252" s="2" t="s">
        <v>1146</v>
      </c>
      <c r="B1252" s="2" t="s">
        <v>73</v>
      </c>
      <c r="C1252" s="8" t="s">
        <v>1147</v>
      </c>
      <c r="D1252" s="2">
        <v>2</v>
      </c>
      <c r="E1252" s="8" t="s">
        <v>3191</v>
      </c>
      <c r="F1252" s="2" t="s">
        <v>2513</v>
      </c>
      <c r="G1252" s="2" t="s">
        <v>3177</v>
      </c>
      <c r="H1252" s="2" t="s">
        <v>3178</v>
      </c>
      <c r="I1252" s="8" t="s">
        <v>3335</v>
      </c>
      <c r="J1252" s="2">
        <v>2028</v>
      </c>
      <c r="K1252" s="2">
        <v>130</v>
      </c>
      <c r="L1252" s="8" t="s">
        <v>3499</v>
      </c>
      <c r="M1252" s="2"/>
      <c r="N1252" s="8" t="s">
        <v>4651</v>
      </c>
      <c r="O1252" s="8" t="str">
        <f t="shared" si="125"/>
        <v>PDFを開く</v>
      </c>
      <c r="P1252" s="8" t="s">
        <v>1153</v>
      </c>
    </row>
    <row r="1253" spans="1:16" ht="33.950000000000003" customHeight="1">
      <c r="A1253" s="5" t="s">
        <v>1146</v>
      </c>
      <c r="B1253" s="5" t="s">
        <v>73</v>
      </c>
      <c r="C1253" s="9" t="s">
        <v>1147</v>
      </c>
      <c r="D1253" s="5">
        <v>2</v>
      </c>
      <c r="E1253" s="9" t="s">
        <v>3188</v>
      </c>
      <c r="F1253" s="5" t="s">
        <v>86</v>
      </c>
      <c r="G1253" s="5" t="s">
        <v>3177</v>
      </c>
      <c r="H1253" s="5"/>
      <c r="I1253" s="9" t="s">
        <v>4652</v>
      </c>
      <c r="J1253" s="5">
        <v>2025</v>
      </c>
      <c r="K1253" s="5"/>
      <c r="L1253" s="9" t="s">
        <v>3211</v>
      </c>
      <c r="M1253" s="5">
        <v>4</v>
      </c>
      <c r="N1253" s="9" t="s">
        <v>4653</v>
      </c>
      <c r="O1253" s="9" t="str">
        <f t="shared" si="125"/>
        <v>PDFを開く</v>
      </c>
      <c r="P1253" s="9" t="s">
        <v>1153</v>
      </c>
    </row>
    <row r="1254" spans="1:16" ht="33.950000000000003" customHeight="1">
      <c r="A1254" s="2" t="s">
        <v>1146</v>
      </c>
      <c r="B1254" s="2" t="s">
        <v>73</v>
      </c>
      <c r="C1254" s="8" t="s">
        <v>1147</v>
      </c>
      <c r="D1254" s="2">
        <v>2</v>
      </c>
      <c r="E1254" s="8" t="s">
        <v>3188</v>
      </c>
      <c r="F1254" s="2" t="s">
        <v>86</v>
      </c>
      <c r="G1254" s="2" t="s">
        <v>3177</v>
      </c>
      <c r="H1254" s="2"/>
      <c r="I1254" s="8" t="s">
        <v>4654</v>
      </c>
      <c r="J1254" s="2">
        <v>2028</v>
      </c>
      <c r="K1254" s="2"/>
      <c r="L1254" s="8" t="s">
        <v>4655</v>
      </c>
      <c r="M1254" s="2">
        <v>4</v>
      </c>
      <c r="N1254" s="8" t="s">
        <v>4653</v>
      </c>
      <c r="O1254" s="8" t="str">
        <f t="shared" si="125"/>
        <v>PDFを開く</v>
      </c>
      <c r="P1254" s="8" t="s">
        <v>1153</v>
      </c>
    </row>
    <row r="1255" spans="1:16" ht="33.950000000000003" customHeight="1">
      <c r="A1255" s="5" t="s">
        <v>1154</v>
      </c>
      <c r="B1255" s="5" t="s">
        <v>73</v>
      </c>
      <c r="C1255" s="9" t="s">
        <v>1155</v>
      </c>
      <c r="D1255" s="5">
        <v>2</v>
      </c>
      <c r="E1255" s="9" t="s">
        <v>3176</v>
      </c>
      <c r="F1255" s="5" t="s">
        <v>86</v>
      </c>
      <c r="G1255" s="5" t="s">
        <v>3177</v>
      </c>
      <c r="H1255" s="5" t="s">
        <v>3178</v>
      </c>
      <c r="I1255" s="9" t="s">
        <v>3179</v>
      </c>
      <c r="J1255" s="5">
        <v>2026</v>
      </c>
      <c r="K1255" s="5">
        <v>764</v>
      </c>
      <c r="L1255" s="9" t="s">
        <v>4656</v>
      </c>
      <c r="M1255" s="5">
        <v>23.8</v>
      </c>
      <c r="N1255" s="9" t="s">
        <v>4657</v>
      </c>
      <c r="O1255" s="9" t="str">
        <f t="shared" ref="O1255:O1263" si="126">HYPERLINK("https://seichotoushi-hojo.jp/assets/pdf/koufu/outline_71.pdf","PDFを開く")</f>
        <v>PDFを開く</v>
      </c>
      <c r="P1255" s="9" t="s">
        <v>1160</v>
      </c>
    </row>
    <row r="1256" spans="1:16" ht="33.950000000000003" customHeight="1">
      <c r="A1256" s="2" t="s">
        <v>1154</v>
      </c>
      <c r="B1256" s="2" t="s">
        <v>73</v>
      </c>
      <c r="C1256" s="8" t="s">
        <v>1155</v>
      </c>
      <c r="D1256" s="2">
        <v>2</v>
      </c>
      <c r="E1256" s="8" t="s">
        <v>3176</v>
      </c>
      <c r="F1256" s="2" t="s">
        <v>86</v>
      </c>
      <c r="G1256" s="2" t="s">
        <v>3177</v>
      </c>
      <c r="H1256" s="2" t="s">
        <v>3178</v>
      </c>
      <c r="I1256" s="8" t="s">
        <v>3182</v>
      </c>
      <c r="J1256" s="2">
        <v>2029</v>
      </c>
      <c r="K1256" s="2">
        <v>1451</v>
      </c>
      <c r="L1256" s="8" t="s">
        <v>4658</v>
      </c>
      <c r="M1256" s="2">
        <v>23.8</v>
      </c>
      <c r="N1256" s="8" t="s">
        <v>4657</v>
      </c>
      <c r="O1256" s="8" t="str">
        <f t="shared" si="126"/>
        <v>PDFを開く</v>
      </c>
      <c r="P1256" s="8" t="s">
        <v>1160</v>
      </c>
    </row>
    <row r="1257" spans="1:16" ht="33.950000000000003" customHeight="1">
      <c r="A1257" s="5" t="s">
        <v>1154</v>
      </c>
      <c r="B1257" s="5" t="s">
        <v>73</v>
      </c>
      <c r="C1257" s="9" t="s">
        <v>1155</v>
      </c>
      <c r="D1257" s="5">
        <v>2</v>
      </c>
      <c r="E1257" s="9" t="s">
        <v>3184</v>
      </c>
      <c r="F1257" s="5" t="s">
        <v>86</v>
      </c>
      <c r="G1257" s="5" t="s">
        <v>3177</v>
      </c>
      <c r="H1257" s="5" t="s">
        <v>3178</v>
      </c>
      <c r="I1257" s="9" t="s">
        <v>3179</v>
      </c>
      <c r="J1257" s="5">
        <v>2026</v>
      </c>
      <c r="K1257" s="5">
        <v>510</v>
      </c>
      <c r="L1257" s="9" t="s">
        <v>4659</v>
      </c>
      <c r="M1257" s="5">
        <v>4.99</v>
      </c>
      <c r="N1257" s="9" t="s">
        <v>4660</v>
      </c>
      <c r="O1257" s="9" t="str">
        <f t="shared" si="126"/>
        <v>PDFを開く</v>
      </c>
      <c r="P1257" s="9" t="s">
        <v>1160</v>
      </c>
    </row>
    <row r="1258" spans="1:16" ht="33.950000000000003" customHeight="1">
      <c r="A1258" s="2" t="s">
        <v>1154</v>
      </c>
      <c r="B1258" s="2" t="s">
        <v>73</v>
      </c>
      <c r="C1258" s="8" t="s">
        <v>1155</v>
      </c>
      <c r="D1258" s="2">
        <v>2</v>
      </c>
      <c r="E1258" s="8" t="s">
        <v>3184</v>
      </c>
      <c r="F1258" s="2" t="s">
        <v>86</v>
      </c>
      <c r="G1258" s="2" t="s">
        <v>3177</v>
      </c>
      <c r="H1258" s="2" t="s">
        <v>3178</v>
      </c>
      <c r="I1258" s="8" t="s">
        <v>3182</v>
      </c>
      <c r="J1258" s="2">
        <v>2029</v>
      </c>
      <c r="K1258" s="2">
        <v>590</v>
      </c>
      <c r="L1258" s="8" t="s">
        <v>4661</v>
      </c>
      <c r="M1258" s="2">
        <v>4.99</v>
      </c>
      <c r="N1258" s="8" t="s">
        <v>4660</v>
      </c>
      <c r="O1258" s="8" t="str">
        <f t="shared" si="126"/>
        <v>PDFを開く</v>
      </c>
      <c r="P1258" s="8" t="s">
        <v>1160</v>
      </c>
    </row>
    <row r="1259" spans="1:16" ht="33.950000000000003" customHeight="1">
      <c r="A1259" s="5" t="s">
        <v>1154</v>
      </c>
      <c r="B1259" s="5" t="s">
        <v>73</v>
      </c>
      <c r="C1259" s="9" t="s">
        <v>1155</v>
      </c>
      <c r="D1259" s="5">
        <v>2</v>
      </c>
      <c r="E1259" s="9" t="s">
        <v>3188</v>
      </c>
      <c r="F1259" s="5" t="s">
        <v>86</v>
      </c>
      <c r="G1259" s="19" t="s">
        <v>3189</v>
      </c>
      <c r="H1259" s="5" t="s">
        <v>3178</v>
      </c>
      <c r="I1259" s="9"/>
      <c r="J1259" s="5"/>
      <c r="K1259" s="5"/>
      <c r="L1259" s="9"/>
      <c r="M1259" s="5">
        <v>5</v>
      </c>
      <c r="N1259" s="9" t="s">
        <v>4058</v>
      </c>
      <c r="O1259" s="9" t="str">
        <f t="shared" si="126"/>
        <v>PDFを開く</v>
      </c>
      <c r="P1259" s="9" t="s">
        <v>1160</v>
      </c>
    </row>
    <row r="1260" spans="1:16" ht="33.950000000000003" customHeight="1">
      <c r="A1260" s="2" t="s">
        <v>1154</v>
      </c>
      <c r="B1260" s="2" t="s">
        <v>73</v>
      </c>
      <c r="C1260" s="8" t="s">
        <v>1155</v>
      </c>
      <c r="D1260" s="2">
        <v>2</v>
      </c>
      <c r="E1260" s="8" t="s">
        <v>3191</v>
      </c>
      <c r="F1260" s="2" t="s">
        <v>2513</v>
      </c>
      <c r="G1260" s="2" t="s">
        <v>3177</v>
      </c>
      <c r="H1260" s="2" t="s">
        <v>3178</v>
      </c>
      <c r="I1260" s="8" t="s">
        <v>3179</v>
      </c>
      <c r="J1260" s="2">
        <v>2026</v>
      </c>
      <c r="K1260" s="2">
        <v>137</v>
      </c>
      <c r="L1260" s="8" t="s">
        <v>4662</v>
      </c>
      <c r="M1260" s="2"/>
      <c r="N1260" s="8" t="s">
        <v>4663</v>
      </c>
      <c r="O1260" s="8" t="str">
        <f t="shared" si="126"/>
        <v>PDFを開く</v>
      </c>
      <c r="P1260" s="8" t="s">
        <v>1160</v>
      </c>
    </row>
    <row r="1261" spans="1:16" ht="33.950000000000003" customHeight="1">
      <c r="A1261" s="5" t="s">
        <v>1154</v>
      </c>
      <c r="B1261" s="5" t="s">
        <v>73</v>
      </c>
      <c r="C1261" s="9" t="s">
        <v>1155</v>
      </c>
      <c r="D1261" s="5">
        <v>2</v>
      </c>
      <c r="E1261" s="9" t="s">
        <v>3191</v>
      </c>
      <c r="F1261" s="5" t="s">
        <v>2513</v>
      </c>
      <c r="G1261" s="5" t="s">
        <v>3177</v>
      </c>
      <c r="H1261" s="5" t="s">
        <v>3178</v>
      </c>
      <c r="I1261" s="9" t="s">
        <v>3182</v>
      </c>
      <c r="J1261" s="5">
        <v>2029</v>
      </c>
      <c r="K1261" s="5">
        <v>144</v>
      </c>
      <c r="L1261" s="9" t="s">
        <v>4664</v>
      </c>
      <c r="M1261" s="5"/>
      <c r="N1261" s="9" t="s">
        <v>4663</v>
      </c>
      <c r="O1261" s="9" t="str">
        <f t="shared" si="126"/>
        <v>PDFを開く</v>
      </c>
      <c r="P1261" s="9" t="s">
        <v>1160</v>
      </c>
    </row>
    <row r="1262" spans="1:16" ht="33.950000000000003" customHeight="1">
      <c r="A1262" s="2" t="s">
        <v>1154</v>
      </c>
      <c r="B1262" s="2" t="s">
        <v>73</v>
      </c>
      <c r="C1262" s="8" t="s">
        <v>1155</v>
      </c>
      <c r="D1262" s="2">
        <v>2</v>
      </c>
      <c r="E1262" s="8" t="s">
        <v>3188</v>
      </c>
      <c r="F1262" s="2" t="s">
        <v>86</v>
      </c>
      <c r="G1262" s="2" t="s">
        <v>3177</v>
      </c>
      <c r="H1262" s="2"/>
      <c r="I1262" s="8" t="s">
        <v>4665</v>
      </c>
      <c r="J1262" s="2">
        <v>2026</v>
      </c>
      <c r="K1262" s="2"/>
      <c r="L1262" s="8" t="s">
        <v>3211</v>
      </c>
      <c r="M1262" s="2">
        <v>5</v>
      </c>
      <c r="N1262" s="8" t="s">
        <v>4062</v>
      </c>
      <c r="O1262" s="8" t="str">
        <f t="shared" si="126"/>
        <v>PDFを開く</v>
      </c>
      <c r="P1262" s="8" t="s">
        <v>1160</v>
      </c>
    </row>
    <row r="1263" spans="1:16" ht="33.950000000000003" customHeight="1">
      <c r="A1263" s="5" t="s">
        <v>1154</v>
      </c>
      <c r="B1263" s="5" t="s">
        <v>73</v>
      </c>
      <c r="C1263" s="9" t="s">
        <v>1155</v>
      </c>
      <c r="D1263" s="5">
        <v>2</v>
      </c>
      <c r="E1263" s="9" t="s">
        <v>3188</v>
      </c>
      <c r="F1263" s="5" t="s">
        <v>86</v>
      </c>
      <c r="G1263" s="5" t="s">
        <v>3177</v>
      </c>
      <c r="H1263" s="5"/>
      <c r="I1263" s="9" t="s">
        <v>4666</v>
      </c>
      <c r="J1263" s="5">
        <v>2029</v>
      </c>
      <c r="K1263" s="5"/>
      <c r="L1263" s="9" t="s">
        <v>4064</v>
      </c>
      <c r="M1263" s="5">
        <v>5</v>
      </c>
      <c r="N1263" s="9" t="s">
        <v>4062</v>
      </c>
      <c r="O1263" s="9" t="str">
        <f t="shared" si="126"/>
        <v>PDFを開く</v>
      </c>
      <c r="P1263" s="9" t="s">
        <v>1160</v>
      </c>
    </row>
    <row r="1264" spans="1:16" ht="33.950000000000003" customHeight="1">
      <c r="A1264" s="2" t="s">
        <v>1161</v>
      </c>
      <c r="B1264" s="2" t="s">
        <v>73</v>
      </c>
      <c r="C1264" s="8" t="s">
        <v>1162</v>
      </c>
      <c r="D1264" s="2">
        <v>2</v>
      </c>
      <c r="E1264" s="8" t="s">
        <v>3176</v>
      </c>
      <c r="F1264" s="2" t="s">
        <v>86</v>
      </c>
      <c r="G1264" s="2" t="s">
        <v>3177</v>
      </c>
      <c r="H1264" s="2" t="s">
        <v>3178</v>
      </c>
      <c r="I1264" s="8" t="s">
        <v>3407</v>
      </c>
      <c r="J1264" s="2">
        <v>2025</v>
      </c>
      <c r="K1264" s="2">
        <v>858</v>
      </c>
      <c r="L1264" s="8" t="s">
        <v>4667</v>
      </c>
      <c r="M1264" s="2">
        <v>10.3</v>
      </c>
      <c r="N1264" s="8" t="s">
        <v>4668</v>
      </c>
      <c r="O1264" s="8" t="str">
        <f t="shared" ref="O1264:O1273" si="127">HYPERLINK("https://seichotoushi-hojo.jp/assets/pdf/koufu/outline_72.pdf","PDFを開く")</f>
        <v>PDFを開く</v>
      </c>
      <c r="P1264" s="8" t="s">
        <v>1168</v>
      </c>
    </row>
    <row r="1265" spans="1:16" ht="33.950000000000003" customHeight="1">
      <c r="A1265" s="5" t="s">
        <v>1161</v>
      </c>
      <c r="B1265" s="5" t="s">
        <v>73</v>
      </c>
      <c r="C1265" s="9" t="s">
        <v>1162</v>
      </c>
      <c r="D1265" s="5">
        <v>2</v>
      </c>
      <c r="E1265" s="9" t="s">
        <v>3176</v>
      </c>
      <c r="F1265" s="5" t="s">
        <v>86</v>
      </c>
      <c r="G1265" s="5" t="s">
        <v>3177</v>
      </c>
      <c r="H1265" s="5" t="s">
        <v>3178</v>
      </c>
      <c r="I1265" s="9" t="s">
        <v>3335</v>
      </c>
      <c r="J1265" s="5">
        <v>2028</v>
      </c>
      <c r="K1265" s="5">
        <v>991</v>
      </c>
      <c r="L1265" s="9" t="s">
        <v>4669</v>
      </c>
      <c r="M1265" s="5">
        <v>10.3</v>
      </c>
      <c r="N1265" s="9" t="s">
        <v>4668</v>
      </c>
      <c r="O1265" s="9" t="str">
        <f t="shared" si="127"/>
        <v>PDFを開く</v>
      </c>
      <c r="P1265" s="9" t="s">
        <v>1168</v>
      </c>
    </row>
    <row r="1266" spans="1:16" ht="33.950000000000003" customHeight="1">
      <c r="A1266" s="2" t="s">
        <v>1161</v>
      </c>
      <c r="B1266" s="2" t="s">
        <v>73</v>
      </c>
      <c r="C1266" s="8" t="s">
        <v>1162</v>
      </c>
      <c r="D1266" s="2">
        <v>2</v>
      </c>
      <c r="E1266" s="8" t="s">
        <v>3184</v>
      </c>
      <c r="F1266" s="2" t="s">
        <v>86</v>
      </c>
      <c r="G1266" s="2" t="s">
        <v>3177</v>
      </c>
      <c r="H1266" s="2" t="s">
        <v>3178</v>
      </c>
      <c r="I1266" s="8" t="s">
        <v>3407</v>
      </c>
      <c r="J1266" s="2">
        <v>2025</v>
      </c>
      <c r="K1266" s="2">
        <v>407</v>
      </c>
      <c r="L1266" s="8" t="s">
        <v>3956</v>
      </c>
      <c r="M1266" s="2">
        <v>4.5</v>
      </c>
      <c r="N1266" s="8" t="s">
        <v>4670</v>
      </c>
      <c r="O1266" s="8" t="str">
        <f t="shared" si="127"/>
        <v>PDFを開く</v>
      </c>
      <c r="P1266" s="8" t="s">
        <v>1168</v>
      </c>
    </row>
    <row r="1267" spans="1:16" ht="33.950000000000003" customHeight="1">
      <c r="A1267" s="5" t="s">
        <v>1161</v>
      </c>
      <c r="B1267" s="5" t="s">
        <v>73</v>
      </c>
      <c r="C1267" s="9" t="s">
        <v>1162</v>
      </c>
      <c r="D1267" s="5">
        <v>2</v>
      </c>
      <c r="E1267" s="9" t="s">
        <v>3184</v>
      </c>
      <c r="F1267" s="5" t="s">
        <v>86</v>
      </c>
      <c r="G1267" s="5" t="s">
        <v>3177</v>
      </c>
      <c r="H1267" s="5" t="s">
        <v>3178</v>
      </c>
      <c r="I1267" s="9" t="s">
        <v>3335</v>
      </c>
      <c r="J1267" s="5">
        <v>2028</v>
      </c>
      <c r="K1267" s="5">
        <v>465</v>
      </c>
      <c r="L1267" s="9" t="s">
        <v>4671</v>
      </c>
      <c r="M1267" s="5">
        <v>4.5</v>
      </c>
      <c r="N1267" s="9" t="s">
        <v>4670</v>
      </c>
      <c r="O1267" s="9" t="str">
        <f t="shared" si="127"/>
        <v>PDFを開く</v>
      </c>
      <c r="P1267" s="9" t="s">
        <v>1168</v>
      </c>
    </row>
    <row r="1268" spans="1:16" ht="33.950000000000003" customHeight="1">
      <c r="A1268" s="2" t="s">
        <v>1161</v>
      </c>
      <c r="B1268" s="2" t="s">
        <v>73</v>
      </c>
      <c r="C1268" s="8" t="s">
        <v>1162</v>
      </c>
      <c r="D1268" s="2">
        <v>2</v>
      </c>
      <c r="E1268" s="8" t="s">
        <v>3188</v>
      </c>
      <c r="F1268" s="2" t="s">
        <v>86</v>
      </c>
      <c r="G1268" s="2" t="s">
        <v>3177</v>
      </c>
      <c r="H1268" s="2" t="s">
        <v>3178</v>
      </c>
      <c r="I1268" s="8" t="s">
        <v>3407</v>
      </c>
      <c r="J1268" s="2">
        <v>2025</v>
      </c>
      <c r="K1268" s="2">
        <v>0</v>
      </c>
      <c r="L1268" s="8" t="s">
        <v>3267</v>
      </c>
      <c r="M1268" s="2">
        <v>0</v>
      </c>
      <c r="N1268" s="8" t="s">
        <v>4672</v>
      </c>
      <c r="O1268" s="8" t="str">
        <f t="shared" si="127"/>
        <v>PDFを開く</v>
      </c>
      <c r="P1268" s="8" t="s">
        <v>1168</v>
      </c>
    </row>
    <row r="1269" spans="1:16" ht="33.950000000000003" customHeight="1">
      <c r="A1269" s="5" t="s">
        <v>1161</v>
      </c>
      <c r="B1269" s="5" t="s">
        <v>73</v>
      </c>
      <c r="C1269" s="9" t="s">
        <v>1162</v>
      </c>
      <c r="D1269" s="5">
        <v>2</v>
      </c>
      <c r="E1269" s="9" t="s">
        <v>3188</v>
      </c>
      <c r="F1269" s="5" t="s">
        <v>86</v>
      </c>
      <c r="G1269" s="5" t="s">
        <v>3177</v>
      </c>
      <c r="H1269" s="5" t="s">
        <v>3178</v>
      </c>
      <c r="I1269" s="9" t="s">
        <v>3335</v>
      </c>
      <c r="J1269" s="5">
        <v>2028</v>
      </c>
      <c r="K1269" s="5">
        <v>0</v>
      </c>
      <c r="L1269" s="9" t="s">
        <v>3267</v>
      </c>
      <c r="M1269" s="5">
        <v>0</v>
      </c>
      <c r="N1269" s="9" t="s">
        <v>4672</v>
      </c>
      <c r="O1269" s="9" t="str">
        <f t="shared" si="127"/>
        <v>PDFを開く</v>
      </c>
      <c r="P1269" s="9" t="s">
        <v>1168</v>
      </c>
    </row>
    <row r="1270" spans="1:16" ht="33.950000000000003" customHeight="1">
      <c r="A1270" s="2" t="s">
        <v>1161</v>
      </c>
      <c r="B1270" s="2" t="s">
        <v>73</v>
      </c>
      <c r="C1270" s="8" t="s">
        <v>1162</v>
      </c>
      <c r="D1270" s="2">
        <v>2</v>
      </c>
      <c r="E1270" s="8" t="s">
        <v>3191</v>
      </c>
      <c r="F1270" s="2" t="s">
        <v>2513</v>
      </c>
      <c r="G1270" s="2" t="s">
        <v>3177</v>
      </c>
      <c r="H1270" s="2" t="s">
        <v>3178</v>
      </c>
      <c r="I1270" s="8" t="s">
        <v>3407</v>
      </c>
      <c r="J1270" s="2">
        <v>2025</v>
      </c>
      <c r="K1270" s="2">
        <v>57</v>
      </c>
      <c r="L1270" s="8" t="s">
        <v>4673</v>
      </c>
      <c r="M1270" s="2"/>
      <c r="N1270" s="8" t="s">
        <v>4674</v>
      </c>
      <c r="O1270" s="8" t="str">
        <f t="shared" si="127"/>
        <v>PDFを開く</v>
      </c>
      <c r="P1270" s="8" t="s">
        <v>1168</v>
      </c>
    </row>
    <row r="1271" spans="1:16" ht="33.950000000000003" customHeight="1">
      <c r="A1271" s="5" t="s">
        <v>1161</v>
      </c>
      <c r="B1271" s="5" t="s">
        <v>73</v>
      </c>
      <c r="C1271" s="9" t="s">
        <v>1162</v>
      </c>
      <c r="D1271" s="5">
        <v>2</v>
      </c>
      <c r="E1271" s="9" t="s">
        <v>3191</v>
      </c>
      <c r="F1271" s="5" t="s">
        <v>2513</v>
      </c>
      <c r="G1271" s="5" t="s">
        <v>3177</v>
      </c>
      <c r="H1271" s="5" t="s">
        <v>3178</v>
      </c>
      <c r="I1271" s="9" t="s">
        <v>3335</v>
      </c>
      <c r="J1271" s="5">
        <v>2028</v>
      </c>
      <c r="K1271" s="5">
        <v>153</v>
      </c>
      <c r="L1271" s="9" t="s">
        <v>3844</v>
      </c>
      <c r="M1271" s="5"/>
      <c r="N1271" s="9" t="s">
        <v>4674</v>
      </c>
      <c r="O1271" s="9" t="str">
        <f t="shared" si="127"/>
        <v>PDFを開く</v>
      </c>
      <c r="P1271" s="9" t="s">
        <v>1168</v>
      </c>
    </row>
    <row r="1272" spans="1:16" ht="33.950000000000003" customHeight="1">
      <c r="A1272" s="2" t="s">
        <v>1161</v>
      </c>
      <c r="B1272" s="2" t="s">
        <v>73</v>
      </c>
      <c r="C1272" s="8" t="s">
        <v>1162</v>
      </c>
      <c r="D1272" s="2">
        <v>2</v>
      </c>
      <c r="E1272" s="8" t="s">
        <v>3176</v>
      </c>
      <c r="F1272" s="2" t="s">
        <v>86</v>
      </c>
      <c r="G1272" s="2" t="s">
        <v>3177</v>
      </c>
      <c r="H1272" s="2"/>
      <c r="I1272" s="8" t="s">
        <v>4290</v>
      </c>
      <c r="J1272" s="2">
        <v>2025</v>
      </c>
      <c r="K1272" s="2">
        <v>858</v>
      </c>
      <c r="L1272" s="8" t="s">
        <v>4667</v>
      </c>
      <c r="M1272" s="2">
        <v>9.9</v>
      </c>
      <c r="N1272" s="8" t="s">
        <v>4675</v>
      </c>
      <c r="O1272" s="8" t="str">
        <f t="shared" si="127"/>
        <v>PDFを開く</v>
      </c>
      <c r="P1272" s="8" t="s">
        <v>1168</v>
      </c>
    </row>
    <row r="1273" spans="1:16" ht="33.950000000000003" customHeight="1">
      <c r="A1273" s="5" t="s">
        <v>1161</v>
      </c>
      <c r="B1273" s="5" t="s">
        <v>73</v>
      </c>
      <c r="C1273" s="9" t="s">
        <v>1162</v>
      </c>
      <c r="D1273" s="5">
        <v>2</v>
      </c>
      <c r="E1273" s="9" t="s">
        <v>3176</v>
      </c>
      <c r="F1273" s="5" t="s">
        <v>86</v>
      </c>
      <c r="G1273" s="5" t="s">
        <v>3177</v>
      </c>
      <c r="H1273" s="5"/>
      <c r="I1273" s="9" t="s">
        <v>4533</v>
      </c>
      <c r="J1273" s="5">
        <v>2028</v>
      </c>
      <c r="K1273" s="5">
        <v>991</v>
      </c>
      <c r="L1273" s="9" t="s">
        <v>4669</v>
      </c>
      <c r="M1273" s="5">
        <v>9.9</v>
      </c>
      <c r="N1273" s="9" t="s">
        <v>4675</v>
      </c>
      <c r="O1273" s="9" t="str">
        <f t="shared" si="127"/>
        <v>PDFを開く</v>
      </c>
      <c r="P1273" s="9" t="s">
        <v>1168</v>
      </c>
    </row>
    <row r="1274" spans="1:16" ht="33.950000000000003" customHeight="1">
      <c r="A1274" s="2" t="s">
        <v>1169</v>
      </c>
      <c r="B1274" s="2" t="s">
        <v>73</v>
      </c>
      <c r="C1274" s="8" t="s">
        <v>1170</v>
      </c>
      <c r="D1274" s="2">
        <v>2</v>
      </c>
      <c r="E1274" s="8" t="s">
        <v>3176</v>
      </c>
      <c r="F1274" s="2" t="s">
        <v>86</v>
      </c>
      <c r="G1274" s="2" t="s">
        <v>3177</v>
      </c>
      <c r="H1274" s="2" t="s">
        <v>3178</v>
      </c>
      <c r="I1274" s="8" t="s">
        <v>3407</v>
      </c>
      <c r="J1274" s="2">
        <v>2025</v>
      </c>
      <c r="K1274" s="2">
        <v>2272.9</v>
      </c>
      <c r="L1274" s="8" t="s">
        <v>4676</v>
      </c>
      <c r="M1274" s="2">
        <v>14.2</v>
      </c>
      <c r="N1274" s="8" t="s">
        <v>4677</v>
      </c>
      <c r="O1274" s="8" t="str">
        <f t="shared" ref="O1274:O1282" si="128">HYPERLINK("https://seichotoushi-hojo.jp/assets/pdf/koufu/outline_73.pdf","PDFを開く")</f>
        <v>PDFを開く</v>
      </c>
      <c r="P1274" s="8" t="s">
        <v>1177</v>
      </c>
    </row>
    <row r="1275" spans="1:16" ht="33.950000000000003" customHeight="1">
      <c r="A1275" s="5" t="s">
        <v>1169</v>
      </c>
      <c r="B1275" s="5" t="s">
        <v>73</v>
      </c>
      <c r="C1275" s="9" t="s">
        <v>1170</v>
      </c>
      <c r="D1275" s="5">
        <v>2</v>
      </c>
      <c r="E1275" s="9" t="s">
        <v>3176</v>
      </c>
      <c r="F1275" s="5" t="s">
        <v>86</v>
      </c>
      <c r="G1275" s="5" t="s">
        <v>3177</v>
      </c>
      <c r="H1275" s="5" t="s">
        <v>3178</v>
      </c>
      <c r="I1275" s="9" t="s">
        <v>3335</v>
      </c>
      <c r="J1275" s="5">
        <v>2028</v>
      </c>
      <c r="K1275" s="5">
        <v>3382.2</v>
      </c>
      <c r="L1275" s="9" t="s">
        <v>4678</v>
      </c>
      <c r="M1275" s="5">
        <v>14.2</v>
      </c>
      <c r="N1275" s="9" t="s">
        <v>4677</v>
      </c>
      <c r="O1275" s="9" t="str">
        <f t="shared" si="128"/>
        <v>PDFを開く</v>
      </c>
      <c r="P1275" s="9" t="s">
        <v>1177</v>
      </c>
    </row>
    <row r="1276" spans="1:16" ht="33.950000000000003" customHeight="1">
      <c r="A1276" s="2" t="s">
        <v>1169</v>
      </c>
      <c r="B1276" s="2" t="s">
        <v>73</v>
      </c>
      <c r="C1276" s="8" t="s">
        <v>1170</v>
      </c>
      <c r="D1276" s="2">
        <v>2</v>
      </c>
      <c r="E1276" s="8" t="s">
        <v>3184</v>
      </c>
      <c r="F1276" s="2" t="s">
        <v>86</v>
      </c>
      <c r="G1276" s="2" t="s">
        <v>3177</v>
      </c>
      <c r="H1276" s="2" t="s">
        <v>3178</v>
      </c>
      <c r="I1276" s="8" t="s">
        <v>3407</v>
      </c>
      <c r="J1276" s="2">
        <v>2025</v>
      </c>
      <c r="K1276" s="2">
        <v>526.5</v>
      </c>
      <c r="L1276" s="8" t="s">
        <v>4679</v>
      </c>
      <c r="M1276" s="2">
        <v>4.8</v>
      </c>
      <c r="N1276" s="8" t="s">
        <v>4680</v>
      </c>
      <c r="O1276" s="8" t="str">
        <f t="shared" si="128"/>
        <v>PDFを開く</v>
      </c>
      <c r="P1276" s="8" t="s">
        <v>1177</v>
      </c>
    </row>
    <row r="1277" spans="1:16" ht="33.950000000000003" customHeight="1">
      <c r="A1277" s="5" t="s">
        <v>1169</v>
      </c>
      <c r="B1277" s="5" t="s">
        <v>73</v>
      </c>
      <c r="C1277" s="9" t="s">
        <v>1170</v>
      </c>
      <c r="D1277" s="5">
        <v>2</v>
      </c>
      <c r="E1277" s="9" t="s">
        <v>3184</v>
      </c>
      <c r="F1277" s="5" t="s">
        <v>86</v>
      </c>
      <c r="G1277" s="5" t="s">
        <v>3177</v>
      </c>
      <c r="H1277" s="5" t="s">
        <v>3178</v>
      </c>
      <c r="I1277" s="9" t="s">
        <v>3335</v>
      </c>
      <c r="J1277" s="5">
        <v>2028</v>
      </c>
      <c r="K1277" s="5">
        <v>606</v>
      </c>
      <c r="L1277" s="9" t="s">
        <v>4681</v>
      </c>
      <c r="M1277" s="5">
        <v>4.8</v>
      </c>
      <c r="N1277" s="9" t="s">
        <v>4680</v>
      </c>
      <c r="O1277" s="9" t="str">
        <f t="shared" si="128"/>
        <v>PDFを開く</v>
      </c>
      <c r="P1277" s="9" t="s">
        <v>1177</v>
      </c>
    </row>
    <row r="1278" spans="1:16" ht="33.950000000000003" customHeight="1">
      <c r="A1278" s="2" t="s">
        <v>1169</v>
      </c>
      <c r="B1278" s="2" t="s">
        <v>73</v>
      </c>
      <c r="C1278" s="8" t="s">
        <v>1170</v>
      </c>
      <c r="D1278" s="2">
        <v>2</v>
      </c>
      <c r="E1278" s="8" t="s">
        <v>3188</v>
      </c>
      <c r="F1278" s="2" t="s">
        <v>86</v>
      </c>
      <c r="G1278" s="19" t="s">
        <v>3189</v>
      </c>
      <c r="H1278" s="2" t="s">
        <v>3178</v>
      </c>
      <c r="I1278" s="8"/>
      <c r="J1278" s="2"/>
      <c r="K1278" s="2"/>
      <c r="L1278" s="8"/>
      <c r="M1278" s="2">
        <v>4.8</v>
      </c>
      <c r="N1278" s="8" t="s">
        <v>4682</v>
      </c>
      <c r="O1278" s="8" t="str">
        <f t="shared" si="128"/>
        <v>PDFを開く</v>
      </c>
      <c r="P1278" s="8" t="s">
        <v>1177</v>
      </c>
    </row>
    <row r="1279" spans="1:16" ht="33.950000000000003" customHeight="1">
      <c r="A1279" s="5" t="s">
        <v>1169</v>
      </c>
      <c r="B1279" s="5" t="s">
        <v>73</v>
      </c>
      <c r="C1279" s="9" t="s">
        <v>1170</v>
      </c>
      <c r="D1279" s="5">
        <v>2</v>
      </c>
      <c r="E1279" s="9" t="s">
        <v>3191</v>
      </c>
      <c r="F1279" s="5" t="s">
        <v>2513</v>
      </c>
      <c r="G1279" s="5" t="s">
        <v>3177</v>
      </c>
      <c r="H1279" s="5" t="s">
        <v>3178</v>
      </c>
      <c r="I1279" s="9" t="s">
        <v>3407</v>
      </c>
      <c r="J1279" s="5">
        <v>2025</v>
      </c>
      <c r="K1279" s="5">
        <v>144</v>
      </c>
      <c r="L1279" s="9" t="s">
        <v>4664</v>
      </c>
      <c r="M1279" s="5"/>
      <c r="N1279" s="9" t="s">
        <v>4683</v>
      </c>
      <c r="O1279" s="9" t="str">
        <f t="shared" si="128"/>
        <v>PDFを開く</v>
      </c>
      <c r="P1279" s="9" t="s">
        <v>1177</v>
      </c>
    </row>
    <row r="1280" spans="1:16" ht="33.950000000000003" customHeight="1">
      <c r="A1280" s="2" t="s">
        <v>1169</v>
      </c>
      <c r="B1280" s="2" t="s">
        <v>73</v>
      </c>
      <c r="C1280" s="8" t="s">
        <v>1170</v>
      </c>
      <c r="D1280" s="2">
        <v>2</v>
      </c>
      <c r="E1280" s="8" t="s">
        <v>3191</v>
      </c>
      <c r="F1280" s="2" t="s">
        <v>2513</v>
      </c>
      <c r="G1280" s="2" t="s">
        <v>3177</v>
      </c>
      <c r="H1280" s="2" t="s">
        <v>3178</v>
      </c>
      <c r="I1280" s="8" t="s">
        <v>3335</v>
      </c>
      <c r="J1280" s="2">
        <v>2028</v>
      </c>
      <c r="K1280" s="2">
        <v>153</v>
      </c>
      <c r="L1280" s="8" t="s">
        <v>3844</v>
      </c>
      <c r="M1280" s="2"/>
      <c r="N1280" s="8" t="s">
        <v>4683</v>
      </c>
      <c r="O1280" s="8" t="str">
        <f t="shared" si="128"/>
        <v>PDFを開く</v>
      </c>
      <c r="P1280" s="8" t="s">
        <v>1177</v>
      </c>
    </row>
    <row r="1281" spans="1:16" ht="33.950000000000003" customHeight="1">
      <c r="A1281" s="5" t="s">
        <v>1169</v>
      </c>
      <c r="B1281" s="5" t="s">
        <v>73</v>
      </c>
      <c r="C1281" s="9" t="s">
        <v>1170</v>
      </c>
      <c r="D1281" s="5">
        <v>2</v>
      </c>
      <c r="E1281" s="9" t="s">
        <v>3188</v>
      </c>
      <c r="F1281" s="5" t="s">
        <v>86</v>
      </c>
      <c r="G1281" s="5" t="s">
        <v>3177</v>
      </c>
      <c r="H1281" s="5"/>
      <c r="I1281" s="9" t="s">
        <v>4684</v>
      </c>
      <c r="J1281" s="5">
        <v>2025</v>
      </c>
      <c r="K1281" s="5"/>
      <c r="L1281" s="9" t="s">
        <v>3211</v>
      </c>
      <c r="M1281" s="5">
        <v>4.8</v>
      </c>
      <c r="N1281" s="9" t="s">
        <v>4685</v>
      </c>
      <c r="O1281" s="9" t="str">
        <f t="shared" si="128"/>
        <v>PDFを開く</v>
      </c>
      <c r="P1281" s="9" t="s">
        <v>1177</v>
      </c>
    </row>
    <row r="1282" spans="1:16" ht="33.950000000000003" customHeight="1">
      <c r="A1282" s="2" t="s">
        <v>1169</v>
      </c>
      <c r="B1282" s="2" t="s">
        <v>73</v>
      </c>
      <c r="C1282" s="8" t="s">
        <v>1170</v>
      </c>
      <c r="D1282" s="2">
        <v>2</v>
      </c>
      <c r="E1282" s="8" t="s">
        <v>3188</v>
      </c>
      <c r="F1282" s="2" t="s">
        <v>86</v>
      </c>
      <c r="G1282" s="2" t="s">
        <v>3177</v>
      </c>
      <c r="H1282" s="2"/>
      <c r="I1282" s="8" t="s">
        <v>4686</v>
      </c>
      <c r="J1282" s="2">
        <v>2028</v>
      </c>
      <c r="K1282" s="2"/>
      <c r="L1282" s="8" t="s">
        <v>4687</v>
      </c>
      <c r="M1282" s="2">
        <v>4.8</v>
      </c>
      <c r="N1282" s="8" t="s">
        <v>4685</v>
      </c>
      <c r="O1282" s="8" t="str">
        <f t="shared" si="128"/>
        <v>PDFを開く</v>
      </c>
      <c r="P1282" s="8" t="s">
        <v>1177</v>
      </c>
    </row>
    <row r="1283" spans="1:16" ht="33.950000000000003" customHeight="1">
      <c r="A1283" s="5" t="s">
        <v>1178</v>
      </c>
      <c r="B1283" s="5" t="s">
        <v>73</v>
      </c>
      <c r="C1283" s="9" t="s">
        <v>1179</v>
      </c>
      <c r="D1283" s="5">
        <v>2</v>
      </c>
      <c r="E1283" s="9" t="s">
        <v>3176</v>
      </c>
      <c r="F1283" s="5" t="s">
        <v>86</v>
      </c>
      <c r="G1283" s="5" t="s">
        <v>3177</v>
      </c>
      <c r="H1283" s="5" t="s">
        <v>3178</v>
      </c>
      <c r="I1283" s="9" t="s">
        <v>3574</v>
      </c>
      <c r="J1283" s="5">
        <v>2026</v>
      </c>
      <c r="K1283" s="5">
        <v>620</v>
      </c>
      <c r="L1283" s="9" t="s">
        <v>4688</v>
      </c>
      <c r="M1283" s="5">
        <v>8.8000000000000007</v>
      </c>
      <c r="N1283" s="9" t="s">
        <v>4689</v>
      </c>
      <c r="O1283" s="9" t="str">
        <f t="shared" ref="O1283:O1289" si="129">HYPERLINK("https://seichotoushi-hojo.jp/assets/pdf/koufu/outline_74.pdf","PDFを開く")</f>
        <v>PDFを開く</v>
      </c>
      <c r="P1283" s="9" t="s">
        <v>1184</v>
      </c>
    </row>
    <row r="1284" spans="1:16" ht="33.950000000000003" customHeight="1">
      <c r="A1284" s="2" t="s">
        <v>1178</v>
      </c>
      <c r="B1284" s="2" t="s">
        <v>73</v>
      </c>
      <c r="C1284" s="8" t="s">
        <v>1179</v>
      </c>
      <c r="D1284" s="2">
        <v>2</v>
      </c>
      <c r="E1284" s="8" t="s">
        <v>3176</v>
      </c>
      <c r="F1284" s="2" t="s">
        <v>86</v>
      </c>
      <c r="G1284" s="2" t="s">
        <v>3177</v>
      </c>
      <c r="H1284" s="2" t="s">
        <v>3178</v>
      </c>
      <c r="I1284" s="8" t="s">
        <v>3577</v>
      </c>
      <c r="J1284" s="2">
        <v>2029</v>
      </c>
      <c r="K1284" s="2">
        <v>788</v>
      </c>
      <c r="L1284" s="8" t="s">
        <v>4690</v>
      </c>
      <c r="M1284" s="2">
        <v>8.8000000000000007</v>
      </c>
      <c r="N1284" s="8" t="s">
        <v>4689</v>
      </c>
      <c r="O1284" s="8" t="str">
        <f t="shared" si="129"/>
        <v>PDFを開く</v>
      </c>
      <c r="P1284" s="8" t="s">
        <v>1184</v>
      </c>
    </row>
    <row r="1285" spans="1:16" ht="33.950000000000003" customHeight="1">
      <c r="A1285" s="5" t="s">
        <v>1178</v>
      </c>
      <c r="B1285" s="5" t="s">
        <v>73</v>
      </c>
      <c r="C1285" s="9" t="s">
        <v>1179</v>
      </c>
      <c r="D1285" s="5">
        <v>2</v>
      </c>
      <c r="E1285" s="9" t="s">
        <v>3184</v>
      </c>
      <c r="F1285" s="5" t="s">
        <v>86</v>
      </c>
      <c r="G1285" s="5" t="s">
        <v>3177</v>
      </c>
      <c r="H1285" s="5" t="s">
        <v>3178</v>
      </c>
      <c r="I1285" s="9" t="s">
        <v>3574</v>
      </c>
      <c r="J1285" s="5">
        <v>2026</v>
      </c>
      <c r="K1285" s="5">
        <v>402</v>
      </c>
      <c r="L1285" s="9" t="s">
        <v>4107</v>
      </c>
      <c r="M1285" s="5">
        <v>6.72</v>
      </c>
      <c r="N1285" s="9" t="s">
        <v>4691</v>
      </c>
      <c r="O1285" s="9" t="str">
        <f t="shared" si="129"/>
        <v>PDFを開く</v>
      </c>
      <c r="P1285" s="9" t="s">
        <v>1184</v>
      </c>
    </row>
    <row r="1286" spans="1:16" ht="33.950000000000003" customHeight="1">
      <c r="A1286" s="2" t="s">
        <v>1178</v>
      </c>
      <c r="B1286" s="2" t="s">
        <v>73</v>
      </c>
      <c r="C1286" s="8" t="s">
        <v>1179</v>
      </c>
      <c r="D1286" s="2">
        <v>2</v>
      </c>
      <c r="E1286" s="8" t="s">
        <v>3184</v>
      </c>
      <c r="F1286" s="2" t="s">
        <v>86</v>
      </c>
      <c r="G1286" s="2" t="s">
        <v>3177</v>
      </c>
      <c r="H1286" s="2" t="s">
        <v>3178</v>
      </c>
      <c r="I1286" s="8" t="s">
        <v>3577</v>
      </c>
      <c r="J1286" s="2">
        <v>2029</v>
      </c>
      <c r="K1286" s="2">
        <v>489</v>
      </c>
      <c r="L1286" s="8" t="s">
        <v>4692</v>
      </c>
      <c r="M1286" s="2">
        <v>6.72</v>
      </c>
      <c r="N1286" s="8" t="s">
        <v>4691</v>
      </c>
      <c r="O1286" s="8" t="str">
        <f t="shared" si="129"/>
        <v>PDFを開く</v>
      </c>
      <c r="P1286" s="8" t="s">
        <v>1184</v>
      </c>
    </row>
    <row r="1287" spans="1:16" ht="33.950000000000003" customHeight="1">
      <c r="A1287" s="5" t="s">
        <v>1178</v>
      </c>
      <c r="B1287" s="5" t="s">
        <v>73</v>
      </c>
      <c r="C1287" s="9" t="s">
        <v>1179</v>
      </c>
      <c r="D1287" s="5">
        <v>2</v>
      </c>
      <c r="E1287" s="9" t="s">
        <v>3188</v>
      </c>
      <c r="F1287" s="5" t="s">
        <v>86</v>
      </c>
      <c r="G1287" s="19" t="s">
        <v>3189</v>
      </c>
      <c r="H1287" s="5" t="s">
        <v>3178</v>
      </c>
      <c r="I1287" s="9"/>
      <c r="J1287" s="5"/>
      <c r="K1287" s="5"/>
      <c r="L1287" s="9"/>
      <c r="M1287" s="5">
        <v>3</v>
      </c>
      <c r="N1287" s="9" t="s">
        <v>4693</v>
      </c>
      <c r="O1287" s="9" t="str">
        <f t="shared" si="129"/>
        <v>PDFを開く</v>
      </c>
      <c r="P1287" s="9" t="s">
        <v>1184</v>
      </c>
    </row>
    <row r="1288" spans="1:16" ht="33.950000000000003" customHeight="1">
      <c r="A1288" s="2" t="s">
        <v>1178</v>
      </c>
      <c r="B1288" s="2" t="s">
        <v>73</v>
      </c>
      <c r="C1288" s="8" t="s">
        <v>1179</v>
      </c>
      <c r="D1288" s="2">
        <v>2</v>
      </c>
      <c r="E1288" s="8" t="s">
        <v>3191</v>
      </c>
      <c r="F1288" s="2" t="s">
        <v>2513</v>
      </c>
      <c r="G1288" s="2" t="s">
        <v>3177</v>
      </c>
      <c r="H1288" s="2" t="s">
        <v>3178</v>
      </c>
      <c r="I1288" s="8" t="s">
        <v>3574</v>
      </c>
      <c r="J1288" s="2">
        <v>2026</v>
      </c>
      <c r="K1288" s="2">
        <v>210</v>
      </c>
      <c r="L1288" s="8" t="s">
        <v>3671</v>
      </c>
      <c r="M1288" s="2"/>
      <c r="N1288" s="8" t="s">
        <v>4694</v>
      </c>
      <c r="O1288" s="8" t="str">
        <f t="shared" si="129"/>
        <v>PDFを開く</v>
      </c>
      <c r="P1288" s="8" t="s">
        <v>1184</v>
      </c>
    </row>
    <row r="1289" spans="1:16" ht="33.950000000000003" customHeight="1">
      <c r="A1289" s="5" t="s">
        <v>1178</v>
      </c>
      <c r="B1289" s="5" t="s">
        <v>73</v>
      </c>
      <c r="C1289" s="9" t="s">
        <v>1179</v>
      </c>
      <c r="D1289" s="5">
        <v>2</v>
      </c>
      <c r="E1289" s="9" t="s">
        <v>3191</v>
      </c>
      <c r="F1289" s="5" t="s">
        <v>2513</v>
      </c>
      <c r="G1289" s="5" t="s">
        <v>3177</v>
      </c>
      <c r="H1289" s="5" t="s">
        <v>3178</v>
      </c>
      <c r="I1289" s="9" t="s">
        <v>3577</v>
      </c>
      <c r="J1289" s="5">
        <v>2029</v>
      </c>
      <c r="K1289" s="5">
        <v>285</v>
      </c>
      <c r="L1289" s="9" t="s">
        <v>4611</v>
      </c>
      <c r="M1289" s="5"/>
      <c r="N1289" s="9" t="s">
        <v>4694</v>
      </c>
      <c r="O1289" s="9" t="str">
        <f t="shared" si="129"/>
        <v>PDFを開く</v>
      </c>
      <c r="P1289" s="9" t="s">
        <v>1184</v>
      </c>
    </row>
    <row r="1290" spans="1:16" ht="33.950000000000003" customHeight="1">
      <c r="A1290" s="2" t="s">
        <v>1185</v>
      </c>
      <c r="B1290" s="2" t="s">
        <v>73</v>
      </c>
      <c r="C1290" s="8" t="s">
        <v>1186</v>
      </c>
      <c r="D1290" s="2">
        <v>2</v>
      </c>
      <c r="E1290" s="8" t="s">
        <v>3176</v>
      </c>
      <c r="F1290" s="2" t="s">
        <v>86</v>
      </c>
      <c r="G1290" s="2" t="s">
        <v>3177</v>
      </c>
      <c r="H1290" s="2" t="s">
        <v>3178</v>
      </c>
      <c r="I1290" s="8" t="s">
        <v>3259</v>
      </c>
      <c r="J1290" s="2">
        <v>2027</v>
      </c>
      <c r="K1290" s="2">
        <v>652</v>
      </c>
      <c r="L1290" s="8" t="s">
        <v>4695</v>
      </c>
      <c r="M1290" s="2">
        <v>21.3</v>
      </c>
      <c r="N1290" s="8" t="s">
        <v>4696</v>
      </c>
      <c r="O1290" s="8" t="str">
        <f t="shared" ref="O1290:O1298" si="130">HYPERLINK("https://seichotoushi-hojo.jp/assets/pdf/koufu/outline_75.pdf","PDFを開く")</f>
        <v>PDFを開く</v>
      </c>
      <c r="P1290" s="8" t="s">
        <v>1192</v>
      </c>
    </row>
    <row r="1291" spans="1:16" ht="33.950000000000003" customHeight="1">
      <c r="A1291" s="5" t="s">
        <v>1185</v>
      </c>
      <c r="B1291" s="5" t="s">
        <v>73</v>
      </c>
      <c r="C1291" s="9" t="s">
        <v>1186</v>
      </c>
      <c r="D1291" s="5">
        <v>2</v>
      </c>
      <c r="E1291" s="9" t="s">
        <v>3176</v>
      </c>
      <c r="F1291" s="5" t="s">
        <v>86</v>
      </c>
      <c r="G1291" s="5" t="s">
        <v>3177</v>
      </c>
      <c r="H1291" s="5" t="s">
        <v>3178</v>
      </c>
      <c r="I1291" s="9" t="s">
        <v>3262</v>
      </c>
      <c r="J1291" s="5">
        <v>2030</v>
      </c>
      <c r="K1291" s="5">
        <v>1141</v>
      </c>
      <c r="L1291" s="9" t="s">
        <v>4697</v>
      </c>
      <c r="M1291" s="5">
        <v>21.3</v>
      </c>
      <c r="N1291" s="9" t="s">
        <v>4696</v>
      </c>
      <c r="O1291" s="9" t="str">
        <f t="shared" si="130"/>
        <v>PDFを開く</v>
      </c>
      <c r="P1291" s="9" t="s">
        <v>1192</v>
      </c>
    </row>
    <row r="1292" spans="1:16" ht="33.950000000000003" customHeight="1">
      <c r="A1292" s="2" t="s">
        <v>1185</v>
      </c>
      <c r="B1292" s="2" t="s">
        <v>73</v>
      </c>
      <c r="C1292" s="8" t="s">
        <v>1186</v>
      </c>
      <c r="D1292" s="2">
        <v>2</v>
      </c>
      <c r="E1292" s="8" t="s">
        <v>3184</v>
      </c>
      <c r="F1292" s="2" t="s">
        <v>86</v>
      </c>
      <c r="G1292" s="2" t="s">
        <v>3177</v>
      </c>
      <c r="H1292" s="2" t="s">
        <v>3178</v>
      </c>
      <c r="I1292" s="8" t="s">
        <v>3259</v>
      </c>
      <c r="J1292" s="2">
        <v>2027</v>
      </c>
      <c r="K1292" s="2">
        <v>435</v>
      </c>
      <c r="L1292" s="8" t="s">
        <v>4698</v>
      </c>
      <c r="M1292" s="2">
        <v>3.67</v>
      </c>
      <c r="N1292" s="8" t="s">
        <v>4699</v>
      </c>
      <c r="O1292" s="8" t="str">
        <f t="shared" si="130"/>
        <v>PDFを開く</v>
      </c>
      <c r="P1292" s="8" t="s">
        <v>1192</v>
      </c>
    </row>
    <row r="1293" spans="1:16" ht="33.950000000000003" customHeight="1">
      <c r="A1293" s="5" t="s">
        <v>1185</v>
      </c>
      <c r="B1293" s="5" t="s">
        <v>73</v>
      </c>
      <c r="C1293" s="9" t="s">
        <v>1186</v>
      </c>
      <c r="D1293" s="5">
        <v>2</v>
      </c>
      <c r="E1293" s="9" t="s">
        <v>3184</v>
      </c>
      <c r="F1293" s="5" t="s">
        <v>86</v>
      </c>
      <c r="G1293" s="5" t="s">
        <v>3177</v>
      </c>
      <c r="H1293" s="5" t="s">
        <v>3178</v>
      </c>
      <c r="I1293" s="9" t="s">
        <v>3262</v>
      </c>
      <c r="J1293" s="5">
        <v>2030</v>
      </c>
      <c r="K1293" s="5">
        <v>485</v>
      </c>
      <c r="L1293" s="9" t="s">
        <v>4700</v>
      </c>
      <c r="M1293" s="5">
        <v>3.67</v>
      </c>
      <c r="N1293" s="9" t="s">
        <v>4699</v>
      </c>
      <c r="O1293" s="9" t="str">
        <f t="shared" si="130"/>
        <v>PDFを開く</v>
      </c>
      <c r="P1293" s="9" t="s">
        <v>1192</v>
      </c>
    </row>
    <row r="1294" spans="1:16" ht="33.950000000000003" customHeight="1">
      <c r="A1294" s="2" t="s">
        <v>1185</v>
      </c>
      <c r="B1294" s="2" t="s">
        <v>73</v>
      </c>
      <c r="C1294" s="8" t="s">
        <v>1186</v>
      </c>
      <c r="D1294" s="2">
        <v>2</v>
      </c>
      <c r="E1294" s="8" t="s">
        <v>3188</v>
      </c>
      <c r="F1294" s="2" t="s">
        <v>86</v>
      </c>
      <c r="G1294" s="19" t="s">
        <v>3189</v>
      </c>
      <c r="H1294" s="2" t="s">
        <v>3178</v>
      </c>
      <c r="I1294" s="8"/>
      <c r="J1294" s="2"/>
      <c r="K1294" s="2"/>
      <c r="L1294" s="8"/>
      <c r="M1294" s="2">
        <v>3.85</v>
      </c>
      <c r="N1294" s="8" t="s">
        <v>4701</v>
      </c>
      <c r="O1294" s="8" t="str">
        <f t="shared" si="130"/>
        <v>PDFを開く</v>
      </c>
      <c r="P1294" s="8" t="s">
        <v>1192</v>
      </c>
    </row>
    <row r="1295" spans="1:16" ht="33.950000000000003" customHeight="1">
      <c r="A1295" s="5" t="s">
        <v>1185</v>
      </c>
      <c r="B1295" s="5" t="s">
        <v>73</v>
      </c>
      <c r="C1295" s="9" t="s">
        <v>1186</v>
      </c>
      <c r="D1295" s="5">
        <v>2</v>
      </c>
      <c r="E1295" s="9" t="s">
        <v>3191</v>
      </c>
      <c r="F1295" s="5" t="s">
        <v>2513</v>
      </c>
      <c r="G1295" s="5" t="s">
        <v>3177</v>
      </c>
      <c r="H1295" s="5" t="s">
        <v>3178</v>
      </c>
      <c r="I1295" s="9" t="s">
        <v>3259</v>
      </c>
      <c r="J1295" s="5">
        <v>2027</v>
      </c>
      <c r="K1295" s="5">
        <v>166</v>
      </c>
      <c r="L1295" s="9" t="s">
        <v>3754</v>
      </c>
      <c r="M1295" s="5"/>
      <c r="N1295" s="9" t="s">
        <v>4702</v>
      </c>
      <c r="O1295" s="9" t="str">
        <f t="shared" si="130"/>
        <v>PDFを開く</v>
      </c>
      <c r="P1295" s="9" t="s">
        <v>1192</v>
      </c>
    </row>
    <row r="1296" spans="1:16" ht="33.950000000000003" customHeight="1">
      <c r="A1296" s="2" t="s">
        <v>1185</v>
      </c>
      <c r="B1296" s="2" t="s">
        <v>73</v>
      </c>
      <c r="C1296" s="8" t="s">
        <v>1186</v>
      </c>
      <c r="D1296" s="2">
        <v>2</v>
      </c>
      <c r="E1296" s="8" t="s">
        <v>3191</v>
      </c>
      <c r="F1296" s="2" t="s">
        <v>2513</v>
      </c>
      <c r="G1296" s="2" t="s">
        <v>3177</v>
      </c>
      <c r="H1296" s="2" t="s">
        <v>3178</v>
      </c>
      <c r="I1296" s="8" t="s">
        <v>3262</v>
      </c>
      <c r="J1296" s="2">
        <v>2030</v>
      </c>
      <c r="K1296" s="2">
        <v>181</v>
      </c>
      <c r="L1296" s="8" t="s">
        <v>4703</v>
      </c>
      <c r="M1296" s="2"/>
      <c r="N1296" s="8" t="s">
        <v>4702</v>
      </c>
      <c r="O1296" s="8" t="str">
        <f t="shared" si="130"/>
        <v>PDFを開く</v>
      </c>
      <c r="P1296" s="8" t="s">
        <v>1192</v>
      </c>
    </row>
    <row r="1297" spans="1:16" ht="33.950000000000003" customHeight="1">
      <c r="A1297" s="5" t="s">
        <v>1185</v>
      </c>
      <c r="B1297" s="5" t="s">
        <v>73</v>
      </c>
      <c r="C1297" s="9" t="s">
        <v>1186</v>
      </c>
      <c r="D1297" s="5">
        <v>2</v>
      </c>
      <c r="E1297" s="9" t="s">
        <v>3188</v>
      </c>
      <c r="F1297" s="5" t="s">
        <v>86</v>
      </c>
      <c r="G1297" s="5" t="s">
        <v>3177</v>
      </c>
      <c r="H1297" s="5"/>
      <c r="I1297" s="9" t="s">
        <v>4704</v>
      </c>
      <c r="J1297" s="5">
        <v>2027</v>
      </c>
      <c r="K1297" s="5"/>
      <c r="L1297" s="9" t="s">
        <v>3211</v>
      </c>
      <c r="M1297" s="5">
        <v>3.85</v>
      </c>
      <c r="N1297" s="9" t="s">
        <v>4705</v>
      </c>
      <c r="O1297" s="9" t="str">
        <f t="shared" si="130"/>
        <v>PDFを開く</v>
      </c>
      <c r="P1297" s="9" t="s">
        <v>1192</v>
      </c>
    </row>
    <row r="1298" spans="1:16" ht="33.950000000000003" customHeight="1">
      <c r="A1298" s="2" t="s">
        <v>1185</v>
      </c>
      <c r="B1298" s="2" t="s">
        <v>73</v>
      </c>
      <c r="C1298" s="8" t="s">
        <v>1186</v>
      </c>
      <c r="D1298" s="2">
        <v>2</v>
      </c>
      <c r="E1298" s="8" t="s">
        <v>3188</v>
      </c>
      <c r="F1298" s="2" t="s">
        <v>86</v>
      </c>
      <c r="G1298" s="2" t="s">
        <v>3177</v>
      </c>
      <c r="H1298" s="2"/>
      <c r="I1298" s="8" t="s">
        <v>4706</v>
      </c>
      <c r="J1298" s="2">
        <v>2030</v>
      </c>
      <c r="K1298" s="2"/>
      <c r="L1298" s="8" t="s">
        <v>4707</v>
      </c>
      <c r="M1298" s="2">
        <v>3.85</v>
      </c>
      <c r="N1298" s="8" t="s">
        <v>4705</v>
      </c>
      <c r="O1298" s="8" t="str">
        <f t="shared" si="130"/>
        <v>PDFを開く</v>
      </c>
      <c r="P1298" s="8" t="s">
        <v>1192</v>
      </c>
    </row>
    <row r="1299" spans="1:16" ht="33.950000000000003" customHeight="1">
      <c r="A1299" s="5" t="s">
        <v>1193</v>
      </c>
      <c r="B1299" s="5" t="s">
        <v>73</v>
      </c>
      <c r="C1299" s="9" t="s">
        <v>1194</v>
      </c>
      <c r="D1299" s="5">
        <v>4</v>
      </c>
      <c r="E1299" s="9" t="s">
        <v>3176</v>
      </c>
      <c r="F1299" s="5" t="s">
        <v>86</v>
      </c>
      <c r="G1299" s="5" t="s">
        <v>3177</v>
      </c>
      <c r="H1299" s="5"/>
      <c r="I1299" s="9" t="s">
        <v>3845</v>
      </c>
      <c r="J1299" s="5">
        <v>2026</v>
      </c>
      <c r="K1299" s="5">
        <v>973</v>
      </c>
      <c r="L1299" s="9" t="s">
        <v>4708</v>
      </c>
      <c r="M1299" s="5">
        <v>7.22</v>
      </c>
      <c r="N1299" s="9" t="s">
        <v>4709</v>
      </c>
      <c r="O1299" s="9" t="str">
        <f t="shared" ref="O1299:O1307" si="131">HYPERLINK("https://seichotoushi-hojo.jp/assets/pdf/koufu/outline_76.pdf","PDFを開く")</f>
        <v>PDFを開く</v>
      </c>
      <c r="P1299" s="9" t="s">
        <v>1202</v>
      </c>
    </row>
    <row r="1300" spans="1:16" ht="33.950000000000003" customHeight="1">
      <c r="A1300" s="2" t="s">
        <v>1193</v>
      </c>
      <c r="B1300" s="2" t="s">
        <v>73</v>
      </c>
      <c r="C1300" s="8" t="s">
        <v>1194</v>
      </c>
      <c r="D1300" s="2">
        <v>4</v>
      </c>
      <c r="E1300" s="8" t="s">
        <v>3176</v>
      </c>
      <c r="F1300" s="2" t="s">
        <v>86</v>
      </c>
      <c r="G1300" s="2" t="s">
        <v>3177</v>
      </c>
      <c r="H1300" s="2"/>
      <c r="I1300" s="8" t="s">
        <v>3848</v>
      </c>
      <c r="J1300" s="2">
        <v>2029</v>
      </c>
      <c r="K1300" s="2">
        <v>1200</v>
      </c>
      <c r="L1300" s="8" t="s">
        <v>4710</v>
      </c>
      <c r="M1300" s="2">
        <v>7.22</v>
      </c>
      <c r="N1300" s="8" t="s">
        <v>4709</v>
      </c>
      <c r="O1300" s="8" t="str">
        <f t="shared" si="131"/>
        <v>PDFを開く</v>
      </c>
      <c r="P1300" s="8" t="s">
        <v>1202</v>
      </c>
    </row>
    <row r="1301" spans="1:16" ht="33.950000000000003" customHeight="1">
      <c r="A1301" s="5" t="s">
        <v>1193</v>
      </c>
      <c r="B1301" s="5" t="s">
        <v>73</v>
      </c>
      <c r="C1301" s="9" t="s">
        <v>1194</v>
      </c>
      <c r="D1301" s="5">
        <v>4</v>
      </c>
      <c r="E1301" s="9" t="s">
        <v>3184</v>
      </c>
      <c r="F1301" s="5" t="s">
        <v>86</v>
      </c>
      <c r="G1301" s="5" t="s">
        <v>3177</v>
      </c>
      <c r="H1301" s="5"/>
      <c r="I1301" s="9" t="s">
        <v>3845</v>
      </c>
      <c r="J1301" s="5">
        <v>2026</v>
      </c>
      <c r="K1301" s="5">
        <v>560</v>
      </c>
      <c r="L1301" s="9" t="s">
        <v>3637</v>
      </c>
      <c r="M1301" s="5">
        <v>3.19</v>
      </c>
      <c r="N1301" s="9" t="s">
        <v>4711</v>
      </c>
      <c r="O1301" s="9" t="str">
        <f t="shared" si="131"/>
        <v>PDFを開く</v>
      </c>
      <c r="P1301" s="9" t="s">
        <v>1202</v>
      </c>
    </row>
    <row r="1302" spans="1:16" ht="33.950000000000003" customHeight="1">
      <c r="A1302" s="2" t="s">
        <v>1193</v>
      </c>
      <c r="B1302" s="2" t="s">
        <v>73</v>
      </c>
      <c r="C1302" s="8" t="s">
        <v>1194</v>
      </c>
      <c r="D1302" s="2">
        <v>4</v>
      </c>
      <c r="E1302" s="8" t="s">
        <v>3184</v>
      </c>
      <c r="F1302" s="2" t="s">
        <v>86</v>
      </c>
      <c r="G1302" s="2" t="s">
        <v>3177</v>
      </c>
      <c r="H1302" s="2"/>
      <c r="I1302" s="8" t="s">
        <v>3848</v>
      </c>
      <c r="J1302" s="2">
        <v>2029</v>
      </c>
      <c r="K1302" s="2">
        <v>615</v>
      </c>
      <c r="L1302" s="8" t="s">
        <v>4712</v>
      </c>
      <c r="M1302" s="2">
        <v>3.19</v>
      </c>
      <c r="N1302" s="8" t="s">
        <v>4711</v>
      </c>
      <c r="O1302" s="8" t="str">
        <f t="shared" si="131"/>
        <v>PDFを開く</v>
      </c>
      <c r="P1302" s="8" t="s">
        <v>1202</v>
      </c>
    </row>
    <row r="1303" spans="1:16" ht="33.950000000000003" customHeight="1">
      <c r="A1303" s="5" t="s">
        <v>1193</v>
      </c>
      <c r="B1303" s="5" t="s">
        <v>73</v>
      </c>
      <c r="C1303" s="9" t="s">
        <v>1194</v>
      </c>
      <c r="D1303" s="5">
        <v>4</v>
      </c>
      <c r="E1303" s="9" t="s">
        <v>3188</v>
      </c>
      <c r="F1303" s="5" t="s">
        <v>86</v>
      </c>
      <c r="G1303" s="19" t="s">
        <v>3189</v>
      </c>
      <c r="H1303" s="5"/>
      <c r="I1303" s="9"/>
      <c r="J1303" s="5"/>
      <c r="K1303" s="5"/>
      <c r="L1303" s="9"/>
      <c r="M1303" s="5">
        <v>3</v>
      </c>
      <c r="N1303" s="9" t="s">
        <v>4713</v>
      </c>
      <c r="O1303" s="9" t="str">
        <f t="shared" si="131"/>
        <v>PDFを開く</v>
      </c>
      <c r="P1303" s="9" t="s">
        <v>1202</v>
      </c>
    </row>
    <row r="1304" spans="1:16" ht="33.950000000000003" customHeight="1">
      <c r="A1304" s="2" t="s">
        <v>1193</v>
      </c>
      <c r="B1304" s="2" t="s">
        <v>73</v>
      </c>
      <c r="C1304" s="8" t="s">
        <v>1194</v>
      </c>
      <c r="D1304" s="2">
        <v>4</v>
      </c>
      <c r="E1304" s="8" t="s">
        <v>3191</v>
      </c>
      <c r="F1304" s="2" t="s">
        <v>2513</v>
      </c>
      <c r="G1304" s="2" t="s">
        <v>3177</v>
      </c>
      <c r="H1304" s="2"/>
      <c r="I1304" s="8" t="s">
        <v>3845</v>
      </c>
      <c r="J1304" s="2">
        <v>2026</v>
      </c>
      <c r="K1304" s="2">
        <v>420</v>
      </c>
      <c r="L1304" s="8" t="s">
        <v>3394</v>
      </c>
      <c r="M1304" s="2"/>
      <c r="N1304" s="8" t="s">
        <v>4714</v>
      </c>
      <c r="O1304" s="8" t="str">
        <f t="shared" si="131"/>
        <v>PDFを開く</v>
      </c>
      <c r="P1304" s="8" t="s">
        <v>1202</v>
      </c>
    </row>
    <row r="1305" spans="1:16" ht="33.950000000000003" customHeight="1">
      <c r="A1305" s="5" t="s">
        <v>1193</v>
      </c>
      <c r="B1305" s="5" t="s">
        <v>73</v>
      </c>
      <c r="C1305" s="9" t="s">
        <v>1194</v>
      </c>
      <c r="D1305" s="5">
        <v>4</v>
      </c>
      <c r="E1305" s="9" t="s">
        <v>3191</v>
      </c>
      <c r="F1305" s="5" t="s">
        <v>2513</v>
      </c>
      <c r="G1305" s="5" t="s">
        <v>3177</v>
      </c>
      <c r="H1305" s="5"/>
      <c r="I1305" s="9" t="s">
        <v>3848</v>
      </c>
      <c r="J1305" s="5">
        <v>2029</v>
      </c>
      <c r="K1305" s="5">
        <v>429</v>
      </c>
      <c r="L1305" s="9" t="s">
        <v>3388</v>
      </c>
      <c r="M1305" s="5"/>
      <c r="N1305" s="9" t="s">
        <v>4714</v>
      </c>
      <c r="O1305" s="9" t="str">
        <f t="shared" si="131"/>
        <v>PDFを開く</v>
      </c>
      <c r="P1305" s="9" t="s">
        <v>1202</v>
      </c>
    </row>
    <row r="1306" spans="1:16" ht="33.950000000000003" customHeight="1">
      <c r="A1306" s="2" t="s">
        <v>1193</v>
      </c>
      <c r="B1306" s="2" t="s">
        <v>73</v>
      </c>
      <c r="C1306" s="8" t="s">
        <v>1194</v>
      </c>
      <c r="D1306" s="2">
        <v>4</v>
      </c>
      <c r="E1306" s="8" t="s">
        <v>3188</v>
      </c>
      <c r="F1306" s="2" t="s">
        <v>86</v>
      </c>
      <c r="G1306" s="2" t="s">
        <v>3177</v>
      </c>
      <c r="H1306" s="2"/>
      <c r="I1306" s="8" t="s">
        <v>4715</v>
      </c>
      <c r="J1306" s="2">
        <v>2026</v>
      </c>
      <c r="K1306" s="2"/>
      <c r="L1306" s="8" t="s">
        <v>3211</v>
      </c>
      <c r="M1306" s="2">
        <v>3</v>
      </c>
      <c r="N1306" s="8" t="s">
        <v>4716</v>
      </c>
      <c r="O1306" s="8" t="str">
        <f t="shared" si="131"/>
        <v>PDFを開く</v>
      </c>
      <c r="P1306" s="8" t="s">
        <v>1202</v>
      </c>
    </row>
    <row r="1307" spans="1:16" ht="33.950000000000003" customHeight="1">
      <c r="A1307" s="5" t="s">
        <v>1193</v>
      </c>
      <c r="B1307" s="5" t="s">
        <v>73</v>
      </c>
      <c r="C1307" s="9" t="s">
        <v>1194</v>
      </c>
      <c r="D1307" s="5">
        <v>4</v>
      </c>
      <c r="E1307" s="9" t="s">
        <v>3188</v>
      </c>
      <c r="F1307" s="5" t="s">
        <v>86</v>
      </c>
      <c r="G1307" s="5" t="s">
        <v>3177</v>
      </c>
      <c r="H1307" s="5"/>
      <c r="I1307" s="9" t="s">
        <v>4717</v>
      </c>
      <c r="J1307" s="5">
        <v>2029</v>
      </c>
      <c r="K1307" s="5"/>
      <c r="L1307" s="9" t="s">
        <v>4718</v>
      </c>
      <c r="M1307" s="5">
        <v>3</v>
      </c>
      <c r="N1307" s="9" t="s">
        <v>4716</v>
      </c>
      <c r="O1307" s="9" t="str">
        <f t="shared" si="131"/>
        <v>PDFを開く</v>
      </c>
      <c r="P1307" s="9" t="s">
        <v>1202</v>
      </c>
    </row>
    <row r="1308" spans="1:16" ht="33.950000000000003" customHeight="1">
      <c r="A1308" s="2" t="s">
        <v>1203</v>
      </c>
      <c r="B1308" s="2" t="s">
        <v>73</v>
      </c>
      <c r="C1308" s="8" t="s">
        <v>1204</v>
      </c>
      <c r="D1308" s="2">
        <v>2</v>
      </c>
      <c r="E1308" s="8" t="s">
        <v>3176</v>
      </c>
      <c r="F1308" s="2" t="s">
        <v>86</v>
      </c>
      <c r="G1308" s="2" t="s">
        <v>3177</v>
      </c>
      <c r="H1308" s="2" t="s">
        <v>3178</v>
      </c>
      <c r="I1308" s="8" t="s">
        <v>3179</v>
      </c>
      <c r="J1308" s="2">
        <v>2026</v>
      </c>
      <c r="K1308" s="2">
        <v>538</v>
      </c>
      <c r="L1308" s="8" t="s">
        <v>4719</v>
      </c>
      <c r="M1308" s="2">
        <v>8.25</v>
      </c>
      <c r="N1308" s="8" t="s">
        <v>4720</v>
      </c>
      <c r="O1308" s="8" t="str">
        <f t="shared" ref="O1308:O1314" si="132">HYPERLINK("https://seichotoushi-hojo.jp/assets/pdf/koufu/outline_77.pdf","PDFを開く")</f>
        <v>PDFを開く</v>
      </c>
      <c r="P1308" s="8" t="s">
        <v>1210</v>
      </c>
    </row>
    <row r="1309" spans="1:16" ht="33.950000000000003" customHeight="1">
      <c r="A1309" s="5" t="s">
        <v>1203</v>
      </c>
      <c r="B1309" s="5" t="s">
        <v>73</v>
      </c>
      <c r="C1309" s="9" t="s">
        <v>1204</v>
      </c>
      <c r="D1309" s="5">
        <v>2</v>
      </c>
      <c r="E1309" s="9" t="s">
        <v>3176</v>
      </c>
      <c r="F1309" s="5" t="s">
        <v>86</v>
      </c>
      <c r="G1309" s="5" t="s">
        <v>3177</v>
      </c>
      <c r="H1309" s="5" t="s">
        <v>3178</v>
      </c>
      <c r="I1309" s="9" t="s">
        <v>3182</v>
      </c>
      <c r="J1309" s="5">
        <v>2029</v>
      </c>
      <c r="K1309" s="5">
        <v>682</v>
      </c>
      <c r="L1309" s="9" t="s">
        <v>4721</v>
      </c>
      <c r="M1309" s="5">
        <v>8.25</v>
      </c>
      <c r="N1309" s="9" t="s">
        <v>4720</v>
      </c>
      <c r="O1309" s="9" t="str">
        <f t="shared" si="132"/>
        <v>PDFを開く</v>
      </c>
      <c r="P1309" s="9" t="s">
        <v>1210</v>
      </c>
    </row>
    <row r="1310" spans="1:16" ht="33.950000000000003" customHeight="1">
      <c r="A1310" s="2" t="s">
        <v>1203</v>
      </c>
      <c r="B1310" s="2" t="s">
        <v>73</v>
      </c>
      <c r="C1310" s="8" t="s">
        <v>1204</v>
      </c>
      <c r="D1310" s="2">
        <v>2</v>
      </c>
      <c r="E1310" s="8" t="s">
        <v>3184</v>
      </c>
      <c r="F1310" s="2" t="s">
        <v>86</v>
      </c>
      <c r="G1310" s="2" t="s">
        <v>3177</v>
      </c>
      <c r="H1310" s="2" t="s">
        <v>3178</v>
      </c>
      <c r="I1310" s="8" t="s">
        <v>3179</v>
      </c>
      <c r="J1310" s="2">
        <v>2026</v>
      </c>
      <c r="K1310" s="2">
        <v>534</v>
      </c>
      <c r="L1310" s="8" t="s">
        <v>4722</v>
      </c>
      <c r="M1310" s="2">
        <v>7.89</v>
      </c>
      <c r="N1310" s="8" t="s">
        <v>4723</v>
      </c>
      <c r="O1310" s="8" t="str">
        <f t="shared" si="132"/>
        <v>PDFを開く</v>
      </c>
      <c r="P1310" s="8" t="s">
        <v>1210</v>
      </c>
    </row>
    <row r="1311" spans="1:16" ht="33.950000000000003" customHeight="1">
      <c r="A1311" s="5" t="s">
        <v>1203</v>
      </c>
      <c r="B1311" s="5" t="s">
        <v>73</v>
      </c>
      <c r="C1311" s="9" t="s">
        <v>1204</v>
      </c>
      <c r="D1311" s="5">
        <v>2</v>
      </c>
      <c r="E1311" s="9" t="s">
        <v>3184</v>
      </c>
      <c r="F1311" s="5" t="s">
        <v>86</v>
      </c>
      <c r="G1311" s="5" t="s">
        <v>3177</v>
      </c>
      <c r="H1311" s="5" t="s">
        <v>3178</v>
      </c>
      <c r="I1311" s="9" t="s">
        <v>3182</v>
      </c>
      <c r="J1311" s="5">
        <v>2029</v>
      </c>
      <c r="K1311" s="5">
        <v>671</v>
      </c>
      <c r="L1311" s="9" t="s">
        <v>4724</v>
      </c>
      <c r="M1311" s="5">
        <v>7.89</v>
      </c>
      <c r="N1311" s="9" t="s">
        <v>4723</v>
      </c>
      <c r="O1311" s="9" t="str">
        <f t="shared" si="132"/>
        <v>PDFを開く</v>
      </c>
      <c r="P1311" s="9" t="s">
        <v>1210</v>
      </c>
    </row>
    <row r="1312" spans="1:16" ht="33.950000000000003" customHeight="1">
      <c r="A1312" s="2" t="s">
        <v>1203</v>
      </c>
      <c r="B1312" s="2" t="s">
        <v>73</v>
      </c>
      <c r="C1312" s="8" t="s">
        <v>1204</v>
      </c>
      <c r="D1312" s="2">
        <v>2</v>
      </c>
      <c r="E1312" s="8" t="s">
        <v>3188</v>
      </c>
      <c r="F1312" s="2" t="s">
        <v>86</v>
      </c>
      <c r="G1312" s="19" t="s">
        <v>3189</v>
      </c>
      <c r="H1312" s="2" t="s">
        <v>3178</v>
      </c>
      <c r="I1312" s="8"/>
      <c r="J1312" s="2"/>
      <c r="K1312" s="2"/>
      <c r="L1312" s="8"/>
      <c r="M1312" s="2"/>
      <c r="N1312" s="8" t="s">
        <v>3488</v>
      </c>
      <c r="O1312" s="8" t="str">
        <f t="shared" si="132"/>
        <v>PDFを開く</v>
      </c>
      <c r="P1312" s="8" t="s">
        <v>1210</v>
      </c>
    </row>
    <row r="1313" spans="1:16" ht="33.950000000000003" customHeight="1">
      <c r="A1313" s="5" t="s">
        <v>1203</v>
      </c>
      <c r="B1313" s="5" t="s">
        <v>73</v>
      </c>
      <c r="C1313" s="9" t="s">
        <v>1204</v>
      </c>
      <c r="D1313" s="5">
        <v>2</v>
      </c>
      <c r="E1313" s="9" t="s">
        <v>3191</v>
      </c>
      <c r="F1313" s="5" t="s">
        <v>2513</v>
      </c>
      <c r="G1313" s="5" t="s">
        <v>3177</v>
      </c>
      <c r="H1313" s="5" t="s">
        <v>3178</v>
      </c>
      <c r="I1313" s="9" t="s">
        <v>3179</v>
      </c>
      <c r="J1313" s="5">
        <v>2026</v>
      </c>
      <c r="K1313" s="5">
        <v>109</v>
      </c>
      <c r="L1313" s="9" t="s">
        <v>4725</v>
      </c>
      <c r="M1313" s="5"/>
      <c r="N1313" s="9" t="s">
        <v>4726</v>
      </c>
      <c r="O1313" s="9" t="str">
        <f t="shared" si="132"/>
        <v>PDFを開く</v>
      </c>
      <c r="P1313" s="9" t="s">
        <v>1210</v>
      </c>
    </row>
    <row r="1314" spans="1:16" ht="33.950000000000003" customHeight="1">
      <c r="A1314" s="2" t="s">
        <v>1203</v>
      </c>
      <c r="B1314" s="2" t="s">
        <v>73</v>
      </c>
      <c r="C1314" s="8" t="s">
        <v>1204</v>
      </c>
      <c r="D1314" s="2">
        <v>2</v>
      </c>
      <c r="E1314" s="8" t="s">
        <v>3191</v>
      </c>
      <c r="F1314" s="2" t="s">
        <v>2513</v>
      </c>
      <c r="G1314" s="2" t="s">
        <v>3177</v>
      </c>
      <c r="H1314" s="2" t="s">
        <v>3178</v>
      </c>
      <c r="I1314" s="8" t="s">
        <v>3182</v>
      </c>
      <c r="J1314" s="2">
        <v>2029</v>
      </c>
      <c r="K1314" s="2">
        <v>117</v>
      </c>
      <c r="L1314" s="8" t="s">
        <v>4727</v>
      </c>
      <c r="M1314" s="2"/>
      <c r="N1314" s="8" t="s">
        <v>4726</v>
      </c>
      <c r="O1314" s="8" t="str">
        <f t="shared" si="132"/>
        <v>PDFを開く</v>
      </c>
      <c r="P1314" s="8" t="s">
        <v>1210</v>
      </c>
    </row>
    <row r="1315" spans="1:16" ht="33.950000000000003" customHeight="1">
      <c r="A1315" s="5" t="s">
        <v>1211</v>
      </c>
      <c r="B1315" s="5" t="s">
        <v>73</v>
      </c>
      <c r="C1315" s="9" t="s">
        <v>1212</v>
      </c>
      <c r="D1315" s="5">
        <v>2</v>
      </c>
      <c r="E1315" s="9" t="s">
        <v>3176</v>
      </c>
      <c r="F1315" s="5" t="s">
        <v>86</v>
      </c>
      <c r="G1315" s="5" t="s">
        <v>3177</v>
      </c>
      <c r="H1315" s="5" t="s">
        <v>3178</v>
      </c>
      <c r="I1315" s="9" t="s">
        <v>3179</v>
      </c>
      <c r="J1315" s="5">
        <v>2026</v>
      </c>
      <c r="K1315" s="5">
        <v>1935</v>
      </c>
      <c r="L1315" s="9" t="s">
        <v>4728</v>
      </c>
      <c r="M1315" s="5">
        <v>22.6</v>
      </c>
      <c r="N1315" s="9" t="s">
        <v>4729</v>
      </c>
      <c r="O1315" s="9" t="str">
        <f t="shared" ref="O1315:O1322" si="133">HYPERLINK("https://seichotoushi-hojo.jp/assets/pdf/koufu/outline_78.pdf","PDFを開く")</f>
        <v>PDFを開く</v>
      </c>
      <c r="P1315" s="9" t="s">
        <v>1218</v>
      </c>
    </row>
    <row r="1316" spans="1:16" ht="33.950000000000003" customHeight="1">
      <c r="A1316" s="2" t="s">
        <v>1211</v>
      </c>
      <c r="B1316" s="2" t="s">
        <v>73</v>
      </c>
      <c r="C1316" s="8" t="s">
        <v>1212</v>
      </c>
      <c r="D1316" s="2">
        <v>2</v>
      </c>
      <c r="E1316" s="8" t="s">
        <v>3176</v>
      </c>
      <c r="F1316" s="2" t="s">
        <v>86</v>
      </c>
      <c r="G1316" s="2" t="s">
        <v>3177</v>
      </c>
      <c r="H1316" s="2" t="s">
        <v>3178</v>
      </c>
      <c r="I1316" s="8" t="s">
        <v>3182</v>
      </c>
      <c r="J1316" s="2">
        <v>2029</v>
      </c>
      <c r="K1316" s="2">
        <v>3567</v>
      </c>
      <c r="L1316" s="8" t="s">
        <v>4730</v>
      </c>
      <c r="M1316" s="2">
        <v>22.6</v>
      </c>
      <c r="N1316" s="8" t="s">
        <v>4729</v>
      </c>
      <c r="O1316" s="8" t="str">
        <f t="shared" si="133"/>
        <v>PDFを開く</v>
      </c>
      <c r="P1316" s="8" t="s">
        <v>1218</v>
      </c>
    </row>
    <row r="1317" spans="1:16" ht="33.950000000000003" customHeight="1">
      <c r="A1317" s="5" t="s">
        <v>1211</v>
      </c>
      <c r="B1317" s="5" t="s">
        <v>73</v>
      </c>
      <c r="C1317" s="9" t="s">
        <v>1212</v>
      </c>
      <c r="D1317" s="5">
        <v>2</v>
      </c>
      <c r="E1317" s="9" t="s">
        <v>3184</v>
      </c>
      <c r="F1317" s="5" t="s">
        <v>86</v>
      </c>
      <c r="G1317" s="5" t="s">
        <v>3177</v>
      </c>
      <c r="H1317" s="5" t="s">
        <v>3178</v>
      </c>
      <c r="I1317" s="9" t="s">
        <v>3179</v>
      </c>
      <c r="J1317" s="5">
        <v>2026</v>
      </c>
      <c r="K1317" s="5">
        <v>374</v>
      </c>
      <c r="L1317" s="9" t="s">
        <v>4731</v>
      </c>
      <c r="M1317" s="5">
        <v>3.53</v>
      </c>
      <c r="N1317" s="9" t="s">
        <v>4732</v>
      </c>
      <c r="O1317" s="9" t="str">
        <f t="shared" si="133"/>
        <v>PDFを開く</v>
      </c>
      <c r="P1317" s="9" t="s">
        <v>1218</v>
      </c>
    </row>
    <row r="1318" spans="1:16" ht="33.950000000000003" customHeight="1">
      <c r="A1318" s="2" t="s">
        <v>1211</v>
      </c>
      <c r="B1318" s="2" t="s">
        <v>73</v>
      </c>
      <c r="C1318" s="8" t="s">
        <v>1212</v>
      </c>
      <c r="D1318" s="2">
        <v>2</v>
      </c>
      <c r="E1318" s="8" t="s">
        <v>3184</v>
      </c>
      <c r="F1318" s="2" t="s">
        <v>86</v>
      </c>
      <c r="G1318" s="2" t="s">
        <v>3177</v>
      </c>
      <c r="H1318" s="2" t="s">
        <v>3178</v>
      </c>
      <c r="I1318" s="8" t="s">
        <v>3182</v>
      </c>
      <c r="J1318" s="2">
        <v>2029</v>
      </c>
      <c r="K1318" s="2">
        <v>415</v>
      </c>
      <c r="L1318" s="8" t="s">
        <v>4733</v>
      </c>
      <c r="M1318" s="2">
        <v>3.53</v>
      </c>
      <c r="N1318" s="8" t="s">
        <v>4732</v>
      </c>
      <c r="O1318" s="8" t="str">
        <f t="shared" si="133"/>
        <v>PDFを開く</v>
      </c>
      <c r="P1318" s="8" t="s">
        <v>1218</v>
      </c>
    </row>
    <row r="1319" spans="1:16" ht="33.950000000000003" customHeight="1">
      <c r="A1319" s="5" t="s">
        <v>1211</v>
      </c>
      <c r="B1319" s="5" t="s">
        <v>73</v>
      </c>
      <c r="C1319" s="9" t="s">
        <v>1212</v>
      </c>
      <c r="D1319" s="5">
        <v>2</v>
      </c>
      <c r="E1319" s="9" t="s">
        <v>3188</v>
      </c>
      <c r="F1319" s="5" t="s">
        <v>86</v>
      </c>
      <c r="G1319" s="5" t="s">
        <v>3177</v>
      </c>
      <c r="H1319" s="5" t="s">
        <v>3178</v>
      </c>
      <c r="I1319" s="9" t="s">
        <v>3179</v>
      </c>
      <c r="J1319" s="5">
        <v>2026</v>
      </c>
      <c r="K1319" s="5">
        <v>0</v>
      </c>
      <c r="L1319" s="9" t="s">
        <v>3267</v>
      </c>
      <c r="M1319" s="5">
        <v>0</v>
      </c>
      <c r="N1319" s="9" t="s">
        <v>3268</v>
      </c>
      <c r="O1319" s="9" t="str">
        <f t="shared" si="133"/>
        <v>PDFを開く</v>
      </c>
      <c r="P1319" s="9" t="s">
        <v>1218</v>
      </c>
    </row>
    <row r="1320" spans="1:16" ht="33.950000000000003" customHeight="1">
      <c r="A1320" s="2" t="s">
        <v>1211</v>
      </c>
      <c r="B1320" s="2" t="s">
        <v>73</v>
      </c>
      <c r="C1320" s="8" t="s">
        <v>1212</v>
      </c>
      <c r="D1320" s="2">
        <v>2</v>
      </c>
      <c r="E1320" s="8" t="s">
        <v>3188</v>
      </c>
      <c r="F1320" s="2" t="s">
        <v>86</v>
      </c>
      <c r="G1320" s="2" t="s">
        <v>3177</v>
      </c>
      <c r="H1320" s="2" t="s">
        <v>3178</v>
      </c>
      <c r="I1320" s="8" t="s">
        <v>3182</v>
      </c>
      <c r="J1320" s="2">
        <v>2029</v>
      </c>
      <c r="K1320" s="2">
        <v>0</v>
      </c>
      <c r="L1320" s="8" t="s">
        <v>3267</v>
      </c>
      <c r="M1320" s="2">
        <v>0</v>
      </c>
      <c r="N1320" s="8" t="s">
        <v>3268</v>
      </c>
      <c r="O1320" s="8" t="str">
        <f t="shared" si="133"/>
        <v>PDFを開く</v>
      </c>
      <c r="P1320" s="8" t="s">
        <v>1218</v>
      </c>
    </row>
    <row r="1321" spans="1:16" ht="33.950000000000003" customHeight="1">
      <c r="A1321" s="5" t="s">
        <v>1211</v>
      </c>
      <c r="B1321" s="5" t="s">
        <v>73</v>
      </c>
      <c r="C1321" s="9" t="s">
        <v>1212</v>
      </c>
      <c r="D1321" s="5">
        <v>2</v>
      </c>
      <c r="E1321" s="9" t="s">
        <v>3191</v>
      </c>
      <c r="F1321" s="5" t="s">
        <v>2513</v>
      </c>
      <c r="G1321" s="5" t="s">
        <v>3177</v>
      </c>
      <c r="H1321" s="5" t="s">
        <v>3178</v>
      </c>
      <c r="I1321" s="9" t="s">
        <v>3179</v>
      </c>
      <c r="J1321" s="5">
        <v>2026</v>
      </c>
      <c r="K1321" s="5">
        <v>15</v>
      </c>
      <c r="L1321" s="9" t="s">
        <v>4734</v>
      </c>
      <c r="M1321" s="5"/>
      <c r="N1321" s="9" t="s">
        <v>4735</v>
      </c>
      <c r="O1321" s="9" t="str">
        <f t="shared" si="133"/>
        <v>PDFを開く</v>
      </c>
      <c r="P1321" s="9" t="s">
        <v>1218</v>
      </c>
    </row>
    <row r="1322" spans="1:16" ht="33.950000000000003" customHeight="1">
      <c r="A1322" s="2" t="s">
        <v>1211</v>
      </c>
      <c r="B1322" s="2" t="s">
        <v>73</v>
      </c>
      <c r="C1322" s="8" t="s">
        <v>1212</v>
      </c>
      <c r="D1322" s="2">
        <v>2</v>
      </c>
      <c r="E1322" s="8" t="s">
        <v>3191</v>
      </c>
      <c r="F1322" s="2" t="s">
        <v>2513</v>
      </c>
      <c r="G1322" s="2" t="s">
        <v>3177</v>
      </c>
      <c r="H1322" s="2" t="s">
        <v>3178</v>
      </c>
      <c r="I1322" s="8" t="s">
        <v>3182</v>
      </c>
      <c r="J1322" s="2">
        <v>2029</v>
      </c>
      <c r="K1322" s="2">
        <v>33</v>
      </c>
      <c r="L1322" s="8" t="s">
        <v>3554</v>
      </c>
      <c r="M1322" s="2"/>
      <c r="N1322" s="8" t="s">
        <v>4735</v>
      </c>
      <c r="O1322" s="8" t="str">
        <f t="shared" si="133"/>
        <v>PDFを開く</v>
      </c>
      <c r="P1322" s="8" t="s">
        <v>1218</v>
      </c>
    </row>
    <row r="1323" spans="1:16" ht="33.950000000000003" customHeight="1">
      <c r="A1323" s="5" t="s">
        <v>1219</v>
      </c>
      <c r="B1323" s="5" t="s">
        <v>73</v>
      </c>
      <c r="C1323" s="9" t="s">
        <v>1220</v>
      </c>
      <c r="D1323" s="5">
        <v>2</v>
      </c>
      <c r="E1323" s="9" t="s">
        <v>3176</v>
      </c>
      <c r="F1323" s="5" t="s">
        <v>86</v>
      </c>
      <c r="G1323" s="5" t="s">
        <v>3177</v>
      </c>
      <c r="H1323" s="5" t="s">
        <v>3178</v>
      </c>
      <c r="I1323" s="9" t="s">
        <v>3259</v>
      </c>
      <c r="J1323" s="5">
        <v>2027</v>
      </c>
      <c r="K1323" s="5">
        <v>1177</v>
      </c>
      <c r="L1323" s="9" t="s">
        <v>4736</v>
      </c>
      <c r="M1323" s="5">
        <v>13.3</v>
      </c>
      <c r="N1323" s="9" t="s">
        <v>4737</v>
      </c>
      <c r="O1323" s="9" t="str">
        <f t="shared" ref="O1323:O1331" si="134">HYPERLINK("https://seichotoushi-hojo.jp/assets/pdf/koufu/outline_79.pdf","PDFを開く")</f>
        <v>PDFを開く</v>
      </c>
      <c r="P1323" s="9" t="s">
        <v>1225</v>
      </c>
    </row>
    <row r="1324" spans="1:16" ht="33.950000000000003" customHeight="1">
      <c r="A1324" s="2" t="s">
        <v>1219</v>
      </c>
      <c r="B1324" s="2" t="s">
        <v>73</v>
      </c>
      <c r="C1324" s="8" t="s">
        <v>1220</v>
      </c>
      <c r="D1324" s="2">
        <v>2</v>
      </c>
      <c r="E1324" s="8" t="s">
        <v>3176</v>
      </c>
      <c r="F1324" s="2" t="s">
        <v>86</v>
      </c>
      <c r="G1324" s="2" t="s">
        <v>3177</v>
      </c>
      <c r="H1324" s="2" t="s">
        <v>3178</v>
      </c>
      <c r="I1324" s="8" t="s">
        <v>3262</v>
      </c>
      <c r="J1324" s="2">
        <v>2030</v>
      </c>
      <c r="K1324" s="2">
        <v>1712.5</v>
      </c>
      <c r="L1324" s="8" t="s">
        <v>4738</v>
      </c>
      <c r="M1324" s="2">
        <v>13.3</v>
      </c>
      <c r="N1324" s="8" t="s">
        <v>4737</v>
      </c>
      <c r="O1324" s="8" t="str">
        <f t="shared" si="134"/>
        <v>PDFを開く</v>
      </c>
      <c r="P1324" s="8" t="s">
        <v>1225</v>
      </c>
    </row>
    <row r="1325" spans="1:16" ht="33.950000000000003" customHeight="1">
      <c r="A1325" s="5" t="s">
        <v>1219</v>
      </c>
      <c r="B1325" s="5" t="s">
        <v>73</v>
      </c>
      <c r="C1325" s="9" t="s">
        <v>1220</v>
      </c>
      <c r="D1325" s="5">
        <v>2</v>
      </c>
      <c r="E1325" s="9" t="s">
        <v>3184</v>
      </c>
      <c r="F1325" s="5" t="s">
        <v>86</v>
      </c>
      <c r="G1325" s="5" t="s">
        <v>3177</v>
      </c>
      <c r="H1325" s="5" t="s">
        <v>3178</v>
      </c>
      <c r="I1325" s="9" t="s">
        <v>3259</v>
      </c>
      <c r="J1325" s="5">
        <v>2027</v>
      </c>
      <c r="K1325" s="5">
        <v>618</v>
      </c>
      <c r="L1325" s="9" t="s">
        <v>3290</v>
      </c>
      <c r="M1325" s="5">
        <v>5</v>
      </c>
      <c r="N1325" s="9" t="s">
        <v>4739</v>
      </c>
      <c r="O1325" s="9" t="str">
        <f t="shared" si="134"/>
        <v>PDFを開く</v>
      </c>
      <c r="P1325" s="9" t="s">
        <v>1225</v>
      </c>
    </row>
    <row r="1326" spans="1:16" ht="33.950000000000003" customHeight="1">
      <c r="A1326" s="2" t="s">
        <v>1219</v>
      </c>
      <c r="B1326" s="2" t="s">
        <v>73</v>
      </c>
      <c r="C1326" s="8" t="s">
        <v>1220</v>
      </c>
      <c r="D1326" s="2">
        <v>2</v>
      </c>
      <c r="E1326" s="8" t="s">
        <v>3184</v>
      </c>
      <c r="F1326" s="2" t="s">
        <v>86</v>
      </c>
      <c r="G1326" s="2" t="s">
        <v>3177</v>
      </c>
      <c r="H1326" s="2" t="s">
        <v>3178</v>
      </c>
      <c r="I1326" s="8" t="s">
        <v>3262</v>
      </c>
      <c r="J1326" s="2">
        <v>2030</v>
      </c>
      <c r="K1326" s="2">
        <v>715</v>
      </c>
      <c r="L1326" s="8" t="s">
        <v>4740</v>
      </c>
      <c r="M1326" s="2">
        <v>5</v>
      </c>
      <c r="N1326" s="8" t="s">
        <v>4739</v>
      </c>
      <c r="O1326" s="8" t="str">
        <f t="shared" si="134"/>
        <v>PDFを開く</v>
      </c>
      <c r="P1326" s="8" t="s">
        <v>1225</v>
      </c>
    </row>
    <row r="1327" spans="1:16" ht="33.950000000000003" customHeight="1">
      <c r="A1327" s="5" t="s">
        <v>1219</v>
      </c>
      <c r="B1327" s="5" t="s">
        <v>73</v>
      </c>
      <c r="C1327" s="9" t="s">
        <v>1220</v>
      </c>
      <c r="D1327" s="5">
        <v>2</v>
      </c>
      <c r="E1327" s="9" t="s">
        <v>3188</v>
      </c>
      <c r="F1327" s="5" t="s">
        <v>86</v>
      </c>
      <c r="G1327" s="19" t="s">
        <v>3189</v>
      </c>
      <c r="H1327" s="5" t="s">
        <v>3178</v>
      </c>
      <c r="I1327" s="9"/>
      <c r="J1327" s="5"/>
      <c r="K1327" s="5"/>
      <c r="L1327" s="9"/>
      <c r="M1327" s="5">
        <v>5</v>
      </c>
      <c r="N1327" s="9" t="s">
        <v>3377</v>
      </c>
      <c r="O1327" s="9" t="str">
        <f t="shared" si="134"/>
        <v>PDFを開く</v>
      </c>
      <c r="P1327" s="9" t="s">
        <v>1225</v>
      </c>
    </row>
    <row r="1328" spans="1:16" ht="33.950000000000003" customHeight="1">
      <c r="A1328" s="2" t="s">
        <v>1219</v>
      </c>
      <c r="B1328" s="2" t="s">
        <v>73</v>
      </c>
      <c r="C1328" s="8" t="s">
        <v>1220</v>
      </c>
      <c r="D1328" s="2">
        <v>2</v>
      </c>
      <c r="E1328" s="8" t="s">
        <v>3191</v>
      </c>
      <c r="F1328" s="2" t="s">
        <v>2513</v>
      </c>
      <c r="G1328" s="2" t="s">
        <v>3177</v>
      </c>
      <c r="H1328" s="2" t="s">
        <v>3178</v>
      </c>
      <c r="I1328" s="8" t="s">
        <v>3259</v>
      </c>
      <c r="J1328" s="2">
        <v>2027</v>
      </c>
      <c r="K1328" s="2">
        <v>117</v>
      </c>
      <c r="L1328" s="8" t="s">
        <v>4727</v>
      </c>
      <c r="M1328" s="2"/>
      <c r="N1328" s="8" t="s">
        <v>4741</v>
      </c>
      <c r="O1328" s="8" t="str">
        <f t="shared" si="134"/>
        <v>PDFを開く</v>
      </c>
      <c r="P1328" s="8" t="s">
        <v>1225</v>
      </c>
    </row>
    <row r="1329" spans="1:16" ht="33.950000000000003" customHeight="1">
      <c r="A1329" s="5" t="s">
        <v>1219</v>
      </c>
      <c r="B1329" s="5" t="s">
        <v>73</v>
      </c>
      <c r="C1329" s="9" t="s">
        <v>1220</v>
      </c>
      <c r="D1329" s="5">
        <v>2</v>
      </c>
      <c r="E1329" s="9" t="s">
        <v>3191</v>
      </c>
      <c r="F1329" s="5" t="s">
        <v>2513</v>
      </c>
      <c r="G1329" s="5" t="s">
        <v>3177</v>
      </c>
      <c r="H1329" s="5" t="s">
        <v>3178</v>
      </c>
      <c r="I1329" s="9" t="s">
        <v>3262</v>
      </c>
      <c r="J1329" s="5">
        <v>2030</v>
      </c>
      <c r="K1329" s="5">
        <v>127</v>
      </c>
      <c r="L1329" s="9" t="s">
        <v>4742</v>
      </c>
      <c r="M1329" s="5"/>
      <c r="N1329" s="9" t="s">
        <v>4741</v>
      </c>
      <c r="O1329" s="9" t="str">
        <f t="shared" si="134"/>
        <v>PDFを開く</v>
      </c>
      <c r="P1329" s="9" t="s">
        <v>1225</v>
      </c>
    </row>
    <row r="1330" spans="1:16" ht="33.950000000000003" customHeight="1">
      <c r="A1330" s="2" t="s">
        <v>1219</v>
      </c>
      <c r="B1330" s="2" t="s">
        <v>73</v>
      </c>
      <c r="C1330" s="8" t="s">
        <v>1220</v>
      </c>
      <c r="D1330" s="2">
        <v>2</v>
      </c>
      <c r="E1330" s="8" t="s">
        <v>3188</v>
      </c>
      <c r="F1330" s="2" t="s">
        <v>86</v>
      </c>
      <c r="G1330" s="2" t="s">
        <v>3177</v>
      </c>
      <c r="H1330" s="2"/>
      <c r="I1330" s="8" t="s">
        <v>4743</v>
      </c>
      <c r="J1330" s="2">
        <v>2027</v>
      </c>
      <c r="K1330" s="2"/>
      <c r="L1330" s="8" t="s">
        <v>3211</v>
      </c>
      <c r="M1330" s="2">
        <v>5</v>
      </c>
      <c r="N1330" s="8" t="s">
        <v>3382</v>
      </c>
      <c r="O1330" s="8" t="str">
        <f t="shared" si="134"/>
        <v>PDFを開く</v>
      </c>
      <c r="P1330" s="8" t="s">
        <v>1225</v>
      </c>
    </row>
    <row r="1331" spans="1:16" ht="33.950000000000003" customHeight="1">
      <c r="A1331" s="5" t="s">
        <v>1219</v>
      </c>
      <c r="B1331" s="5" t="s">
        <v>73</v>
      </c>
      <c r="C1331" s="9" t="s">
        <v>1220</v>
      </c>
      <c r="D1331" s="5">
        <v>2</v>
      </c>
      <c r="E1331" s="9" t="s">
        <v>3188</v>
      </c>
      <c r="F1331" s="5" t="s">
        <v>86</v>
      </c>
      <c r="G1331" s="5" t="s">
        <v>3177</v>
      </c>
      <c r="H1331" s="5"/>
      <c r="I1331" s="9" t="s">
        <v>4744</v>
      </c>
      <c r="J1331" s="5">
        <v>2030</v>
      </c>
      <c r="K1331" s="5"/>
      <c r="L1331" s="9" t="s">
        <v>3384</v>
      </c>
      <c r="M1331" s="5">
        <v>5</v>
      </c>
      <c r="N1331" s="9" t="s">
        <v>3382</v>
      </c>
      <c r="O1331" s="9" t="str">
        <f t="shared" si="134"/>
        <v>PDFを開く</v>
      </c>
      <c r="P1331" s="9" t="s">
        <v>1225</v>
      </c>
    </row>
    <row r="1332" spans="1:16" ht="33.950000000000003" customHeight="1">
      <c r="A1332" s="2" t="s">
        <v>1226</v>
      </c>
      <c r="B1332" s="2" t="s">
        <v>73</v>
      </c>
      <c r="C1332" s="8" t="s">
        <v>1227</v>
      </c>
      <c r="D1332" s="2">
        <v>2</v>
      </c>
      <c r="E1332" s="8" t="s">
        <v>3176</v>
      </c>
      <c r="F1332" s="2" t="s">
        <v>86</v>
      </c>
      <c r="G1332" s="2" t="s">
        <v>3177</v>
      </c>
      <c r="H1332" s="2"/>
      <c r="I1332" s="8" t="s">
        <v>3845</v>
      </c>
      <c r="J1332" s="2">
        <v>2026</v>
      </c>
      <c r="K1332" s="2">
        <v>722</v>
      </c>
      <c r="L1332" s="8" t="s">
        <v>4745</v>
      </c>
      <c r="M1332" s="2">
        <v>56.9</v>
      </c>
      <c r="N1332" s="8" t="s">
        <v>4746</v>
      </c>
      <c r="O1332" s="8" t="str">
        <f t="shared" ref="O1332:O1337" si="135">HYPERLINK("https://seichotoushi-hojo.jp/assets/pdf/koufu/outline_8.pdf","PDFを開く")</f>
        <v>PDFを開く</v>
      </c>
      <c r="P1332" s="8" t="s">
        <v>1232</v>
      </c>
    </row>
    <row r="1333" spans="1:16" ht="33.950000000000003" customHeight="1">
      <c r="A1333" s="5" t="s">
        <v>1226</v>
      </c>
      <c r="B1333" s="5" t="s">
        <v>73</v>
      </c>
      <c r="C1333" s="9" t="s">
        <v>1227</v>
      </c>
      <c r="D1333" s="5">
        <v>2</v>
      </c>
      <c r="E1333" s="9" t="s">
        <v>3176</v>
      </c>
      <c r="F1333" s="5" t="s">
        <v>86</v>
      </c>
      <c r="G1333" s="5" t="s">
        <v>3177</v>
      </c>
      <c r="H1333" s="5"/>
      <c r="I1333" s="9" t="s">
        <v>3848</v>
      </c>
      <c r="J1333" s="5">
        <v>2029</v>
      </c>
      <c r="K1333" s="5">
        <v>2788</v>
      </c>
      <c r="L1333" s="9" t="s">
        <v>4747</v>
      </c>
      <c r="M1333" s="5">
        <v>56.9</v>
      </c>
      <c r="N1333" s="9" t="s">
        <v>4746</v>
      </c>
      <c r="O1333" s="9" t="str">
        <f t="shared" si="135"/>
        <v>PDFを開く</v>
      </c>
      <c r="P1333" s="9" t="s">
        <v>1232</v>
      </c>
    </row>
    <row r="1334" spans="1:16" ht="33.950000000000003" customHeight="1">
      <c r="A1334" s="2" t="s">
        <v>1226</v>
      </c>
      <c r="B1334" s="2" t="s">
        <v>73</v>
      </c>
      <c r="C1334" s="8" t="s">
        <v>1227</v>
      </c>
      <c r="D1334" s="2">
        <v>2</v>
      </c>
      <c r="E1334" s="8" t="s">
        <v>3191</v>
      </c>
      <c r="F1334" s="2" t="s">
        <v>2513</v>
      </c>
      <c r="G1334" s="2" t="s">
        <v>3177</v>
      </c>
      <c r="H1334" s="2"/>
      <c r="I1334" s="8" t="s">
        <v>3845</v>
      </c>
      <c r="J1334" s="2">
        <v>2026</v>
      </c>
      <c r="K1334" s="2">
        <v>24</v>
      </c>
      <c r="L1334" s="8" t="s">
        <v>4748</v>
      </c>
      <c r="M1334" s="2"/>
      <c r="N1334" s="8" t="s">
        <v>4749</v>
      </c>
      <c r="O1334" s="8" t="str">
        <f t="shared" si="135"/>
        <v>PDFを開く</v>
      </c>
      <c r="P1334" s="8" t="s">
        <v>1232</v>
      </c>
    </row>
    <row r="1335" spans="1:16" ht="33.950000000000003" customHeight="1">
      <c r="A1335" s="5" t="s">
        <v>1226</v>
      </c>
      <c r="B1335" s="5" t="s">
        <v>73</v>
      </c>
      <c r="C1335" s="9" t="s">
        <v>1227</v>
      </c>
      <c r="D1335" s="5">
        <v>2</v>
      </c>
      <c r="E1335" s="9" t="s">
        <v>3191</v>
      </c>
      <c r="F1335" s="5" t="s">
        <v>2513</v>
      </c>
      <c r="G1335" s="5" t="s">
        <v>3177</v>
      </c>
      <c r="H1335" s="5"/>
      <c r="I1335" s="9" t="s">
        <v>3848</v>
      </c>
      <c r="J1335" s="5">
        <v>2029</v>
      </c>
      <c r="K1335" s="5">
        <v>46</v>
      </c>
      <c r="L1335" s="9" t="s">
        <v>3884</v>
      </c>
      <c r="M1335" s="5"/>
      <c r="N1335" s="9" t="s">
        <v>4749</v>
      </c>
      <c r="O1335" s="9" t="str">
        <f t="shared" si="135"/>
        <v>PDFを開く</v>
      </c>
      <c r="P1335" s="9" t="s">
        <v>1232</v>
      </c>
    </row>
    <row r="1336" spans="1:16" ht="33.950000000000003" customHeight="1">
      <c r="A1336" s="2" t="s">
        <v>1226</v>
      </c>
      <c r="B1336" s="2" t="s">
        <v>73</v>
      </c>
      <c r="C1336" s="8" t="s">
        <v>1227</v>
      </c>
      <c r="D1336" s="2">
        <v>2</v>
      </c>
      <c r="E1336" s="8" t="s">
        <v>3184</v>
      </c>
      <c r="F1336" s="2" t="s">
        <v>86</v>
      </c>
      <c r="G1336" s="2" t="s">
        <v>3177</v>
      </c>
      <c r="H1336" s="2"/>
      <c r="I1336" s="8" t="s">
        <v>3227</v>
      </c>
      <c r="J1336" s="2">
        <v>2026</v>
      </c>
      <c r="K1336" s="2">
        <v>623</v>
      </c>
      <c r="L1336" s="8" t="s">
        <v>3512</v>
      </c>
      <c r="M1336" s="2">
        <v>3.5</v>
      </c>
      <c r="N1336" s="8" t="s">
        <v>4750</v>
      </c>
      <c r="O1336" s="8" t="str">
        <f t="shared" si="135"/>
        <v>PDFを開く</v>
      </c>
      <c r="P1336" s="8" t="s">
        <v>1232</v>
      </c>
    </row>
    <row r="1337" spans="1:16" ht="33.950000000000003" customHeight="1">
      <c r="A1337" s="5" t="s">
        <v>1226</v>
      </c>
      <c r="B1337" s="5" t="s">
        <v>73</v>
      </c>
      <c r="C1337" s="9" t="s">
        <v>1227</v>
      </c>
      <c r="D1337" s="5">
        <v>2</v>
      </c>
      <c r="E1337" s="9" t="s">
        <v>3184</v>
      </c>
      <c r="F1337" s="5" t="s">
        <v>86</v>
      </c>
      <c r="G1337" s="5" t="s">
        <v>3177</v>
      </c>
      <c r="H1337" s="5"/>
      <c r="I1337" s="9" t="s">
        <v>3230</v>
      </c>
      <c r="J1337" s="5">
        <v>2029</v>
      </c>
      <c r="K1337" s="5">
        <v>691</v>
      </c>
      <c r="L1337" s="9" t="s">
        <v>3653</v>
      </c>
      <c r="M1337" s="5">
        <v>3.5</v>
      </c>
      <c r="N1337" s="9" t="s">
        <v>4750</v>
      </c>
      <c r="O1337" s="9" t="str">
        <f t="shared" si="135"/>
        <v>PDFを開く</v>
      </c>
      <c r="P1337" s="9" t="s">
        <v>1232</v>
      </c>
    </row>
    <row r="1338" spans="1:16" ht="33.950000000000003" customHeight="1">
      <c r="A1338" s="2" t="s">
        <v>1233</v>
      </c>
      <c r="B1338" s="2" t="s">
        <v>73</v>
      </c>
      <c r="C1338" s="8" t="s">
        <v>1234</v>
      </c>
      <c r="D1338" s="2">
        <v>2</v>
      </c>
      <c r="E1338" s="8" t="s">
        <v>3176</v>
      </c>
      <c r="F1338" s="2" t="s">
        <v>86</v>
      </c>
      <c r="G1338" s="2" t="s">
        <v>3177</v>
      </c>
      <c r="H1338" s="2" t="s">
        <v>3178</v>
      </c>
      <c r="I1338" s="8" t="s">
        <v>3179</v>
      </c>
      <c r="J1338" s="2">
        <v>2026</v>
      </c>
      <c r="K1338" s="2">
        <v>984</v>
      </c>
      <c r="L1338" s="8" t="s">
        <v>4751</v>
      </c>
      <c r="M1338" s="2">
        <v>6</v>
      </c>
      <c r="N1338" s="8" t="s">
        <v>4752</v>
      </c>
      <c r="O1338" s="8" t="str">
        <f t="shared" ref="O1338:O1346" si="136">HYPERLINK("https://seichotoushi-hojo.jp/assets/pdf/koufu/outline_80.pdf","PDFを開く")</f>
        <v>PDFを開く</v>
      </c>
      <c r="P1338" s="8" t="s">
        <v>1239</v>
      </c>
    </row>
    <row r="1339" spans="1:16" ht="33.950000000000003" customHeight="1">
      <c r="A1339" s="5" t="s">
        <v>1233</v>
      </c>
      <c r="B1339" s="5" t="s">
        <v>73</v>
      </c>
      <c r="C1339" s="9" t="s">
        <v>1234</v>
      </c>
      <c r="D1339" s="5">
        <v>2</v>
      </c>
      <c r="E1339" s="9" t="s">
        <v>3176</v>
      </c>
      <c r="F1339" s="5" t="s">
        <v>86</v>
      </c>
      <c r="G1339" s="5" t="s">
        <v>3177</v>
      </c>
      <c r="H1339" s="5" t="s">
        <v>3178</v>
      </c>
      <c r="I1339" s="9" t="s">
        <v>3182</v>
      </c>
      <c r="J1339" s="5">
        <v>2029</v>
      </c>
      <c r="K1339" s="5">
        <v>1180</v>
      </c>
      <c r="L1339" s="9" t="s">
        <v>4753</v>
      </c>
      <c r="M1339" s="5">
        <v>6</v>
      </c>
      <c r="N1339" s="9" t="s">
        <v>4752</v>
      </c>
      <c r="O1339" s="9" t="str">
        <f t="shared" si="136"/>
        <v>PDFを開く</v>
      </c>
      <c r="P1339" s="9" t="s">
        <v>1239</v>
      </c>
    </row>
    <row r="1340" spans="1:16" ht="33.950000000000003" customHeight="1">
      <c r="A1340" s="2" t="s">
        <v>1233</v>
      </c>
      <c r="B1340" s="2" t="s">
        <v>73</v>
      </c>
      <c r="C1340" s="8" t="s">
        <v>1234</v>
      </c>
      <c r="D1340" s="2">
        <v>2</v>
      </c>
      <c r="E1340" s="8" t="s">
        <v>3184</v>
      </c>
      <c r="F1340" s="2" t="s">
        <v>86</v>
      </c>
      <c r="G1340" s="2" t="s">
        <v>3177</v>
      </c>
      <c r="H1340" s="2" t="s">
        <v>3178</v>
      </c>
      <c r="I1340" s="8" t="s">
        <v>3179</v>
      </c>
      <c r="J1340" s="2">
        <v>2026</v>
      </c>
      <c r="K1340" s="2">
        <v>413</v>
      </c>
      <c r="L1340" s="8" t="s">
        <v>4274</v>
      </c>
      <c r="M1340" s="2">
        <v>5</v>
      </c>
      <c r="N1340" s="8" t="s">
        <v>4754</v>
      </c>
      <c r="O1340" s="8" t="str">
        <f t="shared" si="136"/>
        <v>PDFを開く</v>
      </c>
      <c r="P1340" s="8" t="s">
        <v>1239</v>
      </c>
    </row>
    <row r="1341" spans="1:16" ht="33.950000000000003" customHeight="1">
      <c r="A1341" s="5" t="s">
        <v>1233</v>
      </c>
      <c r="B1341" s="5" t="s">
        <v>73</v>
      </c>
      <c r="C1341" s="9" t="s">
        <v>1234</v>
      </c>
      <c r="D1341" s="5">
        <v>2</v>
      </c>
      <c r="E1341" s="9" t="s">
        <v>3184</v>
      </c>
      <c r="F1341" s="5" t="s">
        <v>86</v>
      </c>
      <c r="G1341" s="5" t="s">
        <v>3177</v>
      </c>
      <c r="H1341" s="5" t="s">
        <v>3178</v>
      </c>
      <c r="I1341" s="9" t="s">
        <v>3182</v>
      </c>
      <c r="J1341" s="5">
        <v>2029</v>
      </c>
      <c r="K1341" s="5">
        <v>478</v>
      </c>
      <c r="L1341" s="9" t="s">
        <v>4755</v>
      </c>
      <c r="M1341" s="5">
        <v>5</v>
      </c>
      <c r="N1341" s="9" t="s">
        <v>4754</v>
      </c>
      <c r="O1341" s="9" t="str">
        <f t="shared" si="136"/>
        <v>PDFを開く</v>
      </c>
      <c r="P1341" s="9" t="s">
        <v>1239</v>
      </c>
    </row>
    <row r="1342" spans="1:16" ht="33.950000000000003" customHeight="1">
      <c r="A1342" s="2" t="s">
        <v>1233</v>
      </c>
      <c r="B1342" s="2" t="s">
        <v>73</v>
      </c>
      <c r="C1342" s="8" t="s">
        <v>1234</v>
      </c>
      <c r="D1342" s="2">
        <v>2</v>
      </c>
      <c r="E1342" s="8" t="s">
        <v>3188</v>
      </c>
      <c r="F1342" s="2" t="s">
        <v>86</v>
      </c>
      <c r="G1342" s="19" t="s">
        <v>3189</v>
      </c>
      <c r="H1342" s="2" t="s">
        <v>3178</v>
      </c>
      <c r="I1342" s="8"/>
      <c r="J1342" s="2"/>
      <c r="K1342" s="2"/>
      <c r="L1342" s="8"/>
      <c r="M1342" s="2">
        <v>5</v>
      </c>
      <c r="N1342" s="8" t="s">
        <v>4756</v>
      </c>
      <c r="O1342" s="8" t="str">
        <f t="shared" si="136"/>
        <v>PDFを開く</v>
      </c>
      <c r="P1342" s="8" t="s">
        <v>1239</v>
      </c>
    </row>
    <row r="1343" spans="1:16" ht="33.950000000000003" customHeight="1">
      <c r="A1343" s="5" t="s">
        <v>1233</v>
      </c>
      <c r="B1343" s="5" t="s">
        <v>73</v>
      </c>
      <c r="C1343" s="9" t="s">
        <v>1234</v>
      </c>
      <c r="D1343" s="5">
        <v>2</v>
      </c>
      <c r="E1343" s="9" t="s">
        <v>3191</v>
      </c>
      <c r="F1343" s="5" t="s">
        <v>2513</v>
      </c>
      <c r="G1343" s="5" t="s">
        <v>3177</v>
      </c>
      <c r="H1343" s="5" t="s">
        <v>3178</v>
      </c>
      <c r="I1343" s="9" t="s">
        <v>3179</v>
      </c>
      <c r="J1343" s="5">
        <v>2026</v>
      </c>
      <c r="K1343" s="5">
        <v>113</v>
      </c>
      <c r="L1343" s="9" t="s">
        <v>4757</v>
      </c>
      <c r="M1343" s="5"/>
      <c r="N1343" s="9" t="s">
        <v>4758</v>
      </c>
      <c r="O1343" s="9" t="str">
        <f t="shared" si="136"/>
        <v>PDFを開く</v>
      </c>
      <c r="P1343" s="9" t="s">
        <v>1239</v>
      </c>
    </row>
    <row r="1344" spans="1:16" ht="33.950000000000003" customHeight="1">
      <c r="A1344" s="2" t="s">
        <v>1233</v>
      </c>
      <c r="B1344" s="2" t="s">
        <v>73</v>
      </c>
      <c r="C1344" s="8" t="s">
        <v>1234</v>
      </c>
      <c r="D1344" s="2">
        <v>2</v>
      </c>
      <c r="E1344" s="8" t="s">
        <v>3191</v>
      </c>
      <c r="F1344" s="2" t="s">
        <v>2513</v>
      </c>
      <c r="G1344" s="2" t="s">
        <v>3177</v>
      </c>
      <c r="H1344" s="2" t="s">
        <v>3178</v>
      </c>
      <c r="I1344" s="8" t="s">
        <v>3182</v>
      </c>
      <c r="J1344" s="2">
        <v>2029</v>
      </c>
      <c r="K1344" s="2">
        <v>143</v>
      </c>
      <c r="L1344" s="8" t="s">
        <v>4759</v>
      </c>
      <c r="M1344" s="2"/>
      <c r="N1344" s="8" t="s">
        <v>4758</v>
      </c>
      <c r="O1344" s="8" t="str">
        <f t="shared" si="136"/>
        <v>PDFを開く</v>
      </c>
      <c r="P1344" s="8" t="s">
        <v>1239</v>
      </c>
    </row>
    <row r="1345" spans="1:16" ht="33.950000000000003" customHeight="1">
      <c r="A1345" s="5" t="s">
        <v>1233</v>
      </c>
      <c r="B1345" s="5" t="s">
        <v>73</v>
      </c>
      <c r="C1345" s="9" t="s">
        <v>1234</v>
      </c>
      <c r="D1345" s="5">
        <v>2</v>
      </c>
      <c r="E1345" s="9" t="s">
        <v>3188</v>
      </c>
      <c r="F1345" s="5" t="s">
        <v>86</v>
      </c>
      <c r="G1345" s="5" t="s">
        <v>3177</v>
      </c>
      <c r="H1345" s="5"/>
      <c r="I1345" s="9" t="s">
        <v>4760</v>
      </c>
      <c r="J1345" s="5">
        <v>2026</v>
      </c>
      <c r="K1345" s="5"/>
      <c r="L1345" s="9" t="s">
        <v>4227</v>
      </c>
      <c r="M1345" s="5">
        <v>5</v>
      </c>
      <c r="N1345" s="9" t="s">
        <v>4761</v>
      </c>
      <c r="O1345" s="9" t="str">
        <f t="shared" si="136"/>
        <v>PDFを開く</v>
      </c>
      <c r="P1345" s="9" t="s">
        <v>1239</v>
      </c>
    </row>
    <row r="1346" spans="1:16" ht="33.950000000000003" customHeight="1">
      <c r="A1346" s="2" t="s">
        <v>1233</v>
      </c>
      <c r="B1346" s="2" t="s">
        <v>73</v>
      </c>
      <c r="C1346" s="8" t="s">
        <v>1234</v>
      </c>
      <c r="D1346" s="2">
        <v>2</v>
      </c>
      <c r="E1346" s="8" t="s">
        <v>3188</v>
      </c>
      <c r="F1346" s="2" t="s">
        <v>86</v>
      </c>
      <c r="G1346" s="2" t="s">
        <v>3177</v>
      </c>
      <c r="H1346" s="2"/>
      <c r="I1346" s="8" t="s">
        <v>4762</v>
      </c>
      <c r="J1346" s="2">
        <v>2029</v>
      </c>
      <c r="K1346" s="2"/>
      <c r="L1346" s="8" t="s">
        <v>4763</v>
      </c>
      <c r="M1346" s="2">
        <v>5</v>
      </c>
      <c r="N1346" s="8" t="s">
        <v>4761</v>
      </c>
      <c r="O1346" s="8" t="str">
        <f t="shared" si="136"/>
        <v>PDFを開く</v>
      </c>
      <c r="P1346" s="8" t="s">
        <v>1239</v>
      </c>
    </row>
    <row r="1347" spans="1:16" ht="33.950000000000003" customHeight="1">
      <c r="A1347" s="5" t="s">
        <v>1240</v>
      </c>
      <c r="B1347" s="5" t="s">
        <v>73</v>
      </c>
      <c r="C1347" s="9" t="s">
        <v>1241</v>
      </c>
      <c r="D1347" s="5">
        <v>2</v>
      </c>
      <c r="E1347" s="9" t="s">
        <v>3176</v>
      </c>
      <c r="F1347" s="5" t="s">
        <v>86</v>
      </c>
      <c r="G1347" s="5" t="s">
        <v>3177</v>
      </c>
      <c r="H1347" s="5" t="s">
        <v>3178</v>
      </c>
      <c r="I1347" s="9" t="s">
        <v>4764</v>
      </c>
      <c r="J1347" s="5">
        <v>2026</v>
      </c>
      <c r="K1347" s="5">
        <v>827</v>
      </c>
      <c r="L1347" s="9" t="s">
        <v>4765</v>
      </c>
      <c r="M1347" s="5">
        <v>13</v>
      </c>
      <c r="N1347" s="9" t="s">
        <v>4766</v>
      </c>
      <c r="O1347" s="9" t="str">
        <f t="shared" ref="O1347:O1354" si="137">HYPERLINK("https://seichotoushi-hojo.jp/assets/pdf/koufu/outline_81.pdf","PDFを開く")</f>
        <v>PDFを開く</v>
      </c>
      <c r="P1347" s="9" t="s">
        <v>1247</v>
      </c>
    </row>
    <row r="1348" spans="1:16" ht="33.950000000000003" customHeight="1">
      <c r="A1348" s="2" t="s">
        <v>1240</v>
      </c>
      <c r="B1348" s="2" t="s">
        <v>73</v>
      </c>
      <c r="C1348" s="8" t="s">
        <v>1241</v>
      </c>
      <c r="D1348" s="2">
        <v>2</v>
      </c>
      <c r="E1348" s="8" t="s">
        <v>3176</v>
      </c>
      <c r="F1348" s="2" t="s">
        <v>86</v>
      </c>
      <c r="G1348" s="2" t="s">
        <v>3177</v>
      </c>
      <c r="H1348" s="2" t="s">
        <v>3178</v>
      </c>
      <c r="I1348" s="8" t="s">
        <v>4767</v>
      </c>
      <c r="J1348" s="2">
        <v>2029</v>
      </c>
      <c r="K1348" s="2">
        <v>1194</v>
      </c>
      <c r="L1348" s="8" t="s">
        <v>4768</v>
      </c>
      <c r="M1348" s="2">
        <v>13</v>
      </c>
      <c r="N1348" s="8" t="s">
        <v>4766</v>
      </c>
      <c r="O1348" s="8" t="str">
        <f t="shared" si="137"/>
        <v>PDFを開く</v>
      </c>
      <c r="P1348" s="8" t="s">
        <v>1247</v>
      </c>
    </row>
    <row r="1349" spans="1:16" ht="33.950000000000003" customHeight="1">
      <c r="A1349" s="5" t="s">
        <v>1240</v>
      </c>
      <c r="B1349" s="5" t="s">
        <v>73</v>
      </c>
      <c r="C1349" s="9" t="s">
        <v>1241</v>
      </c>
      <c r="D1349" s="5">
        <v>2</v>
      </c>
      <c r="E1349" s="9" t="s">
        <v>3184</v>
      </c>
      <c r="F1349" s="5" t="s">
        <v>86</v>
      </c>
      <c r="G1349" s="5" t="s">
        <v>3177</v>
      </c>
      <c r="H1349" s="5" t="s">
        <v>3178</v>
      </c>
      <c r="I1349" s="9" t="s">
        <v>4764</v>
      </c>
      <c r="J1349" s="5">
        <v>2026</v>
      </c>
      <c r="K1349" s="5">
        <v>433</v>
      </c>
      <c r="L1349" s="9" t="s">
        <v>3567</v>
      </c>
      <c r="M1349" s="5">
        <v>5</v>
      </c>
      <c r="N1349" s="9" t="s">
        <v>4769</v>
      </c>
      <c r="O1349" s="9" t="str">
        <f t="shared" si="137"/>
        <v>PDFを開く</v>
      </c>
      <c r="P1349" s="9" t="s">
        <v>1247</v>
      </c>
    </row>
    <row r="1350" spans="1:16" ht="33.950000000000003" customHeight="1">
      <c r="A1350" s="2" t="s">
        <v>1240</v>
      </c>
      <c r="B1350" s="2" t="s">
        <v>73</v>
      </c>
      <c r="C1350" s="8" t="s">
        <v>1241</v>
      </c>
      <c r="D1350" s="2">
        <v>2</v>
      </c>
      <c r="E1350" s="8" t="s">
        <v>3184</v>
      </c>
      <c r="F1350" s="2" t="s">
        <v>86</v>
      </c>
      <c r="G1350" s="2" t="s">
        <v>3177</v>
      </c>
      <c r="H1350" s="2" t="s">
        <v>3178</v>
      </c>
      <c r="I1350" s="8" t="s">
        <v>4767</v>
      </c>
      <c r="J1350" s="2">
        <v>2029</v>
      </c>
      <c r="K1350" s="2">
        <v>501</v>
      </c>
      <c r="L1350" s="8" t="s">
        <v>4005</v>
      </c>
      <c r="M1350" s="2">
        <v>5</v>
      </c>
      <c r="N1350" s="8" t="s">
        <v>4769</v>
      </c>
      <c r="O1350" s="8" t="str">
        <f t="shared" si="137"/>
        <v>PDFを開く</v>
      </c>
      <c r="P1350" s="8" t="s">
        <v>1247</v>
      </c>
    </row>
    <row r="1351" spans="1:16" ht="33.950000000000003" customHeight="1">
      <c r="A1351" s="5" t="s">
        <v>1240</v>
      </c>
      <c r="B1351" s="5" t="s">
        <v>73</v>
      </c>
      <c r="C1351" s="9" t="s">
        <v>1241</v>
      </c>
      <c r="D1351" s="5">
        <v>2</v>
      </c>
      <c r="E1351" s="9" t="s">
        <v>3188</v>
      </c>
      <c r="F1351" s="5" t="s">
        <v>86</v>
      </c>
      <c r="G1351" s="5" t="s">
        <v>3177</v>
      </c>
      <c r="H1351" s="5" t="s">
        <v>3178</v>
      </c>
      <c r="I1351" s="9" t="s">
        <v>4764</v>
      </c>
      <c r="J1351" s="5">
        <v>2026</v>
      </c>
      <c r="K1351" s="5">
        <v>863</v>
      </c>
      <c r="L1351" s="9" t="s">
        <v>4770</v>
      </c>
      <c r="M1351" s="5">
        <v>5</v>
      </c>
      <c r="N1351" s="9" t="s">
        <v>4771</v>
      </c>
      <c r="O1351" s="9" t="str">
        <f t="shared" si="137"/>
        <v>PDFを開く</v>
      </c>
      <c r="P1351" s="9" t="s">
        <v>1247</v>
      </c>
    </row>
    <row r="1352" spans="1:16" ht="33.950000000000003" customHeight="1">
      <c r="A1352" s="2" t="s">
        <v>1240</v>
      </c>
      <c r="B1352" s="2" t="s">
        <v>73</v>
      </c>
      <c r="C1352" s="8" t="s">
        <v>1241</v>
      </c>
      <c r="D1352" s="2">
        <v>2</v>
      </c>
      <c r="E1352" s="8" t="s">
        <v>3188</v>
      </c>
      <c r="F1352" s="2" t="s">
        <v>86</v>
      </c>
      <c r="G1352" s="2" t="s">
        <v>3177</v>
      </c>
      <c r="H1352" s="2" t="s">
        <v>3178</v>
      </c>
      <c r="I1352" s="8" t="s">
        <v>4767</v>
      </c>
      <c r="J1352" s="2">
        <v>2029</v>
      </c>
      <c r="K1352" s="2">
        <v>999</v>
      </c>
      <c r="L1352" s="8" t="s">
        <v>3385</v>
      </c>
      <c r="M1352" s="2">
        <v>5</v>
      </c>
      <c r="N1352" s="8" t="s">
        <v>4771</v>
      </c>
      <c r="O1352" s="8" t="str">
        <f t="shared" si="137"/>
        <v>PDFを開く</v>
      </c>
      <c r="P1352" s="8" t="s">
        <v>1247</v>
      </c>
    </row>
    <row r="1353" spans="1:16" ht="33.950000000000003" customHeight="1">
      <c r="A1353" s="5" t="s">
        <v>1240</v>
      </c>
      <c r="B1353" s="5" t="s">
        <v>73</v>
      </c>
      <c r="C1353" s="9" t="s">
        <v>1241</v>
      </c>
      <c r="D1353" s="5">
        <v>2</v>
      </c>
      <c r="E1353" s="9" t="s">
        <v>3191</v>
      </c>
      <c r="F1353" s="5" t="s">
        <v>2513</v>
      </c>
      <c r="G1353" s="5" t="s">
        <v>3177</v>
      </c>
      <c r="H1353" s="5" t="s">
        <v>3178</v>
      </c>
      <c r="I1353" s="9" t="s">
        <v>4764</v>
      </c>
      <c r="J1353" s="5">
        <v>2026</v>
      </c>
      <c r="K1353" s="5">
        <v>195</v>
      </c>
      <c r="L1353" s="9" t="s">
        <v>4772</v>
      </c>
      <c r="M1353" s="5"/>
      <c r="N1353" s="9" t="s">
        <v>4773</v>
      </c>
      <c r="O1353" s="9" t="str">
        <f t="shared" si="137"/>
        <v>PDFを開く</v>
      </c>
      <c r="P1353" s="9" t="s">
        <v>1247</v>
      </c>
    </row>
    <row r="1354" spans="1:16" ht="33.950000000000003" customHeight="1">
      <c r="A1354" s="2" t="s">
        <v>1240</v>
      </c>
      <c r="B1354" s="2" t="s">
        <v>73</v>
      </c>
      <c r="C1354" s="8" t="s">
        <v>1241</v>
      </c>
      <c r="D1354" s="2">
        <v>2</v>
      </c>
      <c r="E1354" s="8" t="s">
        <v>3191</v>
      </c>
      <c r="F1354" s="2" t="s">
        <v>2513</v>
      </c>
      <c r="G1354" s="2" t="s">
        <v>3177</v>
      </c>
      <c r="H1354" s="2" t="s">
        <v>3178</v>
      </c>
      <c r="I1354" s="8" t="s">
        <v>4767</v>
      </c>
      <c r="J1354" s="2">
        <v>2029</v>
      </c>
      <c r="K1354" s="2">
        <v>195</v>
      </c>
      <c r="L1354" s="8" t="s">
        <v>4772</v>
      </c>
      <c r="M1354" s="2"/>
      <c r="N1354" s="8" t="s">
        <v>4773</v>
      </c>
      <c r="O1354" s="8" t="str">
        <f t="shared" si="137"/>
        <v>PDFを開く</v>
      </c>
      <c r="P1354" s="8" t="s">
        <v>1247</v>
      </c>
    </row>
    <row r="1355" spans="1:16" ht="33.950000000000003" customHeight="1">
      <c r="A1355" s="5" t="s">
        <v>1248</v>
      </c>
      <c r="B1355" s="5" t="s">
        <v>73</v>
      </c>
      <c r="C1355" s="9" t="s">
        <v>1249</v>
      </c>
      <c r="D1355" s="5">
        <v>2</v>
      </c>
      <c r="E1355" s="9" t="s">
        <v>3176</v>
      </c>
      <c r="F1355" s="5" t="s">
        <v>86</v>
      </c>
      <c r="G1355" s="5" t="s">
        <v>3177</v>
      </c>
      <c r="H1355" s="5" t="s">
        <v>3178</v>
      </c>
      <c r="I1355" s="9" t="s">
        <v>3179</v>
      </c>
      <c r="J1355" s="5">
        <v>2026</v>
      </c>
      <c r="K1355" s="5">
        <v>724</v>
      </c>
      <c r="L1355" s="9" t="s">
        <v>4774</v>
      </c>
      <c r="M1355" s="5"/>
      <c r="N1355" s="9" t="s">
        <v>4775</v>
      </c>
      <c r="O1355" s="9" t="str">
        <f t="shared" ref="O1355:O1363" si="138">HYPERLINK("https://seichotoushi-hojo.jp/assets/pdf/koufu/outline_82.pdf","PDFを開く")</f>
        <v>PDFを開く</v>
      </c>
      <c r="P1355" s="9" t="s">
        <v>1254</v>
      </c>
    </row>
    <row r="1356" spans="1:16" ht="33.950000000000003" customHeight="1">
      <c r="A1356" s="2" t="s">
        <v>1248</v>
      </c>
      <c r="B1356" s="2" t="s">
        <v>73</v>
      </c>
      <c r="C1356" s="8" t="s">
        <v>1249</v>
      </c>
      <c r="D1356" s="2">
        <v>2</v>
      </c>
      <c r="E1356" s="8" t="s">
        <v>3176</v>
      </c>
      <c r="F1356" s="2" t="s">
        <v>86</v>
      </c>
      <c r="G1356" s="2" t="s">
        <v>3177</v>
      </c>
      <c r="H1356" s="2" t="s">
        <v>3178</v>
      </c>
      <c r="I1356" s="8" t="s">
        <v>4776</v>
      </c>
      <c r="J1356" s="2">
        <v>2030</v>
      </c>
      <c r="K1356" s="2">
        <v>943</v>
      </c>
      <c r="L1356" s="8" t="s">
        <v>4777</v>
      </c>
      <c r="M1356" s="2"/>
      <c r="N1356" s="8" t="s">
        <v>4775</v>
      </c>
      <c r="O1356" s="8" t="str">
        <f t="shared" si="138"/>
        <v>PDFを開く</v>
      </c>
      <c r="P1356" s="8" t="s">
        <v>1254</v>
      </c>
    </row>
    <row r="1357" spans="1:16" ht="33.950000000000003" customHeight="1">
      <c r="A1357" s="5" t="s">
        <v>1248</v>
      </c>
      <c r="B1357" s="5" t="s">
        <v>73</v>
      </c>
      <c r="C1357" s="9" t="s">
        <v>1249</v>
      </c>
      <c r="D1357" s="5">
        <v>2</v>
      </c>
      <c r="E1357" s="9" t="s">
        <v>3184</v>
      </c>
      <c r="F1357" s="5" t="s">
        <v>86</v>
      </c>
      <c r="G1357" s="5" t="s">
        <v>3177</v>
      </c>
      <c r="H1357" s="5" t="s">
        <v>3178</v>
      </c>
      <c r="I1357" s="9" t="s">
        <v>3179</v>
      </c>
      <c r="J1357" s="5">
        <v>2026</v>
      </c>
      <c r="K1357" s="5">
        <v>570</v>
      </c>
      <c r="L1357" s="9" t="s">
        <v>4778</v>
      </c>
      <c r="M1357" s="5">
        <v>4</v>
      </c>
      <c r="N1357" s="9" t="s">
        <v>4779</v>
      </c>
      <c r="O1357" s="9" t="str">
        <f t="shared" si="138"/>
        <v>PDFを開く</v>
      </c>
      <c r="P1357" s="9" t="s">
        <v>1254</v>
      </c>
    </row>
    <row r="1358" spans="1:16" ht="33.950000000000003" customHeight="1">
      <c r="A1358" s="2" t="s">
        <v>1248</v>
      </c>
      <c r="B1358" s="2" t="s">
        <v>73</v>
      </c>
      <c r="C1358" s="8" t="s">
        <v>1249</v>
      </c>
      <c r="D1358" s="2">
        <v>2</v>
      </c>
      <c r="E1358" s="8" t="s">
        <v>3184</v>
      </c>
      <c r="F1358" s="2" t="s">
        <v>86</v>
      </c>
      <c r="G1358" s="2" t="s">
        <v>3177</v>
      </c>
      <c r="H1358" s="2" t="s">
        <v>3178</v>
      </c>
      <c r="I1358" s="8" t="s">
        <v>4776</v>
      </c>
      <c r="J1358" s="2">
        <v>2030</v>
      </c>
      <c r="K1358" s="2">
        <v>642</v>
      </c>
      <c r="L1358" s="8" t="s">
        <v>3651</v>
      </c>
      <c r="M1358" s="2">
        <v>4</v>
      </c>
      <c r="N1358" s="8" t="s">
        <v>4779</v>
      </c>
      <c r="O1358" s="8" t="str">
        <f t="shared" si="138"/>
        <v>PDFを開く</v>
      </c>
      <c r="P1358" s="8" t="s">
        <v>1254</v>
      </c>
    </row>
    <row r="1359" spans="1:16" ht="33.950000000000003" customHeight="1">
      <c r="A1359" s="5" t="s">
        <v>1248</v>
      </c>
      <c r="B1359" s="5" t="s">
        <v>73</v>
      </c>
      <c r="C1359" s="9" t="s">
        <v>1249</v>
      </c>
      <c r="D1359" s="5">
        <v>2</v>
      </c>
      <c r="E1359" s="9" t="s">
        <v>3188</v>
      </c>
      <c r="F1359" s="5" t="s">
        <v>86</v>
      </c>
      <c r="G1359" s="19" t="s">
        <v>3189</v>
      </c>
      <c r="H1359" s="5" t="s">
        <v>3178</v>
      </c>
      <c r="I1359" s="9"/>
      <c r="J1359" s="5"/>
      <c r="K1359" s="5"/>
      <c r="L1359" s="9"/>
      <c r="M1359" s="5">
        <v>4</v>
      </c>
      <c r="N1359" s="9" t="s">
        <v>4780</v>
      </c>
      <c r="O1359" s="9" t="str">
        <f t="shared" si="138"/>
        <v>PDFを開く</v>
      </c>
      <c r="P1359" s="9" t="s">
        <v>1254</v>
      </c>
    </row>
    <row r="1360" spans="1:16" ht="33.950000000000003" customHeight="1">
      <c r="A1360" s="2" t="s">
        <v>1248</v>
      </c>
      <c r="B1360" s="2" t="s">
        <v>73</v>
      </c>
      <c r="C1360" s="8" t="s">
        <v>1249</v>
      </c>
      <c r="D1360" s="2">
        <v>2</v>
      </c>
      <c r="E1360" s="8" t="s">
        <v>3191</v>
      </c>
      <c r="F1360" s="2" t="s">
        <v>2513</v>
      </c>
      <c r="G1360" s="2" t="s">
        <v>3177</v>
      </c>
      <c r="H1360" s="2" t="s">
        <v>3178</v>
      </c>
      <c r="I1360" s="8" t="s">
        <v>3179</v>
      </c>
      <c r="J1360" s="2">
        <v>2026</v>
      </c>
      <c r="K1360" s="2">
        <v>220</v>
      </c>
      <c r="L1360" s="8" t="s">
        <v>3899</v>
      </c>
      <c r="M1360" s="2"/>
      <c r="N1360" s="8" t="s">
        <v>4781</v>
      </c>
      <c r="O1360" s="8" t="str">
        <f t="shared" si="138"/>
        <v>PDFを開く</v>
      </c>
      <c r="P1360" s="8" t="s">
        <v>1254</v>
      </c>
    </row>
    <row r="1361" spans="1:16" ht="33.950000000000003" customHeight="1">
      <c r="A1361" s="5" t="s">
        <v>1248</v>
      </c>
      <c r="B1361" s="5" t="s">
        <v>73</v>
      </c>
      <c r="C1361" s="9" t="s">
        <v>1249</v>
      </c>
      <c r="D1361" s="5">
        <v>2</v>
      </c>
      <c r="E1361" s="9" t="s">
        <v>3191</v>
      </c>
      <c r="F1361" s="5" t="s">
        <v>2513</v>
      </c>
      <c r="G1361" s="5" t="s">
        <v>3177</v>
      </c>
      <c r="H1361" s="5" t="s">
        <v>3178</v>
      </c>
      <c r="I1361" s="9" t="s">
        <v>4776</v>
      </c>
      <c r="J1361" s="5">
        <v>2030</v>
      </c>
      <c r="K1361" s="5">
        <v>270</v>
      </c>
      <c r="L1361" s="9" t="s">
        <v>3192</v>
      </c>
      <c r="M1361" s="5"/>
      <c r="N1361" s="9" t="s">
        <v>4781</v>
      </c>
      <c r="O1361" s="9" t="str">
        <f t="shared" si="138"/>
        <v>PDFを開く</v>
      </c>
      <c r="P1361" s="9" t="s">
        <v>1254</v>
      </c>
    </row>
    <row r="1362" spans="1:16" ht="33.950000000000003" customHeight="1">
      <c r="A1362" s="2" t="s">
        <v>1248</v>
      </c>
      <c r="B1362" s="2" t="s">
        <v>73</v>
      </c>
      <c r="C1362" s="8" t="s">
        <v>1249</v>
      </c>
      <c r="D1362" s="2">
        <v>2</v>
      </c>
      <c r="E1362" s="8" t="s">
        <v>3188</v>
      </c>
      <c r="F1362" s="2" t="s">
        <v>86</v>
      </c>
      <c r="G1362" s="2" t="s">
        <v>3177</v>
      </c>
      <c r="H1362" s="2"/>
      <c r="I1362" s="8" t="s">
        <v>4782</v>
      </c>
      <c r="J1362" s="2">
        <v>2026</v>
      </c>
      <c r="K1362" s="2"/>
      <c r="L1362" s="8" t="s">
        <v>4783</v>
      </c>
      <c r="M1362" s="2">
        <v>4</v>
      </c>
      <c r="N1362" s="8" t="s">
        <v>4784</v>
      </c>
      <c r="O1362" s="8" t="str">
        <f t="shared" si="138"/>
        <v>PDFを開く</v>
      </c>
      <c r="P1362" s="8" t="s">
        <v>1254</v>
      </c>
    </row>
    <row r="1363" spans="1:16" ht="33.950000000000003" customHeight="1">
      <c r="A1363" s="5" t="s">
        <v>1248</v>
      </c>
      <c r="B1363" s="5" t="s">
        <v>73</v>
      </c>
      <c r="C1363" s="9" t="s">
        <v>1249</v>
      </c>
      <c r="D1363" s="5">
        <v>2</v>
      </c>
      <c r="E1363" s="9" t="s">
        <v>3188</v>
      </c>
      <c r="F1363" s="5" t="s">
        <v>86</v>
      </c>
      <c r="G1363" s="5" t="s">
        <v>3177</v>
      </c>
      <c r="H1363" s="5"/>
      <c r="I1363" s="9" t="s">
        <v>4785</v>
      </c>
      <c r="J1363" s="5">
        <v>2030</v>
      </c>
      <c r="K1363" s="5"/>
      <c r="L1363" s="9" t="s">
        <v>4786</v>
      </c>
      <c r="M1363" s="5">
        <v>4</v>
      </c>
      <c r="N1363" s="9" t="s">
        <v>4784</v>
      </c>
      <c r="O1363" s="9" t="str">
        <f t="shared" si="138"/>
        <v>PDFを開く</v>
      </c>
      <c r="P1363" s="9" t="s">
        <v>1254</v>
      </c>
    </row>
    <row r="1364" spans="1:16" ht="33.950000000000003" customHeight="1">
      <c r="A1364" s="2" t="s">
        <v>1255</v>
      </c>
      <c r="B1364" s="2" t="s">
        <v>73</v>
      </c>
      <c r="C1364" s="8" t="s">
        <v>1256</v>
      </c>
      <c r="D1364" s="2">
        <v>2</v>
      </c>
      <c r="E1364" s="8" t="s">
        <v>3176</v>
      </c>
      <c r="F1364" s="2" t="s">
        <v>86</v>
      </c>
      <c r="G1364" s="2" t="s">
        <v>3177</v>
      </c>
      <c r="H1364" s="2" t="s">
        <v>3178</v>
      </c>
      <c r="I1364" s="8" t="s">
        <v>3407</v>
      </c>
      <c r="J1364" s="2">
        <v>2025</v>
      </c>
      <c r="K1364" s="2">
        <v>393</v>
      </c>
      <c r="L1364" s="8" t="s">
        <v>3874</v>
      </c>
      <c r="M1364" s="2"/>
      <c r="N1364" s="8" t="s">
        <v>4787</v>
      </c>
      <c r="O1364" s="8" t="str">
        <f t="shared" ref="O1364:O1369" si="139">HYPERLINK("https://seichotoushi-hojo.jp/assets/pdf/koufu/outline_83.pdf","PDFを開く")</f>
        <v>PDFを開く</v>
      </c>
      <c r="P1364" s="8" t="s">
        <v>1262</v>
      </c>
    </row>
    <row r="1365" spans="1:16" ht="33.950000000000003" customHeight="1">
      <c r="A1365" s="5" t="s">
        <v>1255</v>
      </c>
      <c r="B1365" s="5" t="s">
        <v>73</v>
      </c>
      <c r="C1365" s="9" t="s">
        <v>1256</v>
      </c>
      <c r="D1365" s="5">
        <v>2</v>
      </c>
      <c r="E1365" s="9" t="s">
        <v>3176</v>
      </c>
      <c r="F1365" s="5" t="s">
        <v>86</v>
      </c>
      <c r="G1365" s="5" t="s">
        <v>3177</v>
      </c>
      <c r="H1365" s="5" t="s">
        <v>3178</v>
      </c>
      <c r="I1365" s="9" t="s">
        <v>3335</v>
      </c>
      <c r="J1365" s="5">
        <v>2028</v>
      </c>
      <c r="K1365" s="5">
        <v>1656</v>
      </c>
      <c r="L1365" s="9" t="s">
        <v>4788</v>
      </c>
      <c r="M1365" s="5"/>
      <c r="N1365" s="9" t="s">
        <v>4787</v>
      </c>
      <c r="O1365" s="9" t="str">
        <f t="shared" si="139"/>
        <v>PDFを開く</v>
      </c>
      <c r="P1365" s="9" t="s">
        <v>1262</v>
      </c>
    </row>
    <row r="1366" spans="1:16" ht="33.950000000000003" customHeight="1">
      <c r="A1366" s="2" t="s">
        <v>1255</v>
      </c>
      <c r="B1366" s="2" t="s">
        <v>73</v>
      </c>
      <c r="C1366" s="8" t="s">
        <v>1256</v>
      </c>
      <c r="D1366" s="2">
        <v>2</v>
      </c>
      <c r="E1366" s="8" t="s">
        <v>3184</v>
      </c>
      <c r="F1366" s="2" t="s">
        <v>86</v>
      </c>
      <c r="G1366" s="2" t="s">
        <v>3177</v>
      </c>
      <c r="H1366" s="2" t="s">
        <v>3178</v>
      </c>
      <c r="I1366" s="8" t="s">
        <v>3407</v>
      </c>
      <c r="J1366" s="2">
        <v>2025</v>
      </c>
      <c r="K1366" s="2">
        <v>448.6</v>
      </c>
      <c r="L1366" s="8" t="s">
        <v>4789</v>
      </c>
      <c r="M1366" s="2"/>
      <c r="N1366" s="8" t="s">
        <v>4790</v>
      </c>
      <c r="O1366" s="8" t="str">
        <f t="shared" si="139"/>
        <v>PDFを開く</v>
      </c>
      <c r="P1366" s="8" t="s">
        <v>1262</v>
      </c>
    </row>
    <row r="1367" spans="1:16" ht="33.950000000000003" customHeight="1">
      <c r="A1367" s="5" t="s">
        <v>1255</v>
      </c>
      <c r="B1367" s="5" t="s">
        <v>73</v>
      </c>
      <c r="C1367" s="9" t="s">
        <v>1256</v>
      </c>
      <c r="D1367" s="5">
        <v>2</v>
      </c>
      <c r="E1367" s="9" t="s">
        <v>3184</v>
      </c>
      <c r="F1367" s="5" t="s">
        <v>86</v>
      </c>
      <c r="G1367" s="5" t="s">
        <v>3177</v>
      </c>
      <c r="H1367" s="5" t="s">
        <v>3178</v>
      </c>
      <c r="I1367" s="9" t="s">
        <v>3335</v>
      </c>
      <c r="J1367" s="5">
        <v>2028</v>
      </c>
      <c r="K1367" s="5">
        <v>501.2</v>
      </c>
      <c r="L1367" s="9" t="s">
        <v>4791</v>
      </c>
      <c r="M1367" s="5"/>
      <c r="N1367" s="9" t="s">
        <v>4790</v>
      </c>
      <c r="O1367" s="9" t="str">
        <f t="shared" si="139"/>
        <v>PDFを開く</v>
      </c>
      <c r="P1367" s="9" t="s">
        <v>1262</v>
      </c>
    </row>
    <row r="1368" spans="1:16" ht="33.950000000000003" customHeight="1">
      <c r="A1368" s="2" t="s">
        <v>1255</v>
      </c>
      <c r="B1368" s="2" t="s">
        <v>73</v>
      </c>
      <c r="C1368" s="8" t="s">
        <v>1256</v>
      </c>
      <c r="D1368" s="2">
        <v>2</v>
      </c>
      <c r="E1368" s="8" t="s">
        <v>3188</v>
      </c>
      <c r="F1368" s="2" t="s">
        <v>86</v>
      </c>
      <c r="G1368" s="2" t="s">
        <v>3177</v>
      </c>
      <c r="H1368" s="2" t="s">
        <v>3178</v>
      </c>
      <c r="I1368" s="8" t="s">
        <v>3407</v>
      </c>
      <c r="J1368" s="2">
        <v>2025</v>
      </c>
      <c r="K1368" s="2">
        <v>1254.2</v>
      </c>
      <c r="L1368" s="8" t="s">
        <v>4792</v>
      </c>
      <c r="M1368" s="2"/>
      <c r="N1368" s="8" t="s">
        <v>4793</v>
      </c>
      <c r="O1368" s="8" t="str">
        <f t="shared" si="139"/>
        <v>PDFを開く</v>
      </c>
      <c r="P1368" s="8" t="s">
        <v>1262</v>
      </c>
    </row>
    <row r="1369" spans="1:16" ht="33.950000000000003" customHeight="1">
      <c r="A1369" s="5" t="s">
        <v>1255</v>
      </c>
      <c r="B1369" s="5" t="s">
        <v>73</v>
      </c>
      <c r="C1369" s="9" t="s">
        <v>1256</v>
      </c>
      <c r="D1369" s="5">
        <v>2</v>
      </c>
      <c r="E1369" s="9" t="s">
        <v>3188</v>
      </c>
      <c r="F1369" s="5" t="s">
        <v>86</v>
      </c>
      <c r="G1369" s="5" t="s">
        <v>3177</v>
      </c>
      <c r="H1369" s="5" t="s">
        <v>3178</v>
      </c>
      <c r="I1369" s="9" t="s">
        <v>3335</v>
      </c>
      <c r="J1369" s="5">
        <v>2028</v>
      </c>
      <c r="K1369" s="5">
        <v>1404</v>
      </c>
      <c r="L1369" s="9" t="s">
        <v>4794</v>
      </c>
      <c r="M1369" s="5"/>
      <c r="N1369" s="9" t="s">
        <v>4793</v>
      </c>
      <c r="O1369" s="9" t="str">
        <f t="shared" si="139"/>
        <v>PDFを開く</v>
      </c>
      <c r="P1369" s="9" t="s">
        <v>1262</v>
      </c>
    </row>
    <row r="1370" spans="1:16" ht="33.950000000000003" customHeight="1">
      <c r="A1370" s="2" t="s">
        <v>1263</v>
      </c>
      <c r="B1370" s="2" t="s">
        <v>73</v>
      </c>
      <c r="C1370" s="8" t="s">
        <v>1264</v>
      </c>
      <c r="D1370" s="2">
        <v>2</v>
      </c>
      <c r="E1370" s="8" t="s">
        <v>3176</v>
      </c>
      <c r="F1370" s="2" t="s">
        <v>86</v>
      </c>
      <c r="G1370" s="2" t="s">
        <v>3177</v>
      </c>
      <c r="H1370" s="2" t="s">
        <v>3178</v>
      </c>
      <c r="I1370" s="8" t="s">
        <v>3179</v>
      </c>
      <c r="J1370" s="2">
        <v>2026</v>
      </c>
      <c r="K1370" s="2">
        <v>1803</v>
      </c>
      <c r="L1370" s="8" t="s">
        <v>4795</v>
      </c>
      <c r="M1370" s="2"/>
      <c r="N1370" s="8" t="s">
        <v>4796</v>
      </c>
      <c r="O1370" s="8" t="str">
        <f t="shared" ref="O1370:O1377" si="140">HYPERLINK("https://seichotoushi-hojo.jp/assets/pdf/koufu/outline_84.pdf","PDFを開く")</f>
        <v>PDFを開く</v>
      </c>
      <c r="P1370" s="8" t="s">
        <v>1271</v>
      </c>
    </row>
    <row r="1371" spans="1:16" ht="33.950000000000003" customHeight="1">
      <c r="A1371" s="5" t="s">
        <v>1263</v>
      </c>
      <c r="B1371" s="5" t="s">
        <v>73</v>
      </c>
      <c r="C1371" s="9" t="s">
        <v>1264</v>
      </c>
      <c r="D1371" s="5">
        <v>2</v>
      </c>
      <c r="E1371" s="9" t="s">
        <v>3176</v>
      </c>
      <c r="F1371" s="5" t="s">
        <v>86</v>
      </c>
      <c r="G1371" s="5" t="s">
        <v>3177</v>
      </c>
      <c r="H1371" s="5" t="s">
        <v>3178</v>
      </c>
      <c r="I1371" s="9" t="s">
        <v>3182</v>
      </c>
      <c r="J1371" s="5">
        <v>2029</v>
      </c>
      <c r="K1371" s="5">
        <v>17781</v>
      </c>
      <c r="L1371" s="9" t="s">
        <v>4797</v>
      </c>
      <c r="M1371" s="5"/>
      <c r="N1371" s="9" t="s">
        <v>4796</v>
      </c>
      <c r="O1371" s="9" t="str">
        <f t="shared" si="140"/>
        <v>PDFを開く</v>
      </c>
      <c r="P1371" s="9" t="s">
        <v>1271</v>
      </c>
    </row>
    <row r="1372" spans="1:16" ht="33.950000000000003" customHeight="1">
      <c r="A1372" s="2" t="s">
        <v>1263</v>
      </c>
      <c r="B1372" s="2" t="s">
        <v>73</v>
      </c>
      <c r="C1372" s="8" t="s">
        <v>1264</v>
      </c>
      <c r="D1372" s="2">
        <v>2</v>
      </c>
      <c r="E1372" s="8" t="s">
        <v>3184</v>
      </c>
      <c r="F1372" s="2" t="s">
        <v>86</v>
      </c>
      <c r="G1372" s="2" t="s">
        <v>3177</v>
      </c>
      <c r="H1372" s="2" t="s">
        <v>3178</v>
      </c>
      <c r="I1372" s="8" t="s">
        <v>3179</v>
      </c>
      <c r="J1372" s="2">
        <v>2026</v>
      </c>
      <c r="K1372" s="2">
        <v>708</v>
      </c>
      <c r="L1372" s="8" t="s">
        <v>4798</v>
      </c>
      <c r="M1372" s="2">
        <v>7</v>
      </c>
      <c r="N1372" s="8" t="s">
        <v>4799</v>
      </c>
      <c r="O1372" s="8" t="str">
        <f t="shared" si="140"/>
        <v>PDFを開く</v>
      </c>
      <c r="P1372" s="8" t="s">
        <v>1271</v>
      </c>
    </row>
    <row r="1373" spans="1:16" ht="33.950000000000003" customHeight="1">
      <c r="A1373" s="5" t="s">
        <v>1263</v>
      </c>
      <c r="B1373" s="5" t="s">
        <v>73</v>
      </c>
      <c r="C1373" s="9" t="s">
        <v>1264</v>
      </c>
      <c r="D1373" s="5">
        <v>2</v>
      </c>
      <c r="E1373" s="9" t="s">
        <v>3184</v>
      </c>
      <c r="F1373" s="5" t="s">
        <v>86</v>
      </c>
      <c r="G1373" s="5" t="s">
        <v>3177</v>
      </c>
      <c r="H1373" s="5" t="s">
        <v>3178</v>
      </c>
      <c r="I1373" s="9" t="s">
        <v>3182</v>
      </c>
      <c r="J1373" s="5">
        <v>2029</v>
      </c>
      <c r="K1373" s="5">
        <v>868</v>
      </c>
      <c r="L1373" s="9" t="s">
        <v>4800</v>
      </c>
      <c r="M1373" s="5">
        <v>7</v>
      </c>
      <c r="N1373" s="9" t="s">
        <v>4799</v>
      </c>
      <c r="O1373" s="9" t="str">
        <f t="shared" si="140"/>
        <v>PDFを開く</v>
      </c>
      <c r="P1373" s="9" t="s">
        <v>1271</v>
      </c>
    </row>
    <row r="1374" spans="1:16" ht="33.950000000000003" customHeight="1">
      <c r="A1374" s="2" t="s">
        <v>1263</v>
      </c>
      <c r="B1374" s="2" t="s">
        <v>73</v>
      </c>
      <c r="C1374" s="8" t="s">
        <v>1264</v>
      </c>
      <c r="D1374" s="2">
        <v>2</v>
      </c>
      <c r="E1374" s="8" t="s">
        <v>3188</v>
      </c>
      <c r="F1374" s="2" t="s">
        <v>86</v>
      </c>
      <c r="G1374" s="2" t="s">
        <v>3177</v>
      </c>
      <c r="H1374" s="2" t="s">
        <v>3178</v>
      </c>
      <c r="I1374" s="8" t="s">
        <v>3179</v>
      </c>
      <c r="J1374" s="2">
        <v>2026</v>
      </c>
      <c r="K1374" s="2">
        <v>1395</v>
      </c>
      <c r="L1374" s="8" t="s">
        <v>4801</v>
      </c>
      <c r="M1374" s="2">
        <v>7</v>
      </c>
      <c r="N1374" s="8" t="s">
        <v>4802</v>
      </c>
      <c r="O1374" s="8" t="str">
        <f t="shared" si="140"/>
        <v>PDFを開く</v>
      </c>
      <c r="P1374" s="8" t="s">
        <v>1271</v>
      </c>
    </row>
    <row r="1375" spans="1:16" ht="33.950000000000003" customHeight="1">
      <c r="A1375" s="5" t="s">
        <v>1263</v>
      </c>
      <c r="B1375" s="5" t="s">
        <v>73</v>
      </c>
      <c r="C1375" s="9" t="s">
        <v>1264</v>
      </c>
      <c r="D1375" s="5">
        <v>2</v>
      </c>
      <c r="E1375" s="9" t="s">
        <v>3188</v>
      </c>
      <c r="F1375" s="5" t="s">
        <v>86</v>
      </c>
      <c r="G1375" s="5" t="s">
        <v>3177</v>
      </c>
      <c r="H1375" s="5" t="s">
        <v>3178</v>
      </c>
      <c r="I1375" s="9" t="s">
        <v>3182</v>
      </c>
      <c r="J1375" s="5">
        <v>2029</v>
      </c>
      <c r="K1375" s="5">
        <v>1709</v>
      </c>
      <c r="L1375" s="9" t="s">
        <v>4803</v>
      </c>
      <c r="M1375" s="5">
        <v>7</v>
      </c>
      <c r="N1375" s="9" t="s">
        <v>4802</v>
      </c>
      <c r="O1375" s="9" t="str">
        <f t="shared" si="140"/>
        <v>PDFを開く</v>
      </c>
      <c r="P1375" s="9" t="s">
        <v>1271</v>
      </c>
    </row>
    <row r="1376" spans="1:16" ht="33.950000000000003" customHeight="1">
      <c r="A1376" s="2" t="s">
        <v>1263</v>
      </c>
      <c r="B1376" s="2" t="s">
        <v>73</v>
      </c>
      <c r="C1376" s="8" t="s">
        <v>1264</v>
      </c>
      <c r="D1376" s="2">
        <v>2</v>
      </c>
      <c r="E1376" s="8" t="s">
        <v>3191</v>
      </c>
      <c r="F1376" s="2" t="s">
        <v>2513</v>
      </c>
      <c r="G1376" s="2" t="s">
        <v>3177</v>
      </c>
      <c r="H1376" s="2" t="s">
        <v>3178</v>
      </c>
      <c r="I1376" s="8" t="s">
        <v>3179</v>
      </c>
      <c r="J1376" s="2">
        <v>2026</v>
      </c>
      <c r="K1376" s="2">
        <v>23</v>
      </c>
      <c r="L1376" s="8" t="s">
        <v>3543</v>
      </c>
      <c r="M1376" s="2"/>
      <c r="N1376" s="8" t="s">
        <v>4804</v>
      </c>
      <c r="O1376" s="8" t="str">
        <f t="shared" si="140"/>
        <v>PDFを開く</v>
      </c>
      <c r="P1376" s="8" t="s">
        <v>1271</v>
      </c>
    </row>
    <row r="1377" spans="1:16" ht="33.950000000000003" customHeight="1">
      <c r="A1377" s="5" t="s">
        <v>1263</v>
      </c>
      <c r="B1377" s="5" t="s">
        <v>73</v>
      </c>
      <c r="C1377" s="9" t="s">
        <v>1264</v>
      </c>
      <c r="D1377" s="5">
        <v>2</v>
      </c>
      <c r="E1377" s="9" t="s">
        <v>3191</v>
      </c>
      <c r="F1377" s="5" t="s">
        <v>2513</v>
      </c>
      <c r="G1377" s="5" t="s">
        <v>3177</v>
      </c>
      <c r="H1377" s="5" t="s">
        <v>3178</v>
      </c>
      <c r="I1377" s="9" t="s">
        <v>3182</v>
      </c>
      <c r="J1377" s="5">
        <v>2029</v>
      </c>
      <c r="K1377" s="5">
        <v>26</v>
      </c>
      <c r="L1377" s="9" t="s">
        <v>3982</v>
      </c>
      <c r="M1377" s="5"/>
      <c r="N1377" s="9" t="s">
        <v>4804</v>
      </c>
      <c r="O1377" s="9" t="str">
        <f t="shared" si="140"/>
        <v>PDFを開く</v>
      </c>
      <c r="P1377" s="9" t="s">
        <v>1271</v>
      </c>
    </row>
    <row r="1378" spans="1:16" ht="33.950000000000003" customHeight="1">
      <c r="A1378" s="2" t="s">
        <v>1272</v>
      </c>
      <c r="B1378" s="2" t="s">
        <v>73</v>
      </c>
      <c r="C1378" s="8" t="s">
        <v>1273</v>
      </c>
      <c r="D1378" s="2">
        <v>2</v>
      </c>
      <c r="E1378" s="8" t="s">
        <v>3176</v>
      </c>
      <c r="F1378" s="2" t="s">
        <v>86</v>
      </c>
      <c r="G1378" s="2" t="s">
        <v>3177</v>
      </c>
      <c r="H1378" s="2" t="s">
        <v>3178</v>
      </c>
      <c r="I1378" s="8" t="s">
        <v>3179</v>
      </c>
      <c r="J1378" s="2">
        <v>2026</v>
      </c>
      <c r="K1378" s="2">
        <v>767</v>
      </c>
      <c r="L1378" s="8" t="s">
        <v>4805</v>
      </c>
      <c r="M1378" s="2">
        <v>9.5</v>
      </c>
      <c r="N1378" s="8" t="s">
        <v>4806</v>
      </c>
      <c r="O1378" s="8" t="str">
        <f t="shared" ref="O1378:O1386" si="141">HYPERLINK("https://seichotoushi-hojo.jp/assets/pdf/koufu/outline_85.pdf","PDFを開く")</f>
        <v>PDFを開く</v>
      </c>
      <c r="P1378" s="8" t="s">
        <v>1280</v>
      </c>
    </row>
    <row r="1379" spans="1:16" ht="33.950000000000003" customHeight="1">
      <c r="A1379" s="5" t="s">
        <v>1272</v>
      </c>
      <c r="B1379" s="5" t="s">
        <v>73</v>
      </c>
      <c r="C1379" s="9" t="s">
        <v>1273</v>
      </c>
      <c r="D1379" s="5">
        <v>2</v>
      </c>
      <c r="E1379" s="9" t="s">
        <v>3176</v>
      </c>
      <c r="F1379" s="5" t="s">
        <v>86</v>
      </c>
      <c r="G1379" s="5" t="s">
        <v>3177</v>
      </c>
      <c r="H1379" s="5" t="s">
        <v>3178</v>
      </c>
      <c r="I1379" s="9" t="s">
        <v>3182</v>
      </c>
      <c r="J1379" s="5">
        <v>2029</v>
      </c>
      <c r="K1379" s="5">
        <v>1008</v>
      </c>
      <c r="L1379" s="9" t="s">
        <v>3802</v>
      </c>
      <c r="M1379" s="5">
        <v>9.5</v>
      </c>
      <c r="N1379" s="9" t="s">
        <v>4806</v>
      </c>
      <c r="O1379" s="9" t="str">
        <f t="shared" si="141"/>
        <v>PDFを開く</v>
      </c>
      <c r="P1379" s="9" t="s">
        <v>1280</v>
      </c>
    </row>
    <row r="1380" spans="1:16" ht="33.950000000000003" customHeight="1">
      <c r="A1380" s="2" t="s">
        <v>1272</v>
      </c>
      <c r="B1380" s="2" t="s">
        <v>73</v>
      </c>
      <c r="C1380" s="8" t="s">
        <v>1273</v>
      </c>
      <c r="D1380" s="2">
        <v>2</v>
      </c>
      <c r="E1380" s="8" t="s">
        <v>3184</v>
      </c>
      <c r="F1380" s="2" t="s">
        <v>86</v>
      </c>
      <c r="G1380" s="2" t="s">
        <v>3177</v>
      </c>
      <c r="H1380" s="2" t="s">
        <v>3178</v>
      </c>
      <c r="I1380" s="8" t="s">
        <v>3179</v>
      </c>
      <c r="J1380" s="2">
        <v>2026</v>
      </c>
      <c r="K1380" s="2">
        <v>415</v>
      </c>
      <c r="L1380" s="8" t="s">
        <v>4733</v>
      </c>
      <c r="M1380" s="2">
        <v>6</v>
      </c>
      <c r="N1380" s="8" t="s">
        <v>4807</v>
      </c>
      <c r="O1380" s="8" t="str">
        <f t="shared" si="141"/>
        <v>PDFを開く</v>
      </c>
      <c r="P1380" s="8" t="s">
        <v>1280</v>
      </c>
    </row>
    <row r="1381" spans="1:16" ht="33.950000000000003" customHeight="1">
      <c r="A1381" s="5" t="s">
        <v>1272</v>
      </c>
      <c r="B1381" s="5" t="s">
        <v>73</v>
      </c>
      <c r="C1381" s="9" t="s">
        <v>1273</v>
      </c>
      <c r="D1381" s="5">
        <v>2</v>
      </c>
      <c r="E1381" s="9" t="s">
        <v>3184</v>
      </c>
      <c r="F1381" s="5" t="s">
        <v>86</v>
      </c>
      <c r="G1381" s="5" t="s">
        <v>3177</v>
      </c>
      <c r="H1381" s="5" t="s">
        <v>3178</v>
      </c>
      <c r="I1381" s="9" t="s">
        <v>3182</v>
      </c>
      <c r="J1381" s="5">
        <v>2029</v>
      </c>
      <c r="K1381" s="5">
        <v>494</v>
      </c>
      <c r="L1381" s="9" t="s">
        <v>4808</v>
      </c>
      <c r="M1381" s="5">
        <v>6</v>
      </c>
      <c r="N1381" s="9" t="s">
        <v>4807</v>
      </c>
      <c r="O1381" s="9" t="str">
        <f t="shared" si="141"/>
        <v>PDFを開く</v>
      </c>
      <c r="P1381" s="9" t="s">
        <v>1280</v>
      </c>
    </row>
    <row r="1382" spans="1:16" ht="33.950000000000003" customHeight="1">
      <c r="A1382" s="2" t="s">
        <v>1272</v>
      </c>
      <c r="B1382" s="2" t="s">
        <v>73</v>
      </c>
      <c r="C1382" s="8" t="s">
        <v>1273</v>
      </c>
      <c r="D1382" s="2">
        <v>2</v>
      </c>
      <c r="E1382" s="8" t="s">
        <v>3188</v>
      </c>
      <c r="F1382" s="2" t="s">
        <v>86</v>
      </c>
      <c r="G1382" s="19" t="s">
        <v>3189</v>
      </c>
      <c r="H1382" s="2" t="s">
        <v>3178</v>
      </c>
      <c r="I1382" s="8"/>
      <c r="J1382" s="2"/>
      <c r="K1382" s="2"/>
      <c r="L1382" s="8"/>
      <c r="M1382" s="2">
        <v>6</v>
      </c>
      <c r="N1382" s="8" t="s">
        <v>4809</v>
      </c>
      <c r="O1382" s="8" t="str">
        <f t="shared" si="141"/>
        <v>PDFを開く</v>
      </c>
      <c r="P1382" s="8" t="s">
        <v>1280</v>
      </c>
    </row>
    <row r="1383" spans="1:16" ht="33.950000000000003" customHeight="1">
      <c r="A1383" s="5" t="s">
        <v>1272</v>
      </c>
      <c r="B1383" s="5" t="s">
        <v>73</v>
      </c>
      <c r="C1383" s="9" t="s">
        <v>1273</v>
      </c>
      <c r="D1383" s="5">
        <v>2</v>
      </c>
      <c r="E1383" s="9" t="s">
        <v>3191</v>
      </c>
      <c r="F1383" s="5" t="s">
        <v>2513</v>
      </c>
      <c r="G1383" s="5" t="s">
        <v>3177</v>
      </c>
      <c r="H1383" s="5" t="s">
        <v>3178</v>
      </c>
      <c r="I1383" s="9" t="s">
        <v>3179</v>
      </c>
      <c r="J1383" s="5">
        <v>2026</v>
      </c>
      <c r="K1383" s="5">
        <v>94</v>
      </c>
      <c r="L1383" s="9" t="s">
        <v>4810</v>
      </c>
      <c r="M1383" s="5"/>
      <c r="N1383" s="9" t="s">
        <v>4811</v>
      </c>
      <c r="O1383" s="9" t="str">
        <f t="shared" si="141"/>
        <v>PDFを開く</v>
      </c>
      <c r="P1383" s="9" t="s">
        <v>1280</v>
      </c>
    </row>
    <row r="1384" spans="1:16" ht="33.950000000000003" customHeight="1">
      <c r="A1384" s="2" t="s">
        <v>1272</v>
      </c>
      <c r="B1384" s="2" t="s">
        <v>73</v>
      </c>
      <c r="C1384" s="8" t="s">
        <v>1273</v>
      </c>
      <c r="D1384" s="2">
        <v>2</v>
      </c>
      <c r="E1384" s="8" t="s">
        <v>3191</v>
      </c>
      <c r="F1384" s="2" t="s">
        <v>2513</v>
      </c>
      <c r="G1384" s="2" t="s">
        <v>3177</v>
      </c>
      <c r="H1384" s="2" t="s">
        <v>3178</v>
      </c>
      <c r="I1384" s="8" t="s">
        <v>3182</v>
      </c>
      <c r="J1384" s="2">
        <v>2029</v>
      </c>
      <c r="K1384" s="2">
        <v>104</v>
      </c>
      <c r="L1384" s="8" t="s">
        <v>3444</v>
      </c>
      <c r="M1384" s="2"/>
      <c r="N1384" s="8" t="s">
        <v>4811</v>
      </c>
      <c r="O1384" s="8" t="str">
        <f t="shared" si="141"/>
        <v>PDFを開く</v>
      </c>
      <c r="P1384" s="8" t="s">
        <v>1280</v>
      </c>
    </row>
    <row r="1385" spans="1:16" ht="33.950000000000003" customHeight="1">
      <c r="A1385" s="5" t="s">
        <v>1272</v>
      </c>
      <c r="B1385" s="5" t="s">
        <v>73</v>
      </c>
      <c r="C1385" s="9" t="s">
        <v>1273</v>
      </c>
      <c r="D1385" s="5">
        <v>2</v>
      </c>
      <c r="E1385" s="9" t="s">
        <v>3188</v>
      </c>
      <c r="F1385" s="5" t="s">
        <v>86</v>
      </c>
      <c r="G1385" s="5" t="s">
        <v>3177</v>
      </c>
      <c r="H1385" s="5"/>
      <c r="I1385" s="9" t="s">
        <v>4812</v>
      </c>
      <c r="J1385" s="5">
        <v>2026</v>
      </c>
      <c r="K1385" s="5"/>
      <c r="L1385" s="9" t="s">
        <v>3196</v>
      </c>
      <c r="M1385" s="5">
        <v>6</v>
      </c>
      <c r="N1385" s="9" t="s">
        <v>4813</v>
      </c>
      <c r="O1385" s="9" t="str">
        <f t="shared" si="141"/>
        <v>PDFを開く</v>
      </c>
      <c r="P1385" s="9" t="s">
        <v>1280</v>
      </c>
    </row>
    <row r="1386" spans="1:16" ht="33.950000000000003" customHeight="1">
      <c r="A1386" s="2" t="s">
        <v>1272</v>
      </c>
      <c r="B1386" s="2" t="s">
        <v>73</v>
      </c>
      <c r="C1386" s="8" t="s">
        <v>1273</v>
      </c>
      <c r="D1386" s="2">
        <v>2</v>
      </c>
      <c r="E1386" s="8" t="s">
        <v>3188</v>
      </c>
      <c r="F1386" s="2" t="s">
        <v>86</v>
      </c>
      <c r="G1386" s="2" t="s">
        <v>3177</v>
      </c>
      <c r="H1386" s="2"/>
      <c r="I1386" s="8" t="s">
        <v>4814</v>
      </c>
      <c r="J1386" s="2">
        <v>2029</v>
      </c>
      <c r="K1386" s="2"/>
      <c r="L1386" s="8" t="s">
        <v>4815</v>
      </c>
      <c r="M1386" s="2">
        <v>6</v>
      </c>
      <c r="N1386" s="8" t="s">
        <v>4813</v>
      </c>
      <c r="O1386" s="8" t="str">
        <f t="shared" si="141"/>
        <v>PDFを開く</v>
      </c>
      <c r="P1386" s="8" t="s">
        <v>1280</v>
      </c>
    </row>
    <row r="1387" spans="1:16" ht="33.950000000000003" customHeight="1">
      <c r="A1387" s="5" t="s">
        <v>1281</v>
      </c>
      <c r="B1387" s="5" t="s">
        <v>73</v>
      </c>
      <c r="C1387" s="9" t="s">
        <v>1282</v>
      </c>
      <c r="D1387" s="5">
        <v>2</v>
      </c>
      <c r="E1387" s="9" t="s">
        <v>3176</v>
      </c>
      <c r="F1387" s="5" t="s">
        <v>86</v>
      </c>
      <c r="G1387" s="5" t="s">
        <v>3177</v>
      </c>
      <c r="H1387" s="5"/>
      <c r="I1387" s="9" t="s">
        <v>3227</v>
      </c>
      <c r="J1387" s="5">
        <v>2026</v>
      </c>
      <c r="K1387" s="5">
        <v>9308</v>
      </c>
      <c r="L1387" s="9" t="s">
        <v>4816</v>
      </c>
      <c r="M1387" s="5">
        <v>14</v>
      </c>
      <c r="N1387" s="9" t="s">
        <v>4817</v>
      </c>
      <c r="O1387" s="9" t="str">
        <f t="shared" ref="O1387:O1392" si="142">HYPERLINK("https://seichotoushi-hojo.jp/assets/pdf/koufu/outline_86.pdf","PDFを開く")</f>
        <v>PDFを開く</v>
      </c>
      <c r="P1387" s="9" t="s">
        <v>1286</v>
      </c>
    </row>
    <row r="1388" spans="1:16" ht="33.950000000000003" customHeight="1">
      <c r="A1388" s="2" t="s">
        <v>1281</v>
      </c>
      <c r="B1388" s="2" t="s">
        <v>73</v>
      </c>
      <c r="C1388" s="8" t="s">
        <v>1282</v>
      </c>
      <c r="D1388" s="2">
        <v>2</v>
      </c>
      <c r="E1388" s="8" t="s">
        <v>3176</v>
      </c>
      <c r="F1388" s="2" t="s">
        <v>86</v>
      </c>
      <c r="G1388" s="2" t="s">
        <v>3177</v>
      </c>
      <c r="H1388" s="2"/>
      <c r="I1388" s="8" t="s">
        <v>3230</v>
      </c>
      <c r="J1388" s="2">
        <v>2029</v>
      </c>
      <c r="K1388" s="2">
        <v>13803</v>
      </c>
      <c r="L1388" s="8" t="s">
        <v>4818</v>
      </c>
      <c r="M1388" s="2">
        <v>14</v>
      </c>
      <c r="N1388" s="8" t="s">
        <v>4817</v>
      </c>
      <c r="O1388" s="8" t="str">
        <f t="shared" si="142"/>
        <v>PDFを開く</v>
      </c>
      <c r="P1388" s="8" t="s">
        <v>1286</v>
      </c>
    </row>
    <row r="1389" spans="1:16" ht="33.950000000000003" customHeight="1">
      <c r="A1389" s="5" t="s">
        <v>1281</v>
      </c>
      <c r="B1389" s="5" t="s">
        <v>73</v>
      </c>
      <c r="C1389" s="9" t="s">
        <v>1282</v>
      </c>
      <c r="D1389" s="5">
        <v>2</v>
      </c>
      <c r="E1389" s="9" t="s">
        <v>3184</v>
      </c>
      <c r="F1389" s="5" t="s">
        <v>86</v>
      </c>
      <c r="G1389" s="5" t="s">
        <v>3177</v>
      </c>
      <c r="H1389" s="5"/>
      <c r="I1389" s="9" t="s">
        <v>3227</v>
      </c>
      <c r="J1389" s="5">
        <v>2026</v>
      </c>
      <c r="K1389" s="5">
        <v>609</v>
      </c>
      <c r="L1389" s="9" t="s">
        <v>4819</v>
      </c>
      <c r="M1389" s="5">
        <v>4.5</v>
      </c>
      <c r="N1389" s="9" t="s">
        <v>4820</v>
      </c>
      <c r="O1389" s="9" t="str">
        <f t="shared" si="142"/>
        <v>PDFを開く</v>
      </c>
      <c r="P1389" s="9" t="s">
        <v>1286</v>
      </c>
    </row>
    <row r="1390" spans="1:16" ht="33.950000000000003" customHeight="1">
      <c r="A1390" s="2" t="s">
        <v>1281</v>
      </c>
      <c r="B1390" s="2" t="s">
        <v>73</v>
      </c>
      <c r="C1390" s="8" t="s">
        <v>1282</v>
      </c>
      <c r="D1390" s="2">
        <v>2</v>
      </c>
      <c r="E1390" s="8" t="s">
        <v>3184</v>
      </c>
      <c r="F1390" s="2" t="s">
        <v>86</v>
      </c>
      <c r="G1390" s="2" t="s">
        <v>3177</v>
      </c>
      <c r="H1390" s="2"/>
      <c r="I1390" s="8" t="s">
        <v>3230</v>
      </c>
      <c r="J1390" s="2">
        <v>2029</v>
      </c>
      <c r="K1390" s="2">
        <v>695</v>
      </c>
      <c r="L1390" s="8" t="s">
        <v>4821</v>
      </c>
      <c r="M1390" s="2">
        <v>4.5</v>
      </c>
      <c r="N1390" s="8" t="s">
        <v>4820</v>
      </c>
      <c r="O1390" s="8" t="str">
        <f t="shared" si="142"/>
        <v>PDFを開く</v>
      </c>
      <c r="P1390" s="8" t="s">
        <v>1286</v>
      </c>
    </row>
    <row r="1391" spans="1:16" ht="33.950000000000003" customHeight="1">
      <c r="A1391" s="5" t="s">
        <v>1281</v>
      </c>
      <c r="B1391" s="5" t="s">
        <v>73</v>
      </c>
      <c r="C1391" s="9" t="s">
        <v>1282</v>
      </c>
      <c r="D1391" s="5">
        <v>2</v>
      </c>
      <c r="E1391" s="9" t="s">
        <v>3188</v>
      </c>
      <c r="F1391" s="5" t="s">
        <v>86</v>
      </c>
      <c r="G1391" s="5" t="s">
        <v>3177</v>
      </c>
      <c r="H1391" s="5"/>
      <c r="I1391" s="9" t="s">
        <v>3227</v>
      </c>
      <c r="J1391" s="5">
        <v>2026</v>
      </c>
      <c r="K1391" s="5">
        <v>4139</v>
      </c>
      <c r="L1391" s="9" t="s">
        <v>4822</v>
      </c>
      <c r="M1391" s="5">
        <v>4.45</v>
      </c>
      <c r="N1391" s="9" t="s">
        <v>4823</v>
      </c>
      <c r="O1391" s="9" t="str">
        <f t="shared" si="142"/>
        <v>PDFを開く</v>
      </c>
      <c r="P1391" s="9" t="s">
        <v>1286</v>
      </c>
    </row>
    <row r="1392" spans="1:16" ht="33.950000000000003" customHeight="1">
      <c r="A1392" s="2" t="s">
        <v>1281</v>
      </c>
      <c r="B1392" s="2" t="s">
        <v>73</v>
      </c>
      <c r="C1392" s="8" t="s">
        <v>1282</v>
      </c>
      <c r="D1392" s="2">
        <v>2</v>
      </c>
      <c r="E1392" s="8" t="s">
        <v>3188</v>
      </c>
      <c r="F1392" s="2" t="s">
        <v>86</v>
      </c>
      <c r="G1392" s="2" t="s">
        <v>3177</v>
      </c>
      <c r="H1392" s="2"/>
      <c r="I1392" s="8" t="s">
        <v>3230</v>
      </c>
      <c r="J1392" s="2">
        <v>2029</v>
      </c>
      <c r="K1392" s="2">
        <v>4723</v>
      </c>
      <c r="L1392" s="8" t="s">
        <v>4824</v>
      </c>
      <c r="M1392" s="2">
        <v>4.45</v>
      </c>
      <c r="N1392" s="8" t="s">
        <v>4823</v>
      </c>
      <c r="O1392" s="8" t="str">
        <f t="shared" si="142"/>
        <v>PDFを開く</v>
      </c>
      <c r="P1392" s="8" t="s">
        <v>1286</v>
      </c>
    </row>
    <row r="1393" spans="1:16" ht="33.950000000000003" customHeight="1">
      <c r="A1393" s="5" t="s">
        <v>1287</v>
      </c>
      <c r="B1393" s="5" t="s">
        <v>73</v>
      </c>
      <c r="C1393" s="9" t="s">
        <v>1288</v>
      </c>
      <c r="D1393" s="5">
        <v>2</v>
      </c>
      <c r="E1393" s="9" t="s">
        <v>3184</v>
      </c>
      <c r="F1393" s="5" t="s">
        <v>86</v>
      </c>
      <c r="G1393" s="5" t="s">
        <v>3177</v>
      </c>
      <c r="H1393" s="5"/>
      <c r="I1393" s="9" t="s">
        <v>3302</v>
      </c>
      <c r="J1393" s="5"/>
      <c r="K1393" s="5">
        <v>779</v>
      </c>
      <c r="L1393" s="9" t="s">
        <v>4825</v>
      </c>
      <c r="M1393" s="5">
        <v>4</v>
      </c>
      <c r="N1393" s="9" t="s">
        <v>4826</v>
      </c>
      <c r="O1393" s="9" t="str">
        <f t="shared" ref="O1393:O1408" si="143">HYPERLINK("https://seichotoushi-hojo.jp/assets/pdf/koufu/outline_87.pdf","PDFを開く")</f>
        <v>PDFを開く</v>
      </c>
      <c r="P1393" s="9" t="s">
        <v>1293</v>
      </c>
    </row>
    <row r="1394" spans="1:16" ht="33.950000000000003" customHeight="1">
      <c r="A1394" s="2" t="s">
        <v>1287</v>
      </c>
      <c r="B1394" s="2" t="s">
        <v>73</v>
      </c>
      <c r="C1394" s="8" t="s">
        <v>1288</v>
      </c>
      <c r="D1394" s="2">
        <v>2</v>
      </c>
      <c r="E1394" s="8" t="s">
        <v>3184</v>
      </c>
      <c r="F1394" s="2" t="s">
        <v>86</v>
      </c>
      <c r="G1394" s="2" t="s">
        <v>3177</v>
      </c>
      <c r="H1394" s="2"/>
      <c r="I1394" s="8" t="s">
        <v>3305</v>
      </c>
      <c r="J1394" s="2"/>
      <c r="K1394" s="2">
        <v>876</v>
      </c>
      <c r="L1394" s="8" t="s">
        <v>4827</v>
      </c>
      <c r="M1394" s="2">
        <v>4</v>
      </c>
      <c r="N1394" s="8" t="s">
        <v>4826</v>
      </c>
      <c r="O1394" s="8" t="str">
        <f t="shared" si="143"/>
        <v>PDFを開く</v>
      </c>
      <c r="P1394" s="8" t="s">
        <v>1293</v>
      </c>
    </row>
    <row r="1395" spans="1:16" ht="33.950000000000003" customHeight="1">
      <c r="A1395" s="5" t="s">
        <v>1287</v>
      </c>
      <c r="B1395" s="5" t="s">
        <v>73</v>
      </c>
      <c r="C1395" s="9" t="s">
        <v>1288</v>
      </c>
      <c r="D1395" s="5">
        <v>2</v>
      </c>
      <c r="E1395" s="9" t="s">
        <v>3188</v>
      </c>
      <c r="F1395" s="5" t="s">
        <v>86</v>
      </c>
      <c r="G1395" s="5" t="s">
        <v>3177</v>
      </c>
      <c r="H1395" s="5"/>
      <c r="I1395" s="9" t="s">
        <v>3302</v>
      </c>
      <c r="J1395" s="5"/>
      <c r="K1395" s="5">
        <v>6244</v>
      </c>
      <c r="L1395" s="9" t="s">
        <v>4828</v>
      </c>
      <c r="M1395" s="5">
        <v>4</v>
      </c>
      <c r="N1395" s="9" t="s">
        <v>4829</v>
      </c>
      <c r="O1395" s="9" t="str">
        <f t="shared" si="143"/>
        <v>PDFを開く</v>
      </c>
      <c r="P1395" s="9" t="s">
        <v>1293</v>
      </c>
    </row>
    <row r="1396" spans="1:16" ht="33.950000000000003" customHeight="1">
      <c r="A1396" s="2" t="s">
        <v>1287</v>
      </c>
      <c r="B1396" s="2" t="s">
        <v>73</v>
      </c>
      <c r="C1396" s="8" t="s">
        <v>1288</v>
      </c>
      <c r="D1396" s="2">
        <v>2</v>
      </c>
      <c r="E1396" s="8" t="s">
        <v>3188</v>
      </c>
      <c r="F1396" s="2" t="s">
        <v>86</v>
      </c>
      <c r="G1396" s="2" t="s">
        <v>3177</v>
      </c>
      <c r="H1396" s="2"/>
      <c r="I1396" s="8" t="s">
        <v>3305</v>
      </c>
      <c r="J1396" s="2"/>
      <c r="K1396" s="2">
        <v>7024</v>
      </c>
      <c r="L1396" s="8" t="s">
        <v>4830</v>
      </c>
      <c r="M1396" s="2">
        <v>4</v>
      </c>
      <c r="N1396" s="8" t="s">
        <v>4829</v>
      </c>
      <c r="O1396" s="8" t="str">
        <f t="shared" si="143"/>
        <v>PDFを開く</v>
      </c>
      <c r="P1396" s="8" t="s">
        <v>1293</v>
      </c>
    </row>
    <row r="1397" spans="1:16" ht="33.950000000000003" customHeight="1">
      <c r="A1397" s="5" t="s">
        <v>1287</v>
      </c>
      <c r="B1397" s="5" t="s">
        <v>73</v>
      </c>
      <c r="C1397" s="9" t="s">
        <v>1288</v>
      </c>
      <c r="D1397" s="5">
        <v>2</v>
      </c>
      <c r="E1397" s="9" t="s">
        <v>3191</v>
      </c>
      <c r="F1397" s="5" t="s">
        <v>2513</v>
      </c>
      <c r="G1397" s="19" t="s">
        <v>3189</v>
      </c>
      <c r="H1397" s="5"/>
      <c r="I1397" s="9" t="s">
        <v>3302</v>
      </c>
      <c r="J1397" s="5"/>
      <c r="K1397" s="5">
        <v>1124</v>
      </c>
      <c r="L1397" s="9" t="s">
        <v>4831</v>
      </c>
      <c r="M1397" s="5">
        <v>2.6</v>
      </c>
      <c r="N1397" s="9" t="s">
        <v>4832</v>
      </c>
      <c r="O1397" s="9" t="str">
        <f t="shared" si="143"/>
        <v>PDFを開く</v>
      </c>
      <c r="P1397" s="9" t="s">
        <v>1293</v>
      </c>
    </row>
    <row r="1398" spans="1:16" ht="33.950000000000003" customHeight="1">
      <c r="A1398" s="2" t="s">
        <v>1287</v>
      </c>
      <c r="B1398" s="2" t="s">
        <v>73</v>
      </c>
      <c r="C1398" s="8" t="s">
        <v>1288</v>
      </c>
      <c r="D1398" s="2">
        <v>2</v>
      </c>
      <c r="E1398" s="8" t="s">
        <v>3191</v>
      </c>
      <c r="F1398" s="2" t="s">
        <v>2513</v>
      </c>
      <c r="G1398" s="19" t="s">
        <v>3189</v>
      </c>
      <c r="H1398" s="2"/>
      <c r="I1398" s="8" t="s">
        <v>3302</v>
      </c>
      <c r="J1398" s="2"/>
      <c r="K1398" s="2">
        <v>3</v>
      </c>
      <c r="L1398" s="8" t="s">
        <v>4833</v>
      </c>
      <c r="M1398" s="2">
        <v>2.6</v>
      </c>
      <c r="N1398" s="8" t="s">
        <v>4832</v>
      </c>
      <c r="O1398" s="8" t="str">
        <f t="shared" si="143"/>
        <v>PDFを開く</v>
      </c>
      <c r="P1398" s="8" t="s">
        <v>1293</v>
      </c>
    </row>
    <row r="1399" spans="1:16" ht="33.950000000000003" customHeight="1">
      <c r="A1399" s="5" t="s">
        <v>1287</v>
      </c>
      <c r="B1399" s="5" t="s">
        <v>73</v>
      </c>
      <c r="C1399" s="9" t="s">
        <v>1288</v>
      </c>
      <c r="D1399" s="5">
        <v>2</v>
      </c>
      <c r="E1399" s="9" t="s">
        <v>3191</v>
      </c>
      <c r="F1399" s="5" t="s">
        <v>2513</v>
      </c>
      <c r="G1399" s="19" t="s">
        <v>3189</v>
      </c>
      <c r="H1399" s="5"/>
      <c r="I1399" s="9" t="s">
        <v>3305</v>
      </c>
      <c r="J1399" s="5"/>
      <c r="K1399" s="5">
        <v>1214</v>
      </c>
      <c r="L1399" s="9" t="s">
        <v>4834</v>
      </c>
      <c r="M1399" s="5">
        <v>2.6</v>
      </c>
      <c r="N1399" s="9" t="s">
        <v>4832</v>
      </c>
      <c r="O1399" s="9" t="str">
        <f t="shared" si="143"/>
        <v>PDFを開く</v>
      </c>
      <c r="P1399" s="9" t="s">
        <v>1293</v>
      </c>
    </row>
    <row r="1400" spans="1:16" ht="33.950000000000003" customHeight="1">
      <c r="A1400" s="2" t="s">
        <v>1287</v>
      </c>
      <c r="B1400" s="2" t="s">
        <v>73</v>
      </c>
      <c r="C1400" s="8" t="s">
        <v>1288</v>
      </c>
      <c r="D1400" s="2">
        <v>2</v>
      </c>
      <c r="E1400" s="8" t="s">
        <v>3176</v>
      </c>
      <c r="F1400" s="2"/>
      <c r="G1400" s="19" t="s">
        <v>3189</v>
      </c>
      <c r="H1400" s="2"/>
      <c r="I1400" s="8" t="s">
        <v>3305</v>
      </c>
      <c r="J1400" s="2"/>
      <c r="K1400" s="2">
        <v>56</v>
      </c>
      <c r="L1400" s="8" t="s">
        <v>4835</v>
      </c>
      <c r="M1400" s="2"/>
      <c r="N1400" s="8" t="s">
        <v>4836</v>
      </c>
      <c r="O1400" s="8" t="str">
        <f t="shared" si="143"/>
        <v>PDFを開く</v>
      </c>
      <c r="P1400" s="8" t="s">
        <v>1293</v>
      </c>
    </row>
    <row r="1401" spans="1:16" ht="33.950000000000003" customHeight="1">
      <c r="A1401" s="5" t="s">
        <v>1287</v>
      </c>
      <c r="B1401" s="5" t="s">
        <v>73</v>
      </c>
      <c r="C1401" s="9" t="s">
        <v>1288</v>
      </c>
      <c r="D1401" s="5">
        <v>2</v>
      </c>
      <c r="E1401" s="9" t="s">
        <v>3176</v>
      </c>
      <c r="F1401" s="5" t="s">
        <v>86</v>
      </c>
      <c r="G1401" s="5" t="s">
        <v>3177</v>
      </c>
      <c r="H1401" s="5"/>
      <c r="I1401" s="9" t="s">
        <v>3686</v>
      </c>
      <c r="J1401" s="5">
        <v>2027</v>
      </c>
      <c r="K1401" s="5">
        <v>1889</v>
      </c>
      <c r="L1401" s="9" t="s">
        <v>4837</v>
      </c>
      <c r="M1401" s="5">
        <v>5.0999999999999996</v>
      </c>
      <c r="N1401" s="9" t="s">
        <v>4838</v>
      </c>
      <c r="O1401" s="9" t="str">
        <f t="shared" si="143"/>
        <v>PDFを開く</v>
      </c>
      <c r="P1401" s="9" t="s">
        <v>1293</v>
      </c>
    </row>
    <row r="1402" spans="1:16" ht="33.950000000000003" customHeight="1">
      <c r="A1402" s="2" t="s">
        <v>1287</v>
      </c>
      <c r="B1402" s="2" t="s">
        <v>73</v>
      </c>
      <c r="C1402" s="8" t="s">
        <v>1288</v>
      </c>
      <c r="D1402" s="2">
        <v>2</v>
      </c>
      <c r="E1402" s="8" t="s">
        <v>3176</v>
      </c>
      <c r="F1402" s="2" t="s">
        <v>86</v>
      </c>
      <c r="G1402" s="2" t="s">
        <v>3177</v>
      </c>
      <c r="H1402" s="2"/>
      <c r="I1402" s="8" t="s">
        <v>3688</v>
      </c>
      <c r="J1402" s="2">
        <v>2030</v>
      </c>
      <c r="K1402" s="2">
        <v>2191</v>
      </c>
      <c r="L1402" s="8" t="s">
        <v>4839</v>
      </c>
      <c r="M1402" s="2">
        <v>5.0999999999999996</v>
      </c>
      <c r="N1402" s="8" t="s">
        <v>4838</v>
      </c>
      <c r="O1402" s="8" t="str">
        <f t="shared" si="143"/>
        <v>PDFを開く</v>
      </c>
      <c r="P1402" s="8" t="s">
        <v>1293</v>
      </c>
    </row>
    <row r="1403" spans="1:16" ht="33.950000000000003" customHeight="1">
      <c r="A1403" s="5" t="s">
        <v>1287</v>
      </c>
      <c r="B1403" s="5" t="s">
        <v>73</v>
      </c>
      <c r="C1403" s="9" t="s">
        <v>1288</v>
      </c>
      <c r="D1403" s="5">
        <v>2</v>
      </c>
      <c r="E1403" s="9" t="s">
        <v>3184</v>
      </c>
      <c r="F1403" s="5" t="s">
        <v>86</v>
      </c>
      <c r="G1403" s="5" t="s">
        <v>3177</v>
      </c>
      <c r="H1403" s="5"/>
      <c r="I1403" s="9" t="s">
        <v>3686</v>
      </c>
      <c r="J1403" s="5">
        <v>2027</v>
      </c>
      <c r="K1403" s="5">
        <v>779</v>
      </c>
      <c r="L1403" s="9" t="s">
        <v>4825</v>
      </c>
      <c r="M1403" s="5">
        <v>4</v>
      </c>
      <c r="N1403" s="9" t="s">
        <v>4840</v>
      </c>
      <c r="O1403" s="9" t="str">
        <f t="shared" si="143"/>
        <v>PDFを開く</v>
      </c>
      <c r="P1403" s="9" t="s">
        <v>1293</v>
      </c>
    </row>
    <row r="1404" spans="1:16" ht="33.950000000000003" customHeight="1">
      <c r="A1404" s="2" t="s">
        <v>1287</v>
      </c>
      <c r="B1404" s="2" t="s">
        <v>73</v>
      </c>
      <c r="C1404" s="8" t="s">
        <v>1288</v>
      </c>
      <c r="D1404" s="2">
        <v>2</v>
      </c>
      <c r="E1404" s="8" t="s">
        <v>3184</v>
      </c>
      <c r="F1404" s="2" t="s">
        <v>86</v>
      </c>
      <c r="G1404" s="2" t="s">
        <v>3177</v>
      </c>
      <c r="H1404" s="2"/>
      <c r="I1404" s="8" t="s">
        <v>3688</v>
      </c>
      <c r="J1404" s="2">
        <v>2030</v>
      </c>
      <c r="K1404" s="2">
        <v>876</v>
      </c>
      <c r="L1404" s="8" t="s">
        <v>4827</v>
      </c>
      <c r="M1404" s="2">
        <v>4</v>
      </c>
      <c r="N1404" s="8" t="s">
        <v>4840</v>
      </c>
      <c r="O1404" s="8" t="str">
        <f t="shared" si="143"/>
        <v>PDFを開く</v>
      </c>
      <c r="P1404" s="8" t="s">
        <v>1293</v>
      </c>
    </row>
    <row r="1405" spans="1:16" ht="33.950000000000003" customHeight="1">
      <c r="A1405" s="5" t="s">
        <v>1287</v>
      </c>
      <c r="B1405" s="5" t="s">
        <v>73</v>
      </c>
      <c r="C1405" s="9" t="s">
        <v>1288</v>
      </c>
      <c r="D1405" s="5">
        <v>2</v>
      </c>
      <c r="E1405" s="9" t="s">
        <v>3188</v>
      </c>
      <c r="F1405" s="5" t="s">
        <v>86</v>
      </c>
      <c r="G1405" s="5" t="s">
        <v>3177</v>
      </c>
      <c r="H1405" s="5"/>
      <c r="I1405" s="9" t="s">
        <v>3686</v>
      </c>
      <c r="J1405" s="5">
        <v>2027</v>
      </c>
      <c r="K1405" s="5">
        <v>6244</v>
      </c>
      <c r="L1405" s="9" t="s">
        <v>4841</v>
      </c>
      <c r="M1405" s="5">
        <v>4</v>
      </c>
      <c r="N1405" s="9" t="s">
        <v>4842</v>
      </c>
      <c r="O1405" s="9" t="str">
        <f t="shared" si="143"/>
        <v>PDFを開く</v>
      </c>
      <c r="P1405" s="9" t="s">
        <v>1293</v>
      </c>
    </row>
    <row r="1406" spans="1:16" ht="33.950000000000003" customHeight="1">
      <c r="A1406" s="2" t="s">
        <v>1287</v>
      </c>
      <c r="B1406" s="2" t="s">
        <v>73</v>
      </c>
      <c r="C1406" s="8" t="s">
        <v>1288</v>
      </c>
      <c r="D1406" s="2">
        <v>2</v>
      </c>
      <c r="E1406" s="8" t="s">
        <v>3188</v>
      </c>
      <c r="F1406" s="2" t="s">
        <v>86</v>
      </c>
      <c r="G1406" s="2" t="s">
        <v>3177</v>
      </c>
      <c r="H1406" s="2"/>
      <c r="I1406" s="8" t="s">
        <v>3688</v>
      </c>
      <c r="J1406" s="2">
        <v>2030</v>
      </c>
      <c r="K1406" s="2">
        <v>7024</v>
      </c>
      <c r="L1406" s="8" t="s">
        <v>4843</v>
      </c>
      <c r="M1406" s="2">
        <v>4</v>
      </c>
      <c r="N1406" s="8" t="s">
        <v>4842</v>
      </c>
      <c r="O1406" s="8" t="str">
        <f t="shared" si="143"/>
        <v>PDFを開く</v>
      </c>
      <c r="P1406" s="8" t="s">
        <v>1293</v>
      </c>
    </row>
    <row r="1407" spans="1:16" ht="33.950000000000003" customHeight="1">
      <c r="A1407" s="5" t="s">
        <v>1287</v>
      </c>
      <c r="B1407" s="5" t="s">
        <v>73</v>
      </c>
      <c r="C1407" s="9" t="s">
        <v>1288</v>
      </c>
      <c r="D1407" s="5">
        <v>2</v>
      </c>
      <c r="E1407" s="9" t="s">
        <v>3191</v>
      </c>
      <c r="F1407" s="5" t="s">
        <v>2513</v>
      </c>
      <c r="G1407" s="5" t="s">
        <v>3177</v>
      </c>
      <c r="H1407" s="5"/>
      <c r="I1407" s="9" t="s">
        <v>3686</v>
      </c>
      <c r="J1407" s="5">
        <v>2027</v>
      </c>
      <c r="K1407" s="5">
        <v>1124</v>
      </c>
      <c r="L1407" s="9" t="s">
        <v>4844</v>
      </c>
      <c r="M1407" s="5">
        <v>2.6</v>
      </c>
      <c r="N1407" s="9" t="s">
        <v>4845</v>
      </c>
      <c r="O1407" s="9" t="str">
        <f t="shared" si="143"/>
        <v>PDFを開く</v>
      </c>
      <c r="P1407" s="9" t="s">
        <v>1293</v>
      </c>
    </row>
    <row r="1408" spans="1:16" ht="33.950000000000003" customHeight="1">
      <c r="A1408" s="2" t="s">
        <v>1287</v>
      </c>
      <c r="B1408" s="2" t="s">
        <v>73</v>
      </c>
      <c r="C1408" s="8" t="s">
        <v>1288</v>
      </c>
      <c r="D1408" s="2">
        <v>2</v>
      </c>
      <c r="E1408" s="8" t="s">
        <v>3191</v>
      </c>
      <c r="F1408" s="2" t="s">
        <v>2513</v>
      </c>
      <c r="G1408" s="2" t="s">
        <v>3177</v>
      </c>
      <c r="H1408" s="2"/>
      <c r="I1408" s="8" t="s">
        <v>3688</v>
      </c>
      <c r="J1408" s="2">
        <v>2030</v>
      </c>
      <c r="K1408" s="2">
        <v>1214</v>
      </c>
      <c r="L1408" s="8" t="s">
        <v>4846</v>
      </c>
      <c r="M1408" s="2">
        <v>2.6</v>
      </c>
      <c r="N1408" s="8" t="s">
        <v>4845</v>
      </c>
      <c r="O1408" s="8" t="str">
        <f t="shared" si="143"/>
        <v>PDFを開く</v>
      </c>
      <c r="P1408" s="8" t="s">
        <v>1293</v>
      </c>
    </row>
    <row r="1409" spans="1:16" ht="33.950000000000003" customHeight="1">
      <c r="A1409" s="5" t="s">
        <v>1294</v>
      </c>
      <c r="B1409" s="5" t="s">
        <v>73</v>
      </c>
      <c r="C1409" s="9" t="s">
        <v>1295</v>
      </c>
      <c r="D1409" s="5">
        <v>2</v>
      </c>
      <c r="E1409" s="9" t="s">
        <v>3176</v>
      </c>
      <c r="F1409" s="5" t="s">
        <v>86</v>
      </c>
      <c r="G1409" s="5" t="s">
        <v>3177</v>
      </c>
      <c r="H1409" s="5" t="s">
        <v>3178</v>
      </c>
      <c r="I1409" s="9" t="s">
        <v>3407</v>
      </c>
      <c r="J1409" s="5">
        <v>2025</v>
      </c>
      <c r="K1409" s="5">
        <v>2827</v>
      </c>
      <c r="L1409" s="9" t="s">
        <v>4847</v>
      </c>
      <c r="M1409" s="5">
        <v>10.3</v>
      </c>
      <c r="N1409" s="9" t="s">
        <v>4848</v>
      </c>
      <c r="O1409" s="9" t="str">
        <f t="shared" ref="O1409:O1417" si="144">HYPERLINK("https://seichotoushi-hojo.jp/assets/pdf/koufu/outline_88.pdf","PDFを開く")</f>
        <v>PDFを開く</v>
      </c>
      <c r="P1409" s="9" t="s">
        <v>1302</v>
      </c>
    </row>
    <row r="1410" spans="1:16" ht="33.950000000000003" customHeight="1">
      <c r="A1410" s="2" t="s">
        <v>1294</v>
      </c>
      <c r="B1410" s="2" t="s">
        <v>73</v>
      </c>
      <c r="C1410" s="8" t="s">
        <v>1295</v>
      </c>
      <c r="D1410" s="2">
        <v>2</v>
      </c>
      <c r="E1410" s="8" t="s">
        <v>3176</v>
      </c>
      <c r="F1410" s="2" t="s">
        <v>86</v>
      </c>
      <c r="G1410" s="2" t="s">
        <v>3177</v>
      </c>
      <c r="H1410" s="2" t="s">
        <v>3178</v>
      </c>
      <c r="I1410" s="8" t="s">
        <v>3335</v>
      </c>
      <c r="J1410" s="2">
        <v>2028</v>
      </c>
      <c r="K1410" s="2">
        <v>3797</v>
      </c>
      <c r="L1410" s="8" t="s">
        <v>4849</v>
      </c>
      <c r="M1410" s="2">
        <v>10.3</v>
      </c>
      <c r="N1410" s="8" t="s">
        <v>4848</v>
      </c>
      <c r="O1410" s="8" t="str">
        <f t="shared" si="144"/>
        <v>PDFを開く</v>
      </c>
      <c r="P1410" s="8" t="s">
        <v>1302</v>
      </c>
    </row>
    <row r="1411" spans="1:16" ht="33.950000000000003" customHeight="1">
      <c r="A1411" s="5" t="s">
        <v>1294</v>
      </c>
      <c r="B1411" s="5" t="s">
        <v>73</v>
      </c>
      <c r="C1411" s="9" t="s">
        <v>1295</v>
      </c>
      <c r="D1411" s="5">
        <v>2</v>
      </c>
      <c r="E1411" s="9" t="s">
        <v>3184</v>
      </c>
      <c r="F1411" s="5" t="s">
        <v>86</v>
      </c>
      <c r="G1411" s="5" t="s">
        <v>3177</v>
      </c>
      <c r="H1411" s="5" t="s">
        <v>3178</v>
      </c>
      <c r="I1411" s="9" t="s">
        <v>3407</v>
      </c>
      <c r="J1411" s="5">
        <v>2025</v>
      </c>
      <c r="K1411" s="5">
        <v>534</v>
      </c>
      <c r="L1411" s="9" t="s">
        <v>4722</v>
      </c>
      <c r="M1411" s="5">
        <v>3.51</v>
      </c>
      <c r="N1411" s="9" t="s">
        <v>4850</v>
      </c>
      <c r="O1411" s="9" t="str">
        <f t="shared" si="144"/>
        <v>PDFを開く</v>
      </c>
      <c r="P1411" s="9" t="s">
        <v>1302</v>
      </c>
    </row>
    <row r="1412" spans="1:16" ht="33.950000000000003" customHeight="1">
      <c r="A1412" s="2" t="s">
        <v>1294</v>
      </c>
      <c r="B1412" s="2" t="s">
        <v>73</v>
      </c>
      <c r="C1412" s="8" t="s">
        <v>1295</v>
      </c>
      <c r="D1412" s="2">
        <v>2</v>
      </c>
      <c r="E1412" s="8" t="s">
        <v>3184</v>
      </c>
      <c r="F1412" s="2" t="s">
        <v>86</v>
      </c>
      <c r="G1412" s="2" t="s">
        <v>3177</v>
      </c>
      <c r="H1412" s="2" t="s">
        <v>3178</v>
      </c>
      <c r="I1412" s="8" t="s">
        <v>3335</v>
      </c>
      <c r="J1412" s="2">
        <v>2028</v>
      </c>
      <c r="K1412" s="2">
        <v>592</v>
      </c>
      <c r="L1412" s="8" t="s">
        <v>4373</v>
      </c>
      <c r="M1412" s="2">
        <v>3.51</v>
      </c>
      <c r="N1412" s="8" t="s">
        <v>4850</v>
      </c>
      <c r="O1412" s="8" t="str">
        <f t="shared" si="144"/>
        <v>PDFを開く</v>
      </c>
      <c r="P1412" s="8" t="s">
        <v>1302</v>
      </c>
    </row>
    <row r="1413" spans="1:16" ht="33.950000000000003" customHeight="1">
      <c r="A1413" s="5" t="s">
        <v>1294</v>
      </c>
      <c r="B1413" s="5" t="s">
        <v>73</v>
      </c>
      <c r="C1413" s="9" t="s">
        <v>1295</v>
      </c>
      <c r="D1413" s="5">
        <v>2</v>
      </c>
      <c r="E1413" s="9" t="s">
        <v>3188</v>
      </c>
      <c r="F1413" s="5" t="s">
        <v>86</v>
      </c>
      <c r="G1413" s="19" t="s">
        <v>3189</v>
      </c>
      <c r="H1413" s="5" t="s">
        <v>3178</v>
      </c>
      <c r="I1413" s="9"/>
      <c r="J1413" s="5"/>
      <c r="K1413" s="5"/>
      <c r="L1413" s="9"/>
      <c r="M1413" s="5"/>
      <c r="N1413" s="9" t="s">
        <v>4851</v>
      </c>
      <c r="O1413" s="9" t="str">
        <f t="shared" si="144"/>
        <v>PDFを開く</v>
      </c>
      <c r="P1413" s="9" t="s">
        <v>1302</v>
      </c>
    </row>
    <row r="1414" spans="1:16" ht="33.950000000000003" customHeight="1">
      <c r="A1414" s="2" t="s">
        <v>1294</v>
      </c>
      <c r="B1414" s="2" t="s">
        <v>73</v>
      </c>
      <c r="C1414" s="8" t="s">
        <v>1295</v>
      </c>
      <c r="D1414" s="2">
        <v>2</v>
      </c>
      <c r="E1414" s="8" t="s">
        <v>3191</v>
      </c>
      <c r="F1414" s="2" t="s">
        <v>2513</v>
      </c>
      <c r="G1414" s="2" t="s">
        <v>3177</v>
      </c>
      <c r="H1414" s="2" t="s">
        <v>3178</v>
      </c>
      <c r="I1414" s="8" t="s">
        <v>3407</v>
      </c>
      <c r="J1414" s="2">
        <v>2025</v>
      </c>
      <c r="K1414" s="2">
        <v>200</v>
      </c>
      <c r="L1414" s="8" t="s">
        <v>4852</v>
      </c>
      <c r="M1414" s="2"/>
      <c r="N1414" s="8" t="s">
        <v>4853</v>
      </c>
      <c r="O1414" s="8" t="str">
        <f t="shared" si="144"/>
        <v>PDFを開く</v>
      </c>
      <c r="P1414" s="8" t="s">
        <v>1302</v>
      </c>
    </row>
    <row r="1415" spans="1:16" ht="33.950000000000003" customHeight="1">
      <c r="A1415" s="5" t="s">
        <v>1294</v>
      </c>
      <c r="B1415" s="5" t="s">
        <v>73</v>
      </c>
      <c r="C1415" s="9" t="s">
        <v>1295</v>
      </c>
      <c r="D1415" s="5">
        <v>2</v>
      </c>
      <c r="E1415" s="9" t="s">
        <v>3191</v>
      </c>
      <c r="F1415" s="5" t="s">
        <v>2513</v>
      </c>
      <c r="G1415" s="5" t="s">
        <v>3177</v>
      </c>
      <c r="H1415" s="5" t="s">
        <v>3178</v>
      </c>
      <c r="I1415" s="9" t="s">
        <v>3335</v>
      </c>
      <c r="J1415" s="5">
        <v>2028</v>
      </c>
      <c r="K1415" s="5">
        <v>236</v>
      </c>
      <c r="L1415" s="9" t="s">
        <v>3436</v>
      </c>
      <c r="M1415" s="5"/>
      <c r="N1415" s="9" t="s">
        <v>4853</v>
      </c>
      <c r="O1415" s="9" t="str">
        <f t="shared" si="144"/>
        <v>PDFを開く</v>
      </c>
      <c r="P1415" s="9" t="s">
        <v>1302</v>
      </c>
    </row>
    <row r="1416" spans="1:16" ht="33.950000000000003" customHeight="1">
      <c r="A1416" s="2" t="s">
        <v>1294</v>
      </c>
      <c r="B1416" s="2" t="s">
        <v>73</v>
      </c>
      <c r="C1416" s="8" t="s">
        <v>1295</v>
      </c>
      <c r="D1416" s="2">
        <v>2</v>
      </c>
      <c r="E1416" s="8" t="s">
        <v>3188</v>
      </c>
      <c r="F1416" s="2" t="s">
        <v>86</v>
      </c>
      <c r="G1416" s="2" t="s">
        <v>3177</v>
      </c>
      <c r="H1416" s="2"/>
      <c r="I1416" s="8" t="s">
        <v>4854</v>
      </c>
      <c r="J1416" s="2">
        <v>2025</v>
      </c>
      <c r="K1416" s="2"/>
      <c r="L1416" s="8" t="s">
        <v>4855</v>
      </c>
      <c r="M1416" s="2">
        <v>3.35</v>
      </c>
      <c r="N1416" s="8" t="s">
        <v>4856</v>
      </c>
      <c r="O1416" s="8" t="str">
        <f t="shared" si="144"/>
        <v>PDFを開く</v>
      </c>
      <c r="P1416" s="8" t="s">
        <v>1302</v>
      </c>
    </row>
    <row r="1417" spans="1:16" ht="33.950000000000003" customHeight="1">
      <c r="A1417" s="5" t="s">
        <v>1294</v>
      </c>
      <c r="B1417" s="5" t="s">
        <v>73</v>
      </c>
      <c r="C1417" s="9" t="s">
        <v>1295</v>
      </c>
      <c r="D1417" s="5">
        <v>2</v>
      </c>
      <c r="E1417" s="9" t="s">
        <v>3188</v>
      </c>
      <c r="F1417" s="5" t="s">
        <v>86</v>
      </c>
      <c r="G1417" s="5" t="s">
        <v>3177</v>
      </c>
      <c r="H1417" s="5"/>
      <c r="I1417" s="9" t="s">
        <v>4857</v>
      </c>
      <c r="J1417" s="5">
        <v>2028</v>
      </c>
      <c r="K1417" s="5"/>
      <c r="L1417" s="9" t="s">
        <v>4855</v>
      </c>
      <c r="M1417" s="5">
        <v>3.35</v>
      </c>
      <c r="N1417" s="9" t="s">
        <v>4856</v>
      </c>
      <c r="O1417" s="9" t="str">
        <f t="shared" si="144"/>
        <v>PDFを開く</v>
      </c>
      <c r="P1417" s="9" t="s">
        <v>1302</v>
      </c>
    </row>
    <row r="1418" spans="1:16" ht="33.950000000000003" customHeight="1">
      <c r="A1418" s="2" t="s">
        <v>1303</v>
      </c>
      <c r="B1418" s="2" t="s">
        <v>73</v>
      </c>
      <c r="C1418" s="8" t="s">
        <v>1304</v>
      </c>
      <c r="D1418" s="2">
        <v>2</v>
      </c>
      <c r="E1418" s="8" t="s">
        <v>3176</v>
      </c>
      <c r="F1418" s="2" t="s">
        <v>86</v>
      </c>
      <c r="G1418" s="2" t="s">
        <v>3177</v>
      </c>
      <c r="H1418" s="2" t="s">
        <v>3178</v>
      </c>
      <c r="I1418" s="8" t="s">
        <v>3179</v>
      </c>
      <c r="J1418" s="2">
        <v>2026</v>
      </c>
      <c r="K1418" s="2">
        <v>1912</v>
      </c>
      <c r="L1418" s="8" t="s">
        <v>4858</v>
      </c>
      <c r="M1418" s="2">
        <v>4.7</v>
      </c>
      <c r="N1418" s="8" t="s">
        <v>4859</v>
      </c>
      <c r="O1418" s="8" t="str">
        <f t="shared" ref="O1418:O1424" si="145">HYPERLINK("https://seichotoushi-hojo.jp/assets/pdf/koufu/outline_89.pdf","PDFを開く")</f>
        <v>PDFを開く</v>
      </c>
      <c r="P1418" s="8" t="s">
        <v>1310</v>
      </c>
    </row>
    <row r="1419" spans="1:16" ht="33.950000000000003" customHeight="1">
      <c r="A1419" s="5" t="s">
        <v>1303</v>
      </c>
      <c r="B1419" s="5" t="s">
        <v>73</v>
      </c>
      <c r="C1419" s="9" t="s">
        <v>1304</v>
      </c>
      <c r="D1419" s="5">
        <v>2</v>
      </c>
      <c r="E1419" s="9" t="s">
        <v>3176</v>
      </c>
      <c r="F1419" s="5" t="s">
        <v>86</v>
      </c>
      <c r="G1419" s="5" t="s">
        <v>3177</v>
      </c>
      <c r="H1419" s="5" t="s">
        <v>3178</v>
      </c>
      <c r="I1419" s="9" t="s">
        <v>3182</v>
      </c>
      <c r="J1419" s="5">
        <v>2029</v>
      </c>
      <c r="K1419" s="5">
        <v>2196</v>
      </c>
      <c r="L1419" s="9" t="s">
        <v>4860</v>
      </c>
      <c r="M1419" s="5">
        <v>4.7</v>
      </c>
      <c r="N1419" s="9" t="s">
        <v>4859</v>
      </c>
      <c r="O1419" s="9" t="str">
        <f t="shared" si="145"/>
        <v>PDFを開く</v>
      </c>
      <c r="P1419" s="9" t="s">
        <v>1310</v>
      </c>
    </row>
    <row r="1420" spans="1:16" ht="33.950000000000003" customHeight="1">
      <c r="A1420" s="2" t="s">
        <v>1303</v>
      </c>
      <c r="B1420" s="2" t="s">
        <v>73</v>
      </c>
      <c r="C1420" s="8" t="s">
        <v>1304</v>
      </c>
      <c r="D1420" s="2">
        <v>2</v>
      </c>
      <c r="E1420" s="8" t="s">
        <v>3184</v>
      </c>
      <c r="F1420" s="2" t="s">
        <v>86</v>
      </c>
      <c r="G1420" s="2" t="s">
        <v>3177</v>
      </c>
      <c r="H1420" s="2" t="s">
        <v>3178</v>
      </c>
      <c r="I1420" s="8" t="s">
        <v>3179</v>
      </c>
      <c r="J1420" s="2">
        <v>2026</v>
      </c>
      <c r="K1420" s="2">
        <v>634</v>
      </c>
      <c r="L1420" s="8" t="s">
        <v>3425</v>
      </c>
      <c r="M1420" s="2">
        <v>4</v>
      </c>
      <c r="N1420" s="8" t="s">
        <v>4861</v>
      </c>
      <c r="O1420" s="8" t="str">
        <f t="shared" si="145"/>
        <v>PDFを開く</v>
      </c>
      <c r="P1420" s="8" t="s">
        <v>1310</v>
      </c>
    </row>
    <row r="1421" spans="1:16" ht="33.950000000000003" customHeight="1">
      <c r="A1421" s="5" t="s">
        <v>1303</v>
      </c>
      <c r="B1421" s="5" t="s">
        <v>73</v>
      </c>
      <c r="C1421" s="9" t="s">
        <v>1304</v>
      </c>
      <c r="D1421" s="5">
        <v>2</v>
      </c>
      <c r="E1421" s="9" t="s">
        <v>3184</v>
      </c>
      <c r="F1421" s="5" t="s">
        <v>86</v>
      </c>
      <c r="G1421" s="5" t="s">
        <v>3177</v>
      </c>
      <c r="H1421" s="5" t="s">
        <v>3178</v>
      </c>
      <c r="I1421" s="9" t="s">
        <v>3182</v>
      </c>
      <c r="J1421" s="5">
        <v>2029</v>
      </c>
      <c r="K1421" s="5">
        <v>713</v>
      </c>
      <c r="L1421" s="9" t="s">
        <v>4862</v>
      </c>
      <c r="M1421" s="5">
        <v>4</v>
      </c>
      <c r="N1421" s="9" t="s">
        <v>4861</v>
      </c>
      <c r="O1421" s="9" t="str">
        <f t="shared" si="145"/>
        <v>PDFを開く</v>
      </c>
      <c r="P1421" s="9" t="s">
        <v>1310</v>
      </c>
    </row>
    <row r="1422" spans="1:16" ht="33.950000000000003" customHeight="1">
      <c r="A1422" s="2" t="s">
        <v>1303</v>
      </c>
      <c r="B1422" s="2" t="s">
        <v>73</v>
      </c>
      <c r="C1422" s="8" t="s">
        <v>1304</v>
      </c>
      <c r="D1422" s="2">
        <v>2</v>
      </c>
      <c r="E1422" s="8" t="s">
        <v>3188</v>
      </c>
      <c r="F1422" s="2" t="s">
        <v>86</v>
      </c>
      <c r="G1422" s="19" t="s">
        <v>3189</v>
      </c>
      <c r="H1422" s="2" t="s">
        <v>3178</v>
      </c>
      <c r="I1422" s="8"/>
      <c r="J1422" s="2"/>
      <c r="K1422" s="2"/>
      <c r="L1422" s="8"/>
      <c r="M1422" s="2"/>
      <c r="N1422" s="8" t="s">
        <v>4863</v>
      </c>
      <c r="O1422" s="8" t="str">
        <f t="shared" si="145"/>
        <v>PDFを開く</v>
      </c>
      <c r="P1422" s="8" t="s">
        <v>1310</v>
      </c>
    </row>
    <row r="1423" spans="1:16" ht="33.950000000000003" customHeight="1">
      <c r="A1423" s="5" t="s">
        <v>1303</v>
      </c>
      <c r="B1423" s="5" t="s">
        <v>73</v>
      </c>
      <c r="C1423" s="9" t="s">
        <v>1304</v>
      </c>
      <c r="D1423" s="5">
        <v>2</v>
      </c>
      <c r="E1423" s="9" t="s">
        <v>3191</v>
      </c>
      <c r="F1423" s="5" t="s">
        <v>2513</v>
      </c>
      <c r="G1423" s="5" t="s">
        <v>3177</v>
      </c>
      <c r="H1423" s="5" t="s">
        <v>3178</v>
      </c>
      <c r="I1423" s="9" t="s">
        <v>3179</v>
      </c>
      <c r="J1423" s="5">
        <v>2026</v>
      </c>
      <c r="K1423" s="5">
        <v>29</v>
      </c>
      <c r="L1423" s="9" t="s">
        <v>3584</v>
      </c>
      <c r="M1423" s="5"/>
      <c r="N1423" s="9" t="s">
        <v>4864</v>
      </c>
      <c r="O1423" s="9" t="str">
        <f t="shared" si="145"/>
        <v>PDFを開く</v>
      </c>
      <c r="P1423" s="9" t="s">
        <v>1310</v>
      </c>
    </row>
    <row r="1424" spans="1:16" ht="33.950000000000003" customHeight="1">
      <c r="A1424" s="2" t="s">
        <v>1303</v>
      </c>
      <c r="B1424" s="2" t="s">
        <v>73</v>
      </c>
      <c r="C1424" s="8" t="s">
        <v>1304</v>
      </c>
      <c r="D1424" s="2">
        <v>2</v>
      </c>
      <c r="E1424" s="8" t="s">
        <v>3191</v>
      </c>
      <c r="F1424" s="2" t="s">
        <v>2513</v>
      </c>
      <c r="G1424" s="2" t="s">
        <v>3177</v>
      </c>
      <c r="H1424" s="2" t="s">
        <v>3178</v>
      </c>
      <c r="I1424" s="8" t="s">
        <v>3182</v>
      </c>
      <c r="J1424" s="2">
        <v>2029</v>
      </c>
      <c r="K1424" s="2">
        <v>87</v>
      </c>
      <c r="L1424" s="8" t="s">
        <v>3586</v>
      </c>
      <c r="M1424" s="2"/>
      <c r="N1424" s="8" t="s">
        <v>4864</v>
      </c>
      <c r="O1424" s="8" t="str">
        <f t="shared" si="145"/>
        <v>PDFを開く</v>
      </c>
      <c r="P1424" s="8" t="s">
        <v>1310</v>
      </c>
    </row>
    <row r="1425" spans="1:16" ht="33.950000000000003" customHeight="1">
      <c r="A1425" s="5" t="s">
        <v>1311</v>
      </c>
      <c r="B1425" s="5" t="s">
        <v>73</v>
      </c>
      <c r="C1425" s="9" t="s">
        <v>1312</v>
      </c>
      <c r="D1425" s="5">
        <v>2</v>
      </c>
      <c r="E1425" s="9" t="s">
        <v>3176</v>
      </c>
      <c r="F1425" s="5" t="s">
        <v>86</v>
      </c>
      <c r="G1425" s="5" t="s">
        <v>3177</v>
      </c>
      <c r="H1425" s="5" t="s">
        <v>3178</v>
      </c>
      <c r="I1425" s="9" t="s">
        <v>3179</v>
      </c>
      <c r="J1425" s="5">
        <v>2026</v>
      </c>
      <c r="K1425" s="5">
        <v>-517</v>
      </c>
      <c r="L1425" s="9" t="s">
        <v>4865</v>
      </c>
      <c r="M1425" s="5">
        <v>1</v>
      </c>
      <c r="N1425" s="9" t="s">
        <v>4866</v>
      </c>
      <c r="O1425" s="9" t="str">
        <f t="shared" ref="O1425:O1433" si="146">HYPERLINK("https://seichotoushi-hojo.jp/assets/pdf/koufu/outline_9.pdf","PDFを開く")</f>
        <v>PDFを開く</v>
      </c>
      <c r="P1425" s="9" t="s">
        <v>1317</v>
      </c>
    </row>
    <row r="1426" spans="1:16" ht="33.950000000000003" customHeight="1">
      <c r="A1426" s="2" t="s">
        <v>1311</v>
      </c>
      <c r="B1426" s="2" t="s">
        <v>73</v>
      </c>
      <c r="C1426" s="8" t="s">
        <v>1312</v>
      </c>
      <c r="D1426" s="2">
        <v>2</v>
      </c>
      <c r="E1426" s="8" t="s">
        <v>3176</v>
      </c>
      <c r="F1426" s="2" t="s">
        <v>86</v>
      </c>
      <c r="G1426" s="2" t="s">
        <v>3177</v>
      </c>
      <c r="H1426" s="2" t="s">
        <v>3178</v>
      </c>
      <c r="I1426" s="8" t="s">
        <v>3182</v>
      </c>
      <c r="J1426" s="2">
        <v>2029</v>
      </c>
      <c r="K1426" s="2">
        <v>4324</v>
      </c>
      <c r="L1426" s="8" t="s">
        <v>4867</v>
      </c>
      <c r="M1426" s="2">
        <v>1</v>
      </c>
      <c r="N1426" s="8" t="s">
        <v>4866</v>
      </c>
      <c r="O1426" s="8" t="str">
        <f t="shared" si="146"/>
        <v>PDFを開く</v>
      </c>
      <c r="P1426" s="8" t="s">
        <v>1317</v>
      </c>
    </row>
    <row r="1427" spans="1:16" ht="33.950000000000003" customHeight="1">
      <c r="A1427" s="5" t="s">
        <v>1311</v>
      </c>
      <c r="B1427" s="5" t="s">
        <v>73</v>
      </c>
      <c r="C1427" s="9" t="s">
        <v>1312</v>
      </c>
      <c r="D1427" s="5">
        <v>2</v>
      </c>
      <c r="E1427" s="9" t="s">
        <v>3184</v>
      </c>
      <c r="F1427" s="5" t="s">
        <v>86</v>
      </c>
      <c r="G1427" s="5" t="s">
        <v>3177</v>
      </c>
      <c r="H1427" s="5" t="s">
        <v>3178</v>
      </c>
      <c r="I1427" s="9" t="s">
        <v>3179</v>
      </c>
      <c r="J1427" s="5">
        <v>2026</v>
      </c>
      <c r="K1427" s="5">
        <v>690</v>
      </c>
      <c r="L1427" s="9" t="s">
        <v>4868</v>
      </c>
      <c r="M1427" s="5">
        <v>3.16</v>
      </c>
      <c r="N1427" s="9" t="s">
        <v>4869</v>
      </c>
      <c r="O1427" s="9" t="str">
        <f t="shared" si="146"/>
        <v>PDFを開く</v>
      </c>
      <c r="P1427" s="9" t="s">
        <v>1317</v>
      </c>
    </row>
    <row r="1428" spans="1:16" ht="33.950000000000003" customHeight="1">
      <c r="A1428" s="2" t="s">
        <v>1311</v>
      </c>
      <c r="B1428" s="2" t="s">
        <v>73</v>
      </c>
      <c r="C1428" s="8" t="s">
        <v>1312</v>
      </c>
      <c r="D1428" s="2">
        <v>2</v>
      </c>
      <c r="E1428" s="8" t="s">
        <v>3184</v>
      </c>
      <c r="F1428" s="2" t="s">
        <v>86</v>
      </c>
      <c r="G1428" s="2" t="s">
        <v>3177</v>
      </c>
      <c r="H1428" s="2" t="s">
        <v>3178</v>
      </c>
      <c r="I1428" s="8" t="s">
        <v>3182</v>
      </c>
      <c r="J1428" s="2">
        <v>2029</v>
      </c>
      <c r="K1428" s="2">
        <v>757</v>
      </c>
      <c r="L1428" s="8" t="s">
        <v>4870</v>
      </c>
      <c r="M1428" s="2">
        <v>3.16</v>
      </c>
      <c r="N1428" s="8" t="s">
        <v>4869</v>
      </c>
      <c r="O1428" s="8" t="str">
        <f t="shared" si="146"/>
        <v>PDFを開く</v>
      </c>
      <c r="P1428" s="8" t="s">
        <v>1317</v>
      </c>
    </row>
    <row r="1429" spans="1:16" ht="33.950000000000003" customHeight="1">
      <c r="A1429" s="5" t="s">
        <v>1311</v>
      </c>
      <c r="B1429" s="5" t="s">
        <v>73</v>
      </c>
      <c r="C1429" s="9" t="s">
        <v>1312</v>
      </c>
      <c r="D1429" s="5">
        <v>2</v>
      </c>
      <c r="E1429" s="9" t="s">
        <v>3188</v>
      </c>
      <c r="F1429" s="5" t="s">
        <v>86</v>
      </c>
      <c r="G1429" s="19" t="s">
        <v>3189</v>
      </c>
      <c r="H1429" s="5" t="s">
        <v>3178</v>
      </c>
      <c r="I1429" s="9"/>
      <c r="J1429" s="5"/>
      <c r="K1429" s="5"/>
      <c r="L1429" s="9"/>
      <c r="M1429" s="5">
        <v>3.48</v>
      </c>
      <c r="N1429" s="9" t="s">
        <v>4871</v>
      </c>
      <c r="O1429" s="9" t="str">
        <f t="shared" si="146"/>
        <v>PDFを開く</v>
      </c>
      <c r="P1429" s="9" t="s">
        <v>1317</v>
      </c>
    </row>
    <row r="1430" spans="1:16" ht="33.950000000000003" customHeight="1">
      <c r="A1430" s="2" t="s">
        <v>1311</v>
      </c>
      <c r="B1430" s="2" t="s">
        <v>73</v>
      </c>
      <c r="C1430" s="8" t="s">
        <v>1312</v>
      </c>
      <c r="D1430" s="2">
        <v>2</v>
      </c>
      <c r="E1430" s="8" t="s">
        <v>3191</v>
      </c>
      <c r="F1430" s="2" t="s">
        <v>2513</v>
      </c>
      <c r="G1430" s="2" t="s">
        <v>3177</v>
      </c>
      <c r="H1430" s="2" t="s">
        <v>3178</v>
      </c>
      <c r="I1430" s="8" t="s">
        <v>3179</v>
      </c>
      <c r="J1430" s="2">
        <v>2026</v>
      </c>
      <c r="K1430" s="2">
        <v>84</v>
      </c>
      <c r="L1430" s="8" t="s">
        <v>4872</v>
      </c>
      <c r="M1430" s="2"/>
      <c r="N1430" s="8" t="s">
        <v>4873</v>
      </c>
      <c r="O1430" s="8" t="str">
        <f t="shared" si="146"/>
        <v>PDFを開く</v>
      </c>
      <c r="P1430" s="8" t="s">
        <v>1317</v>
      </c>
    </row>
    <row r="1431" spans="1:16" ht="33.950000000000003" customHeight="1">
      <c r="A1431" s="5" t="s">
        <v>1311</v>
      </c>
      <c r="B1431" s="5" t="s">
        <v>73</v>
      </c>
      <c r="C1431" s="9" t="s">
        <v>1312</v>
      </c>
      <c r="D1431" s="5">
        <v>2</v>
      </c>
      <c r="E1431" s="9" t="s">
        <v>3191</v>
      </c>
      <c r="F1431" s="5" t="s">
        <v>2513</v>
      </c>
      <c r="G1431" s="5" t="s">
        <v>3177</v>
      </c>
      <c r="H1431" s="5" t="s">
        <v>3178</v>
      </c>
      <c r="I1431" s="9" t="s">
        <v>3182</v>
      </c>
      <c r="J1431" s="5">
        <v>2029</v>
      </c>
      <c r="K1431" s="5">
        <v>132</v>
      </c>
      <c r="L1431" s="9" t="s">
        <v>4874</v>
      </c>
      <c r="M1431" s="5"/>
      <c r="N1431" s="9" t="s">
        <v>4873</v>
      </c>
      <c r="O1431" s="9" t="str">
        <f t="shared" si="146"/>
        <v>PDFを開く</v>
      </c>
      <c r="P1431" s="9" t="s">
        <v>1317</v>
      </c>
    </row>
    <row r="1432" spans="1:16" ht="33.950000000000003" customHeight="1">
      <c r="A1432" s="2" t="s">
        <v>1311</v>
      </c>
      <c r="B1432" s="2" t="s">
        <v>73</v>
      </c>
      <c r="C1432" s="8" t="s">
        <v>1312</v>
      </c>
      <c r="D1432" s="2">
        <v>2</v>
      </c>
      <c r="E1432" s="8" t="s">
        <v>3188</v>
      </c>
      <c r="F1432" s="2" t="s">
        <v>86</v>
      </c>
      <c r="G1432" s="2" t="s">
        <v>3177</v>
      </c>
      <c r="H1432" s="2"/>
      <c r="I1432" s="8" t="s">
        <v>4875</v>
      </c>
      <c r="J1432" s="2">
        <v>2026</v>
      </c>
      <c r="K1432" s="2"/>
      <c r="L1432" s="8" t="s">
        <v>3211</v>
      </c>
      <c r="M1432" s="2">
        <v>3.48</v>
      </c>
      <c r="N1432" s="8" t="s">
        <v>4876</v>
      </c>
      <c r="O1432" s="8" t="str">
        <f t="shared" si="146"/>
        <v>PDFを開く</v>
      </c>
      <c r="P1432" s="8" t="s">
        <v>1317</v>
      </c>
    </row>
    <row r="1433" spans="1:16" ht="33.950000000000003" customHeight="1">
      <c r="A1433" s="5" t="s">
        <v>1311</v>
      </c>
      <c r="B1433" s="5" t="s">
        <v>73</v>
      </c>
      <c r="C1433" s="9" t="s">
        <v>1312</v>
      </c>
      <c r="D1433" s="5">
        <v>2</v>
      </c>
      <c r="E1433" s="9" t="s">
        <v>3188</v>
      </c>
      <c r="F1433" s="5" t="s">
        <v>86</v>
      </c>
      <c r="G1433" s="5" t="s">
        <v>3177</v>
      </c>
      <c r="H1433" s="5"/>
      <c r="I1433" s="9" t="s">
        <v>4877</v>
      </c>
      <c r="J1433" s="5">
        <v>2029</v>
      </c>
      <c r="K1433" s="5"/>
      <c r="L1433" s="9" t="s">
        <v>4878</v>
      </c>
      <c r="M1433" s="5">
        <v>3.48</v>
      </c>
      <c r="N1433" s="9" t="s">
        <v>4876</v>
      </c>
      <c r="O1433" s="9" t="str">
        <f t="shared" si="146"/>
        <v>PDFを開く</v>
      </c>
      <c r="P1433" s="9" t="s">
        <v>1317</v>
      </c>
    </row>
    <row r="1434" spans="1:16" ht="33.950000000000003" customHeight="1">
      <c r="A1434" s="2" t="s">
        <v>1318</v>
      </c>
      <c r="B1434" s="2" t="s">
        <v>73</v>
      </c>
      <c r="C1434" s="8" t="s">
        <v>1319</v>
      </c>
      <c r="D1434" s="2">
        <v>2</v>
      </c>
      <c r="E1434" s="8" t="s">
        <v>3176</v>
      </c>
      <c r="F1434" s="2" t="s">
        <v>86</v>
      </c>
      <c r="G1434" s="2" t="s">
        <v>3177</v>
      </c>
      <c r="H1434" s="2" t="s">
        <v>3178</v>
      </c>
      <c r="I1434" s="8" t="s">
        <v>3407</v>
      </c>
      <c r="J1434" s="2">
        <v>2025</v>
      </c>
      <c r="K1434" s="2">
        <v>762</v>
      </c>
      <c r="L1434" s="8" t="s">
        <v>4879</v>
      </c>
      <c r="M1434" s="2">
        <v>15</v>
      </c>
      <c r="N1434" s="8" t="s">
        <v>4880</v>
      </c>
      <c r="O1434" s="8" t="str">
        <f t="shared" ref="O1434:O1443" si="147">HYPERLINK("https://seichotoushi-hojo.jp/assets/pdf/koufu/outline_91.pdf","PDFを開く")</f>
        <v>PDFを開く</v>
      </c>
      <c r="P1434" s="8" t="s">
        <v>1327</v>
      </c>
    </row>
    <row r="1435" spans="1:16" ht="33.950000000000003" customHeight="1">
      <c r="A1435" s="5" t="s">
        <v>1318</v>
      </c>
      <c r="B1435" s="5" t="s">
        <v>73</v>
      </c>
      <c r="C1435" s="9" t="s">
        <v>1319</v>
      </c>
      <c r="D1435" s="5">
        <v>2</v>
      </c>
      <c r="E1435" s="9" t="s">
        <v>3176</v>
      </c>
      <c r="F1435" s="5" t="s">
        <v>86</v>
      </c>
      <c r="G1435" s="5" t="s">
        <v>3177</v>
      </c>
      <c r="H1435" s="5" t="s">
        <v>3178</v>
      </c>
      <c r="I1435" s="9" t="s">
        <v>3335</v>
      </c>
      <c r="J1435" s="5">
        <v>2028</v>
      </c>
      <c r="K1435" s="5">
        <v>1327</v>
      </c>
      <c r="L1435" s="9" t="s">
        <v>4881</v>
      </c>
      <c r="M1435" s="5">
        <v>15</v>
      </c>
      <c r="N1435" s="9" t="s">
        <v>4880</v>
      </c>
      <c r="O1435" s="9" t="str">
        <f t="shared" si="147"/>
        <v>PDFを開く</v>
      </c>
      <c r="P1435" s="9" t="s">
        <v>1327</v>
      </c>
    </row>
    <row r="1436" spans="1:16" ht="33.950000000000003" customHeight="1">
      <c r="A1436" s="2" t="s">
        <v>1318</v>
      </c>
      <c r="B1436" s="2" t="s">
        <v>73</v>
      </c>
      <c r="C1436" s="8" t="s">
        <v>1319</v>
      </c>
      <c r="D1436" s="2">
        <v>2</v>
      </c>
      <c r="E1436" s="8" t="s">
        <v>3184</v>
      </c>
      <c r="F1436" s="2" t="s">
        <v>86</v>
      </c>
      <c r="G1436" s="2" t="s">
        <v>3177</v>
      </c>
      <c r="H1436" s="2" t="s">
        <v>3178</v>
      </c>
      <c r="I1436" s="8" t="s">
        <v>3407</v>
      </c>
      <c r="J1436" s="2">
        <v>2025</v>
      </c>
      <c r="K1436" s="2">
        <v>618</v>
      </c>
      <c r="L1436" s="8" t="s">
        <v>3290</v>
      </c>
      <c r="M1436" s="2">
        <v>5</v>
      </c>
      <c r="N1436" s="8" t="s">
        <v>4882</v>
      </c>
      <c r="O1436" s="8" t="str">
        <f t="shared" si="147"/>
        <v>PDFを開く</v>
      </c>
      <c r="P1436" s="8" t="s">
        <v>1327</v>
      </c>
    </row>
    <row r="1437" spans="1:16" ht="33.950000000000003" customHeight="1">
      <c r="A1437" s="5" t="s">
        <v>1318</v>
      </c>
      <c r="B1437" s="5" t="s">
        <v>73</v>
      </c>
      <c r="C1437" s="9" t="s">
        <v>1319</v>
      </c>
      <c r="D1437" s="5">
        <v>2</v>
      </c>
      <c r="E1437" s="9" t="s">
        <v>3184</v>
      </c>
      <c r="F1437" s="5" t="s">
        <v>86</v>
      </c>
      <c r="G1437" s="5" t="s">
        <v>3177</v>
      </c>
      <c r="H1437" s="5" t="s">
        <v>3178</v>
      </c>
      <c r="I1437" s="9" t="s">
        <v>3335</v>
      </c>
      <c r="J1437" s="5">
        <v>2028</v>
      </c>
      <c r="K1437" s="5">
        <v>716</v>
      </c>
      <c r="L1437" s="9" t="s">
        <v>4883</v>
      </c>
      <c r="M1437" s="5">
        <v>5</v>
      </c>
      <c r="N1437" s="9" t="s">
        <v>4882</v>
      </c>
      <c r="O1437" s="9" t="str">
        <f t="shared" si="147"/>
        <v>PDFを開く</v>
      </c>
      <c r="P1437" s="9" t="s">
        <v>1327</v>
      </c>
    </row>
    <row r="1438" spans="1:16" ht="33.950000000000003" customHeight="1">
      <c r="A1438" s="2" t="s">
        <v>1318</v>
      </c>
      <c r="B1438" s="2" t="s">
        <v>73</v>
      </c>
      <c r="C1438" s="8" t="s">
        <v>1319</v>
      </c>
      <c r="D1438" s="2">
        <v>2</v>
      </c>
      <c r="E1438" s="8" t="s">
        <v>3188</v>
      </c>
      <c r="F1438" s="2" t="s">
        <v>86</v>
      </c>
      <c r="G1438" s="2" t="s">
        <v>3177</v>
      </c>
      <c r="H1438" s="2" t="s">
        <v>3178</v>
      </c>
      <c r="I1438" s="8" t="s">
        <v>3407</v>
      </c>
      <c r="J1438" s="2">
        <v>2025</v>
      </c>
      <c r="K1438" s="2">
        <v>0</v>
      </c>
      <c r="L1438" s="8" t="s">
        <v>3267</v>
      </c>
      <c r="M1438" s="2">
        <v>0</v>
      </c>
      <c r="N1438" s="8" t="s">
        <v>4884</v>
      </c>
      <c r="O1438" s="8" t="str">
        <f t="shared" si="147"/>
        <v>PDFを開く</v>
      </c>
      <c r="P1438" s="8" t="s">
        <v>1327</v>
      </c>
    </row>
    <row r="1439" spans="1:16" ht="33.950000000000003" customHeight="1">
      <c r="A1439" s="5" t="s">
        <v>1318</v>
      </c>
      <c r="B1439" s="5" t="s">
        <v>73</v>
      </c>
      <c r="C1439" s="9" t="s">
        <v>1319</v>
      </c>
      <c r="D1439" s="5">
        <v>2</v>
      </c>
      <c r="E1439" s="9" t="s">
        <v>3188</v>
      </c>
      <c r="F1439" s="5" t="s">
        <v>86</v>
      </c>
      <c r="G1439" s="5" t="s">
        <v>3177</v>
      </c>
      <c r="H1439" s="5" t="s">
        <v>3178</v>
      </c>
      <c r="I1439" s="9" t="s">
        <v>3335</v>
      </c>
      <c r="J1439" s="5">
        <v>2028</v>
      </c>
      <c r="K1439" s="5">
        <v>0</v>
      </c>
      <c r="L1439" s="9" t="s">
        <v>3267</v>
      </c>
      <c r="M1439" s="5">
        <v>0</v>
      </c>
      <c r="N1439" s="9" t="s">
        <v>4884</v>
      </c>
      <c r="O1439" s="9" t="str">
        <f t="shared" si="147"/>
        <v>PDFを開く</v>
      </c>
      <c r="P1439" s="9" t="s">
        <v>1327</v>
      </c>
    </row>
    <row r="1440" spans="1:16" ht="33.950000000000003" customHeight="1">
      <c r="A1440" s="2" t="s">
        <v>1318</v>
      </c>
      <c r="B1440" s="2" t="s">
        <v>73</v>
      </c>
      <c r="C1440" s="8" t="s">
        <v>1319</v>
      </c>
      <c r="D1440" s="2">
        <v>2</v>
      </c>
      <c r="E1440" s="8" t="s">
        <v>3191</v>
      </c>
      <c r="F1440" s="2" t="s">
        <v>2513</v>
      </c>
      <c r="G1440" s="2" t="s">
        <v>3177</v>
      </c>
      <c r="H1440" s="2" t="s">
        <v>3178</v>
      </c>
      <c r="I1440" s="8" t="s">
        <v>3407</v>
      </c>
      <c r="J1440" s="2">
        <v>2025</v>
      </c>
      <c r="K1440" s="2">
        <v>126</v>
      </c>
      <c r="L1440" s="8" t="s">
        <v>4885</v>
      </c>
      <c r="M1440" s="2"/>
      <c r="N1440" s="8" t="s">
        <v>4886</v>
      </c>
      <c r="O1440" s="8" t="str">
        <f t="shared" si="147"/>
        <v>PDFを開く</v>
      </c>
      <c r="P1440" s="8" t="s">
        <v>1327</v>
      </c>
    </row>
    <row r="1441" spans="1:16" ht="33.950000000000003" customHeight="1">
      <c r="A1441" s="5" t="s">
        <v>1318</v>
      </c>
      <c r="B1441" s="5" t="s">
        <v>73</v>
      </c>
      <c r="C1441" s="9" t="s">
        <v>1319</v>
      </c>
      <c r="D1441" s="5">
        <v>2</v>
      </c>
      <c r="E1441" s="9" t="s">
        <v>3191</v>
      </c>
      <c r="F1441" s="5" t="s">
        <v>2513</v>
      </c>
      <c r="G1441" s="5" t="s">
        <v>3177</v>
      </c>
      <c r="H1441" s="5" t="s">
        <v>3178</v>
      </c>
      <c r="I1441" s="9" t="s">
        <v>3335</v>
      </c>
      <c r="J1441" s="5">
        <v>2028</v>
      </c>
      <c r="K1441" s="5">
        <v>144</v>
      </c>
      <c r="L1441" s="9" t="s">
        <v>4664</v>
      </c>
      <c r="M1441" s="5"/>
      <c r="N1441" s="9" t="s">
        <v>4886</v>
      </c>
      <c r="O1441" s="9" t="str">
        <f t="shared" si="147"/>
        <v>PDFを開く</v>
      </c>
      <c r="P1441" s="9" t="s">
        <v>1327</v>
      </c>
    </row>
    <row r="1442" spans="1:16" ht="33.950000000000003" customHeight="1">
      <c r="A1442" s="2" t="s">
        <v>1318</v>
      </c>
      <c r="B1442" s="2" t="s">
        <v>73</v>
      </c>
      <c r="C1442" s="8" t="s">
        <v>1319</v>
      </c>
      <c r="D1442" s="2">
        <v>2</v>
      </c>
      <c r="E1442" s="8" t="s">
        <v>3176</v>
      </c>
      <c r="F1442" s="2" t="s">
        <v>86</v>
      </c>
      <c r="G1442" s="2" t="s">
        <v>3177</v>
      </c>
      <c r="H1442" s="2"/>
      <c r="I1442" s="8" t="s">
        <v>4290</v>
      </c>
      <c r="J1442" s="2">
        <v>2025</v>
      </c>
      <c r="K1442" s="2">
        <v>762</v>
      </c>
      <c r="L1442" s="8" t="s">
        <v>4879</v>
      </c>
      <c r="M1442" s="2">
        <v>15</v>
      </c>
      <c r="N1442" s="8" t="s">
        <v>4887</v>
      </c>
      <c r="O1442" s="8" t="str">
        <f t="shared" si="147"/>
        <v>PDFを開く</v>
      </c>
      <c r="P1442" s="8" t="s">
        <v>1327</v>
      </c>
    </row>
    <row r="1443" spans="1:16" ht="33.950000000000003" customHeight="1">
      <c r="A1443" s="5" t="s">
        <v>1318</v>
      </c>
      <c r="B1443" s="5" t="s">
        <v>73</v>
      </c>
      <c r="C1443" s="9" t="s">
        <v>1319</v>
      </c>
      <c r="D1443" s="5">
        <v>2</v>
      </c>
      <c r="E1443" s="9" t="s">
        <v>3176</v>
      </c>
      <c r="F1443" s="5" t="s">
        <v>86</v>
      </c>
      <c r="G1443" s="5" t="s">
        <v>3177</v>
      </c>
      <c r="H1443" s="5"/>
      <c r="I1443" s="9" t="s">
        <v>4533</v>
      </c>
      <c r="J1443" s="5">
        <v>2028</v>
      </c>
      <c r="K1443" s="5">
        <v>1327</v>
      </c>
      <c r="L1443" s="9" t="s">
        <v>4888</v>
      </c>
      <c r="M1443" s="5">
        <v>15</v>
      </c>
      <c r="N1443" s="9" t="s">
        <v>4887</v>
      </c>
      <c r="O1443" s="9" t="str">
        <f t="shared" si="147"/>
        <v>PDFを開く</v>
      </c>
      <c r="P1443" s="9" t="s">
        <v>1327</v>
      </c>
    </row>
    <row r="1444" spans="1:16" ht="33.950000000000003" customHeight="1">
      <c r="A1444" s="2" t="s">
        <v>1328</v>
      </c>
      <c r="B1444" s="2" t="s">
        <v>73</v>
      </c>
      <c r="C1444" s="8" t="s">
        <v>1329</v>
      </c>
      <c r="D1444" s="2">
        <v>2</v>
      </c>
      <c r="E1444" s="8" t="s">
        <v>3176</v>
      </c>
      <c r="F1444" s="2" t="s">
        <v>86</v>
      </c>
      <c r="G1444" s="2" t="s">
        <v>3177</v>
      </c>
      <c r="H1444" s="2" t="s">
        <v>3178</v>
      </c>
      <c r="I1444" s="8" t="s">
        <v>4889</v>
      </c>
      <c r="J1444" s="2">
        <v>2026</v>
      </c>
      <c r="K1444" s="2">
        <v>1156</v>
      </c>
      <c r="L1444" s="8" t="s">
        <v>4890</v>
      </c>
      <c r="M1444" s="2">
        <v>18.8</v>
      </c>
      <c r="N1444" s="8" t="s">
        <v>4891</v>
      </c>
      <c r="O1444" s="8" t="str">
        <f t="shared" ref="O1444:O1452" si="148">HYPERLINK("https://seichotoushi-hojo.jp/assets/pdf/koufu/outline_92.pdf","PDFを開く")</f>
        <v>PDFを開く</v>
      </c>
      <c r="P1444" s="8" t="s">
        <v>1334</v>
      </c>
    </row>
    <row r="1445" spans="1:16" ht="33.950000000000003" customHeight="1">
      <c r="A1445" s="5" t="s">
        <v>1328</v>
      </c>
      <c r="B1445" s="5" t="s">
        <v>73</v>
      </c>
      <c r="C1445" s="9" t="s">
        <v>1329</v>
      </c>
      <c r="D1445" s="5">
        <v>2</v>
      </c>
      <c r="E1445" s="9" t="s">
        <v>3176</v>
      </c>
      <c r="F1445" s="5" t="s">
        <v>86</v>
      </c>
      <c r="G1445" s="5" t="s">
        <v>3177</v>
      </c>
      <c r="H1445" s="5" t="s">
        <v>3178</v>
      </c>
      <c r="I1445" s="9" t="s">
        <v>4892</v>
      </c>
      <c r="J1445" s="5">
        <v>2029</v>
      </c>
      <c r="K1445" s="5">
        <v>1941</v>
      </c>
      <c r="L1445" s="9" t="s">
        <v>4893</v>
      </c>
      <c r="M1445" s="5">
        <v>18.8</v>
      </c>
      <c r="N1445" s="9" t="s">
        <v>4891</v>
      </c>
      <c r="O1445" s="9" t="str">
        <f t="shared" si="148"/>
        <v>PDFを開く</v>
      </c>
      <c r="P1445" s="9" t="s">
        <v>1334</v>
      </c>
    </row>
    <row r="1446" spans="1:16" ht="33.950000000000003" customHeight="1">
      <c r="A1446" s="2" t="s">
        <v>1328</v>
      </c>
      <c r="B1446" s="2" t="s">
        <v>73</v>
      </c>
      <c r="C1446" s="8" t="s">
        <v>1329</v>
      </c>
      <c r="D1446" s="2">
        <v>2</v>
      </c>
      <c r="E1446" s="8" t="s">
        <v>3184</v>
      </c>
      <c r="F1446" s="2" t="s">
        <v>86</v>
      </c>
      <c r="G1446" s="2" t="s">
        <v>3177</v>
      </c>
      <c r="H1446" s="2" t="s">
        <v>3178</v>
      </c>
      <c r="I1446" s="8" t="s">
        <v>4889</v>
      </c>
      <c r="J1446" s="2">
        <v>2026</v>
      </c>
      <c r="K1446" s="2">
        <v>522</v>
      </c>
      <c r="L1446" s="8" t="s">
        <v>4894</v>
      </c>
      <c r="M1446" s="2">
        <v>4.03</v>
      </c>
      <c r="N1446" s="8" t="s">
        <v>4895</v>
      </c>
      <c r="O1446" s="8" t="str">
        <f t="shared" si="148"/>
        <v>PDFを開く</v>
      </c>
      <c r="P1446" s="8" t="s">
        <v>1334</v>
      </c>
    </row>
    <row r="1447" spans="1:16" ht="33.950000000000003" customHeight="1">
      <c r="A1447" s="5" t="s">
        <v>1328</v>
      </c>
      <c r="B1447" s="5" t="s">
        <v>73</v>
      </c>
      <c r="C1447" s="9" t="s">
        <v>1329</v>
      </c>
      <c r="D1447" s="5">
        <v>2</v>
      </c>
      <c r="E1447" s="9" t="s">
        <v>3184</v>
      </c>
      <c r="F1447" s="5" t="s">
        <v>86</v>
      </c>
      <c r="G1447" s="5" t="s">
        <v>3177</v>
      </c>
      <c r="H1447" s="5" t="s">
        <v>3178</v>
      </c>
      <c r="I1447" s="9" t="s">
        <v>4892</v>
      </c>
      <c r="J1447" s="5">
        <v>2029</v>
      </c>
      <c r="K1447" s="5">
        <v>588</v>
      </c>
      <c r="L1447" s="9" t="s">
        <v>3351</v>
      </c>
      <c r="M1447" s="5">
        <v>4.03</v>
      </c>
      <c r="N1447" s="9" t="s">
        <v>4895</v>
      </c>
      <c r="O1447" s="9" t="str">
        <f t="shared" si="148"/>
        <v>PDFを開く</v>
      </c>
      <c r="P1447" s="9" t="s">
        <v>1334</v>
      </c>
    </row>
    <row r="1448" spans="1:16" ht="33.950000000000003" customHeight="1">
      <c r="A1448" s="2" t="s">
        <v>1328</v>
      </c>
      <c r="B1448" s="2" t="s">
        <v>73</v>
      </c>
      <c r="C1448" s="8" t="s">
        <v>1329</v>
      </c>
      <c r="D1448" s="2">
        <v>2</v>
      </c>
      <c r="E1448" s="8" t="s">
        <v>3188</v>
      </c>
      <c r="F1448" s="2" t="s">
        <v>86</v>
      </c>
      <c r="G1448" s="19" t="s">
        <v>3189</v>
      </c>
      <c r="H1448" s="2" t="s">
        <v>3178</v>
      </c>
      <c r="I1448" s="8"/>
      <c r="J1448" s="2"/>
      <c r="K1448" s="2"/>
      <c r="L1448" s="8"/>
      <c r="M1448" s="2">
        <v>4.01</v>
      </c>
      <c r="N1448" s="8" t="s">
        <v>4896</v>
      </c>
      <c r="O1448" s="8" t="str">
        <f t="shared" si="148"/>
        <v>PDFを開く</v>
      </c>
      <c r="P1448" s="8" t="s">
        <v>1334</v>
      </c>
    </row>
    <row r="1449" spans="1:16" ht="33.950000000000003" customHeight="1">
      <c r="A1449" s="5" t="s">
        <v>1328</v>
      </c>
      <c r="B1449" s="5" t="s">
        <v>73</v>
      </c>
      <c r="C1449" s="9" t="s">
        <v>1329</v>
      </c>
      <c r="D1449" s="5">
        <v>2</v>
      </c>
      <c r="E1449" s="9" t="s">
        <v>3191</v>
      </c>
      <c r="F1449" s="5" t="s">
        <v>2513</v>
      </c>
      <c r="G1449" s="5" t="s">
        <v>3177</v>
      </c>
      <c r="H1449" s="5" t="s">
        <v>3178</v>
      </c>
      <c r="I1449" s="9" t="s">
        <v>4889</v>
      </c>
      <c r="J1449" s="5">
        <v>2026</v>
      </c>
      <c r="K1449" s="5">
        <v>195</v>
      </c>
      <c r="L1449" s="9" t="s">
        <v>4772</v>
      </c>
      <c r="M1449" s="5"/>
      <c r="N1449" s="9" t="s">
        <v>4897</v>
      </c>
      <c r="O1449" s="9" t="str">
        <f t="shared" si="148"/>
        <v>PDFを開く</v>
      </c>
      <c r="P1449" s="9" t="s">
        <v>1334</v>
      </c>
    </row>
    <row r="1450" spans="1:16" ht="33.950000000000003" customHeight="1">
      <c r="A1450" s="2" t="s">
        <v>1328</v>
      </c>
      <c r="B1450" s="2" t="s">
        <v>73</v>
      </c>
      <c r="C1450" s="8" t="s">
        <v>1329</v>
      </c>
      <c r="D1450" s="2">
        <v>2</v>
      </c>
      <c r="E1450" s="8" t="s">
        <v>3191</v>
      </c>
      <c r="F1450" s="2" t="s">
        <v>2513</v>
      </c>
      <c r="G1450" s="2" t="s">
        <v>3177</v>
      </c>
      <c r="H1450" s="2" t="s">
        <v>3178</v>
      </c>
      <c r="I1450" s="8" t="s">
        <v>4892</v>
      </c>
      <c r="J1450" s="2">
        <v>2029</v>
      </c>
      <c r="K1450" s="2">
        <v>230</v>
      </c>
      <c r="L1450" s="8" t="s">
        <v>4898</v>
      </c>
      <c r="M1450" s="2"/>
      <c r="N1450" s="8" t="s">
        <v>4897</v>
      </c>
      <c r="O1450" s="8" t="str">
        <f t="shared" si="148"/>
        <v>PDFを開く</v>
      </c>
      <c r="P1450" s="8" t="s">
        <v>1334</v>
      </c>
    </row>
    <row r="1451" spans="1:16" ht="33.950000000000003" customHeight="1">
      <c r="A1451" s="5" t="s">
        <v>1328</v>
      </c>
      <c r="B1451" s="5" t="s">
        <v>73</v>
      </c>
      <c r="C1451" s="9" t="s">
        <v>1329</v>
      </c>
      <c r="D1451" s="5">
        <v>2</v>
      </c>
      <c r="E1451" s="9" t="s">
        <v>3188</v>
      </c>
      <c r="F1451" s="5" t="s">
        <v>86</v>
      </c>
      <c r="G1451" s="5" t="s">
        <v>3177</v>
      </c>
      <c r="H1451" s="5"/>
      <c r="I1451" s="9" t="s">
        <v>4899</v>
      </c>
      <c r="J1451" s="5">
        <v>2026</v>
      </c>
      <c r="K1451" s="5"/>
      <c r="L1451" s="9" t="s">
        <v>3196</v>
      </c>
      <c r="M1451" s="5">
        <v>4.01</v>
      </c>
      <c r="N1451" s="9" t="s">
        <v>4900</v>
      </c>
      <c r="O1451" s="9" t="str">
        <f t="shared" si="148"/>
        <v>PDFを開く</v>
      </c>
      <c r="P1451" s="9" t="s">
        <v>1334</v>
      </c>
    </row>
    <row r="1452" spans="1:16" ht="33.950000000000003" customHeight="1">
      <c r="A1452" s="2" t="s">
        <v>1328</v>
      </c>
      <c r="B1452" s="2" t="s">
        <v>73</v>
      </c>
      <c r="C1452" s="8" t="s">
        <v>1329</v>
      </c>
      <c r="D1452" s="2">
        <v>2</v>
      </c>
      <c r="E1452" s="8" t="s">
        <v>3188</v>
      </c>
      <c r="F1452" s="2" t="s">
        <v>86</v>
      </c>
      <c r="G1452" s="2" t="s">
        <v>3177</v>
      </c>
      <c r="H1452" s="2"/>
      <c r="I1452" s="8" t="s">
        <v>4901</v>
      </c>
      <c r="J1452" s="2">
        <v>2029</v>
      </c>
      <c r="K1452" s="2"/>
      <c r="L1452" s="8" t="s">
        <v>4902</v>
      </c>
      <c r="M1452" s="2">
        <v>4.01</v>
      </c>
      <c r="N1452" s="8" t="s">
        <v>4900</v>
      </c>
      <c r="O1452" s="8" t="str">
        <f t="shared" si="148"/>
        <v>PDFを開く</v>
      </c>
      <c r="P1452" s="8" t="s">
        <v>1334</v>
      </c>
    </row>
    <row r="1453" spans="1:16" ht="33.950000000000003" customHeight="1">
      <c r="A1453" s="5" t="s">
        <v>1335</v>
      </c>
      <c r="B1453" s="5" t="s">
        <v>73</v>
      </c>
      <c r="C1453" s="9" t="s">
        <v>1336</v>
      </c>
      <c r="D1453" s="5">
        <v>2</v>
      </c>
      <c r="E1453" s="9" t="s">
        <v>3176</v>
      </c>
      <c r="F1453" s="5" t="s">
        <v>447</v>
      </c>
      <c r="G1453" s="5" t="s">
        <v>3177</v>
      </c>
      <c r="H1453" s="5" t="s">
        <v>3178</v>
      </c>
      <c r="I1453" s="9" t="s">
        <v>3546</v>
      </c>
      <c r="J1453" s="5">
        <v>2027</v>
      </c>
      <c r="K1453" s="5">
        <v>9853</v>
      </c>
      <c r="L1453" s="9" t="s">
        <v>4903</v>
      </c>
      <c r="M1453" s="5">
        <v>34.799999999999997</v>
      </c>
      <c r="N1453" s="9" t="s">
        <v>4904</v>
      </c>
      <c r="O1453" s="9" t="str">
        <f>HYPERLINK("https://seichotoushi-hojo.jp/assets/pdf/koufu/outline_93.pdf","PDFを開く")</f>
        <v>PDFを開く</v>
      </c>
      <c r="P1453" s="9" t="s">
        <v>1342</v>
      </c>
    </row>
    <row r="1454" spans="1:16" ht="33.950000000000003" customHeight="1">
      <c r="A1454" s="2" t="s">
        <v>1335</v>
      </c>
      <c r="B1454" s="2" t="s">
        <v>73</v>
      </c>
      <c r="C1454" s="8" t="s">
        <v>1336</v>
      </c>
      <c r="D1454" s="2">
        <v>2</v>
      </c>
      <c r="E1454" s="8" t="s">
        <v>3176</v>
      </c>
      <c r="F1454" s="2" t="s">
        <v>447</v>
      </c>
      <c r="G1454" s="2" t="s">
        <v>3177</v>
      </c>
      <c r="H1454" s="2" t="s">
        <v>3178</v>
      </c>
      <c r="I1454" s="8" t="s">
        <v>3549</v>
      </c>
      <c r="J1454" s="2">
        <v>2030</v>
      </c>
      <c r="K1454" s="2">
        <v>24107</v>
      </c>
      <c r="L1454" s="8" t="s">
        <v>4905</v>
      </c>
      <c r="M1454" s="2">
        <v>34.799999999999997</v>
      </c>
      <c r="N1454" s="8" t="s">
        <v>4904</v>
      </c>
      <c r="O1454" s="8" t="str">
        <f>HYPERLINK("https://seichotoushi-hojo.jp/assets/pdf/koufu/outline_93.pdf","PDFを開く")</f>
        <v>PDFを開く</v>
      </c>
      <c r="P1454" s="8" t="s">
        <v>1342</v>
      </c>
    </row>
    <row r="1455" spans="1:16" ht="33.950000000000003" customHeight="1">
      <c r="A1455" s="5" t="s">
        <v>1335</v>
      </c>
      <c r="B1455" s="5" t="s">
        <v>73</v>
      </c>
      <c r="C1455" s="9" t="s">
        <v>1336</v>
      </c>
      <c r="D1455" s="5">
        <v>2</v>
      </c>
      <c r="E1455" s="9" t="s">
        <v>3184</v>
      </c>
      <c r="F1455" s="5" t="s">
        <v>447</v>
      </c>
      <c r="G1455" s="5" t="s">
        <v>3177</v>
      </c>
      <c r="H1455" s="5" t="s">
        <v>3178</v>
      </c>
      <c r="I1455" s="9" t="s">
        <v>3546</v>
      </c>
      <c r="J1455" s="5">
        <v>2027</v>
      </c>
      <c r="K1455" s="5">
        <v>5565</v>
      </c>
      <c r="L1455" s="9" t="s">
        <v>4906</v>
      </c>
      <c r="M1455" s="5">
        <v>4.3</v>
      </c>
      <c r="N1455" s="9" t="s">
        <v>4907</v>
      </c>
      <c r="O1455" s="9" t="str">
        <f>HYPERLINK("https://seichotoushi-hojo.jp/assets/pdf/koufu/outline_93.pdf","PDFを開く")</f>
        <v>PDFを開く</v>
      </c>
      <c r="P1455" s="9" t="s">
        <v>1342</v>
      </c>
    </row>
    <row r="1456" spans="1:16" ht="33.950000000000003" customHeight="1">
      <c r="A1456" s="2" t="s">
        <v>1335</v>
      </c>
      <c r="B1456" s="2" t="s">
        <v>73</v>
      </c>
      <c r="C1456" s="8" t="s">
        <v>1336</v>
      </c>
      <c r="D1456" s="2">
        <v>2</v>
      </c>
      <c r="E1456" s="8" t="s">
        <v>3184</v>
      </c>
      <c r="F1456" s="2" t="s">
        <v>447</v>
      </c>
      <c r="G1456" s="2" t="s">
        <v>3177</v>
      </c>
      <c r="H1456" s="2" t="s">
        <v>3178</v>
      </c>
      <c r="I1456" s="8" t="s">
        <v>3549</v>
      </c>
      <c r="J1456" s="2">
        <v>2030</v>
      </c>
      <c r="K1456" s="2">
        <v>6305</v>
      </c>
      <c r="L1456" s="8" t="s">
        <v>4908</v>
      </c>
      <c r="M1456" s="2">
        <v>4.3</v>
      </c>
      <c r="N1456" s="8" t="s">
        <v>4907</v>
      </c>
      <c r="O1456" s="8" t="str">
        <f>HYPERLINK("https://seichotoushi-hojo.jp/assets/pdf/koufu/outline_93.pdf","PDFを開く")</f>
        <v>PDFを開く</v>
      </c>
      <c r="P1456" s="8" t="s">
        <v>1342</v>
      </c>
    </row>
    <row r="1457" spans="1:16" ht="33.950000000000003" customHeight="1">
      <c r="A1457" s="5" t="s">
        <v>1335</v>
      </c>
      <c r="B1457" s="5" t="s">
        <v>73</v>
      </c>
      <c r="C1457" s="9" t="s">
        <v>1336</v>
      </c>
      <c r="D1457" s="5">
        <v>2</v>
      </c>
      <c r="E1457" s="9" t="s">
        <v>3188</v>
      </c>
      <c r="F1457" s="5" t="s">
        <v>447</v>
      </c>
      <c r="G1457" s="19" t="s">
        <v>3189</v>
      </c>
      <c r="H1457" s="5" t="s">
        <v>3178</v>
      </c>
      <c r="I1457" s="9"/>
      <c r="J1457" s="5"/>
      <c r="K1457" s="5"/>
      <c r="L1457" s="9"/>
      <c r="M1457" s="5">
        <v>4.3</v>
      </c>
      <c r="N1457" s="9" t="s">
        <v>4909</v>
      </c>
      <c r="O1457" s="9" t="str">
        <f>HYPERLINK("https://seichotoushi-hojo.jp/assets/pdf/koufu/outline_93.pdf","PDFを開く")</f>
        <v>PDFを開く</v>
      </c>
      <c r="P1457" s="9" t="s">
        <v>1342</v>
      </c>
    </row>
    <row r="1458" spans="1:16" ht="33.950000000000003" customHeight="1">
      <c r="A1458" s="2" t="s">
        <v>1343</v>
      </c>
      <c r="B1458" s="2" t="s">
        <v>73</v>
      </c>
      <c r="C1458" s="8" t="s">
        <v>1344</v>
      </c>
      <c r="D1458" s="2">
        <v>2</v>
      </c>
      <c r="E1458" s="8" t="s">
        <v>3176</v>
      </c>
      <c r="F1458" s="2" t="s">
        <v>86</v>
      </c>
      <c r="G1458" s="2" t="s">
        <v>3177</v>
      </c>
      <c r="H1458" s="2" t="s">
        <v>3178</v>
      </c>
      <c r="I1458" s="8" t="s">
        <v>3259</v>
      </c>
      <c r="J1458" s="2">
        <v>2027</v>
      </c>
      <c r="K1458" s="2">
        <v>1133</v>
      </c>
      <c r="L1458" s="8" t="s">
        <v>4910</v>
      </c>
      <c r="M1458" s="2">
        <v>16.100000000000001</v>
      </c>
      <c r="N1458" s="8" t="s">
        <v>4911</v>
      </c>
      <c r="O1458" s="8" t="str">
        <f t="shared" ref="O1458:O1466" si="149">HYPERLINK("https://seichotoushi-hojo.jp/assets/pdf/koufu/outline_94.pdf","PDFを開く")</f>
        <v>PDFを開く</v>
      </c>
      <c r="P1458" s="8" t="s">
        <v>1349</v>
      </c>
    </row>
    <row r="1459" spans="1:16" ht="33.950000000000003" customHeight="1">
      <c r="A1459" s="5" t="s">
        <v>1343</v>
      </c>
      <c r="B1459" s="5" t="s">
        <v>73</v>
      </c>
      <c r="C1459" s="9" t="s">
        <v>1344</v>
      </c>
      <c r="D1459" s="5">
        <v>2</v>
      </c>
      <c r="E1459" s="9" t="s">
        <v>3176</v>
      </c>
      <c r="F1459" s="5" t="s">
        <v>86</v>
      </c>
      <c r="G1459" s="5" t="s">
        <v>3177</v>
      </c>
      <c r="H1459" s="5" t="s">
        <v>3178</v>
      </c>
      <c r="I1459" s="9" t="s">
        <v>3262</v>
      </c>
      <c r="J1459" s="5">
        <v>2030</v>
      </c>
      <c r="K1459" s="5">
        <v>1765</v>
      </c>
      <c r="L1459" s="9" t="s">
        <v>4912</v>
      </c>
      <c r="M1459" s="5">
        <v>16.100000000000001</v>
      </c>
      <c r="N1459" s="9" t="s">
        <v>4911</v>
      </c>
      <c r="O1459" s="9" t="str">
        <f t="shared" si="149"/>
        <v>PDFを開く</v>
      </c>
      <c r="P1459" s="9" t="s">
        <v>1349</v>
      </c>
    </row>
    <row r="1460" spans="1:16" ht="33.950000000000003" customHeight="1">
      <c r="A1460" s="2" t="s">
        <v>1343</v>
      </c>
      <c r="B1460" s="2" t="s">
        <v>73</v>
      </c>
      <c r="C1460" s="8" t="s">
        <v>1344</v>
      </c>
      <c r="D1460" s="2">
        <v>2</v>
      </c>
      <c r="E1460" s="8" t="s">
        <v>3184</v>
      </c>
      <c r="F1460" s="2" t="s">
        <v>86</v>
      </c>
      <c r="G1460" s="2" t="s">
        <v>3177</v>
      </c>
      <c r="H1460" s="2" t="s">
        <v>3178</v>
      </c>
      <c r="I1460" s="8" t="s">
        <v>3259</v>
      </c>
      <c r="J1460" s="2">
        <v>2027</v>
      </c>
      <c r="K1460" s="2">
        <v>509</v>
      </c>
      <c r="L1460" s="8" t="s">
        <v>3187</v>
      </c>
      <c r="M1460" s="2">
        <v>7</v>
      </c>
      <c r="N1460" s="8" t="s">
        <v>4913</v>
      </c>
      <c r="O1460" s="8" t="str">
        <f t="shared" si="149"/>
        <v>PDFを開く</v>
      </c>
      <c r="P1460" s="8" t="s">
        <v>1349</v>
      </c>
    </row>
    <row r="1461" spans="1:16" ht="33.950000000000003" customHeight="1">
      <c r="A1461" s="5" t="s">
        <v>1343</v>
      </c>
      <c r="B1461" s="5" t="s">
        <v>73</v>
      </c>
      <c r="C1461" s="9" t="s">
        <v>1344</v>
      </c>
      <c r="D1461" s="5">
        <v>2</v>
      </c>
      <c r="E1461" s="9" t="s">
        <v>3184</v>
      </c>
      <c r="F1461" s="5" t="s">
        <v>86</v>
      </c>
      <c r="G1461" s="5" t="s">
        <v>3177</v>
      </c>
      <c r="H1461" s="5" t="s">
        <v>3178</v>
      </c>
      <c r="I1461" s="9" t="s">
        <v>3262</v>
      </c>
      <c r="J1461" s="5">
        <v>2030</v>
      </c>
      <c r="K1461" s="5">
        <v>623</v>
      </c>
      <c r="L1461" s="9" t="s">
        <v>3512</v>
      </c>
      <c r="M1461" s="5">
        <v>7</v>
      </c>
      <c r="N1461" s="9" t="s">
        <v>4913</v>
      </c>
      <c r="O1461" s="9" t="str">
        <f t="shared" si="149"/>
        <v>PDFを開く</v>
      </c>
      <c r="P1461" s="9" t="s">
        <v>1349</v>
      </c>
    </row>
    <row r="1462" spans="1:16" ht="33.950000000000003" customHeight="1">
      <c r="A1462" s="2" t="s">
        <v>1343</v>
      </c>
      <c r="B1462" s="2" t="s">
        <v>73</v>
      </c>
      <c r="C1462" s="8" t="s">
        <v>1344</v>
      </c>
      <c r="D1462" s="2">
        <v>2</v>
      </c>
      <c r="E1462" s="8" t="s">
        <v>3188</v>
      </c>
      <c r="F1462" s="2" t="s">
        <v>86</v>
      </c>
      <c r="G1462" s="19" t="s">
        <v>3189</v>
      </c>
      <c r="H1462" s="2" t="s">
        <v>3178</v>
      </c>
      <c r="I1462" s="8"/>
      <c r="J1462" s="2"/>
      <c r="K1462" s="2"/>
      <c r="L1462" s="8"/>
      <c r="M1462" s="2">
        <v>5.98</v>
      </c>
      <c r="N1462" s="8" t="s">
        <v>4914</v>
      </c>
      <c r="O1462" s="8" t="str">
        <f t="shared" si="149"/>
        <v>PDFを開く</v>
      </c>
      <c r="P1462" s="8" t="s">
        <v>1349</v>
      </c>
    </row>
    <row r="1463" spans="1:16" ht="33.950000000000003" customHeight="1">
      <c r="A1463" s="5" t="s">
        <v>1343</v>
      </c>
      <c r="B1463" s="5" t="s">
        <v>73</v>
      </c>
      <c r="C1463" s="9" t="s">
        <v>1344</v>
      </c>
      <c r="D1463" s="5">
        <v>2</v>
      </c>
      <c r="E1463" s="9" t="s">
        <v>3191</v>
      </c>
      <c r="F1463" s="5" t="s">
        <v>2513</v>
      </c>
      <c r="G1463" s="5" t="s">
        <v>3177</v>
      </c>
      <c r="H1463" s="5" t="s">
        <v>3178</v>
      </c>
      <c r="I1463" s="9" t="s">
        <v>3259</v>
      </c>
      <c r="J1463" s="5">
        <v>2027</v>
      </c>
      <c r="K1463" s="5">
        <v>20</v>
      </c>
      <c r="L1463" s="9" t="s">
        <v>3900</v>
      </c>
      <c r="M1463" s="5"/>
      <c r="N1463" s="9" t="s">
        <v>4915</v>
      </c>
      <c r="O1463" s="9" t="str">
        <f t="shared" si="149"/>
        <v>PDFを開く</v>
      </c>
      <c r="P1463" s="9" t="s">
        <v>1349</v>
      </c>
    </row>
    <row r="1464" spans="1:16" ht="33.950000000000003" customHeight="1">
      <c r="A1464" s="2" t="s">
        <v>1343</v>
      </c>
      <c r="B1464" s="2" t="s">
        <v>73</v>
      </c>
      <c r="C1464" s="8" t="s">
        <v>1344</v>
      </c>
      <c r="D1464" s="2">
        <v>2</v>
      </c>
      <c r="E1464" s="8" t="s">
        <v>3191</v>
      </c>
      <c r="F1464" s="2" t="s">
        <v>2513</v>
      </c>
      <c r="G1464" s="2" t="s">
        <v>3177</v>
      </c>
      <c r="H1464" s="2" t="s">
        <v>3178</v>
      </c>
      <c r="I1464" s="8" t="s">
        <v>3262</v>
      </c>
      <c r="J1464" s="2">
        <v>2030</v>
      </c>
      <c r="K1464" s="2">
        <v>20</v>
      </c>
      <c r="L1464" s="8" t="s">
        <v>3900</v>
      </c>
      <c r="M1464" s="2"/>
      <c r="N1464" s="8" t="s">
        <v>4915</v>
      </c>
      <c r="O1464" s="8" t="str">
        <f t="shared" si="149"/>
        <v>PDFを開く</v>
      </c>
      <c r="P1464" s="8" t="s">
        <v>1349</v>
      </c>
    </row>
    <row r="1465" spans="1:16" ht="33.950000000000003" customHeight="1">
      <c r="A1465" s="5" t="s">
        <v>1343</v>
      </c>
      <c r="B1465" s="5" t="s">
        <v>73</v>
      </c>
      <c r="C1465" s="9" t="s">
        <v>1344</v>
      </c>
      <c r="D1465" s="5">
        <v>2</v>
      </c>
      <c r="E1465" s="9" t="s">
        <v>3188</v>
      </c>
      <c r="F1465" s="5" t="s">
        <v>86</v>
      </c>
      <c r="G1465" s="5" t="s">
        <v>3177</v>
      </c>
      <c r="H1465" s="5"/>
      <c r="I1465" s="9" t="s">
        <v>4916</v>
      </c>
      <c r="J1465" s="5">
        <v>2027</v>
      </c>
      <c r="K1465" s="5"/>
      <c r="L1465" s="9" t="s">
        <v>3196</v>
      </c>
      <c r="M1465" s="5">
        <v>5.98</v>
      </c>
      <c r="N1465" s="9" t="s">
        <v>4917</v>
      </c>
      <c r="O1465" s="9" t="str">
        <f t="shared" si="149"/>
        <v>PDFを開く</v>
      </c>
      <c r="P1465" s="9" t="s">
        <v>1349</v>
      </c>
    </row>
    <row r="1466" spans="1:16" ht="33.950000000000003" customHeight="1">
      <c r="A1466" s="2" t="s">
        <v>1343</v>
      </c>
      <c r="B1466" s="2" t="s">
        <v>73</v>
      </c>
      <c r="C1466" s="8" t="s">
        <v>1344</v>
      </c>
      <c r="D1466" s="2">
        <v>2</v>
      </c>
      <c r="E1466" s="8" t="s">
        <v>3188</v>
      </c>
      <c r="F1466" s="2" t="s">
        <v>86</v>
      </c>
      <c r="G1466" s="2" t="s">
        <v>3177</v>
      </c>
      <c r="H1466" s="2"/>
      <c r="I1466" s="8" t="s">
        <v>4918</v>
      </c>
      <c r="J1466" s="2">
        <v>2030</v>
      </c>
      <c r="K1466" s="2"/>
      <c r="L1466" s="8" t="s">
        <v>4919</v>
      </c>
      <c r="M1466" s="2">
        <v>5.98</v>
      </c>
      <c r="N1466" s="8" t="s">
        <v>4917</v>
      </c>
      <c r="O1466" s="8" t="str">
        <f t="shared" si="149"/>
        <v>PDFを開く</v>
      </c>
      <c r="P1466" s="8" t="s">
        <v>1349</v>
      </c>
    </row>
    <row r="1467" spans="1:16" ht="33.950000000000003" customHeight="1">
      <c r="A1467" s="5" t="s">
        <v>1350</v>
      </c>
      <c r="B1467" s="5" t="s">
        <v>73</v>
      </c>
      <c r="C1467" s="9" t="s">
        <v>1351</v>
      </c>
      <c r="D1467" s="5">
        <v>2</v>
      </c>
      <c r="E1467" s="9" t="s">
        <v>3176</v>
      </c>
      <c r="F1467" s="5" t="s">
        <v>86</v>
      </c>
      <c r="G1467" s="5" t="s">
        <v>3177</v>
      </c>
      <c r="H1467" s="5" t="s">
        <v>3178</v>
      </c>
      <c r="I1467" s="9" t="s">
        <v>3179</v>
      </c>
      <c r="J1467" s="5">
        <v>2026</v>
      </c>
      <c r="K1467" s="5">
        <v>3192</v>
      </c>
      <c r="L1467" s="9" t="s">
        <v>4920</v>
      </c>
      <c r="M1467" s="5">
        <v>2.4</v>
      </c>
      <c r="N1467" s="9" t="s">
        <v>4921</v>
      </c>
      <c r="O1467" s="9" t="str">
        <f t="shared" ref="O1467:O1481" si="150">HYPERLINK("https://seichotoushi-hojo.jp/assets/pdf/koufu/outline_95.pdf","PDFを開く")</f>
        <v>PDFを開く</v>
      </c>
      <c r="P1467" s="9" t="s">
        <v>1357</v>
      </c>
    </row>
    <row r="1468" spans="1:16" ht="33.950000000000003" customHeight="1">
      <c r="A1468" s="2" t="s">
        <v>1350</v>
      </c>
      <c r="B1468" s="2" t="s">
        <v>73</v>
      </c>
      <c r="C1468" s="8" t="s">
        <v>1351</v>
      </c>
      <c r="D1468" s="2">
        <v>2</v>
      </c>
      <c r="E1468" s="8" t="s">
        <v>3176</v>
      </c>
      <c r="F1468" s="2" t="s">
        <v>86</v>
      </c>
      <c r="G1468" s="2" t="s">
        <v>3177</v>
      </c>
      <c r="H1468" s="2" t="s">
        <v>3178</v>
      </c>
      <c r="I1468" s="8" t="s">
        <v>3182</v>
      </c>
      <c r="J1468" s="2">
        <v>2029</v>
      </c>
      <c r="K1468" s="2">
        <v>3275</v>
      </c>
      <c r="L1468" s="8" t="s">
        <v>4922</v>
      </c>
      <c r="M1468" s="2">
        <v>2.4</v>
      </c>
      <c r="N1468" s="8" t="s">
        <v>4921</v>
      </c>
      <c r="O1468" s="8" t="str">
        <f t="shared" si="150"/>
        <v>PDFを開く</v>
      </c>
      <c r="P1468" s="8" t="s">
        <v>1357</v>
      </c>
    </row>
    <row r="1469" spans="1:16" ht="33.950000000000003" customHeight="1">
      <c r="A1469" s="5" t="s">
        <v>1350</v>
      </c>
      <c r="B1469" s="5" t="s">
        <v>73</v>
      </c>
      <c r="C1469" s="9" t="s">
        <v>1351</v>
      </c>
      <c r="D1469" s="5">
        <v>2</v>
      </c>
      <c r="E1469" s="9" t="s">
        <v>3184</v>
      </c>
      <c r="F1469" s="5" t="s">
        <v>86</v>
      </c>
      <c r="G1469" s="5" t="s">
        <v>3177</v>
      </c>
      <c r="H1469" s="5" t="s">
        <v>3178</v>
      </c>
      <c r="I1469" s="9" t="s">
        <v>3179</v>
      </c>
      <c r="J1469" s="5">
        <v>2026</v>
      </c>
      <c r="K1469" s="5">
        <v>930</v>
      </c>
      <c r="L1469" s="9" t="s">
        <v>4923</v>
      </c>
      <c r="M1469" s="5">
        <v>3</v>
      </c>
      <c r="N1469" s="9" t="s">
        <v>4924</v>
      </c>
      <c r="O1469" s="9" t="str">
        <f t="shared" si="150"/>
        <v>PDFを開く</v>
      </c>
      <c r="P1469" s="9" t="s">
        <v>1357</v>
      </c>
    </row>
    <row r="1470" spans="1:16" ht="33.950000000000003" customHeight="1">
      <c r="A1470" s="2" t="s">
        <v>1350</v>
      </c>
      <c r="B1470" s="2" t="s">
        <v>73</v>
      </c>
      <c r="C1470" s="8" t="s">
        <v>1351</v>
      </c>
      <c r="D1470" s="2">
        <v>2</v>
      </c>
      <c r="E1470" s="8" t="s">
        <v>3184</v>
      </c>
      <c r="F1470" s="2" t="s">
        <v>86</v>
      </c>
      <c r="G1470" s="2" t="s">
        <v>3177</v>
      </c>
      <c r="H1470" s="2" t="s">
        <v>3178</v>
      </c>
      <c r="I1470" s="8" t="s">
        <v>3182</v>
      </c>
      <c r="J1470" s="2">
        <v>2029</v>
      </c>
      <c r="K1470" s="2">
        <v>1017</v>
      </c>
      <c r="L1470" s="8" t="s">
        <v>4925</v>
      </c>
      <c r="M1470" s="2">
        <v>3</v>
      </c>
      <c r="N1470" s="8" t="s">
        <v>4924</v>
      </c>
      <c r="O1470" s="8" t="str">
        <f t="shared" si="150"/>
        <v>PDFを開く</v>
      </c>
      <c r="P1470" s="8" t="s">
        <v>1357</v>
      </c>
    </row>
    <row r="1471" spans="1:16" ht="33.950000000000003" customHeight="1">
      <c r="A1471" s="5" t="s">
        <v>1350</v>
      </c>
      <c r="B1471" s="5" t="s">
        <v>73</v>
      </c>
      <c r="C1471" s="9" t="s">
        <v>1351</v>
      </c>
      <c r="D1471" s="5">
        <v>2</v>
      </c>
      <c r="E1471" s="9" t="s">
        <v>3188</v>
      </c>
      <c r="F1471" s="5" t="s">
        <v>86</v>
      </c>
      <c r="G1471" s="19" t="s">
        <v>3189</v>
      </c>
      <c r="H1471" s="5" t="s">
        <v>3178</v>
      </c>
      <c r="I1471" s="9"/>
      <c r="J1471" s="5"/>
      <c r="K1471" s="5"/>
      <c r="L1471" s="9"/>
      <c r="M1471" s="5">
        <v>3</v>
      </c>
      <c r="N1471" s="9" t="s">
        <v>4287</v>
      </c>
      <c r="O1471" s="9" t="str">
        <f t="shared" si="150"/>
        <v>PDFを開く</v>
      </c>
      <c r="P1471" s="9" t="s">
        <v>1357</v>
      </c>
    </row>
    <row r="1472" spans="1:16" ht="33.950000000000003" customHeight="1">
      <c r="A1472" s="2" t="s">
        <v>1350</v>
      </c>
      <c r="B1472" s="2" t="s">
        <v>73</v>
      </c>
      <c r="C1472" s="8" t="s">
        <v>1351</v>
      </c>
      <c r="D1472" s="2">
        <v>2</v>
      </c>
      <c r="E1472" s="8" t="s">
        <v>3191</v>
      </c>
      <c r="F1472" s="2" t="s">
        <v>2513</v>
      </c>
      <c r="G1472" s="2" t="s">
        <v>3177</v>
      </c>
      <c r="H1472" s="2" t="s">
        <v>3178</v>
      </c>
      <c r="I1472" s="8" t="s">
        <v>3179</v>
      </c>
      <c r="J1472" s="2">
        <v>2026</v>
      </c>
      <c r="K1472" s="2">
        <v>801</v>
      </c>
      <c r="L1472" s="8" t="s">
        <v>4926</v>
      </c>
      <c r="M1472" s="2"/>
      <c r="N1472" s="8" t="s">
        <v>4927</v>
      </c>
      <c r="O1472" s="8" t="str">
        <f t="shared" si="150"/>
        <v>PDFを開く</v>
      </c>
      <c r="P1472" s="8" t="s">
        <v>1357</v>
      </c>
    </row>
    <row r="1473" spans="1:16" ht="33.950000000000003" customHeight="1">
      <c r="A1473" s="5" t="s">
        <v>1350</v>
      </c>
      <c r="B1473" s="5" t="s">
        <v>73</v>
      </c>
      <c r="C1473" s="9" t="s">
        <v>1351</v>
      </c>
      <c r="D1473" s="5">
        <v>2</v>
      </c>
      <c r="E1473" s="9" t="s">
        <v>3191</v>
      </c>
      <c r="F1473" s="5" t="s">
        <v>2513</v>
      </c>
      <c r="G1473" s="5" t="s">
        <v>3177</v>
      </c>
      <c r="H1473" s="5" t="s">
        <v>3178</v>
      </c>
      <c r="I1473" s="9" t="s">
        <v>3182</v>
      </c>
      <c r="J1473" s="5">
        <v>2029</v>
      </c>
      <c r="K1473" s="5">
        <v>868</v>
      </c>
      <c r="L1473" s="9" t="s">
        <v>4800</v>
      </c>
      <c r="M1473" s="5"/>
      <c r="N1473" s="9" t="s">
        <v>4927</v>
      </c>
      <c r="O1473" s="9" t="str">
        <f t="shared" si="150"/>
        <v>PDFを開く</v>
      </c>
      <c r="P1473" s="9" t="s">
        <v>1357</v>
      </c>
    </row>
    <row r="1474" spans="1:16" ht="33.950000000000003" customHeight="1">
      <c r="A1474" s="2" t="s">
        <v>1350</v>
      </c>
      <c r="B1474" s="2" t="s">
        <v>73</v>
      </c>
      <c r="C1474" s="8" t="s">
        <v>1351</v>
      </c>
      <c r="D1474" s="2">
        <v>2</v>
      </c>
      <c r="E1474" s="8" t="s">
        <v>3176</v>
      </c>
      <c r="F1474" s="2" t="s">
        <v>86</v>
      </c>
      <c r="G1474" s="2" t="s">
        <v>3177</v>
      </c>
      <c r="H1474" s="2"/>
      <c r="I1474" s="8" t="s">
        <v>3227</v>
      </c>
      <c r="J1474" s="2">
        <v>2026</v>
      </c>
      <c r="K1474" s="2">
        <v>3192</v>
      </c>
      <c r="L1474" s="8" t="s">
        <v>4928</v>
      </c>
      <c r="M1474" s="2">
        <v>2.4</v>
      </c>
      <c r="N1474" s="8" t="s">
        <v>4929</v>
      </c>
      <c r="O1474" s="8" t="str">
        <f t="shared" si="150"/>
        <v>PDFを開く</v>
      </c>
      <c r="P1474" s="8" t="s">
        <v>1357</v>
      </c>
    </row>
    <row r="1475" spans="1:16" ht="33.950000000000003" customHeight="1">
      <c r="A1475" s="5" t="s">
        <v>1350</v>
      </c>
      <c r="B1475" s="5" t="s">
        <v>73</v>
      </c>
      <c r="C1475" s="9" t="s">
        <v>1351</v>
      </c>
      <c r="D1475" s="5">
        <v>2</v>
      </c>
      <c r="E1475" s="9" t="s">
        <v>3176</v>
      </c>
      <c r="F1475" s="5" t="s">
        <v>86</v>
      </c>
      <c r="G1475" s="5" t="s">
        <v>3177</v>
      </c>
      <c r="H1475" s="5"/>
      <c r="I1475" s="9" t="s">
        <v>3230</v>
      </c>
      <c r="J1475" s="5">
        <v>2029</v>
      </c>
      <c r="K1475" s="5">
        <v>3275</v>
      </c>
      <c r="L1475" s="9" t="s">
        <v>4930</v>
      </c>
      <c r="M1475" s="5">
        <v>2.4</v>
      </c>
      <c r="N1475" s="9" t="s">
        <v>4929</v>
      </c>
      <c r="O1475" s="9" t="str">
        <f t="shared" si="150"/>
        <v>PDFを開く</v>
      </c>
      <c r="P1475" s="9" t="s">
        <v>1357</v>
      </c>
    </row>
    <row r="1476" spans="1:16" ht="33.950000000000003" customHeight="1">
      <c r="A1476" s="2" t="s">
        <v>1350</v>
      </c>
      <c r="B1476" s="2" t="s">
        <v>73</v>
      </c>
      <c r="C1476" s="8" t="s">
        <v>1351</v>
      </c>
      <c r="D1476" s="2">
        <v>2</v>
      </c>
      <c r="E1476" s="8" t="s">
        <v>3184</v>
      </c>
      <c r="F1476" s="2" t="s">
        <v>86</v>
      </c>
      <c r="G1476" s="2" t="s">
        <v>3177</v>
      </c>
      <c r="H1476" s="2"/>
      <c r="I1476" s="8" t="s">
        <v>3227</v>
      </c>
      <c r="J1476" s="2">
        <v>2026</v>
      </c>
      <c r="K1476" s="2">
        <v>930</v>
      </c>
      <c r="L1476" s="8" t="s">
        <v>4923</v>
      </c>
      <c r="M1476" s="2">
        <v>3</v>
      </c>
      <c r="N1476" s="8" t="s">
        <v>4931</v>
      </c>
      <c r="O1476" s="8" t="str">
        <f t="shared" si="150"/>
        <v>PDFを開く</v>
      </c>
      <c r="P1476" s="8" t="s">
        <v>1357</v>
      </c>
    </row>
    <row r="1477" spans="1:16" ht="33.950000000000003" customHeight="1">
      <c r="A1477" s="5" t="s">
        <v>1350</v>
      </c>
      <c r="B1477" s="5" t="s">
        <v>73</v>
      </c>
      <c r="C1477" s="9" t="s">
        <v>1351</v>
      </c>
      <c r="D1477" s="5">
        <v>2</v>
      </c>
      <c r="E1477" s="9" t="s">
        <v>3184</v>
      </c>
      <c r="F1477" s="5" t="s">
        <v>86</v>
      </c>
      <c r="G1477" s="5" t="s">
        <v>3177</v>
      </c>
      <c r="H1477" s="5"/>
      <c r="I1477" s="9" t="s">
        <v>3230</v>
      </c>
      <c r="J1477" s="5">
        <v>2029</v>
      </c>
      <c r="K1477" s="5">
        <v>1017</v>
      </c>
      <c r="L1477" s="9" t="s">
        <v>4932</v>
      </c>
      <c r="M1477" s="5">
        <v>3</v>
      </c>
      <c r="N1477" s="9" t="s">
        <v>4931</v>
      </c>
      <c r="O1477" s="9" t="str">
        <f t="shared" si="150"/>
        <v>PDFを開く</v>
      </c>
      <c r="P1477" s="9" t="s">
        <v>1357</v>
      </c>
    </row>
    <row r="1478" spans="1:16" ht="33.950000000000003" customHeight="1">
      <c r="A1478" s="2" t="s">
        <v>1350</v>
      </c>
      <c r="B1478" s="2" t="s">
        <v>73</v>
      </c>
      <c r="C1478" s="8" t="s">
        <v>1351</v>
      </c>
      <c r="D1478" s="2">
        <v>2</v>
      </c>
      <c r="E1478" s="8" t="s">
        <v>3191</v>
      </c>
      <c r="F1478" s="2" t="s">
        <v>2513</v>
      </c>
      <c r="G1478" s="2" t="s">
        <v>3177</v>
      </c>
      <c r="H1478" s="2"/>
      <c r="I1478" s="8" t="s">
        <v>3227</v>
      </c>
      <c r="J1478" s="2">
        <v>2026</v>
      </c>
      <c r="K1478" s="2">
        <v>801</v>
      </c>
      <c r="L1478" s="8" t="s">
        <v>4926</v>
      </c>
      <c r="M1478" s="2"/>
      <c r="N1478" s="8" t="s">
        <v>4933</v>
      </c>
      <c r="O1478" s="8" t="str">
        <f t="shared" si="150"/>
        <v>PDFを開く</v>
      </c>
      <c r="P1478" s="8" t="s">
        <v>1357</v>
      </c>
    </row>
    <row r="1479" spans="1:16" ht="33.950000000000003" customHeight="1">
      <c r="A1479" s="5" t="s">
        <v>1350</v>
      </c>
      <c r="B1479" s="5" t="s">
        <v>73</v>
      </c>
      <c r="C1479" s="9" t="s">
        <v>1351</v>
      </c>
      <c r="D1479" s="5">
        <v>2</v>
      </c>
      <c r="E1479" s="9" t="s">
        <v>3191</v>
      </c>
      <c r="F1479" s="5" t="s">
        <v>2513</v>
      </c>
      <c r="G1479" s="5" t="s">
        <v>3177</v>
      </c>
      <c r="H1479" s="5"/>
      <c r="I1479" s="9" t="s">
        <v>3230</v>
      </c>
      <c r="J1479" s="5">
        <v>2029</v>
      </c>
      <c r="K1479" s="5">
        <v>868</v>
      </c>
      <c r="L1479" s="9" t="s">
        <v>4800</v>
      </c>
      <c r="M1479" s="5"/>
      <c r="N1479" s="9" t="s">
        <v>4933</v>
      </c>
      <c r="O1479" s="9" t="str">
        <f t="shared" si="150"/>
        <v>PDFを開く</v>
      </c>
      <c r="P1479" s="9" t="s">
        <v>1357</v>
      </c>
    </row>
    <row r="1480" spans="1:16" ht="33.950000000000003" customHeight="1">
      <c r="A1480" s="2" t="s">
        <v>1350</v>
      </c>
      <c r="B1480" s="2" t="s">
        <v>73</v>
      </c>
      <c r="C1480" s="8" t="s">
        <v>1351</v>
      </c>
      <c r="D1480" s="2">
        <v>2</v>
      </c>
      <c r="E1480" s="8" t="s">
        <v>3188</v>
      </c>
      <c r="F1480" s="2" t="s">
        <v>86</v>
      </c>
      <c r="G1480" s="2" t="s">
        <v>3177</v>
      </c>
      <c r="H1480" s="2"/>
      <c r="I1480" s="8" t="s">
        <v>4934</v>
      </c>
      <c r="J1480" s="2">
        <v>2026</v>
      </c>
      <c r="K1480" s="2"/>
      <c r="L1480" s="8" t="s">
        <v>3211</v>
      </c>
      <c r="M1480" s="2">
        <v>3</v>
      </c>
      <c r="N1480" s="8" t="s">
        <v>4295</v>
      </c>
      <c r="O1480" s="8" t="str">
        <f t="shared" si="150"/>
        <v>PDFを開く</v>
      </c>
      <c r="P1480" s="8" t="s">
        <v>1357</v>
      </c>
    </row>
    <row r="1481" spans="1:16" ht="33.950000000000003" customHeight="1">
      <c r="A1481" s="5" t="s">
        <v>1350</v>
      </c>
      <c r="B1481" s="5" t="s">
        <v>73</v>
      </c>
      <c r="C1481" s="9" t="s">
        <v>1351</v>
      </c>
      <c r="D1481" s="5">
        <v>2</v>
      </c>
      <c r="E1481" s="9" t="s">
        <v>3188</v>
      </c>
      <c r="F1481" s="5" t="s">
        <v>86</v>
      </c>
      <c r="G1481" s="5" t="s">
        <v>3177</v>
      </c>
      <c r="H1481" s="5"/>
      <c r="I1481" s="9" t="s">
        <v>4935</v>
      </c>
      <c r="J1481" s="5">
        <v>2029</v>
      </c>
      <c r="K1481" s="5"/>
      <c r="L1481" s="9" t="s">
        <v>4297</v>
      </c>
      <c r="M1481" s="5">
        <v>3</v>
      </c>
      <c r="N1481" s="9" t="s">
        <v>4295</v>
      </c>
      <c r="O1481" s="9" t="str">
        <f t="shared" si="150"/>
        <v>PDFを開く</v>
      </c>
      <c r="P1481" s="9" t="s">
        <v>1357</v>
      </c>
    </row>
    <row r="1482" spans="1:16" ht="33.950000000000003" customHeight="1">
      <c r="A1482" s="2" t="s">
        <v>1358</v>
      </c>
      <c r="B1482" s="2" t="s">
        <v>73</v>
      </c>
      <c r="C1482" s="8" t="s">
        <v>1359</v>
      </c>
      <c r="D1482" s="2">
        <v>2</v>
      </c>
      <c r="E1482" s="8" t="s">
        <v>3176</v>
      </c>
      <c r="F1482" s="2" t="s">
        <v>86</v>
      </c>
      <c r="G1482" s="2" t="s">
        <v>3177</v>
      </c>
      <c r="H1482" s="2" t="s">
        <v>3178</v>
      </c>
      <c r="I1482" s="8" t="s">
        <v>3179</v>
      </c>
      <c r="J1482" s="2">
        <v>2026</v>
      </c>
      <c r="K1482" s="2">
        <v>681.8</v>
      </c>
      <c r="L1482" s="8" t="s">
        <v>4936</v>
      </c>
      <c r="M1482" s="2">
        <v>5.37</v>
      </c>
      <c r="N1482" s="8" t="s">
        <v>4937</v>
      </c>
      <c r="O1482" s="8" t="str">
        <f t="shared" ref="O1482:O1494" si="151">HYPERLINK("https://seichotoushi-hojo.jp/assets/pdf/koufu/outline_96.pdf","PDFを開く")</f>
        <v>PDFを開く</v>
      </c>
      <c r="P1482" s="8" t="s">
        <v>1366</v>
      </c>
    </row>
    <row r="1483" spans="1:16" ht="33.950000000000003" customHeight="1">
      <c r="A1483" s="5" t="s">
        <v>1358</v>
      </c>
      <c r="B1483" s="5" t="s">
        <v>73</v>
      </c>
      <c r="C1483" s="9" t="s">
        <v>1359</v>
      </c>
      <c r="D1483" s="5">
        <v>2</v>
      </c>
      <c r="E1483" s="9" t="s">
        <v>3176</v>
      </c>
      <c r="F1483" s="5" t="s">
        <v>86</v>
      </c>
      <c r="G1483" s="5" t="s">
        <v>3177</v>
      </c>
      <c r="H1483" s="5" t="s">
        <v>3178</v>
      </c>
      <c r="I1483" s="9" t="s">
        <v>3182</v>
      </c>
      <c r="J1483" s="5">
        <v>2029</v>
      </c>
      <c r="K1483" s="5">
        <v>797.7</v>
      </c>
      <c r="L1483" s="9" t="s">
        <v>4938</v>
      </c>
      <c r="M1483" s="5">
        <v>5.37</v>
      </c>
      <c r="N1483" s="9" t="s">
        <v>4937</v>
      </c>
      <c r="O1483" s="9" t="str">
        <f t="shared" si="151"/>
        <v>PDFを開く</v>
      </c>
      <c r="P1483" s="9" t="s">
        <v>1366</v>
      </c>
    </row>
    <row r="1484" spans="1:16" ht="33.950000000000003" customHeight="1">
      <c r="A1484" s="2" t="s">
        <v>1358</v>
      </c>
      <c r="B1484" s="2" t="s">
        <v>73</v>
      </c>
      <c r="C1484" s="8" t="s">
        <v>1359</v>
      </c>
      <c r="D1484" s="2">
        <v>2</v>
      </c>
      <c r="E1484" s="8" t="s">
        <v>3184</v>
      </c>
      <c r="F1484" s="2" t="s">
        <v>86</v>
      </c>
      <c r="G1484" s="19" t="s">
        <v>3494</v>
      </c>
      <c r="H1484" s="2" t="s">
        <v>3178</v>
      </c>
      <c r="I1484" s="8" t="s">
        <v>3179</v>
      </c>
      <c r="J1484" s="2">
        <v>2026</v>
      </c>
      <c r="K1484" s="2">
        <v>547.29999999999995</v>
      </c>
      <c r="L1484" s="8" t="s">
        <v>4939</v>
      </c>
      <c r="M1484" s="2">
        <v>3.06</v>
      </c>
      <c r="N1484" s="8" t="s">
        <v>4940</v>
      </c>
      <c r="O1484" s="8" t="str">
        <f t="shared" si="151"/>
        <v>PDFを開く</v>
      </c>
      <c r="P1484" s="8" t="s">
        <v>1366</v>
      </c>
    </row>
    <row r="1485" spans="1:16" ht="33.950000000000003" customHeight="1">
      <c r="A1485" s="5" t="s">
        <v>1358</v>
      </c>
      <c r="B1485" s="5" t="s">
        <v>73</v>
      </c>
      <c r="C1485" s="9" t="s">
        <v>1359</v>
      </c>
      <c r="D1485" s="5">
        <v>2</v>
      </c>
      <c r="E1485" s="9" t="s">
        <v>3184</v>
      </c>
      <c r="F1485" s="5" t="s">
        <v>86</v>
      </c>
      <c r="G1485" s="19" t="s">
        <v>3494</v>
      </c>
      <c r="H1485" s="5" t="s">
        <v>3178</v>
      </c>
      <c r="I1485" s="9" t="s">
        <v>3182</v>
      </c>
      <c r="J1485" s="5">
        <v>2029</v>
      </c>
      <c r="K1485" s="5">
        <v>599.1</v>
      </c>
      <c r="L1485" s="9" t="s">
        <v>4941</v>
      </c>
      <c r="M1485" s="5">
        <v>3.06</v>
      </c>
      <c r="N1485" s="9" t="s">
        <v>4940</v>
      </c>
      <c r="O1485" s="9" t="str">
        <f t="shared" si="151"/>
        <v>PDFを開く</v>
      </c>
      <c r="P1485" s="9" t="s">
        <v>1366</v>
      </c>
    </row>
    <row r="1486" spans="1:16" ht="33.950000000000003" customHeight="1">
      <c r="A1486" s="2" t="s">
        <v>1358</v>
      </c>
      <c r="B1486" s="2" t="s">
        <v>73</v>
      </c>
      <c r="C1486" s="8" t="s">
        <v>1359</v>
      </c>
      <c r="D1486" s="2">
        <v>2</v>
      </c>
      <c r="E1486" s="8" t="s">
        <v>3184</v>
      </c>
      <c r="F1486" s="2" t="s">
        <v>86</v>
      </c>
      <c r="G1486" s="19" t="s">
        <v>3494</v>
      </c>
      <c r="H1486" s="2" t="s">
        <v>3178</v>
      </c>
      <c r="I1486" s="8" t="s">
        <v>3179</v>
      </c>
      <c r="J1486" s="2">
        <v>2026</v>
      </c>
      <c r="K1486" s="2">
        <v>518.6</v>
      </c>
      <c r="L1486" s="8" t="s">
        <v>4942</v>
      </c>
      <c r="M1486" s="2">
        <v>3.05</v>
      </c>
      <c r="N1486" s="8" t="s">
        <v>4943</v>
      </c>
      <c r="O1486" s="8" t="str">
        <f t="shared" si="151"/>
        <v>PDFを開く</v>
      </c>
      <c r="P1486" s="8" t="s">
        <v>1366</v>
      </c>
    </row>
    <row r="1487" spans="1:16" ht="33.950000000000003" customHeight="1">
      <c r="A1487" s="5" t="s">
        <v>1358</v>
      </c>
      <c r="B1487" s="5" t="s">
        <v>73</v>
      </c>
      <c r="C1487" s="9" t="s">
        <v>1359</v>
      </c>
      <c r="D1487" s="5">
        <v>2</v>
      </c>
      <c r="E1487" s="9" t="s">
        <v>3184</v>
      </c>
      <c r="F1487" s="5" t="s">
        <v>86</v>
      </c>
      <c r="G1487" s="19" t="s">
        <v>3494</v>
      </c>
      <c r="H1487" s="5" t="s">
        <v>3178</v>
      </c>
      <c r="I1487" s="9" t="s">
        <v>3182</v>
      </c>
      <c r="J1487" s="5">
        <v>2029</v>
      </c>
      <c r="K1487" s="5">
        <v>567.5</v>
      </c>
      <c r="L1487" s="9" t="s">
        <v>4944</v>
      </c>
      <c r="M1487" s="5">
        <v>3.05</v>
      </c>
      <c r="N1487" s="9" t="s">
        <v>4943</v>
      </c>
      <c r="O1487" s="9" t="str">
        <f t="shared" si="151"/>
        <v>PDFを開く</v>
      </c>
      <c r="P1487" s="9" t="s">
        <v>1366</v>
      </c>
    </row>
    <row r="1488" spans="1:16" ht="33.950000000000003" customHeight="1">
      <c r="A1488" s="2" t="s">
        <v>1358</v>
      </c>
      <c r="B1488" s="2" t="s">
        <v>73</v>
      </c>
      <c r="C1488" s="8" t="s">
        <v>1359</v>
      </c>
      <c r="D1488" s="2">
        <v>2</v>
      </c>
      <c r="E1488" s="8" t="s">
        <v>3188</v>
      </c>
      <c r="F1488" s="2" t="s">
        <v>86</v>
      </c>
      <c r="G1488" s="19" t="s">
        <v>3189</v>
      </c>
      <c r="H1488" s="2" t="s">
        <v>3178</v>
      </c>
      <c r="I1488" s="8"/>
      <c r="J1488" s="2"/>
      <c r="K1488" s="2"/>
      <c r="L1488" s="8"/>
      <c r="M1488" s="2">
        <v>3.13</v>
      </c>
      <c r="N1488" s="8" t="s">
        <v>4945</v>
      </c>
      <c r="O1488" s="8" t="str">
        <f t="shared" si="151"/>
        <v>PDFを開く</v>
      </c>
      <c r="P1488" s="8" t="s">
        <v>1366</v>
      </c>
    </row>
    <row r="1489" spans="1:16" ht="33.950000000000003" customHeight="1">
      <c r="A1489" s="5" t="s">
        <v>1358</v>
      </c>
      <c r="B1489" s="5" t="s">
        <v>73</v>
      </c>
      <c r="C1489" s="9" t="s">
        <v>1359</v>
      </c>
      <c r="D1489" s="5">
        <v>2</v>
      </c>
      <c r="E1489" s="9" t="s">
        <v>3191</v>
      </c>
      <c r="F1489" s="5" t="s">
        <v>2513</v>
      </c>
      <c r="G1489" s="5" t="s">
        <v>3177</v>
      </c>
      <c r="H1489" s="5" t="s">
        <v>3178</v>
      </c>
      <c r="I1489" s="9" t="s">
        <v>3179</v>
      </c>
      <c r="J1489" s="5">
        <v>2026</v>
      </c>
      <c r="K1489" s="5">
        <v>768</v>
      </c>
      <c r="L1489" s="9" t="s">
        <v>4946</v>
      </c>
      <c r="M1489" s="5"/>
      <c r="N1489" s="9" t="s">
        <v>4947</v>
      </c>
      <c r="O1489" s="9" t="str">
        <f t="shared" si="151"/>
        <v>PDFを開く</v>
      </c>
      <c r="P1489" s="9" t="s">
        <v>1366</v>
      </c>
    </row>
    <row r="1490" spans="1:16" ht="33.950000000000003" customHeight="1">
      <c r="A1490" s="2" t="s">
        <v>1358</v>
      </c>
      <c r="B1490" s="2" t="s">
        <v>73</v>
      </c>
      <c r="C1490" s="8" t="s">
        <v>1359</v>
      </c>
      <c r="D1490" s="2">
        <v>2</v>
      </c>
      <c r="E1490" s="8" t="s">
        <v>3191</v>
      </c>
      <c r="F1490" s="2" t="s">
        <v>2513</v>
      </c>
      <c r="G1490" s="2" t="s">
        <v>3177</v>
      </c>
      <c r="H1490" s="2" t="s">
        <v>3178</v>
      </c>
      <c r="I1490" s="8" t="s">
        <v>3182</v>
      </c>
      <c r="J1490" s="2">
        <v>2029</v>
      </c>
      <c r="K1490" s="2">
        <v>796</v>
      </c>
      <c r="L1490" s="8" t="s">
        <v>4948</v>
      </c>
      <c r="M1490" s="2"/>
      <c r="N1490" s="8" t="s">
        <v>4947</v>
      </c>
      <c r="O1490" s="8" t="str">
        <f t="shared" si="151"/>
        <v>PDFを開く</v>
      </c>
      <c r="P1490" s="8" t="s">
        <v>1366</v>
      </c>
    </row>
    <row r="1491" spans="1:16" ht="33.950000000000003" customHeight="1">
      <c r="A1491" s="5" t="s">
        <v>1358</v>
      </c>
      <c r="B1491" s="5" t="s">
        <v>73</v>
      </c>
      <c r="C1491" s="9" t="s">
        <v>1359</v>
      </c>
      <c r="D1491" s="5">
        <v>2</v>
      </c>
      <c r="E1491" s="9" t="s">
        <v>3188</v>
      </c>
      <c r="F1491" s="5" t="s">
        <v>86</v>
      </c>
      <c r="G1491" s="5" t="s">
        <v>3177</v>
      </c>
      <c r="H1491" s="5"/>
      <c r="I1491" s="9" t="s">
        <v>4949</v>
      </c>
      <c r="J1491" s="5">
        <v>2026</v>
      </c>
      <c r="K1491" s="5"/>
      <c r="L1491" s="9" t="s">
        <v>3211</v>
      </c>
      <c r="M1491" s="5">
        <v>3.13</v>
      </c>
      <c r="N1491" s="9" t="s">
        <v>4950</v>
      </c>
      <c r="O1491" s="9" t="str">
        <f t="shared" si="151"/>
        <v>PDFを開く</v>
      </c>
      <c r="P1491" s="9" t="s">
        <v>1366</v>
      </c>
    </row>
    <row r="1492" spans="1:16" ht="33.950000000000003" customHeight="1">
      <c r="A1492" s="2" t="s">
        <v>1358</v>
      </c>
      <c r="B1492" s="2" t="s">
        <v>73</v>
      </c>
      <c r="C1492" s="8" t="s">
        <v>1359</v>
      </c>
      <c r="D1492" s="2">
        <v>2</v>
      </c>
      <c r="E1492" s="8" t="s">
        <v>3188</v>
      </c>
      <c r="F1492" s="2" t="s">
        <v>86</v>
      </c>
      <c r="G1492" s="2" t="s">
        <v>3177</v>
      </c>
      <c r="H1492" s="2"/>
      <c r="I1492" s="8" t="s">
        <v>4951</v>
      </c>
      <c r="J1492" s="2">
        <v>2029</v>
      </c>
      <c r="K1492" s="2"/>
      <c r="L1492" s="8" t="s">
        <v>4952</v>
      </c>
      <c r="M1492" s="2">
        <v>3.13</v>
      </c>
      <c r="N1492" s="8" t="s">
        <v>4950</v>
      </c>
      <c r="O1492" s="8" t="str">
        <f t="shared" si="151"/>
        <v>PDFを開く</v>
      </c>
      <c r="P1492" s="8" t="s">
        <v>1366</v>
      </c>
    </row>
    <row r="1493" spans="1:16" ht="33.950000000000003" customHeight="1">
      <c r="A1493" s="5" t="s">
        <v>1358</v>
      </c>
      <c r="B1493" s="5" t="s">
        <v>73</v>
      </c>
      <c r="C1493" s="9" t="s">
        <v>1359</v>
      </c>
      <c r="D1493" s="5">
        <v>2</v>
      </c>
      <c r="E1493" s="9" t="s">
        <v>3184</v>
      </c>
      <c r="F1493" s="5" t="s">
        <v>86</v>
      </c>
      <c r="G1493" s="5" t="s">
        <v>3177</v>
      </c>
      <c r="H1493" s="5" t="s">
        <v>3178</v>
      </c>
      <c r="I1493" s="9" t="s">
        <v>3179</v>
      </c>
      <c r="J1493" s="5">
        <v>2026</v>
      </c>
      <c r="K1493" s="5">
        <v>547.29999999999995</v>
      </c>
      <c r="L1493" s="9" t="s">
        <v>4939</v>
      </c>
      <c r="M1493" s="5">
        <v>3.06</v>
      </c>
      <c r="N1493" s="9" t="s">
        <v>4940</v>
      </c>
      <c r="O1493" s="9" t="str">
        <f t="shared" si="151"/>
        <v>PDFを開く</v>
      </c>
      <c r="P1493" s="9" t="s">
        <v>1366</v>
      </c>
    </row>
    <row r="1494" spans="1:16" ht="33.950000000000003" customHeight="1">
      <c r="A1494" s="2" t="s">
        <v>1358</v>
      </c>
      <c r="B1494" s="2" t="s">
        <v>73</v>
      </c>
      <c r="C1494" s="8" t="s">
        <v>1359</v>
      </c>
      <c r="D1494" s="2">
        <v>2</v>
      </c>
      <c r="E1494" s="8" t="s">
        <v>3184</v>
      </c>
      <c r="F1494" s="2" t="s">
        <v>86</v>
      </c>
      <c r="G1494" s="2" t="s">
        <v>3177</v>
      </c>
      <c r="H1494" s="2" t="s">
        <v>3178</v>
      </c>
      <c r="I1494" s="8" t="s">
        <v>3182</v>
      </c>
      <c r="J1494" s="2">
        <v>2029</v>
      </c>
      <c r="K1494" s="2">
        <v>599.1</v>
      </c>
      <c r="L1494" s="8" t="s">
        <v>4941</v>
      </c>
      <c r="M1494" s="2">
        <v>3.06</v>
      </c>
      <c r="N1494" s="8" t="s">
        <v>4940</v>
      </c>
      <c r="O1494" s="8" t="str">
        <f t="shared" si="151"/>
        <v>PDFを開く</v>
      </c>
      <c r="P1494" s="8" t="s">
        <v>1366</v>
      </c>
    </row>
    <row r="1495" spans="1:16" ht="33.950000000000003" customHeight="1">
      <c r="A1495" s="5" t="s">
        <v>1367</v>
      </c>
      <c r="B1495" s="5" t="s">
        <v>73</v>
      </c>
      <c r="C1495" s="9" t="s">
        <v>1368</v>
      </c>
      <c r="D1495" s="5">
        <v>5</v>
      </c>
      <c r="E1495" s="9" t="s">
        <v>3176</v>
      </c>
      <c r="F1495" s="5" t="s">
        <v>86</v>
      </c>
      <c r="G1495" s="5" t="s">
        <v>3177</v>
      </c>
      <c r="H1495" s="5" t="s">
        <v>3178</v>
      </c>
      <c r="I1495" s="9" t="s">
        <v>3179</v>
      </c>
      <c r="J1495" s="5">
        <v>2026</v>
      </c>
      <c r="K1495" s="5">
        <v>3201.6</v>
      </c>
      <c r="L1495" s="9" t="s">
        <v>4953</v>
      </c>
      <c r="M1495" s="5">
        <v>13.2</v>
      </c>
      <c r="N1495" s="9" t="s">
        <v>4954</v>
      </c>
      <c r="O1495" s="9" t="str">
        <f>HYPERLINK("https://seichotoushi-hojo.jp/assets/pdf/koufu/outline_97.pdf","PDFを開く")</f>
        <v>PDFを開く</v>
      </c>
      <c r="P1495" s="9" t="s">
        <v>1376</v>
      </c>
    </row>
    <row r="1496" spans="1:16" ht="33.950000000000003" customHeight="1">
      <c r="A1496" s="2" t="s">
        <v>1367</v>
      </c>
      <c r="B1496" s="2" t="s">
        <v>73</v>
      </c>
      <c r="C1496" s="8" t="s">
        <v>1368</v>
      </c>
      <c r="D1496" s="2">
        <v>5</v>
      </c>
      <c r="E1496" s="8" t="s">
        <v>3176</v>
      </c>
      <c r="F1496" s="2" t="s">
        <v>86</v>
      </c>
      <c r="G1496" s="2" t="s">
        <v>3177</v>
      </c>
      <c r="H1496" s="2" t="s">
        <v>3178</v>
      </c>
      <c r="I1496" s="8" t="s">
        <v>3182</v>
      </c>
      <c r="J1496" s="2">
        <v>2029</v>
      </c>
      <c r="K1496" s="2">
        <v>4634.1000000000004</v>
      </c>
      <c r="L1496" s="8" t="s">
        <v>4955</v>
      </c>
      <c r="M1496" s="2">
        <v>13.2</v>
      </c>
      <c r="N1496" s="8" t="s">
        <v>4954</v>
      </c>
      <c r="O1496" s="8" t="str">
        <f>HYPERLINK("https://seichotoushi-hojo.jp/assets/pdf/koufu/outline_97.pdf","PDFを開く")</f>
        <v>PDFを開く</v>
      </c>
      <c r="P1496" s="8" t="s">
        <v>1376</v>
      </c>
    </row>
    <row r="1497" spans="1:16" ht="33.950000000000003" customHeight="1">
      <c r="A1497" s="5" t="s">
        <v>1367</v>
      </c>
      <c r="B1497" s="5" t="s">
        <v>73</v>
      </c>
      <c r="C1497" s="9" t="s">
        <v>1368</v>
      </c>
      <c r="D1497" s="5">
        <v>5</v>
      </c>
      <c r="E1497" s="9" t="s">
        <v>3184</v>
      </c>
      <c r="F1497" s="5" t="s">
        <v>86</v>
      </c>
      <c r="G1497" s="5" t="s">
        <v>3177</v>
      </c>
      <c r="H1497" s="5" t="s">
        <v>3178</v>
      </c>
      <c r="I1497" s="9" t="s">
        <v>3179</v>
      </c>
      <c r="J1497" s="5">
        <v>2026</v>
      </c>
      <c r="K1497" s="5">
        <v>560</v>
      </c>
      <c r="L1497" s="9" t="s">
        <v>4956</v>
      </c>
      <c r="M1497" s="5">
        <v>2.98</v>
      </c>
      <c r="N1497" s="9" t="s">
        <v>4957</v>
      </c>
      <c r="O1497" s="9" t="str">
        <f>HYPERLINK("https://seichotoushi-hojo.jp/assets/pdf/koufu/outline_97.pdf","PDFを開く")</f>
        <v>PDFを開く</v>
      </c>
      <c r="P1497" s="9" t="s">
        <v>1376</v>
      </c>
    </row>
    <row r="1498" spans="1:16" ht="33.950000000000003" customHeight="1">
      <c r="A1498" s="2" t="s">
        <v>1367</v>
      </c>
      <c r="B1498" s="2" t="s">
        <v>73</v>
      </c>
      <c r="C1498" s="8" t="s">
        <v>1368</v>
      </c>
      <c r="D1498" s="2">
        <v>5</v>
      </c>
      <c r="E1498" s="8" t="s">
        <v>3184</v>
      </c>
      <c r="F1498" s="2" t="s">
        <v>86</v>
      </c>
      <c r="G1498" s="2" t="s">
        <v>3177</v>
      </c>
      <c r="H1498" s="2" t="s">
        <v>3178</v>
      </c>
      <c r="I1498" s="8" t="s">
        <v>3182</v>
      </c>
      <c r="J1498" s="2">
        <v>2029</v>
      </c>
      <c r="K1498" s="2">
        <v>611.6</v>
      </c>
      <c r="L1498" s="8" t="s">
        <v>4958</v>
      </c>
      <c r="M1498" s="2">
        <v>2.98</v>
      </c>
      <c r="N1498" s="8" t="s">
        <v>4957</v>
      </c>
      <c r="O1498" s="8" t="str">
        <f>HYPERLINK("https://seichotoushi-hojo.jp/assets/pdf/koufu/outline_97.pdf","PDFを開く")</f>
        <v>PDFを開く</v>
      </c>
      <c r="P1498" s="8" t="s">
        <v>1376</v>
      </c>
    </row>
    <row r="1499" spans="1:16" ht="33.950000000000003" customHeight="1">
      <c r="A1499" s="5" t="s">
        <v>1377</v>
      </c>
      <c r="B1499" s="5" t="s">
        <v>73</v>
      </c>
      <c r="C1499" s="9" t="s">
        <v>1378</v>
      </c>
      <c r="D1499" s="5">
        <v>2</v>
      </c>
      <c r="E1499" s="9" t="s">
        <v>3176</v>
      </c>
      <c r="F1499" s="5" t="s">
        <v>86</v>
      </c>
      <c r="G1499" s="5" t="s">
        <v>3177</v>
      </c>
      <c r="H1499" s="5" t="s">
        <v>3178</v>
      </c>
      <c r="I1499" s="9" t="s">
        <v>3179</v>
      </c>
      <c r="J1499" s="5">
        <v>2026</v>
      </c>
      <c r="K1499" s="5">
        <v>2239</v>
      </c>
      <c r="L1499" s="9" t="s">
        <v>4959</v>
      </c>
      <c r="M1499" s="5">
        <v>12</v>
      </c>
      <c r="N1499" s="9" t="s">
        <v>4960</v>
      </c>
      <c r="O1499" s="9" t="str">
        <f t="shared" ref="O1499:O1505" si="152">HYPERLINK("https://seichotoushi-hojo.jp/assets/pdf/koufu/outline_99.pdf","PDFを開く")</f>
        <v>PDFを開く</v>
      </c>
      <c r="P1499" s="9" t="s">
        <v>1384</v>
      </c>
    </row>
    <row r="1500" spans="1:16" ht="33.950000000000003" customHeight="1">
      <c r="A1500" s="2" t="s">
        <v>1377</v>
      </c>
      <c r="B1500" s="2" t="s">
        <v>73</v>
      </c>
      <c r="C1500" s="8" t="s">
        <v>1378</v>
      </c>
      <c r="D1500" s="2">
        <v>2</v>
      </c>
      <c r="E1500" s="8" t="s">
        <v>3176</v>
      </c>
      <c r="F1500" s="2" t="s">
        <v>86</v>
      </c>
      <c r="G1500" s="2" t="s">
        <v>3177</v>
      </c>
      <c r="H1500" s="2" t="s">
        <v>3178</v>
      </c>
      <c r="I1500" s="8" t="s">
        <v>3182</v>
      </c>
      <c r="J1500" s="2">
        <v>2029</v>
      </c>
      <c r="K1500" s="2">
        <v>3148</v>
      </c>
      <c r="L1500" s="8" t="s">
        <v>4961</v>
      </c>
      <c r="M1500" s="2">
        <v>12</v>
      </c>
      <c r="N1500" s="8" t="s">
        <v>4960</v>
      </c>
      <c r="O1500" s="8" t="str">
        <f t="shared" si="152"/>
        <v>PDFを開く</v>
      </c>
      <c r="P1500" s="8" t="s">
        <v>1384</v>
      </c>
    </row>
    <row r="1501" spans="1:16" ht="33.950000000000003" customHeight="1">
      <c r="A1501" s="5" t="s">
        <v>1377</v>
      </c>
      <c r="B1501" s="5" t="s">
        <v>73</v>
      </c>
      <c r="C1501" s="9" t="s">
        <v>1378</v>
      </c>
      <c r="D1501" s="5">
        <v>2</v>
      </c>
      <c r="E1501" s="9" t="s">
        <v>3184</v>
      </c>
      <c r="F1501" s="5" t="s">
        <v>86</v>
      </c>
      <c r="G1501" s="5" t="s">
        <v>3177</v>
      </c>
      <c r="H1501" s="5" t="s">
        <v>3178</v>
      </c>
      <c r="I1501" s="9" t="s">
        <v>3179</v>
      </c>
      <c r="J1501" s="5">
        <v>2026</v>
      </c>
      <c r="K1501" s="5">
        <v>617</v>
      </c>
      <c r="L1501" s="9" t="s">
        <v>4962</v>
      </c>
      <c r="M1501" s="5">
        <v>5</v>
      </c>
      <c r="N1501" s="9" t="s">
        <v>4963</v>
      </c>
      <c r="O1501" s="9" t="str">
        <f t="shared" si="152"/>
        <v>PDFを開く</v>
      </c>
      <c r="P1501" s="9" t="s">
        <v>1384</v>
      </c>
    </row>
    <row r="1502" spans="1:16" ht="33.950000000000003" customHeight="1">
      <c r="A1502" s="2" t="s">
        <v>1377</v>
      </c>
      <c r="B1502" s="2" t="s">
        <v>73</v>
      </c>
      <c r="C1502" s="8" t="s">
        <v>1378</v>
      </c>
      <c r="D1502" s="2">
        <v>2</v>
      </c>
      <c r="E1502" s="8" t="s">
        <v>3184</v>
      </c>
      <c r="F1502" s="2" t="s">
        <v>86</v>
      </c>
      <c r="G1502" s="2" t="s">
        <v>3177</v>
      </c>
      <c r="H1502" s="2" t="s">
        <v>3178</v>
      </c>
      <c r="I1502" s="8" t="s">
        <v>3182</v>
      </c>
      <c r="J1502" s="2">
        <v>2029</v>
      </c>
      <c r="K1502" s="2">
        <v>702</v>
      </c>
      <c r="L1502" s="8" t="s">
        <v>4254</v>
      </c>
      <c r="M1502" s="2">
        <v>5</v>
      </c>
      <c r="N1502" s="8" t="s">
        <v>4963</v>
      </c>
      <c r="O1502" s="8" t="str">
        <f t="shared" si="152"/>
        <v>PDFを開く</v>
      </c>
      <c r="P1502" s="8" t="s">
        <v>1384</v>
      </c>
    </row>
    <row r="1503" spans="1:16" ht="33.950000000000003" customHeight="1">
      <c r="A1503" s="5" t="s">
        <v>1377</v>
      </c>
      <c r="B1503" s="5" t="s">
        <v>73</v>
      </c>
      <c r="C1503" s="9" t="s">
        <v>1378</v>
      </c>
      <c r="D1503" s="5">
        <v>2</v>
      </c>
      <c r="E1503" s="9" t="s">
        <v>3188</v>
      </c>
      <c r="F1503" s="5" t="s">
        <v>86</v>
      </c>
      <c r="G1503" s="19" t="s">
        <v>3189</v>
      </c>
      <c r="H1503" s="5" t="s">
        <v>3178</v>
      </c>
      <c r="I1503" s="9"/>
      <c r="J1503" s="5"/>
      <c r="K1503" s="5"/>
      <c r="L1503" s="9"/>
      <c r="M1503" s="5">
        <v>5</v>
      </c>
      <c r="N1503" s="9" t="s">
        <v>3808</v>
      </c>
      <c r="O1503" s="9" t="str">
        <f t="shared" si="152"/>
        <v>PDFを開く</v>
      </c>
      <c r="P1503" s="9" t="s">
        <v>1384</v>
      </c>
    </row>
    <row r="1504" spans="1:16" ht="33.950000000000003" customHeight="1">
      <c r="A1504" s="2" t="s">
        <v>1377</v>
      </c>
      <c r="B1504" s="2" t="s">
        <v>73</v>
      </c>
      <c r="C1504" s="8" t="s">
        <v>1378</v>
      </c>
      <c r="D1504" s="2">
        <v>2</v>
      </c>
      <c r="E1504" s="8" t="s">
        <v>3191</v>
      </c>
      <c r="F1504" s="2" t="s">
        <v>2513</v>
      </c>
      <c r="G1504" s="2" t="s">
        <v>3177</v>
      </c>
      <c r="H1504" s="2" t="s">
        <v>3178</v>
      </c>
      <c r="I1504" s="8" t="s">
        <v>3179</v>
      </c>
      <c r="J1504" s="2">
        <v>2026</v>
      </c>
      <c r="K1504" s="2">
        <v>285</v>
      </c>
      <c r="L1504" s="8" t="s">
        <v>4611</v>
      </c>
      <c r="M1504" s="2"/>
      <c r="N1504" s="8" t="s">
        <v>4964</v>
      </c>
      <c r="O1504" s="8" t="str">
        <f t="shared" si="152"/>
        <v>PDFを開く</v>
      </c>
      <c r="P1504" s="8" t="s">
        <v>1384</v>
      </c>
    </row>
    <row r="1505" spans="1:16" ht="33.950000000000003" customHeight="1">
      <c r="A1505" s="5" t="s">
        <v>1377</v>
      </c>
      <c r="B1505" s="5" t="s">
        <v>73</v>
      </c>
      <c r="C1505" s="9" t="s">
        <v>1378</v>
      </c>
      <c r="D1505" s="5">
        <v>2</v>
      </c>
      <c r="E1505" s="9" t="s">
        <v>3191</v>
      </c>
      <c r="F1505" s="5" t="s">
        <v>2513</v>
      </c>
      <c r="G1505" s="5" t="s">
        <v>3177</v>
      </c>
      <c r="H1505" s="5" t="s">
        <v>3178</v>
      </c>
      <c r="I1505" s="9" t="s">
        <v>3182</v>
      </c>
      <c r="J1505" s="5">
        <v>2029</v>
      </c>
      <c r="K1505" s="5">
        <v>324</v>
      </c>
      <c r="L1505" s="9" t="s">
        <v>3530</v>
      </c>
      <c r="M1505" s="5"/>
      <c r="N1505" s="9" t="s">
        <v>4964</v>
      </c>
      <c r="O1505" s="9" t="str">
        <f t="shared" si="152"/>
        <v>PDFを開く</v>
      </c>
      <c r="P1505" s="9" t="s">
        <v>1384</v>
      </c>
    </row>
    <row r="1506" spans="1:16" ht="33.950000000000003" customHeight="1">
      <c r="A1506" s="2" t="s">
        <v>1385</v>
      </c>
      <c r="B1506" s="2" t="s">
        <v>1386</v>
      </c>
      <c r="C1506" s="8" t="s">
        <v>1387</v>
      </c>
      <c r="D1506" s="2">
        <v>2</v>
      </c>
      <c r="E1506" s="8" t="s">
        <v>3176</v>
      </c>
      <c r="F1506" s="2" t="s">
        <v>86</v>
      </c>
      <c r="G1506" s="2" t="s">
        <v>3177</v>
      </c>
      <c r="H1506" s="2" t="s">
        <v>3178</v>
      </c>
      <c r="I1506" s="8" t="s">
        <v>3179</v>
      </c>
      <c r="J1506" s="2">
        <v>2026</v>
      </c>
      <c r="K1506" s="2">
        <v>1849</v>
      </c>
      <c r="L1506" s="8" t="s">
        <v>4965</v>
      </c>
      <c r="M1506" s="2">
        <v>8.5</v>
      </c>
      <c r="N1506" s="8" t="s">
        <v>4966</v>
      </c>
      <c r="O1506" s="8" t="str">
        <f t="shared" ref="O1506:O1519" si="153">HYPERLINK("https://seichotoushi-hojo.jp/assets/pdf/koufu/outline__179.pdf","PDFを開く")</f>
        <v>PDFを開く</v>
      </c>
      <c r="P1506" s="8" t="s">
        <v>1394</v>
      </c>
    </row>
    <row r="1507" spans="1:16" ht="33.950000000000003" customHeight="1">
      <c r="A1507" s="5" t="s">
        <v>1385</v>
      </c>
      <c r="B1507" s="5" t="s">
        <v>1386</v>
      </c>
      <c r="C1507" s="9" t="s">
        <v>1387</v>
      </c>
      <c r="D1507" s="5">
        <v>2</v>
      </c>
      <c r="E1507" s="9" t="s">
        <v>3176</v>
      </c>
      <c r="F1507" s="5" t="s">
        <v>86</v>
      </c>
      <c r="G1507" s="5" t="s">
        <v>3177</v>
      </c>
      <c r="H1507" s="5" t="s">
        <v>3178</v>
      </c>
      <c r="I1507" s="9" t="s">
        <v>3182</v>
      </c>
      <c r="J1507" s="5">
        <v>2029</v>
      </c>
      <c r="K1507" s="5">
        <v>2225</v>
      </c>
      <c r="L1507" s="9" t="s">
        <v>4967</v>
      </c>
      <c r="M1507" s="5">
        <v>8.5</v>
      </c>
      <c r="N1507" s="9" t="s">
        <v>4966</v>
      </c>
      <c r="O1507" s="9" t="str">
        <f t="shared" si="153"/>
        <v>PDFを開く</v>
      </c>
      <c r="P1507" s="9" t="s">
        <v>1394</v>
      </c>
    </row>
    <row r="1508" spans="1:16" ht="33.950000000000003" customHeight="1">
      <c r="A1508" s="2" t="s">
        <v>1385</v>
      </c>
      <c r="B1508" s="2" t="s">
        <v>1386</v>
      </c>
      <c r="C1508" s="8" t="s">
        <v>1387</v>
      </c>
      <c r="D1508" s="2">
        <v>2</v>
      </c>
      <c r="E1508" s="8" t="s">
        <v>3184</v>
      </c>
      <c r="F1508" s="2" t="s">
        <v>86</v>
      </c>
      <c r="G1508" s="2" t="s">
        <v>3177</v>
      </c>
      <c r="H1508" s="2" t="s">
        <v>3178</v>
      </c>
      <c r="I1508" s="8" t="s">
        <v>3179</v>
      </c>
      <c r="J1508" s="2">
        <v>2026</v>
      </c>
      <c r="K1508" s="2">
        <v>889</v>
      </c>
      <c r="L1508" s="8" t="s">
        <v>4968</v>
      </c>
      <c r="M1508" s="2">
        <v>3.33</v>
      </c>
      <c r="N1508" s="8" t="s">
        <v>4969</v>
      </c>
      <c r="O1508" s="8" t="str">
        <f t="shared" si="153"/>
        <v>PDFを開く</v>
      </c>
      <c r="P1508" s="8" t="s">
        <v>1394</v>
      </c>
    </row>
    <row r="1509" spans="1:16" ht="33.950000000000003" customHeight="1">
      <c r="A1509" s="5" t="s">
        <v>1385</v>
      </c>
      <c r="B1509" s="5" t="s">
        <v>1386</v>
      </c>
      <c r="C1509" s="9" t="s">
        <v>1387</v>
      </c>
      <c r="D1509" s="5">
        <v>2</v>
      </c>
      <c r="E1509" s="9" t="s">
        <v>3184</v>
      </c>
      <c r="F1509" s="5" t="s">
        <v>86</v>
      </c>
      <c r="G1509" s="5" t="s">
        <v>3177</v>
      </c>
      <c r="H1509" s="5" t="s">
        <v>3178</v>
      </c>
      <c r="I1509" s="9" t="s">
        <v>3182</v>
      </c>
      <c r="J1509" s="5">
        <v>2029</v>
      </c>
      <c r="K1509" s="5">
        <v>981</v>
      </c>
      <c r="L1509" s="9" t="s">
        <v>4970</v>
      </c>
      <c r="M1509" s="5">
        <v>3.33</v>
      </c>
      <c r="N1509" s="9" t="s">
        <v>4969</v>
      </c>
      <c r="O1509" s="9" t="str">
        <f t="shared" si="153"/>
        <v>PDFを開く</v>
      </c>
      <c r="P1509" s="9" t="s">
        <v>1394</v>
      </c>
    </row>
    <row r="1510" spans="1:16" ht="33.950000000000003" customHeight="1">
      <c r="A1510" s="2" t="s">
        <v>1385</v>
      </c>
      <c r="B1510" s="2" t="s">
        <v>1386</v>
      </c>
      <c r="C1510" s="8" t="s">
        <v>1387</v>
      </c>
      <c r="D1510" s="2">
        <v>2</v>
      </c>
      <c r="E1510" s="8" t="s">
        <v>3188</v>
      </c>
      <c r="F1510" s="2" t="s">
        <v>86</v>
      </c>
      <c r="G1510" s="2" t="s">
        <v>3177</v>
      </c>
      <c r="H1510" s="2" t="s">
        <v>3178</v>
      </c>
      <c r="I1510" s="8" t="s">
        <v>3179</v>
      </c>
      <c r="J1510" s="2">
        <v>2026</v>
      </c>
      <c r="K1510" s="2">
        <v>384</v>
      </c>
      <c r="L1510" s="8" t="s">
        <v>3495</v>
      </c>
      <c r="M1510" s="2">
        <v>3.33</v>
      </c>
      <c r="N1510" s="8" t="s">
        <v>4971</v>
      </c>
      <c r="O1510" s="8" t="str">
        <f t="shared" si="153"/>
        <v>PDFを開く</v>
      </c>
      <c r="P1510" s="8" t="s">
        <v>1394</v>
      </c>
    </row>
    <row r="1511" spans="1:16" ht="33.950000000000003" customHeight="1">
      <c r="A1511" s="5" t="s">
        <v>1385</v>
      </c>
      <c r="B1511" s="5" t="s">
        <v>1386</v>
      </c>
      <c r="C1511" s="9" t="s">
        <v>1387</v>
      </c>
      <c r="D1511" s="5">
        <v>2</v>
      </c>
      <c r="E1511" s="9" t="s">
        <v>3188</v>
      </c>
      <c r="F1511" s="5" t="s">
        <v>86</v>
      </c>
      <c r="G1511" s="5" t="s">
        <v>3177</v>
      </c>
      <c r="H1511" s="5" t="s">
        <v>3178</v>
      </c>
      <c r="I1511" s="9" t="s">
        <v>3182</v>
      </c>
      <c r="J1511" s="5">
        <v>2029</v>
      </c>
      <c r="K1511" s="5">
        <v>424</v>
      </c>
      <c r="L1511" s="9" t="s">
        <v>3918</v>
      </c>
      <c r="M1511" s="5">
        <v>3.33</v>
      </c>
      <c r="N1511" s="9" t="s">
        <v>4971</v>
      </c>
      <c r="O1511" s="9" t="str">
        <f t="shared" si="153"/>
        <v>PDFを開く</v>
      </c>
      <c r="P1511" s="9" t="s">
        <v>1394</v>
      </c>
    </row>
    <row r="1512" spans="1:16" ht="33.950000000000003" customHeight="1">
      <c r="A1512" s="2" t="s">
        <v>1385</v>
      </c>
      <c r="B1512" s="2" t="s">
        <v>1386</v>
      </c>
      <c r="C1512" s="8" t="s">
        <v>1387</v>
      </c>
      <c r="D1512" s="2">
        <v>2</v>
      </c>
      <c r="E1512" s="8" t="s">
        <v>3191</v>
      </c>
      <c r="F1512" s="2" t="s">
        <v>2513</v>
      </c>
      <c r="G1512" s="2" t="s">
        <v>3177</v>
      </c>
      <c r="H1512" s="2" t="s">
        <v>3178</v>
      </c>
      <c r="I1512" s="8" t="s">
        <v>3179</v>
      </c>
      <c r="J1512" s="2">
        <v>2026</v>
      </c>
      <c r="K1512" s="2">
        <v>59</v>
      </c>
      <c r="L1512" s="8" t="s">
        <v>4020</v>
      </c>
      <c r="M1512" s="2"/>
      <c r="N1512" s="8" t="s">
        <v>4972</v>
      </c>
      <c r="O1512" s="8" t="str">
        <f t="shared" si="153"/>
        <v>PDFを開く</v>
      </c>
      <c r="P1512" s="8" t="s">
        <v>1394</v>
      </c>
    </row>
    <row r="1513" spans="1:16" ht="33.950000000000003" customHeight="1">
      <c r="A1513" s="5" t="s">
        <v>1385</v>
      </c>
      <c r="B1513" s="5" t="s">
        <v>1386</v>
      </c>
      <c r="C1513" s="9" t="s">
        <v>1387</v>
      </c>
      <c r="D1513" s="5">
        <v>2</v>
      </c>
      <c r="E1513" s="9" t="s">
        <v>3191</v>
      </c>
      <c r="F1513" s="5" t="s">
        <v>2513</v>
      </c>
      <c r="G1513" s="5" t="s">
        <v>3177</v>
      </c>
      <c r="H1513" s="5" t="s">
        <v>3178</v>
      </c>
      <c r="I1513" s="9" t="s">
        <v>3182</v>
      </c>
      <c r="J1513" s="5">
        <v>2029</v>
      </c>
      <c r="K1513" s="5">
        <v>78</v>
      </c>
      <c r="L1513" s="9" t="s">
        <v>4111</v>
      </c>
      <c r="M1513" s="5"/>
      <c r="N1513" s="9" t="s">
        <v>4972</v>
      </c>
      <c r="O1513" s="9" t="str">
        <f t="shared" si="153"/>
        <v>PDFを開く</v>
      </c>
      <c r="P1513" s="9" t="s">
        <v>1394</v>
      </c>
    </row>
    <row r="1514" spans="1:16" ht="33.950000000000003" customHeight="1">
      <c r="A1514" s="2" t="s">
        <v>1385</v>
      </c>
      <c r="B1514" s="2" t="s">
        <v>1386</v>
      </c>
      <c r="C1514" s="8" t="s">
        <v>1387</v>
      </c>
      <c r="D1514" s="2">
        <v>2</v>
      </c>
      <c r="E1514" s="8" t="s">
        <v>3176</v>
      </c>
      <c r="F1514" s="2" t="s">
        <v>86</v>
      </c>
      <c r="G1514" s="2" t="s">
        <v>3177</v>
      </c>
      <c r="H1514" s="2"/>
      <c r="I1514" s="8" t="s">
        <v>3227</v>
      </c>
      <c r="J1514" s="2">
        <v>2026</v>
      </c>
      <c r="K1514" s="2">
        <v>1849</v>
      </c>
      <c r="L1514" s="8" t="s">
        <v>4973</v>
      </c>
      <c r="M1514" s="2">
        <v>6.4</v>
      </c>
      <c r="N1514" s="8" t="s">
        <v>4974</v>
      </c>
      <c r="O1514" s="8" t="str">
        <f t="shared" si="153"/>
        <v>PDFを開く</v>
      </c>
      <c r="P1514" s="8" t="s">
        <v>1394</v>
      </c>
    </row>
    <row r="1515" spans="1:16" ht="33.950000000000003" customHeight="1">
      <c r="A1515" s="5" t="s">
        <v>1385</v>
      </c>
      <c r="B1515" s="5" t="s">
        <v>1386</v>
      </c>
      <c r="C1515" s="9" t="s">
        <v>1387</v>
      </c>
      <c r="D1515" s="5">
        <v>2</v>
      </c>
      <c r="E1515" s="9" t="s">
        <v>3176</v>
      </c>
      <c r="F1515" s="5" t="s">
        <v>86</v>
      </c>
      <c r="G1515" s="5" t="s">
        <v>3177</v>
      </c>
      <c r="H1515" s="5"/>
      <c r="I1515" s="9" t="s">
        <v>3230</v>
      </c>
      <c r="J1515" s="5">
        <v>2029</v>
      </c>
      <c r="K1515" s="5">
        <v>2225</v>
      </c>
      <c r="L1515" s="9" t="s">
        <v>4975</v>
      </c>
      <c r="M1515" s="5">
        <v>6.4</v>
      </c>
      <c r="N1515" s="9" t="s">
        <v>4974</v>
      </c>
      <c r="O1515" s="9" t="str">
        <f t="shared" si="153"/>
        <v>PDFを開く</v>
      </c>
      <c r="P1515" s="9" t="s">
        <v>1394</v>
      </c>
    </row>
    <row r="1516" spans="1:16" ht="33.950000000000003" customHeight="1">
      <c r="A1516" s="2" t="s">
        <v>1385</v>
      </c>
      <c r="B1516" s="2" t="s">
        <v>1386</v>
      </c>
      <c r="C1516" s="8" t="s">
        <v>1387</v>
      </c>
      <c r="D1516" s="2">
        <v>2</v>
      </c>
      <c r="E1516" s="8" t="s">
        <v>3184</v>
      </c>
      <c r="F1516" s="2" t="s">
        <v>86</v>
      </c>
      <c r="G1516" s="2" t="s">
        <v>3177</v>
      </c>
      <c r="H1516" s="2"/>
      <c r="I1516" s="8" t="s">
        <v>3227</v>
      </c>
      <c r="J1516" s="2">
        <v>2026</v>
      </c>
      <c r="K1516" s="2">
        <v>589</v>
      </c>
      <c r="L1516" s="8" t="s">
        <v>3533</v>
      </c>
      <c r="M1516" s="2">
        <v>5</v>
      </c>
      <c r="N1516" s="8" t="s">
        <v>4976</v>
      </c>
      <c r="O1516" s="8" t="str">
        <f t="shared" si="153"/>
        <v>PDFを開く</v>
      </c>
      <c r="P1516" s="8" t="s">
        <v>1394</v>
      </c>
    </row>
    <row r="1517" spans="1:16" ht="33.950000000000003" customHeight="1">
      <c r="A1517" s="5" t="s">
        <v>1385</v>
      </c>
      <c r="B1517" s="5" t="s">
        <v>1386</v>
      </c>
      <c r="C1517" s="9" t="s">
        <v>1387</v>
      </c>
      <c r="D1517" s="5">
        <v>2</v>
      </c>
      <c r="E1517" s="9" t="s">
        <v>3184</v>
      </c>
      <c r="F1517" s="5" t="s">
        <v>86</v>
      </c>
      <c r="G1517" s="5" t="s">
        <v>3177</v>
      </c>
      <c r="H1517" s="5"/>
      <c r="I1517" s="9" t="s">
        <v>3230</v>
      </c>
      <c r="J1517" s="5">
        <v>2029</v>
      </c>
      <c r="K1517" s="5">
        <v>680</v>
      </c>
      <c r="L1517" s="9" t="s">
        <v>4977</v>
      </c>
      <c r="M1517" s="5">
        <v>5</v>
      </c>
      <c r="N1517" s="9" t="s">
        <v>4976</v>
      </c>
      <c r="O1517" s="9" t="str">
        <f t="shared" si="153"/>
        <v>PDFを開く</v>
      </c>
      <c r="P1517" s="9" t="s">
        <v>1394</v>
      </c>
    </row>
    <row r="1518" spans="1:16" ht="33.950000000000003" customHeight="1">
      <c r="A1518" s="2" t="s">
        <v>1385</v>
      </c>
      <c r="B1518" s="2" t="s">
        <v>1386</v>
      </c>
      <c r="C1518" s="8" t="s">
        <v>1387</v>
      </c>
      <c r="D1518" s="2">
        <v>2</v>
      </c>
      <c r="E1518" s="8" t="s">
        <v>3191</v>
      </c>
      <c r="F1518" s="2" t="s">
        <v>2513</v>
      </c>
      <c r="G1518" s="2" t="s">
        <v>3177</v>
      </c>
      <c r="H1518" s="2"/>
      <c r="I1518" s="8" t="s">
        <v>3227</v>
      </c>
      <c r="J1518" s="2">
        <v>2026</v>
      </c>
      <c r="K1518" s="2">
        <v>59</v>
      </c>
      <c r="L1518" s="8" t="s">
        <v>4020</v>
      </c>
      <c r="M1518" s="2"/>
      <c r="N1518" s="8" t="s">
        <v>4978</v>
      </c>
      <c r="O1518" s="8" t="str">
        <f t="shared" si="153"/>
        <v>PDFを開く</v>
      </c>
      <c r="P1518" s="8" t="s">
        <v>1394</v>
      </c>
    </row>
    <row r="1519" spans="1:16" ht="33.950000000000003" customHeight="1">
      <c r="A1519" s="5" t="s">
        <v>1385</v>
      </c>
      <c r="B1519" s="5" t="s">
        <v>1386</v>
      </c>
      <c r="C1519" s="9" t="s">
        <v>1387</v>
      </c>
      <c r="D1519" s="5">
        <v>2</v>
      </c>
      <c r="E1519" s="9" t="s">
        <v>3191</v>
      </c>
      <c r="F1519" s="5" t="s">
        <v>2513</v>
      </c>
      <c r="G1519" s="5" t="s">
        <v>3177</v>
      </c>
      <c r="H1519" s="5"/>
      <c r="I1519" s="9" t="s">
        <v>3230</v>
      </c>
      <c r="J1519" s="5">
        <v>2029</v>
      </c>
      <c r="K1519" s="5">
        <v>78</v>
      </c>
      <c r="L1519" s="9" t="s">
        <v>4111</v>
      </c>
      <c r="M1519" s="5"/>
      <c r="N1519" s="9" t="s">
        <v>4978</v>
      </c>
      <c r="O1519" s="9" t="str">
        <f t="shared" si="153"/>
        <v>PDFを開く</v>
      </c>
      <c r="P1519" s="9" t="s">
        <v>1394</v>
      </c>
    </row>
    <row r="1520" spans="1:16" ht="33.950000000000003" customHeight="1">
      <c r="A1520" s="2" t="s">
        <v>1395</v>
      </c>
      <c r="B1520" s="2" t="s">
        <v>1386</v>
      </c>
      <c r="C1520" s="8" t="s">
        <v>1396</v>
      </c>
      <c r="D1520" s="2">
        <v>6</v>
      </c>
      <c r="E1520" s="8" t="s">
        <v>3176</v>
      </c>
      <c r="F1520" s="2" t="s">
        <v>86</v>
      </c>
      <c r="G1520" s="19" t="s">
        <v>3494</v>
      </c>
      <c r="H1520" s="2" t="s">
        <v>3178</v>
      </c>
      <c r="I1520" s="8" t="s">
        <v>3845</v>
      </c>
      <c r="J1520" s="2">
        <v>2026</v>
      </c>
      <c r="K1520" s="2">
        <v>1036</v>
      </c>
      <c r="L1520" s="8" t="s">
        <v>4979</v>
      </c>
      <c r="M1520" s="2">
        <v>15.3</v>
      </c>
      <c r="N1520" s="8" t="s">
        <v>4980</v>
      </c>
      <c r="O1520" s="8" t="str">
        <f t="shared" ref="O1520:O1545" si="154">HYPERLINK("https://seichotoushi-hojo.jp/assets/pdf/koufu/outline__181.pdf","PDFを開く")</f>
        <v>PDFを開く</v>
      </c>
      <c r="P1520" s="8" t="s">
        <v>1404</v>
      </c>
    </row>
    <row r="1521" spans="1:16" ht="33.950000000000003" customHeight="1">
      <c r="A1521" s="5" t="s">
        <v>1395</v>
      </c>
      <c r="B1521" s="5" t="s">
        <v>1386</v>
      </c>
      <c r="C1521" s="9" t="s">
        <v>1396</v>
      </c>
      <c r="D1521" s="5">
        <v>6</v>
      </c>
      <c r="E1521" s="9" t="s">
        <v>3176</v>
      </c>
      <c r="F1521" s="5" t="s">
        <v>86</v>
      </c>
      <c r="G1521" s="19" t="s">
        <v>3494</v>
      </c>
      <c r="H1521" s="5" t="s">
        <v>3178</v>
      </c>
      <c r="I1521" s="9" t="s">
        <v>3848</v>
      </c>
      <c r="J1521" s="5">
        <v>2029</v>
      </c>
      <c r="K1521" s="5">
        <v>1590</v>
      </c>
      <c r="L1521" s="9" t="s">
        <v>4981</v>
      </c>
      <c r="M1521" s="5">
        <v>15.3</v>
      </c>
      <c r="N1521" s="9" t="s">
        <v>4980</v>
      </c>
      <c r="O1521" s="9" t="str">
        <f t="shared" si="154"/>
        <v>PDFを開く</v>
      </c>
      <c r="P1521" s="9" t="s">
        <v>1404</v>
      </c>
    </row>
    <row r="1522" spans="1:16" ht="33.950000000000003" customHeight="1">
      <c r="A1522" s="2" t="s">
        <v>1395</v>
      </c>
      <c r="B1522" s="2" t="s">
        <v>1386</v>
      </c>
      <c r="C1522" s="8" t="s">
        <v>1396</v>
      </c>
      <c r="D1522" s="2">
        <v>6</v>
      </c>
      <c r="E1522" s="8" t="s">
        <v>3176</v>
      </c>
      <c r="F1522" s="2" t="s">
        <v>86</v>
      </c>
      <c r="G1522" s="19" t="s">
        <v>3494</v>
      </c>
      <c r="H1522" s="2" t="s">
        <v>3178</v>
      </c>
      <c r="I1522" s="8" t="s">
        <v>3845</v>
      </c>
      <c r="J1522" s="2">
        <v>2026</v>
      </c>
      <c r="K1522" s="2">
        <v>713</v>
      </c>
      <c r="L1522" s="8" t="s">
        <v>4862</v>
      </c>
      <c r="M1522" s="2">
        <v>15.3</v>
      </c>
      <c r="N1522" s="8" t="s">
        <v>4980</v>
      </c>
      <c r="O1522" s="8" t="str">
        <f t="shared" si="154"/>
        <v>PDFを開く</v>
      </c>
      <c r="P1522" s="8" t="s">
        <v>1404</v>
      </c>
    </row>
    <row r="1523" spans="1:16" ht="33.950000000000003" customHeight="1">
      <c r="A1523" s="5" t="s">
        <v>1395</v>
      </c>
      <c r="B1523" s="5" t="s">
        <v>1386</v>
      </c>
      <c r="C1523" s="9" t="s">
        <v>1396</v>
      </c>
      <c r="D1523" s="5">
        <v>6</v>
      </c>
      <c r="E1523" s="9" t="s">
        <v>3176</v>
      </c>
      <c r="F1523" s="5" t="s">
        <v>86</v>
      </c>
      <c r="G1523" s="19" t="s">
        <v>3494</v>
      </c>
      <c r="H1523" s="5" t="s">
        <v>3178</v>
      </c>
      <c r="I1523" s="9" t="s">
        <v>3848</v>
      </c>
      <c r="J1523" s="5">
        <v>2029</v>
      </c>
      <c r="K1523" s="5">
        <v>1043</v>
      </c>
      <c r="L1523" s="9" t="s">
        <v>4982</v>
      </c>
      <c r="M1523" s="5">
        <v>15.3</v>
      </c>
      <c r="N1523" s="9" t="s">
        <v>4980</v>
      </c>
      <c r="O1523" s="9" t="str">
        <f t="shared" si="154"/>
        <v>PDFを開く</v>
      </c>
      <c r="P1523" s="9" t="s">
        <v>1404</v>
      </c>
    </row>
    <row r="1524" spans="1:16" ht="33.950000000000003" customHeight="1">
      <c r="A1524" s="2" t="s">
        <v>1395</v>
      </c>
      <c r="B1524" s="2" t="s">
        <v>1386</v>
      </c>
      <c r="C1524" s="8" t="s">
        <v>1396</v>
      </c>
      <c r="D1524" s="2">
        <v>6</v>
      </c>
      <c r="E1524" s="8" t="s">
        <v>3184</v>
      </c>
      <c r="F1524" s="2" t="s">
        <v>86</v>
      </c>
      <c r="G1524" s="19" t="s">
        <v>3494</v>
      </c>
      <c r="H1524" s="2" t="s">
        <v>3178</v>
      </c>
      <c r="I1524" s="8" t="s">
        <v>3845</v>
      </c>
      <c r="J1524" s="2">
        <v>2026</v>
      </c>
      <c r="K1524" s="2">
        <v>325</v>
      </c>
      <c r="L1524" s="8" t="s">
        <v>4613</v>
      </c>
      <c r="M1524" s="2">
        <v>4.5</v>
      </c>
      <c r="N1524" s="8" t="s">
        <v>4983</v>
      </c>
      <c r="O1524" s="8" t="str">
        <f t="shared" si="154"/>
        <v>PDFを開く</v>
      </c>
      <c r="P1524" s="8" t="s">
        <v>1404</v>
      </c>
    </row>
    <row r="1525" spans="1:16" ht="33.950000000000003" customHeight="1">
      <c r="A1525" s="5" t="s">
        <v>1395</v>
      </c>
      <c r="B1525" s="5" t="s">
        <v>1386</v>
      </c>
      <c r="C1525" s="9" t="s">
        <v>1396</v>
      </c>
      <c r="D1525" s="5">
        <v>6</v>
      </c>
      <c r="E1525" s="9" t="s">
        <v>3184</v>
      </c>
      <c r="F1525" s="5" t="s">
        <v>86</v>
      </c>
      <c r="G1525" s="19" t="s">
        <v>3494</v>
      </c>
      <c r="H1525" s="5" t="s">
        <v>3178</v>
      </c>
      <c r="I1525" s="9" t="s">
        <v>3848</v>
      </c>
      <c r="J1525" s="5">
        <v>2029</v>
      </c>
      <c r="K1525" s="5">
        <v>371</v>
      </c>
      <c r="L1525" s="9" t="s">
        <v>4984</v>
      </c>
      <c r="M1525" s="5">
        <v>4.5</v>
      </c>
      <c r="N1525" s="9" t="s">
        <v>4983</v>
      </c>
      <c r="O1525" s="9" t="str">
        <f t="shared" si="154"/>
        <v>PDFを開く</v>
      </c>
      <c r="P1525" s="9" t="s">
        <v>1404</v>
      </c>
    </row>
    <row r="1526" spans="1:16" ht="33.950000000000003" customHeight="1">
      <c r="A1526" s="2" t="s">
        <v>1395</v>
      </c>
      <c r="B1526" s="2" t="s">
        <v>1386</v>
      </c>
      <c r="C1526" s="8" t="s">
        <v>1396</v>
      </c>
      <c r="D1526" s="2">
        <v>6</v>
      </c>
      <c r="E1526" s="8" t="s">
        <v>3184</v>
      </c>
      <c r="F1526" s="2" t="s">
        <v>86</v>
      </c>
      <c r="G1526" s="19" t="s">
        <v>3494</v>
      </c>
      <c r="H1526" s="2" t="s">
        <v>3178</v>
      </c>
      <c r="I1526" s="8" t="s">
        <v>3845</v>
      </c>
      <c r="J1526" s="2">
        <v>2026</v>
      </c>
      <c r="K1526" s="2">
        <v>345</v>
      </c>
      <c r="L1526" s="8" t="s">
        <v>4985</v>
      </c>
      <c r="M1526" s="2">
        <v>4.5</v>
      </c>
      <c r="N1526" s="8" t="s">
        <v>4983</v>
      </c>
      <c r="O1526" s="8" t="str">
        <f t="shared" si="154"/>
        <v>PDFを開く</v>
      </c>
      <c r="P1526" s="8" t="s">
        <v>1404</v>
      </c>
    </row>
    <row r="1527" spans="1:16" ht="33.950000000000003" customHeight="1">
      <c r="A1527" s="5" t="s">
        <v>1395</v>
      </c>
      <c r="B1527" s="5" t="s">
        <v>1386</v>
      </c>
      <c r="C1527" s="9" t="s">
        <v>1396</v>
      </c>
      <c r="D1527" s="5">
        <v>6</v>
      </c>
      <c r="E1527" s="9" t="s">
        <v>3184</v>
      </c>
      <c r="F1527" s="5" t="s">
        <v>86</v>
      </c>
      <c r="G1527" s="19" t="s">
        <v>3494</v>
      </c>
      <c r="H1527" s="5" t="s">
        <v>3178</v>
      </c>
      <c r="I1527" s="9" t="s">
        <v>3848</v>
      </c>
      <c r="J1527" s="5">
        <v>2029</v>
      </c>
      <c r="K1527" s="5">
        <v>394</v>
      </c>
      <c r="L1527" s="9" t="s">
        <v>4159</v>
      </c>
      <c r="M1527" s="5">
        <v>4.5</v>
      </c>
      <c r="N1527" s="9" t="s">
        <v>4983</v>
      </c>
      <c r="O1527" s="9" t="str">
        <f t="shared" si="154"/>
        <v>PDFを開く</v>
      </c>
      <c r="P1527" s="9" t="s">
        <v>1404</v>
      </c>
    </row>
    <row r="1528" spans="1:16" ht="33.950000000000003" customHeight="1">
      <c r="A1528" s="2" t="s">
        <v>1395</v>
      </c>
      <c r="B1528" s="2" t="s">
        <v>1386</v>
      </c>
      <c r="C1528" s="8" t="s">
        <v>1396</v>
      </c>
      <c r="D1528" s="2">
        <v>6</v>
      </c>
      <c r="E1528" s="8" t="s">
        <v>3188</v>
      </c>
      <c r="F1528" s="2" t="s">
        <v>86</v>
      </c>
      <c r="G1528" s="19" t="s">
        <v>3494</v>
      </c>
      <c r="H1528" s="2" t="s">
        <v>3178</v>
      </c>
      <c r="I1528" s="8" t="s">
        <v>3845</v>
      </c>
      <c r="J1528" s="2">
        <v>2026</v>
      </c>
      <c r="K1528" s="2">
        <v>364</v>
      </c>
      <c r="L1528" s="8" t="s">
        <v>4986</v>
      </c>
      <c r="M1528" s="2">
        <v>4</v>
      </c>
      <c r="N1528" s="8" t="s">
        <v>4987</v>
      </c>
      <c r="O1528" s="8" t="str">
        <f t="shared" si="154"/>
        <v>PDFを開く</v>
      </c>
      <c r="P1528" s="8" t="s">
        <v>1404</v>
      </c>
    </row>
    <row r="1529" spans="1:16" ht="33.950000000000003" customHeight="1">
      <c r="A1529" s="5" t="s">
        <v>1395</v>
      </c>
      <c r="B1529" s="5" t="s">
        <v>1386</v>
      </c>
      <c r="C1529" s="9" t="s">
        <v>1396</v>
      </c>
      <c r="D1529" s="5">
        <v>6</v>
      </c>
      <c r="E1529" s="9" t="s">
        <v>3188</v>
      </c>
      <c r="F1529" s="5" t="s">
        <v>86</v>
      </c>
      <c r="G1529" s="19" t="s">
        <v>3494</v>
      </c>
      <c r="H1529" s="5" t="s">
        <v>3178</v>
      </c>
      <c r="I1529" s="9" t="s">
        <v>3848</v>
      </c>
      <c r="J1529" s="5">
        <v>2029</v>
      </c>
      <c r="K1529" s="5">
        <v>409</v>
      </c>
      <c r="L1529" s="9" t="s">
        <v>4988</v>
      </c>
      <c r="M1529" s="5">
        <v>4</v>
      </c>
      <c r="N1529" s="9" t="s">
        <v>4987</v>
      </c>
      <c r="O1529" s="9" t="str">
        <f t="shared" si="154"/>
        <v>PDFを開く</v>
      </c>
      <c r="P1529" s="9" t="s">
        <v>1404</v>
      </c>
    </row>
    <row r="1530" spans="1:16" ht="33.950000000000003" customHeight="1">
      <c r="A1530" s="2" t="s">
        <v>1395</v>
      </c>
      <c r="B1530" s="2" t="s">
        <v>1386</v>
      </c>
      <c r="C1530" s="8" t="s">
        <v>1396</v>
      </c>
      <c r="D1530" s="2">
        <v>6</v>
      </c>
      <c r="E1530" s="8" t="s">
        <v>3188</v>
      </c>
      <c r="F1530" s="2" t="s">
        <v>86</v>
      </c>
      <c r="G1530" s="19" t="s">
        <v>3494</v>
      </c>
      <c r="H1530" s="2" t="s">
        <v>3178</v>
      </c>
      <c r="I1530" s="8" t="s">
        <v>3845</v>
      </c>
      <c r="J1530" s="2">
        <v>2026</v>
      </c>
      <c r="K1530" s="2">
        <v>276</v>
      </c>
      <c r="L1530" s="8" t="s">
        <v>4499</v>
      </c>
      <c r="M1530" s="2">
        <v>4</v>
      </c>
      <c r="N1530" s="8" t="s">
        <v>4987</v>
      </c>
      <c r="O1530" s="8" t="str">
        <f t="shared" si="154"/>
        <v>PDFを開く</v>
      </c>
      <c r="P1530" s="8" t="s">
        <v>1404</v>
      </c>
    </row>
    <row r="1531" spans="1:16" ht="33.950000000000003" customHeight="1">
      <c r="A1531" s="5" t="s">
        <v>1395</v>
      </c>
      <c r="B1531" s="5" t="s">
        <v>1386</v>
      </c>
      <c r="C1531" s="9" t="s">
        <v>1396</v>
      </c>
      <c r="D1531" s="5">
        <v>6</v>
      </c>
      <c r="E1531" s="9" t="s">
        <v>3188</v>
      </c>
      <c r="F1531" s="5" t="s">
        <v>86</v>
      </c>
      <c r="G1531" s="19" t="s">
        <v>3494</v>
      </c>
      <c r="H1531" s="5" t="s">
        <v>3178</v>
      </c>
      <c r="I1531" s="9" t="s">
        <v>3848</v>
      </c>
      <c r="J1531" s="5">
        <v>2029</v>
      </c>
      <c r="K1531" s="5">
        <v>310</v>
      </c>
      <c r="L1531" s="9" t="s">
        <v>3888</v>
      </c>
      <c r="M1531" s="5">
        <v>4</v>
      </c>
      <c r="N1531" s="9" t="s">
        <v>4987</v>
      </c>
      <c r="O1531" s="9" t="str">
        <f t="shared" si="154"/>
        <v>PDFを開く</v>
      </c>
      <c r="P1531" s="9" t="s">
        <v>1404</v>
      </c>
    </row>
    <row r="1532" spans="1:16" ht="33.950000000000003" customHeight="1">
      <c r="A1532" s="2" t="s">
        <v>1395</v>
      </c>
      <c r="B1532" s="2" t="s">
        <v>1386</v>
      </c>
      <c r="C1532" s="8" t="s">
        <v>1396</v>
      </c>
      <c r="D1532" s="2">
        <v>6</v>
      </c>
      <c r="E1532" s="8" t="s">
        <v>3191</v>
      </c>
      <c r="F1532" s="2" t="s">
        <v>2513</v>
      </c>
      <c r="G1532" s="19" t="s">
        <v>3494</v>
      </c>
      <c r="H1532" s="2"/>
      <c r="I1532" s="8" t="s">
        <v>3845</v>
      </c>
      <c r="J1532" s="2">
        <v>2026</v>
      </c>
      <c r="K1532" s="2">
        <v>126</v>
      </c>
      <c r="L1532" s="8" t="s">
        <v>4885</v>
      </c>
      <c r="M1532" s="2"/>
      <c r="N1532" s="8" t="s">
        <v>4989</v>
      </c>
      <c r="O1532" s="8" t="str">
        <f t="shared" si="154"/>
        <v>PDFを開く</v>
      </c>
      <c r="P1532" s="8" t="s">
        <v>1404</v>
      </c>
    </row>
    <row r="1533" spans="1:16" ht="33.950000000000003" customHeight="1">
      <c r="A1533" s="5" t="s">
        <v>1395</v>
      </c>
      <c r="B1533" s="5" t="s">
        <v>1386</v>
      </c>
      <c r="C1533" s="9" t="s">
        <v>1396</v>
      </c>
      <c r="D1533" s="5">
        <v>6</v>
      </c>
      <c r="E1533" s="9" t="s">
        <v>3191</v>
      </c>
      <c r="F1533" s="5" t="s">
        <v>2513</v>
      </c>
      <c r="G1533" s="19" t="s">
        <v>3494</v>
      </c>
      <c r="H1533" s="5"/>
      <c r="I1533" s="9" t="s">
        <v>3848</v>
      </c>
      <c r="J1533" s="5">
        <v>2029</v>
      </c>
      <c r="K1533" s="5">
        <v>147</v>
      </c>
      <c r="L1533" s="9" t="s">
        <v>4990</v>
      </c>
      <c r="M1533" s="5"/>
      <c r="N1533" s="9" t="s">
        <v>4989</v>
      </c>
      <c r="O1533" s="9" t="str">
        <f t="shared" si="154"/>
        <v>PDFを開く</v>
      </c>
      <c r="P1533" s="9" t="s">
        <v>1404</v>
      </c>
    </row>
    <row r="1534" spans="1:16" ht="33.950000000000003" customHeight="1">
      <c r="A1534" s="2" t="s">
        <v>1395</v>
      </c>
      <c r="B1534" s="2" t="s">
        <v>1386</v>
      </c>
      <c r="C1534" s="8" t="s">
        <v>1396</v>
      </c>
      <c r="D1534" s="2">
        <v>6</v>
      </c>
      <c r="E1534" s="8" t="s">
        <v>3191</v>
      </c>
      <c r="F1534" s="2" t="s">
        <v>2513</v>
      </c>
      <c r="G1534" s="19" t="s">
        <v>3494</v>
      </c>
      <c r="H1534" s="2"/>
      <c r="I1534" s="8" t="s">
        <v>3845</v>
      </c>
      <c r="J1534" s="2">
        <v>2026</v>
      </c>
      <c r="K1534" s="2">
        <v>77</v>
      </c>
      <c r="L1534" s="8" t="s">
        <v>4073</v>
      </c>
      <c r="M1534" s="2"/>
      <c r="N1534" s="8" t="s">
        <v>4989</v>
      </c>
      <c r="O1534" s="8" t="str">
        <f t="shared" si="154"/>
        <v>PDFを開く</v>
      </c>
      <c r="P1534" s="8" t="s">
        <v>1404</v>
      </c>
    </row>
    <row r="1535" spans="1:16" ht="33.950000000000003" customHeight="1">
      <c r="A1535" s="5" t="s">
        <v>1395</v>
      </c>
      <c r="B1535" s="5" t="s">
        <v>1386</v>
      </c>
      <c r="C1535" s="9" t="s">
        <v>1396</v>
      </c>
      <c r="D1535" s="5">
        <v>6</v>
      </c>
      <c r="E1535" s="9" t="s">
        <v>3191</v>
      </c>
      <c r="F1535" s="5" t="s">
        <v>2513</v>
      </c>
      <c r="G1535" s="19" t="s">
        <v>3494</v>
      </c>
      <c r="H1535" s="5"/>
      <c r="I1535" s="9" t="s">
        <v>3848</v>
      </c>
      <c r="J1535" s="5">
        <v>2029</v>
      </c>
      <c r="K1535" s="5">
        <v>115</v>
      </c>
      <c r="L1535" s="9" t="s">
        <v>4458</v>
      </c>
      <c r="M1535" s="5"/>
      <c r="N1535" s="9" t="s">
        <v>4989</v>
      </c>
      <c r="O1535" s="9" t="str">
        <f t="shared" si="154"/>
        <v>PDFを開く</v>
      </c>
      <c r="P1535" s="9" t="s">
        <v>1404</v>
      </c>
    </row>
    <row r="1536" spans="1:16" ht="33.950000000000003" customHeight="1">
      <c r="A1536" s="2" t="s">
        <v>1395</v>
      </c>
      <c r="B1536" s="2" t="s">
        <v>1386</v>
      </c>
      <c r="C1536" s="8" t="s">
        <v>1396</v>
      </c>
      <c r="D1536" s="2">
        <v>9</v>
      </c>
      <c r="E1536" s="8" t="s">
        <v>3191</v>
      </c>
      <c r="F1536" s="2" t="s">
        <v>2513</v>
      </c>
      <c r="G1536" s="2" t="s">
        <v>3177</v>
      </c>
      <c r="H1536" s="2"/>
      <c r="I1536" s="8" t="s">
        <v>3302</v>
      </c>
      <c r="J1536" s="2">
        <v>2026</v>
      </c>
      <c r="K1536" s="2">
        <v>1</v>
      </c>
      <c r="L1536" s="8" t="s">
        <v>4529</v>
      </c>
      <c r="M1536" s="2"/>
      <c r="N1536" s="8" t="s">
        <v>4991</v>
      </c>
      <c r="O1536" s="8" t="str">
        <f t="shared" si="154"/>
        <v>PDFを開く</v>
      </c>
      <c r="P1536" s="8" t="s">
        <v>1404</v>
      </c>
    </row>
    <row r="1537" spans="1:16" ht="33.950000000000003" customHeight="1">
      <c r="A1537" s="5" t="s">
        <v>1395</v>
      </c>
      <c r="B1537" s="5" t="s">
        <v>1386</v>
      </c>
      <c r="C1537" s="9" t="s">
        <v>1396</v>
      </c>
      <c r="D1537" s="5">
        <v>9</v>
      </c>
      <c r="E1537" s="9" t="s">
        <v>3191</v>
      </c>
      <c r="F1537" s="5" t="s">
        <v>2513</v>
      </c>
      <c r="G1537" s="5" t="s">
        <v>3177</v>
      </c>
      <c r="H1537" s="5"/>
      <c r="I1537" s="9" t="s">
        <v>3305</v>
      </c>
      <c r="J1537" s="5">
        <v>2029</v>
      </c>
      <c r="K1537" s="5">
        <v>4</v>
      </c>
      <c r="L1537" s="9" t="s">
        <v>3621</v>
      </c>
      <c r="M1537" s="5"/>
      <c r="N1537" s="9" t="s">
        <v>4991</v>
      </c>
      <c r="O1537" s="9" t="str">
        <f t="shared" si="154"/>
        <v>PDFを開く</v>
      </c>
      <c r="P1537" s="9" t="s">
        <v>1404</v>
      </c>
    </row>
    <row r="1538" spans="1:16" ht="33.950000000000003" customHeight="1">
      <c r="A1538" s="2" t="s">
        <v>1395</v>
      </c>
      <c r="B1538" s="2" t="s">
        <v>1386</v>
      </c>
      <c r="C1538" s="8" t="s">
        <v>1396</v>
      </c>
      <c r="D1538" s="2">
        <v>2</v>
      </c>
      <c r="E1538" s="8" t="s">
        <v>3191</v>
      </c>
      <c r="F1538" s="2" t="s">
        <v>2513</v>
      </c>
      <c r="G1538" s="2" t="s">
        <v>3177</v>
      </c>
      <c r="H1538" s="2"/>
      <c r="I1538" s="8" t="s">
        <v>3227</v>
      </c>
      <c r="J1538" s="2">
        <v>2026</v>
      </c>
      <c r="K1538" s="2">
        <v>135</v>
      </c>
      <c r="L1538" s="8" t="s">
        <v>4992</v>
      </c>
      <c r="M1538" s="2"/>
      <c r="N1538" s="8" t="s">
        <v>4993</v>
      </c>
      <c r="O1538" s="8" t="str">
        <f t="shared" si="154"/>
        <v>PDFを開く</v>
      </c>
      <c r="P1538" s="8" t="s">
        <v>1404</v>
      </c>
    </row>
    <row r="1539" spans="1:16" ht="33.950000000000003" customHeight="1">
      <c r="A1539" s="5" t="s">
        <v>1395</v>
      </c>
      <c r="B1539" s="5" t="s">
        <v>1386</v>
      </c>
      <c r="C1539" s="9" t="s">
        <v>1396</v>
      </c>
      <c r="D1539" s="5">
        <v>2</v>
      </c>
      <c r="E1539" s="9" t="s">
        <v>3191</v>
      </c>
      <c r="F1539" s="5" t="s">
        <v>2513</v>
      </c>
      <c r="G1539" s="5" t="s">
        <v>3177</v>
      </c>
      <c r="H1539" s="5"/>
      <c r="I1539" s="9" t="s">
        <v>3230</v>
      </c>
      <c r="J1539" s="5">
        <v>2029</v>
      </c>
      <c r="K1539" s="5">
        <v>147</v>
      </c>
      <c r="L1539" s="9" t="s">
        <v>4990</v>
      </c>
      <c r="M1539" s="5"/>
      <c r="N1539" s="9" t="s">
        <v>4993</v>
      </c>
      <c r="O1539" s="9" t="str">
        <f t="shared" si="154"/>
        <v>PDFを開く</v>
      </c>
      <c r="P1539" s="9" t="s">
        <v>1404</v>
      </c>
    </row>
    <row r="1540" spans="1:16" ht="33.950000000000003" customHeight="1">
      <c r="A1540" s="2" t="s">
        <v>1395</v>
      </c>
      <c r="B1540" s="2" t="s">
        <v>1386</v>
      </c>
      <c r="C1540" s="8" t="s">
        <v>1396</v>
      </c>
      <c r="D1540" s="2">
        <v>6</v>
      </c>
      <c r="E1540" s="8" t="s">
        <v>3176</v>
      </c>
      <c r="F1540" s="2" t="s">
        <v>86</v>
      </c>
      <c r="G1540" s="2" t="s">
        <v>3177</v>
      </c>
      <c r="H1540" s="2" t="s">
        <v>3178</v>
      </c>
      <c r="I1540" s="8" t="s">
        <v>3845</v>
      </c>
      <c r="J1540" s="2">
        <v>2026</v>
      </c>
      <c r="K1540" s="2">
        <v>1036</v>
      </c>
      <c r="L1540" s="8" t="s">
        <v>4979</v>
      </c>
      <c r="M1540" s="2">
        <v>15.3</v>
      </c>
      <c r="N1540" s="8" t="s">
        <v>4980</v>
      </c>
      <c r="O1540" s="8" t="str">
        <f t="shared" si="154"/>
        <v>PDFを開く</v>
      </c>
      <c r="P1540" s="8" t="s">
        <v>1404</v>
      </c>
    </row>
    <row r="1541" spans="1:16" ht="33.950000000000003" customHeight="1">
      <c r="A1541" s="5" t="s">
        <v>1395</v>
      </c>
      <c r="B1541" s="5" t="s">
        <v>1386</v>
      </c>
      <c r="C1541" s="9" t="s">
        <v>1396</v>
      </c>
      <c r="D1541" s="5">
        <v>6</v>
      </c>
      <c r="E1541" s="9" t="s">
        <v>3176</v>
      </c>
      <c r="F1541" s="5" t="s">
        <v>86</v>
      </c>
      <c r="G1541" s="5" t="s">
        <v>3177</v>
      </c>
      <c r="H1541" s="5" t="s">
        <v>3178</v>
      </c>
      <c r="I1541" s="9" t="s">
        <v>3848</v>
      </c>
      <c r="J1541" s="5">
        <v>2029</v>
      </c>
      <c r="K1541" s="5">
        <v>1590</v>
      </c>
      <c r="L1541" s="9" t="s">
        <v>4981</v>
      </c>
      <c r="M1541" s="5">
        <v>15.3</v>
      </c>
      <c r="N1541" s="9" t="s">
        <v>4980</v>
      </c>
      <c r="O1541" s="9" t="str">
        <f t="shared" si="154"/>
        <v>PDFを開く</v>
      </c>
      <c r="P1541" s="9" t="s">
        <v>1404</v>
      </c>
    </row>
    <row r="1542" spans="1:16" ht="33.950000000000003" customHeight="1">
      <c r="A1542" s="2" t="s">
        <v>1395</v>
      </c>
      <c r="B1542" s="2" t="s">
        <v>1386</v>
      </c>
      <c r="C1542" s="8" t="s">
        <v>1396</v>
      </c>
      <c r="D1542" s="2">
        <v>6</v>
      </c>
      <c r="E1542" s="8" t="s">
        <v>3188</v>
      </c>
      <c r="F1542" s="2" t="s">
        <v>86</v>
      </c>
      <c r="G1542" s="2" t="s">
        <v>3177</v>
      </c>
      <c r="H1542" s="2" t="s">
        <v>3178</v>
      </c>
      <c r="I1542" s="8" t="s">
        <v>3845</v>
      </c>
      <c r="J1542" s="2">
        <v>2026</v>
      </c>
      <c r="K1542" s="2">
        <v>364</v>
      </c>
      <c r="L1542" s="8" t="s">
        <v>4986</v>
      </c>
      <c r="M1542" s="2">
        <v>4</v>
      </c>
      <c r="N1542" s="8" t="s">
        <v>4987</v>
      </c>
      <c r="O1542" s="8" t="str">
        <f t="shared" si="154"/>
        <v>PDFを開く</v>
      </c>
      <c r="P1542" s="8" t="s">
        <v>1404</v>
      </c>
    </row>
    <row r="1543" spans="1:16" ht="33.950000000000003" customHeight="1">
      <c r="A1543" s="5" t="s">
        <v>1395</v>
      </c>
      <c r="B1543" s="5" t="s">
        <v>1386</v>
      </c>
      <c r="C1543" s="9" t="s">
        <v>1396</v>
      </c>
      <c r="D1543" s="5">
        <v>6</v>
      </c>
      <c r="E1543" s="9" t="s">
        <v>3188</v>
      </c>
      <c r="F1543" s="5" t="s">
        <v>86</v>
      </c>
      <c r="G1543" s="5" t="s">
        <v>3177</v>
      </c>
      <c r="H1543" s="5" t="s">
        <v>3178</v>
      </c>
      <c r="I1543" s="9" t="s">
        <v>3848</v>
      </c>
      <c r="J1543" s="5">
        <v>2029</v>
      </c>
      <c r="K1543" s="5">
        <v>409</v>
      </c>
      <c r="L1543" s="9" t="s">
        <v>4988</v>
      </c>
      <c r="M1543" s="5">
        <v>4</v>
      </c>
      <c r="N1543" s="9" t="s">
        <v>4987</v>
      </c>
      <c r="O1543" s="9" t="str">
        <f t="shared" si="154"/>
        <v>PDFを開く</v>
      </c>
      <c r="P1543" s="9" t="s">
        <v>1404</v>
      </c>
    </row>
    <row r="1544" spans="1:16" ht="33.950000000000003" customHeight="1">
      <c r="A1544" s="2" t="s">
        <v>1395</v>
      </c>
      <c r="B1544" s="2" t="s">
        <v>1386</v>
      </c>
      <c r="C1544" s="8" t="s">
        <v>1396</v>
      </c>
      <c r="D1544" s="2">
        <v>6</v>
      </c>
      <c r="E1544" s="8" t="s">
        <v>3184</v>
      </c>
      <c r="F1544" s="2" t="s">
        <v>86</v>
      </c>
      <c r="G1544" s="2" t="s">
        <v>3177</v>
      </c>
      <c r="H1544" s="2" t="s">
        <v>3178</v>
      </c>
      <c r="I1544" s="8" t="s">
        <v>3845</v>
      </c>
      <c r="J1544" s="2">
        <v>2026</v>
      </c>
      <c r="K1544" s="2">
        <v>325</v>
      </c>
      <c r="L1544" s="8" t="s">
        <v>4613</v>
      </c>
      <c r="M1544" s="2">
        <v>4.5</v>
      </c>
      <c r="N1544" s="8" t="s">
        <v>4983</v>
      </c>
      <c r="O1544" s="8" t="str">
        <f t="shared" si="154"/>
        <v>PDFを開く</v>
      </c>
      <c r="P1544" s="8" t="s">
        <v>1404</v>
      </c>
    </row>
    <row r="1545" spans="1:16" ht="33.950000000000003" customHeight="1">
      <c r="A1545" s="5" t="s">
        <v>1395</v>
      </c>
      <c r="B1545" s="5" t="s">
        <v>1386</v>
      </c>
      <c r="C1545" s="9" t="s">
        <v>1396</v>
      </c>
      <c r="D1545" s="5">
        <v>6</v>
      </c>
      <c r="E1545" s="9" t="s">
        <v>3184</v>
      </c>
      <c r="F1545" s="5" t="s">
        <v>86</v>
      </c>
      <c r="G1545" s="5" t="s">
        <v>3177</v>
      </c>
      <c r="H1545" s="5" t="s">
        <v>3178</v>
      </c>
      <c r="I1545" s="9" t="s">
        <v>3848</v>
      </c>
      <c r="J1545" s="5">
        <v>2029</v>
      </c>
      <c r="K1545" s="5">
        <v>371</v>
      </c>
      <c r="L1545" s="9" t="s">
        <v>4984</v>
      </c>
      <c r="M1545" s="5">
        <v>4.5</v>
      </c>
      <c r="N1545" s="9" t="s">
        <v>4983</v>
      </c>
      <c r="O1545" s="9" t="str">
        <f t="shared" si="154"/>
        <v>PDFを開く</v>
      </c>
      <c r="P1545" s="9" t="s">
        <v>1404</v>
      </c>
    </row>
    <row r="1546" spans="1:16" ht="33.950000000000003" customHeight="1">
      <c r="A1546" s="2" t="s">
        <v>1405</v>
      </c>
      <c r="B1546" s="2" t="s">
        <v>1386</v>
      </c>
      <c r="C1546" s="8" t="s">
        <v>1406</v>
      </c>
      <c r="D1546" s="2">
        <v>2</v>
      </c>
      <c r="E1546" s="8" t="s">
        <v>3176</v>
      </c>
      <c r="F1546" s="2" t="s">
        <v>86</v>
      </c>
      <c r="G1546" s="2" t="s">
        <v>3177</v>
      </c>
      <c r="H1546" s="2" t="s">
        <v>3178</v>
      </c>
      <c r="I1546" s="8" t="s">
        <v>3179</v>
      </c>
      <c r="J1546" s="2">
        <v>2026</v>
      </c>
      <c r="K1546" s="2">
        <v>693</v>
      </c>
      <c r="L1546" s="8" t="s">
        <v>4994</v>
      </c>
      <c r="M1546" s="2">
        <v>19.600000000000001</v>
      </c>
      <c r="N1546" s="8" t="s">
        <v>4995</v>
      </c>
      <c r="O1546" s="8" t="str">
        <f t="shared" ref="O1546:O1553" si="155">HYPERLINK("https://seichotoushi-hojo.jp/assets/pdf/koufu/outline__182.pdf","PDFを開く")</f>
        <v>PDFを開く</v>
      </c>
      <c r="P1546" s="8" t="s">
        <v>1413</v>
      </c>
    </row>
    <row r="1547" spans="1:16" ht="33.950000000000003" customHeight="1">
      <c r="A1547" s="5" t="s">
        <v>1405</v>
      </c>
      <c r="B1547" s="5" t="s">
        <v>1386</v>
      </c>
      <c r="C1547" s="9" t="s">
        <v>1406</v>
      </c>
      <c r="D1547" s="5">
        <v>2</v>
      </c>
      <c r="E1547" s="9" t="s">
        <v>3176</v>
      </c>
      <c r="F1547" s="5" t="s">
        <v>86</v>
      </c>
      <c r="G1547" s="5" t="s">
        <v>3177</v>
      </c>
      <c r="H1547" s="5" t="s">
        <v>3178</v>
      </c>
      <c r="I1547" s="9" t="s">
        <v>3182</v>
      </c>
      <c r="J1547" s="5">
        <v>2029</v>
      </c>
      <c r="K1547" s="5">
        <v>1185</v>
      </c>
      <c r="L1547" s="9" t="s">
        <v>4996</v>
      </c>
      <c r="M1547" s="5">
        <v>19.600000000000001</v>
      </c>
      <c r="N1547" s="9" t="s">
        <v>4995</v>
      </c>
      <c r="O1547" s="9" t="str">
        <f t="shared" si="155"/>
        <v>PDFを開く</v>
      </c>
      <c r="P1547" s="9" t="s">
        <v>1413</v>
      </c>
    </row>
    <row r="1548" spans="1:16" ht="33.950000000000003" customHeight="1">
      <c r="A1548" s="2" t="s">
        <v>1405</v>
      </c>
      <c r="B1548" s="2" t="s">
        <v>1386</v>
      </c>
      <c r="C1548" s="8" t="s">
        <v>1406</v>
      </c>
      <c r="D1548" s="2">
        <v>2</v>
      </c>
      <c r="E1548" s="8" t="s">
        <v>3184</v>
      </c>
      <c r="F1548" s="2" t="s">
        <v>86</v>
      </c>
      <c r="G1548" s="2" t="s">
        <v>3177</v>
      </c>
      <c r="H1548" s="2" t="s">
        <v>3178</v>
      </c>
      <c r="I1548" s="8" t="s">
        <v>3179</v>
      </c>
      <c r="J1548" s="2">
        <v>2026</v>
      </c>
      <c r="K1548" s="2">
        <v>534</v>
      </c>
      <c r="L1548" s="8" t="s">
        <v>4722</v>
      </c>
      <c r="M1548" s="2">
        <v>5.0999999999999996</v>
      </c>
      <c r="N1548" s="8" t="s">
        <v>4997</v>
      </c>
      <c r="O1548" s="8" t="str">
        <f t="shared" si="155"/>
        <v>PDFを開く</v>
      </c>
      <c r="P1548" s="8" t="s">
        <v>1413</v>
      </c>
    </row>
    <row r="1549" spans="1:16" ht="33.950000000000003" customHeight="1">
      <c r="A1549" s="5" t="s">
        <v>1405</v>
      </c>
      <c r="B1549" s="5" t="s">
        <v>1386</v>
      </c>
      <c r="C1549" s="9" t="s">
        <v>1406</v>
      </c>
      <c r="D1549" s="5">
        <v>2</v>
      </c>
      <c r="E1549" s="9" t="s">
        <v>3184</v>
      </c>
      <c r="F1549" s="5" t="s">
        <v>86</v>
      </c>
      <c r="G1549" s="5" t="s">
        <v>3177</v>
      </c>
      <c r="H1549" s="5" t="s">
        <v>3178</v>
      </c>
      <c r="I1549" s="9" t="s">
        <v>3182</v>
      </c>
      <c r="J1549" s="5">
        <v>2029</v>
      </c>
      <c r="K1549" s="5">
        <v>619</v>
      </c>
      <c r="L1549" s="9" t="s">
        <v>4998</v>
      </c>
      <c r="M1549" s="5">
        <v>5.0999999999999996</v>
      </c>
      <c r="N1549" s="9" t="s">
        <v>4997</v>
      </c>
      <c r="O1549" s="9" t="str">
        <f t="shared" si="155"/>
        <v>PDFを開く</v>
      </c>
      <c r="P1549" s="9" t="s">
        <v>1413</v>
      </c>
    </row>
    <row r="1550" spans="1:16" ht="33.950000000000003" customHeight="1">
      <c r="A1550" s="2" t="s">
        <v>1405</v>
      </c>
      <c r="B1550" s="2" t="s">
        <v>1386</v>
      </c>
      <c r="C1550" s="8" t="s">
        <v>1406</v>
      </c>
      <c r="D1550" s="2">
        <v>2</v>
      </c>
      <c r="E1550" s="8" t="s">
        <v>3188</v>
      </c>
      <c r="F1550" s="2" t="s">
        <v>86</v>
      </c>
      <c r="G1550" s="2" t="s">
        <v>3177</v>
      </c>
      <c r="H1550" s="2" t="s">
        <v>3178</v>
      </c>
      <c r="I1550" s="8" t="s">
        <v>3179</v>
      </c>
      <c r="J1550" s="2">
        <v>2026</v>
      </c>
      <c r="K1550" s="2">
        <v>1624</v>
      </c>
      <c r="L1550" s="8" t="s">
        <v>4999</v>
      </c>
      <c r="M1550" s="2">
        <v>5</v>
      </c>
      <c r="N1550" s="8" t="s">
        <v>5000</v>
      </c>
      <c r="O1550" s="8" t="str">
        <f t="shared" si="155"/>
        <v>PDFを開く</v>
      </c>
      <c r="P1550" s="8" t="s">
        <v>1413</v>
      </c>
    </row>
    <row r="1551" spans="1:16" ht="33.950000000000003" customHeight="1">
      <c r="A1551" s="5" t="s">
        <v>1405</v>
      </c>
      <c r="B1551" s="5" t="s">
        <v>1386</v>
      </c>
      <c r="C1551" s="9" t="s">
        <v>1406</v>
      </c>
      <c r="D1551" s="5">
        <v>2</v>
      </c>
      <c r="E1551" s="9" t="s">
        <v>3188</v>
      </c>
      <c r="F1551" s="5" t="s">
        <v>86</v>
      </c>
      <c r="G1551" s="5" t="s">
        <v>3177</v>
      </c>
      <c r="H1551" s="5" t="s">
        <v>3178</v>
      </c>
      <c r="I1551" s="9" t="s">
        <v>3182</v>
      </c>
      <c r="J1551" s="5">
        <v>2029</v>
      </c>
      <c r="K1551" s="5">
        <v>1880</v>
      </c>
      <c r="L1551" s="9" t="s">
        <v>5001</v>
      </c>
      <c r="M1551" s="5">
        <v>5</v>
      </c>
      <c r="N1551" s="9" t="s">
        <v>5000</v>
      </c>
      <c r="O1551" s="9" t="str">
        <f t="shared" si="155"/>
        <v>PDFを開く</v>
      </c>
      <c r="P1551" s="9" t="s">
        <v>1413</v>
      </c>
    </row>
    <row r="1552" spans="1:16" ht="33.950000000000003" customHeight="1">
      <c r="A1552" s="2" t="s">
        <v>1405</v>
      </c>
      <c r="B1552" s="2" t="s">
        <v>1386</v>
      </c>
      <c r="C1552" s="8" t="s">
        <v>1406</v>
      </c>
      <c r="D1552" s="2">
        <v>2</v>
      </c>
      <c r="E1552" s="8" t="s">
        <v>3191</v>
      </c>
      <c r="F1552" s="2" t="s">
        <v>2513</v>
      </c>
      <c r="G1552" s="2" t="s">
        <v>3177</v>
      </c>
      <c r="H1552" s="2" t="s">
        <v>3178</v>
      </c>
      <c r="I1552" s="8" t="s">
        <v>3179</v>
      </c>
      <c r="J1552" s="2">
        <v>2026</v>
      </c>
      <c r="K1552" s="2">
        <v>287</v>
      </c>
      <c r="L1552" s="8" t="s">
        <v>5002</v>
      </c>
      <c r="M1552" s="2"/>
      <c r="N1552" s="8" t="s">
        <v>5003</v>
      </c>
      <c r="O1552" s="8" t="str">
        <f t="shared" si="155"/>
        <v>PDFを開く</v>
      </c>
      <c r="P1552" s="8" t="s">
        <v>1413</v>
      </c>
    </row>
    <row r="1553" spans="1:16" ht="33.950000000000003" customHeight="1">
      <c r="A1553" s="5" t="s">
        <v>1405</v>
      </c>
      <c r="B1553" s="5" t="s">
        <v>1386</v>
      </c>
      <c r="C1553" s="9" t="s">
        <v>1406</v>
      </c>
      <c r="D1553" s="5">
        <v>2</v>
      </c>
      <c r="E1553" s="9" t="s">
        <v>3191</v>
      </c>
      <c r="F1553" s="5" t="s">
        <v>2513</v>
      </c>
      <c r="G1553" s="5" t="s">
        <v>3177</v>
      </c>
      <c r="H1553" s="5" t="s">
        <v>3178</v>
      </c>
      <c r="I1553" s="9" t="s">
        <v>3182</v>
      </c>
      <c r="J1553" s="5">
        <v>2029</v>
      </c>
      <c r="K1553" s="5">
        <v>385</v>
      </c>
      <c r="L1553" s="9" t="s">
        <v>3511</v>
      </c>
      <c r="M1553" s="5"/>
      <c r="N1553" s="9" t="s">
        <v>5003</v>
      </c>
      <c r="O1553" s="9" t="str">
        <f t="shared" si="155"/>
        <v>PDFを開く</v>
      </c>
      <c r="P1553" s="9" t="s">
        <v>1413</v>
      </c>
    </row>
    <row r="1554" spans="1:16" ht="33.950000000000003" customHeight="1">
      <c r="A1554" s="2" t="s">
        <v>1414</v>
      </c>
      <c r="B1554" s="2" t="s">
        <v>1386</v>
      </c>
      <c r="C1554" s="8" t="s">
        <v>1415</v>
      </c>
      <c r="D1554" s="2">
        <v>2</v>
      </c>
      <c r="E1554" s="8" t="s">
        <v>3176</v>
      </c>
      <c r="F1554" s="2" t="s">
        <v>86</v>
      </c>
      <c r="G1554" s="2" t="s">
        <v>3177</v>
      </c>
      <c r="H1554" s="2" t="s">
        <v>3178</v>
      </c>
      <c r="I1554" s="8" t="s">
        <v>5004</v>
      </c>
      <c r="J1554" s="2">
        <v>2027</v>
      </c>
      <c r="K1554" s="2">
        <v>925</v>
      </c>
      <c r="L1554" s="8" t="s">
        <v>5005</v>
      </c>
      <c r="M1554" s="2">
        <v>22.4</v>
      </c>
      <c r="N1554" s="8" t="s">
        <v>5006</v>
      </c>
      <c r="O1554" s="8" t="str">
        <f t="shared" ref="O1554:O1561" si="156">HYPERLINK("https://seichotoushi-hojo.jp/assets/pdf/koufu/outline__183.pdf","PDFを開く")</f>
        <v>PDFを開く</v>
      </c>
      <c r="P1554" s="8" t="s">
        <v>1421</v>
      </c>
    </row>
    <row r="1555" spans="1:16" ht="33.950000000000003" customHeight="1">
      <c r="A1555" s="5" t="s">
        <v>1414</v>
      </c>
      <c r="B1555" s="5" t="s">
        <v>1386</v>
      </c>
      <c r="C1555" s="9" t="s">
        <v>1415</v>
      </c>
      <c r="D1555" s="5">
        <v>2</v>
      </c>
      <c r="E1555" s="9" t="s">
        <v>3176</v>
      </c>
      <c r="F1555" s="5" t="s">
        <v>86</v>
      </c>
      <c r="G1555" s="5" t="s">
        <v>3177</v>
      </c>
      <c r="H1555" s="5" t="s">
        <v>3178</v>
      </c>
      <c r="I1555" s="9" t="s">
        <v>5007</v>
      </c>
      <c r="J1555" s="5">
        <v>2030</v>
      </c>
      <c r="K1555" s="5">
        <v>1695</v>
      </c>
      <c r="L1555" s="9" t="s">
        <v>5008</v>
      </c>
      <c r="M1555" s="5">
        <v>22.4</v>
      </c>
      <c r="N1555" s="9" t="s">
        <v>5006</v>
      </c>
      <c r="O1555" s="9" t="str">
        <f t="shared" si="156"/>
        <v>PDFを開く</v>
      </c>
      <c r="P1555" s="9" t="s">
        <v>1421</v>
      </c>
    </row>
    <row r="1556" spans="1:16" ht="33.950000000000003" customHeight="1">
      <c r="A1556" s="2" t="s">
        <v>1414</v>
      </c>
      <c r="B1556" s="2" t="s">
        <v>1386</v>
      </c>
      <c r="C1556" s="8" t="s">
        <v>1415</v>
      </c>
      <c r="D1556" s="2">
        <v>2</v>
      </c>
      <c r="E1556" s="8" t="s">
        <v>3184</v>
      </c>
      <c r="F1556" s="2" t="s">
        <v>86</v>
      </c>
      <c r="G1556" s="2" t="s">
        <v>3177</v>
      </c>
      <c r="H1556" s="2" t="s">
        <v>3178</v>
      </c>
      <c r="I1556" s="8" t="s">
        <v>5004</v>
      </c>
      <c r="J1556" s="2">
        <v>2027</v>
      </c>
      <c r="K1556" s="2">
        <v>385</v>
      </c>
      <c r="L1556" s="8" t="s">
        <v>3511</v>
      </c>
      <c r="M1556" s="2">
        <v>5</v>
      </c>
      <c r="N1556" s="8" t="s">
        <v>5009</v>
      </c>
      <c r="O1556" s="8" t="str">
        <f t="shared" si="156"/>
        <v>PDFを開く</v>
      </c>
      <c r="P1556" s="8" t="s">
        <v>1421</v>
      </c>
    </row>
    <row r="1557" spans="1:16" ht="33.950000000000003" customHeight="1">
      <c r="A1557" s="5" t="s">
        <v>1414</v>
      </c>
      <c r="B1557" s="5" t="s">
        <v>1386</v>
      </c>
      <c r="C1557" s="9" t="s">
        <v>1415</v>
      </c>
      <c r="D1557" s="5">
        <v>2</v>
      </c>
      <c r="E1557" s="9" t="s">
        <v>3184</v>
      </c>
      <c r="F1557" s="5" t="s">
        <v>86</v>
      </c>
      <c r="G1557" s="5" t="s">
        <v>3177</v>
      </c>
      <c r="H1557" s="5" t="s">
        <v>3178</v>
      </c>
      <c r="I1557" s="9" t="s">
        <v>5007</v>
      </c>
      <c r="J1557" s="5">
        <v>2030</v>
      </c>
      <c r="K1557" s="5">
        <v>446</v>
      </c>
      <c r="L1557" s="9" t="s">
        <v>4434</v>
      </c>
      <c r="M1557" s="5">
        <v>5</v>
      </c>
      <c r="N1557" s="9" t="s">
        <v>5009</v>
      </c>
      <c r="O1557" s="9" t="str">
        <f t="shared" si="156"/>
        <v>PDFを開く</v>
      </c>
      <c r="P1557" s="9" t="s">
        <v>1421</v>
      </c>
    </row>
    <row r="1558" spans="1:16" ht="33.950000000000003" customHeight="1">
      <c r="A1558" s="2" t="s">
        <v>1414</v>
      </c>
      <c r="B1558" s="2" t="s">
        <v>1386</v>
      </c>
      <c r="C1558" s="8" t="s">
        <v>1415</v>
      </c>
      <c r="D1558" s="2">
        <v>2</v>
      </c>
      <c r="E1558" s="8" t="s">
        <v>3188</v>
      </c>
      <c r="F1558" s="2" t="s">
        <v>86</v>
      </c>
      <c r="G1558" s="2" t="s">
        <v>3177</v>
      </c>
      <c r="H1558" s="2" t="s">
        <v>3178</v>
      </c>
      <c r="I1558" s="8" t="s">
        <v>5004</v>
      </c>
      <c r="J1558" s="2">
        <v>2027</v>
      </c>
      <c r="K1558" s="2">
        <v>1041</v>
      </c>
      <c r="L1558" s="8" t="s">
        <v>5010</v>
      </c>
      <c r="M1558" s="2">
        <v>5</v>
      </c>
      <c r="N1558" s="8" t="s">
        <v>5011</v>
      </c>
      <c r="O1558" s="8" t="str">
        <f t="shared" si="156"/>
        <v>PDFを開く</v>
      </c>
      <c r="P1558" s="8" t="s">
        <v>1421</v>
      </c>
    </row>
    <row r="1559" spans="1:16" ht="33.950000000000003" customHeight="1">
      <c r="A1559" s="5" t="s">
        <v>1414</v>
      </c>
      <c r="B1559" s="5" t="s">
        <v>1386</v>
      </c>
      <c r="C1559" s="9" t="s">
        <v>1415</v>
      </c>
      <c r="D1559" s="5">
        <v>2</v>
      </c>
      <c r="E1559" s="9" t="s">
        <v>3188</v>
      </c>
      <c r="F1559" s="5" t="s">
        <v>86</v>
      </c>
      <c r="G1559" s="5" t="s">
        <v>3177</v>
      </c>
      <c r="H1559" s="5" t="s">
        <v>3178</v>
      </c>
      <c r="I1559" s="9" t="s">
        <v>5007</v>
      </c>
      <c r="J1559" s="5">
        <v>2030</v>
      </c>
      <c r="K1559" s="5">
        <v>1205</v>
      </c>
      <c r="L1559" s="9" t="s">
        <v>5012</v>
      </c>
      <c r="M1559" s="5">
        <v>5</v>
      </c>
      <c r="N1559" s="9" t="s">
        <v>5011</v>
      </c>
      <c r="O1559" s="9" t="str">
        <f t="shared" si="156"/>
        <v>PDFを開く</v>
      </c>
      <c r="P1559" s="9" t="s">
        <v>1421</v>
      </c>
    </row>
    <row r="1560" spans="1:16" ht="33.950000000000003" customHeight="1">
      <c r="A1560" s="2" t="s">
        <v>1414</v>
      </c>
      <c r="B1560" s="2" t="s">
        <v>1386</v>
      </c>
      <c r="C1560" s="8" t="s">
        <v>1415</v>
      </c>
      <c r="D1560" s="2">
        <v>2</v>
      </c>
      <c r="E1560" s="8" t="s">
        <v>3191</v>
      </c>
      <c r="F1560" s="2" t="s">
        <v>2513</v>
      </c>
      <c r="G1560" s="2" t="s">
        <v>3177</v>
      </c>
      <c r="H1560" s="2" t="s">
        <v>3178</v>
      </c>
      <c r="I1560" s="8" t="s">
        <v>5004</v>
      </c>
      <c r="J1560" s="2">
        <v>2027</v>
      </c>
      <c r="K1560" s="2">
        <v>190</v>
      </c>
      <c r="L1560" s="8" t="s">
        <v>5013</v>
      </c>
      <c r="M1560" s="2"/>
      <c r="N1560" s="8" t="s">
        <v>5014</v>
      </c>
      <c r="O1560" s="8" t="str">
        <f t="shared" si="156"/>
        <v>PDFを開く</v>
      </c>
      <c r="P1560" s="8" t="s">
        <v>1421</v>
      </c>
    </row>
    <row r="1561" spans="1:16" ht="33.950000000000003" customHeight="1">
      <c r="A1561" s="5" t="s">
        <v>1414</v>
      </c>
      <c r="B1561" s="5" t="s">
        <v>1386</v>
      </c>
      <c r="C1561" s="9" t="s">
        <v>1415</v>
      </c>
      <c r="D1561" s="5">
        <v>2</v>
      </c>
      <c r="E1561" s="9" t="s">
        <v>3191</v>
      </c>
      <c r="F1561" s="5" t="s">
        <v>2513</v>
      </c>
      <c r="G1561" s="5" t="s">
        <v>3177</v>
      </c>
      <c r="H1561" s="5" t="s">
        <v>3178</v>
      </c>
      <c r="I1561" s="9" t="s">
        <v>5007</v>
      </c>
      <c r="J1561" s="5">
        <v>2030</v>
      </c>
      <c r="K1561" s="5">
        <v>208</v>
      </c>
      <c r="L1561" s="9" t="s">
        <v>5015</v>
      </c>
      <c r="M1561" s="5"/>
      <c r="N1561" s="9" t="s">
        <v>5014</v>
      </c>
      <c r="O1561" s="9" t="str">
        <f t="shared" si="156"/>
        <v>PDFを開く</v>
      </c>
      <c r="P1561" s="9" t="s">
        <v>1421</v>
      </c>
    </row>
    <row r="1562" spans="1:16" ht="33.950000000000003" customHeight="1">
      <c r="A1562" s="2" t="s">
        <v>1422</v>
      </c>
      <c r="B1562" s="2" t="s">
        <v>1386</v>
      </c>
      <c r="C1562" s="8" t="s">
        <v>1423</v>
      </c>
      <c r="D1562" s="2">
        <v>2</v>
      </c>
      <c r="E1562" s="8" t="s">
        <v>3176</v>
      </c>
      <c r="F1562" s="2" t="s">
        <v>86</v>
      </c>
      <c r="G1562" s="2" t="s">
        <v>3177</v>
      </c>
      <c r="H1562" s="2" t="s">
        <v>3178</v>
      </c>
      <c r="I1562" s="8" t="s">
        <v>3407</v>
      </c>
      <c r="J1562" s="2">
        <v>2025</v>
      </c>
      <c r="K1562" s="2">
        <v>1392</v>
      </c>
      <c r="L1562" s="8" t="s">
        <v>5016</v>
      </c>
      <c r="M1562" s="2">
        <v>2</v>
      </c>
      <c r="N1562" s="8" t="s">
        <v>5017</v>
      </c>
      <c r="O1562" s="8" t="str">
        <f t="shared" ref="O1562:O1576" si="157">HYPERLINK("https://seichotoushi-hojo.jp/assets/pdf/koufu/outline__184.pdf","PDFを開く")</f>
        <v>PDFを開く</v>
      </c>
      <c r="P1562" s="8" t="s">
        <v>1430</v>
      </c>
    </row>
    <row r="1563" spans="1:16" ht="33.950000000000003" customHeight="1">
      <c r="A1563" s="5" t="s">
        <v>1422</v>
      </c>
      <c r="B1563" s="5" t="s">
        <v>1386</v>
      </c>
      <c r="C1563" s="9" t="s">
        <v>1423</v>
      </c>
      <c r="D1563" s="5">
        <v>2</v>
      </c>
      <c r="E1563" s="9" t="s">
        <v>3176</v>
      </c>
      <c r="F1563" s="5" t="s">
        <v>86</v>
      </c>
      <c r="G1563" s="5" t="s">
        <v>3177</v>
      </c>
      <c r="H1563" s="5" t="s">
        <v>3178</v>
      </c>
      <c r="I1563" s="9" t="s">
        <v>3335</v>
      </c>
      <c r="J1563" s="5">
        <v>2028</v>
      </c>
      <c r="K1563" s="5">
        <v>1957</v>
      </c>
      <c r="L1563" s="9" t="s">
        <v>5018</v>
      </c>
      <c r="M1563" s="5">
        <v>2</v>
      </c>
      <c r="N1563" s="9" t="s">
        <v>5017</v>
      </c>
      <c r="O1563" s="9" t="str">
        <f t="shared" si="157"/>
        <v>PDFを開く</v>
      </c>
      <c r="P1563" s="9" t="s">
        <v>1430</v>
      </c>
    </row>
    <row r="1564" spans="1:16" ht="33.950000000000003" customHeight="1">
      <c r="A1564" s="2" t="s">
        <v>1422</v>
      </c>
      <c r="B1564" s="2" t="s">
        <v>1386</v>
      </c>
      <c r="C1564" s="8" t="s">
        <v>1423</v>
      </c>
      <c r="D1564" s="2">
        <v>2</v>
      </c>
      <c r="E1564" s="8" t="s">
        <v>3184</v>
      </c>
      <c r="F1564" s="2" t="s">
        <v>86</v>
      </c>
      <c r="G1564" s="2" t="s">
        <v>3177</v>
      </c>
      <c r="H1564" s="2" t="s">
        <v>3178</v>
      </c>
      <c r="I1564" s="8" t="s">
        <v>3407</v>
      </c>
      <c r="J1564" s="2">
        <v>2025</v>
      </c>
      <c r="K1564" s="2">
        <v>520</v>
      </c>
      <c r="L1564" s="8" t="s">
        <v>3325</v>
      </c>
      <c r="M1564" s="2">
        <v>5</v>
      </c>
      <c r="N1564" s="8" t="s">
        <v>5019</v>
      </c>
      <c r="O1564" s="8" t="str">
        <f t="shared" si="157"/>
        <v>PDFを開く</v>
      </c>
      <c r="P1564" s="8" t="s">
        <v>1430</v>
      </c>
    </row>
    <row r="1565" spans="1:16" ht="33.950000000000003" customHeight="1">
      <c r="A1565" s="5" t="s">
        <v>1422</v>
      </c>
      <c r="B1565" s="5" t="s">
        <v>1386</v>
      </c>
      <c r="C1565" s="9" t="s">
        <v>1423</v>
      </c>
      <c r="D1565" s="5">
        <v>2</v>
      </c>
      <c r="E1565" s="9" t="s">
        <v>3184</v>
      </c>
      <c r="F1565" s="5" t="s">
        <v>86</v>
      </c>
      <c r="G1565" s="5" t="s">
        <v>3177</v>
      </c>
      <c r="H1565" s="5" t="s">
        <v>3178</v>
      </c>
      <c r="I1565" s="9" t="s">
        <v>3335</v>
      </c>
      <c r="J1565" s="5">
        <v>2028</v>
      </c>
      <c r="K1565" s="5">
        <v>603</v>
      </c>
      <c r="L1565" s="9" t="s">
        <v>3592</v>
      </c>
      <c r="M1565" s="5">
        <v>5</v>
      </c>
      <c r="N1565" s="9" t="s">
        <v>5019</v>
      </c>
      <c r="O1565" s="9" t="str">
        <f t="shared" si="157"/>
        <v>PDFを開く</v>
      </c>
      <c r="P1565" s="9" t="s">
        <v>1430</v>
      </c>
    </row>
    <row r="1566" spans="1:16" ht="33.950000000000003" customHeight="1">
      <c r="A1566" s="2" t="s">
        <v>1422</v>
      </c>
      <c r="B1566" s="2" t="s">
        <v>1386</v>
      </c>
      <c r="C1566" s="8" t="s">
        <v>1423</v>
      </c>
      <c r="D1566" s="2">
        <v>2</v>
      </c>
      <c r="E1566" s="8" t="s">
        <v>3188</v>
      </c>
      <c r="F1566" s="2" t="s">
        <v>86</v>
      </c>
      <c r="G1566" s="19" t="s">
        <v>3189</v>
      </c>
      <c r="H1566" s="2" t="s">
        <v>3178</v>
      </c>
      <c r="I1566" s="8"/>
      <c r="J1566" s="2"/>
      <c r="K1566" s="2"/>
      <c r="L1566" s="8"/>
      <c r="M1566" s="2">
        <v>5</v>
      </c>
      <c r="N1566" s="8" t="s">
        <v>3377</v>
      </c>
      <c r="O1566" s="8" t="str">
        <f t="shared" si="157"/>
        <v>PDFを開く</v>
      </c>
      <c r="P1566" s="8" t="s">
        <v>1430</v>
      </c>
    </row>
    <row r="1567" spans="1:16" ht="33.950000000000003" customHeight="1">
      <c r="A1567" s="5" t="s">
        <v>1422</v>
      </c>
      <c r="B1567" s="5" t="s">
        <v>1386</v>
      </c>
      <c r="C1567" s="9" t="s">
        <v>1423</v>
      </c>
      <c r="D1567" s="5">
        <v>2</v>
      </c>
      <c r="E1567" s="9" t="s">
        <v>3191</v>
      </c>
      <c r="F1567" s="5" t="s">
        <v>2513</v>
      </c>
      <c r="G1567" s="5" t="s">
        <v>3177</v>
      </c>
      <c r="H1567" s="5" t="s">
        <v>3178</v>
      </c>
      <c r="I1567" s="9" t="s">
        <v>3407</v>
      </c>
      <c r="J1567" s="5">
        <v>2025</v>
      </c>
      <c r="K1567" s="5">
        <v>104</v>
      </c>
      <c r="L1567" s="9" t="s">
        <v>3444</v>
      </c>
      <c r="M1567" s="5"/>
      <c r="N1567" s="9" t="s">
        <v>5020</v>
      </c>
      <c r="O1567" s="9" t="str">
        <f t="shared" si="157"/>
        <v>PDFを開く</v>
      </c>
      <c r="P1567" s="9" t="s">
        <v>1430</v>
      </c>
    </row>
    <row r="1568" spans="1:16" ht="33.950000000000003" customHeight="1">
      <c r="A1568" s="2" t="s">
        <v>1422</v>
      </c>
      <c r="B1568" s="2" t="s">
        <v>1386</v>
      </c>
      <c r="C1568" s="8" t="s">
        <v>1423</v>
      </c>
      <c r="D1568" s="2">
        <v>2</v>
      </c>
      <c r="E1568" s="8" t="s">
        <v>3191</v>
      </c>
      <c r="F1568" s="2" t="s">
        <v>2513</v>
      </c>
      <c r="G1568" s="2" t="s">
        <v>3177</v>
      </c>
      <c r="H1568" s="2" t="s">
        <v>3178</v>
      </c>
      <c r="I1568" s="8" t="s">
        <v>3335</v>
      </c>
      <c r="J1568" s="2">
        <v>2028</v>
      </c>
      <c r="K1568" s="2">
        <v>117</v>
      </c>
      <c r="L1568" s="8" t="s">
        <v>4727</v>
      </c>
      <c r="M1568" s="2"/>
      <c r="N1568" s="8" t="s">
        <v>5020</v>
      </c>
      <c r="O1568" s="8" t="str">
        <f t="shared" si="157"/>
        <v>PDFを開く</v>
      </c>
      <c r="P1568" s="8" t="s">
        <v>1430</v>
      </c>
    </row>
    <row r="1569" spans="1:16" ht="33.950000000000003" customHeight="1">
      <c r="A1569" s="5" t="s">
        <v>1422</v>
      </c>
      <c r="B1569" s="5" t="s">
        <v>1386</v>
      </c>
      <c r="C1569" s="9" t="s">
        <v>1423</v>
      </c>
      <c r="D1569" s="5">
        <v>2</v>
      </c>
      <c r="E1569" s="9" t="s">
        <v>3176</v>
      </c>
      <c r="F1569" s="5" t="s">
        <v>86</v>
      </c>
      <c r="G1569" s="5" t="s">
        <v>3177</v>
      </c>
      <c r="H1569" s="5"/>
      <c r="I1569" s="9" t="s">
        <v>4290</v>
      </c>
      <c r="J1569" s="5">
        <v>2025</v>
      </c>
      <c r="K1569" s="5">
        <v>1392</v>
      </c>
      <c r="L1569" s="9" t="s">
        <v>5021</v>
      </c>
      <c r="M1569" s="5">
        <v>12</v>
      </c>
      <c r="N1569" s="9" t="s">
        <v>5022</v>
      </c>
      <c r="O1569" s="9" t="str">
        <f t="shared" si="157"/>
        <v>PDFを開く</v>
      </c>
      <c r="P1569" s="9" t="s">
        <v>1430</v>
      </c>
    </row>
    <row r="1570" spans="1:16" ht="33.950000000000003" customHeight="1">
      <c r="A1570" s="2" t="s">
        <v>1422</v>
      </c>
      <c r="B1570" s="2" t="s">
        <v>1386</v>
      </c>
      <c r="C1570" s="8" t="s">
        <v>1423</v>
      </c>
      <c r="D1570" s="2">
        <v>2</v>
      </c>
      <c r="E1570" s="8" t="s">
        <v>3176</v>
      </c>
      <c r="F1570" s="2" t="s">
        <v>86</v>
      </c>
      <c r="G1570" s="2" t="s">
        <v>3177</v>
      </c>
      <c r="H1570" s="2"/>
      <c r="I1570" s="8" t="s">
        <v>4533</v>
      </c>
      <c r="J1570" s="2">
        <v>2028</v>
      </c>
      <c r="K1570" s="2">
        <v>1957</v>
      </c>
      <c r="L1570" s="8" t="s">
        <v>5023</v>
      </c>
      <c r="M1570" s="2">
        <v>12</v>
      </c>
      <c r="N1570" s="8" t="s">
        <v>5022</v>
      </c>
      <c r="O1570" s="8" t="str">
        <f t="shared" si="157"/>
        <v>PDFを開く</v>
      </c>
      <c r="P1570" s="8" t="s">
        <v>1430</v>
      </c>
    </row>
    <row r="1571" spans="1:16" ht="33.950000000000003" customHeight="1">
      <c r="A1571" s="5" t="s">
        <v>1422</v>
      </c>
      <c r="B1571" s="5" t="s">
        <v>1386</v>
      </c>
      <c r="C1571" s="9" t="s">
        <v>1423</v>
      </c>
      <c r="D1571" s="5">
        <v>2</v>
      </c>
      <c r="E1571" s="9" t="s">
        <v>3184</v>
      </c>
      <c r="F1571" s="5" t="s">
        <v>86</v>
      </c>
      <c r="G1571" s="5" t="s">
        <v>3177</v>
      </c>
      <c r="H1571" s="5"/>
      <c r="I1571" s="9" t="s">
        <v>4290</v>
      </c>
      <c r="J1571" s="5">
        <v>2025</v>
      </c>
      <c r="K1571" s="5">
        <v>520</v>
      </c>
      <c r="L1571" s="9" t="s">
        <v>3325</v>
      </c>
      <c r="M1571" s="5">
        <v>5</v>
      </c>
      <c r="N1571" s="9" t="s">
        <v>5024</v>
      </c>
      <c r="O1571" s="9" t="str">
        <f t="shared" si="157"/>
        <v>PDFを開く</v>
      </c>
      <c r="P1571" s="9" t="s">
        <v>1430</v>
      </c>
    </row>
    <row r="1572" spans="1:16" ht="33.950000000000003" customHeight="1">
      <c r="A1572" s="2" t="s">
        <v>1422</v>
      </c>
      <c r="B1572" s="2" t="s">
        <v>1386</v>
      </c>
      <c r="C1572" s="8" t="s">
        <v>1423</v>
      </c>
      <c r="D1572" s="2">
        <v>2</v>
      </c>
      <c r="E1572" s="8" t="s">
        <v>3184</v>
      </c>
      <c r="F1572" s="2" t="s">
        <v>86</v>
      </c>
      <c r="G1572" s="2" t="s">
        <v>3177</v>
      </c>
      <c r="H1572" s="2"/>
      <c r="I1572" s="8" t="s">
        <v>4533</v>
      </c>
      <c r="J1572" s="2">
        <v>2028</v>
      </c>
      <c r="K1572" s="2">
        <v>603</v>
      </c>
      <c r="L1572" s="8" t="s">
        <v>3592</v>
      </c>
      <c r="M1572" s="2">
        <v>5</v>
      </c>
      <c r="N1572" s="8" t="s">
        <v>5024</v>
      </c>
      <c r="O1572" s="8" t="str">
        <f t="shared" si="157"/>
        <v>PDFを開く</v>
      </c>
      <c r="P1572" s="8" t="s">
        <v>1430</v>
      </c>
    </row>
    <row r="1573" spans="1:16" ht="33.950000000000003" customHeight="1">
      <c r="A1573" s="5" t="s">
        <v>1422</v>
      </c>
      <c r="B1573" s="5" t="s">
        <v>1386</v>
      </c>
      <c r="C1573" s="9" t="s">
        <v>1423</v>
      </c>
      <c r="D1573" s="5">
        <v>2</v>
      </c>
      <c r="E1573" s="9" t="s">
        <v>3191</v>
      </c>
      <c r="F1573" s="5" t="s">
        <v>2513</v>
      </c>
      <c r="G1573" s="5" t="s">
        <v>3177</v>
      </c>
      <c r="H1573" s="5"/>
      <c r="I1573" s="9" t="s">
        <v>4290</v>
      </c>
      <c r="J1573" s="5">
        <v>2025</v>
      </c>
      <c r="K1573" s="5">
        <v>104</v>
      </c>
      <c r="L1573" s="9" t="s">
        <v>3444</v>
      </c>
      <c r="M1573" s="5"/>
      <c r="N1573" s="9" t="s">
        <v>5025</v>
      </c>
      <c r="O1573" s="9" t="str">
        <f t="shared" si="157"/>
        <v>PDFを開く</v>
      </c>
      <c r="P1573" s="9" t="s">
        <v>1430</v>
      </c>
    </row>
    <row r="1574" spans="1:16" ht="33.950000000000003" customHeight="1">
      <c r="A1574" s="2" t="s">
        <v>1422</v>
      </c>
      <c r="B1574" s="2" t="s">
        <v>1386</v>
      </c>
      <c r="C1574" s="8" t="s">
        <v>1423</v>
      </c>
      <c r="D1574" s="2">
        <v>2</v>
      </c>
      <c r="E1574" s="8" t="s">
        <v>3191</v>
      </c>
      <c r="F1574" s="2" t="s">
        <v>2513</v>
      </c>
      <c r="G1574" s="2" t="s">
        <v>3177</v>
      </c>
      <c r="H1574" s="2"/>
      <c r="I1574" s="8" t="s">
        <v>4533</v>
      </c>
      <c r="J1574" s="2">
        <v>2028</v>
      </c>
      <c r="K1574" s="2">
        <v>117</v>
      </c>
      <c r="L1574" s="8" t="s">
        <v>4727</v>
      </c>
      <c r="M1574" s="2"/>
      <c r="N1574" s="8" t="s">
        <v>5025</v>
      </c>
      <c r="O1574" s="8" t="str">
        <f t="shared" si="157"/>
        <v>PDFを開く</v>
      </c>
      <c r="P1574" s="8" t="s">
        <v>1430</v>
      </c>
    </row>
    <row r="1575" spans="1:16" ht="33.950000000000003" customHeight="1">
      <c r="A1575" s="5" t="s">
        <v>1422</v>
      </c>
      <c r="B1575" s="5" t="s">
        <v>1386</v>
      </c>
      <c r="C1575" s="9" t="s">
        <v>1423</v>
      </c>
      <c r="D1575" s="5">
        <v>2</v>
      </c>
      <c r="E1575" s="9" t="s">
        <v>3188</v>
      </c>
      <c r="F1575" s="5" t="s">
        <v>86</v>
      </c>
      <c r="G1575" s="5" t="s">
        <v>3177</v>
      </c>
      <c r="H1575" s="5"/>
      <c r="I1575" s="9" t="s">
        <v>5026</v>
      </c>
      <c r="J1575" s="5">
        <v>2025</v>
      </c>
      <c r="K1575" s="5"/>
      <c r="L1575" s="9" t="s">
        <v>3211</v>
      </c>
      <c r="M1575" s="5">
        <v>5</v>
      </c>
      <c r="N1575" s="9" t="s">
        <v>3382</v>
      </c>
      <c r="O1575" s="9" t="str">
        <f t="shared" si="157"/>
        <v>PDFを開く</v>
      </c>
      <c r="P1575" s="9" t="s">
        <v>1430</v>
      </c>
    </row>
    <row r="1576" spans="1:16" ht="33.950000000000003" customHeight="1">
      <c r="A1576" s="2" t="s">
        <v>1422</v>
      </c>
      <c r="B1576" s="2" t="s">
        <v>1386</v>
      </c>
      <c r="C1576" s="8" t="s">
        <v>1423</v>
      </c>
      <c r="D1576" s="2">
        <v>2</v>
      </c>
      <c r="E1576" s="8" t="s">
        <v>3188</v>
      </c>
      <c r="F1576" s="2" t="s">
        <v>86</v>
      </c>
      <c r="G1576" s="2" t="s">
        <v>3177</v>
      </c>
      <c r="H1576" s="2"/>
      <c r="I1576" s="8" t="s">
        <v>5027</v>
      </c>
      <c r="J1576" s="2">
        <v>2028</v>
      </c>
      <c r="K1576" s="2"/>
      <c r="L1576" s="8" t="s">
        <v>3384</v>
      </c>
      <c r="M1576" s="2">
        <v>5</v>
      </c>
      <c r="N1576" s="8" t="s">
        <v>3382</v>
      </c>
      <c r="O1576" s="8" t="str">
        <f t="shared" si="157"/>
        <v>PDFを開く</v>
      </c>
      <c r="P1576" s="8" t="s">
        <v>1430</v>
      </c>
    </row>
    <row r="1577" spans="1:16" ht="33.950000000000003" customHeight="1">
      <c r="A1577" s="5" t="s">
        <v>1431</v>
      </c>
      <c r="B1577" s="5" t="s">
        <v>1386</v>
      </c>
      <c r="C1577" s="9" t="s">
        <v>1432</v>
      </c>
      <c r="D1577" s="5">
        <v>2</v>
      </c>
      <c r="E1577" s="9" t="s">
        <v>3176</v>
      </c>
      <c r="F1577" s="5" t="s">
        <v>86</v>
      </c>
      <c r="G1577" s="5" t="s">
        <v>3177</v>
      </c>
      <c r="H1577" s="5" t="s">
        <v>3178</v>
      </c>
      <c r="I1577" s="9" t="s">
        <v>5028</v>
      </c>
      <c r="J1577" s="5">
        <v>2026</v>
      </c>
      <c r="K1577" s="5">
        <v>656</v>
      </c>
      <c r="L1577" s="9" t="s">
        <v>3463</v>
      </c>
      <c r="M1577" s="5">
        <v>5.9</v>
      </c>
      <c r="N1577" s="9" t="s">
        <v>5029</v>
      </c>
      <c r="O1577" s="9" t="str">
        <f t="shared" ref="O1577:O1584" si="158">HYPERLINK("https://seichotoushi-hojo.jp/assets/pdf/koufu/outline__188.pdf","PDFを開く")</f>
        <v>PDFを開く</v>
      </c>
      <c r="P1577" s="9" t="s">
        <v>1439</v>
      </c>
    </row>
    <row r="1578" spans="1:16" ht="33.950000000000003" customHeight="1">
      <c r="A1578" s="2" t="s">
        <v>1431</v>
      </c>
      <c r="B1578" s="2" t="s">
        <v>1386</v>
      </c>
      <c r="C1578" s="8" t="s">
        <v>1432</v>
      </c>
      <c r="D1578" s="2">
        <v>2</v>
      </c>
      <c r="E1578" s="8" t="s">
        <v>3176</v>
      </c>
      <c r="F1578" s="2" t="s">
        <v>86</v>
      </c>
      <c r="G1578" s="2" t="s">
        <v>3177</v>
      </c>
      <c r="H1578" s="2" t="s">
        <v>3178</v>
      </c>
      <c r="I1578" s="8" t="s">
        <v>3182</v>
      </c>
      <c r="J1578" s="2">
        <v>2029</v>
      </c>
      <c r="K1578" s="2">
        <v>780</v>
      </c>
      <c r="L1578" s="8" t="s">
        <v>4208</v>
      </c>
      <c r="M1578" s="2">
        <v>5.9</v>
      </c>
      <c r="N1578" s="8" t="s">
        <v>5029</v>
      </c>
      <c r="O1578" s="8" t="str">
        <f t="shared" si="158"/>
        <v>PDFを開く</v>
      </c>
      <c r="P1578" s="8" t="s">
        <v>1439</v>
      </c>
    </row>
    <row r="1579" spans="1:16" ht="33.950000000000003" customHeight="1">
      <c r="A1579" s="5" t="s">
        <v>1431</v>
      </c>
      <c r="B1579" s="5" t="s">
        <v>1386</v>
      </c>
      <c r="C1579" s="9" t="s">
        <v>1432</v>
      </c>
      <c r="D1579" s="5">
        <v>2</v>
      </c>
      <c r="E1579" s="9" t="s">
        <v>3184</v>
      </c>
      <c r="F1579" s="5" t="s">
        <v>86</v>
      </c>
      <c r="G1579" s="5" t="s">
        <v>3177</v>
      </c>
      <c r="H1579" s="5" t="s">
        <v>3178</v>
      </c>
      <c r="I1579" s="9" t="s">
        <v>5028</v>
      </c>
      <c r="J1579" s="5">
        <v>2026</v>
      </c>
      <c r="K1579" s="5">
        <v>556</v>
      </c>
      <c r="L1579" s="9" t="s">
        <v>5030</v>
      </c>
      <c r="M1579" s="5">
        <v>5.0999999999999996</v>
      </c>
      <c r="N1579" s="9" t="s">
        <v>5031</v>
      </c>
      <c r="O1579" s="9" t="str">
        <f t="shared" si="158"/>
        <v>PDFを開く</v>
      </c>
      <c r="P1579" s="9" t="s">
        <v>1439</v>
      </c>
    </row>
    <row r="1580" spans="1:16" ht="33.950000000000003" customHeight="1">
      <c r="A1580" s="2" t="s">
        <v>1431</v>
      </c>
      <c r="B1580" s="2" t="s">
        <v>1386</v>
      </c>
      <c r="C1580" s="8" t="s">
        <v>1432</v>
      </c>
      <c r="D1580" s="2">
        <v>2</v>
      </c>
      <c r="E1580" s="8" t="s">
        <v>3184</v>
      </c>
      <c r="F1580" s="2" t="s">
        <v>86</v>
      </c>
      <c r="G1580" s="2" t="s">
        <v>3177</v>
      </c>
      <c r="H1580" s="2" t="s">
        <v>3178</v>
      </c>
      <c r="I1580" s="8" t="s">
        <v>3182</v>
      </c>
      <c r="J1580" s="2">
        <v>2029</v>
      </c>
      <c r="K1580" s="2">
        <v>645</v>
      </c>
      <c r="L1580" s="8" t="s">
        <v>5032</v>
      </c>
      <c r="M1580" s="2">
        <v>5.0999999999999996</v>
      </c>
      <c r="N1580" s="8" t="s">
        <v>5031</v>
      </c>
      <c r="O1580" s="8" t="str">
        <f t="shared" si="158"/>
        <v>PDFを開く</v>
      </c>
      <c r="P1580" s="8" t="s">
        <v>1439</v>
      </c>
    </row>
    <row r="1581" spans="1:16" ht="33.950000000000003" customHeight="1">
      <c r="A1581" s="5" t="s">
        <v>1431</v>
      </c>
      <c r="B1581" s="5" t="s">
        <v>1386</v>
      </c>
      <c r="C1581" s="9" t="s">
        <v>1432</v>
      </c>
      <c r="D1581" s="5">
        <v>2</v>
      </c>
      <c r="E1581" s="9" t="s">
        <v>3188</v>
      </c>
      <c r="F1581" s="5" t="s">
        <v>86</v>
      </c>
      <c r="G1581" s="5" t="s">
        <v>3177</v>
      </c>
      <c r="H1581" s="5" t="s">
        <v>3178</v>
      </c>
      <c r="I1581" s="9" t="s">
        <v>5028</v>
      </c>
      <c r="J1581" s="5">
        <v>2026</v>
      </c>
      <c r="K1581" s="5">
        <v>1355</v>
      </c>
      <c r="L1581" s="9" t="s">
        <v>5033</v>
      </c>
      <c r="M1581" s="5">
        <v>10</v>
      </c>
      <c r="N1581" s="9" t="s">
        <v>5034</v>
      </c>
      <c r="O1581" s="9" t="str">
        <f t="shared" si="158"/>
        <v>PDFを開く</v>
      </c>
      <c r="P1581" s="9" t="s">
        <v>1439</v>
      </c>
    </row>
    <row r="1582" spans="1:16" ht="33.950000000000003" customHeight="1">
      <c r="A1582" s="2" t="s">
        <v>1431</v>
      </c>
      <c r="B1582" s="2" t="s">
        <v>1386</v>
      </c>
      <c r="C1582" s="8" t="s">
        <v>1432</v>
      </c>
      <c r="D1582" s="2">
        <v>2</v>
      </c>
      <c r="E1582" s="8" t="s">
        <v>3188</v>
      </c>
      <c r="F1582" s="2" t="s">
        <v>86</v>
      </c>
      <c r="G1582" s="2" t="s">
        <v>3177</v>
      </c>
      <c r="H1582" s="2" t="s">
        <v>3178</v>
      </c>
      <c r="I1582" s="8" t="s">
        <v>3182</v>
      </c>
      <c r="J1582" s="2">
        <v>2029</v>
      </c>
      <c r="K1582" s="2">
        <v>1804</v>
      </c>
      <c r="L1582" s="8" t="s">
        <v>5035</v>
      </c>
      <c r="M1582" s="2">
        <v>10</v>
      </c>
      <c r="N1582" s="8" t="s">
        <v>5034</v>
      </c>
      <c r="O1582" s="8" t="str">
        <f t="shared" si="158"/>
        <v>PDFを開く</v>
      </c>
      <c r="P1582" s="8" t="s">
        <v>1439</v>
      </c>
    </row>
    <row r="1583" spans="1:16" ht="33.950000000000003" customHeight="1">
      <c r="A1583" s="5" t="s">
        <v>1431</v>
      </c>
      <c r="B1583" s="5" t="s">
        <v>1386</v>
      </c>
      <c r="C1583" s="9" t="s">
        <v>1432</v>
      </c>
      <c r="D1583" s="5">
        <v>2</v>
      </c>
      <c r="E1583" s="9" t="s">
        <v>3191</v>
      </c>
      <c r="F1583" s="5" t="s">
        <v>2513</v>
      </c>
      <c r="G1583" s="5" t="s">
        <v>3177</v>
      </c>
      <c r="H1583" s="5" t="s">
        <v>3178</v>
      </c>
      <c r="I1583" s="9" t="s">
        <v>5028</v>
      </c>
      <c r="J1583" s="5">
        <v>2026</v>
      </c>
      <c r="K1583" s="5">
        <v>311</v>
      </c>
      <c r="L1583" s="9" t="s">
        <v>4548</v>
      </c>
      <c r="M1583" s="5"/>
      <c r="N1583" s="9" t="s">
        <v>5036</v>
      </c>
      <c r="O1583" s="9" t="str">
        <f t="shared" si="158"/>
        <v>PDFを開く</v>
      </c>
      <c r="P1583" s="9" t="s">
        <v>1439</v>
      </c>
    </row>
    <row r="1584" spans="1:16" ht="33.950000000000003" customHeight="1">
      <c r="A1584" s="2" t="s">
        <v>1431</v>
      </c>
      <c r="B1584" s="2" t="s">
        <v>1386</v>
      </c>
      <c r="C1584" s="8" t="s">
        <v>1432</v>
      </c>
      <c r="D1584" s="2">
        <v>2</v>
      </c>
      <c r="E1584" s="8" t="s">
        <v>3191</v>
      </c>
      <c r="F1584" s="2" t="s">
        <v>2513</v>
      </c>
      <c r="G1584" s="2" t="s">
        <v>3177</v>
      </c>
      <c r="H1584" s="2" t="s">
        <v>3178</v>
      </c>
      <c r="I1584" s="8" t="s">
        <v>3182</v>
      </c>
      <c r="J1584" s="2">
        <v>2029</v>
      </c>
      <c r="K1584" s="2">
        <v>496</v>
      </c>
      <c r="L1584" s="8" t="s">
        <v>5037</v>
      </c>
      <c r="M1584" s="2"/>
      <c r="N1584" s="8" t="s">
        <v>5036</v>
      </c>
      <c r="O1584" s="8" t="str">
        <f t="shared" si="158"/>
        <v>PDFを開く</v>
      </c>
      <c r="P1584" s="8" t="s">
        <v>1439</v>
      </c>
    </row>
    <row r="1585" spans="1:16" ht="33.950000000000003" customHeight="1">
      <c r="A1585" s="5" t="s">
        <v>1440</v>
      </c>
      <c r="B1585" s="5" t="s">
        <v>1386</v>
      </c>
      <c r="C1585" s="9" t="s">
        <v>1441</v>
      </c>
      <c r="D1585" s="5">
        <v>2</v>
      </c>
      <c r="E1585" s="9" t="s">
        <v>3176</v>
      </c>
      <c r="F1585" s="5" t="s">
        <v>86</v>
      </c>
      <c r="G1585" s="5" t="s">
        <v>3177</v>
      </c>
      <c r="H1585" s="5" t="s">
        <v>3178</v>
      </c>
      <c r="I1585" s="9" t="s">
        <v>3259</v>
      </c>
      <c r="J1585" s="5">
        <v>2027</v>
      </c>
      <c r="K1585" s="5">
        <v>1013</v>
      </c>
      <c r="L1585" s="9" t="s">
        <v>5038</v>
      </c>
      <c r="M1585" s="5">
        <v>26.4</v>
      </c>
      <c r="N1585" s="9" t="s">
        <v>5039</v>
      </c>
      <c r="O1585" s="9" t="str">
        <f t="shared" ref="O1585:O1592" si="159">HYPERLINK("https://seichotoushi-hojo.jp/assets/pdf/koufu/outline__189.pdf","PDFを開く")</f>
        <v>PDFを開く</v>
      </c>
      <c r="P1585" s="9" t="s">
        <v>1448</v>
      </c>
    </row>
    <row r="1586" spans="1:16" ht="33.950000000000003" customHeight="1">
      <c r="A1586" s="2" t="s">
        <v>1440</v>
      </c>
      <c r="B1586" s="2" t="s">
        <v>1386</v>
      </c>
      <c r="C1586" s="8" t="s">
        <v>1441</v>
      </c>
      <c r="D1586" s="2">
        <v>2</v>
      </c>
      <c r="E1586" s="8" t="s">
        <v>3176</v>
      </c>
      <c r="F1586" s="2" t="s">
        <v>86</v>
      </c>
      <c r="G1586" s="2" t="s">
        <v>3177</v>
      </c>
      <c r="H1586" s="2" t="s">
        <v>3178</v>
      </c>
      <c r="I1586" s="8" t="s">
        <v>3262</v>
      </c>
      <c r="J1586" s="2">
        <v>2030</v>
      </c>
      <c r="K1586" s="2">
        <v>2045</v>
      </c>
      <c r="L1586" s="8" t="s">
        <v>5040</v>
      </c>
      <c r="M1586" s="2">
        <v>26.4</v>
      </c>
      <c r="N1586" s="8" t="s">
        <v>5039</v>
      </c>
      <c r="O1586" s="8" t="str">
        <f t="shared" si="159"/>
        <v>PDFを開く</v>
      </c>
      <c r="P1586" s="8" t="s">
        <v>1448</v>
      </c>
    </row>
    <row r="1587" spans="1:16" ht="33.950000000000003" customHeight="1">
      <c r="A1587" s="5" t="s">
        <v>1440</v>
      </c>
      <c r="B1587" s="5" t="s">
        <v>1386</v>
      </c>
      <c r="C1587" s="9" t="s">
        <v>1441</v>
      </c>
      <c r="D1587" s="5">
        <v>2</v>
      </c>
      <c r="E1587" s="9" t="s">
        <v>3184</v>
      </c>
      <c r="F1587" s="5" t="s">
        <v>86</v>
      </c>
      <c r="G1587" s="5" t="s">
        <v>3177</v>
      </c>
      <c r="H1587" s="5" t="s">
        <v>3178</v>
      </c>
      <c r="I1587" s="9" t="s">
        <v>3259</v>
      </c>
      <c r="J1587" s="5">
        <v>2027</v>
      </c>
      <c r="K1587" s="5">
        <v>433</v>
      </c>
      <c r="L1587" s="9" t="s">
        <v>3567</v>
      </c>
      <c r="M1587" s="5">
        <v>7</v>
      </c>
      <c r="N1587" s="9" t="s">
        <v>5041</v>
      </c>
      <c r="O1587" s="9" t="str">
        <f t="shared" si="159"/>
        <v>PDFを開く</v>
      </c>
      <c r="P1587" s="9" t="s">
        <v>1448</v>
      </c>
    </row>
    <row r="1588" spans="1:16" ht="33.950000000000003" customHeight="1">
      <c r="A1588" s="2" t="s">
        <v>1440</v>
      </c>
      <c r="B1588" s="2" t="s">
        <v>1386</v>
      </c>
      <c r="C1588" s="8" t="s">
        <v>1441</v>
      </c>
      <c r="D1588" s="2">
        <v>2</v>
      </c>
      <c r="E1588" s="8" t="s">
        <v>3184</v>
      </c>
      <c r="F1588" s="2" t="s">
        <v>86</v>
      </c>
      <c r="G1588" s="2" t="s">
        <v>3177</v>
      </c>
      <c r="H1588" s="2" t="s">
        <v>3178</v>
      </c>
      <c r="I1588" s="8" t="s">
        <v>3262</v>
      </c>
      <c r="J1588" s="2">
        <v>2030</v>
      </c>
      <c r="K1588" s="2">
        <v>531</v>
      </c>
      <c r="L1588" s="8" t="s">
        <v>3423</v>
      </c>
      <c r="M1588" s="2">
        <v>7</v>
      </c>
      <c r="N1588" s="8" t="s">
        <v>5041</v>
      </c>
      <c r="O1588" s="8" t="str">
        <f t="shared" si="159"/>
        <v>PDFを開く</v>
      </c>
      <c r="P1588" s="8" t="s">
        <v>1448</v>
      </c>
    </row>
    <row r="1589" spans="1:16" ht="33.950000000000003" customHeight="1">
      <c r="A1589" s="5" t="s">
        <v>1440</v>
      </c>
      <c r="B1589" s="5" t="s">
        <v>1386</v>
      </c>
      <c r="C1589" s="9" t="s">
        <v>1441</v>
      </c>
      <c r="D1589" s="5">
        <v>2</v>
      </c>
      <c r="E1589" s="9" t="s">
        <v>3188</v>
      </c>
      <c r="F1589" s="5" t="s">
        <v>86</v>
      </c>
      <c r="G1589" s="5" t="s">
        <v>3177</v>
      </c>
      <c r="H1589" s="5" t="s">
        <v>3178</v>
      </c>
      <c r="I1589" s="9" t="s">
        <v>3259</v>
      </c>
      <c r="J1589" s="5">
        <v>2027</v>
      </c>
      <c r="K1589" s="5">
        <v>1473</v>
      </c>
      <c r="L1589" s="9" t="s">
        <v>5042</v>
      </c>
      <c r="M1589" s="5">
        <v>5</v>
      </c>
      <c r="N1589" s="9" t="s">
        <v>5043</v>
      </c>
      <c r="O1589" s="9" t="str">
        <f t="shared" si="159"/>
        <v>PDFを開く</v>
      </c>
      <c r="P1589" s="9" t="s">
        <v>1448</v>
      </c>
    </row>
    <row r="1590" spans="1:16" ht="33.950000000000003" customHeight="1">
      <c r="A1590" s="2" t="s">
        <v>1440</v>
      </c>
      <c r="B1590" s="2" t="s">
        <v>1386</v>
      </c>
      <c r="C1590" s="8" t="s">
        <v>1441</v>
      </c>
      <c r="D1590" s="2">
        <v>2</v>
      </c>
      <c r="E1590" s="8" t="s">
        <v>3188</v>
      </c>
      <c r="F1590" s="2" t="s">
        <v>86</v>
      </c>
      <c r="G1590" s="2" t="s">
        <v>3177</v>
      </c>
      <c r="H1590" s="2" t="s">
        <v>3178</v>
      </c>
      <c r="I1590" s="8" t="s">
        <v>3262</v>
      </c>
      <c r="J1590" s="2">
        <v>2030</v>
      </c>
      <c r="K1590" s="2">
        <v>1706</v>
      </c>
      <c r="L1590" s="8" t="s">
        <v>5044</v>
      </c>
      <c r="M1590" s="2">
        <v>5</v>
      </c>
      <c r="N1590" s="8" t="s">
        <v>5043</v>
      </c>
      <c r="O1590" s="8" t="str">
        <f t="shared" si="159"/>
        <v>PDFを開く</v>
      </c>
      <c r="P1590" s="8" t="s">
        <v>1448</v>
      </c>
    </row>
    <row r="1591" spans="1:16" ht="33.950000000000003" customHeight="1">
      <c r="A1591" s="5" t="s">
        <v>1440</v>
      </c>
      <c r="B1591" s="5" t="s">
        <v>1386</v>
      </c>
      <c r="C1591" s="9" t="s">
        <v>1441</v>
      </c>
      <c r="D1591" s="5">
        <v>2</v>
      </c>
      <c r="E1591" s="9" t="s">
        <v>3191</v>
      </c>
      <c r="F1591" s="5" t="s">
        <v>2513</v>
      </c>
      <c r="G1591" s="5" t="s">
        <v>3177</v>
      </c>
      <c r="H1591" s="5" t="s">
        <v>3178</v>
      </c>
      <c r="I1591" s="9" t="s">
        <v>3259</v>
      </c>
      <c r="J1591" s="5">
        <v>2027</v>
      </c>
      <c r="K1591" s="5">
        <v>60</v>
      </c>
      <c r="L1591" s="9" t="s">
        <v>3406</v>
      </c>
      <c r="M1591" s="5"/>
      <c r="N1591" s="9" t="s">
        <v>5045</v>
      </c>
      <c r="O1591" s="9" t="str">
        <f t="shared" si="159"/>
        <v>PDFを開く</v>
      </c>
      <c r="P1591" s="9" t="s">
        <v>1448</v>
      </c>
    </row>
    <row r="1592" spans="1:16" ht="33.950000000000003" customHeight="1">
      <c r="A1592" s="2" t="s">
        <v>1440</v>
      </c>
      <c r="B1592" s="2" t="s">
        <v>1386</v>
      </c>
      <c r="C1592" s="8" t="s">
        <v>1441</v>
      </c>
      <c r="D1592" s="2">
        <v>2</v>
      </c>
      <c r="E1592" s="8" t="s">
        <v>3191</v>
      </c>
      <c r="F1592" s="2" t="s">
        <v>2513</v>
      </c>
      <c r="G1592" s="2" t="s">
        <v>3177</v>
      </c>
      <c r="H1592" s="2" t="s">
        <v>3178</v>
      </c>
      <c r="I1592" s="8" t="s">
        <v>3262</v>
      </c>
      <c r="J1592" s="2">
        <v>2030</v>
      </c>
      <c r="K1592" s="2">
        <v>75</v>
      </c>
      <c r="L1592" s="8" t="s">
        <v>4098</v>
      </c>
      <c r="M1592" s="2"/>
      <c r="N1592" s="8" t="s">
        <v>5045</v>
      </c>
      <c r="O1592" s="8" t="str">
        <f t="shared" si="159"/>
        <v>PDFを開く</v>
      </c>
      <c r="P1592" s="8" t="s">
        <v>1448</v>
      </c>
    </row>
    <row r="1593" spans="1:16" ht="33.950000000000003" customHeight="1">
      <c r="A1593" s="5" t="s">
        <v>1449</v>
      </c>
      <c r="B1593" s="5" t="s">
        <v>1386</v>
      </c>
      <c r="C1593" s="9" t="s">
        <v>1450</v>
      </c>
      <c r="D1593" s="5">
        <v>2</v>
      </c>
      <c r="E1593" s="9" t="s">
        <v>3176</v>
      </c>
      <c r="F1593" s="5" t="s">
        <v>86</v>
      </c>
      <c r="G1593" s="5" t="s">
        <v>3177</v>
      </c>
      <c r="H1593" s="5" t="s">
        <v>3178</v>
      </c>
      <c r="I1593" s="9" t="s">
        <v>5046</v>
      </c>
      <c r="J1593" s="5">
        <v>2025</v>
      </c>
      <c r="K1593" s="5">
        <v>671</v>
      </c>
      <c r="L1593" s="9" t="s">
        <v>4724</v>
      </c>
      <c r="M1593" s="5">
        <v>13.2</v>
      </c>
      <c r="N1593" s="9" t="s">
        <v>5047</v>
      </c>
      <c r="O1593" s="9" t="str">
        <f t="shared" ref="O1593:O1600" si="160">HYPERLINK("https://seichotoushi-hojo.jp/assets/pdf/koufu/outline__190.pdf","PDFを開く")</f>
        <v>PDFを開く</v>
      </c>
      <c r="P1593" s="9" t="s">
        <v>1457</v>
      </c>
    </row>
    <row r="1594" spans="1:16" ht="33.950000000000003" customHeight="1">
      <c r="A1594" s="2" t="s">
        <v>1449</v>
      </c>
      <c r="B1594" s="2" t="s">
        <v>1386</v>
      </c>
      <c r="C1594" s="8" t="s">
        <v>1450</v>
      </c>
      <c r="D1594" s="2">
        <v>2</v>
      </c>
      <c r="E1594" s="8" t="s">
        <v>3176</v>
      </c>
      <c r="F1594" s="2" t="s">
        <v>86</v>
      </c>
      <c r="G1594" s="2" t="s">
        <v>3177</v>
      </c>
      <c r="H1594" s="2" t="s">
        <v>3178</v>
      </c>
      <c r="I1594" s="8" t="s">
        <v>5048</v>
      </c>
      <c r="J1594" s="2">
        <v>2028</v>
      </c>
      <c r="K1594" s="2">
        <v>973</v>
      </c>
      <c r="L1594" s="8" t="s">
        <v>4708</v>
      </c>
      <c r="M1594" s="2">
        <v>13.2</v>
      </c>
      <c r="N1594" s="8" t="s">
        <v>5047</v>
      </c>
      <c r="O1594" s="8" t="str">
        <f t="shared" si="160"/>
        <v>PDFを開く</v>
      </c>
      <c r="P1594" s="8" t="s">
        <v>1457</v>
      </c>
    </row>
    <row r="1595" spans="1:16" ht="33.950000000000003" customHeight="1">
      <c r="A1595" s="5" t="s">
        <v>1449</v>
      </c>
      <c r="B1595" s="5" t="s">
        <v>1386</v>
      </c>
      <c r="C1595" s="9" t="s">
        <v>1450</v>
      </c>
      <c r="D1595" s="5">
        <v>2</v>
      </c>
      <c r="E1595" s="9" t="s">
        <v>3184</v>
      </c>
      <c r="F1595" s="5" t="s">
        <v>86</v>
      </c>
      <c r="G1595" s="5" t="s">
        <v>3177</v>
      </c>
      <c r="H1595" s="5" t="s">
        <v>3178</v>
      </c>
      <c r="I1595" s="9" t="s">
        <v>5046</v>
      </c>
      <c r="J1595" s="5">
        <v>2025</v>
      </c>
      <c r="K1595" s="5">
        <v>292</v>
      </c>
      <c r="L1595" s="9" t="s">
        <v>5049</v>
      </c>
      <c r="M1595" s="5">
        <v>8.5</v>
      </c>
      <c r="N1595" s="9" t="s">
        <v>5050</v>
      </c>
      <c r="O1595" s="9" t="str">
        <f t="shared" si="160"/>
        <v>PDFを開く</v>
      </c>
      <c r="P1595" s="9" t="s">
        <v>1457</v>
      </c>
    </row>
    <row r="1596" spans="1:16" ht="33.950000000000003" customHeight="1">
      <c r="A1596" s="2" t="s">
        <v>1449</v>
      </c>
      <c r="B1596" s="2" t="s">
        <v>1386</v>
      </c>
      <c r="C1596" s="8" t="s">
        <v>1450</v>
      </c>
      <c r="D1596" s="2">
        <v>2</v>
      </c>
      <c r="E1596" s="8" t="s">
        <v>3184</v>
      </c>
      <c r="F1596" s="2" t="s">
        <v>86</v>
      </c>
      <c r="G1596" s="2" t="s">
        <v>3177</v>
      </c>
      <c r="H1596" s="2" t="s">
        <v>3178</v>
      </c>
      <c r="I1596" s="8" t="s">
        <v>5048</v>
      </c>
      <c r="J1596" s="2">
        <v>2028</v>
      </c>
      <c r="K1596" s="2">
        <v>373</v>
      </c>
      <c r="L1596" s="8" t="s">
        <v>3962</v>
      </c>
      <c r="M1596" s="2">
        <v>8.5</v>
      </c>
      <c r="N1596" s="8" t="s">
        <v>5050</v>
      </c>
      <c r="O1596" s="8" t="str">
        <f t="shared" si="160"/>
        <v>PDFを開く</v>
      </c>
      <c r="P1596" s="8" t="s">
        <v>1457</v>
      </c>
    </row>
    <row r="1597" spans="1:16" ht="33.950000000000003" customHeight="1">
      <c r="A1597" s="5" t="s">
        <v>1449</v>
      </c>
      <c r="B1597" s="5" t="s">
        <v>1386</v>
      </c>
      <c r="C1597" s="9" t="s">
        <v>1450</v>
      </c>
      <c r="D1597" s="5">
        <v>2</v>
      </c>
      <c r="E1597" s="9" t="s">
        <v>3188</v>
      </c>
      <c r="F1597" s="5" t="s">
        <v>86</v>
      </c>
      <c r="G1597" s="5" t="s">
        <v>3177</v>
      </c>
      <c r="H1597" s="5" t="s">
        <v>3178</v>
      </c>
      <c r="I1597" s="9" t="s">
        <v>5046</v>
      </c>
      <c r="J1597" s="5">
        <v>2025</v>
      </c>
      <c r="K1597" s="5">
        <v>1100</v>
      </c>
      <c r="L1597" s="9" t="s">
        <v>5051</v>
      </c>
      <c r="M1597" s="5">
        <v>5.5</v>
      </c>
      <c r="N1597" s="9" t="s">
        <v>5052</v>
      </c>
      <c r="O1597" s="9" t="str">
        <f t="shared" si="160"/>
        <v>PDFを開く</v>
      </c>
      <c r="P1597" s="9" t="s">
        <v>1457</v>
      </c>
    </row>
    <row r="1598" spans="1:16" ht="33.950000000000003" customHeight="1">
      <c r="A1598" s="2" t="s">
        <v>1449</v>
      </c>
      <c r="B1598" s="2" t="s">
        <v>1386</v>
      </c>
      <c r="C1598" s="8" t="s">
        <v>1450</v>
      </c>
      <c r="D1598" s="2">
        <v>2</v>
      </c>
      <c r="E1598" s="8" t="s">
        <v>3188</v>
      </c>
      <c r="F1598" s="2" t="s">
        <v>86</v>
      </c>
      <c r="G1598" s="2" t="s">
        <v>3177</v>
      </c>
      <c r="H1598" s="2" t="s">
        <v>3178</v>
      </c>
      <c r="I1598" s="8" t="s">
        <v>5048</v>
      </c>
      <c r="J1598" s="2">
        <v>2028</v>
      </c>
      <c r="K1598" s="2">
        <v>1290</v>
      </c>
      <c r="L1598" s="8" t="s">
        <v>5053</v>
      </c>
      <c r="M1598" s="2">
        <v>5.5</v>
      </c>
      <c r="N1598" s="8" t="s">
        <v>5052</v>
      </c>
      <c r="O1598" s="8" t="str">
        <f t="shared" si="160"/>
        <v>PDFを開く</v>
      </c>
      <c r="P1598" s="8" t="s">
        <v>1457</v>
      </c>
    </row>
    <row r="1599" spans="1:16" ht="33.950000000000003" customHeight="1">
      <c r="A1599" s="5" t="s">
        <v>1449</v>
      </c>
      <c r="B1599" s="5" t="s">
        <v>1386</v>
      </c>
      <c r="C1599" s="9" t="s">
        <v>1450</v>
      </c>
      <c r="D1599" s="5">
        <v>2</v>
      </c>
      <c r="E1599" s="9" t="s">
        <v>3191</v>
      </c>
      <c r="F1599" s="5" t="s">
        <v>2513</v>
      </c>
      <c r="G1599" s="5" t="s">
        <v>3177</v>
      </c>
      <c r="H1599" s="5" t="s">
        <v>3178</v>
      </c>
      <c r="I1599" s="9" t="s">
        <v>5046</v>
      </c>
      <c r="J1599" s="5">
        <v>2025</v>
      </c>
      <c r="K1599" s="5">
        <v>106</v>
      </c>
      <c r="L1599" s="9" t="s">
        <v>5054</v>
      </c>
      <c r="M1599" s="5"/>
      <c r="N1599" s="9" t="s">
        <v>5055</v>
      </c>
      <c r="O1599" s="9" t="str">
        <f t="shared" si="160"/>
        <v>PDFを開く</v>
      </c>
      <c r="P1599" s="9" t="s">
        <v>1457</v>
      </c>
    </row>
    <row r="1600" spans="1:16" ht="33.950000000000003" customHeight="1">
      <c r="A1600" s="2" t="s">
        <v>1449</v>
      </c>
      <c r="B1600" s="2" t="s">
        <v>1386</v>
      </c>
      <c r="C1600" s="8" t="s">
        <v>1450</v>
      </c>
      <c r="D1600" s="2">
        <v>2</v>
      </c>
      <c r="E1600" s="8" t="s">
        <v>3191</v>
      </c>
      <c r="F1600" s="2" t="s">
        <v>2513</v>
      </c>
      <c r="G1600" s="2" t="s">
        <v>3177</v>
      </c>
      <c r="H1600" s="2" t="s">
        <v>3178</v>
      </c>
      <c r="I1600" s="8" t="s">
        <v>5048</v>
      </c>
      <c r="J1600" s="2">
        <v>2028</v>
      </c>
      <c r="K1600" s="2">
        <v>127</v>
      </c>
      <c r="L1600" s="8" t="s">
        <v>4742</v>
      </c>
      <c r="M1600" s="2"/>
      <c r="N1600" s="8" t="s">
        <v>5055</v>
      </c>
      <c r="O1600" s="8" t="str">
        <f t="shared" si="160"/>
        <v>PDFを開く</v>
      </c>
      <c r="P1600" s="8" t="s">
        <v>1457</v>
      </c>
    </row>
    <row r="1601" spans="1:16" ht="33.950000000000003" customHeight="1">
      <c r="A1601" s="5" t="s">
        <v>1458</v>
      </c>
      <c r="B1601" s="5" t="s">
        <v>1386</v>
      </c>
      <c r="C1601" s="9" t="s">
        <v>1459</v>
      </c>
      <c r="D1601" s="5">
        <v>2</v>
      </c>
      <c r="E1601" s="9" t="s">
        <v>3176</v>
      </c>
      <c r="F1601" s="5" t="s">
        <v>86</v>
      </c>
      <c r="G1601" s="5" t="s">
        <v>3177</v>
      </c>
      <c r="H1601" s="5" t="s">
        <v>3178</v>
      </c>
      <c r="I1601" s="9" t="s">
        <v>3179</v>
      </c>
      <c r="J1601" s="5">
        <v>2026</v>
      </c>
      <c r="K1601" s="5">
        <v>1668</v>
      </c>
      <c r="L1601" s="9" t="s">
        <v>5056</v>
      </c>
      <c r="M1601" s="5">
        <v>15.8</v>
      </c>
      <c r="N1601" s="9" t="s">
        <v>5057</v>
      </c>
      <c r="O1601" s="9" t="str">
        <f t="shared" ref="O1601:O1608" si="161">HYPERLINK("https://seichotoushi-hojo.jp/assets/pdf/koufu/outline__191.pdf","PDFを開く")</f>
        <v>PDFを開く</v>
      </c>
      <c r="P1601" s="9" t="s">
        <v>1466</v>
      </c>
    </row>
    <row r="1602" spans="1:16" ht="33.950000000000003" customHeight="1">
      <c r="A1602" s="2" t="s">
        <v>1458</v>
      </c>
      <c r="B1602" s="2" t="s">
        <v>1386</v>
      </c>
      <c r="C1602" s="8" t="s">
        <v>1459</v>
      </c>
      <c r="D1602" s="2">
        <v>2</v>
      </c>
      <c r="E1602" s="8" t="s">
        <v>3176</v>
      </c>
      <c r="F1602" s="2" t="s">
        <v>86</v>
      </c>
      <c r="G1602" s="2" t="s">
        <v>3177</v>
      </c>
      <c r="H1602" s="2" t="s">
        <v>3178</v>
      </c>
      <c r="I1602" s="8" t="s">
        <v>3182</v>
      </c>
      <c r="J1602" s="2">
        <v>2029</v>
      </c>
      <c r="K1602" s="2">
        <v>2592</v>
      </c>
      <c r="L1602" s="8" t="s">
        <v>3263</v>
      </c>
      <c r="M1602" s="2">
        <v>15.8</v>
      </c>
      <c r="N1602" s="8" t="s">
        <v>5057</v>
      </c>
      <c r="O1602" s="8" t="str">
        <f t="shared" si="161"/>
        <v>PDFを開く</v>
      </c>
      <c r="P1602" s="8" t="s">
        <v>1466</v>
      </c>
    </row>
    <row r="1603" spans="1:16" ht="33.950000000000003" customHeight="1">
      <c r="A1603" s="5" t="s">
        <v>1458</v>
      </c>
      <c r="B1603" s="5" t="s">
        <v>1386</v>
      </c>
      <c r="C1603" s="9" t="s">
        <v>1459</v>
      </c>
      <c r="D1603" s="5">
        <v>2</v>
      </c>
      <c r="E1603" s="9" t="s">
        <v>3184</v>
      </c>
      <c r="F1603" s="5" t="s">
        <v>86</v>
      </c>
      <c r="G1603" s="5" t="s">
        <v>3177</v>
      </c>
      <c r="H1603" s="5" t="s">
        <v>3178</v>
      </c>
      <c r="I1603" s="9" t="s">
        <v>3179</v>
      </c>
      <c r="J1603" s="5">
        <v>2026</v>
      </c>
      <c r="K1603" s="5">
        <v>438</v>
      </c>
      <c r="L1603" s="9" t="s">
        <v>5058</v>
      </c>
      <c r="M1603" s="5">
        <v>7</v>
      </c>
      <c r="N1603" s="9" t="s">
        <v>5059</v>
      </c>
      <c r="O1603" s="9" t="str">
        <f t="shared" si="161"/>
        <v>PDFを開く</v>
      </c>
      <c r="P1603" s="9" t="s">
        <v>1466</v>
      </c>
    </row>
    <row r="1604" spans="1:16" ht="33.950000000000003" customHeight="1">
      <c r="A1604" s="2" t="s">
        <v>1458</v>
      </c>
      <c r="B1604" s="2" t="s">
        <v>1386</v>
      </c>
      <c r="C1604" s="8" t="s">
        <v>1459</v>
      </c>
      <c r="D1604" s="2">
        <v>2</v>
      </c>
      <c r="E1604" s="8" t="s">
        <v>3184</v>
      </c>
      <c r="F1604" s="2" t="s">
        <v>86</v>
      </c>
      <c r="G1604" s="2" t="s">
        <v>3177</v>
      </c>
      <c r="H1604" s="2" t="s">
        <v>3178</v>
      </c>
      <c r="I1604" s="8" t="s">
        <v>3182</v>
      </c>
      <c r="J1604" s="2">
        <v>2029</v>
      </c>
      <c r="K1604" s="2">
        <v>536</v>
      </c>
      <c r="L1604" s="8" t="s">
        <v>3411</v>
      </c>
      <c r="M1604" s="2">
        <v>7</v>
      </c>
      <c r="N1604" s="8" t="s">
        <v>5059</v>
      </c>
      <c r="O1604" s="8" t="str">
        <f t="shared" si="161"/>
        <v>PDFを開く</v>
      </c>
      <c r="P1604" s="8" t="s">
        <v>1466</v>
      </c>
    </row>
    <row r="1605" spans="1:16" ht="33.950000000000003" customHeight="1">
      <c r="A1605" s="5" t="s">
        <v>1458</v>
      </c>
      <c r="B1605" s="5" t="s">
        <v>1386</v>
      </c>
      <c r="C1605" s="9" t="s">
        <v>1459</v>
      </c>
      <c r="D1605" s="5">
        <v>2</v>
      </c>
      <c r="E1605" s="9" t="s">
        <v>3188</v>
      </c>
      <c r="F1605" s="5" t="s">
        <v>86</v>
      </c>
      <c r="G1605" s="5" t="s">
        <v>3177</v>
      </c>
      <c r="H1605" s="5" t="s">
        <v>3178</v>
      </c>
      <c r="I1605" s="9" t="s">
        <v>3179</v>
      </c>
      <c r="J1605" s="5">
        <v>2026</v>
      </c>
      <c r="K1605" s="5">
        <v>1000</v>
      </c>
      <c r="L1605" s="9" t="s">
        <v>3967</v>
      </c>
      <c r="M1605" s="5">
        <v>4</v>
      </c>
      <c r="N1605" s="9" t="s">
        <v>5060</v>
      </c>
      <c r="O1605" s="9" t="str">
        <f t="shared" si="161"/>
        <v>PDFを開く</v>
      </c>
      <c r="P1605" s="9" t="s">
        <v>1466</v>
      </c>
    </row>
    <row r="1606" spans="1:16" ht="33.950000000000003" customHeight="1">
      <c r="A1606" s="2" t="s">
        <v>1458</v>
      </c>
      <c r="B1606" s="2" t="s">
        <v>1386</v>
      </c>
      <c r="C1606" s="8" t="s">
        <v>1459</v>
      </c>
      <c r="D1606" s="2">
        <v>2</v>
      </c>
      <c r="E1606" s="8" t="s">
        <v>3188</v>
      </c>
      <c r="F1606" s="2" t="s">
        <v>86</v>
      </c>
      <c r="G1606" s="2" t="s">
        <v>3177</v>
      </c>
      <c r="H1606" s="2" t="s">
        <v>3178</v>
      </c>
      <c r="I1606" s="8" t="s">
        <v>3182</v>
      </c>
      <c r="J1606" s="2">
        <v>2029</v>
      </c>
      <c r="K1606" s="2">
        <v>1125</v>
      </c>
      <c r="L1606" s="8" t="s">
        <v>3916</v>
      </c>
      <c r="M1606" s="2">
        <v>4</v>
      </c>
      <c r="N1606" s="8" t="s">
        <v>5060</v>
      </c>
      <c r="O1606" s="8" t="str">
        <f t="shared" si="161"/>
        <v>PDFを開く</v>
      </c>
      <c r="P1606" s="8" t="s">
        <v>1466</v>
      </c>
    </row>
    <row r="1607" spans="1:16" ht="33.950000000000003" customHeight="1">
      <c r="A1607" s="5" t="s">
        <v>1458</v>
      </c>
      <c r="B1607" s="5" t="s">
        <v>1386</v>
      </c>
      <c r="C1607" s="9" t="s">
        <v>1459</v>
      </c>
      <c r="D1607" s="5">
        <v>2</v>
      </c>
      <c r="E1607" s="9" t="s">
        <v>3191</v>
      </c>
      <c r="F1607" s="5" t="s">
        <v>2513</v>
      </c>
      <c r="G1607" s="5" t="s">
        <v>3177</v>
      </c>
      <c r="H1607" s="5" t="s">
        <v>3178</v>
      </c>
      <c r="I1607" s="9" t="s">
        <v>3179</v>
      </c>
      <c r="J1607" s="5">
        <v>2026</v>
      </c>
      <c r="K1607" s="5">
        <v>100</v>
      </c>
      <c r="L1607" s="9" t="s">
        <v>3417</v>
      </c>
      <c r="M1607" s="5"/>
      <c r="N1607" s="9" t="s">
        <v>5061</v>
      </c>
      <c r="O1607" s="9" t="str">
        <f t="shared" si="161"/>
        <v>PDFを開く</v>
      </c>
      <c r="P1607" s="9" t="s">
        <v>1466</v>
      </c>
    </row>
    <row r="1608" spans="1:16" ht="33.950000000000003" customHeight="1">
      <c r="A1608" s="2" t="s">
        <v>1458</v>
      </c>
      <c r="B1608" s="2" t="s">
        <v>1386</v>
      </c>
      <c r="C1608" s="8" t="s">
        <v>1459</v>
      </c>
      <c r="D1608" s="2">
        <v>2</v>
      </c>
      <c r="E1608" s="8" t="s">
        <v>3191</v>
      </c>
      <c r="F1608" s="2" t="s">
        <v>2513</v>
      </c>
      <c r="G1608" s="2" t="s">
        <v>3177</v>
      </c>
      <c r="H1608" s="2" t="s">
        <v>3178</v>
      </c>
      <c r="I1608" s="8" t="s">
        <v>3182</v>
      </c>
      <c r="J1608" s="2">
        <v>2029</v>
      </c>
      <c r="K1608" s="2">
        <v>140</v>
      </c>
      <c r="L1608" s="8" t="s">
        <v>5062</v>
      </c>
      <c r="M1608" s="2"/>
      <c r="N1608" s="8" t="s">
        <v>5061</v>
      </c>
      <c r="O1608" s="8" t="str">
        <f t="shared" si="161"/>
        <v>PDFを開く</v>
      </c>
      <c r="P1608" s="8" t="s">
        <v>1466</v>
      </c>
    </row>
    <row r="1609" spans="1:16" ht="33.950000000000003" customHeight="1">
      <c r="A1609" s="5" t="s">
        <v>1467</v>
      </c>
      <c r="B1609" s="5" t="s">
        <v>1386</v>
      </c>
      <c r="C1609" s="9" t="s">
        <v>1468</v>
      </c>
      <c r="D1609" s="5">
        <v>2</v>
      </c>
      <c r="E1609" s="9" t="s">
        <v>3176</v>
      </c>
      <c r="F1609" s="5" t="s">
        <v>86</v>
      </c>
      <c r="G1609" s="5" t="s">
        <v>3177</v>
      </c>
      <c r="H1609" s="5" t="s">
        <v>3178</v>
      </c>
      <c r="I1609" s="9" t="s">
        <v>3179</v>
      </c>
      <c r="J1609" s="5">
        <v>2026</v>
      </c>
      <c r="K1609" s="5">
        <v>753</v>
      </c>
      <c r="L1609" s="9" t="s">
        <v>3829</v>
      </c>
      <c r="M1609" s="5"/>
      <c r="N1609" s="9" t="s">
        <v>5063</v>
      </c>
      <c r="O1609" s="9" t="str">
        <f t="shared" ref="O1609:O1616" si="162">HYPERLINK("https://seichotoushi-hojo.jp/assets/pdf/koufu/outline__192.pdf","PDFを開く")</f>
        <v>PDFを開く</v>
      </c>
      <c r="P1609" s="9" t="s">
        <v>1473</v>
      </c>
    </row>
    <row r="1610" spans="1:16" ht="33.950000000000003" customHeight="1">
      <c r="A1610" s="2" t="s">
        <v>1467</v>
      </c>
      <c r="B1610" s="2" t="s">
        <v>1386</v>
      </c>
      <c r="C1610" s="8" t="s">
        <v>1468</v>
      </c>
      <c r="D1610" s="2">
        <v>2</v>
      </c>
      <c r="E1610" s="8" t="s">
        <v>3176</v>
      </c>
      <c r="F1610" s="2" t="s">
        <v>86</v>
      </c>
      <c r="G1610" s="2" t="s">
        <v>3177</v>
      </c>
      <c r="H1610" s="2" t="s">
        <v>3178</v>
      </c>
      <c r="I1610" s="8" t="s">
        <v>3182</v>
      </c>
      <c r="J1610" s="2">
        <v>2029</v>
      </c>
      <c r="K1610" s="2">
        <v>8748</v>
      </c>
      <c r="L1610" s="8" t="s">
        <v>5064</v>
      </c>
      <c r="M1610" s="2"/>
      <c r="N1610" s="8" t="s">
        <v>5063</v>
      </c>
      <c r="O1610" s="8" t="str">
        <f t="shared" si="162"/>
        <v>PDFを開く</v>
      </c>
      <c r="P1610" s="8" t="s">
        <v>1473</v>
      </c>
    </row>
    <row r="1611" spans="1:16" ht="33.950000000000003" customHeight="1">
      <c r="A1611" s="5" t="s">
        <v>1467</v>
      </c>
      <c r="B1611" s="5" t="s">
        <v>1386</v>
      </c>
      <c r="C1611" s="9" t="s">
        <v>1468</v>
      </c>
      <c r="D1611" s="5">
        <v>2</v>
      </c>
      <c r="E1611" s="9" t="s">
        <v>3184</v>
      </c>
      <c r="F1611" s="5" t="s">
        <v>86</v>
      </c>
      <c r="G1611" s="5" t="s">
        <v>3177</v>
      </c>
      <c r="H1611" s="5" t="s">
        <v>3178</v>
      </c>
      <c r="I1611" s="9" t="s">
        <v>3179</v>
      </c>
      <c r="J1611" s="5">
        <v>2026</v>
      </c>
      <c r="K1611" s="5">
        <v>641</v>
      </c>
      <c r="L1611" s="9" t="s">
        <v>5065</v>
      </c>
      <c r="M1611" s="5">
        <v>5</v>
      </c>
      <c r="N1611" s="9" t="s">
        <v>5066</v>
      </c>
      <c r="O1611" s="9" t="str">
        <f t="shared" si="162"/>
        <v>PDFを開く</v>
      </c>
      <c r="P1611" s="9" t="s">
        <v>1473</v>
      </c>
    </row>
    <row r="1612" spans="1:16" ht="33.950000000000003" customHeight="1">
      <c r="A1612" s="2" t="s">
        <v>1467</v>
      </c>
      <c r="B1612" s="2" t="s">
        <v>1386</v>
      </c>
      <c r="C1612" s="8" t="s">
        <v>1468</v>
      </c>
      <c r="D1612" s="2">
        <v>2</v>
      </c>
      <c r="E1612" s="8" t="s">
        <v>3184</v>
      </c>
      <c r="F1612" s="2" t="s">
        <v>86</v>
      </c>
      <c r="G1612" s="2" t="s">
        <v>3177</v>
      </c>
      <c r="H1612" s="2" t="s">
        <v>3178</v>
      </c>
      <c r="I1612" s="8" t="s">
        <v>3182</v>
      </c>
      <c r="J1612" s="2">
        <v>2029</v>
      </c>
      <c r="K1612" s="2">
        <v>742</v>
      </c>
      <c r="L1612" s="8" t="s">
        <v>4366</v>
      </c>
      <c r="M1612" s="2">
        <v>5</v>
      </c>
      <c r="N1612" s="8" t="s">
        <v>5066</v>
      </c>
      <c r="O1612" s="8" t="str">
        <f t="shared" si="162"/>
        <v>PDFを開く</v>
      </c>
      <c r="P1612" s="8" t="s">
        <v>1473</v>
      </c>
    </row>
    <row r="1613" spans="1:16" ht="33.950000000000003" customHeight="1">
      <c r="A1613" s="5" t="s">
        <v>1467</v>
      </c>
      <c r="B1613" s="5" t="s">
        <v>1386</v>
      </c>
      <c r="C1613" s="9" t="s">
        <v>1468</v>
      </c>
      <c r="D1613" s="5">
        <v>2</v>
      </c>
      <c r="E1613" s="9" t="s">
        <v>3188</v>
      </c>
      <c r="F1613" s="5" t="s">
        <v>86</v>
      </c>
      <c r="G1613" s="5" t="s">
        <v>3177</v>
      </c>
      <c r="H1613" s="5" t="s">
        <v>3178</v>
      </c>
      <c r="I1613" s="9" t="s">
        <v>3179</v>
      </c>
      <c r="J1613" s="5">
        <v>2026</v>
      </c>
      <c r="K1613" s="5">
        <v>0</v>
      </c>
      <c r="L1613" s="9" t="s">
        <v>3267</v>
      </c>
      <c r="M1613" s="5"/>
      <c r="N1613" s="9" t="s">
        <v>5067</v>
      </c>
      <c r="O1613" s="9" t="str">
        <f t="shared" si="162"/>
        <v>PDFを開く</v>
      </c>
      <c r="P1613" s="9" t="s">
        <v>1473</v>
      </c>
    </row>
    <row r="1614" spans="1:16" ht="33.950000000000003" customHeight="1">
      <c r="A1614" s="2" t="s">
        <v>1467</v>
      </c>
      <c r="B1614" s="2" t="s">
        <v>1386</v>
      </c>
      <c r="C1614" s="8" t="s">
        <v>1468</v>
      </c>
      <c r="D1614" s="2">
        <v>2</v>
      </c>
      <c r="E1614" s="8" t="s">
        <v>3188</v>
      </c>
      <c r="F1614" s="2" t="s">
        <v>86</v>
      </c>
      <c r="G1614" s="2" t="s">
        <v>3177</v>
      </c>
      <c r="H1614" s="2" t="s">
        <v>3178</v>
      </c>
      <c r="I1614" s="8" t="s">
        <v>3182</v>
      </c>
      <c r="J1614" s="2">
        <v>2029</v>
      </c>
      <c r="K1614" s="2">
        <v>0</v>
      </c>
      <c r="L1614" s="8" t="s">
        <v>3267</v>
      </c>
      <c r="M1614" s="2"/>
      <c r="N1614" s="8" t="s">
        <v>5067</v>
      </c>
      <c r="O1614" s="8" t="str">
        <f t="shared" si="162"/>
        <v>PDFを開く</v>
      </c>
      <c r="P1614" s="8" t="s">
        <v>1473</v>
      </c>
    </row>
    <row r="1615" spans="1:16" ht="33.950000000000003" customHeight="1">
      <c r="A1615" s="5" t="s">
        <v>1467</v>
      </c>
      <c r="B1615" s="5" t="s">
        <v>1386</v>
      </c>
      <c r="C1615" s="9" t="s">
        <v>1468</v>
      </c>
      <c r="D1615" s="5">
        <v>2</v>
      </c>
      <c r="E1615" s="9" t="s">
        <v>3191</v>
      </c>
      <c r="F1615" s="5" t="s">
        <v>2513</v>
      </c>
      <c r="G1615" s="5" t="s">
        <v>3177</v>
      </c>
      <c r="H1615" s="5" t="s">
        <v>3178</v>
      </c>
      <c r="I1615" s="9" t="s">
        <v>3179</v>
      </c>
      <c r="J1615" s="5">
        <v>2026</v>
      </c>
      <c r="K1615" s="5">
        <v>110</v>
      </c>
      <c r="L1615" s="9" t="s">
        <v>3968</v>
      </c>
      <c r="M1615" s="5"/>
      <c r="N1615" s="9" t="s">
        <v>5068</v>
      </c>
      <c r="O1615" s="9" t="str">
        <f t="shared" si="162"/>
        <v>PDFを開く</v>
      </c>
      <c r="P1615" s="9" t="s">
        <v>1473</v>
      </c>
    </row>
    <row r="1616" spans="1:16" ht="33.950000000000003" customHeight="1">
      <c r="A1616" s="2" t="s">
        <v>1467</v>
      </c>
      <c r="B1616" s="2" t="s">
        <v>1386</v>
      </c>
      <c r="C1616" s="8" t="s">
        <v>1468</v>
      </c>
      <c r="D1616" s="2">
        <v>2</v>
      </c>
      <c r="E1616" s="8" t="s">
        <v>3191</v>
      </c>
      <c r="F1616" s="2" t="s">
        <v>2513</v>
      </c>
      <c r="G1616" s="2" t="s">
        <v>3177</v>
      </c>
      <c r="H1616" s="2" t="s">
        <v>3178</v>
      </c>
      <c r="I1616" s="8" t="s">
        <v>3182</v>
      </c>
      <c r="J1616" s="2">
        <v>2029</v>
      </c>
      <c r="K1616" s="2">
        <v>150</v>
      </c>
      <c r="L1616" s="8" t="s">
        <v>4088</v>
      </c>
      <c r="M1616" s="2"/>
      <c r="N1616" s="8" t="s">
        <v>5068</v>
      </c>
      <c r="O1616" s="8" t="str">
        <f t="shared" si="162"/>
        <v>PDFを開く</v>
      </c>
      <c r="P1616" s="8" t="s">
        <v>1473</v>
      </c>
    </row>
    <row r="1617" spans="1:16" ht="33.950000000000003" customHeight="1">
      <c r="A1617" s="5" t="s">
        <v>1474</v>
      </c>
      <c r="B1617" s="5" t="s">
        <v>1386</v>
      </c>
      <c r="C1617" s="9" t="s">
        <v>1475</v>
      </c>
      <c r="D1617" s="5">
        <v>2</v>
      </c>
      <c r="E1617" s="9" t="s">
        <v>3176</v>
      </c>
      <c r="F1617" s="5" t="s">
        <v>86</v>
      </c>
      <c r="G1617" s="5" t="s">
        <v>3177</v>
      </c>
      <c r="H1617" s="5" t="s">
        <v>3178</v>
      </c>
      <c r="I1617" s="9" t="s">
        <v>3179</v>
      </c>
      <c r="J1617" s="5">
        <v>2026</v>
      </c>
      <c r="K1617" s="5">
        <v>2352</v>
      </c>
      <c r="L1617" s="9" t="s">
        <v>5069</v>
      </c>
      <c r="M1617" s="5">
        <v>23</v>
      </c>
      <c r="N1617" s="9" t="s">
        <v>5070</v>
      </c>
      <c r="O1617" s="9" t="str">
        <f t="shared" ref="O1617:O1623" si="163">HYPERLINK("https://seichotoushi-hojo.jp/assets/pdf/koufu/outline__194.pdf","PDFを開く")</f>
        <v>PDFを開く</v>
      </c>
      <c r="P1617" s="9" t="s">
        <v>1482</v>
      </c>
    </row>
    <row r="1618" spans="1:16" ht="33.950000000000003" customHeight="1">
      <c r="A1618" s="2" t="s">
        <v>1474</v>
      </c>
      <c r="B1618" s="2" t="s">
        <v>1386</v>
      </c>
      <c r="C1618" s="8" t="s">
        <v>1475</v>
      </c>
      <c r="D1618" s="2">
        <v>2</v>
      </c>
      <c r="E1618" s="8" t="s">
        <v>3176</v>
      </c>
      <c r="F1618" s="2" t="s">
        <v>86</v>
      </c>
      <c r="G1618" s="2" t="s">
        <v>3177</v>
      </c>
      <c r="H1618" s="2" t="s">
        <v>3178</v>
      </c>
      <c r="I1618" s="8" t="s">
        <v>3182</v>
      </c>
      <c r="J1618" s="2">
        <v>2029</v>
      </c>
      <c r="K1618" s="2">
        <v>4375</v>
      </c>
      <c r="L1618" s="8" t="s">
        <v>5071</v>
      </c>
      <c r="M1618" s="2">
        <v>23</v>
      </c>
      <c r="N1618" s="8" t="s">
        <v>5070</v>
      </c>
      <c r="O1618" s="8" t="str">
        <f t="shared" si="163"/>
        <v>PDFを開く</v>
      </c>
      <c r="P1618" s="8" t="s">
        <v>1482</v>
      </c>
    </row>
    <row r="1619" spans="1:16" ht="33.950000000000003" customHeight="1">
      <c r="A1619" s="5" t="s">
        <v>1474</v>
      </c>
      <c r="B1619" s="5" t="s">
        <v>1386</v>
      </c>
      <c r="C1619" s="9" t="s">
        <v>1475</v>
      </c>
      <c r="D1619" s="5">
        <v>2</v>
      </c>
      <c r="E1619" s="9" t="s">
        <v>3184</v>
      </c>
      <c r="F1619" s="5" t="s">
        <v>86</v>
      </c>
      <c r="G1619" s="5" t="s">
        <v>3177</v>
      </c>
      <c r="H1619" s="5" t="s">
        <v>3178</v>
      </c>
      <c r="I1619" s="9" t="s">
        <v>3179</v>
      </c>
      <c r="J1619" s="5">
        <v>2026</v>
      </c>
      <c r="K1619" s="5">
        <v>661</v>
      </c>
      <c r="L1619" s="9" t="s">
        <v>4147</v>
      </c>
      <c r="M1619" s="5">
        <v>5</v>
      </c>
      <c r="N1619" s="9" t="s">
        <v>5072</v>
      </c>
      <c r="O1619" s="9" t="str">
        <f t="shared" si="163"/>
        <v>PDFを開く</v>
      </c>
      <c r="P1619" s="9" t="s">
        <v>1482</v>
      </c>
    </row>
    <row r="1620" spans="1:16" ht="33.950000000000003" customHeight="1">
      <c r="A1620" s="2" t="s">
        <v>1474</v>
      </c>
      <c r="B1620" s="2" t="s">
        <v>1386</v>
      </c>
      <c r="C1620" s="8" t="s">
        <v>1475</v>
      </c>
      <c r="D1620" s="2">
        <v>2</v>
      </c>
      <c r="E1620" s="8" t="s">
        <v>3184</v>
      </c>
      <c r="F1620" s="2" t="s">
        <v>86</v>
      </c>
      <c r="G1620" s="2" t="s">
        <v>3177</v>
      </c>
      <c r="H1620" s="2" t="s">
        <v>3178</v>
      </c>
      <c r="I1620" s="8" t="s">
        <v>3182</v>
      </c>
      <c r="J1620" s="2">
        <v>2029</v>
      </c>
      <c r="K1620" s="2">
        <v>766</v>
      </c>
      <c r="L1620" s="8" t="s">
        <v>5073</v>
      </c>
      <c r="M1620" s="2">
        <v>5</v>
      </c>
      <c r="N1620" s="8" t="s">
        <v>5072</v>
      </c>
      <c r="O1620" s="8" t="str">
        <f t="shared" si="163"/>
        <v>PDFを開く</v>
      </c>
      <c r="P1620" s="8" t="s">
        <v>1482</v>
      </c>
    </row>
    <row r="1621" spans="1:16" ht="33.950000000000003" customHeight="1">
      <c r="A1621" s="5" t="s">
        <v>1474</v>
      </c>
      <c r="B1621" s="5" t="s">
        <v>1386</v>
      </c>
      <c r="C1621" s="9" t="s">
        <v>1475</v>
      </c>
      <c r="D1621" s="5">
        <v>2</v>
      </c>
      <c r="E1621" s="9" t="s">
        <v>3188</v>
      </c>
      <c r="F1621" s="5" t="s">
        <v>86</v>
      </c>
      <c r="G1621" s="19" t="s">
        <v>3189</v>
      </c>
      <c r="H1621" s="5" t="s">
        <v>3178</v>
      </c>
      <c r="I1621" s="9"/>
      <c r="J1621" s="5"/>
      <c r="K1621" s="5"/>
      <c r="L1621" s="9"/>
      <c r="M1621" s="5"/>
      <c r="N1621" s="9" t="s">
        <v>5074</v>
      </c>
      <c r="O1621" s="9" t="str">
        <f t="shared" si="163"/>
        <v>PDFを開く</v>
      </c>
      <c r="P1621" s="9" t="s">
        <v>1482</v>
      </c>
    </row>
    <row r="1622" spans="1:16" ht="33.950000000000003" customHeight="1">
      <c r="A1622" s="2" t="s">
        <v>1474</v>
      </c>
      <c r="B1622" s="2" t="s">
        <v>1386</v>
      </c>
      <c r="C1622" s="8" t="s">
        <v>1475</v>
      </c>
      <c r="D1622" s="2">
        <v>2</v>
      </c>
      <c r="E1622" s="8" t="s">
        <v>3191</v>
      </c>
      <c r="F1622" s="2" t="s">
        <v>2513</v>
      </c>
      <c r="G1622" s="2" t="s">
        <v>3177</v>
      </c>
      <c r="H1622" s="2" t="s">
        <v>3178</v>
      </c>
      <c r="I1622" s="8" t="s">
        <v>3179</v>
      </c>
      <c r="J1622" s="2">
        <v>2026</v>
      </c>
      <c r="K1622" s="2">
        <v>384</v>
      </c>
      <c r="L1622" s="8" t="s">
        <v>3495</v>
      </c>
      <c r="M1622" s="2"/>
      <c r="N1622" s="8" t="s">
        <v>5075</v>
      </c>
      <c r="O1622" s="8" t="str">
        <f t="shared" si="163"/>
        <v>PDFを開く</v>
      </c>
      <c r="P1622" s="8" t="s">
        <v>1482</v>
      </c>
    </row>
    <row r="1623" spans="1:16" ht="33.950000000000003" customHeight="1">
      <c r="A1623" s="5" t="s">
        <v>1474</v>
      </c>
      <c r="B1623" s="5" t="s">
        <v>1386</v>
      </c>
      <c r="C1623" s="9" t="s">
        <v>1475</v>
      </c>
      <c r="D1623" s="5">
        <v>2</v>
      </c>
      <c r="E1623" s="9" t="s">
        <v>3191</v>
      </c>
      <c r="F1623" s="5" t="s">
        <v>2513</v>
      </c>
      <c r="G1623" s="5" t="s">
        <v>3177</v>
      </c>
      <c r="H1623" s="5" t="s">
        <v>3178</v>
      </c>
      <c r="I1623" s="9" t="s">
        <v>3182</v>
      </c>
      <c r="J1623" s="5">
        <v>2029</v>
      </c>
      <c r="K1623" s="5">
        <v>384</v>
      </c>
      <c r="L1623" s="9" t="s">
        <v>3495</v>
      </c>
      <c r="M1623" s="5"/>
      <c r="N1623" s="9" t="s">
        <v>5075</v>
      </c>
      <c r="O1623" s="9" t="str">
        <f t="shared" si="163"/>
        <v>PDFを開く</v>
      </c>
      <c r="P1623" s="9" t="s">
        <v>1482</v>
      </c>
    </row>
    <row r="1624" spans="1:16" ht="33.950000000000003" customHeight="1">
      <c r="A1624" s="2" t="s">
        <v>1483</v>
      </c>
      <c r="B1624" s="2" t="s">
        <v>1386</v>
      </c>
      <c r="C1624" s="8" t="s">
        <v>1484</v>
      </c>
      <c r="D1624" s="2">
        <v>2</v>
      </c>
      <c r="E1624" s="8" t="s">
        <v>3176</v>
      </c>
      <c r="F1624" s="2" t="s">
        <v>86</v>
      </c>
      <c r="G1624" s="2" t="s">
        <v>3177</v>
      </c>
      <c r="H1624" s="2" t="s">
        <v>3178</v>
      </c>
      <c r="I1624" s="8" t="s">
        <v>3179</v>
      </c>
      <c r="J1624" s="2">
        <v>2026</v>
      </c>
      <c r="K1624" s="2">
        <v>805</v>
      </c>
      <c r="L1624" s="8" t="s">
        <v>5076</v>
      </c>
      <c r="M1624" s="2"/>
      <c r="N1624" s="8" t="s">
        <v>5077</v>
      </c>
      <c r="O1624" s="8" t="str">
        <f t="shared" ref="O1624:O1651" si="164">HYPERLINK("https://seichotoushi-hojo.jp/assets/pdf/koufu/outline__195.pdf","PDFを開く")</f>
        <v>PDFを開く</v>
      </c>
      <c r="P1624" s="8" t="s">
        <v>1490</v>
      </c>
    </row>
    <row r="1625" spans="1:16" ht="33.950000000000003" customHeight="1">
      <c r="A1625" s="5" t="s">
        <v>1483</v>
      </c>
      <c r="B1625" s="5" t="s">
        <v>1386</v>
      </c>
      <c r="C1625" s="9" t="s">
        <v>1484</v>
      </c>
      <c r="D1625" s="5">
        <v>2</v>
      </c>
      <c r="E1625" s="9" t="s">
        <v>3176</v>
      </c>
      <c r="F1625" s="5" t="s">
        <v>86</v>
      </c>
      <c r="G1625" s="5" t="s">
        <v>3177</v>
      </c>
      <c r="H1625" s="5" t="s">
        <v>3178</v>
      </c>
      <c r="I1625" s="9" t="s">
        <v>3182</v>
      </c>
      <c r="J1625" s="5">
        <v>2029</v>
      </c>
      <c r="K1625" s="5">
        <v>1169</v>
      </c>
      <c r="L1625" s="9" t="s">
        <v>3272</v>
      </c>
      <c r="M1625" s="5"/>
      <c r="N1625" s="9" t="s">
        <v>5077</v>
      </c>
      <c r="O1625" s="9" t="str">
        <f t="shared" si="164"/>
        <v>PDFを開く</v>
      </c>
      <c r="P1625" s="9" t="s">
        <v>1490</v>
      </c>
    </row>
    <row r="1626" spans="1:16" ht="33.950000000000003" customHeight="1">
      <c r="A1626" s="2" t="s">
        <v>1483</v>
      </c>
      <c r="B1626" s="2" t="s">
        <v>1386</v>
      </c>
      <c r="C1626" s="8" t="s">
        <v>1484</v>
      </c>
      <c r="D1626" s="2">
        <v>2</v>
      </c>
      <c r="E1626" s="8" t="s">
        <v>3184</v>
      </c>
      <c r="F1626" s="2" t="s">
        <v>86</v>
      </c>
      <c r="G1626" s="19" t="s">
        <v>3494</v>
      </c>
      <c r="H1626" s="2" t="s">
        <v>3178</v>
      </c>
      <c r="I1626" s="8" t="s">
        <v>3179</v>
      </c>
      <c r="J1626" s="2">
        <v>2026</v>
      </c>
      <c r="K1626" s="2">
        <v>569</v>
      </c>
      <c r="L1626" s="8" t="s">
        <v>3667</v>
      </c>
      <c r="M1626" s="2"/>
      <c r="N1626" s="8" t="s">
        <v>5078</v>
      </c>
      <c r="O1626" s="8" t="str">
        <f t="shared" si="164"/>
        <v>PDFを開く</v>
      </c>
      <c r="P1626" s="8" t="s">
        <v>1490</v>
      </c>
    </row>
    <row r="1627" spans="1:16" ht="33.950000000000003" customHeight="1">
      <c r="A1627" s="5" t="s">
        <v>1483</v>
      </c>
      <c r="B1627" s="5" t="s">
        <v>1386</v>
      </c>
      <c r="C1627" s="9" t="s">
        <v>1484</v>
      </c>
      <c r="D1627" s="5">
        <v>2</v>
      </c>
      <c r="E1627" s="9" t="s">
        <v>3184</v>
      </c>
      <c r="F1627" s="5" t="s">
        <v>86</v>
      </c>
      <c r="G1627" s="19" t="s">
        <v>3494</v>
      </c>
      <c r="H1627" s="5" t="s">
        <v>3178</v>
      </c>
      <c r="I1627" s="9"/>
      <c r="J1627" s="5"/>
      <c r="K1627" s="5">
        <v>560</v>
      </c>
      <c r="L1627" s="9" t="s">
        <v>3637</v>
      </c>
      <c r="M1627" s="5"/>
      <c r="N1627" s="9" t="s">
        <v>5078</v>
      </c>
      <c r="O1627" s="9" t="str">
        <f t="shared" si="164"/>
        <v>PDFを開く</v>
      </c>
      <c r="P1627" s="9" t="s">
        <v>1490</v>
      </c>
    </row>
    <row r="1628" spans="1:16" ht="33.950000000000003" customHeight="1">
      <c r="A1628" s="2" t="s">
        <v>1483</v>
      </c>
      <c r="B1628" s="2" t="s">
        <v>1386</v>
      </c>
      <c r="C1628" s="8" t="s">
        <v>1484</v>
      </c>
      <c r="D1628" s="2">
        <v>2</v>
      </c>
      <c r="E1628" s="8" t="s">
        <v>3184</v>
      </c>
      <c r="F1628" s="2" t="s">
        <v>86</v>
      </c>
      <c r="G1628" s="19" t="s">
        <v>3494</v>
      </c>
      <c r="H1628" s="2" t="s">
        <v>3178</v>
      </c>
      <c r="I1628" s="8"/>
      <c r="J1628" s="2"/>
      <c r="K1628" s="2">
        <v>645</v>
      </c>
      <c r="L1628" s="8" t="s">
        <v>5032</v>
      </c>
      <c r="M1628" s="2"/>
      <c r="N1628" s="8" t="s">
        <v>5078</v>
      </c>
      <c r="O1628" s="8" t="str">
        <f t="shared" si="164"/>
        <v>PDFを開く</v>
      </c>
      <c r="P1628" s="8" t="s">
        <v>1490</v>
      </c>
    </row>
    <row r="1629" spans="1:16" ht="33.950000000000003" customHeight="1">
      <c r="A1629" s="5" t="s">
        <v>1483</v>
      </c>
      <c r="B1629" s="5" t="s">
        <v>1386</v>
      </c>
      <c r="C1629" s="9" t="s">
        <v>1484</v>
      </c>
      <c r="D1629" s="5">
        <v>2</v>
      </c>
      <c r="E1629" s="9" t="s">
        <v>3184</v>
      </c>
      <c r="F1629" s="5" t="s">
        <v>86</v>
      </c>
      <c r="G1629" s="19" t="s">
        <v>3494</v>
      </c>
      <c r="H1629" s="5" t="s">
        <v>3178</v>
      </c>
      <c r="I1629" s="9"/>
      <c r="J1629" s="5"/>
      <c r="K1629" s="5">
        <v>765</v>
      </c>
      <c r="L1629" s="9" t="s">
        <v>5079</v>
      </c>
      <c r="M1629" s="5"/>
      <c r="N1629" s="9" t="s">
        <v>5078</v>
      </c>
      <c r="O1629" s="9" t="str">
        <f t="shared" si="164"/>
        <v>PDFを開く</v>
      </c>
      <c r="P1629" s="9" t="s">
        <v>1490</v>
      </c>
    </row>
    <row r="1630" spans="1:16" ht="33.950000000000003" customHeight="1">
      <c r="A1630" s="2" t="s">
        <v>1483</v>
      </c>
      <c r="B1630" s="2" t="s">
        <v>1386</v>
      </c>
      <c r="C1630" s="8" t="s">
        <v>1484</v>
      </c>
      <c r="D1630" s="2">
        <v>2</v>
      </c>
      <c r="E1630" s="8" t="s">
        <v>3184</v>
      </c>
      <c r="F1630" s="2" t="s">
        <v>86</v>
      </c>
      <c r="G1630" s="19" t="s">
        <v>3494</v>
      </c>
      <c r="H1630" s="2" t="s">
        <v>3178</v>
      </c>
      <c r="I1630" s="8" t="s">
        <v>3182</v>
      </c>
      <c r="J1630" s="2">
        <v>2029</v>
      </c>
      <c r="K1630" s="2">
        <v>650</v>
      </c>
      <c r="L1630" s="8" t="s">
        <v>4495</v>
      </c>
      <c r="M1630" s="2"/>
      <c r="N1630" s="8" t="s">
        <v>5078</v>
      </c>
      <c r="O1630" s="8" t="str">
        <f t="shared" si="164"/>
        <v>PDFを開く</v>
      </c>
      <c r="P1630" s="8" t="s">
        <v>1490</v>
      </c>
    </row>
    <row r="1631" spans="1:16" ht="33.950000000000003" customHeight="1">
      <c r="A1631" s="5" t="s">
        <v>1483</v>
      </c>
      <c r="B1631" s="5" t="s">
        <v>1386</v>
      </c>
      <c r="C1631" s="9" t="s">
        <v>1484</v>
      </c>
      <c r="D1631" s="5">
        <v>2</v>
      </c>
      <c r="E1631" s="9" t="s">
        <v>3184</v>
      </c>
      <c r="F1631" s="5" t="s">
        <v>86</v>
      </c>
      <c r="G1631" s="19" t="s">
        <v>3494</v>
      </c>
      <c r="H1631" s="5" t="s">
        <v>3178</v>
      </c>
      <c r="I1631" s="9"/>
      <c r="J1631" s="5"/>
      <c r="K1631" s="5">
        <v>639</v>
      </c>
      <c r="L1631" s="9" t="s">
        <v>4193</v>
      </c>
      <c r="M1631" s="5"/>
      <c r="N1631" s="9" t="s">
        <v>5078</v>
      </c>
      <c r="O1631" s="9" t="str">
        <f t="shared" si="164"/>
        <v>PDFを開く</v>
      </c>
      <c r="P1631" s="9" t="s">
        <v>1490</v>
      </c>
    </row>
    <row r="1632" spans="1:16" ht="33.950000000000003" customHeight="1">
      <c r="A1632" s="2" t="s">
        <v>1483</v>
      </c>
      <c r="B1632" s="2" t="s">
        <v>1386</v>
      </c>
      <c r="C1632" s="8" t="s">
        <v>1484</v>
      </c>
      <c r="D1632" s="2">
        <v>2</v>
      </c>
      <c r="E1632" s="8" t="s">
        <v>3184</v>
      </c>
      <c r="F1632" s="2" t="s">
        <v>86</v>
      </c>
      <c r="G1632" s="19" t="s">
        <v>3494</v>
      </c>
      <c r="H1632" s="2" t="s">
        <v>3178</v>
      </c>
      <c r="I1632" s="8"/>
      <c r="J1632" s="2"/>
      <c r="K1632" s="2">
        <v>736</v>
      </c>
      <c r="L1632" s="8" t="s">
        <v>5080</v>
      </c>
      <c r="M1632" s="2"/>
      <c r="N1632" s="8" t="s">
        <v>5078</v>
      </c>
      <c r="O1632" s="8" t="str">
        <f t="shared" si="164"/>
        <v>PDFを開く</v>
      </c>
      <c r="P1632" s="8" t="s">
        <v>1490</v>
      </c>
    </row>
    <row r="1633" spans="1:16" ht="33.950000000000003" customHeight="1">
      <c r="A1633" s="5" t="s">
        <v>1483</v>
      </c>
      <c r="B1633" s="5" t="s">
        <v>1386</v>
      </c>
      <c r="C1633" s="9" t="s">
        <v>1484</v>
      </c>
      <c r="D1633" s="5">
        <v>2</v>
      </c>
      <c r="E1633" s="9" t="s">
        <v>3184</v>
      </c>
      <c r="F1633" s="5" t="s">
        <v>86</v>
      </c>
      <c r="G1633" s="19" t="s">
        <v>3494</v>
      </c>
      <c r="H1633" s="5" t="s">
        <v>3178</v>
      </c>
      <c r="I1633" s="9"/>
      <c r="J1633" s="5"/>
      <c r="K1633" s="5">
        <v>873</v>
      </c>
      <c r="L1633" s="9" t="s">
        <v>3445</v>
      </c>
      <c r="M1633" s="5"/>
      <c r="N1633" s="9" t="s">
        <v>5078</v>
      </c>
      <c r="O1633" s="9" t="str">
        <f t="shared" si="164"/>
        <v>PDFを開く</v>
      </c>
      <c r="P1633" s="9" t="s">
        <v>1490</v>
      </c>
    </row>
    <row r="1634" spans="1:16" ht="33.950000000000003" customHeight="1">
      <c r="A1634" s="2" t="s">
        <v>1483</v>
      </c>
      <c r="B1634" s="2" t="s">
        <v>1386</v>
      </c>
      <c r="C1634" s="8" t="s">
        <v>1484</v>
      </c>
      <c r="D1634" s="2">
        <v>2</v>
      </c>
      <c r="E1634" s="8" t="s">
        <v>3188</v>
      </c>
      <c r="F1634" s="2" t="s">
        <v>86</v>
      </c>
      <c r="G1634" s="19" t="s">
        <v>3494</v>
      </c>
      <c r="H1634" s="2" t="s">
        <v>3178</v>
      </c>
      <c r="I1634" s="8" t="s">
        <v>3179</v>
      </c>
      <c r="J1634" s="2">
        <v>2026</v>
      </c>
      <c r="K1634" s="2">
        <v>1160</v>
      </c>
      <c r="L1634" s="8" t="s">
        <v>4351</v>
      </c>
      <c r="M1634" s="2"/>
      <c r="N1634" s="8" t="s">
        <v>5081</v>
      </c>
      <c r="O1634" s="8" t="str">
        <f t="shared" si="164"/>
        <v>PDFを開く</v>
      </c>
      <c r="P1634" s="8" t="s">
        <v>1490</v>
      </c>
    </row>
    <row r="1635" spans="1:16" ht="33.950000000000003" customHeight="1">
      <c r="A1635" s="5" t="s">
        <v>1483</v>
      </c>
      <c r="B1635" s="5" t="s">
        <v>1386</v>
      </c>
      <c r="C1635" s="9" t="s">
        <v>1484</v>
      </c>
      <c r="D1635" s="5">
        <v>2</v>
      </c>
      <c r="E1635" s="9" t="s">
        <v>3188</v>
      </c>
      <c r="F1635" s="5" t="s">
        <v>86</v>
      </c>
      <c r="G1635" s="19" t="s">
        <v>3494</v>
      </c>
      <c r="H1635" s="5" t="s">
        <v>3178</v>
      </c>
      <c r="I1635" s="9"/>
      <c r="J1635" s="5"/>
      <c r="K1635" s="5">
        <v>1160</v>
      </c>
      <c r="L1635" s="9" t="s">
        <v>4351</v>
      </c>
      <c r="M1635" s="5"/>
      <c r="N1635" s="9" t="s">
        <v>5081</v>
      </c>
      <c r="O1635" s="9" t="str">
        <f t="shared" si="164"/>
        <v>PDFを開く</v>
      </c>
      <c r="P1635" s="9" t="s">
        <v>1490</v>
      </c>
    </row>
    <row r="1636" spans="1:16" ht="33.950000000000003" customHeight="1">
      <c r="A1636" s="2" t="s">
        <v>1483</v>
      </c>
      <c r="B1636" s="2" t="s">
        <v>1386</v>
      </c>
      <c r="C1636" s="8" t="s">
        <v>1484</v>
      </c>
      <c r="D1636" s="2">
        <v>2</v>
      </c>
      <c r="E1636" s="8" t="s">
        <v>3188</v>
      </c>
      <c r="F1636" s="2" t="s">
        <v>86</v>
      </c>
      <c r="G1636" s="19" t="s">
        <v>3494</v>
      </c>
      <c r="H1636" s="2" t="s">
        <v>3178</v>
      </c>
      <c r="I1636" s="8" t="s">
        <v>3182</v>
      </c>
      <c r="J1636" s="2">
        <v>2029</v>
      </c>
      <c r="K1636" s="2">
        <v>1323</v>
      </c>
      <c r="L1636" s="8" t="s">
        <v>5082</v>
      </c>
      <c r="M1636" s="2"/>
      <c r="N1636" s="8" t="s">
        <v>5081</v>
      </c>
      <c r="O1636" s="8" t="str">
        <f t="shared" si="164"/>
        <v>PDFを開く</v>
      </c>
      <c r="P1636" s="8" t="s">
        <v>1490</v>
      </c>
    </row>
    <row r="1637" spans="1:16" ht="33.950000000000003" customHeight="1">
      <c r="A1637" s="5" t="s">
        <v>1483</v>
      </c>
      <c r="B1637" s="5" t="s">
        <v>1386</v>
      </c>
      <c r="C1637" s="9" t="s">
        <v>1484</v>
      </c>
      <c r="D1637" s="5">
        <v>2</v>
      </c>
      <c r="E1637" s="9" t="s">
        <v>3188</v>
      </c>
      <c r="F1637" s="5" t="s">
        <v>86</v>
      </c>
      <c r="G1637" s="19" t="s">
        <v>3494</v>
      </c>
      <c r="H1637" s="5" t="s">
        <v>3178</v>
      </c>
      <c r="I1637" s="9"/>
      <c r="J1637" s="5"/>
      <c r="K1637" s="5">
        <v>1323</v>
      </c>
      <c r="L1637" s="9" t="s">
        <v>5082</v>
      </c>
      <c r="M1637" s="5"/>
      <c r="N1637" s="9" t="s">
        <v>5081</v>
      </c>
      <c r="O1637" s="9" t="str">
        <f t="shared" si="164"/>
        <v>PDFを開く</v>
      </c>
      <c r="P1637" s="9" t="s">
        <v>1490</v>
      </c>
    </row>
    <row r="1638" spans="1:16" ht="33.950000000000003" customHeight="1">
      <c r="A1638" s="2" t="s">
        <v>1483</v>
      </c>
      <c r="B1638" s="2" t="s">
        <v>1386</v>
      </c>
      <c r="C1638" s="8" t="s">
        <v>1484</v>
      </c>
      <c r="D1638" s="2">
        <v>2</v>
      </c>
      <c r="E1638" s="8" t="s">
        <v>3191</v>
      </c>
      <c r="F1638" s="2" t="s">
        <v>2513</v>
      </c>
      <c r="G1638" s="19" t="s">
        <v>3494</v>
      </c>
      <c r="H1638" s="2" t="s">
        <v>3178</v>
      </c>
      <c r="I1638" s="8" t="s">
        <v>3179</v>
      </c>
      <c r="J1638" s="2">
        <v>2026</v>
      </c>
      <c r="K1638" s="2">
        <v>168</v>
      </c>
      <c r="L1638" s="8" t="s">
        <v>5083</v>
      </c>
      <c r="M1638" s="2"/>
      <c r="N1638" s="8" t="s">
        <v>5084</v>
      </c>
      <c r="O1638" s="8" t="str">
        <f t="shared" si="164"/>
        <v>PDFを開く</v>
      </c>
      <c r="P1638" s="8" t="s">
        <v>1490</v>
      </c>
    </row>
    <row r="1639" spans="1:16" ht="33.950000000000003" customHeight="1">
      <c r="A1639" s="5" t="s">
        <v>1483</v>
      </c>
      <c r="B1639" s="5" t="s">
        <v>1386</v>
      </c>
      <c r="C1639" s="9" t="s">
        <v>1484</v>
      </c>
      <c r="D1639" s="5">
        <v>2</v>
      </c>
      <c r="E1639" s="9" t="s">
        <v>3191</v>
      </c>
      <c r="F1639" s="5" t="s">
        <v>2513</v>
      </c>
      <c r="G1639" s="19" t="s">
        <v>3494</v>
      </c>
      <c r="H1639" s="5" t="s">
        <v>3178</v>
      </c>
      <c r="I1639" s="9"/>
      <c r="J1639" s="5"/>
      <c r="K1639" s="5">
        <v>156</v>
      </c>
      <c r="L1639" s="9" t="s">
        <v>5085</v>
      </c>
      <c r="M1639" s="5"/>
      <c r="N1639" s="9" t="s">
        <v>5084</v>
      </c>
      <c r="O1639" s="9" t="str">
        <f t="shared" si="164"/>
        <v>PDFを開く</v>
      </c>
      <c r="P1639" s="9" t="s">
        <v>1490</v>
      </c>
    </row>
    <row r="1640" spans="1:16" ht="33.950000000000003" customHeight="1">
      <c r="A1640" s="2" t="s">
        <v>1483</v>
      </c>
      <c r="B1640" s="2" t="s">
        <v>1386</v>
      </c>
      <c r="C1640" s="8" t="s">
        <v>1484</v>
      </c>
      <c r="D1640" s="2">
        <v>2</v>
      </c>
      <c r="E1640" s="8" t="s">
        <v>3191</v>
      </c>
      <c r="F1640" s="2" t="s">
        <v>2513</v>
      </c>
      <c r="G1640" s="19" t="s">
        <v>3494</v>
      </c>
      <c r="H1640" s="2" t="s">
        <v>3178</v>
      </c>
      <c r="I1640" s="8"/>
      <c r="J1640" s="2"/>
      <c r="K1640" s="2">
        <v>7</v>
      </c>
      <c r="L1640" s="8" t="s">
        <v>5086</v>
      </c>
      <c r="M1640" s="2"/>
      <c r="N1640" s="8" t="s">
        <v>5084</v>
      </c>
      <c r="O1640" s="8" t="str">
        <f t="shared" si="164"/>
        <v>PDFを開く</v>
      </c>
      <c r="P1640" s="8" t="s">
        <v>1490</v>
      </c>
    </row>
    <row r="1641" spans="1:16" ht="33.950000000000003" customHeight="1">
      <c r="A1641" s="5" t="s">
        <v>1483</v>
      </c>
      <c r="B1641" s="5" t="s">
        <v>1386</v>
      </c>
      <c r="C1641" s="9" t="s">
        <v>1484</v>
      </c>
      <c r="D1641" s="5">
        <v>2</v>
      </c>
      <c r="E1641" s="9" t="s">
        <v>3191</v>
      </c>
      <c r="F1641" s="5" t="s">
        <v>2513</v>
      </c>
      <c r="G1641" s="19" t="s">
        <v>3494</v>
      </c>
      <c r="H1641" s="5" t="s">
        <v>3178</v>
      </c>
      <c r="I1641" s="9"/>
      <c r="J1641" s="5"/>
      <c r="K1641" s="5">
        <v>5</v>
      </c>
      <c r="L1641" s="9" t="s">
        <v>5087</v>
      </c>
      <c r="M1641" s="5"/>
      <c r="N1641" s="9" t="s">
        <v>5084</v>
      </c>
      <c r="O1641" s="9" t="str">
        <f t="shared" si="164"/>
        <v>PDFを開く</v>
      </c>
      <c r="P1641" s="9" t="s">
        <v>1490</v>
      </c>
    </row>
    <row r="1642" spans="1:16" ht="33.950000000000003" customHeight="1">
      <c r="A1642" s="2" t="s">
        <v>1483</v>
      </c>
      <c r="B1642" s="2" t="s">
        <v>1386</v>
      </c>
      <c r="C1642" s="8" t="s">
        <v>1484</v>
      </c>
      <c r="D1642" s="2">
        <v>2</v>
      </c>
      <c r="E1642" s="8" t="s">
        <v>3191</v>
      </c>
      <c r="F1642" s="2" t="s">
        <v>2513</v>
      </c>
      <c r="G1642" s="19" t="s">
        <v>3494</v>
      </c>
      <c r="H1642" s="2" t="s">
        <v>3178</v>
      </c>
      <c r="I1642" s="8" t="s">
        <v>3182</v>
      </c>
      <c r="J1642" s="2">
        <v>2029</v>
      </c>
      <c r="K1642" s="2">
        <v>180</v>
      </c>
      <c r="L1642" s="8" t="s">
        <v>5088</v>
      </c>
      <c r="M1642" s="2"/>
      <c r="N1642" s="8" t="s">
        <v>5084</v>
      </c>
      <c r="O1642" s="8" t="str">
        <f t="shared" si="164"/>
        <v>PDFを開く</v>
      </c>
      <c r="P1642" s="8" t="s">
        <v>1490</v>
      </c>
    </row>
    <row r="1643" spans="1:16" ht="33.950000000000003" customHeight="1">
      <c r="A1643" s="5" t="s">
        <v>1483</v>
      </c>
      <c r="B1643" s="5" t="s">
        <v>1386</v>
      </c>
      <c r="C1643" s="9" t="s">
        <v>1484</v>
      </c>
      <c r="D1643" s="5">
        <v>2</v>
      </c>
      <c r="E1643" s="9" t="s">
        <v>3191</v>
      </c>
      <c r="F1643" s="5" t="s">
        <v>2513</v>
      </c>
      <c r="G1643" s="19" t="s">
        <v>3494</v>
      </c>
      <c r="H1643" s="5" t="s">
        <v>3178</v>
      </c>
      <c r="I1643" s="9"/>
      <c r="J1643" s="5"/>
      <c r="K1643" s="5">
        <v>168</v>
      </c>
      <c r="L1643" s="9" t="s">
        <v>5083</v>
      </c>
      <c r="M1643" s="5"/>
      <c r="N1643" s="9" t="s">
        <v>5084</v>
      </c>
      <c r="O1643" s="9" t="str">
        <f t="shared" si="164"/>
        <v>PDFを開く</v>
      </c>
      <c r="P1643" s="9" t="s">
        <v>1490</v>
      </c>
    </row>
    <row r="1644" spans="1:16" ht="33.950000000000003" customHeight="1">
      <c r="A1644" s="2" t="s">
        <v>1483</v>
      </c>
      <c r="B1644" s="2" t="s">
        <v>1386</v>
      </c>
      <c r="C1644" s="8" t="s">
        <v>1484</v>
      </c>
      <c r="D1644" s="2">
        <v>2</v>
      </c>
      <c r="E1644" s="8" t="s">
        <v>3191</v>
      </c>
      <c r="F1644" s="2" t="s">
        <v>2513</v>
      </c>
      <c r="G1644" s="19" t="s">
        <v>3494</v>
      </c>
      <c r="H1644" s="2" t="s">
        <v>3178</v>
      </c>
      <c r="I1644" s="8"/>
      <c r="J1644" s="2"/>
      <c r="K1644" s="2">
        <v>7</v>
      </c>
      <c r="L1644" s="8" t="s">
        <v>5086</v>
      </c>
      <c r="M1644" s="2"/>
      <c r="N1644" s="8" t="s">
        <v>5084</v>
      </c>
      <c r="O1644" s="8" t="str">
        <f t="shared" si="164"/>
        <v>PDFを開く</v>
      </c>
      <c r="P1644" s="8" t="s">
        <v>1490</v>
      </c>
    </row>
    <row r="1645" spans="1:16" ht="33.950000000000003" customHeight="1">
      <c r="A1645" s="5" t="s">
        <v>1483</v>
      </c>
      <c r="B1645" s="5" t="s">
        <v>1386</v>
      </c>
      <c r="C1645" s="9" t="s">
        <v>1484</v>
      </c>
      <c r="D1645" s="5">
        <v>2</v>
      </c>
      <c r="E1645" s="9" t="s">
        <v>3191</v>
      </c>
      <c r="F1645" s="5" t="s">
        <v>2513</v>
      </c>
      <c r="G1645" s="19" t="s">
        <v>3494</v>
      </c>
      <c r="H1645" s="5" t="s">
        <v>3178</v>
      </c>
      <c r="I1645" s="9"/>
      <c r="J1645" s="5"/>
      <c r="K1645" s="5">
        <v>5</v>
      </c>
      <c r="L1645" s="9" t="s">
        <v>5087</v>
      </c>
      <c r="M1645" s="5"/>
      <c r="N1645" s="9" t="s">
        <v>5084</v>
      </c>
      <c r="O1645" s="9" t="str">
        <f t="shared" si="164"/>
        <v>PDFを開く</v>
      </c>
      <c r="P1645" s="9" t="s">
        <v>1490</v>
      </c>
    </row>
    <row r="1646" spans="1:16" ht="33.950000000000003" customHeight="1">
      <c r="A1646" s="2" t="s">
        <v>1483</v>
      </c>
      <c r="B1646" s="2" t="s">
        <v>1386</v>
      </c>
      <c r="C1646" s="8" t="s">
        <v>1484</v>
      </c>
      <c r="D1646" s="2">
        <v>2</v>
      </c>
      <c r="E1646" s="8" t="s">
        <v>3188</v>
      </c>
      <c r="F1646" s="2" t="s">
        <v>86</v>
      </c>
      <c r="G1646" s="2" t="s">
        <v>3177</v>
      </c>
      <c r="H1646" s="2" t="s">
        <v>3178</v>
      </c>
      <c r="I1646" s="8" t="s">
        <v>3179</v>
      </c>
      <c r="J1646" s="2">
        <v>2026</v>
      </c>
      <c r="K1646" s="2">
        <v>1160</v>
      </c>
      <c r="L1646" s="8" t="s">
        <v>4351</v>
      </c>
      <c r="M1646" s="2"/>
      <c r="N1646" s="8" t="s">
        <v>5081</v>
      </c>
      <c r="O1646" s="8" t="str">
        <f t="shared" si="164"/>
        <v>PDFを開く</v>
      </c>
      <c r="P1646" s="8" t="s">
        <v>1490</v>
      </c>
    </row>
    <row r="1647" spans="1:16" ht="33.950000000000003" customHeight="1">
      <c r="A1647" s="5" t="s">
        <v>1483</v>
      </c>
      <c r="B1647" s="5" t="s">
        <v>1386</v>
      </c>
      <c r="C1647" s="9" t="s">
        <v>1484</v>
      </c>
      <c r="D1647" s="5">
        <v>2</v>
      </c>
      <c r="E1647" s="9" t="s">
        <v>3188</v>
      </c>
      <c r="F1647" s="5" t="s">
        <v>86</v>
      </c>
      <c r="G1647" s="5" t="s">
        <v>3177</v>
      </c>
      <c r="H1647" s="5" t="s">
        <v>3178</v>
      </c>
      <c r="I1647" s="9" t="s">
        <v>3182</v>
      </c>
      <c r="J1647" s="5">
        <v>2029</v>
      </c>
      <c r="K1647" s="5">
        <v>1323</v>
      </c>
      <c r="L1647" s="9" t="s">
        <v>5082</v>
      </c>
      <c r="M1647" s="5"/>
      <c r="N1647" s="9" t="s">
        <v>5081</v>
      </c>
      <c r="O1647" s="9" t="str">
        <f t="shared" si="164"/>
        <v>PDFを開く</v>
      </c>
      <c r="P1647" s="9" t="s">
        <v>1490</v>
      </c>
    </row>
    <row r="1648" spans="1:16" ht="33.950000000000003" customHeight="1">
      <c r="A1648" s="2" t="s">
        <v>1483</v>
      </c>
      <c r="B1648" s="2" t="s">
        <v>1386</v>
      </c>
      <c r="C1648" s="8" t="s">
        <v>1484</v>
      </c>
      <c r="D1648" s="2">
        <v>2</v>
      </c>
      <c r="E1648" s="8" t="s">
        <v>3191</v>
      </c>
      <c r="F1648" s="2" t="s">
        <v>2513</v>
      </c>
      <c r="G1648" s="2" t="s">
        <v>3177</v>
      </c>
      <c r="H1648" s="2" t="s">
        <v>3178</v>
      </c>
      <c r="I1648" s="8" t="s">
        <v>3179</v>
      </c>
      <c r="J1648" s="2">
        <v>2026</v>
      </c>
      <c r="K1648" s="2">
        <v>168</v>
      </c>
      <c r="L1648" s="8" t="s">
        <v>5083</v>
      </c>
      <c r="M1648" s="2"/>
      <c r="N1648" s="8" t="s">
        <v>5084</v>
      </c>
      <c r="O1648" s="8" t="str">
        <f t="shared" si="164"/>
        <v>PDFを開く</v>
      </c>
      <c r="P1648" s="8" t="s">
        <v>1490</v>
      </c>
    </row>
    <row r="1649" spans="1:16" ht="33.950000000000003" customHeight="1">
      <c r="A1649" s="5" t="s">
        <v>1483</v>
      </c>
      <c r="B1649" s="5" t="s">
        <v>1386</v>
      </c>
      <c r="C1649" s="9" t="s">
        <v>1484</v>
      </c>
      <c r="D1649" s="5">
        <v>2</v>
      </c>
      <c r="E1649" s="9" t="s">
        <v>3191</v>
      </c>
      <c r="F1649" s="5" t="s">
        <v>2513</v>
      </c>
      <c r="G1649" s="5" t="s">
        <v>3177</v>
      </c>
      <c r="H1649" s="5" t="s">
        <v>3178</v>
      </c>
      <c r="I1649" s="9" t="s">
        <v>3182</v>
      </c>
      <c r="J1649" s="5">
        <v>2029</v>
      </c>
      <c r="K1649" s="5">
        <v>180</v>
      </c>
      <c r="L1649" s="9" t="s">
        <v>5088</v>
      </c>
      <c r="M1649" s="5"/>
      <c r="N1649" s="9" t="s">
        <v>5084</v>
      </c>
      <c r="O1649" s="9" t="str">
        <f t="shared" si="164"/>
        <v>PDFを開く</v>
      </c>
      <c r="P1649" s="9" t="s">
        <v>1490</v>
      </c>
    </row>
    <row r="1650" spans="1:16" ht="33.950000000000003" customHeight="1">
      <c r="A1650" s="2" t="s">
        <v>1483</v>
      </c>
      <c r="B1650" s="2" t="s">
        <v>1386</v>
      </c>
      <c r="C1650" s="8" t="s">
        <v>1484</v>
      </c>
      <c r="D1650" s="2">
        <v>2</v>
      </c>
      <c r="E1650" s="8" t="s">
        <v>3184</v>
      </c>
      <c r="F1650" s="2" t="s">
        <v>86</v>
      </c>
      <c r="G1650" s="2" t="s">
        <v>3177</v>
      </c>
      <c r="H1650" s="2" t="s">
        <v>3178</v>
      </c>
      <c r="I1650" s="8" t="s">
        <v>3179</v>
      </c>
      <c r="J1650" s="2">
        <v>2026</v>
      </c>
      <c r="K1650" s="2">
        <v>569</v>
      </c>
      <c r="L1650" s="8" t="s">
        <v>3667</v>
      </c>
      <c r="M1650" s="2"/>
      <c r="N1650" s="8" t="s">
        <v>5078</v>
      </c>
      <c r="O1650" s="8" t="str">
        <f t="shared" si="164"/>
        <v>PDFを開く</v>
      </c>
      <c r="P1650" s="8" t="s">
        <v>1490</v>
      </c>
    </row>
    <row r="1651" spans="1:16" ht="33.950000000000003" customHeight="1">
      <c r="A1651" s="5" t="s">
        <v>1483</v>
      </c>
      <c r="B1651" s="5" t="s">
        <v>1386</v>
      </c>
      <c r="C1651" s="9" t="s">
        <v>1484</v>
      </c>
      <c r="D1651" s="5">
        <v>2</v>
      </c>
      <c r="E1651" s="9" t="s">
        <v>3184</v>
      </c>
      <c r="F1651" s="5" t="s">
        <v>86</v>
      </c>
      <c r="G1651" s="5" t="s">
        <v>3177</v>
      </c>
      <c r="H1651" s="5" t="s">
        <v>3178</v>
      </c>
      <c r="I1651" s="9" t="s">
        <v>3182</v>
      </c>
      <c r="J1651" s="5">
        <v>2029</v>
      </c>
      <c r="K1651" s="5">
        <v>650</v>
      </c>
      <c r="L1651" s="9" t="s">
        <v>4495</v>
      </c>
      <c r="M1651" s="5"/>
      <c r="N1651" s="9" t="s">
        <v>5078</v>
      </c>
      <c r="O1651" s="9" t="str">
        <f t="shared" si="164"/>
        <v>PDFを開く</v>
      </c>
      <c r="P1651" s="9" t="s">
        <v>1490</v>
      </c>
    </row>
    <row r="1652" spans="1:16" ht="33.950000000000003" customHeight="1">
      <c r="A1652" s="2" t="s">
        <v>1491</v>
      </c>
      <c r="B1652" s="2" t="s">
        <v>1386</v>
      </c>
      <c r="C1652" s="8" t="s">
        <v>1492</v>
      </c>
      <c r="D1652" s="2">
        <v>2</v>
      </c>
      <c r="E1652" s="8" t="s">
        <v>3176</v>
      </c>
      <c r="F1652" s="2" t="s">
        <v>86</v>
      </c>
      <c r="G1652" s="2" t="s">
        <v>3177</v>
      </c>
      <c r="H1652" s="2" t="s">
        <v>3178</v>
      </c>
      <c r="I1652" s="8" t="s">
        <v>3259</v>
      </c>
      <c r="J1652" s="2">
        <v>2027</v>
      </c>
      <c r="K1652" s="2">
        <v>1157</v>
      </c>
      <c r="L1652" s="8" t="s">
        <v>5089</v>
      </c>
      <c r="M1652" s="2">
        <v>9.5</v>
      </c>
      <c r="N1652" s="8" t="s">
        <v>5090</v>
      </c>
      <c r="O1652" s="8" t="str">
        <f t="shared" ref="O1652:O1660" si="165">HYPERLINK("https://seichotoushi-hojo.jp/assets/pdf/koufu/outline__196.pdf","PDFを開く")</f>
        <v>PDFを開く</v>
      </c>
      <c r="P1652" s="8" t="s">
        <v>1498</v>
      </c>
    </row>
    <row r="1653" spans="1:16" ht="33.950000000000003" customHeight="1">
      <c r="A1653" s="5" t="s">
        <v>1491</v>
      </c>
      <c r="B1653" s="5" t="s">
        <v>1386</v>
      </c>
      <c r="C1653" s="9" t="s">
        <v>1492</v>
      </c>
      <c r="D1653" s="5">
        <v>2</v>
      </c>
      <c r="E1653" s="9" t="s">
        <v>3176</v>
      </c>
      <c r="F1653" s="5" t="s">
        <v>86</v>
      </c>
      <c r="G1653" s="5" t="s">
        <v>3177</v>
      </c>
      <c r="H1653" s="5" t="s">
        <v>3178</v>
      </c>
      <c r="I1653" s="9" t="s">
        <v>3262</v>
      </c>
      <c r="J1653" s="5">
        <v>2030</v>
      </c>
      <c r="K1653" s="5">
        <v>1519</v>
      </c>
      <c r="L1653" s="9" t="s">
        <v>5091</v>
      </c>
      <c r="M1653" s="5">
        <v>9.5</v>
      </c>
      <c r="N1653" s="9" t="s">
        <v>5090</v>
      </c>
      <c r="O1653" s="9" t="str">
        <f t="shared" si="165"/>
        <v>PDFを開く</v>
      </c>
      <c r="P1653" s="9" t="s">
        <v>1498</v>
      </c>
    </row>
    <row r="1654" spans="1:16" ht="33.950000000000003" customHeight="1">
      <c r="A1654" s="2" t="s">
        <v>1491</v>
      </c>
      <c r="B1654" s="2" t="s">
        <v>1386</v>
      </c>
      <c r="C1654" s="8" t="s">
        <v>1492</v>
      </c>
      <c r="D1654" s="2">
        <v>2</v>
      </c>
      <c r="E1654" s="8" t="s">
        <v>3184</v>
      </c>
      <c r="F1654" s="2" t="s">
        <v>86</v>
      </c>
      <c r="G1654" s="2" t="s">
        <v>3177</v>
      </c>
      <c r="H1654" s="2" t="s">
        <v>3178</v>
      </c>
      <c r="I1654" s="8" t="s">
        <v>3259</v>
      </c>
      <c r="J1654" s="2">
        <v>2027</v>
      </c>
      <c r="K1654" s="2">
        <v>563</v>
      </c>
      <c r="L1654" s="8" t="s">
        <v>3553</v>
      </c>
      <c r="M1654" s="2">
        <v>4</v>
      </c>
      <c r="N1654" s="8" t="s">
        <v>5092</v>
      </c>
      <c r="O1654" s="8" t="str">
        <f t="shared" si="165"/>
        <v>PDFを開く</v>
      </c>
      <c r="P1654" s="8" t="s">
        <v>1498</v>
      </c>
    </row>
    <row r="1655" spans="1:16" ht="33.950000000000003" customHeight="1">
      <c r="A1655" s="5" t="s">
        <v>1491</v>
      </c>
      <c r="B1655" s="5" t="s">
        <v>1386</v>
      </c>
      <c r="C1655" s="9" t="s">
        <v>1492</v>
      </c>
      <c r="D1655" s="5">
        <v>2</v>
      </c>
      <c r="E1655" s="9" t="s">
        <v>3184</v>
      </c>
      <c r="F1655" s="5" t="s">
        <v>86</v>
      </c>
      <c r="G1655" s="5" t="s">
        <v>3177</v>
      </c>
      <c r="H1655" s="5" t="s">
        <v>3178</v>
      </c>
      <c r="I1655" s="9" t="s">
        <v>3262</v>
      </c>
      <c r="J1655" s="5">
        <v>2030</v>
      </c>
      <c r="K1655" s="5">
        <v>633</v>
      </c>
      <c r="L1655" s="9" t="s">
        <v>5093</v>
      </c>
      <c r="M1655" s="5">
        <v>4</v>
      </c>
      <c r="N1655" s="9" t="s">
        <v>5092</v>
      </c>
      <c r="O1655" s="9" t="str">
        <f t="shared" si="165"/>
        <v>PDFを開く</v>
      </c>
      <c r="P1655" s="9" t="s">
        <v>1498</v>
      </c>
    </row>
    <row r="1656" spans="1:16" ht="33.950000000000003" customHeight="1">
      <c r="A1656" s="2" t="s">
        <v>1491</v>
      </c>
      <c r="B1656" s="2" t="s">
        <v>1386</v>
      </c>
      <c r="C1656" s="8" t="s">
        <v>1492</v>
      </c>
      <c r="D1656" s="2">
        <v>2</v>
      </c>
      <c r="E1656" s="8" t="s">
        <v>3188</v>
      </c>
      <c r="F1656" s="2" t="s">
        <v>86</v>
      </c>
      <c r="G1656" s="19" t="s">
        <v>3189</v>
      </c>
      <c r="H1656" s="2" t="s">
        <v>3178</v>
      </c>
      <c r="I1656" s="8"/>
      <c r="J1656" s="2"/>
      <c r="K1656" s="2"/>
      <c r="L1656" s="8"/>
      <c r="M1656" s="2">
        <v>3.7</v>
      </c>
      <c r="N1656" s="8" t="s">
        <v>5094</v>
      </c>
      <c r="O1656" s="8" t="str">
        <f t="shared" si="165"/>
        <v>PDFを開く</v>
      </c>
      <c r="P1656" s="8" t="s">
        <v>1498</v>
      </c>
    </row>
    <row r="1657" spans="1:16" ht="33.950000000000003" customHeight="1">
      <c r="A1657" s="5" t="s">
        <v>1491</v>
      </c>
      <c r="B1657" s="5" t="s">
        <v>1386</v>
      </c>
      <c r="C1657" s="9" t="s">
        <v>1492</v>
      </c>
      <c r="D1657" s="5">
        <v>2</v>
      </c>
      <c r="E1657" s="9" t="s">
        <v>3191</v>
      </c>
      <c r="F1657" s="5" t="s">
        <v>2513</v>
      </c>
      <c r="G1657" s="5" t="s">
        <v>3177</v>
      </c>
      <c r="H1657" s="5" t="s">
        <v>3178</v>
      </c>
      <c r="I1657" s="9" t="s">
        <v>3259</v>
      </c>
      <c r="J1657" s="5">
        <v>2027</v>
      </c>
      <c r="K1657" s="5">
        <v>79</v>
      </c>
      <c r="L1657" s="9" t="s">
        <v>5095</v>
      </c>
      <c r="M1657" s="5"/>
      <c r="N1657" s="9" t="s">
        <v>5096</v>
      </c>
      <c r="O1657" s="9" t="str">
        <f t="shared" si="165"/>
        <v>PDFを開く</v>
      </c>
      <c r="P1657" s="9" t="s">
        <v>1498</v>
      </c>
    </row>
    <row r="1658" spans="1:16" ht="33.950000000000003" customHeight="1">
      <c r="A1658" s="2" t="s">
        <v>1491</v>
      </c>
      <c r="B1658" s="2" t="s">
        <v>1386</v>
      </c>
      <c r="C1658" s="8" t="s">
        <v>1492</v>
      </c>
      <c r="D1658" s="2">
        <v>2</v>
      </c>
      <c r="E1658" s="8" t="s">
        <v>3191</v>
      </c>
      <c r="F1658" s="2" t="s">
        <v>2513</v>
      </c>
      <c r="G1658" s="2" t="s">
        <v>3177</v>
      </c>
      <c r="H1658" s="2" t="s">
        <v>3178</v>
      </c>
      <c r="I1658" s="8" t="s">
        <v>3262</v>
      </c>
      <c r="J1658" s="2">
        <v>2030</v>
      </c>
      <c r="K1658" s="2">
        <v>89</v>
      </c>
      <c r="L1658" s="8" t="s">
        <v>4288</v>
      </c>
      <c r="M1658" s="2"/>
      <c r="N1658" s="8" t="s">
        <v>5096</v>
      </c>
      <c r="O1658" s="8" t="str">
        <f t="shared" si="165"/>
        <v>PDFを開く</v>
      </c>
      <c r="P1658" s="8" t="s">
        <v>1498</v>
      </c>
    </row>
    <row r="1659" spans="1:16" ht="33.950000000000003" customHeight="1">
      <c r="A1659" s="5" t="s">
        <v>1491</v>
      </c>
      <c r="B1659" s="5" t="s">
        <v>1386</v>
      </c>
      <c r="C1659" s="9" t="s">
        <v>1492</v>
      </c>
      <c r="D1659" s="5">
        <v>2</v>
      </c>
      <c r="E1659" s="9" t="s">
        <v>3188</v>
      </c>
      <c r="F1659" s="5" t="s">
        <v>86</v>
      </c>
      <c r="G1659" s="5" t="s">
        <v>3177</v>
      </c>
      <c r="H1659" s="5"/>
      <c r="I1659" s="9" t="s">
        <v>5097</v>
      </c>
      <c r="J1659" s="5">
        <v>2027</v>
      </c>
      <c r="K1659" s="5"/>
      <c r="L1659" s="9" t="s">
        <v>3211</v>
      </c>
      <c r="M1659" s="5">
        <v>3.7</v>
      </c>
      <c r="N1659" s="9" t="s">
        <v>5098</v>
      </c>
      <c r="O1659" s="9" t="str">
        <f t="shared" si="165"/>
        <v>PDFを開く</v>
      </c>
      <c r="P1659" s="9" t="s">
        <v>1498</v>
      </c>
    </row>
    <row r="1660" spans="1:16" ht="33.950000000000003" customHeight="1">
      <c r="A1660" s="2" t="s">
        <v>1491</v>
      </c>
      <c r="B1660" s="2" t="s">
        <v>1386</v>
      </c>
      <c r="C1660" s="8" t="s">
        <v>1492</v>
      </c>
      <c r="D1660" s="2">
        <v>2</v>
      </c>
      <c r="E1660" s="8" t="s">
        <v>3188</v>
      </c>
      <c r="F1660" s="2" t="s">
        <v>86</v>
      </c>
      <c r="G1660" s="2" t="s">
        <v>3177</v>
      </c>
      <c r="H1660" s="2"/>
      <c r="I1660" s="8" t="s">
        <v>5099</v>
      </c>
      <c r="J1660" s="2">
        <v>2030</v>
      </c>
      <c r="K1660" s="2"/>
      <c r="L1660" s="8" t="s">
        <v>5100</v>
      </c>
      <c r="M1660" s="2">
        <v>3.7</v>
      </c>
      <c r="N1660" s="8" t="s">
        <v>5098</v>
      </c>
      <c r="O1660" s="8" t="str">
        <f t="shared" si="165"/>
        <v>PDFを開く</v>
      </c>
      <c r="P1660" s="8" t="s">
        <v>1498</v>
      </c>
    </row>
    <row r="1661" spans="1:16" ht="33.950000000000003" customHeight="1">
      <c r="A1661" s="5" t="s">
        <v>1499</v>
      </c>
      <c r="B1661" s="5" t="s">
        <v>1386</v>
      </c>
      <c r="C1661" s="9" t="s">
        <v>1500</v>
      </c>
      <c r="D1661" s="5">
        <v>2</v>
      </c>
      <c r="E1661" s="9" t="s">
        <v>3176</v>
      </c>
      <c r="F1661" s="5" t="s">
        <v>86</v>
      </c>
      <c r="G1661" s="5" t="s">
        <v>3177</v>
      </c>
      <c r="H1661" s="5" t="s">
        <v>3178</v>
      </c>
      <c r="I1661" s="9" t="s">
        <v>3179</v>
      </c>
      <c r="J1661" s="5">
        <v>2026</v>
      </c>
      <c r="K1661" s="5">
        <v>564</v>
      </c>
      <c r="L1661" s="9" t="s">
        <v>4007</v>
      </c>
      <c r="M1661" s="5">
        <v>16.600000000000001</v>
      </c>
      <c r="N1661" s="9" t="s">
        <v>5101</v>
      </c>
      <c r="O1661" s="9" t="str">
        <f t="shared" ref="O1661:O1668" si="166">HYPERLINK("https://seichotoushi-hojo.jp/assets/pdf/koufu/outline__197.pdf","PDFを開く")</f>
        <v>PDFを開く</v>
      </c>
      <c r="P1661" s="9" t="s">
        <v>1505</v>
      </c>
    </row>
    <row r="1662" spans="1:16" ht="33.950000000000003" customHeight="1">
      <c r="A1662" s="2" t="s">
        <v>1499</v>
      </c>
      <c r="B1662" s="2" t="s">
        <v>1386</v>
      </c>
      <c r="C1662" s="8" t="s">
        <v>1500</v>
      </c>
      <c r="D1662" s="2">
        <v>2</v>
      </c>
      <c r="E1662" s="8" t="s">
        <v>3176</v>
      </c>
      <c r="F1662" s="2" t="s">
        <v>86</v>
      </c>
      <c r="G1662" s="2" t="s">
        <v>3177</v>
      </c>
      <c r="H1662" s="2" t="s">
        <v>3178</v>
      </c>
      <c r="I1662" s="8" t="s">
        <v>3182</v>
      </c>
      <c r="J1662" s="2">
        <v>2029</v>
      </c>
      <c r="K1662" s="2">
        <v>894</v>
      </c>
      <c r="L1662" s="8" t="s">
        <v>5102</v>
      </c>
      <c r="M1662" s="2">
        <v>16.600000000000001</v>
      </c>
      <c r="N1662" s="8" t="s">
        <v>5101</v>
      </c>
      <c r="O1662" s="8" t="str">
        <f t="shared" si="166"/>
        <v>PDFを開く</v>
      </c>
      <c r="P1662" s="8" t="s">
        <v>1505</v>
      </c>
    </row>
    <row r="1663" spans="1:16" ht="33.950000000000003" customHeight="1">
      <c r="A1663" s="5" t="s">
        <v>1499</v>
      </c>
      <c r="B1663" s="5" t="s">
        <v>1386</v>
      </c>
      <c r="C1663" s="9" t="s">
        <v>1500</v>
      </c>
      <c r="D1663" s="5">
        <v>2</v>
      </c>
      <c r="E1663" s="9" t="s">
        <v>3184</v>
      </c>
      <c r="F1663" s="5" t="s">
        <v>86</v>
      </c>
      <c r="G1663" s="5" t="s">
        <v>3177</v>
      </c>
      <c r="H1663" s="5" t="s">
        <v>3178</v>
      </c>
      <c r="I1663" s="9" t="s">
        <v>3179</v>
      </c>
      <c r="J1663" s="5">
        <v>2026</v>
      </c>
      <c r="K1663" s="5">
        <v>434</v>
      </c>
      <c r="L1663" s="9" t="s">
        <v>5103</v>
      </c>
      <c r="M1663" s="5">
        <v>4.5</v>
      </c>
      <c r="N1663" s="9" t="s">
        <v>5104</v>
      </c>
      <c r="O1663" s="9" t="str">
        <f t="shared" si="166"/>
        <v>PDFを開く</v>
      </c>
      <c r="P1663" s="9" t="s">
        <v>1505</v>
      </c>
    </row>
    <row r="1664" spans="1:16" ht="33.950000000000003" customHeight="1">
      <c r="A1664" s="2" t="s">
        <v>1499</v>
      </c>
      <c r="B1664" s="2" t="s">
        <v>1386</v>
      </c>
      <c r="C1664" s="8" t="s">
        <v>1500</v>
      </c>
      <c r="D1664" s="2">
        <v>2</v>
      </c>
      <c r="E1664" s="8" t="s">
        <v>3184</v>
      </c>
      <c r="F1664" s="2" t="s">
        <v>86</v>
      </c>
      <c r="G1664" s="2" t="s">
        <v>3177</v>
      </c>
      <c r="H1664" s="2" t="s">
        <v>3178</v>
      </c>
      <c r="I1664" s="8" t="s">
        <v>3182</v>
      </c>
      <c r="J1664" s="2">
        <v>2029</v>
      </c>
      <c r="K1664" s="2">
        <v>495</v>
      </c>
      <c r="L1664" s="8" t="s">
        <v>3789</v>
      </c>
      <c r="M1664" s="2">
        <v>4.5</v>
      </c>
      <c r="N1664" s="8" t="s">
        <v>5104</v>
      </c>
      <c r="O1664" s="8" t="str">
        <f t="shared" si="166"/>
        <v>PDFを開く</v>
      </c>
      <c r="P1664" s="8" t="s">
        <v>1505</v>
      </c>
    </row>
    <row r="1665" spans="1:16" ht="33.950000000000003" customHeight="1">
      <c r="A1665" s="5" t="s">
        <v>1499</v>
      </c>
      <c r="B1665" s="5" t="s">
        <v>1386</v>
      </c>
      <c r="C1665" s="9" t="s">
        <v>1500</v>
      </c>
      <c r="D1665" s="5">
        <v>2</v>
      </c>
      <c r="E1665" s="9" t="s">
        <v>3188</v>
      </c>
      <c r="F1665" s="5" t="s">
        <v>86</v>
      </c>
      <c r="G1665" s="5" t="s">
        <v>3177</v>
      </c>
      <c r="H1665" s="5" t="s">
        <v>3178</v>
      </c>
      <c r="I1665" s="9" t="s">
        <v>3179</v>
      </c>
      <c r="J1665" s="5">
        <v>2026</v>
      </c>
      <c r="K1665" s="5">
        <v>1645</v>
      </c>
      <c r="L1665" s="9" t="s">
        <v>5105</v>
      </c>
      <c r="M1665" s="5">
        <v>4.5</v>
      </c>
      <c r="N1665" s="9" t="s">
        <v>5106</v>
      </c>
      <c r="O1665" s="9" t="str">
        <f t="shared" si="166"/>
        <v>PDFを開く</v>
      </c>
      <c r="P1665" s="9" t="s">
        <v>1505</v>
      </c>
    </row>
    <row r="1666" spans="1:16" ht="33.950000000000003" customHeight="1">
      <c r="A1666" s="2" t="s">
        <v>1499</v>
      </c>
      <c r="B1666" s="2" t="s">
        <v>1386</v>
      </c>
      <c r="C1666" s="8" t="s">
        <v>1500</v>
      </c>
      <c r="D1666" s="2">
        <v>2</v>
      </c>
      <c r="E1666" s="8" t="s">
        <v>3188</v>
      </c>
      <c r="F1666" s="2" t="s">
        <v>86</v>
      </c>
      <c r="G1666" s="2" t="s">
        <v>3177</v>
      </c>
      <c r="H1666" s="2" t="s">
        <v>3178</v>
      </c>
      <c r="I1666" s="8" t="s">
        <v>3182</v>
      </c>
      <c r="J1666" s="2">
        <v>2029</v>
      </c>
      <c r="K1666" s="2">
        <v>1877</v>
      </c>
      <c r="L1666" s="8" t="s">
        <v>5107</v>
      </c>
      <c r="M1666" s="2">
        <v>4.5</v>
      </c>
      <c r="N1666" s="8" t="s">
        <v>5106</v>
      </c>
      <c r="O1666" s="8" t="str">
        <f t="shared" si="166"/>
        <v>PDFを開く</v>
      </c>
      <c r="P1666" s="8" t="s">
        <v>1505</v>
      </c>
    </row>
    <row r="1667" spans="1:16" ht="33.950000000000003" customHeight="1">
      <c r="A1667" s="5" t="s">
        <v>1499</v>
      </c>
      <c r="B1667" s="5" t="s">
        <v>1386</v>
      </c>
      <c r="C1667" s="9" t="s">
        <v>1500</v>
      </c>
      <c r="D1667" s="5">
        <v>2</v>
      </c>
      <c r="E1667" s="9" t="s">
        <v>3191</v>
      </c>
      <c r="F1667" s="5" t="s">
        <v>2513</v>
      </c>
      <c r="G1667" s="5" t="s">
        <v>3177</v>
      </c>
      <c r="H1667" s="5" t="s">
        <v>3178</v>
      </c>
      <c r="I1667" s="9" t="s">
        <v>3179</v>
      </c>
      <c r="J1667" s="5">
        <v>2026</v>
      </c>
      <c r="K1667" s="5">
        <v>422</v>
      </c>
      <c r="L1667" s="9" t="s">
        <v>5108</v>
      </c>
      <c r="M1667" s="5"/>
      <c r="N1667" s="9" t="s">
        <v>5109</v>
      </c>
      <c r="O1667" s="9" t="str">
        <f t="shared" si="166"/>
        <v>PDFを開く</v>
      </c>
      <c r="P1667" s="9" t="s">
        <v>1505</v>
      </c>
    </row>
    <row r="1668" spans="1:16" ht="33.950000000000003" customHeight="1">
      <c r="A1668" s="2" t="s">
        <v>1499</v>
      </c>
      <c r="B1668" s="2" t="s">
        <v>1386</v>
      </c>
      <c r="C1668" s="8" t="s">
        <v>1500</v>
      </c>
      <c r="D1668" s="2">
        <v>2</v>
      </c>
      <c r="E1668" s="8" t="s">
        <v>3191</v>
      </c>
      <c r="F1668" s="2" t="s">
        <v>2513</v>
      </c>
      <c r="G1668" s="2" t="s">
        <v>3177</v>
      </c>
      <c r="H1668" s="2" t="s">
        <v>3178</v>
      </c>
      <c r="I1668" s="8" t="s">
        <v>3182</v>
      </c>
      <c r="J1668" s="2">
        <v>2029</v>
      </c>
      <c r="K1668" s="2">
        <v>431</v>
      </c>
      <c r="L1668" s="8" t="s">
        <v>3475</v>
      </c>
      <c r="M1668" s="2"/>
      <c r="N1668" s="8" t="s">
        <v>5109</v>
      </c>
      <c r="O1668" s="8" t="str">
        <f t="shared" si="166"/>
        <v>PDFを開く</v>
      </c>
      <c r="P1668" s="8" t="s">
        <v>1505</v>
      </c>
    </row>
    <row r="1669" spans="1:16" ht="33.950000000000003" customHeight="1">
      <c r="A1669" s="5" t="s">
        <v>1506</v>
      </c>
      <c r="B1669" s="5" t="s">
        <v>1386</v>
      </c>
      <c r="C1669" s="9" t="s">
        <v>1507</v>
      </c>
      <c r="D1669" s="5">
        <v>2</v>
      </c>
      <c r="E1669" s="9" t="s">
        <v>3176</v>
      </c>
      <c r="F1669" s="5" t="s">
        <v>86</v>
      </c>
      <c r="G1669" s="5" t="s">
        <v>3177</v>
      </c>
      <c r="H1669" s="5" t="s">
        <v>3178</v>
      </c>
      <c r="I1669" s="9" t="s">
        <v>3179</v>
      </c>
      <c r="J1669" s="5">
        <v>2026</v>
      </c>
      <c r="K1669" s="5">
        <v>548</v>
      </c>
      <c r="L1669" s="9" t="s">
        <v>5110</v>
      </c>
      <c r="M1669" s="5">
        <v>79.2</v>
      </c>
      <c r="N1669" s="9" t="s">
        <v>5111</v>
      </c>
      <c r="O1669" s="9" t="str">
        <f t="shared" ref="O1669:O1675" si="167">HYPERLINK("https://seichotoushi-hojo.jp/assets/pdf/koufu/outline__198.pdf","PDFを開く")</f>
        <v>PDFを開く</v>
      </c>
      <c r="P1669" s="9" t="s">
        <v>1513</v>
      </c>
    </row>
    <row r="1670" spans="1:16" ht="33.950000000000003" customHeight="1">
      <c r="A1670" s="2" t="s">
        <v>1506</v>
      </c>
      <c r="B1670" s="2" t="s">
        <v>1386</v>
      </c>
      <c r="C1670" s="8" t="s">
        <v>1507</v>
      </c>
      <c r="D1670" s="2">
        <v>2</v>
      </c>
      <c r="E1670" s="8" t="s">
        <v>3176</v>
      </c>
      <c r="F1670" s="2" t="s">
        <v>86</v>
      </c>
      <c r="G1670" s="2" t="s">
        <v>3177</v>
      </c>
      <c r="H1670" s="2" t="s">
        <v>3178</v>
      </c>
      <c r="I1670" s="8" t="s">
        <v>3182</v>
      </c>
      <c r="J1670" s="2">
        <v>2029</v>
      </c>
      <c r="K1670" s="2">
        <v>3157</v>
      </c>
      <c r="L1670" s="8" t="s">
        <v>5112</v>
      </c>
      <c r="M1670" s="2">
        <v>79.2</v>
      </c>
      <c r="N1670" s="8" t="s">
        <v>5111</v>
      </c>
      <c r="O1670" s="8" t="str">
        <f t="shared" si="167"/>
        <v>PDFを開く</v>
      </c>
      <c r="P1670" s="8" t="s">
        <v>1513</v>
      </c>
    </row>
    <row r="1671" spans="1:16" ht="33.950000000000003" customHeight="1">
      <c r="A1671" s="5" t="s">
        <v>1506</v>
      </c>
      <c r="B1671" s="5" t="s">
        <v>1386</v>
      </c>
      <c r="C1671" s="9" t="s">
        <v>1507</v>
      </c>
      <c r="D1671" s="5">
        <v>2</v>
      </c>
      <c r="E1671" s="9" t="s">
        <v>3184</v>
      </c>
      <c r="F1671" s="5" t="s">
        <v>86</v>
      </c>
      <c r="G1671" s="5" t="s">
        <v>3177</v>
      </c>
      <c r="H1671" s="5" t="s">
        <v>3178</v>
      </c>
      <c r="I1671" s="9" t="s">
        <v>3179</v>
      </c>
      <c r="J1671" s="5">
        <v>2026</v>
      </c>
      <c r="K1671" s="5">
        <v>451</v>
      </c>
      <c r="L1671" s="9" t="s">
        <v>3665</v>
      </c>
      <c r="M1671" s="5">
        <v>6</v>
      </c>
      <c r="N1671" s="9" t="s">
        <v>5113</v>
      </c>
      <c r="O1671" s="9" t="str">
        <f t="shared" si="167"/>
        <v>PDFを開く</v>
      </c>
      <c r="P1671" s="9" t="s">
        <v>1513</v>
      </c>
    </row>
    <row r="1672" spans="1:16" ht="33.950000000000003" customHeight="1">
      <c r="A1672" s="2" t="s">
        <v>1506</v>
      </c>
      <c r="B1672" s="2" t="s">
        <v>1386</v>
      </c>
      <c r="C1672" s="8" t="s">
        <v>1507</v>
      </c>
      <c r="D1672" s="2">
        <v>2</v>
      </c>
      <c r="E1672" s="8" t="s">
        <v>3184</v>
      </c>
      <c r="F1672" s="2" t="s">
        <v>86</v>
      </c>
      <c r="G1672" s="2" t="s">
        <v>3177</v>
      </c>
      <c r="H1672" s="2" t="s">
        <v>3178</v>
      </c>
      <c r="I1672" s="8" t="s">
        <v>3182</v>
      </c>
      <c r="J1672" s="2">
        <v>2029</v>
      </c>
      <c r="K1672" s="2">
        <v>537</v>
      </c>
      <c r="L1672" s="8" t="s">
        <v>3365</v>
      </c>
      <c r="M1672" s="2">
        <v>6</v>
      </c>
      <c r="N1672" s="8" t="s">
        <v>5113</v>
      </c>
      <c r="O1672" s="8" t="str">
        <f t="shared" si="167"/>
        <v>PDFを開く</v>
      </c>
      <c r="P1672" s="8" t="s">
        <v>1513</v>
      </c>
    </row>
    <row r="1673" spans="1:16" ht="33.950000000000003" customHeight="1">
      <c r="A1673" s="5" t="s">
        <v>1506</v>
      </c>
      <c r="B1673" s="5" t="s">
        <v>1386</v>
      </c>
      <c r="C1673" s="9" t="s">
        <v>1507</v>
      </c>
      <c r="D1673" s="5">
        <v>2</v>
      </c>
      <c r="E1673" s="9" t="s">
        <v>3188</v>
      </c>
      <c r="F1673" s="5" t="s">
        <v>86</v>
      </c>
      <c r="G1673" s="19" t="s">
        <v>3189</v>
      </c>
      <c r="H1673" s="5" t="s">
        <v>3178</v>
      </c>
      <c r="I1673" s="9"/>
      <c r="J1673" s="5"/>
      <c r="K1673" s="5"/>
      <c r="L1673" s="9"/>
      <c r="M1673" s="5"/>
      <c r="N1673" s="9" t="s">
        <v>3488</v>
      </c>
      <c r="O1673" s="9" t="str">
        <f t="shared" si="167"/>
        <v>PDFを開く</v>
      </c>
      <c r="P1673" s="9" t="s">
        <v>1513</v>
      </c>
    </row>
    <row r="1674" spans="1:16" ht="33.950000000000003" customHeight="1">
      <c r="A1674" s="2" t="s">
        <v>1506</v>
      </c>
      <c r="B1674" s="2" t="s">
        <v>1386</v>
      </c>
      <c r="C1674" s="8" t="s">
        <v>1507</v>
      </c>
      <c r="D1674" s="2">
        <v>2</v>
      </c>
      <c r="E1674" s="8" t="s">
        <v>3191</v>
      </c>
      <c r="F1674" s="2" t="s">
        <v>2513</v>
      </c>
      <c r="G1674" s="2" t="s">
        <v>3177</v>
      </c>
      <c r="H1674" s="2" t="s">
        <v>3178</v>
      </c>
      <c r="I1674" s="8" t="s">
        <v>3179</v>
      </c>
      <c r="J1674" s="2">
        <v>2026</v>
      </c>
      <c r="K1674" s="2">
        <v>30</v>
      </c>
      <c r="L1674" s="8" t="s">
        <v>4040</v>
      </c>
      <c r="M1674" s="2"/>
      <c r="N1674" s="8" t="s">
        <v>5114</v>
      </c>
      <c r="O1674" s="8" t="str">
        <f t="shared" si="167"/>
        <v>PDFを開く</v>
      </c>
      <c r="P1674" s="8" t="s">
        <v>1513</v>
      </c>
    </row>
    <row r="1675" spans="1:16" ht="33.950000000000003" customHeight="1">
      <c r="A1675" s="5" t="s">
        <v>1506</v>
      </c>
      <c r="B1675" s="5" t="s">
        <v>1386</v>
      </c>
      <c r="C1675" s="9" t="s">
        <v>1507</v>
      </c>
      <c r="D1675" s="5">
        <v>2</v>
      </c>
      <c r="E1675" s="9" t="s">
        <v>3191</v>
      </c>
      <c r="F1675" s="5" t="s">
        <v>2513</v>
      </c>
      <c r="G1675" s="5" t="s">
        <v>3177</v>
      </c>
      <c r="H1675" s="5" t="s">
        <v>3178</v>
      </c>
      <c r="I1675" s="9" t="s">
        <v>3182</v>
      </c>
      <c r="J1675" s="5">
        <v>2029</v>
      </c>
      <c r="K1675" s="5">
        <v>44</v>
      </c>
      <c r="L1675" s="9" t="s">
        <v>5115</v>
      </c>
      <c r="M1675" s="5"/>
      <c r="N1675" s="9" t="s">
        <v>5114</v>
      </c>
      <c r="O1675" s="9" t="str">
        <f t="shared" si="167"/>
        <v>PDFを開く</v>
      </c>
      <c r="P1675" s="9" t="s">
        <v>1513</v>
      </c>
    </row>
    <row r="1676" spans="1:16" ht="33.950000000000003" customHeight="1">
      <c r="A1676" s="2" t="s">
        <v>1514</v>
      </c>
      <c r="B1676" s="2" t="s">
        <v>1386</v>
      </c>
      <c r="C1676" s="8" t="s">
        <v>1515</v>
      </c>
      <c r="D1676" s="2">
        <v>3</v>
      </c>
      <c r="E1676" s="8" t="s">
        <v>3176</v>
      </c>
      <c r="F1676" s="2"/>
      <c r="G1676" s="2" t="s">
        <v>3177</v>
      </c>
      <c r="H1676" s="2" t="s">
        <v>3178</v>
      </c>
      <c r="I1676" s="8" t="s">
        <v>3179</v>
      </c>
      <c r="J1676" s="2">
        <v>2026</v>
      </c>
      <c r="K1676" s="2">
        <v>1406</v>
      </c>
      <c r="L1676" s="8" t="s">
        <v>3634</v>
      </c>
      <c r="M1676" s="2">
        <v>2.2999999999999998</v>
      </c>
      <c r="N1676" s="8" t="s">
        <v>5116</v>
      </c>
      <c r="O1676" s="8" t="str">
        <f t="shared" ref="O1676:O1683" si="168">HYPERLINK("https://seichotoushi-hojo.jp/assets/pdf/koufu/outline__199.pdf","PDFを開く")</f>
        <v>PDFを開く</v>
      </c>
      <c r="P1676" s="8" t="s">
        <v>1521</v>
      </c>
    </row>
    <row r="1677" spans="1:16" ht="33.950000000000003" customHeight="1">
      <c r="A1677" s="5" t="s">
        <v>1514</v>
      </c>
      <c r="B1677" s="5" t="s">
        <v>1386</v>
      </c>
      <c r="C1677" s="9" t="s">
        <v>1515</v>
      </c>
      <c r="D1677" s="5">
        <v>3</v>
      </c>
      <c r="E1677" s="9" t="s">
        <v>3176</v>
      </c>
      <c r="F1677" s="5"/>
      <c r="G1677" s="5" t="s">
        <v>3177</v>
      </c>
      <c r="H1677" s="5" t="s">
        <v>3178</v>
      </c>
      <c r="I1677" s="9" t="s">
        <v>3182</v>
      </c>
      <c r="J1677" s="5">
        <v>2029</v>
      </c>
      <c r="K1677" s="5">
        <v>1506</v>
      </c>
      <c r="L1677" s="9" t="s">
        <v>5117</v>
      </c>
      <c r="M1677" s="5">
        <v>2.2999999999999998</v>
      </c>
      <c r="N1677" s="9" t="s">
        <v>5116</v>
      </c>
      <c r="O1677" s="9" t="str">
        <f t="shared" si="168"/>
        <v>PDFを開く</v>
      </c>
      <c r="P1677" s="9" t="s">
        <v>1521</v>
      </c>
    </row>
    <row r="1678" spans="1:16" ht="33.950000000000003" customHeight="1">
      <c r="A1678" s="2" t="s">
        <v>1514</v>
      </c>
      <c r="B1678" s="2" t="s">
        <v>1386</v>
      </c>
      <c r="C1678" s="8" t="s">
        <v>1515</v>
      </c>
      <c r="D1678" s="2">
        <v>3</v>
      </c>
      <c r="E1678" s="8" t="s">
        <v>3184</v>
      </c>
      <c r="F1678" s="2"/>
      <c r="G1678" s="2" t="s">
        <v>3177</v>
      </c>
      <c r="H1678" s="2" t="s">
        <v>3178</v>
      </c>
      <c r="I1678" s="8" t="s">
        <v>3179</v>
      </c>
      <c r="J1678" s="2">
        <v>2026</v>
      </c>
      <c r="K1678" s="2">
        <v>550</v>
      </c>
      <c r="L1678" s="8" t="s">
        <v>3277</v>
      </c>
      <c r="M1678" s="2">
        <v>13.1</v>
      </c>
      <c r="N1678" s="8" t="s">
        <v>5118</v>
      </c>
      <c r="O1678" s="8" t="str">
        <f t="shared" si="168"/>
        <v>PDFを開く</v>
      </c>
      <c r="P1678" s="8" t="s">
        <v>1521</v>
      </c>
    </row>
    <row r="1679" spans="1:16" ht="33.950000000000003" customHeight="1">
      <c r="A1679" s="5" t="s">
        <v>1514</v>
      </c>
      <c r="B1679" s="5" t="s">
        <v>1386</v>
      </c>
      <c r="C1679" s="9" t="s">
        <v>1515</v>
      </c>
      <c r="D1679" s="5">
        <v>3</v>
      </c>
      <c r="E1679" s="9" t="s">
        <v>3184</v>
      </c>
      <c r="F1679" s="5"/>
      <c r="G1679" s="5" t="s">
        <v>3177</v>
      </c>
      <c r="H1679" s="5" t="s">
        <v>3178</v>
      </c>
      <c r="I1679" s="9" t="s">
        <v>3182</v>
      </c>
      <c r="J1679" s="5">
        <v>2029</v>
      </c>
      <c r="K1679" s="5">
        <v>795</v>
      </c>
      <c r="L1679" s="9" t="s">
        <v>3240</v>
      </c>
      <c r="M1679" s="5">
        <v>13.1</v>
      </c>
      <c r="N1679" s="9" t="s">
        <v>5118</v>
      </c>
      <c r="O1679" s="9" t="str">
        <f t="shared" si="168"/>
        <v>PDFを開く</v>
      </c>
      <c r="P1679" s="9" t="s">
        <v>1521</v>
      </c>
    </row>
    <row r="1680" spans="1:16" ht="33.950000000000003" customHeight="1">
      <c r="A1680" s="2" t="s">
        <v>1514</v>
      </c>
      <c r="B1680" s="2" t="s">
        <v>1386</v>
      </c>
      <c r="C1680" s="8" t="s">
        <v>1515</v>
      </c>
      <c r="D1680" s="2">
        <v>3</v>
      </c>
      <c r="E1680" s="8" t="s">
        <v>3188</v>
      </c>
      <c r="F1680" s="2"/>
      <c r="G1680" s="2" t="s">
        <v>3177</v>
      </c>
      <c r="H1680" s="2" t="s">
        <v>3178</v>
      </c>
      <c r="I1680" s="8" t="s">
        <v>3179</v>
      </c>
      <c r="J1680" s="2">
        <v>2026</v>
      </c>
      <c r="K1680" s="2">
        <v>750</v>
      </c>
      <c r="L1680" s="8" t="s">
        <v>3298</v>
      </c>
      <c r="M1680" s="2">
        <v>31.4</v>
      </c>
      <c r="N1680" s="8" t="s">
        <v>5119</v>
      </c>
      <c r="O1680" s="8" t="str">
        <f t="shared" si="168"/>
        <v>PDFを開く</v>
      </c>
      <c r="P1680" s="8" t="s">
        <v>1521</v>
      </c>
    </row>
    <row r="1681" spans="1:16" ht="33.950000000000003" customHeight="1">
      <c r="A1681" s="5" t="s">
        <v>1514</v>
      </c>
      <c r="B1681" s="5" t="s">
        <v>1386</v>
      </c>
      <c r="C1681" s="9" t="s">
        <v>1515</v>
      </c>
      <c r="D1681" s="5">
        <v>3</v>
      </c>
      <c r="E1681" s="9" t="s">
        <v>3188</v>
      </c>
      <c r="F1681" s="5"/>
      <c r="G1681" s="5" t="s">
        <v>3177</v>
      </c>
      <c r="H1681" s="5" t="s">
        <v>3178</v>
      </c>
      <c r="I1681" s="9" t="s">
        <v>3182</v>
      </c>
      <c r="J1681" s="5">
        <v>2029</v>
      </c>
      <c r="K1681" s="5">
        <v>1700</v>
      </c>
      <c r="L1681" s="9" t="s">
        <v>4270</v>
      </c>
      <c r="M1681" s="5">
        <v>31.4</v>
      </c>
      <c r="N1681" s="9" t="s">
        <v>5119</v>
      </c>
      <c r="O1681" s="9" t="str">
        <f t="shared" si="168"/>
        <v>PDFを開く</v>
      </c>
      <c r="P1681" s="9" t="s">
        <v>1521</v>
      </c>
    </row>
    <row r="1682" spans="1:16" ht="33.950000000000003" customHeight="1">
      <c r="A1682" s="2" t="s">
        <v>1514</v>
      </c>
      <c r="B1682" s="2" t="s">
        <v>1386</v>
      </c>
      <c r="C1682" s="8" t="s">
        <v>1515</v>
      </c>
      <c r="D1682" s="2">
        <v>3</v>
      </c>
      <c r="E1682" s="8" t="s">
        <v>3191</v>
      </c>
      <c r="F1682" s="2" t="s">
        <v>2513</v>
      </c>
      <c r="G1682" s="2" t="s">
        <v>3177</v>
      </c>
      <c r="H1682" s="2"/>
      <c r="I1682" s="8" t="s">
        <v>3179</v>
      </c>
      <c r="J1682" s="2">
        <v>2026</v>
      </c>
      <c r="K1682" s="2">
        <v>15</v>
      </c>
      <c r="L1682" s="8" t="s">
        <v>4734</v>
      </c>
      <c r="M1682" s="2"/>
      <c r="N1682" s="8" t="s">
        <v>5120</v>
      </c>
      <c r="O1682" s="8" t="str">
        <f t="shared" si="168"/>
        <v>PDFを開く</v>
      </c>
      <c r="P1682" s="8" t="s">
        <v>1521</v>
      </c>
    </row>
    <row r="1683" spans="1:16" ht="33.950000000000003" customHeight="1">
      <c r="A1683" s="5" t="s">
        <v>1514</v>
      </c>
      <c r="B1683" s="5" t="s">
        <v>1386</v>
      </c>
      <c r="C1683" s="9" t="s">
        <v>1515</v>
      </c>
      <c r="D1683" s="5">
        <v>3</v>
      </c>
      <c r="E1683" s="9" t="s">
        <v>3191</v>
      </c>
      <c r="F1683" s="5" t="s">
        <v>2513</v>
      </c>
      <c r="G1683" s="5" t="s">
        <v>3177</v>
      </c>
      <c r="H1683" s="5"/>
      <c r="I1683" s="9" t="s">
        <v>3182</v>
      </c>
      <c r="J1683" s="5">
        <v>2029</v>
      </c>
      <c r="K1683" s="5">
        <v>40</v>
      </c>
      <c r="L1683" s="9" t="s">
        <v>4235</v>
      </c>
      <c r="M1683" s="5"/>
      <c r="N1683" s="9" t="s">
        <v>5120</v>
      </c>
      <c r="O1683" s="9" t="str">
        <f t="shared" si="168"/>
        <v>PDFを開く</v>
      </c>
      <c r="P1683" s="9" t="s">
        <v>1521</v>
      </c>
    </row>
    <row r="1684" spans="1:16" ht="33.950000000000003" customHeight="1">
      <c r="A1684" s="2" t="s">
        <v>1522</v>
      </c>
      <c r="B1684" s="2" t="s">
        <v>1386</v>
      </c>
      <c r="C1684" s="8" t="s">
        <v>1523</v>
      </c>
      <c r="D1684" s="2">
        <v>2</v>
      </c>
      <c r="E1684" s="8" t="s">
        <v>3176</v>
      </c>
      <c r="F1684" s="2" t="s">
        <v>86</v>
      </c>
      <c r="G1684" s="2" t="s">
        <v>3177</v>
      </c>
      <c r="H1684" s="2" t="s">
        <v>3178</v>
      </c>
      <c r="I1684" s="8" t="s">
        <v>5121</v>
      </c>
      <c r="J1684" s="2">
        <v>2026</v>
      </c>
      <c r="K1684" s="2">
        <v>1064</v>
      </c>
      <c r="L1684" s="8" t="s">
        <v>5122</v>
      </c>
      <c r="M1684" s="2">
        <v>10</v>
      </c>
      <c r="N1684" s="8" t="s">
        <v>5123</v>
      </c>
      <c r="O1684" s="8" t="str">
        <f t="shared" ref="O1684:O1691" si="169">HYPERLINK("https://seichotoushi-hojo.jp/assets/pdf/koufu/outline__200.pdf","PDFを開く")</f>
        <v>PDFを開く</v>
      </c>
      <c r="P1684" s="8" t="s">
        <v>1527</v>
      </c>
    </row>
    <row r="1685" spans="1:16" ht="33.950000000000003" customHeight="1">
      <c r="A1685" s="5" t="s">
        <v>1522</v>
      </c>
      <c r="B1685" s="5" t="s">
        <v>1386</v>
      </c>
      <c r="C1685" s="9" t="s">
        <v>1523</v>
      </c>
      <c r="D1685" s="5">
        <v>2</v>
      </c>
      <c r="E1685" s="9" t="s">
        <v>3176</v>
      </c>
      <c r="F1685" s="5" t="s">
        <v>86</v>
      </c>
      <c r="G1685" s="5" t="s">
        <v>3177</v>
      </c>
      <c r="H1685" s="5" t="s">
        <v>3178</v>
      </c>
      <c r="I1685" s="9" t="s">
        <v>5124</v>
      </c>
      <c r="J1685" s="5">
        <v>2029</v>
      </c>
      <c r="K1685" s="5">
        <v>1417</v>
      </c>
      <c r="L1685" s="9" t="s">
        <v>5125</v>
      </c>
      <c r="M1685" s="5">
        <v>10</v>
      </c>
      <c r="N1685" s="9" t="s">
        <v>5123</v>
      </c>
      <c r="O1685" s="9" t="str">
        <f t="shared" si="169"/>
        <v>PDFを開く</v>
      </c>
      <c r="P1685" s="9" t="s">
        <v>1527</v>
      </c>
    </row>
    <row r="1686" spans="1:16" ht="33.950000000000003" customHeight="1">
      <c r="A1686" s="2" t="s">
        <v>1522</v>
      </c>
      <c r="B1686" s="2" t="s">
        <v>1386</v>
      </c>
      <c r="C1686" s="8" t="s">
        <v>1523</v>
      </c>
      <c r="D1686" s="2">
        <v>2</v>
      </c>
      <c r="E1686" s="8" t="s">
        <v>3184</v>
      </c>
      <c r="F1686" s="2" t="s">
        <v>86</v>
      </c>
      <c r="G1686" s="2" t="s">
        <v>3177</v>
      </c>
      <c r="H1686" s="2" t="s">
        <v>3178</v>
      </c>
      <c r="I1686" s="8" t="s">
        <v>5121</v>
      </c>
      <c r="J1686" s="2">
        <v>2026</v>
      </c>
      <c r="K1686" s="2">
        <v>372</v>
      </c>
      <c r="L1686" s="8" t="s">
        <v>5126</v>
      </c>
      <c r="M1686" s="2">
        <v>3</v>
      </c>
      <c r="N1686" s="8" t="s">
        <v>5127</v>
      </c>
      <c r="O1686" s="8" t="str">
        <f t="shared" si="169"/>
        <v>PDFを開く</v>
      </c>
      <c r="P1686" s="8" t="s">
        <v>1527</v>
      </c>
    </row>
    <row r="1687" spans="1:16" ht="33.950000000000003" customHeight="1">
      <c r="A1687" s="5" t="s">
        <v>1522</v>
      </c>
      <c r="B1687" s="5" t="s">
        <v>1386</v>
      </c>
      <c r="C1687" s="9" t="s">
        <v>1523</v>
      </c>
      <c r="D1687" s="5">
        <v>2</v>
      </c>
      <c r="E1687" s="9" t="s">
        <v>3184</v>
      </c>
      <c r="F1687" s="5" t="s">
        <v>86</v>
      </c>
      <c r="G1687" s="5" t="s">
        <v>3177</v>
      </c>
      <c r="H1687" s="5" t="s">
        <v>3178</v>
      </c>
      <c r="I1687" s="9" t="s">
        <v>5124</v>
      </c>
      <c r="J1687" s="5">
        <v>2029</v>
      </c>
      <c r="K1687" s="5">
        <v>406</v>
      </c>
      <c r="L1687" s="9" t="s">
        <v>3965</v>
      </c>
      <c r="M1687" s="5">
        <v>3</v>
      </c>
      <c r="N1687" s="9" t="s">
        <v>5127</v>
      </c>
      <c r="O1687" s="9" t="str">
        <f t="shared" si="169"/>
        <v>PDFを開く</v>
      </c>
      <c r="P1687" s="9" t="s">
        <v>1527</v>
      </c>
    </row>
    <row r="1688" spans="1:16" ht="33.950000000000003" customHeight="1">
      <c r="A1688" s="2" t="s">
        <v>1522</v>
      </c>
      <c r="B1688" s="2" t="s">
        <v>1386</v>
      </c>
      <c r="C1688" s="8" t="s">
        <v>1523</v>
      </c>
      <c r="D1688" s="2">
        <v>2</v>
      </c>
      <c r="E1688" s="8" t="s">
        <v>3188</v>
      </c>
      <c r="F1688" s="2" t="s">
        <v>86</v>
      </c>
      <c r="G1688" s="2" t="s">
        <v>3177</v>
      </c>
      <c r="H1688" s="2" t="s">
        <v>3178</v>
      </c>
      <c r="I1688" s="8" t="s">
        <v>5121</v>
      </c>
      <c r="J1688" s="2">
        <v>2026</v>
      </c>
      <c r="K1688" s="2">
        <v>2733</v>
      </c>
      <c r="L1688" s="8" t="s">
        <v>5128</v>
      </c>
      <c r="M1688" s="2">
        <v>3</v>
      </c>
      <c r="N1688" s="8" t="s">
        <v>5129</v>
      </c>
      <c r="O1688" s="8" t="str">
        <f t="shared" si="169"/>
        <v>PDFを開く</v>
      </c>
      <c r="P1688" s="8" t="s">
        <v>1527</v>
      </c>
    </row>
    <row r="1689" spans="1:16" ht="33.950000000000003" customHeight="1">
      <c r="A1689" s="5" t="s">
        <v>1522</v>
      </c>
      <c r="B1689" s="5" t="s">
        <v>1386</v>
      </c>
      <c r="C1689" s="9" t="s">
        <v>1523</v>
      </c>
      <c r="D1689" s="5">
        <v>2</v>
      </c>
      <c r="E1689" s="9" t="s">
        <v>3188</v>
      </c>
      <c r="F1689" s="5" t="s">
        <v>86</v>
      </c>
      <c r="G1689" s="5" t="s">
        <v>3177</v>
      </c>
      <c r="H1689" s="5" t="s">
        <v>3178</v>
      </c>
      <c r="I1689" s="9" t="s">
        <v>5124</v>
      </c>
      <c r="J1689" s="5">
        <v>2029</v>
      </c>
      <c r="K1689" s="5">
        <v>2987</v>
      </c>
      <c r="L1689" s="9" t="s">
        <v>5130</v>
      </c>
      <c r="M1689" s="5">
        <v>3</v>
      </c>
      <c r="N1689" s="9" t="s">
        <v>5129</v>
      </c>
      <c r="O1689" s="9" t="str">
        <f t="shared" si="169"/>
        <v>PDFを開く</v>
      </c>
      <c r="P1689" s="9" t="s">
        <v>1527</v>
      </c>
    </row>
    <row r="1690" spans="1:16" ht="33.950000000000003" customHeight="1">
      <c r="A1690" s="2" t="s">
        <v>1522</v>
      </c>
      <c r="B1690" s="2" t="s">
        <v>1386</v>
      </c>
      <c r="C1690" s="8" t="s">
        <v>1523</v>
      </c>
      <c r="D1690" s="2">
        <v>2</v>
      </c>
      <c r="E1690" s="8" t="s">
        <v>3191</v>
      </c>
      <c r="F1690" s="2" t="s">
        <v>2513</v>
      </c>
      <c r="G1690" s="2" t="s">
        <v>3177</v>
      </c>
      <c r="H1690" s="2" t="s">
        <v>3178</v>
      </c>
      <c r="I1690" s="8" t="s">
        <v>5121</v>
      </c>
      <c r="J1690" s="2">
        <v>2026</v>
      </c>
      <c r="K1690" s="2">
        <v>130</v>
      </c>
      <c r="L1690" s="8" t="s">
        <v>3499</v>
      </c>
      <c r="M1690" s="2"/>
      <c r="N1690" s="8" t="s">
        <v>5131</v>
      </c>
      <c r="O1690" s="8" t="str">
        <f t="shared" si="169"/>
        <v>PDFを開く</v>
      </c>
      <c r="P1690" s="8" t="s">
        <v>1527</v>
      </c>
    </row>
    <row r="1691" spans="1:16" ht="33.950000000000003" customHeight="1">
      <c r="A1691" s="5" t="s">
        <v>1522</v>
      </c>
      <c r="B1691" s="5" t="s">
        <v>1386</v>
      </c>
      <c r="C1691" s="9" t="s">
        <v>1523</v>
      </c>
      <c r="D1691" s="5">
        <v>2</v>
      </c>
      <c r="E1691" s="9" t="s">
        <v>3191</v>
      </c>
      <c r="F1691" s="5" t="s">
        <v>2513</v>
      </c>
      <c r="G1691" s="5" t="s">
        <v>3177</v>
      </c>
      <c r="H1691" s="5" t="s">
        <v>3178</v>
      </c>
      <c r="I1691" s="9" t="s">
        <v>5124</v>
      </c>
      <c r="J1691" s="5">
        <v>2029</v>
      </c>
      <c r="K1691" s="5">
        <v>164</v>
      </c>
      <c r="L1691" s="9" t="s">
        <v>4590</v>
      </c>
      <c r="M1691" s="5"/>
      <c r="N1691" s="9" t="s">
        <v>5131</v>
      </c>
      <c r="O1691" s="9" t="str">
        <f t="shared" si="169"/>
        <v>PDFを開く</v>
      </c>
      <c r="P1691" s="9" t="s">
        <v>1527</v>
      </c>
    </row>
    <row r="1692" spans="1:16" ht="33.950000000000003" customHeight="1">
      <c r="A1692" s="2" t="s">
        <v>1528</v>
      </c>
      <c r="B1692" s="2" t="s">
        <v>1386</v>
      </c>
      <c r="C1692" s="8" t="s">
        <v>1529</v>
      </c>
      <c r="D1692" s="2">
        <v>2</v>
      </c>
      <c r="E1692" s="8" t="s">
        <v>3176</v>
      </c>
      <c r="F1692" s="2" t="s">
        <v>86</v>
      </c>
      <c r="G1692" s="2" t="s">
        <v>3177</v>
      </c>
      <c r="H1692" s="2" t="s">
        <v>3178</v>
      </c>
      <c r="I1692" s="8" t="s">
        <v>3845</v>
      </c>
      <c r="J1692" s="2">
        <v>2026</v>
      </c>
      <c r="K1692" s="2">
        <v>705</v>
      </c>
      <c r="L1692" s="8" t="s">
        <v>5132</v>
      </c>
      <c r="M1692" s="2">
        <v>4.9000000000000004</v>
      </c>
      <c r="N1692" s="8" t="s">
        <v>5133</v>
      </c>
      <c r="O1692" s="8" t="str">
        <f t="shared" ref="O1692:O1717" si="170">HYPERLINK("https://seichotoushi-hojo.jp/assets/pdf/koufu/outline__201.pdf","PDFを開く")</f>
        <v>PDFを開く</v>
      </c>
      <c r="P1692" s="8" t="s">
        <v>1534</v>
      </c>
    </row>
    <row r="1693" spans="1:16" ht="33.950000000000003" customHeight="1">
      <c r="A1693" s="5" t="s">
        <v>1528</v>
      </c>
      <c r="B1693" s="5" t="s">
        <v>1386</v>
      </c>
      <c r="C1693" s="9" t="s">
        <v>1529</v>
      </c>
      <c r="D1693" s="5">
        <v>2</v>
      </c>
      <c r="E1693" s="9" t="s">
        <v>3176</v>
      </c>
      <c r="F1693" s="5" t="s">
        <v>86</v>
      </c>
      <c r="G1693" s="5" t="s">
        <v>3177</v>
      </c>
      <c r="H1693" s="5" t="s">
        <v>3178</v>
      </c>
      <c r="I1693" s="9" t="s">
        <v>3848</v>
      </c>
      <c r="J1693" s="5">
        <v>2029</v>
      </c>
      <c r="K1693" s="5">
        <v>125</v>
      </c>
      <c r="L1693" s="9" t="s">
        <v>4467</v>
      </c>
      <c r="M1693" s="5">
        <v>4.9000000000000004</v>
      </c>
      <c r="N1693" s="9" t="s">
        <v>5133</v>
      </c>
      <c r="O1693" s="9" t="str">
        <f t="shared" si="170"/>
        <v>PDFを開く</v>
      </c>
      <c r="P1693" s="9" t="s">
        <v>1534</v>
      </c>
    </row>
    <row r="1694" spans="1:16" ht="33.950000000000003" customHeight="1">
      <c r="A1694" s="2" t="s">
        <v>1528</v>
      </c>
      <c r="B1694" s="2" t="s">
        <v>1386</v>
      </c>
      <c r="C1694" s="8" t="s">
        <v>1529</v>
      </c>
      <c r="D1694" s="2">
        <v>2</v>
      </c>
      <c r="E1694" s="8" t="s">
        <v>3184</v>
      </c>
      <c r="F1694" s="2" t="s">
        <v>86</v>
      </c>
      <c r="G1694" s="19" t="s">
        <v>3494</v>
      </c>
      <c r="H1694" s="2" t="s">
        <v>3178</v>
      </c>
      <c r="I1694" s="8" t="s">
        <v>3845</v>
      </c>
      <c r="J1694" s="2">
        <v>2026</v>
      </c>
      <c r="K1694" s="2">
        <v>45</v>
      </c>
      <c r="L1694" s="8" t="s">
        <v>3404</v>
      </c>
      <c r="M1694" s="2">
        <v>5</v>
      </c>
      <c r="N1694" s="8" t="s">
        <v>5134</v>
      </c>
      <c r="O1694" s="8" t="str">
        <f t="shared" si="170"/>
        <v>PDFを開く</v>
      </c>
      <c r="P1694" s="8" t="s">
        <v>1534</v>
      </c>
    </row>
    <row r="1695" spans="1:16" ht="33.950000000000003" customHeight="1">
      <c r="A1695" s="5" t="s">
        <v>1528</v>
      </c>
      <c r="B1695" s="5" t="s">
        <v>1386</v>
      </c>
      <c r="C1695" s="9" t="s">
        <v>1529</v>
      </c>
      <c r="D1695" s="5">
        <v>2</v>
      </c>
      <c r="E1695" s="9" t="s">
        <v>3184</v>
      </c>
      <c r="F1695" s="5" t="s">
        <v>86</v>
      </c>
      <c r="G1695" s="19" t="s">
        <v>3494</v>
      </c>
      <c r="H1695" s="5" t="s">
        <v>3178</v>
      </c>
      <c r="I1695" s="9"/>
      <c r="J1695" s="5"/>
      <c r="K1695" s="5">
        <v>44</v>
      </c>
      <c r="L1695" s="9" t="s">
        <v>5115</v>
      </c>
      <c r="M1695" s="5">
        <v>5</v>
      </c>
      <c r="N1695" s="9" t="s">
        <v>5134</v>
      </c>
      <c r="O1695" s="9" t="str">
        <f t="shared" si="170"/>
        <v>PDFを開く</v>
      </c>
      <c r="P1695" s="9" t="s">
        <v>1534</v>
      </c>
    </row>
    <row r="1696" spans="1:16" ht="33.950000000000003" customHeight="1">
      <c r="A1696" s="2" t="s">
        <v>1528</v>
      </c>
      <c r="B1696" s="2" t="s">
        <v>1386</v>
      </c>
      <c r="C1696" s="8" t="s">
        <v>1529</v>
      </c>
      <c r="D1696" s="2">
        <v>2</v>
      </c>
      <c r="E1696" s="8" t="s">
        <v>3184</v>
      </c>
      <c r="F1696" s="2" t="s">
        <v>86</v>
      </c>
      <c r="G1696" s="19" t="s">
        <v>3494</v>
      </c>
      <c r="H1696" s="2" t="s">
        <v>3178</v>
      </c>
      <c r="I1696" s="8"/>
      <c r="J1696" s="2"/>
      <c r="K1696" s="2">
        <v>493</v>
      </c>
      <c r="L1696" s="8" t="s">
        <v>5135</v>
      </c>
      <c r="M1696" s="2">
        <v>5</v>
      </c>
      <c r="N1696" s="8" t="s">
        <v>5134</v>
      </c>
      <c r="O1696" s="8" t="str">
        <f t="shared" si="170"/>
        <v>PDFを開く</v>
      </c>
      <c r="P1696" s="8" t="s">
        <v>1534</v>
      </c>
    </row>
    <row r="1697" spans="1:16" ht="33.950000000000003" customHeight="1">
      <c r="A1697" s="5" t="s">
        <v>1528</v>
      </c>
      <c r="B1697" s="5" t="s">
        <v>1386</v>
      </c>
      <c r="C1697" s="9" t="s">
        <v>1529</v>
      </c>
      <c r="D1697" s="5">
        <v>2</v>
      </c>
      <c r="E1697" s="9" t="s">
        <v>3184</v>
      </c>
      <c r="F1697" s="5" t="s">
        <v>86</v>
      </c>
      <c r="G1697" s="19" t="s">
        <v>3494</v>
      </c>
      <c r="H1697" s="5" t="s">
        <v>3178</v>
      </c>
      <c r="I1697" s="9" t="s">
        <v>3848</v>
      </c>
      <c r="J1697" s="5">
        <v>2029</v>
      </c>
      <c r="K1697" s="5">
        <v>52</v>
      </c>
      <c r="L1697" s="9" t="s">
        <v>3785</v>
      </c>
      <c r="M1697" s="5">
        <v>5</v>
      </c>
      <c r="N1697" s="9" t="s">
        <v>5134</v>
      </c>
      <c r="O1697" s="9" t="str">
        <f t="shared" si="170"/>
        <v>PDFを開く</v>
      </c>
      <c r="P1697" s="9" t="s">
        <v>1534</v>
      </c>
    </row>
    <row r="1698" spans="1:16" ht="33.950000000000003" customHeight="1">
      <c r="A1698" s="2" t="s">
        <v>1528</v>
      </c>
      <c r="B1698" s="2" t="s">
        <v>1386</v>
      </c>
      <c r="C1698" s="8" t="s">
        <v>1529</v>
      </c>
      <c r="D1698" s="2">
        <v>2</v>
      </c>
      <c r="E1698" s="8" t="s">
        <v>3184</v>
      </c>
      <c r="F1698" s="2" t="s">
        <v>86</v>
      </c>
      <c r="G1698" s="19" t="s">
        <v>3494</v>
      </c>
      <c r="H1698" s="2" t="s">
        <v>3178</v>
      </c>
      <c r="I1698" s="8"/>
      <c r="J1698" s="2"/>
      <c r="K1698" s="2">
        <v>519</v>
      </c>
      <c r="L1698" s="8" t="s">
        <v>3349</v>
      </c>
      <c r="M1698" s="2">
        <v>5</v>
      </c>
      <c r="N1698" s="8" t="s">
        <v>5134</v>
      </c>
      <c r="O1698" s="8" t="str">
        <f t="shared" si="170"/>
        <v>PDFを開く</v>
      </c>
      <c r="P1698" s="8" t="s">
        <v>1534</v>
      </c>
    </row>
    <row r="1699" spans="1:16" ht="33.950000000000003" customHeight="1">
      <c r="A1699" s="5" t="s">
        <v>1528</v>
      </c>
      <c r="B1699" s="5" t="s">
        <v>1386</v>
      </c>
      <c r="C1699" s="9" t="s">
        <v>1529</v>
      </c>
      <c r="D1699" s="5">
        <v>2</v>
      </c>
      <c r="E1699" s="9" t="s">
        <v>3184</v>
      </c>
      <c r="F1699" s="5" t="s">
        <v>86</v>
      </c>
      <c r="G1699" s="19" t="s">
        <v>3494</v>
      </c>
      <c r="H1699" s="5" t="s">
        <v>3178</v>
      </c>
      <c r="I1699" s="9"/>
      <c r="J1699" s="5"/>
      <c r="K1699" s="5">
        <v>571</v>
      </c>
      <c r="L1699" s="9" t="s">
        <v>5136</v>
      </c>
      <c r="M1699" s="5">
        <v>5</v>
      </c>
      <c r="N1699" s="9" t="s">
        <v>5134</v>
      </c>
      <c r="O1699" s="9" t="str">
        <f t="shared" si="170"/>
        <v>PDFを開く</v>
      </c>
      <c r="P1699" s="9" t="s">
        <v>1534</v>
      </c>
    </row>
    <row r="1700" spans="1:16" ht="33.950000000000003" customHeight="1">
      <c r="A1700" s="2" t="s">
        <v>1528</v>
      </c>
      <c r="B1700" s="2" t="s">
        <v>1386</v>
      </c>
      <c r="C1700" s="8" t="s">
        <v>1529</v>
      </c>
      <c r="D1700" s="2">
        <v>2</v>
      </c>
      <c r="E1700" s="8" t="s">
        <v>3188</v>
      </c>
      <c r="F1700" s="2" t="s">
        <v>86</v>
      </c>
      <c r="G1700" s="19" t="s">
        <v>3494</v>
      </c>
      <c r="H1700" s="2" t="s">
        <v>3178</v>
      </c>
      <c r="I1700" s="8" t="s">
        <v>3845</v>
      </c>
      <c r="J1700" s="2">
        <v>2026</v>
      </c>
      <c r="K1700" s="2">
        <v>0</v>
      </c>
      <c r="L1700" s="8" t="s">
        <v>3267</v>
      </c>
      <c r="M1700" s="2"/>
      <c r="N1700" s="8" t="s">
        <v>5137</v>
      </c>
      <c r="O1700" s="8" t="str">
        <f t="shared" si="170"/>
        <v>PDFを開く</v>
      </c>
      <c r="P1700" s="8" t="s">
        <v>1534</v>
      </c>
    </row>
    <row r="1701" spans="1:16" ht="33.950000000000003" customHeight="1">
      <c r="A1701" s="5" t="s">
        <v>1528</v>
      </c>
      <c r="B1701" s="5" t="s">
        <v>1386</v>
      </c>
      <c r="C1701" s="9" t="s">
        <v>1529</v>
      </c>
      <c r="D1701" s="5">
        <v>2</v>
      </c>
      <c r="E1701" s="9" t="s">
        <v>3188</v>
      </c>
      <c r="F1701" s="5" t="s">
        <v>86</v>
      </c>
      <c r="G1701" s="19" t="s">
        <v>3494</v>
      </c>
      <c r="H1701" s="5" t="s">
        <v>3178</v>
      </c>
      <c r="I1701" s="9"/>
      <c r="J1701" s="5"/>
      <c r="K1701" s="5">
        <v>0</v>
      </c>
      <c r="L1701" s="9" t="s">
        <v>3267</v>
      </c>
      <c r="M1701" s="5"/>
      <c r="N1701" s="9" t="s">
        <v>5137</v>
      </c>
      <c r="O1701" s="9" t="str">
        <f t="shared" si="170"/>
        <v>PDFを開く</v>
      </c>
      <c r="P1701" s="9" t="s">
        <v>1534</v>
      </c>
    </row>
    <row r="1702" spans="1:16" ht="33.950000000000003" customHeight="1">
      <c r="A1702" s="2" t="s">
        <v>1528</v>
      </c>
      <c r="B1702" s="2" t="s">
        <v>1386</v>
      </c>
      <c r="C1702" s="8" t="s">
        <v>1529</v>
      </c>
      <c r="D1702" s="2">
        <v>2</v>
      </c>
      <c r="E1702" s="8" t="s">
        <v>3188</v>
      </c>
      <c r="F1702" s="2" t="s">
        <v>86</v>
      </c>
      <c r="G1702" s="19" t="s">
        <v>3494</v>
      </c>
      <c r="H1702" s="2" t="s">
        <v>3178</v>
      </c>
      <c r="I1702" s="8"/>
      <c r="J1702" s="2"/>
      <c r="K1702" s="2">
        <v>0</v>
      </c>
      <c r="L1702" s="8" t="s">
        <v>3267</v>
      </c>
      <c r="M1702" s="2"/>
      <c r="N1702" s="8" t="s">
        <v>5137</v>
      </c>
      <c r="O1702" s="8" t="str">
        <f t="shared" si="170"/>
        <v>PDFを開く</v>
      </c>
      <c r="P1702" s="8" t="s">
        <v>1534</v>
      </c>
    </row>
    <row r="1703" spans="1:16" ht="33.950000000000003" customHeight="1">
      <c r="A1703" s="5" t="s">
        <v>1528</v>
      </c>
      <c r="B1703" s="5" t="s">
        <v>1386</v>
      </c>
      <c r="C1703" s="9" t="s">
        <v>1529</v>
      </c>
      <c r="D1703" s="5">
        <v>2</v>
      </c>
      <c r="E1703" s="9" t="s">
        <v>3188</v>
      </c>
      <c r="F1703" s="5" t="s">
        <v>86</v>
      </c>
      <c r="G1703" s="19" t="s">
        <v>3494</v>
      </c>
      <c r="H1703" s="5" t="s">
        <v>3178</v>
      </c>
      <c r="I1703" s="9" t="s">
        <v>3848</v>
      </c>
      <c r="J1703" s="5">
        <v>2029</v>
      </c>
      <c r="K1703" s="5">
        <v>0</v>
      </c>
      <c r="L1703" s="9" t="s">
        <v>3267</v>
      </c>
      <c r="M1703" s="5"/>
      <c r="N1703" s="9" t="s">
        <v>5137</v>
      </c>
      <c r="O1703" s="9" t="str">
        <f t="shared" si="170"/>
        <v>PDFを開く</v>
      </c>
      <c r="P1703" s="9" t="s">
        <v>1534</v>
      </c>
    </row>
    <row r="1704" spans="1:16" ht="33.950000000000003" customHeight="1">
      <c r="A1704" s="2" t="s">
        <v>1528</v>
      </c>
      <c r="B1704" s="2" t="s">
        <v>1386</v>
      </c>
      <c r="C1704" s="8" t="s">
        <v>1529</v>
      </c>
      <c r="D1704" s="2">
        <v>2</v>
      </c>
      <c r="E1704" s="8" t="s">
        <v>3191</v>
      </c>
      <c r="F1704" s="2" t="s">
        <v>2513</v>
      </c>
      <c r="G1704" s="19" t="s">
        <v>3494</v>
      </c>
      <c r="H1704" s="2" t="s">
        <v>3178</v>
      </c>
      <c r="I1704" s="8" t="s">
        <v>3845</v>
      </c>
      <c r="J1704" s="2">
        <v>2026</v>
      </c>
      <c r="K1704" s="2">
        <v>72</v>
      </c>
      <c r="L1704" s="8" t="s">
        <v>3657</v>
      </c>
      <c r="M1704" s="2"/>
      <c r="N1704" s="8" t="s">
        <v>5138</v>
      </c>
      <c r="O1704" s="8" t="str">
        <f t="shared" si="170"/>
        <v>PDFを開く</v>
      </c>
      <c r="P1704" s="8" t="s">
        <v>1534</v>
      </c>
    </row>
    <row r="1705" spans="1:16" ht="33.950000000000003" customHeight="1">
      <c r="A1705" s="5" t="s">
        <v>1528</v>
      </c>
      <c r="B1705" s="5" t="s">
        <v>1386</v>
      </c>
      <c r="C1705" s="9" t="s">
        <v>1529</v>
      </c>
      <c r="D1705" s="5">
        <v>2</v>
      </c>
      <c r="E1705" s="9" t="s">
        <v>3191</v>
      </c>
      <c r="F1705" s="5" t="s">
        <v>2513</v>
      </c>
      <c r="G1705" s="19" t="s">
        <v>3494</v>
      </c>
      <c r="H1705" s="5" t="s">
        <v>3178</v>
      </c>
      <c r="I1705" s="9"/>
      <c r="J1705" s="5"/>
      <c r="K1705" s="5">
        <v>90</v>
      </c>
      <c r="L1705" s="9" t="s">
        <v>5139</v>
      </c>
      <c r="M1705" s="5"/>
      <c r="N1705" s="9" t="s">
        <v>5138</v>
      </c>
      <c r="O1705" s="9" t="str">
        <f t="shared" si="170"/>
        <v>PDFを開く</v>
      </c>
      <c r="P1705" s="9" t="s">
        <v>1534</v>
      </c>
    </row>
    <row r="1706" spans="1:16" ht="33.950000000000003" customHeight="1">
      <c r="A1706" s="2" t="s">
        <v>1528</v>
      </c>
      <c r="B1706" s="2" t="s">
        <v>1386</v>
      </c>
      <c r="C1706" s="8" t="s">
        <v>1529</v>
      </c>
      <c r="D1706" s="2">
        <v>2</v>
      </c>
      <c r="E1706" s="8" t="s">
        <v>3191</v>
      </c>
      <c r="F1706" s="2" t="s">
        <v>2513</v>
      </c>
      <c r="G1706" s="19" t="s">
        <v>3494</v>
      </c>
      <c r="H1706" s="2" t="s">
        <v>3178</v>
      </c>
      <c r="I1706" s="8"/>
      <c r="J1706" s="2"/>
      <c r="K1706" s="2">
        <v>4</v>
      </c>
      <c r="L1706" s="8" t="s">
        <v>3621</v>
      </c>
      <c r="M1706" s="2"/>
      <c r="N1706" s="8" t="s">
        <v>5138</v>
      </c>
      <c r="O1706" s="8" t="str">
        <f t="shared" si="170"/>
        <v>PDFを開く</v>
      </c>
      <c r="P1706" s="8" t="s">
        <v>1534</v>
      </c>
    </row>
    <row r="1707" spans="1:16" ht="33.950000000000003" customHeight="1">
      <c r="A1707" s="5" t="s">
        <v>1528</v>
      </c>
      <c r="B1707" s="5" t="s">
        <v>1386</v>
      </c>
      <c r="C1707" s="9" t="s">
        <v>1529</v>
      </c>
      <c r="D1707" s="5">
        <v>2</v>
      </c>
      <c r="E1707" s="9" t="s">
        <v>3191</v>
      </c>
      <c r="F1707" s="5" t="s">
        <v>2513</v>
      </c>
      <c r="G1707" s="19" t="s">
        <v>3494</v>
      </c>
      <c r="H1707" s="5" t="s">
        <v>3178</v>
      </c>
      <c r="I1707" s="9" t="s">
        <v>3848</v>
      </c>
      <c r="J1707" s="5">
        <v>2029</v>
      </c>
      <c r="K1707" s="5">
        <v>224</v>
      </c>
      <c r="L1707" s="9" t="s">
        <v>5140</v>
      </c>
      <c r="M1707" s="5"/>
      <c r="N1707" s="9" t="s">
        <v>5138</v>
      </c>
      <c r="O1707" s="9" t="str">
        <f t="shared" si="170"/>
        <v>PDFを開く</v>
      </c>
      <c r="P1707" s="9" t="s">
        <v>1534</v>
      </c>
    </row>
    <row r="1708" spans="1:16" ht="33.950000000000003" customHeight="1">
      <c r="A1708" s="2" t="s">
        <v>1528</v>
      </c>
      <c r="B1708" s="2" t="s">
        <v>1386</v>
      </c>
      <c r="C1708" s="8" t="s">
        <v>1529</v>
      </c>
      <c r="D1708" s="2">
        <v>2</v>
      </c>
      <c r="E1708" s="8" t="s">
        <v>3191</v>
      </c>
      <c r="F1708" s="2" t="s">
        <v>2513</v>
      </c>
      <c r="G1708" s="19" t="s">
        <v>3494</v>
      </c>
      <c r="H1708" s="2" t="s">
        <v>3178</v>
      </c>
      <c r="I1708" s="8"/>
      <c r="J1708" s="2"/>
      <c r="K1708" s="2">
        <v>102</v>
      </c>
      <c r="L1708" s="8" t="s">
        <v>3735</v>
      </c>
      <c r="M1708" s="2"/>
      <c r="N1708" s="8" t="s">
        <v>5138</v>
      </c>
      <c r="O1708" s="8" t="str">
        <f t="shared" si="170"/>
        <v>PDFを開く</v>
      </c>
      <c r="P1708" s="8" t="s">
        <v>1534</v>
      </c>
    </row>
    <row r="1709" spans="1:16" ht="33.950000000000003" customHeight="1">
      <c r="A1709" s="5" t="s">
        <v>1528</v>
      </c>
      <c r="B1709" s="5" t="s">
        <v>1386</v>
      </c>
      <c r="C1709" s="9" t="s">
        <v>1529</v>
      </c>
      <c r="D1709" s="5">
        <v>2</v>
      </c>
      <c r="E1709" s="9" t="s">
        <v>3191</v>
      </c>
      <c r="F1709" s="5" t="s">
        <v>2513</v>
      </c>
      <c r="G1709" s="19" t="s">
        <v>3494</v>
      </c>
      <c r="H1709" s="5" t="s">
        <v>3178</v>
      </c>
      <c r="I1709" s="9"/>
      <c r="J1709" s="5"/>
      <c r="K1709" s="5">
        <v>4</v>
      </c>
      <c r="L1709" s="9" t="s">
        <v>3621</v>
      </c>
      <c r="M1709" s="5"/>
      <c r="N1709" s="9" t="s">
        <v>5138</v>
      </c>
      <c r="O1709" s="9" t="str">
        <f t="shared" si="170"/>
        <v>PDFを開く</v>
      </c>
      <c r="P1709" s="9" t="s">
        <v>1534</v>
      </c>
    </row>
    <row r="1710" spans="1:16" ht="33.950000000000003" customHeight="1">
      <c r="A1710" s="2" t="s">
        <v>1528</v>
      </c>
      <c r="B1710" s="2" t="s">
        <v>1386</v>
      </c>
      <c r="C1710" s="8" t="s">
        <v>1529</v>
      </c>
      <c r="D1710" s="2">
        <v>2</v>
      </c>
      <c r="E1710" s="8" t="s">
        <v>3176</v>
      </c>
      <c r="F1710" s="2" t="s">
        <v>86</v>
      </c>
      <c r="G1710" s="2" t="s">
        <v>3177</v>
      </c>
      <c r="H1710" s="2"/>
      <c r="I1710" s="8" t="s">
        <v>3227</v>
      </c>
      <c r="J1710" s="2">
        <v>2026</v>
      </c>
      <c r="K1710" s="2">
        <v>1125</v>
      </c>
      <c r="L1710" s="8" t="s">
        <v>5141</v>
      </c>
      <c r="M1710" s="2">
        <v>14.9</v>
      </c>
      <c r="N1710" s="8" t="s">
        <v>5142</v>
      </c>
      <c r="O1710" s="8" t="str">
        <f t="shared" si="170"/>
        <v>PDFを開く</v>
      </c>
      <c r="P1710" s="8" t="s">
        <v>1534</v>
      </c>
    </row>
    <row r="1711" spans="1:16" ht="33.950000000000003" customHeight="1">
      <c r="A1711" s="5" t="s">
        <v>1528</v>
      </c>
      <c r="B1711" s="5" t="s">
        <v>1386</v>
      </c>
      <c r="C1711" s="9" t="s">
        <v>1529</v>
      </c>
      <c r="D1711" s="5">
        <v>2</v>
      </c>
      <c r="E1711" s="9" t="s">
        <v>3176</v>
      </c>
      <c r="F1711" s="5" t="s">
        <v>86</v>
      </c>
      <c r="G1711" s="5" t="s">
        <v>3177</v>
      </c>
      <c r="H1711" s="5"/>
      <c r="I1711" s="9" t="s">
        <v>3230</v>
      </c>
      <c r="J1711" s="5">
        <v>2029</v>
      </c>
      <c r="K1711" s="5">
        <v>1705</v>
      </c>
      <c r="L1711" s="9" t="s">
        <v>5143</v>
      </c>
      <c r="M1711" s="5">
        <v>14.9</v>
      </c>
      <c r="N1711" s="9" t="s">
        <v>5142</v>
      </c>
      <c r="O1711" s="9" t="str">
        <f t="shared" si="170"/>
        <v>PDFを開く</v>
      </c>
      <c r="P1711" s="9" t="s">
        <v>1534</v>
      </c>
    </row>
    <row r="1712" spans="1:16" ht="33.950000000000003" customHeight="1">
      <c r="A1712" s="2" t="s">
        <v>1528</v>
      </c>
      <c r="B1712" s="2" t="s">
        <v>1386</v>
      </c>
      <c r="C1712" s="8" t="s">
        <v>1529</v>
      </c>
      <c r="D1712" s="2">
        <v>2</v>
      </c>
      <c r="E1712" s="8" t="s">
        <v>3188</v>
      </c>
      <c r="F1712" s="2" t="s">
        <v>86</v>
      </c>
      <c r="G1712" s="2" t="s">
        <v>3177</v>
      </c>
      <c r="H1712" s="2" t="s">
        <v>3178</v>
      </c>
      <c r="I1712" s="8" t="s">
        <v>3845</v>
      </c>
      <c r="J1712" s="2">
        <v>2026</v>
      </c>
      <c r="K1712" s="2">
        <v>0</v>
      </c>
      <c r="L1712" s="8" t="s">
        <v>3267</v>
      </c>
      <c r="M1712" s="2"/>
      <c r="N1712" s="8" t="s">
        <v>5137</v>
      </c>
      <c r="O1712" s="8" t="str">
        <f t="shared" si="170"/>
        <v>PDFを開く</v>
      </c>
      <c r="P1712" s="8" t="s">
        <v>1534</v>
      </c>
    </row>
    <row r="1713" spans="1:16" ht="33.950000000000003" customHeight="1">
      <c r="A1713" s="5" t="s">
        <v>1528</v>
      </c>
      <c r="B1713" s="5" t="s">
        <v>1386</v>
      </c>
      <c r="C1713" s="9" t="s">
        <v>1529</v>
      </c>
      <c r="D1713" s="5">
        <v>2</v>
      </c>
      <c r="E1713" s="9" t="s">
        <v>3188</v>
      </c>
      <c r="F1713" s="5" t="s">
        <v>86</v>
      </c>
      <c r="G1713" s="5" t="s">
        <v>3177</v>
      </c>
      <c r="H1713" s="5" t="s">
        <v>3178</v>
      </c>
      <c r="I1713" s="9" t="s">
        <v>3848</v>
      </c>
      <c r="J1713" s="5">
        <v>2029</v>
      </c>
      <c r="K1713" s="5">
        <v>0</v>
      </c>
      <c r="L1713" s="9" t="s">
        <v>3267</v>
      </c>
      <c r="M1713" s="5"/>
      <c r="N1713" s="9" t="s">
        <v>5137</v>
      </c>
      <c r="O1713" s="9" t="str">
        <f t="shared" si="170"/>
        <v>PDFを開く</v>
      </c>
      <c r="P1713" s="9" t="s">
        <v>1534</v>
      </c>
    </row>
    <row r="1714" spans="1:16" ht="33.950000000000003" customHeight="1">
      <c r="A1714" s="2" t="s">
        <v>1528</v>
      </c>
      <c r="B1714" s="2" t="s">
        <v>1386</v>
      </c>
      <c r="C1714" s="8" t="s">
        <v>1529</v>
      </c>
      <c r="D1714" s="2">
        <v>2</v>
      </c>
      <c r="E1714" s="8" t="s">
        <v>3191</v>
      </c>
      <c r="F1714" s="2" t="s">
        <v>2513</v>
      </c>
      <c r="G1714" s="2" t="s">
        <v>3177</v>
      </c>
      <c r="H1714" s="2" t="s">
        <v>3178</v>
      </c>
      <c r="I1714" s="8" t="s">
        <v>3845</v>
      </c>
      <c r="J1714" s="2">
        <v>2026</v>
      </c>
      <c r="K1714" s="2">
        <v>72</v>
      </c>
      <c r="L1714" s="8" t="s">
        <v>3657</v>
      </c>
      <c r="M1714" s="2"/>
      <c r="N1714" s="8" t="s">
        <v>5138</v>
      </c>
      <c r="O1714" s="8" t="str">
        <f t="shared" si="170"/>
        <v>PDFを開く</v>
      </c>
      <c r="P1714" s="8" t="s">
        <v>1534</v>
      </c>
    </row>
    <row r="1715" spans="1:16" ht="33.950000000000003" customHeight="1">
      <c r="A1715" s="5" t="s">
        <v>1528</v>
      </c>
      <c r="B1715" s="5" t="s">
        <v>1386</v>
      </c>
      <c r="C1715" s="9" t="s">
        <v>1529</v>
      </c>
      <c r="D1715" s="5">
        <v>2</v>
      </c>
      <c r="E1715" s="9" t="s">
        <v>3191</v>
      </c>
      <c r="F1715" s="5" t="s">
        <v>2513</v>
      </c>
      <c r="G1715" s="5" t="s">
        <v>3177</v>
      </c>
      <c r="H1715" s="5" t="s">
        <v>3178</v>
      </c>
      <c r="I1715" s="9" t="s">
        <v>3848</v>
      </c>
      <c r="J1715" s="5">
        <v>2029</v>
      </c>
      <c r="K1715" s="5">
        <v>224</v>
      </c>
      <c r="L1715" s="9" t="s">
        <v>5140</v>
      </c>
      <c r="M1715" s="5"/>
      <c r="N1715" s="9" t="s">
        <v>5138</v>
      </c>
      <c r="O1715" s="9" t="str">
        <f t="shared" si="170"/>
        <v>PDFを開く</v>
      </c>
      <c r="P1715" s="9" t="s">
        <v>1534</v>
      </c>
    </row>
    <row r="1716" spans="1:16" ht="33.950000000000003" customHeight="1">
      <c r="A1716" s="2" t="s">
        <v>1528</v>
      </c>
      <c r="B1716" s="2" t="s">
        <v>1386</v>
      </c>
      <c r="C1716" s="8" t="s">
        <v>1529</v>
      </c>
      <c r="D1716" s="2">
        <v>2</v>
      </c>
      <c r="E1716" s="8" t="s">
        <v>3184</v>
      </c>
      <c r="F1716" s="2" t="s">
        <v>86</v>
      </c>
      <c r="G1716" s="2" t="s">
        <v>3177</v>
      </c>
      <c r="H1716" s="2" t="s">
        <v>3178</v>
      </c>
      <c r="I1716" s="8" t="s">
        <v>3845</v>
      </c>
      <c r="J1716" s="2">
        <v>2026</v>
      </c>
      <c r="K1716" s="2">
        <v>45</v>
      </c>
      <c r="L1716" s="8" t="s">
        <v>3404</v>
      </c>
      <c r="M1716" s="2">
        <v>5</v>
      </c>
      <c r="N1716" s="8" t="s">
        <v>5134</v>
      </c>
      <c r="O1716" s="8" t="str">
        <f t="shared" si="170"/>
        <v>PDFを開く</v>
      </c>
      <c r="P1716" s="8" t="s">
        <v>1534</v>
      </c>
    </row>
    <row r="1717" spans="1:16" ht="33.950000000000003" customHeight="1">
      <c r="A1717" s="5" t="s">
        <v>1528</v>
      </c>
      <c r="B1717" s="5" t="s">
        <v>1386</v>
      </c>
      <c r="C1717" s="9" t="s">
        <v>1529</v>
      </c>
      <c r="D1717" s="5">
        <v>2</v>
      </c>
      <c r="E1717" s="9" t="s">
        <v>3184</v>
      </c>
      <c r="F1717" s="5" t="s">
        <v>86</v>
      </c>
      <c r="G1717" s="5" t="s">
        <v>3177</v>
      </c>
      <c r="H1717" s="5" t="s">
        <v>3178</v>
      </c>
      <c r="I1717" s="9" t="s">
        <v>3848</v>
      </c>
      <c r="J1717" s="5">
        <v>2029</v>
      </c>
      <c r="K1717" s="5">
        <v>52</v>
      </c>
      <c r="L1717" s="9" t="s">
        <v>3785</v>
      </c>
      <c r="M1717" s="5">
        <v>5</v>
      </c>
      <c r="N1717" s="9" t="s">
        <v>5134</v>
      </c>
      <c r="O1717" s="9" t="str">
        <f t="shared" si="170"/>
        <v>PDFを開く</v>
      </c>
      <c r="P1717" s="9" t="s">
        <v>1534</v>
      </c>
    </row>
    <row r="1718" spans="1:16" ht="33.950000000000003" customHeight="1">
      <c r="A1718" s="2" t="s">
        <v>1535</v>
      </c>
      <c r="B1718" s="2" t="s">
        <v>1386</v>
      </c>
      <c r="C1718" s="8" t="s">
        <v>1536</v>
      </c>
      <c r="D1718" s="2">
        <v>3</v>
      </c>
      <c r="E1718" s="8" t="s">
        <v>3176</v>
      </c>
      <c r="F1718" s="2" t="s">
        <v>86</v>
      </c>
      <c r="G1718" s="2" t="s">
        <v>3177</v>
      </c>
      <c r="H1718" s="2" t="s">
        <v>3178</v>
      </c>
      <c r="I1718" s="8" t="s">
        <v>3845</v>
      </c>
      <c r="J1718" s="2">
        <v>2026</v>
      </c>
      <c r="K1718" s="2">
        <v>2551</v>
      </c>
      <c r="L1718" s="8" t="s">
        <v>5144</v>
      </c>
      <c r="M1718" s="2">
        <v>14.6</v>
      </c>
      <c r="N1718" s="8" t="s">
        <v>5145</v>
      </c>
      <c r="O1718" s="8" t="str">
        <f t="shared" ref="O1718:O1725" si="171">HYPERLINK("https://seichotoushi-hojo.jp/assets/pdf/koufu/outline__202.pdf","PDFを開く")</f>
        <v>PDFを開く</v>
      </c>
      <c r="P1718" s="8" t="s">
        <v>1542</v>
      </c>
    </row>
    <row r="1719" spans="1:16" ht="33.950000000000003" customHeight="1">
      <c r="A1719" s="5" t="s">
        <v>1535</v>
      </c>
      <c r="B1719" s="5" t="s">
        <v>1386</v>
      </c>
      <c r="C1719" s="9" t="s">
        <v>1536</v>
      </c>
      <c r="D1719" s="5">
        <v>3</v>
      </c>
      <c r="E1719" s="9" t="s">
        <v>3176</v>
      </c>
      <c r="F1719" s="5" t="s">
        <v>86</v>
      </c>
      <c r="G1719" s="5" t="s">
        <v>3177</v>
      </c>
      <c r="H1719" s="5" t="s">
        <v>3178</v>
      </c>
      <c r="I1719" s="9" t="s">
        <v>5146</v>
      </c>
      <c r="J1719" s="5">
        <v>2029</v>
      </c>
      <c r="K1719" s="5">
        <v>3845</v>
      </c>
      <c r="L1719" s="9" t="s">
        <v>5147</v>
      </c>
      <c r="M1719" s="5">
        <v>14.6</v>
      </c>
      <c r="N1719" s="9" t="s">
        <v>5145</v>
      </c>
      <c r="O1719" s="9" t="str">
        <f t="shared" si="171"/>
        <v>PDFを開く</v>
      </c>
      <c r="P1719" s="9" t="s">
        <v>1542</v>
      </c>
    </row>
    <row r="1720" spans="1:16" ht="33.950000000000003" customHeight="1">
      <c r="A1720" s="2" t="s">
        <v>1535</v>
      </c>
      <c r="B1720" s="2" t="s">
        <v>1386</v>
      </c>
      <c r="C1720" s="8" t="s">
        <v>1536</v>
      </c>
      <c r="D1720" s="2">
        <v>3</v>
      </c>
      <c r="E1720" s="8" t="s">
        <v>3184</v>
      </c>
      <c r="F1720" s="2" t="s">
        <v>86</v>
      </c>
      <c r="G1720" s="2" t="s">
        <v>3177</v>
      </c>
      <c r="H1720" s="2" t="s">
        <v>3178</v>
      </c>
      <c r="I1720" s="8" t="s">
        <v>3845</v>
      </c>
      <c r="J1720" s="2">
        <v>2026</v>
      </c>
      <c r="K1720" s="2">
        <v>580</v>
      </c>
      <c r="L1720" s="8" t="s">
        <v>4057</v>
      </c>
      <c r="M1720" s="2">
        <v>7.2</v>
      </c>
      <c r="N1720" s="8" t="s">
        <v>5148</v>
      </c>
      <c r="O1720" s="8" t="str">
        <f t="shared" si="171"/>
        <v>PDFを開く</v>
      </c>
      <c r="P1720" s="8" t="s">
        <v>1542</v>
      </c>
    </row>
    <row r="1721" spans="1:16" ht="33.950000000000003" customHeight="1">
      <c r="A1721" s="5" t="s">
        <v>1535</v>
      </c>
      <c r="B1721" s="5" t="s">
        <v>1386</v>
      </c>
      <c r="C1721" s="9" t="s">
        <v>1536</v>
      </c>
      <c r="D1721" s="5">
        <v>3</v>
      </c>
      <c r="E1721" s="9" t="s">
        <v>3184</v>
      </c>
      <c r="F1721" s="5" t="s">
        <v>86</v>
      </c>
      <c r="G1721" s="5" t="s">
        <v>3177</v>
      </c>
      <c r="H1721" s="5" t="s">
        <v>3178</v>
      </c>
      <c r="I1721" s="9" t="s">
        <v>5146</v>
      </c>
      <c r="J1721" s="5">
        <v>2029</v>
      </c>
      <c r="K1721" s="5">
        <v>715</v>
      </c>
      <c r="L1721" s="9" t="s">
        <v>4740</v>
      </c>
      <c r="M1721" s="5">
        <v>7.2</v>
      </c>
      <c r="N1721" s="9" t="s">
        <v>5148</v>
      </c>
      <c r="O1721" s="9" t="str">
        <f t="shared" si="171"/>
        <v>PDFを開く</v>
      </c>
      <c r="P1721" s="9" t="s">
        <v>1542</v>
      </c>
    </row>
    <row r="1722" spans="1:16" ht="33.950000000000003" customHeight="1">
      <c r="A1722" s="2" t="s">
        <v>1535</v>
      </c>
      <c r="B1722" s="2" t="s">
        <v>1386</v>
      </c>
      <c r="C1722" s="8" t="s">
        <v>1536</v>
      </c>
      <c r="D1722" s="2">
        <v>3</v>
      </c>
      <c r="E1722" s="8" t="s">
        <v>3188</v>
      </c>
      <c r="F1722" s="2" t="s">
        <v>86</v>
      </c>
      <c r="G1722" s="2" t="s">
        <v>3177</v>
      </c>
      <c r="H1722" s="2" t="s">
        <v>3178</v>
      </c>
      <c r="I1722" s="8" t="s">
        <v>3845</v>
      </c>
      <c r="J1722" s="2">
        <v>2026</v>
      </c>
      <c r="K1722" s="2">
        <v>1200</v>
      </c>
      <c r="L1722" s="8" t="s">
        <v>4710</v>
      </c>
      <c r="M1722" s="2">
        <v>4</v>
      </c>
      <c r="N1722" s="8" t="s">
        <v>5149</v>
      </c>
      <c r="O1722" s="8" t="str">
        <f t="shared" si="171"/>
        <v>PDFを開く</v>
      </c>
      <c r="P1722" s="8" t="s">
        <v>1542</v>
      </c>
    </row>
    <row r="1723" spans="1:16" ht="33.950000000000003" customHeight="1">
      <c r="A1723" s="5" t="s">
        <v>1535</v>
      </c>
      <c r="B1723" s="5" t="s">
        <v>1386</v>
      </c>
      <c r="C1723" s="9" t="s">
        <v>1536</v>
      </c>
      <c r="D1723" s="5">
        <v>3</v>
      </c>
      <c r="E1723" s="9" t="s">
        <v>3188</v>
      </c>
      <c r="F1723" s="5" t="s">
        <v>86</v>
      </c>
      <c r="G1723" s="5" t="s">
        <v>3177</v>
      </c>
      <c r="H1723" s="5" t="s">
        <v>3178</v>
      </c>
      <c r="I1723" s="9" t="s">
        <v>5146</v>
      </c>
      <c r="J1723" s="5">
        <v>2029</v>
      </c>
      <c r="K1723" s="5">
        <v>1350</v>
      </c>
      <c r="L1723" s="9" t="s">
        <v>5150</v>
      </c>
      <c r="M1723" s="5">
        <v>4</v>
      </c>
      <c r="N1723" s="9" t="s">
        <v>5149</v>
      </c>
      <c r="O1723" s="9" t="str">
        <f t="shared" si="171"/>
        <v>PDFを開く</v>
      </c>
      <c r="P1723" s="9" t="s">
        <v>1542</v>
      </c>
    </row>
    <row r="1724" spans="1:16" ht="33.950000000000003" customHeight="1">
      <c r="A1724" s="2" t="s">
        <v>1535</v>
      </c>
      <c r="B1724" s="2" t="s">
        <v>1386</v>
      </c>
      <c r="C1724" s="8" t="s">
        <v>1536</v>
      </c>
      <c r="D1724" s="2">
        <v>3</v>
      </c>
      <c r="E1724" s="8" t="s">
        <v>3191</v>
      </c>
      <c r="F1724" s="2" t="s">
        <v>2513</v>
      </c>
      <c r="G1724" s="2" t="s">
        <v>3177</v>
      </c>
      <c r="H1724" s="2"/>
      <c r="I1724" s="8" t="s">
        <v>3845</v>
      </c>
      <c r="J1724" s="2">
        <v>2026</v>
      </c>
      <c r="K1724" s="2">
        <v>6</v>
      </c>
      <c r="L1724" s="8" t="s">
        <v>4128</v>
      </c>
      <c r="M1724" s="2"/>
      <c r="N1724" s="8" t="s">
        <v>5151</v>
      </c>
      <c r="O1724" s="8" t="str">
        <f t="shared" si="171"/>
        <v>PDFを開く</v>
      </c>
      <c r="P1724" s="8" t="s">
        <v>1542</v>
      </c>
    </row>
    <row r="1725" spans="1:16" ht="33.950000000000003" customHeight="1">
      <c r="A1725" s="5" t="s">
        <v>1535</v>
      </c>
      <c r="B1725" s="5" t="s">
        <v>1386</v>
      </c>
      <c r="C1725" s="9" t="s">
        <v>1536</v>
      </c>
      <c r="D1725" s="5">
        <v>3</v>
      </c>
      <c r="E1725" s="9" t="s">
        <v>3191</v>
      </c>
      <c r="F1725" s="5" t="s">
        <v>2513</v>
      </c>
      <c r="G1725" s="5" t="s">
        <v>3177</v>
      </c>
      <c r="H1725" s="5"/>
      <c r="I1725" s="9" t="s">
        <v>5146</v>
      </c>
      <c r="J1725" s="5">
        <v>2029</v>
      </c>
      <c r="K1725" s="5">
        <v>47</v>
      </c>
      <c r="L1725" s="9" t="s">
        <v>3707</v>
      </c>
      <c r="M1725" s="5"/>
      <c r="N1725" s="9" t="s">
        <v>5151</v>
      </c>
      <c r="O1725" s="9" t="str">
        <f t="shared" si="171"/>
        <v>PDFを開く</v>
      </c>
      <c r="P1725" s="9" t="s">
        <v>1542</v>
      </c>
    </row>
    <row r="1726" spans="1:16" ht="33.950000000000003" customHeight="1">
      <c r="A1726" s="2" t="s">
        <v>1543</v>
      </c>
      <c r="B1726" s="2" t="s">
        <v>1386</v>
      </c>
      <c r="C1726" s="8" t="s">
        <v>1544</v>
      </c>
      <c r="D1726" s="2">
        <v>2</v>
      </c>
      <c r="E1726" s="8" t="s">
        <v>3176</v>
      </c>
      <c r="F1726" s="2"/>
      <c r="G1726" s="19" t="s">
        <v>3189</v>
      </c>
      <c r="H1726" s="2"/>
      <c r="I1726" s="8"/>
      <c r="J1726" s="2"/>
      <c r="K1726" s="2"/>
      <c r="L1726" s="8"/>
      <c r="M1726" s="2"/>
      <c r="N1726" s="8" t="s">
        <v>5152</v>
      </c>
      <c r="O1726" s="8" t="str">
        <f t="shared" ref="O1726:O1734" si="172">HYPERLINK("https://seichotoushi-hojo.jp/assets/pdf/koufu/outline__203.pdf","PDFを開く")</f>
        <v>PDFを開く</v>
      </c>
      <c r="P1726" s="8" t="s">
        <v>1550</v>
      </c>
    </row>
    <row r="1727" spans="1:16" ht="33.950000000000003" customHeight="1">
      <c r="A1727" s="5" t="s">
        <v>1543</v>
      </c>
      <c r="B1727" s="5" t="s">
        <v>1386</v>
      </c>
      <c r="C1727" s="9" t="s">
        <v>1544</v>
      </c>
      <c r="D1727" s="5">
        <v>3</v>
      </c>
      <c r="E1727" s="9" t="s">
        <v>3176</v>
      </c>
      <c r="F1727" s="5" t="s">
        <v>86</v>
      </c>
      <c r="G1727" s="5" t="s">
        <v>3177</v>
      </c>
      <c r="H1727" s="5" t="s">
        <v>3178</v>
      </c>
      <c r="I1727" s="9" t="s">
        <v>3179</v>
      </c>
      <c r="J1727" s="5">
        <v>2026</v>
      </c>
      <c r="K1727" s="5">
        <v>670</v>
      </c>
      <c r="L1727" s="9" t="s">
        <v>5153</v>
      </c>
      <c r="M1727" s="5">
        <v>31.7</v>
      </c>
      <c r="N1727" s="9" t="s">
        <v>5154</v>
      </c>
      <c r="O1727" s="9" t="str">
        <f t="shared" si="172"/>
        <v>PDFを開く</v>
      </c>
      <c r="P1727" s="9" t="s">
        <v>1550</v>
      </c>
    </row>
    <row r="1728" spans="1:16" ht="33.950000000000003" customHeight="1">
      <c r="A1728" s="2" t="s">
        <v>1543</v>
      </c>
      <c r="B1728" s="2" t="s">
        <v>1386</v>
      </c>
      <c r="C1728" s="8" t="s">
        <v>1544</v>
      </c>
      <c r="D1728" s="2">
        <v>3</v>
      </c>
      <c r="E1728" s="8" t="s">
        <v>3176</v>
      </c>
      <c r="F1728" s="2" t="s">
        <v>86</v>
      </c>
      <c r="G1728" s="2" t="s">
        <v>3177</v>
      </c>
      <c r="H1728" s="2" t="s">
        <v>3178</v>
      </c>
      <c r="I1728" s="8" t="s">
        <v>3182</v>
      </c>
      <c r="J1728" s="2">
        <v>2029</v>
      </c>
      <c r="K1728" s="2">
        <v>1530</v>
      </c>
      <c r="L1728" s="8" t="s">
        <v>5155</v>
      </c>
      <c r="M1728" s="2">
        <v>31.7</v>
      </c>
      <c r="N1728" s="8" t="s">
        <v>5154</v>
      </c>
      <c r="O1728" s="8" t="str">
        <f t="shared" si="172"/>
        <v>PDFを開く</v>
      </c>
      <c r="P1728" s="8" t="s">
        <v>1550</v>
      </c>
    </row>
    <row r="1729" spans="1:16" ht="33.950000000000003" customHeight="1">
      <c r="A1729" s="5" t="s">
        <v>1543</v>
      </c>
      <c r="B1729" s="5" t="s">
        <v>1386</v>
      </c>
      <c r="C1729" s="9" t="s">
        <v>1544</v>
      </c>
      <c r="D1729" s="5">
        <v>3</v>
      </c>
      <c r="E1729" s="9" t="s">
        <v>3184</v>
      </c>
      <c r="F1729" s="5" t="s">
        <v>86</v>
      </c>
      <c r="G1729" s="5" t="s">
        <v>3177</v>
      </c>
      <c r="H1729" s="5" t="s">
        <v>3178</v>
      </c>
      <c r="I1729" s="9" t="s">
        <v>3179</v>
      </c>
      <c r="J1729" s="5">
        <v>2026</v>
      </c>
      <c r="K1729" s="5">
        <v>413</v>
      </c>
      <c r="L1729" s="9" t="s">
        <v>4274</v>
      </c>
      <c r="M1729" s="5">
        <v>7</v>
      </c>
      <c r="N1729" s="9" t="s">
        <v>5156</v>
      </c>
      <c r="O1729" s="9" t="str">
        <f t="shared" si="172"/>
        <v>PDFを開く</v>
      </c>
      <c r="P1729" s="9" t="s">
        <v>1550</v>
      </c>
    </row>
    <row r="1730" spans="1:16" ht="33.950000000000003" customHeight="1">
      <c r="A1730" s="2" t="s">
        <v>1543</v>
      </c>
      <c r="B1730" s="2" t="s">
        <v>1386</v>
      </c>
      <c r="C1730" s="8" t="s">
        <v>1544</v>
      </c>
      <c r="D1730" s="2">
        <v>3</v>
      </c>
      <c r="E1730" s="8" t="s">
        <v>3184</v>
      </c>
      <c r="F1730" s="2" t="s">
        <v>86</v>
      </c>
      <c r="G1730" s="2" t="s">
        <v>3177</v>
      </c>
      <c r="H1730" s="2" t="s">
        <v>3178</v>
      </c>
      <c r="I1730" s="8" t="s">
        <v>3182</v>
      </c>
      <c r="J1730" s="2">
        <v>2029</v>
      </c>
      <c r="K1730" s="2">
        <v>501</v>
      </c>
      <c r="L1730" s="8" t="s">
        <v>4005</v>
      </c>
      <c r="M1730" s="2">
        <v>7</v>
      </c>
      <c r="N1730" s="8" t="s">
        <v>5156</v>
      </c>
      <c r="O1730" s="8" t="str">
        <f t="shared" si="172"/>
        <v>PDFを開く</v>
      </c>
      <c r="P1730" s="8" t="s">
        <v>1550</v>
      </c>
    </row>
    <row r="1731" spans="1:16" ht="33.950000000000003" customHeight="1">
      <c r="A1731" s="5" t="s">
        <v>1543</v>
      </c>
      <c r="B1731" s="5" t="s">
        <v>1386</v>
      </c>
      <c r="C1731" s="9" t="s">
        <v>1544</v>
      </c>
      <c r="D1731" s="5">
        <v>3</v>
      </c>
      <c r="E1731" s="9" t="s">
        <v>3188</v>
      </c>
      <c r="F1731" s="5" t="s">
        <v>86</v>
      </c>
      <c r="G1731" s="5" t="s">
        <v>3177</v>
      </c>
      <c r="H1731" s="5" t="s">
        <v>3178</v>
      </c>
      <c r="I1731" s="9" t="s">
        <v>3179</v>
      </c>
      <c r="J1731" s="5">
        <v>2026</v>
      </c>
      <c r="K1731" s="5">
        <v>1314</v>
      </c>
      <c r="L1731" s="9" t="s">
        <v>5157</v>
      </c>
      <c r="M1731" s="5">
        <v>11.6</v>
      </c>
      <c r="N1731" s="9" t="s">
        <v>5158</v>
      </c>
      <c r="O1731" s="9" t="str">
        <f t="shared" si="172"/>
        <v>PDFを開く</v>
      </c>
      <c r="P1731" s="9" t="s">
        <v>1550</v>
      </c>
    </row>
    <row r="1732" spans="1:16" ht="33.950000000000003" customHeight="1">
      <c r="A1732" s="2" t="s">
        <v>1543</v>
      </c>
      <c r="B1732" s="2" t="s">
        <v>1386</v>
      </c>
      <c r="C1732" s="8" t="s">
        <v>1544</v>
      </c>
      <c r="D1732" s="2">
        <v>3</v>
      </c>
      <c r="E1732" s="8" t="s">
        <v>3188</v>
      </c>
      <c r="F1732" s="2" t="s">
        <v>86</v>
      </c>
      <c r="G1732" s="2" t="s">
        <v>3177</v>
      </c>
      <c r="H1732" s="2" t="s">
        <v>3178</v>
      </c>
      <c r="I1732" s="8" t="s">
        <v>3182</v>
      </c>
      <c r="J1732" s="2">
        <v>2029</v>
      </c>
      <c r="K1732" s="2">
        <v>1828</v>
      </c>
      <c r="L1732" s="8" t="s">
        <v>5159</v>
      </c>
      <c r="M1732" s="2">
        <v>11.6</v>
      </c>
      <c r="N1732" s="8" t="s">
        <v>5158</v>
      </c>
      <c r="O1732" s="8" t="str">
        <f t="shared" si="172"/>
        <v>PDFを開く</v>
      </c>
      <c r="P1732" s="8" t="s">
        <v>1550</v>
      </c>
    </row>
    <row r="1733" spans="1:16" ht="33.950000000000003" customHeight="1">
      <c r="A1733" s="5" t="s">
        <v>1543</v>
      </c>
      <c r="B1733" s="5" t="s">
        <v>1386</v>
      </c>
      <c r="C1733" s="9" t="s">
        <v>1544</v>
      </c>
      <c r="D1733" s="5">
        <v>3</v>
      </c>
      <c r="E1733" s="9" t="s">
        <v>3191</v>
      </c>
      <c r="F1733" s="5" t="s">
        <v>2513</v>
      </c>
      <c r="G1733" s="5" t="s">
        <v>3177</v>
      </c>
      <c r="H1733" s="5" t="s">
        <v>3178</v>
      </c>
      <c r="I1733" s="9" t="s">
        <v>3179</v>
      </c>
      <c r="J1733" s="5">
        <v>2026</v>
      </c>
      <c r="K1733" s="5">
        <v>115</v>
      </c>
      <c r="L1733" s="9" t="s">
        <v>4458</v>
      </c>
      <c r="M1733" s="5"/>
      <c r="N1733" s="9" t="s">
        <v>5160</v>
      </c>
      <c r="O1733" s="9" t="str">
        <f t="shared" si="172"/>
        <v>PDFを開く</v>
      </c>
      <c r="P1733" s="9" t="s">
        <v>1550</v>
      </c>
    </row>
    <row r="1734" spans="1:16" ht="33.950000000000003" customHeight="1">
      <c r="A1734" s="2" t="s">
        <v>1543</v>
      </c>
      <c r="B1734" s="2" t="s">
        <v>1386</v>
      </c>
      <c r="C1734" s="8" t="s">
        <v>1544</v>
      </c>
      <c r="D1734" s="2">
        <v>3</v>
      </c>
      <c r="E1734" s="8" t="s">
        <v>3191</v>
      </c>
      <c r="F1734" s="2" t="s">
        <v>2513</v>
      </c>
      <c r="G1734" s="2" t="s">
        <v>3177</v>
      </c>
      <c r="H1734" s="2" t="s">
        <v>3178</v>
      </c>
      <c r="I1734" s="8" t="s">
        <v>3182</v>
      </c>
      <c r="J1734" s="2">
        <v>2029</v>
      </c>
      <c r="K1734" s="2">
        <v>172</v>
      </c>
      <c r="L1734" s="8" t="s">
        <v>5161</v>
      </c>
      <c r="M1734" s="2"/>
      <c r="N1734" s="8" t="s">
        <v>5160</v>
      </c>
      <c r="O1734" s="8" t="str">
        <f t="shared" si="172"/>
        <v>PDFを開く</v>
      </c>
      <c r="P1734" s="8" t="s">
        <v>1550</v>
      </c>
    </row>
    <row r="1735" spans="1:16" ht="33.950000000000003" customHeight="1">
      <c r="A1735" s="5" t="s">
        <v>1551</v>
      </c>
      <c r="B1735" s="5" t="s">
        <v>1386</v>
      </c>
      <c r="C1735" s="9" t="s">
        <v>1552</v>
      </c>
      <c r="D1735" s="5">
        <v>2</v>
      </c>
      <c r="E1735" s="9" t="s">
        <v>3176</v>
      </c>
      <c r="F1735" s="5" t="s">
        <v>86</v>
      </c>
      <c r="G1735" s="5" t="s">
        <v>3177</v>
      </c>
      <c r="H1735" s="5" t="s">
        <v>3178</v>
      </c>
      <c r="I1735" s="9" t="s">
        <v>3179</v>
      </c>
      <c r="J1735" s="5">
        <v>2026</v>
      </c>
      <c r="K1735" s="5">
        <v>1937</v>
      </c>
      <c r="L1735" s="9" t="s">
        <v>5162</v>
      </c>
      <c r="M1735" s="5">
        <v>4.5999999999999996</v>
      </c>
      <c r="N1735" s="9" t="s">
        <v>5163</v>
      </c>
      <c r="O1735" s="9" t="str">
        <f t="shared" ref="O1735:O1742" si="173">HYPERLINK("https://seichotoushi-hojo.jp/assets/pdf/koufu/outline__204.pdf","PDFを開く")</f>
        <v>PDFを開く</v>
      </c>
      <c r="P1735" s="9" t="s">
        <v>1559</v>
      </c>
    </row>
    <row r="1736" spans="1:16" ht="33.950000000000003" customHeight="1">
      <c r="A1736" s="2" t="s">
        <v>1551</v>
      </c>
      <c r="B1736" s="2" t="s">
        <v>1386</v>
      </c>
      <c r="C1736" s="8" t="s">
        <v>1552</v>
      </c>
      <c r="D1736" s="2">
        <v>2</v>
      </c>
      <c r="E1736" s="8" t="s">
        <v>3176</v>
      </c>
      <c r="F1736" s="2" t="s">
        <v>86</v>
      </c>
      <c r="G1736" s="2" t="s">
        <v>3177</v>
      </c>
      <c r="H1736" s="2" t="s">
        <v>3178</v>
      </c>
      <c r="I1736" s="8" t="s">
        <v>3182</v>
      </c>
      <c r="J1736" s="2">
        <v>2029</v>
      </c>
      <c r="K1736" s="2">
        <v>2215</v>
      </c>
      <c r="L1736" s="8" t="s">
        <v>5164</v>
      </c>
      <c r="M1736" s="2">
        <v>4.5999999999999996</v>
      </c>
      <c r="N1736" s="8" t="s">
        <v>5163</v>
      </c>
      <c r="O1736" s="8" t="str">
        <f t="shared" si="173"/>
        <v>PDFを開く</v>
      </c>
      <c r="P1736" s="8" t="s">
        <v>1559</v>
      </c>
    </row>
    <row r="1737" spans="1:16" ht="33.950000000000003" customHeight="1">
      <c r="A1737" s="5" t="s">
        <v>1551</v>
      </c>
      <c r="B1737" s="5" t="s">
        <v>1386</v>
      </c>
      <c r="C1737" s="9" t="s">
        <v>1552</v>
      </c>
      <c r="D1737" s="5">
        <v>2</v>
      </c>
      <c r="E1737" s="9" t="s">
        <v>3184</v>
      </c>
      <c r="F1737" s="5" t="s">
        <v>86</v>
      </c>
      <c r="G1737" s="5" t="s">
        <v>3177</v>
      </c>
      <c r="H1737" s="5" t="s">
        <v>3178</v>
      </c>
      <c r="I1737" s="9" t="s">
        <v>3179</v>
      </c>
      <c r="J1737" s="5">
        <v>2026</v>
      </c>
      <c r="K1737" s="5">
        <v>830</v>
      </c>
      <c r="L1737" s="9" t="s">
        <v>5165</v>
      </c>
      <c r="M1737" s="5">
        <v>3.4</v>
      </c>
      <c r="N1737" s="9" t="s">
        <v>5166</v>
      </c>
      <c r="O1737" s="9" t="str">
        <f t="shared" si="173"/>
        <v>PDFを開く</v>
      </c>
      <c r="P1737" s="9" t="s">
        <v>1559</v>
      </c>
    </row>
    <row r="1738" spans="1:16" ht="33.950000000000003" customHeight="1">
      <c r="A1738" s="2" t="s">
        <v>1551</v>
      </c>
      <c r="B1738" s="2" t="s">
        <v>1386</v>
      </c>
      <c r="C1738" s="8" t="s">
        <v>1552</v>
      </c>
      <c r="D1738" s="2">
        <v>2</v>
      </c>
      <c r="E1738" s="8" t="s">
        <v>3184</v>
      </c>
      <c r="F1738" s="2" t="s">
        <v>86</v>
      </c>
      <c r="G1738" s="2" t="s">
        <v>3177</v>
      </c>
      <c r="H1738" s="2" t="s">
        <v>3178</v>
      </c>
      <c r="I1738" s="8" t="s">
        <v>3182</v>
      </c>
      <c r="J1738" s="2">
        <v>2029</v>
      </c>
      <c r="K1738" s="2">
        <v>918</v>
      </c>
      <c r="L1738" s="8" t="s">
        <v>3575</v>
      </c>
      <c r="M1738" s="2">
        <v>3.4</v>
      </c>
      <c r="N1738" s="8" t="s">
        <v>5166</v>
      </c>
      <c r="O1738" s="8" t="str">
        <f t="shared" si="173"/>
        <v>PDFを開く</v>
      </c>
      <c r="P1738" s="8" t="s">
        <v>1559</v>
      </c>
    </row>
    <row r="1739" spans="1:16" ht="33.950000000000003" customHeight="1">
      <c r="A1739" s="5" t="s">
        <v>1551</v>
      </c>
      <c r="B1739" s="5" t="s">
        <v>1386</v>
      </c>
      <c r="C1739" s="9" t="s">
        <v>1552</v>
      </c>
      <c r="D1739" s="5">
        <v>2</v>
      </c>
      <c r="E1739" s="9" t="s">
        <v>3188</v>
      </c>
      <c r="F1739" s="5" t="s">
        <v>86</v>
      </c>
      <c r="G1739" s="5" t="s">
        <v>3177</v>
      </c>
      <c r="H1739" s="5" t="s">
        <v>3178</v>
      </c>
      <c r="I1739" s="9" t="s">
        <v>3179</v>
      </c>
      <c r="J1739" s="5">
        <v>2026</v>
      </c>
      <c r="K1739" s="5">
        <v>2688</v>
      </c>
      <c r="L1739" s="9" t="s">
        <v>5167</v>
      </c>
      <c r="M1739" s="5">
        <v>3</v>
      </c>
      <c r="N1739" s="9" t="s">
        <v>5168</v>
      </c>
      <c r="O1739" s="9" t="str">
        <f t="shared" si="173"/>
        <v>PDFを開く</v>
      </c>
      <c r="P1739" s="9" t="s">
        <v>1559</v>
      </c>
    </row>
    <row r="1740" spans="1:16" ht="33.950000000000003" customHeight="1">
      <c r="A1740" s="2" t="s">
        <v>1551</v>
      </c>
      <c r="B1740" s="2" t="s">
        <v>1386</v>
      </c>
      <c r="C1740" s="8" t="s">
        <v>1552</v>
      </c>
      <c r="D1740" s="2">
        <v>2</v>
      </c>
      <c r="E1740" s="8" t="s">
        <v>3188</v>
      </c>
      <c r="F1740" s="2" t="s">
        <v>86</v>
      </c>
      <c r="G1740" s="2" t="s">
        <v>3177</v>
      </c>
      <c r="H1740" s="2" t="s">
        <v>3178</v>
      </c>
      <c r="I1740" s="8" t="s">
        <v>3182</v>
      </c>
      <c r="J1740" s="2">
        <v>2029</v>
      </c>
      <c r="K1740" s="2">
        <v>2938</v>
      </c>
      <c r="L1740" s="8" t="s">
        <v>5169</v>
      </c>
      <c r="M1740" s="2">
        <v>3</v>
      </c>
      <c r="N1740" s="8" t="s">
        <v>5168</v>
      </c>
      <c r="O1740" s="8" t="str">
        <f t="shared" si="173"/>
        <v>PDFを開く</v>
      </c>
      <c r="P1740" s="8" t="s">
        <v>1559</v>
      </c>
    </row>
    <row r="1741" spans="1:16" ht="33.950000000000003" customHeight="1">
      <c r="A1741" s="5" t="s">
        <v>1551</v>
      </c>
      <c r="B1741" s="5" t="s">
        <v>1386</v>
      </c>
      <c r="C1741" s="9" t="s">
        <v>1552</v>
      </c>
      <c r="D1741" s="5">
        <v>2</v>
      </c>
      <c r="E1741" s="9" t="s">
        <v>3191</v>
      </c>
      <c r="F1741" s="5" t="s">
        <v>2513</v>
      </c>
      <c r="G1741" s="5" t="s">
        <v>3177</v>
      </c>
      <c r="H1741" s="5" t="s">
        <v>3178</v>
      </c>
      <c r="I1741" s="9" t="s">
        <v>3179</v>
      </c>
      <c r="J1741" s="5">
        <v>2026</v>
      </c>
      <c r="K1741" s="5">
        <v>318</v>
      </c>
      <c r="L1741" s="9" t="s">
        <v>5170</v>
      </c>
      <c r="M1741" s="5"/>
      <c r="N1741" s="9" t="s">
        <v>5171</v>
      </c>
      <c r="O1741" s="9" t="str">
        <f t="shared" si="173"/>
        <v>PDFを開く</v>
      </c>
      <c r="P1741" s="9" t="s">
        <v>1559</v>
      </c>
    </row>
    <row r="1742" spans="1:16" ht="33.950000000000003" customHeight="1">
      <c r="A1742" s="2" t="s">
        <v>1551</v>
      </c>
      <c r="B1742" s="2" t="s">
        <v>1386</v>
      </c>
      <c r="C1742" s="8" t="s">
        <v>1552</v>
      </c>
      <c r="D1742" s="2">
        <v>2</v>
      </c>
      <c r="E1742" s="8" t="s">
        <v>3191</v>
      </c>
      <c r="F1742" s="2" t="s">
        <v>2513</v>
      </c>
      <c r="G1742" s="2" t="s">
        <v>3177</v>
      </c>
      <c r="H1742" s="2" t="s">
        <v>3178</v>
      </c>
      <c r="I1742" s="8" t="s">
        <v>3182</v>
      </c>
      <c r="J1742" s="2">
        <v>2029</v>
      </c>
      <c r="K1742" s="2">
        <v>392</v>
      </c>
      <c r="L1742" s="8" t="s">
        <v>5172</v>
      </c>
      <c r="M1742" s="2"/>
      <c r="N1742" s="8" t="s">
        <v>5171</v>
      </c>
      <c r="O1742" s="8" t="str">
        <f t="shared" si="173"/>
        <v>PDFを開く</v>
      </c>
      <c r="P1742" s="8" t="s">
        <v>1559</v>
      </c>
    </row>
    <row r="1743" spans="1:16" ht="33.950000000000003" customHeight="1">
      <c r="A1743" s="5" t="s">
        <v>1560</v>
      </c>
      <c r="B1743" s="5" t="s">
        <v>1386</v>
      </c>
      <c r="C1743" s="9" t="s">
        <v>1561</v>
      </c>
      <c r="D1743" s="5">
        <v>2</v>
      </c>
      <c r="E1743" s="9" t="s">
        <v>3176</v>
      </c>
      <c r="F1743" s="5" t="s">
        <v>86</v>
      </c>
      <c r="G1743" s="5" t="s">
        <v>3177</v>
      </c>
      <c r="H1743" s="5" t="s">
        <v>3178</v>
      </c>
      <c r="I1743" s="9" t="s">
        <v>3407</v>
      </c>
      <c r="J1743" s="5">
        <v>2025</v>
      </c>
      <c r="K1743" s="5">
        <v>2358</v>
      </c>
      <c r="L1743" s="9" t="s">
        <v>5173</v>
      </c>
      <c r="M1743" s="5">
        <v>18.100000000000001</v>
      </c>
      <c r="N1743" s="9" t="s">
        <v>5174</v>
      </c>
      <c r="O1743" s="9" t="str">
        <f t="shared" ref="O1743:O1750" si="174">HYPERLINK("https://seichotoushi-hojo.jp/assets/pdf/koufu/outline__205.pdf","PDFを開く")</f>
        <v>PDFを開く</v>
      </c>
      <c r="P1743" s="9" t="s">
        <v>1568</v>
      </c>
    </row>
    <row r="1744" spans="1:16" ht="33.950000000000003" customHeight="1">
      <c r="A1744" s="2" t="s">
        <v>1560</v>
      </c>
      <c r="B1744" s="2" t="s">
        <v>1386</v>
      </c>
      <c r="C1744" s="8" t="s">
        <v>1561</v>
      </c>
      <c r="D1744" s="2">
        <v>2</v>
      </c>
      <c r="E1744" s="8" t="s">
        <v>3176</v>
      </c>
      <c r="F1744" s="2" t="s">
        <v>86</v>
      </c>
      <c r="G1744" s="2" t="s">
        <v>3177</v>
      </c>
      <c r="H1744" s="2" t="s">
        <v>3178</v>
      </c>
      <c r="I1744" s="8" t="s">
        <v>3335</v>
      </c>
      <c r="J1744" s="2">
        <v>2028</v>
      </c>
      <c r="K1744" s="2">
        <v>3883</v>
      </c>
      <c r="L1744" s="8" t="s">
        <v>5175</v>
      </c>
      <c r="M1744" s="2">
        <v>18.100000000000001</v>
      </c>
      <c r="N1744" s="8" t="s">
        <v>5174</v>
      </c>
      <c r="O1744" s="8" t="str">
        <f t="shared" si="174"/>
        <v>PDFを開く</v>
      </c>
      <c r="P1744" s="8" t="s">
        <v>1568</v>
      </c>
    </row>
    <row r="1745" spans="1:16" ht="33.950000000000003" customHeight="1">
      <c r="A1745" s="5" t="s">
        <v>1560</v>
      </c>
      <c r="B1745" s="5" t="s">
        <v>1386</v>
      </c>
      <c r="C1745" s="9" t="s">
        <v>1561</v>
      </c>
      <c r="D1745" s="5">
        <v>2</v>
      </c>
      <c r="E1745" s="9" t="s">
        <v>3184</v>
      </c>
      <c r="F1745" s="5" t="s">
        <v>86</v>
      </c>
      <c r="G1745" s="5" t="s">
        <v>3177</v>
      </c>
      <c r="H1745" s="5" t="s">
        <v>3178</v>
      </c>
      <c r="I1745" s="9" t="s">
        <v>3407</v>
      </c>
      <c r="J1745" s="5">
        <v>2025</v>
      </c>
      <c r="K1745" s="5">
        <v>643</v>
      </c>
      <c r="L1745" s="9" t="s">
        <v>5176</v>
      </c>
      <c r="M1745" s="5">
        <v>8.3000000000000007</v>
      </c>
      <c r="N1745" s="9" t="s">
        <v>5177</v>
      </c>
      <c r="O1745" s="9" t="str">
        <f t="shared" si="174"/>
        <v>PDFを開く</v>
      </c>
      <c r="P1745" s="9" t="s">
        <v>1568</v>
      </c>
    </row>
    <row r="1746" spans="1:16" ht="33.950000000000003" customHeight="1">
      <c r="A1746" s="2" t="s">
        <v>1560</v>
      </c>
      <c r="B1746" s="2" t="s">
        <v>1386</v>
      </c>
      <c r="C1746" s="8" t="s">
        <v>1561</v>
      </c>
      <c r="D1746" s="2">
        <v>2</v>
      </c>
      <c r="E1746" s="8" t="s">
        <v>3184</v>
      </c>
      <c r="F1746" s="2" t="s">
        <v>86</v>
      </c>
      <c r="G1746" s="2" t="s">
        <v>3177</v>
      </c>
      <c r="H1746" s="2" t="s">
        <v>3178</v>
      </c>
      <c r="I1746" s="8" t="s">
        <v>3335</v>
      </c>
      <c r="J1746" s="2">
        <v>2028</v>
      </c>
      <c r="K1746" s="2">
        <v>817</v>
      </c>
      <c r="L1746" s="8" t="s">
        <v>4463</v>
      </c>
      <c r="M1746" s="2">
        <v>8.3000000000000007</v>
      </c>
      <c r="N1746" s="8" t="s">
        <v>5177</v>
      </c>
      <c r="O1746" s="8" t="str">
        <f t="shared" si="174"/>
        <v>PDFを開く</v>
      </c>
      <c r="P1746" s="8" t="s">
        <v>1568</v>
      </c>
    </row>
    <row r="1747" spans="1:16" ht="33.950000000000003" customHeight="1">
      <c r="A1747" s="5" t="s">
        <v>1560</v>
      </c>
      <c r="B1747" s="5" t="s">
        <v>1386</v>
      </c>
      <c r="C1747" s="9" t="s">
        <v>1561</v>
      </c>
      <c r="D1747" s="5">
        <v>2</v>
      </c>
      <c r="E1747" s="9" t="s">
        <v>3188</v>
      </c>
      <c r="F1747" s="5" t="s">
        <v>86</v>
      </c>
      <c r="G1747" s="5" t="s">
        <v>3177</v>
      </c>
      <c r="H1747" s="5" t="s">
        <v>3178</v>
      </c>
      <c r="I1747" s="9" t="s">
        <v>3407</v>
      </c>
      <c r="J1747" s="5">
        <v>2025</v>
      </c>
      <c r="K1747" s="5">
        <v>9988</v>
      </c>
      <c r="L1747" s="9" t="s">
        <v>5178</v>
      </c>
      <c r="M1747" s="5">
        <v>3.4</v>
      </c>
      <c r="N1747" s="9" t="s">
        <v>5179</v>
      </c>
      <c r="O1747" s="9" t="str">
        <f t="shared" si="174"/>
        <v>PDFを開く</v>
      </c>
      <c r="P1747" s="9" t="s">
        <v>1568</v>
      </c>
    </row>
    <row r="1748" spans="1:16" ht="33.950000000000003" customHeight="1">
      <c r="A1748" s="2" t="s">
        <v>1560</v>
      </c>
      <c r="B1748" s="2" t="s">
        <v>1386</v>
      </c>
      <c r="C1748" s="8" t="s">
        <v>1561</v>
      </c>
      <c r="D1748" s="2">
        <v>2</v>
      </c>
      <c r="E1748" s="8" t="s">
        <v>3188</v>
      </c>
      <c r="F1748" s="2" t="s">
        <v>86</v>
      </c>
      <c r="G1748" s="2" t="s">
        <v>3177</v>
      </c>
      <c r="H1748" s="2" t="s">
        <v>3178</v>
      </c>
      <c r="I1748" s="8" t="s">
        <v>3335</v>
      </c>
      <c r="J1748" s="2">
        <v>2028</v>
      </c>
      <c r="K1748" s="2">
        <v>11057</v>
      </c>
      <c r="L1748" s="8" t="s">
        <v>5180</v>
      </c>
      <c r="M1748" s="2">
        <v>3.4</v>
      </c>
      <c r="N1748" s="8" t="s">
        <v>5179</v>
      </c>
      <c r="O1748" s="8" t="str">
        <f t="shared" si="174"/>
        <v>PDFを開く</v>
      </c>
      <c r="P1748" s="8" t="s">
        <v>1568</v>
      </c>
    </row>
    <row r="1749" spans="1:16" ht="33.950000000000003" customHeight="1">
      <c r="A1749" s="5" t="s">
        <v>1560</v>
      </c>
      <c r="B1749" s="5" t="s">
        <v>1386</v>
      </c>
      <c r="C1749" s="9" t="s">
        <v>1561</v>
      </c>
      <c r="D1749" s="5">
        <v>2</v>
      </c>
      <c r="E1749" s="9" t="s">
        <v>3191</v>
      </c>
      <c r="F1749" s="5" t="s">
        <v>2513</v>
      </c>
      <c r="G1749" s="5" t="s">
        <v>3177</v>
      </c>
      <c r="H1749" s="5" t="s">
        <v>3178</v>
      </c>
      <c r="I1749" s="9" t="s">
        <v>3407</v>
      </c>
      <c r="J1749" s="5">
        <v>2025</v>
      </c>
      <c r="K1749" s="5">
        <v>93</v>
      </c>
      <c r="L1749" s="9" t="s">
        <v>5181</v>
      </c>
      <c r="M1749" s="5"/>
      <c r="N1749" s="9" t="s">
        <v>5182</v>
      </c>
      <c r="O1749" s="9" t="str">
        <f t="shared" si="174"/>
        <v>PDFを開く</v>
      </c>
      <c r="P1749" s="9" t="s">
        <v>1568</v>
      </c>
    </row>
    <row r="1750" spans="1:16" ht="33.950000000000003" customHeight="1">
      <c r="A1750" s="2" t="s">
        <v>1560</v>
      </c>
      <c r="B1750" s="2" t="s">
        <v>1386</v>
      </c>
      <c r="C1750" s="8" t="s">
        <v>1561</v>
      </c>
      <c r="D1750" s="2">
        <v>2</v>
      </c>
      <c r="E1750" s="8" t="s">
        <v>3191</v>
      </c>
      <c r="F1750" s="2" t="s">
        <v>2513</v>
      </c>
      <c r="G1750" s="2" t="s">
        <v>3177</v>
      </c>
      <c r="H1750" s="2" t="s">
        <v>3178</v>
      </c>
      <c r="I1750" s="8" t="s">
        <v>3335</v>
      </c>
      <c r="J1750" s="2">
        <v>2028</v>
      </c>
      <c r="K1750" s="2">
        <v>101</v>
      </c>
      <c r="L1750" s="8" t="s">
        <v>4307</v>
      </c>
      <c r="M1750" s="2"/>
      <c r="N1750" s="8" t="s">
        <v>5182</v>
      </c>
      <c r="O1750" s="8" t="str">
        <f t="shared" si="174"/>
        <v>PDFを開く</v>
      </c>
      <c r="P1750" s="8" t="s">
        <v>1568</v>
      </c>
    </row>
    <row r="1751" spans="1:16" ht="33.950000000000003" customHeight="1">
      <c r="A1751" s="5" t="s">
        <v>1569</v>
      </c>
      <c r="B1751" s="5" t="s">
        <v>1386</v>
      </c>
      <c r="C1751" s="9" t="s">
        <v>1570</v>
      </c>
      <c r="D1751" s="5">
        <v>2</v>
      </c>
      <c r="E1751" s="9" t="s">
        <v>3176</v>
      </c>
      <c r="F1751" s="5" t="s">
        <v>86</v>
      </c>
      <c r="G1751" s="5" t="s">
        <v>3177</v>
      </c>
      <c r="H1751" s="5" t="s">
        <v>3178</v>
      </c>
      <c r="I1751" s="9" t="s">
        <v>3179</v>
      </c>
      <c r="J1751" s="5">
        <v>2026</v>
      </c>
      <c r="K1751" s="5">
        <v>460</v>
      </c>
      <c r="L1751" s="9" t="s">
        <v>5183</v>
      </c>
      <c r="M1751" s="5">
        <v>46</v>
      </c>
      <c r="N1751" s="9" t="s">
        <v>5184</v>
      </c>
      <c r="O1751" s="9" t="str">
        <f t="shared" ref="O1751:O1758" si="175">HYPERLINK("https://seichotoushi-hojo.jp/assets/pdf/koufu/outline__206.pdf","PDFを開く")</f>
        <v>PDFを開く</v>
      </c>
      <c r="P1751" s="9" t="s">
        <v>1575</v>
      </c>
    </row>
    <row r="1752" spans="1:16" ht="33.950000000000003" customHeight="1">
      <c r="A1752" s="2" t="s">
        <v>1569</v>
      </c>
      <c r="B1752" s="2" t="s">
        <v>1386</v>
      </c>
      <c r="C1752" s="8" t="s">
        <v>1570</v>
      </c>
      <c r="D1752" s="2">
        <v>2</v>
      </c>
      <c r="E1752" s="8" t="s">
        <v>3176</v>
      </c>
      <c r="F1752" s="2" t="s">
        <v>86</v>
      </c>
      <c r="G1752" s="2" t="s">
        <v>3177</v>
      </c>
      <c r="H1752" s="2" t="s">
        <v>3178</v>
      </c>
      <c r="I1752" s="8" t="s">
        <v>3182</v>
      </c>
      <c r="J1752" s="2">
        <v>2029</v>
      </c>
      <c r="K1752" s="2">
        <v>1432</v>
      </c>
      <c r="L1752" s="8" t="s">
        <v>5185</v>
      </c>
      <c r="M1752" s="2">
        <v>46</v>
      </c>
      <c r="N1752" s="8" t="s">
        <v>5184</v>
      </c>
      <c r="O1752" s="8" t="str">
        <f t="shared" si="175"/>
        <v>PDFを開く</v>
      </c>
      <c r="P1752" s="8" t="s">
        <v>1575</v>
      </c>
    </row>
    <row r="1753" spans="1:16" ht="33.950000000000003" customHeight="1">
      <c r="A1753" s="5" t="s">
        <v>1569</v>
      </c>
      <c r="B1753" s="5" t="s">
        <v>1386</v>
      </c>
      <c r="C1753" s="9" t="s">
        <v>1570</v>
      </c>
      <c r="D1753" s="5">
        <v>2</v>
      </c>
      <c r="E1753" s="9" t="s">
        <v>3184</v>
      </c>
      <c r="F1753" s="5" t="s">
        <v>86</v>
      </c>
      <c r="G1753" s="5" t="s">
        <v>3177</v>
      </c>
      <c r="H1753" s="5" t="s">
        <v>3178</v>
      </c>
      <c r="I1753" s="9" t="s">
        <v>3179</v>
      </c>
      <c r="J1753" s="5">
        <v>2026</v>
      </c>
      <c r="K1753" s="5">
        <v>363</v>
      </c>
      <c r="L1753" s="9" t="s">
        <v>3931</v>
      </c>
      <c r="M1753" s="5">
        <v>6.3</v>
      </c>
      <c r="N1753" s="9" t="s">
        <v>5186</v>
      </c>
      <c r="O1753" s="9" t="str">
        <f t="shared" si="175"/>
        <v>PDFを開く</v>
      </c>
      <c r="P1753" s="9" t="s">
        <v>1575</v>
      </c>
    </row>
    <row r="1754" spans="1:16" ht="33.950000000000003" customHeight="1">
      <c r="A1754" s="2" t="s">
        <v>1569</v>
      </c>
      <c r="B1754" s="2" t="s">
        <v>1386</v>
      </c>
      <c r="C1754" s="8" t="s">
        <v>1570</v>
      </c>
      <c r="D1754" s="2">
        <v>2</v>
      </c>
      <c r="E1754" s="8" t="s">
        <v>3184</v>
      </c>
      <c r="F1754" s="2" t="s">
        <v>86</v>
      </c>
      <c r="G1754" s="2" t="s">
        <v>3177</v>
      </c>
      <c r="H1754" s="2" t="s">
        <v>3178</v>
      </c>
      <c r="I1754" s="8" t="s">
        <v>3182</v>
      </c>
      <c r="J1754" s="2">
        <v>2029</v>
      </c>
      <c r="K1754" s="2">
        <v>436</v>
      </c>
      <c r="L1754" s="8" t="s">
        <v>4068</v>
      </c>
      <c r="M1754" s="2">
        <v>6.3</v>
      </c>
      <c r="N1754" s="8" t="s">
        <v>5186</v>
      </c>
      <c r="O1754" s="8" t="str">
        <f t="shared" si="175"/>
        <v>PDFを開く</v>
      </c>
      <c r="P1754" s="8" t="s">
        <v>1575</v>
      </c>
    </row>
    <row r="1755" spans="1:16" ht="33.950000000000003" customHeight="1">
      <c r="A1755" s="5" t="s">
        <v>1569</v>
      </c>
      <c r="B1755" s="5" t="s">
        <v>1386</v>
      </c>
      <c r="C1755" s="9" t="s">
        <v>1570</v>
      </c>
      <c r="D1755" s="5">
        <v>2</v>
      </c>
      <c r="E1755" s="9" t="s">
        <v>3188</v>
      </c>
      <c r="F1755" s="5" t="s">
        <v>86</v>
      </c>
      <c r="G1755" s="5" t="s">
        <v>3177</v>
      </c>
      <c r="H1755" s="5" t="s">
        <v>3178</v>
      </c>
      <c r="I1755" s="9" t="s">
        <v>3179</v>
      </c>
      <c r="J1755" s="5">
        <v>2026</v>
      </c>
      <c r="K1755" s="5">
        <v>1172</v>
      </c>
      <c r="L1755" s="9" t="s">
        <v>5187</v>
      </c>
      <c r="M1755" s="5">
        <v>5.4</v>
      </c>
      <c r="N1755" s="9" t="s">
        <v>5188</v>
      </c>
      <c r="O1755" s="9" t="str">
        <f t="shared" si="175"/>
        <v>PDFを開く</v>
      </c>
      <c r="P1755" s="9" t="s">
        <v>1575</v>
      </c>
    </row>
    <row r="1756" spans="1:16" ht="33.950000000000003" customHeight="1">
      <c r="A1756" s="2" t="s">
        <v>1569</v>
      </c>
      <c r="B1756" s="2" t="s">
        <v>1386</v>
      </c>
      <c r="C1756" s="8" t="s">
        <v>1570</v>
      </c>
      <c r="D1756" s="2">
        <v>2</v>
      </c>
      <c r="E1756" s="8" t="s">
        <v>3188</v>
      </c>
      <c r="F1756" s="2" t="s">
        <v>86</v>
      </c>
      <c r="G1756" s="2" t="s">
        <v>3177</v>
      </c>
      <c r="H1756" s="2" t="s">
        <v>3178</v>
      </c>
      <c r="I1756" s="8" t="s">
        <v>3182</v>
      </c>
      <c r="J1756" s="2">
        <v>2029</v>
      </c>
      <c r="K1756" s="2">
        <v>1373</v>
      </c>
      <c r="L1756" s="8" t="s">
        <v>5189</v>
      </c>
      <c r="M1756" s="2">
        <v>5.4</v>
      </c>
      <c r="N1756" s="8" t="s">
        <v>5188</v>
      </c>
      <c r="O1756" s="8" t="str">
        <f t="shared" si="175"/>
        <v>PDFを開く</v>
      </c>
      <c r="P1756" s="8" t="s">
        <v>1575</v>
      </c>
    </row>
    <row r="1757" spans="1:16" ht="33.950000000000003" customHeight="1">
      <c r="A1757" s="5" t="s">
        <v>1569</v>
      </c>
      <c r="B1757" s="5" t="s">
        <v>1386</v>
      </c>
      <c r="C1757" s="9" t="s">
        <v>1570</v>
      </c>
      <c r="D1757" s="5">
        <v>2</v>
      </c>
      <c r="E1757" s="9" t="s">
        <v>3191</v>
      </c>
      <c r="F1757" s="5" t="s">
        <v>2513</v>
      </c>
      <c r="G1757" s="5" t="s">
        <v>3177</v>
      </c>
      <c r="H1757" s="5" t="s">
        <v>3178</v>
      </c>
      <c r="I1757" s="9" t="s">
        <v>3179</v>
      </c>
      <c r="J1757" s="5">
        <v>2026</v>
      </c>
      <c r="K1757" s="5">
        <v>103</v>
      </c>
      <c r="L1757" s="9" t="s">
        <v>5190</v>
      </c>
      <c r="M1757" s="5"/>
      <c r="N1757" s="9" t="s">
        <v>5191</v>
      </c>
      <c r="O1757" s="9" t="str">
        <f t="shared" si="175"/>
        <v>PDFを開く</v>
      </c>
      <c r="P1757" s="9" t="s">
        <v>1575</v>
      </c>
    </row>
    <row r="1758" spans="1:16" ht="33.950000000000003" customHeight="1">
      <c r="A1758" s="2" t="s">
        <v>1569</v>
      </c>
      <c r="B1758" s="2" t="s">
        <v>1386</v>
      </c>
      <c r="C1758" s="8" t="s">
        <v>1570</v>
      </c>
      <c r="D1758" s="2">
        <v>2</v>
      </c>
      <c r="E1758" s="8" t="s">
        <v>3191</v>
      </c>
      <c r="F1758" s="2" t="s">
        <v>2513</v>
      </c>
      <c r="G1758" s="2" t="s">
        <v>3177</v>
      </c>
      <c r="H1758" s="2" t="s">
        <v>3178</v>
      </c>
      <c r="I1758" s="8" t="s">
        <v>3182</v>
      </c>
      <c r="J1758" s="2">
        <v>2029</v>
      </c>
      <c r="K1758" s="2">
        <v>103</v>
      </c>
      <c r="L1758" s="8" t="s">
        <v>5190</v>
      </c>
      <c r="M1758" s="2"/>
      <c r="N1758" s="8" t="s">
        <v>5191</v>
      </c>
      <c r="O1758" s="8" t="str">
        <f t="shared" si="175"/>
        <v>PDFを開く</v>
      </c>
      <c r="P1758" s="8" t="s">
        <v>1575</v>
      </c>
    </row>
    <row r="1759" spans="1:16" ht="33.950000000000003" customHeight="1">
      <c r="A1759" s="5" t="s">
        <v>1576</v>
      </c>
      <c r="B1759" s="5" t="s">
        <v>1386</v>
      </c>
      <c r="C1759" s="9" t="s">
        <v>1577</v>
      </c>
      <c r="D1759" s="5">
        <v>2</v>
      </c>
      <c r="E1759" s="9" t="s">
        <v>3176</v>
      </c>
      <c r="F1759" s="5" t="s">
        <v>86</v>
      </c>
      <c r="G1759" s="5" t="s">
        <v>3177</v>
      </c>
      <c r="H1759" s="5"/>
      <c r="I1759" s="9" t="s">
        <v>3845</v>
      </c>
      <c r="J1759" s="5">
        <v>2026</v>
      </c>
      <c r="K1759" s="5">
        <v>2791</v>
      </c>
      <c r="L1759" s="9" t="s">
        <v>5192</v>
      </c>
      <c r="M1759" s="5">
        <v>8.9</v>
      </c>
      <c r="N1759" s="9" t="s">
        <v>5193</v>
      </c>
      <c r="O1759" s="9" t="str">
        <f t="shared" ref="O1759:O1766" si="176">HYPERLINK("https://seichotoushi-hojo.jp/assets/pdf/koufu/outline__207.pdf","PDFを開く")</f>
        <v>PDFを開く</v>
      </c>
      <c r="P1759" s="9" t="s">
        <v>1583</v>
      </c>
    </row>
    <row r="1760" spans="1:16" ht="33.950000000000003" customHeight="1">
      <c r="A1760" s="2" t="s">
        <v>1576</v>
      </c>
      <c r="B1760" s="2" t="s">
        <v>1386</v>
      </c>
      <c r="C1760" s="8" t="s">
        <v>1577</v>
      </c>
      <c r="D1760" s="2">
        <v>2</v>
      </c>
      <c r="E1760" s="8" t="s">
        <v>3176</v>
      </c>
      <c r="F1760" s="2" t="s">
        <v>86</v>
      </c>
      <c r="G1760" s="2" t="s">
        <v>3177</v>
      </c>
      <c r="H1760" s="2"/>
      <c r="I1760" s="8" t="s">
        <v>3848</v>
      </c>
      <c r="J1760" s="2">
        <v>2029</v>
      </c>
      <c r="K1760" s="2">
        <v>3609</v>
      </c>
      <c r="L1760" s="8" t="s">
        <v>5194</v>
      </c>
      <c r="M1760" s="2">
        <v>8.9</v>
      </c>
      <c r="N1760" s="8" t="s">
        <v>5193</v>
      </c>
      <c r="O1760" s="8" t="str">
        <f t="shared" si="176"/>
        <v>PDFを開く</v>
      </c>
      <c r="P1760" s="8" t="s">
        <v>1583</v>
      </c>
    </row>
    <row r="1761" spans="1:16" ht="33.950000000000003" customHeight="1">
      <c r="A1761" s="5" t="s">
        <v>1576</v>
      </c>
      <c r="B1761" s="5" t="s">
        <v>1386</v>
      </c>
      <c r="C1761" s="9" t="s">
        <v>1577</v>
      </c>
      <c r="D1761" s="5">
        <v>2</v>
      </c>
      <c r="E1761" s="9" t="s">
        <v>3184</v>
      </c>
      <c r="F1761" s="5" t="s">
        <v>86</v>
      </c>
      <c r="G1761" s="5" t="s">
        <v>3177</v>
      </c>
      <c r="H1761" s="5"/>
      <c r="I1761" s="9" t="s">
        <v>3845</v>
      </c>
      <c r="J1761" s="5">
        <v>2026</v>
      </c>
      <c r="K1761" s="5">
        <v>699</v>
      </c>
      <c r="L1761" s="9" t="s">
        <v>5195</v>
      </c>
      <c r="M1761" s="5">
        <v>3.2</v>
      </c>
      <c r="N1761" s="9" t="s">
        <v>5196</v>
      </c>
      <c r="O1761" s="9" t="str">
        <f t="shared" si="176"/>
        <v>PDFを開く</v>
      </c>
      <c r="P1761" s="9" t="s">
        <v>1583</v>
      </c>
    </row>
    <row r="1762" spans="1:16" ht="33.950000000000003" customHeight="1">
      <c r="A1762" s="2" t="s">
        <v>1576</v>
      </c>
      <c r="B1762" s="2" t="s">
        <v>1386</v>
      </c>
      <c r="C1762" s="8" t="s">
        <v>1577</v>
      </c>
      <c r="D1762" s="2">
        <v>2</v>
      </c>
      <c r="E1762" s="8" t="s">
        <v>3184</v>
      </c>
      <c r="F1762" s="2" t="s">
        <v>86</v>
      </c>
      <c r="G1762" s="2" t="s">
        <v>3177</v>
      </c>
      <c r="H1762" s="2"/>
      <c r="I1762" s="8" t="s">
        <v>3848</v>
      </c>
      <c r="J1762" s="2">
        <v>2029</v>
      </c>
      <c r="K1762" s="2">
        <v>767</v>
      </c>
      <c r="L1762" s="8" t="s">
        <v>4805</v>
      </c>
      <c r="M1762" s="2">
        <v>3.2</v>
      </c>
      <c r="N1762" s="8" t="s">
        <v>5196</v>
      </c>
      <c r="O1762" s="8" t="str">
        <f t="shared" si="176"/>
        <v>PDFを開く</v>
      </c>
      <c r="P1762" s="8" t="s">
        <v>1583</v>
      </c>
    </row>
    <row r="1763" spans="1:16" ht="33.950000000000003" customHeight="1">
      <c r="A1763" s="5" t="s">
        <v>1576</v>
      </c>
      <c r="B1763" s="5" t="s">
        <v>1386</v>
      </c>
      <c r="C1763" s="9" t="s">
        <v>1577</v>
      </c>
      <c r="D1763" s="5">
        <v>2</v>
      </c>
      <c r="E1763" s="9" t="s">
        <v>3188</v>
      </c>
      <c r="F1763" s="5" t="s">
        <v>86</v>
      </c>
      <c r="G1763" s="5" t="s">
        <v>3177</v>
      </c>
      <c r="H1763" s="5"/>
      <c r="I1763" s="9" t="s">
        <v>3845</v>
      </c>
      <c r="J1763" s="5">
        <v>2026</v>
      </c>
      <c r="K1763" s="5">
        <v>4662</v>
      </c>
      <c r="L1763" s="9" t="s">
        <v>5197</v>
      </c>
      <c r="M1763" s="5">
        <v>5</v>
      </c>
      <c r="N1763" s="9" t="s">
        <v>5198</v>
      </c>
      <c r="O1763" s="9" t="str">
        <f t="shared" si="176"/>
        <v>PDFを開く</v>
      </c>
      <c r="P1763" s="9" t="s">
        <v>1583</v>
      </c>
    </row>
    <row r="1764" spans="1:16" ht="33.950000000000003" customHeight="1">
      <c r="A1764" s="2" t="s">
        <v>1576</v>
      </c>
      <c r="B1764" s="2" t="s">
        <v>1386</v>
      </c>
      <c r="C1764" s="8" t="s">
        <v>1577</v>
      </c>
      <c r="D1764" s="2">
        <v>2</v>
      </c>
      <c r="E1764" s="8" t="s">
        <v>3188</v>
      </c>
      <c r="F1764" s="2" t="s">
        <v>86</v>
      </c>
      <c r="G1764" s="2" t="s">
        <v>3177</v>
      </c>
      <c r="H1764" s="2"/>
      <c r="I1764" s="8" t="s">
        <v>3848</v>
      </c>
      <c r="J1764" s="2">
        <v>2029</v>
      </c>
      <c r="K1764" s="2">
        <v>5397</v>
      </c>
      <c r="L1764" s="8" t="s">
        <v>5199</v>
      </c>
      <c r="M1764" s="2">
        <v>5</v>
      </c>
      <c r="N1764" s="8" t="s">
        <v>5198</v>
      </c>
      <c r="O1764" s="8" t="str">
        <f t="shared" si="176"/>
        <v>PDFを開く</v>
      </c>
      <c r="P1764" s="8" t="s">
        <v>1583</v>
      </c>
    </row>
    <row r="1765" spans="1:16" ht="33.950000000000003" customHeight="1">
      <c r="A1765" s="5" t="s">
        <v>1576</v>
      </c>
      <c r="B1765" s="5" t="s">
        <v>1386</v>
      </c>
      <c r="C1765" s="9" t="s">
        <v>1577</v>
      </c>
      <c r="D1765" s="5">
        <v>2</v>
      </c>
      <c r="E1765" s="9" t="s">
        <v>3191</v>
      </c>
      <c r="F1765" s="5" t="s">
        <v>2513</v>
      </c>
      <c r="G1765" s="5" t="s">
        <v>3177</v>
      </c>
      <c r="H1765" s="5"/>
      <c r="I1765" s="9" t="s">
        <v>3845</v>
      </c>
      <c r="J1765" s="5">
        <v>2026</v>
      </c>
      <c r="K1765" s="5">
        <v>180</v>
      </c>
      <c r="L1765" s="9" t="s">
        <v>5088</v>
      </c>
      <c r="M1765" s="5"/>
      <c r="N1765" s="9" t="s">
        <v>5200</v>
      </c>
      <c r="O1765" s="9" t="str">
        <f t="shared" si="176"/>
        <v>PDFを開く</v>
      </c>
      <c r="P1765" s="9" t="s">
        <v>1583</v>
      </c>
    </row>
    <row r="1766" spans="1:16" ht="33.950000000000003" customHeight="1">
      <c r="A1766" s="2" t="s">
        <v>1576</v>
      </c>
      <c r="B1766" s="2" t="s">
        <v>1386</v>
      </c>
      <c r="C1766" s="8" t="s">
        <v>1577</v>
      </c>
      <c r="D1766" s="2">
        <v>2</v>
      </c>
      <c r="E1766" s="8" t="s">
        <v>3191</v>
      </c>
      <c r="F1766" s="2" t="s">
        <v>2513</v>
      </c>
      <c r="G1766" s="2" t="s">
        <v>3177</v>
      </c>
      <c r="H1766" s="2"/>
      <c r="I1766" s="8" t="s">
        <v>3848</v>
      </c>
      <c r="J1766" s="2">
        <v>2029</v>
      </c>
      <c r="K1766" s="2">
        <v>240</v>
      </c>
      <c r="L1766" s="8" t="s">
        <v>3527</v>
      </c>
      <c r="M1766" s="2"/>
      <c r="N1766" s="8" t="s">
        <v>5200</v>
      </c>
      <c r="O1766" s="8" t="str">
        <f t="shared" si="176"/>
        <v>PDFを開く</v>
      </c>
      <c r="P1766" s="8" t="s">
        <v>1583</v>
      </c>
    </row>
    <row r="1767" spans="1:16" ht="33.950000000000003" customHeight="1">
      <c r="A1767" s="5" t="s">
        <v>1584</v>
      </c>
      <c r="B1767" s="5" t="s">
        <v>1386</v>
      </c>
      <c r="C1767" s="9" t="s">
        <v>1585</v>
      </c>
      <c r="D1767" s="5">
        <v>2</v>
      </c>
      <c r="E1767" s="9" t="s">
        <v>3176</v>
      </c>
      <c r="F1767" s="5" t="s">
        <v>447</v>
      </c>
      <c r="G1767" s="19" t="s">
        <v>3494</v>
      </c>
      <c r="H1767" s="5" t="s">
        <v>3178</v>
      </c>
      <c r="I1767" s="9" t="s">
        <v>3179</v>
      </c>
      <c r="J1767" s="5">
        <v>2026</v>
      </c>
      <c r="K1767" s="5">
        <v>16835</v>
      </c>
      <c r="L1767" s="9" t="s">
        <v>5201</v>
      </c>
      <c r="M1767" s="5">
        <v>24.9</v>
      </c>
      <c r="N1767" s="9" t="s">
        <v>5202</v>
      </c>
      <c r="O1767" s="9" t="str">
        <f t="shared" ref="O1767:O1791" si="177">HYPERLINK("https://seichotoushi-hojo.jp/assets/pdf/koufu/outline__208.pdf","PDFを開く")</f>
        <v>PDFを開く</v>
      </c>
      <c r="P1767" s="9" t="s">
        <v>1593</v>
      </c>
    </row>
    <row r="1768" spans="1:16" ht="33.950000000000003" customHeight="1">
      <c r="A1768" s="2" t="s">
        <v>1584</v>
      </c>
      <c r="B1768" s="2" t="s">
        <v>1386</v>
      </c>
      <c r="C1768" s="8" t="s">
        <v>1585</v>
      </c>
      <c r="D1768" s="2">
        <v>2</v>
      </c>
      <c r="E1768" s="8" t="s">
        <v>3176</v>
      </c>
      <c r="F1768" s="2" t="s">
        <v>447</v>
      </c>
      <c r="G1768" s="19" t="s">
        <v>3494</v>
      </c>
      <c r="H1768" s="2" t="s">
        <v>3178</v>
      </c>
      <c r="I1768" s="8" t="s">
        <v>3182</v>
      </c>
      <c r="J1768" s="2">
        <v>2029</v>
      </c>
      <c r="K1768" s="2">
        <v>32798</v>
      </c>
      <c r="L1768" s="8" t="s">
        <v>5203</v>
      </c>
      <c r="M1768" s="2">
        <v>24.9</v>
      </c>
      <c r="N1768" s="8" t="s">
        <v>5202</v>
      </c>
      <c r="O1768" s="8" t="str">
        <f t="shared" si="177"/>
        <v>PDFを開く</v>
      </c>
      <c r="P1768" s="8" t="s">
        <v>1593</v>
      </c>
    </row>
    <row r="1769" spans="1:16" ht="33.950000000000003" customHeight="1">
      <c r="A1769" s="5" t="s">
        <v>1584</v>
      </c>
      <c r="B1769" s="5" t="s">
        <v>1386</v>
      </c>
      <c r="C1769" s="9" t="s">
        <v>1585</v>
      </c>
      <c r="D1769" s="5">
        <v>2</v>
      </c>
      <c r="E1769" s="9" t="s">
        <v>3176</v>
      </c>
      <c r="F1769" s="5" t="s">
        <v>447</v>
      </c>
      <c r="G1769" s="19" t="s">
        <v>3494</v>
      </c>
      <c r="H1769" s="5" t="s">
        <v>3178</v>
      </c>
      <c r="I1769" s="9" t="s">
        <v>3179</v>
      </c>
      <c r="J1769" s="5">
        <v>2026</v>
      </c>
      <c r="K1769" s="5">
        <v>14674</v>
      </c>
      <c r="L1769" s="9" t="s">
        <v>5204</v>
      </c>
      <c r="M1769" s="5">
        <v>24.9</v>
      </c>
      <c r="N1769" s="9" t="s">
        <v>5202</v>
      </c>
      <c r="O1769" s="9" t="str">
        <f t="shared" si="177"/>
        <v>PDFを開く</v>
      </c>
      <c r="P1769" s="9" t="s">
        <v>1593</v>
      </c>
    </row>
    <row r="1770" spans="1:16" ht="33.950000000000003" customHeight="1">
      <c r="A1770" s="2" t="s">
        <v>1584</v>
      </c>
      <c r="B1770" s="2" t="s">
        <v>1386</v>
      </c>
      <c r="C1770" s="8" t="s">
        <v>1585</v>
      </c>
      <c r="D1770" s="2">
        <v>2</v>
      </c>
      <c r="E1770" s="8" t="s">
        <v>3176</v>
      </c>
      <c r="F1770" s="2" t="s">
        <v>447</v>
      </c>
      <c r="G1770" s="19" t="s">
        <v>3494</v>
      </c>
      <c r="H1770" s="2" t="s">
        <v>3178</v>
      </c>
      <c r="I1770" s="8" t="s">
        <v>3182</v>
      </c>
      <c r="J1770" s="2">
        <v>2029</v>
      </c>
      <c r="K1770" s="2">
        <v>31.553000000000001</v>
      </c>
      <c r="L1770" s="8" t="s">
        <v>5205</v>
      </c>
      <c r="M1770" s="2">
        <v>24.9</v>
      </c>
      <c r="N1770" s="8" t="s">
        <v>5202</v>
      </c>
      <c r="O1770" s="8" t="str">
        <f t="shared" si="177"/>
        <v>PDFを開く</v>
      </c>
      <c r="P1770" s="8" t="s">
        <v>1593</v>
      </c>
    </row>
    <row r="1771" spans="1:16" ht="33.950000000000003" customHeight="1">
      <c r="A1771" s="5" t="s">
        <v>1584</v>
      </c>
      <c r="B1771" s="5" t="s">
        <v>1386</v>
      </c>
      <c r="C1771" s="9" t="s">
        <v>1585</v>
      </c>
      <c r="D1771" s="5">
        <v>2</v>
      </c>
      <c r="E1771" s="9" t="s">
        <v>3176</v>
      </c>
      <c r="F1771" s="5" t="s">
        <v>447</v>
      </c>
      <c r="G1771" s="19" t="s">
        <v>3494</v>
      </c>
      <c r="H1771" s="5" t="s">
        <v>3178</v>
      </c>
      <c r="I1771" s="9" t="s">
        <v>3179</v>
      </c>
      <c r="J1771" s="5">
        <v>2026</v>
      </c>
      <c r="K1771" s="5">
        <v>10210</v>
      </c>
      <c r="L1771" s="9" t="s">
        <v>5206</v>
      </c>
      <c r="M1771" s="5">
        <v>24.9</v>
      </c>
      <c r="N1771" s="9" t="s">
        <v>5202</v>
      </c>
      <c r="O1771" s="9" t="str">
        <f t="shared" si="177"/>
        <v>PDFを開く</v>
      </c>
      <c r="P1771" s="9" t="s">
        <v>1593</v>
      </c>
    </row>
    <row r="1772" spans="1:16" ht="33.950000000000003" customHeight="1">
      <c r="A1772" s="2" t="s">
        <v>1584</v>
      </c>
      <c r="B1772" s="2" t="s">
        <v>1386</v>
      </c>
      <c r="C1772" s="8" t="s">
        <v>1585</v>
      </c>
      <c r="D1772" s="2">
        <v>2</v>
      </c>
      <c r="E1772" s="8" t="s">
        <v>3176</v>
      </c>
      <c r="F1772" s="2" t="s">
        <v>447</v>
      </c>
      <c r="G1772" s="19" t="s">
        <v>3494</v>
      </c>
      <c r="H1772" s="2" t="s">
        <v>3178</v>
      </c>
      <c r="I1772" s="8" t="s">
        <v>3182</v>
      </c>
      <c r="J1772" s="2">
        <v>2029</v>
      </c>
      <c r="K1772" s="2">
        <v>18009</v>
      </c>
      <c r="L1772" s="8" t="s">
        <v>5207</v>
      </c>
      <c r="M1772" s="2">
        <v>24.9</v>
      </c>
      <c r="N1772" s="8" t="s">
        <v>5202</v>
      </c>
      <c r="O1772" s="8" t="str">
        <f t="shared" si="177"/>
        <v>PDFを開く</v>
      </c>
      <c r="P1772" s="8" t="s">
        <v>1593</v>
      </c>
    </row>
    <row r="1773" spans="1:16" ht="33.950000000000003" customHeight="1">
      <c r="A1773" s="5" t="s">
        <v>1584</v>
      </c>
      <c r="B1773" s="5" t="s">
        <v>1386</v>
      </c>
      <c r="C1773" s="9" t="s">
        <v>1585</v>
      </c>
      <c r="D1773" s="5">
        <v>2</v>
      </c>
      <c r="E1773" s="9" t="s">
        <v>3184</v>
      </c>
      <c r="F1773" s="5" t="s">
        <v>447</v>
      </c>
      <c r="G1773" s="19" t="s">
        <v>3494</v>
      </c>
      <c r="H1773" s="5" t="s">
        <v>3178</v>
      </c>
      <c r="I1773" s="9" t="s">
        <v>3179</v>
      </c>
      <c r="J1773" s="5">
        <v>2026</v>
      </c>
      <c r="K1773" s="5">
        <v>7097</v>
      </c>
      <c r="L1773" s="9" t="s">
        <v>5208</v>
      </c>
      <c r="M1773" s="5">
        <v>5</v>
      </c>
      <c r="N1773" s="9" t="s">
        <v>5209</v>
      </c>
      <c r="O1773" s="9" t="str">
        <f t="shared" si="177"/>
        <v>PDFを開く</v>
      </c>
      <c r="P1773" s="9" t="s">
        <v>1593</v>
      </c>
    </row>
    <row r="1774" spans="1:16" ht="33.950000000000003" customHeight="1">
      <c r="A1774" s="2" t="s">
        <v>1584</v>
      </c>
      <c r="B1774" s="2" t="s">
        <v>1386</v>
      </c>
      <c r="C1774" s="8" t="s">
        <v>1585</v>
      </c>
      <c r="D1774" s="2">
        <v>2</v>
      </c>
      <c r="E1774" s="8" t="s">
        <v>3184</v>
      </c>
      <c r="F1774" s="2" t="s">
        <v>447</v>
      </c>
      <c r="G1774" s="19" t="s">
        <v>3494</v>
      </c>
      <c r="H1774" s="2" t="s">
        <v>3178</v>
      </c>
      <c r="I1774" s="8" t="s">
        <v>3182</v>
      </c>
      <c r="J1774" s="2">
        <v>2029</v>
      </c>
      <c r="K1774" s="2">
        <v>8215</v>
      </c>
      <c r="L1774" s="8" t="s">
        <v>5210</v>
      </c>
      <c r="M1774" s="2">
        <v>5</v>
      </c>
      <c r="N1774" s="8" t="s">
        <v>5209</v>
      </c>
      <c r="O1774" s="8" t="str">
        <f t="shared" si="177"/>
        <v>PDFを開く</v>
      </c>
      <c r="P1774" s="8" t="s">
        <v>1593</v>
      </c>
    </row>
    <row r="1775" spans="1:16" ht="33.950000000000003" customHeight="1">
      <c r="A1775" s="5" t="s">
        <v>1584</v>
      </c>
      <c r="B1775" s="5" t="s">
        <v>1386</v>
      </c>
      <c r="C1775" s="9" t="s">
        <v>1585</v>
      </c>
      <c r="D1775" s="5">
        <v>2</v>
      </c>
      <c r="E1775" s="9" t="s">
        <v>3184</v>
      </c>
      <c r="F1775" s="5" t="s">
        <v>447</v>
      </c>
      <c r="G1775" s="19" t="s">
        <v>3494</v>
      </c>
      <c r="H1775" s="5" t="s">
        <v>3178</v>
      </c>
      <c r="I1775" s="9" t="s">
        <v>3179</v>
      </c>
      <c r="J1775" s="5">
        <v>2026</v>
      </c>
      <c r="K1775" s="5">
        <v>5473</v>
      </c>
      <c r="L1775" s="9" t="s">
        <v>5211</v>
      </c>
      <c r="M1775" s="5">
        <v>5</v>
      </c>
      <c r="N1775" s="9" t="s">
        <v>5209</v>
      </c>
      <c r="O1775" s="9" t="str">
        <f t="shared" si="177"/>
        <v>PDFを開く</v>
      </c>
      <c r="P1775" s="9" t="s">
        <v>1593</v>
      </c>
    </row>
    <row r="1776" spans="1:16" ht="33.950000000000003" customHeight="1">
      <c r="A1776" s="2" t="s">
        <v>1584</v>
      </c>
      <c r="B1776" s="2" t="s">
        <v>1386</v>
      </c>
      <c r="C1776" s="8" t="s">
        <v>1585</v>
      </c>
      <c r="D1776" s="2">
        <v>2</v>
      </c>
      <c r="E1776" s="8" t="s">
        <v>3184</v>
      </c>
      <c r="F1776" s="2" t="s">
        <v>447</v>
      </c>
      <c r="G1776" s="19" t="s">
        <v>3494</v>
      </c>
      <c r="H1776" s="2" t="s">
        <v>3178</v>
      </c>
      <c r="I1776" s="8" t="s">
        <v>3182</v>
      </c>
      <c r="J1776" s="2">
        <v>2029</v>
      </c>
      <c r="K1776" s="2">
        <v>6335</v>
      </c>
      <c r="L1776" s="8" t="s">
        <v>5212</v>
      </c>
      <c r="M1776" s="2">
        <v>5</v>
      </c>
      <c r="N1776" s="8" t="s">
        <v>5209</v>
      </c>
      <c r="O1776" s="8" t="str">
        <f t="shared" si="177"/>
        <v>PDFを開く</v>
      </c>
      <c r="P1776" s="8" t="s">
        <v>1593</v>
      </c>
    </row>
    <row r="1777" spans="1:16" ht="33.950000000000003" customHeight="1">
      <c r="A1777" s="5" t="s">
        <v>1584</v>
      </c>
      <c r="B1777" s="5" t="s">
        <v>1386</v>
      </c>
      <c r="C1777" s="9" t="s">
        <v>1585</v>
      </c>
      <c r="D1777" s="5">
        <v>2</v>
      </c>
      <c r="E1777" s="9" t="s">
        <v>3184</v>
      </c>
      <c r="F1777" s="5" t="s">
        <v>447</v>
      </c>
      <c r="G1777" s="19" t="s">
        <v>3494</v>
      </c>
      <c r="H1777" s="5" t="s">
        <v>3178</v>
      </c>
      <c r="I1777" s="9" t="s">
        <v>3179</v>
      </c>
      <c r="J1777" s="5">
        <v>2026</v>
      </c>
      <c r="K1777" s="5">
        <v>5174</v>
      </c>
      <c r="L1777" s="9" t="s">
        <v>5213</v>
      </c>
      <c r="M1777" s="5">
        <v>5</v>
      </c>
      <c r="N1777" s="9" t="s">
        <v>5209</v>
      </c>
      <c r="O1777" s="9" t="str">
        <f t="shared" si="177"/>
        <v>PDFを開く</v>
      </c>
      <c r="P1777" s="9" t="s">
        <v>1593</v>
      </c>
    </row>
    <row r="1778" spans="1:16" ht="33.950000000000003" customHeight="1">
      <c r="A1778" s="2" t="s">
        <v>1584</v>
      </c>
      <c r="B1778" s="2" t="s">
        <v>1386</v>
      </c>
      <c r="C1778" s="8" t="s">
        <v>1585</v>
      </c>
      <c r="D1778" s="2">
        <v>2</v>
      </c>
      <c r="E1778" s="8" t="s">
        <v>3184</v>
      </c>
      <c r="F1778" s="2" t="s">
        <v>447</v>
      </c>
      <c r="G1778" s="19" t="s">
        <v>3494</v>
      </c>
      <c r="H1778" s="2" t="s">
        <v>3178</v>
      </c>
      <c r="I1778" s="8" t="s">
        <v>3182</v>
      </c>
      <c r="J1778" s="2">
        <v>2029</v>
      </c>
      <c r="K1778" s="2">
        <v>5990</v>
      </c>
      <c r="L1778" s="8" t="s">
        <v>5214</v>
      </c>
      <c r="M1778" s="2">
        <v>5</v>
      </c>
      <c r="N1778" s="8" t="s">
        <v>5209</v>
      </c>
      <c r="O1778" s="8" t="str">
        <f t="shared" si="177"/>
        <v>PDFを開く</v>
      </c>
      <c r="P1778" s="8" t="s">
        <v>1593</v>
      </c>
    </row>
    <row r="1779" spans="1:16" ht="33.950000000000003" customHeight="1">
      <c r="A1779" s="5" t="s">
        <v>1584</v>
      </c>
      <c r="B1779" s="5" t="s">
        <v>1386</v>
      </c>
      <c r="C1779" s="9" t="s">
        <v>1585</v>
      </c>
      <c r="D1779" s="5">
        <v>2</v>
      </c>
      <c r="E1779" s="9" t="s">
        <v>3188</v>
      </c>
      <c r="F1779" s="5" t="s">
        <v>447</v>
      </c>
      <c r="G1779" s="19" t="s">
        <v>3494</v>
      </c>
      <c r="H1779" s="5" t="s">
        <v>3178</v>
      </c>
      <c r="I1779" s="9"/>
      <c r="J1779" s="5"/>
      <c r="K1779" s="5"/>
      <c r="L1779" s="9"/>
      <c r="M1779" s="5">
        <v>2.5</v>
      </c>
      <c r="N1779" s="9" t="s">
        <v>5215</v>
      </c>
      <c r="O1779" s="9" t="str">
        <f t="shared" si="177"/>
        <v>PDFを開く</v>
      </c>
      <c r="P1779" s="9" t="s">
        <v>1593</v>
      </c>
    </row>
    <row r="1780" spans="1:16" ht="33.950000000000003" customHeight="1">
      <c r="A1780" s="2" t="s">
        <v>1584</v>
      </c>
      <c r="B1780" s="2" t="s">
        <v>1386</v>
      </c>
      <c r="C1780" s="8" t="s">
        <v>1585</v>
      </c>
      <c r="D1780" s="2">
        <v>2</v>
      </c>
      <c r="E1780" s="8" t="s">
        <v>3191</v>
      </c>
      <c r="F1780" s="2" t="s">
        <v>2513</v>
      </c>
      <c r="G1780" s="19" t="s">
        <v>3494</v>
      </c>
      <c r="H1780" s="2" t="s">
        <v>3178</v>
      </c>
      <c r="I1780" s="8" t="s">
        <v>3179</v>
      </c>
      <c r="J1780" s="2">
        <v>2026</v>
      </c>
      <c r="K1780" s="2">
        <v>736</v>
      </c>
      <c r="L1780" s="8" t="s">
        <v>5080</v>
      </c>
      <c r="M1780" s="2"/>
      <c r="N1780" s="8" t="s">
        <v>5216</v>
      </c>
      <c r="O1780" s="8" t="str">
        <f t="shared" si="177"/>
        <v>PDFを開く</v>
      </c>
      <c r="P1780" s="8" t="s">
        <v>1593</v>
      </c>
    </row>
    <row r="1781" spans="1:16" ht="33.950000000000003" customHeight="1">
      <c r="A1781" s="5" t="s">
        <v>1584</v>
      </c>
      <c r="B1781" s="5" t="s">
        <v>1386</v>
      </c>
      <c r="C1781" s="9" t="s">
        <v>1585</v>
      </c>
      <c r="D1781" s="5">
        <v>2</v>
      </c>
      <c r="E1781" s="9" t="s">
        <v>3191</v>
      </c>
      <c r="F1781" s="5" t="s">
        <v>2513</v>
      </c>
      <c r="G1781" s="19" t="s">
        <v>3494</v>
      </c>
      <c r="H1781" s="5" t="s">
        <v>3178</v>
      </c>
      <c r="I1781" s="9" t="s">
        <v>3182</v>
      </c>
      <c r="J1781" s="5">
        <v>2029</v>
      </c>
      <c r="K1781" s="5">
        <v>736</v>
      </c>
      <c r="L1781" s="9" t="s">
        <v>5080</v>
      </c>
      <c r="M1781" s="5"/>
      <c r="N1781" s="9" t="s">
        <v>5216</v>
      </c>
      <c r="O1781" s="9" t="str">
        <f t="shared" si="177"/>
        <v>PDFを開く</v>
      </c>
      <c r="P1781" s="9" t="s">
        <v>1593</v>
      </c>
    </row>
    <row r="1782" spans="1:16" ht="33.950000000000003" customHeight="1">
      <c r="A1782" s="2" t="s">
        <v>1584</v>
      </c>
      <c r="B1782" s="2" t="s">
        <v>1386</v>
      </c>
      <c r="C1782" s="8" t="s">
        <v>1585</v>
      </c>
      <c r="D1782" s="2">
        <v>2</v>
      </c>
      <c r="E1782" s="8" t="s">
        <v>3191</v>
      </c>
      <c r="F1782" s="2" t="s">
        <v>2513</v>
      </c>
      <c r="G1782" s="19" t="s">
        <v>3494</v>
      </c>
      <c r="H1782" s="2" t="s">
        <v>3178</v>
      </c>
      <c r="I1782" s="8" t="s">
        <v>3179</v>
      </c>
      <c r="J1782" s="2">
        <v>2026</v>
      </c>
      <c r="K1782" s="2">
        <v>182</v>
      </c>
      <c r="L1782" s="8" t="s">
        <v>4420</v>
      </c>
      <c r="M1782" s="2"/>
      <c r="N1782" s="8" t="s">
        <v>5216</v>
      </c>
      <c r="O1782" s="8" t="str">
        <f t="shared" si="177"/>
        <v>PDFを開く</v>
      </c>
      <c r="P1782" s="8" t="s">
        <v>1593</v>
      </c>
    </row>
    <row r="1783" spans="1:16" ht="33.950000000000003" customHeight="1">
      <c r="A1783" s="5" t="s">
        <v>1584</v>
      </c>
      <c r="B1783" s="5" t="s">
        <v>1386</v>
      </c>
      <c r="C1783" s="9" t="s">
        <v>1585</v>
      </c>
      <c r="D1783" s="5">
        <v>2</v>
      </c>
      <c r="E1783" s="9" t="s">
        <v>3191</v>
      </c>
      <c r="F1783" s="5" t="s">
        <v>2513</v>
      </c>
      <c r="G1783" s="19" t="s">
        <v>3494</v>
      </c>
      <c r="H1783" s="5" t="s">
        <v>3178</v>
      </c>
      <c r="I1783" s="9" t="s">
        <v>3182</v>
      </c>
      <c r="J1783" s="5">
        <v>2029</v>
      </c>
      <c r="K1783" s="5">
        <v>182</v>
      </c>
      <c r="L1783" s="9" t="s">
        <v>4420</v>
      </c>
      <c r="M1783" s="5"/>
      <c r="N1783" s="9" t="s">
        <v>5216</v>
      </c>
      <c r="O1783" s="9" t="str">
        <f t="shared" si="177"/>
        <v>PDFを開く</v>
      </c>
      <c r="P1783" s="9" t="s">
        <v>1593</v>
      </c>
    </row>
    <row r="1784" spans="1:16" ht="33.950000000000003" customHeight="1">
      <c r="A1784" s="2" t="s">
        <v>1584</v>
      </c>
      <c r="B1784" s="2" t="s">
        <v>1386</v>
      </c>
      <c r="C1784" s="8" t="s">
        <v>1585</v>
      </c>
      <c r="D1784" s="2">
        <v>2</v>
      </c>
      <c r="E1784" s="8" t="s">
        <v>3191</v>
      </c>
      <c r="F1784" s="2" t="s">
        <v>2513</v>
      </c>
      <c r="G1784" s="19" t="s">
        <v>3494</v>
      </c>
      <c r="H1784" s="2" t="s">
        <v>3178</v>
      </c>
      <c r="I1784" s="8" t="s">
        <v>3179</v>
      </c>
      <c r="J1784" s="2">
        <v>2026</v>
      </c>
      <c r="K1784" s="2">
        <v>316</v>
      </c>
      <c r="L1784" s="8" t="s">
        <v>3880</v>
      </c>
      <c r="M1784" s="2"/>
      <c r="N1784" s="8" t="s">
        <v>5216</v>
      </c>
      <c r="O1784" s="8" t="str">
        <f t="shared" si="177"/>
        <v>PDFを開く</v>
      </c>
      <c r="P1784" s="8" t="s">
        <v>1593</v>
      </c>
    </row>
    <row r="1785" spans="1:16" ht="33.950000000000003" customHeight="1">
      <c r="A1785" s="5" t="s">
        <v>1584</v>
      </c>
      <c r="B1785" s="5" t="s">
        <v>1386</v>
      </c>
      <c r="C1785" s="9" t="s">
        <v>1585</v>
      </c>
      <c r="D1785" s="5">
        <v>2</v>
      </c>
      <c r="E1785" s="9" t="s">
        <v>3191</v>
      </c>
      <c r="F1785" s="5" t="s">
        <v>2513</v>
      </c>
      <c r="G1785" s="19" t="s">
        <v>3494</v>
      </c>
      <c r="H1785" s="5" t="s">
        <v>3178</v>
      </c>
      <c r="I1785" s="9" t="s">
        <v>3182</v>
      </c>
      <c r="J1785" s="5">
        <v>2029</v>
      </c>
      <c r="K1785" s="5">
        <v>316</v>
      </c>
      <c r="L1785" s="9" t="s">
        <v>3880</v>
      </c>
      <c r="M1785" s="5"/>
      <c r="N1785" s="9" t="s">
        <v>5216</v>
      </c>
      <c r="O1785" s="9" t="str">
        <f t="shared" si="177"/>
        <v>PDFを開く</v>
      </c>
      <c r="P1785" s="9" t="s">
        <v>1593</v>
      </c>
    </row>
    <row r="1786" spans="1:16" ht="33.950000000000003" customHeight="1">
      <c r="A1786" s="2" t="s">
        <v>1584</v>
      </c>
      <c r="B1786" s="2" t="s">
        <v>1386</v>
      </c>
      <c r="C1786" s="8" t="s">
        <v>1585</v>
      </c>
      <c r="D1786" s="2">
        <v>2</v>
      </c>
      <c r="E1786" s="8" t="s">
        <v>3176</v>
      </c>
      <c r="F1786" s="2" t="s">
        <v>447</v>
      </c>
      <c r="G1786" s="2" t="s">
        <v>3177</v>
      </c>
      <c r="H1786" s="2" t="s">
        <v>3178</v>
      </c>
      <c r="I1786" s="8" t="s">
        <v>3179</v>
      </c>
      <c r="J1786" s="2">
        <v>2026</v>
      </c>
      <c r="K1786" s="2">
        <v>16835</v>
      </c>
      <c r="L1786" s="8" t="s">
        <v>5201</v>
      </c>
      <c r="M1786" s="2">
        <v>24.9</v>
      </c>
      <c r="N1786" s="8" t="s">
        <v>5202</v>
      </c>
      <c r="O1786" s="8" t="str">
        <f t="shared" si="177"/>
        <v>PDFを開く</v>
      </c>
      <c r="P1786" s="8" t="s">
        <v>1593</v>
      </c>
    </row>
    <row r="1787" spans="1:16" ht="33.950000000000003" customHeight="1">
      <c r="A1787" s="5" t="s">
        <v>1584</v>
      </c>
      <c r="B1787" s="5" t="s">
        <v>1386</v>
      </c>
      <c r="C1787" s="9" t="s">
        <v>1585</v>
      </c>
      <c r="D1787" s="5">
        <v>2</v>
      </c>
      <c r="E1787" s="9" t="s">
        <v>3176</v>
      </c>
      <c r="F1787" s="5" t="s">
        <v>447</v>
      </c>
      <c r="G1787" s="5" t="s">
        <v>3177</v>
      </c>
      <c r="H1787" s="5" t="s">
        <v>3178</v>
      </c>
      <c r="I1787" s="9" t="s">
        <v>3182</v>
      </c>
      <c r="J1787" s="5">
        <v>2029</v>
      </c>
      <c r="K1787" s="5">
        <v>32798</v>
      </c>
      <c r="L1787" s="9" t="s">
        <v>5203</v>
      </c>
      <c r="M1787" s="5">
        <v>24.9</v>
      </c>
      <c r="N1787" s="9" t="s">
        <v>5202</v>
      </c>
      <c r="O1787" s="9" t="str">
        <f t="shared" si="177"/>
        <v>PDFを開く</v>
      </c>
      <c r="P1787" s="9" t="s">
        <v>1593</v>
      </c>
    </row>
    <row r="1788" spans="1:16" ht="33.950000000000003" customHeight="1">
      <c r="A1788" s="2" t="s">
        <v>1584</v>
      </c>
      <c r="B1788" s="2" t="s">
        <v>1386</v>
      </c>
      <c r="C1788" s="8" t="s">
        <v>1585</v>
      </c>
      <c r="D1788" s="2">
        <v>2</v>
      </c>
      <c r="E1788" s="8" t="s">
        <v>3191</v>
      </c>
      <c r="F1788" s="2" t="s">
        <v>2513</v>
      </c>
      <c r="G1788" s="2" t="s">
        <v>3177</v>
      </c>
      <c r="H1788" s="2" t="s">
        <v>3178</v>
      </c>
      <c r="I1788" s="8" t="s">
        <v>3179</v>
      </c>
      <c r="J1788" s="2">
        <v>2026</v>
      </c>
      <c r="K1788" s="2">
        <v>736</v>
      </c>
      <c r="L1788" s="8" t="s">
        <v>5080</v>
      </c>
      <c r="M1788" s="2"/>
      <c r="N1788" s="8" t="s">
        <v>5216</v>
      </c>
      <c r="O1788" s="8" t="str">
        <f t="shared" si="177"/>
        <v>PDFを開く</v>
      </c>
      <c r="P1788" s="8" t="s">
        <v>1593</v>
      </c>
    </row>
    <row r="1789" spans="1:16" ht="33.950000000000003" customHeight="1">
      <c r="A1789" s="5" t="s">
        <v>1584</v>
      </c>
      <c r="B1789" s="5" t="s">
        <v>1386</v>
      </c>
      <c r="C1789" s="9" t="s">
        <v>1585</v>
      </c>
      <c r="D1789" s="5">
        <v>2</v>
      </c>
      <c r="E1789" s="9" t="s">
        <v>3191</v>
      </c>
      <c r="F1789" s="5" t="s">
        <v>2513</v>
      </c>
      <c r="G1789" s="5" t="s">
        <v>3177</v>
      </c>
      <c r="H1789" s="5" t="s">
        <v>3178</v>
      </c>
      <c r="I1789" s="9" t="s">
        <v>3182</v>
      </c>
      <c r="J1789" s="5">
        <v>2029</v>
      </c>
      <c r="K1789" s="5">
        <v>736</v>
      </c>
      <c r="L1789" s="9" t="s">
        <v>5080</v>
      </c>
      <c r="M1789" s="5"/>
      <c r="N1789" s="9" t="s">
        <v>5216</v>
      </c>
      <c r="O1789" s="9" t="str">
        <f t="shared" si="177"/>
        <v>PDFを開く</v>
      </c>
      <c r="P1789" s="9" t="s">
        <v>1593</v>
      </c>
    </row>
    <row r="1790" spans="1:16" ht="33.950000000000003" customHeight="1">
      <c r="A1790" s="2" t="s">
        <v>1584</v>
      </c>
      <c r="B1790" s="2" t="s">
        <v>1386</v>
      </c>
      <c r="C1790" s="8" t="s">
        <v>1585</v>
      </c>
      <c r="D1790" s="2">
        <v>2</v>
      </c>
      <c r="E1790" s="8" t="s">
        <v>3184</v>
      </c>
      <c r="F1790" s="2" t="s">
        <v>447</v>
      </c>
      <c r="G1790" s="2" t="s">
        <v>3177</v>
      </c>
      <c r="H1790" s="2" t="s">
        <v>3178</v>
      </c>
      <c r="I1790" s="8" t="s">
        <v>3179</v>
      </c>
      <c r="J1790" s="2">
        <v>2026</v>
      </c>
      <c r="K1790" s="2">
        <v>7097</v>
      </c>
      <c r="L1790" s="8" t="s">
        <v>5208</v>
      </c>
      <c r="M1790" s="2">
        <v>5</v>
      </c>
      <c r="N1790" s="8" t="s">
        <v>5209</v>
      </c>
      <c r="O1790" s="8" t="str">
        <f t="shared" si="177"/>
        <v>PDFを開く</v>
      </c>
      <c r="P1790" s="8" t="s">
        <v>1593</v>
      </c>
    </row>
    <row r="1791" spans="1:16" ht="33.950000000000003" customHeight="1">
      <c r="A1791" s="5" t="s">
        <v>1584</v>
      </c>
      <c r="B1791" s="5" t="s">
        <v>1386</v>
      </c>
      <c r="C1791" s="9" t="s">
        <v>1585</v>
      </c>
      <c r="D1791" s="5">
        <v>2</v>
      </c>
      <c r="E1791" s="9" t="s">
        <v>3184</v>
      </c>
      <c r="F1791" s="5" t="s">
        <v>447</v>
      </c>
      <c r="G1791" s="5" t="s">
        <v>3177</v>
      </c>
      <c r="H1791" s="5" t="s">
        <v>3178</v>
      </c>
      <c r="I1791" s="9" t="s">
        <v>3182</v>
      </c>
      <c r="J1791" s="5">
        <v>2029</v>
      </c>
      <c r="K1791" s="5">
        <v>8215</v>
      </c>
      <c r="L1791" s="9" t="s">
        <v>5210</v>
      </c>
      <c r="M1791" s="5">
        <v>5</v>
      </c>
      <c r="N1791" s="9" t="s">
        <v>5209</v>
      </c>
      <c r="O1791" s="9" t="str">
        <f t="shared" si="177"/>
        <v>PDFを開く</v>
      </c>
      <c r="P1791" s="9" t="s">
        <v>1593</v>
      </c>
    </row>
    <row r="1792" spans="1:16" ht="33.950000000000003" customHeight="1">
      <c r="A1792" s="2" t="s">
        <v>1594</v>
      </c>
      <c r="B1792" s="2" t="s">
        <v>1595</v>
      </c>
      <c r="C1792" s="8" t="s">
        <v>1596</v>
      </c>
      <c r="D1792" s="2">
        <v>2</v>
      </c>
      <c r="E1792" s="8" t="s">
        <v>3176</v>
      </c>
      <c r="F1792" s="2" t="s">
        <v>86</v>
      </c>
      <c r="G1792" s="2" t="s">
        <v>3177</v>
      </c>
      <c r="H1792" s="2" t="s">
        <v>3178</v>
      </c>
      <c r="I1792" s="8" t="s">
        <v>5217</v>
      </c>
      <c r="J1792" s="2">
        <v>2028</v>
      </c>
      <c r="K1792" s="2">
        <v>2241</v>
      </c>
      <c r="L1792" s="8" t="s">
        <v>5218</v>
      </c>
      <c r="M1792" s="2">
        <v>11.1</v>
      </c>
      <c r="N1792" s="8" t="s">
        <v>5219</v>
      </c>
      <c r="O1792" s="8" t="str">
        <f t="shared" ref="O1792:O1800" si="178">HYPERLINK("https://seichotoushi-hojo.jp/assets/pdf/koufu_3_4ji/outline_1.pdf","PDFを開く")</f>
        <v>PDFを開く</v>
      </c>
      <c r="P1792" s="8" t="s">
        <v>1602</v>
      </c>
    </row>
    <row r="1793" spans="1:16" ht="33.950000000000003" customHeight="1">
      <c r="A1793" s="5" t="s">
        <v>1594</v>
      </c>
      <c r="B1793" s="5" t="s">
        <v>1595</v>
      </c>
      <c r="C1793" s="9" t="s">
        <v>1596</v>
      </c>
      <c r="D1793" s="5">
        <v>2</v>
      </c>
      <c r="E1793" s="9" t="s">
        <v>3176</v>
      </c>
      <c r="F1793" s="5" t="s">
        <v>86</v>
      </c>
      <c r="G1793" s="5" t="s">
        <v>3177</v>
      </c>
      <c r="H1793" s="5" t="s">
        <v>3178</v>
      </c>
      <c r="I1793" s="9" t="s">
        <v>5220</v>
      </c>
      <c r="J1793" s="5">
        <v>2031</v>
      </c>
      <c r="K1793" s="5">
        <v>3070</v>
      </c>
      <c r="L1793" s="9" t="s">
        <v>5221</v>
      </c>
      <c r="M1793" s="5">
        <v>11.1</v>
      </c>
      <c r="N1793" s="9" t="s">
        <v>5219</v>
      </c>
      <c r="O1793" s="9" t="str">
        <f t="shared" si="178"/>
        <v>PDFを開く</v>
      </c>
      <c r="P1793" s="9" t="s">
        <v>1602</v>
      </c>
    </row>
    <row r="1794" spans="1:16" ht="33.950000000000003" customHeight="1">
      <c r="A1794" s="2" t="s">
        <v>1594</v>
      </c>
      <c r="B1794" s="2" t="s">
        <v>1595</v>
      </c>
      <c r="C1794" s="8" t="s">
        <v>1596</v>
      </c>
      <c r="D1794" s="2">
        <v>2</v>
      </c>
      <c r="E1794" s="8" t="s">
        <v>3184</v>
      </c>
      <c r="F1794" s="2" t="s">
        <v>86</v>
      </c>
      <c r="G1794" s="2" t="s">
        <v>3177</v>
      </c>
      <c r="H1794" s="2" t="s">
        <v>3178</v>
      </c>
      <c r="I1794" s="8" t="s">
        <v>5217</v>
      </c>
      <c r="J1794" s="2">
        <v>2028</v>
      </c>
      <c r="K1794" s="2">
        <v>718</v>
      </c>
      <c r="L1794" s="8" t="s">
        <v>4553</v>
      </c>
      <c r="M1794" s="2">
        <v>5</v>
      </c>
      <c r="N1794" s="8" t="s">
        <v>5222</v>
      </c>
      <c r="O1794" s="8" t="str">
        <f t="shared" si="178"/>
        <v>PDFを開く</v>
      </c>
      <c r="P1794" s="8" t="s">
        <v>1602</v>
      </c>
    </row>
    <row r="1795" spans="1:16" ht="33.950000000000003" customHeight="1">
      <c r="A1795" s="5" t="s">
        <v>1594</v>
      </c>
      <c r="B1795" s="5" t="s">
        <v>1595</v>
      </c>
      <c r="C1795" s="9" t="s">
        <v>1596</v>
      </c>
      <c r="D1795" s="5">
        <v>2</v>
      </c>
      <c r="E1795" s="9" t="s">
        <v>3184</v>
      </c>
      <c r="F1795" s="5" t="s">
        <v>86</v>
      </c>
      <c r="G1795" s="5" t="s">
        <v>3177</v>
      </c>
      <c r="H1795" s="5" t="s">
        <v>3178</v>
      </c>
      <c r="I1795" s="9" t="s">
        <v>5220</v>
      </c>
      <c r="J1795" s="5">
        <v>2031</v>
      </c>
      <c r="K1795" s="5">
        <v>831</v>
      </c>
      <c r="L1795" s="9" t="s">
        <v>5223</v>
      </c>
      <c r="M1795" s="5">
        <v>5</v>
      </c>
      <c r="N1795" s="9" t="s">
        <v>5222</v>
      </c>
      <c r="O1795" s="9" t="str">
        <f t="shared" si="178"/>
        <v>PDFを開く</v>
      </c>
      <c r="P1795" s="9" t="s">
        <v>1602</v>
      </c>
    </row>
    <row r="1796" spans="1:16" ht="33.950000000000003" customHeight="1">
      <c r="A1796" s="2" t="s">
        <v>1594</v>
      </c>
      <c r="B1796" s="2" t="s">
        <v>1595</v>
      </c>
      <c r="C1796" s="8" t="s">
        <v>1596</v>
      </c>
      <c r="D1796" s="2">
        <v>2</v>
      </c>
      <c r="E1796" s="8" t="s">
        <v>3188</v>
      </c>
      <c r="F1796" s="2" t="s">
        <v>86</v>
      </c>
      <c r="G1796" s="19" t="s">
        <v>3189</v>
      </c>
      <c r="H1796" s="2" t="s">
        <v>3178</v>
      </c>
      <c r="I1796" s="8"/>
      <c r="J1796" s="2"/>
      <c r="K1796" s="2"/>
      <c r="L1796" s="8"/>
      <c r="M1796" s="2">
        <v>5</v>
      </c>
      <c r="N1796" s="8" t="s">
        <v>3377</v>
      </c>
      <c r="O1796" s="8" t="str">
        <f t="shared" si="178"/>
        <v>PDFを開く</v>
      </c>
      <c r="P1796" s="8" t="s">
        <v>1602</v>
      </c>
    </row>
    <row r="1797" spans="1:16" ht="33.950000000000003" customHeight="1">
      <c r="A1797" s="5" t="s">
        <v>1594</v>
      </c>
      <c r="B1797" s="5" t="s">
        <v>1595</v>
      </c>
      <c r="C1797" s="9" t="s">
        <v>1596</v>
      </c>
      <c r="D1797" s="5">
        <v>2</v>
      </c>
      <c r="E1797" s="9" t="s">
        <v>3191</v>
      </c>
      <c r="F1797" s="5" t="s">
        <v>2513</v>
      </c>
      <c r="G1797" s="5" t="s">
        <v>3177</v>
      </c>
      <c r="H1797" s="5" t="s">
        <v>3178</v>
      </c>
      <c r="I1797" s="9" t="s">
        <v>5217</v>
      </c>
      <c r="J1797" s="5">
        <v>2028</v>
      </c>
      <c r="K1797" s="5">
        <v>350</v>
      </c>
      <c r="L1797" s="9" t="s">
        <v>5224</v>
      </c>
      <c r="M1797" s="5"/>
      <c r="N1797" s="9" t="s">
        <v>5225</v>
      </c>
      <c r="O1797" s="9" t="str">
        <f t="shared" si="178"/>
        <v>PDFを開く</v>
      </c>
      <c r="P1797" s="9" t="s">
        <v>1602</v>
      </c>
    </row>
    <row r="1798" spans="1:16" ht="33.950000000000003" customHeight="1">
      <c r="A1798" s="2" t="s">
        <v>1594</v>
      </c>
      <c r="B1798" s="2" t="s">
        <v>1595</v>
      </c>
      <c r="C1798" s="8" t="s">
        <v>1596</v>
      </c>
      <c r="D1798" s="2">
        <v>2</v>
      </c>
      <c r="E1798" s="8" t="s">
        <v>3191</v>
      </c>
      <c r="F1798" s="2" t="s">
        <v>2513</v>
      </c>
      <c r="G1798" s="2" t="s">
        <v>3177</v>
      </c>
      <c r="H1798" s="2" t="s">
        <v>3178</v>
      </c>
      <c r="I1798" s="8" t="s">
        <v>5220</v>
      </c>
      <c r="J1798" s="2">
        <v>2031</v>
      </c>
      <c r="K1798" s="2">
        <v>380</v>
      </c>
      <c r="L1798" s="8" t="s">
        <v>5226</v>
      </c>
      <c r="M1798" s="2"/>
      <c r="N1798" s="8" t="s">
        <v>5225</v>
      </c>
      <c r="O1798" s="8" t="str">
        <f t="shared" si="178"/>
        <v>PDFを開く</v>
      </c>
      <c r="P1798" s="8" t="s">
        <v>1602</v>
      </c>
    </row>
    <row r="1799" spans="1:16" ht="33.950000000000003" customHeight="1">
      <c r="A1799" s="5" t="s">
        <v>1594</v>
      </c>
      <c r="B1799" s="5" t="s">
        <v>1595</v>
      </c>
      <c r="C1799" s="9" t="s">
        <v>1596</v>
      </c>
      <c r="D1799" s="5">
        <v>2</v>
      </c>
      <c r="E1799" s="9" t="s">
        <v>3188</v>
      </c>
      <c r="F1799" s="5" t="s">
        <v>86</v>
      </c>
      <c r="G1799" s="5" t="s">
        <v>3177</v>
      </c>
      <c r="H1799" s="5"/>
      <c r="I1799" s="9" t="s">
        <v>5227</v>
      </c>
      <c r="J1799" s="5">
        <v>2028</v>
      </c>
      <c r="K1799" s="5"/>
      <c r="L1799" s="9" t="s">
        <v>3211</v>
      </c>
      <c r="M1799" s="5">
        <v>5</v>
      </c>
      <c r="N1799" s="9" t="s">
        <v>3382</v>
      </c>
      <c r="O1799" s="9" t="str">
        <f t="shared" si="178"/>
        <v>PDFを開く</v>
      </c>
      <c r="P1799" s="9" t="s">
        <v>1602</v>
      </c>
    </row>
    <row r="1800" spans="1:16" ht="33.950000000000003" customHeight="1">
      <c r="A1800" s="2" t="s">
        <v>1594</v>
      </c>
      <c r="B1800" s="2" t="s">
        <v>1595</v>
      </c>
      <c r="C1800" s="8" t="s">
        <v>1596</v>
      </c>
      <c r="D1800" s="2">
        <v>2</v>
      </c>
      <c r="E1800" s="8" t="s">
        <v>3188</v>
      </c>
      <c r="F1800" s="2" t="s">
        <v>86</v>
      </c>
      <c r="G1800" s="2" t="s">
        <v>3177</v>
      </c>
      <c r="H1800" s="2"/>
      <c r="I1800" s="8" t="s">
        <v>5228</v>
      </c>
      <c r="J1800" s="2">
        <v>2031</v>
      </c>
      <c r="K1800" s="2"/>
      <c r="L1800" s="8" t="s">
        <v>3384</v>
      </c>
      <c r="M1800" s="2">
        <v>5</v>
      </c>
      <c r="N1800" s="8" t="s">
        <v>3382</v>
      </c>
      <c r="O1800" s="8" t="str">
        <f t="shared" si="178"/>
        <v>PDFを開く</v>
      </c>
      <c r="P1800" s="8" t="s">
        <v>1602</v>
      </c>
    </row>
    <row r="1801" spans="1:16" ht="33.950000000000003" customHeight="1">
      <c r="A1801" s="5" t="s">
        <v>1603</v>
      </c>
      <c r="B1801" s="5" t="s">
        <v>1595</v>
      </c>
      <c r="C1801" s="9" t="s">
        <v>1604</v>
      </c>
      <c r="D1801" s="5">
        <v>2</v>
      </c>
      <c r="E1801" s="9" t="s">
        <v>3176</v>
      </c>
      <c r="F1801" s="5" t="s">
        <v>86</v>
      </c>
      <c r="G1801" s="19" t="s">
        <v>3494</v>
      </c>
      <c r="H1801" s="5" t="s">
        <v>3178</v>
      </c>
      <c r="I1801" s="9" t="s">
        <v>3259</v>
      </c>
      <c r="J1801" s="5">
        <v>2027</v>
      </c>
      <c r="K1801" s="5">
        <v>1385</v>
      </c>
      <c r="L1801" s="9" t="s">
        <v>5229</v>
      </c>
      <c r="M1801" s="5">
        <v>29.5</v>
      </c>
      <c r="N1801" s="9" t="s">
        <v>5230</v>
      </c>
      <c r="O1801" s="9" t="str">
        <f t="shared" ref="O1801:O1824" si="179">HYPERLINK("https://seichotoushi-hojo.jp/assets/pdf/koufu_3_4ji/outline_101.pdf","PDFを開く")</f>
        <v>PDFを開く</v>
      </c>
      <c r="P1801" s="9" t="s">
        <v>1608</v>
      </c>
    </row>
    <row r="1802" spans="1:16" ht="33.950000000000003" customHeight="1">
      <c r="A1802" s="2" t="s">
        <v>1603</v>
      </c>
      <c r="B1802" s="2" t="s">
        <v>1595</v>
      </c>
      <c r="C1802" s="8" t="s">
        <v>1604</v>
      </c>
      <c r="D1802" s="2">
        <v>2</v>
      </c>
      <c r="E1802" s="8" t="s">
        <v>3176</v>
      </c>
      <c r="F1802" s="2" t="s">
        <v>86</v>
      </c>
      <c r="G1802" s="19" t="s">
        <v>3494</v>
      </c>
      <c r="H1802" s="2" t="s">
        <v>3178</v>
      </c>
      <c r="I1802" s="8"/>
      <c r="J1802" s="2"/>
      <c r="K1802" s="2">
        <v>476</v>
      </c>
      <c r="L1802" s="8" t="s">
        <v>5231</v>
      </c>
      <c r="M1802" s="2">
        <v>29.5</v>
      </c>
      <c r="N1802" s="8" t="s">
        <v>5230</v>
      </c>
      <c r="O1802" s="8" t="str">
        <f t="shared" si="179"/>
        <v>PDFを開く</v>
      </c>
      <c r="P1802" s="8" t="s">
        <v>1608</v>
      </c>
    </row>
    <row r="1803" spans="1:16" ht="33.950000000000003" customHeight="1">
      <c r="A1803" s="5" t="s">
        <v>1603</v>
      </c>
      <c r="B1803" s="5" t="s">
        <v>1595</v>
      </c>
      <c r="C1803" s="9" t="s">
        <v>1604</v>
      </c>
      <c r="D1803" s="5">
        <v>2</v>
      </c>
      <c r="E1803" s="9" t="s">
        <v>3176</v>
      </c>
      <c r="F1803" s="5" t="s">
        <v>86</v>
      </c>
      <c r="G1803" s="19" t="s">
        <v>3494</v>
      </c>
      <c r="H1803" s="5" t="s">
        <v>3178</v>
      </c>
      <c r="I1803" s="9" t="s">
        <v>3262</v>
      </c>
      <c r="J1803" s="5">
        <v>2030</v>
      </c>
      <c r="K1803" s="5">
        <v>3010</v>
      </c>
      <c r="L1803" s="9" t="s">
        <v>5232</v>
      </c>
      <c r="M1803" s="5">
        <v>29.5</v>
      </c>
      <c r="N1803" s="9" t="s">
        <v>5230</v>
      </c>
      <c r="O1803" s="9" t="str">
        <f t="shared" si="179"/>
        <v>PDFを開く</v>
      </c>
      <c r="P1803" s="9" t="s">
        <v>1608</v>
      </c>
    </row>
    <row r="1804" spans="1:16" ht="33.950000000000003" customHeight="1">
      <c r="A1804" s="2" t="s">
        <v>1603</v>
      </c>
      <c r="B1804" s="2" t="s">
        <v>1595</v>
      </c>
      <c r="C1804" s="8" t="s">
        <v>1604</v>
      </c>
      <c r="D1804" s="2">
        <v>2</v>
      </c>
      <c r="E1804" s="8" t="s">
        <v>3176</v>
      </c>
      <c r="F1804" s="2" t="s">
        <v>86</v>
      </c>
      <c r="G1804" s="19" t="s">
        <v>3494</v>
      </c>
      <c r="H1804" s="2" t="s">
        <v>3178</v>
      </c>
      <c r="I1804" s="8"/>
      <c r="J1804" s="2"/>
      <c r="K1804" s="2">
        <v>569</v>
      </c>
      <c r="L1804" s="8" t="s">
        <v>3667</v>
      </c>
      <c r="M1804" s="2">
        <v>29.5</v>
      </c>
      <c r="N1804" s="8" t="s">
        <v>5230</v>
      </c>
      <c r="O1804" s="8" t="str">
        <f t="shared" si="179"/>
        <v>PDFを開く</v>
      </c>
      <c r="P1804" s="8" t="s">
        <v>1608</v>
      </c>
    </row>
    <row r="1805" spans="1:16" ht="33.950000000000003" customHeight="1">
      <c r="A1805" s="5" t="s">
        <v>1603</v>
      </c>
      <c r="B1805" s="5" t="s">
        <v>1595</v>
      </c>
      <c r="C1805" s="9" t="s">
        <v>1604</v>
      </c>
      <c r="D1805" s="5">
        <v>2</v>
      </c>
      <c r="E1805" s="9" t="s">
        <v>3184</v>
      </c>
      <c r="F1805" s="5" t="s">
        <v>86</v>
      </c>
      <c r="G1805" s="19" t="s">
        <v>3494</v>
      </c>
      <c r="H1805" s="5" t="s">
        <v>3178</v>
      </c>
      <c r="I1805" s="9" t="s">
        <v>3259</v>
      </c>
      <c r="J1805" s="5">
        <v>2027</v>
      </c>
      <c r="K1805" s="5">
        <v>676</v>
      </c>
      <c r="L1805" s="9" t="s">
        <v>5233</v>
      </c>
      <c r="M1805" s="5">
        <v>7</v>
      </c>
      <c r="N1805" s="9" t="s">
        <v>5234</v>
      </c>
      <c r="O1805" s="9" t="str">
        <f t="shared" si="179"/>
        <v>PDFを開く</v>
      </c>
      <c r="P1805" s="9" t="s">
        <v>1608</v>
      </c>
    </row>
    <row r="1806" spans="1:16" ht="33.950000000000003" customHeight="1">
      <c r="A1806" s="2" t="s">
        <v>1603</v>
      </c>
      <c r="B1806" s="2" t="s">
        <v>1595</v>
      </c>
      <c r="C1806" s="8" t="s">
        <v>1604</v>
      </c>
      <c r="D1806" s="2">
        <v>2</v>
      </c>
      <c r="E1806" s="8" t="s">
        <v>3184</v>
      </c>
      <c r="F1806" s="2" t="s">
        <v>86</v>
      </c>
      <c r="G1806" s="19" t="s">
        <v>3494</v>
      </c>
      <c r="H1806" s="2" t="s">
        <v>3178</v>
      </c>
      <c r="I1806" s="8"/>
      <c r="J1806" s="2"/>
      <c r="K1806" s="2">
        <v>352</v>
      </c>
      <c r="L1806" s="8" t="s">
        <v>4104</v>
      </c>
      <c r="M1806" s="2">
        <v>7</v>
      </c>
      <c r="N1806" s="8" t="s">
        <v>5234</v>
      </c>
      <c r="O1806" s="8" t="str">
        <f t="shared" si="179"/>
        <v>PDFを開く</v>
      </c>
      <c r="P1806" s="8" t="s">
        <v>1608</v>
      </c>
    </row>
    <row r="1807" spans="1:16" ht="33.950000000000003" customHeight="1">
      <c r="A1807" s="5" t="s">
        <v>1603</v>
      </c>
      <c r="B1807" s="5" t="s">
        <v>1595</v>
      </c>
      <c r="C1807" s="9" t="s">
        <v>1604</v>
      </c>
      <c r="D1807" s="5">
        <v>2</v>
      </c>
      <c r="E1807" s="9" t="s">
        <v>3184</v>
      </c>
      <c r="F1807" s="5" t="s">
        <v>86</v>
      </c>
      <c r="G1807" s="19" t="s">
        <v>3494</v>
      </c>
      <c r="H1807" s="5" t="s">
        <v>3178</v>
      </c>
      <c r="I1807" s="9" t="s">
        <v>3262</v>
      </c>
      <c r="J1807" s="5">
        <v>2030</v>
      </c>
      <c r="K1807" s="5">
        <v>828</v>
      </c>
      <c r="L1807" s="9" t="s">
        <v>5235</v>
      </c>
      <c r="M1807" s="5">
        <v>7</v>
      </c>
      <c r="N1807" s="9" t="s">
        <v>5234</v>
      </c>
      <c r="O1807" s="9" t="str">
        <f t="shared" si="179"/>
        <v>PDFを開く</v>
      </c>
      <c r="P1807" s="9" t="s">
        <v>1608</v>
      </c>
    </row>
    <row r="1808" spans="1:16" ht="33.950000000000003" customHeight="1">
      <c r="A1808" s="2" t="s">
        <v>1603</v>
      </c>
      <c r="B1808" s="2" t="s">
        <v>1595</v>
      </c>
      <c r="C1808" s="8" t="s">
        <v>1604</v>
      </c>
      <c r="D1808" s="2">
        <v>2</v>
      </c>
      <c r="E1808" s="8" t="s">
        <v>3184</v>
      </c>
      <c r="F1808" s="2" t="s">
        <v>86</v>
      </c>
      <c r="G1808" s="19" t="s">
        <v>3494</v>
      </c>
      <c r="H1808" s="2" t="s">
        <v>3178</v>
      </c>
      <c r="I1808" s="8"/>
      <c r="J1808" s="2"/>
      <c r="K1808" s="2">
        <v>431</v>
      </c>
      <c r="L1808" s="8" t="s">
        <v>3475</v>
      </c>
      <c r="M1808" s="2">
        <v>7</v>
      </c>
      <c r="N1808" s="8" t="s">
        <v>5234</v>
      </c>
      <c r="O1808" s="8" t="str">
        <f t="shared" si="179"/>
        <v>PDFを開く</v>
      </c>
      <c r="P1808" s="8" t="s">
        <v>1608</v>
      </c>
    </row>
    <row r="1809" spans="1:16" ht="33.950000000000003" customHeight="1">
      <c r="A1809" s="5" t="s">
        <v>1603</v>
      </c>
      <c r="B1809" s="5" t="s">
        <v>1595</v>
      </c>
      <c r="C1809" s="9" t="s">
        <v>1604</v>
      </c>
      <c r="D1809" s="5">
        <v>2</v>
      </c>
      <c r="E1809" s="9" t="s">
        <v>3188</v>
      </c>
      <c r="F1809" s="5" t="s">
        <v>86</v>
      </c>
      <c r="G1809" s="19" t="s">
        <v>3494</v>
      </c>
      <c r="H1809" s="5" t="s">
        <v>3178</v>
      </c>
      <c r="I1809" s="9" t="s">
        <v>3259</v>
      </c>
      <c r="J1809" s="5">
        <v>2027</v>
      </c>
      <c r="K1809" s="5">
        <v>1874</v>
      </c>
      <c r="L1809" s="9" t="s">
        <v>5236</v>
      </c>
      <c r="M1809" s="5">
        <v>5</v>
      </c>
      <c r="N1809" s="9" t="s">
        <v>5237</v>
      </c>
      <c r="O1809" s="9" t="str">
        <f t="shared" si="179"/>
        <v>PDFを開く</v>
      </c>
      <c r="P1809" s="9" t="s">
        <v>1608</v>
      </c>
    </row>
    <row r="1810" spans="1:16" ht="33.950000000000003" customHeight="1">
      <c r="A1810" s="2" t="s">
        <v>1603</v>
      </c>
      <c r="B1810" s="2" t="s">
        <v>1595</v>
      </c>
      <c r="C1810" s="8" t="s">
        <v>1604</v>
      </c>
      <c r="D1810" s="2">
        <v>2</v>
      </c>
      <c r="E1810" s="8" t="s">
        <v>3188</v>
      </c>
      <c r="F1810" s="2" t="s">
        <v>86</v>
      </c>
      <c r="G1810" s="19" t="s">
        <v>3494</v>
      </c>
      <c r="H1810" s="2" t="s">
        <v>3178</v>
      </c>
      <c r="I1810" s="8"/>
      <c r="J1810" s="2"/>
      <c r="K1810" s="2">
        <v>493</v>
      </c>
      <c r="L1810" s="8" t="s">
        <v>5135</v>
      </c>
      <c r="M1810" s="2">
        <v>5</v>
      </c>
      <c r="N1810" s="8" t="s">
        <v>5237</v>
      </c>
      <c r="O1810" s="8" t="str">
        <f t="shared" si="179"/>
        <v>PDFを開く</v>
      </c>
      <c r="P1810" s="8" t="s">
        <v>1608</v>
      </c>
    </row>
    <row r="1811" spans="1:16" ht="33.950000000000003" customHeight="1">
      <c r="A1811" s="5" t="s">
        <v>1603</v>
      </c>
      <c r="B1811" s="5" t="s">
        <v>1595</v>
      </c>
      <c r="C1811" s="9" t="s">
        <v>1604</v>
      </c>
      <c r="D1811" s="5">
        <v>2</v>
      </c>
      <c r="E1811" s="9" t="s">
        <v>3188</v>
      </c>
      <c r="F1811" s="5" t="s">
        <v>86</v>
      </c>
      <c r="G1811" s="19" t="s">
        <v>3494</v>
      </c>
      <c r="H1811" s="5" t="s">
        <v>3178</v>
      </c>
      <c r="I1811" s="9" t="s">
        <v>3262</v>
      </c>
      <c r="J1811" s="5">
        <v>2030</v>
      </c>
      <c r="K1811" s="5">
        <v>2169</v>
      </c>
      <c r="L1811" s="9" t="s">
        <v>5238</v>
      </c>
      <c r="M1811" s="5">
        <v>5</v>
      </c>
      <c r="N1811" s="9" t="s">
        <v>5237</v>
      </c>
      <c r="O1811" s="9" t="str">
        <f t="shared" si="179"/>
        <v>PDFを開く</v>
      </c>
      <c r="P1811" s="9" t="s">
        <v>1608</v>
      </c>
    </row>
    <row r="1812" spans="1:16" ht="33.950000000000003" customHeight="1">
      <c r="A1812" s="2" t="s">
        <v>1603</v>
      </c>
      <c r="B1812" s="2" t="s">
        <v>1595</v>
      </c>
      <c r="C1812" s="8" t="s">
        <v>1604</v>
      </c>
      <c r="D1812" s="2">
        <v>2</v>
      </c>
      <c r="E1812" s="8" t="s">
        <v>3188</v>
      </c>
      <c r="F1812" s="2" t="s">
        <v>86</v>
      </c>
      <c r="G1812" s="19" t="s">
        <v>3494</v>
      </c>
      <c r="H1812" s="2" t="s">
        <v>3178</v>
      </c>
      <c r="I1812" s="8"/>
      <c r="J1812" s="2"/>
      <c r="K1812" s="2">
        <v>571</v>
      </c>
      <c r="L1812" s="8" t="s">
        <v>5136</v>
      </c>
      <c r="M1812" s="2">
        <v>5</v>
      </c>
      <c r="N1812" s="8" t="s">
        <v>5237</v>
      </c>
      <c r="O1812" s="8" t="str">
        <f t="shared" si="179"/>
        <v>PDFを開く</v>
      </c>
      <c r="P1812" s="8" t="s">
        <v>1608</v>
      </c>
    </row>
    <row r="1813" spans="1:16" ht="33.950000000000003" customHeight="1">
      <c r="A1813" s="5" t="s">
        <v>1603</v>
      </c>
      <c r="B1813" s="5" t="s">
        <v>1595</v>
      </c>
      <c r="C1813" s="9" t="s">
        <v>1604</v>
      </c>
      <c r="D1813" s="5">
        <v>2</v>
      </c>
      <c r="E1813" s="9" t="s">
        <v>3191</v>
      </c>
      <c r="F1813" s="5" t="s">
        <v>2513</v>
      </c>
      <c r="G1813" s="19" t="s">
        <v>3494</v>
      </c>
      <c r="H1813" s="5" t="s">
        <v>3178</v>
      </c>
      <c r="I1813" s="9" t="s">
        <v>3259</v>
      </c>
      <c r="J1813" s="5">
        <v>2027</v>
      </c>
      <c r="K1813" s="5">
        <v>112</v>
      </c>
      <c r="L1813" s="9" t="s">
        <v>3598</v>
      </c>
      <c r="M1813" s="5"/>
      <c r="N1813" s="9" t="s">
        <v>5239</v>
      </c>
      <c r="O1813" s="9" t="str">
        <f t="shared" si="179"/>
        <v>PDFを開く</v>
      </c>
      <c r="P1813" s="9" t="s">
        <v>1608</v>
      </c>
    </row>
    <row r="1814" spans="1:16" ht="33.950000000000003" customHeight="1">
      <c r="A1814" s="2" t="s">
        <v>1603</v>
      </c>
      <c r="B1814" s="2" t="s">
        <v>1595</v>
      </c>
      <c r="C1814" s="8" t="s">
        <v>1604</v>
      </c>
      <c r="D1814" s="2">
        <v>2</v>
      </c>
      <c r="E1814" s="8" t="s">
        <v>3191</v>
      </c>
      <c r="F1814" s="2" t="s">
        <v>2513</v>
      </c>
      <c r="G1814" s="19" t="s">
        <v>3494</v>
      </c>
      <c r="H1814" s="2" t="s">
        <v>3178</v>
      </c>
      <c r="I1814" s="8"/>
      <c r="J1814" s="2"/>
      <c r="K1814" s="2">
        <v>38</v>
      </c>
      <c r="L1814" s="8" t="s">
        <v>3465</v>
      </c>
      <c r="M1814" s="2"/>
      <c r="N1814" s="8" t="s">
        <v>5239</v>
      </c>
      <c r="O1814" s="8" t="str">
        <f t="shared" si="179"/>
        <v>PDFを開く</v>
      </c>
      <c r="P1814" s="8" t="s">
        <v>1608</v>
      </c>
    </row>
    <row r="1815" spans="1:16" ht="33.950000000000003" customHeight="1">
      <c r="A1815" s="5" t="s">
        <v>1603</v>
      </c>
      <c r="B1815" s="5" t="s">
        <v>1595</v>
      </c>
      <c r="C1815" s="9" t="s">
        <v>1604</v>
      </c>
      <c r="D1815" s="5">
        <v>2</v>
      </c>
      <c r="E1815" s="9" t="s">
        <v>3191</v>
      </c>
      <c r="F1815" s="5" t="s">
        <v>2513</v>
      </c>
      <c r="G1815" s="19" t="s">
        <v>3494</v>
      </c>
      <c r="H1815" s="5" t="s">
        <v>3178</v>
      </c>
      <c r="I1815" s="9" t="s">
        <v>3262</v>
      </c>
      <c r="J1815" s="5">
        <v>2030</v>
      </c>
      <c r="K1815" s="5">
        <v>122</v>
      </c>
      <c r="L1815" s="9" t="s">
        <v>5240</v>
      </c>
      <c r="M1815" s="5"/>
      <c r="N1815" s="9" t="s">
        <v>5239</v>
      </c>
      <c r="O1815" s="9" t="str">
        <f t="shared" si="179"/>
        <v>PDFを開く</v>
      </c>
      <c r="P1815" s="9" t="s">
        <v>1608</v>
      </c>
    </row>
    <row r="1816" spans="1:16" ht="33.950000000000003" customHeight="1">
      <c r="A1816" s="2" t="s">
        <v>1603</v>
      </c>
      <c r="B1816" s="2" t="s">
        <v>1595</v>
      </c>
      <c r="C1816" s="8" t="s">
        <v>1604</v>
      </c>
      <c r="D1816" s="2">
        <v>2</v>
      </c>
      <c r="E1816" s="8" t="s">
        <v>3191</v>
      </c>
      <c r="F1816" s="2" t="s">
        <v>2513</v>
      </c>
      <c r="G1816" s="19" t="s">
        <v>3494</v>
      </c>
      <c r="H1816" s="2" t="s">
        <v>3178</v>
      </c>
      <c r="I1816" s="8"/>
      <c r="J1816" s="2"/>
      <c r="K1816" s="2">
        <v>56</v>
      </c>
      <c r="L1816" s="8" t="s">
        <v>4835</v>
      </c>
      <c r="M1816" s="2"/>
      <c r="N1816" s="8" t="s">
        <v>5239</v>
      </c>
      <c r="O1816" s="8" t="str">
        <f t="shared" si="179"/>
        <v>PDFを開く</v>
      </c>
      <c r="P1816" s="8" t="s">
        <v>1608</v>
      </c>
    </row>
    <row r="1817" spans="1:16" ht="33.950000000000003" customHeight="1">
      <c r="A1817" s="5" t="s">
        <v>1603</v>
      </c>
      <c r="B1817" s="5" t="s">
        <v>1595</v>
      </c>
      <c r="C1817" s="9" t="s">
        <v>1604</v>
      </c>
      <c r="D1817" s="5">
        <v>2</v>
      </c>
      <c r="E1817" s="9" t="s">
        <v>3176</v>
      </c>
      <c r="F1817" s="5" t="s">
        <v>86</v>
      </c>
      <c r="G1817" s="5" t="s">
        <v>3177</v>
      </c>
      <c r="H1817" s="5" t="s">
        <v>3178</v>
      </c>
      <c r="I1817" s="9" t="s">
        <v>3259</v>
      </c>
      <c r="J1817" s="5">
        <v>2027</v>
      </c>
      <c r="K1817" s="5">
        <v>1385</v>
      </c>
      <c r="L1817" s="9" t="s">
        <v>5229</v>
      </c>
      <c r="M1817" s="5">
        <v>29.5</v>
      </c>
      <c r="N1817" s="9" t="s">
        <v>5230</v>
      </c>
      <c r="O1817" s="9" t="str">
        <f t="shared" si="179"/>
        <v>PDFを開く</v>
      </c>
      <c r="P1817" s="9" t="s">
        <v>1608</v>
      </c>
    </row>
    <row r="1818" spans="1:16" ht="33.950000000000003" customHeight="1">
      <c r="A1818" s="2" t="s">
        <v>1603</v>
      </c>
      <c r="B1818" s="2" t="s">
        <v>1595</v>
      </c>
      <c r="C1818" s="8" t="s">
        <v>1604</v>
      </c>
      <c r="D1818" s="2">
        <v>2</v>
      </c>
      <c r="E1818" s="8" t="s">
        <v>3176</v>
      </c>
      <c r="F1818" s="2" t="s">
        <v>86</v>
      </c>
      <c r="G1818" s="2" t="s">
        <v>3177</v>
      </c>
      <c r="H1818" s="2" t="s">
        <v>3178</v>
      </c>
      <c r="I1818" s="8" t="s">
        <v>3262</v>
      </c>
      <c r="J1818" s="2">
        <v>2030</v>
      </c>
      <c r="K1818" s="2">
        <v>3010</v>
      </c>
      <c r="L1818" s="8" t="s">
        <v>5232</v>
      </c>
      <c r="M1818" s="2">
        <v>29.5</v>
      </c>
      <c r="N1818" s="8" t="s">
        <v>5230</v>
      </c>
      <c r="O1818" s="8" t="str">
        <f t="shared" si="179"/>
        <v>PDFを開く</v>
      </c>
      <c r="P1818" s="8" t="s">
        <v>1608</v>
      </c>
    </row>
    <row r="1819" spans="1:16" ht="33.950000000000003" customHeight="1">
      <c r="A1819" s="5" t="s">
        <v>1603</v>
      </c>
      <c r="B1819" s="5" t="s">
        <v>1595</v>
      </c>
      <c r="C1819" s="9" t="s">
        <v>1604</v>
      </c>
      <c r="D1819" s="5">
        <v>2</v>
      </c>
      <c r="E1819" s="9" t="s">
        <v>3188</v>
      </c>
      <c r="F1819" s="5" t="s">
        <v>86</v>
      </c>
      <c r="G1819" s="5" t="s">
        <v>3177</v>
      </c>
      <c r="H1819" s="5" t="s">
        <v>3178</v>
      </c>
      <c r="I1819" s="9" t="s">
        <v>3259</v>
      </c>
      <c r="J1819" s="5">
        <v>2027</v>
      </c>
      <c r="K1819" s="5">
        <v>1874</v>
      </c>
      <c r="L1819" s="9" t="s">
        <v>5236</v>
      </c>
      <c r="M1819" s="5">
        <v>5</v>
      </c>
      <c r="N1819" s="9" t="s">
        <v>5237</v>
      </c>
      <c r="O1819" s="9" t="str">
        <f t="shared" si="179"/>
        <v>PDFを開く</v>
      </c>
      <c r="P1819" s="9" t="s">
        <v>1608</v>
      </c>
    </row>
    <row r="1820" spans="1:16" ht="33.950000000000003" customHeight="1">
      <c r="A1820" s="2" t="s">
        <v>1603</v>
      </c>
      <c r="B1820" s="2" t="s">
        <v>1595</v>
      </c>
      <c r="C1820" s="8" t="s">
        <v>1604</v>
      </c>
      <c r="D1820" s="2">
        <v>2</v>
      </c>
      <c r="E1820" s="8" t="s">
        <v>3188</v>
      </c>
      <c r="F1820" s="2" t="s">
        <v>86</v>
      </c>
      <c r="G1820" s="2" t="s">
        <v>3177</v>
      </c>
      <c r="H1820" s="2" t="s">
        <v>3178</v>
      </c>
      <c r="I1820" s="8" t="s">
        <v>3262</v>
      </c>
      <c r="J1820" s="2">
        <v>2030</v>
      </c>
      <c r="K1820" s="2">
        <v>2169</v>
      </c>
      <c r="L1820" s="8" t="s">
        <v>5238</v>
      </c>
      <c r="M1820" s="2">
        <v>5</v>
      </c>
      <c r="N1820" s="8" t="s">
        <v>5237</v>
      </c>
      <c r="O1820" s="8" t="str">
        <f t="shared" si="179"/>
        <v>PDFを開く</v>
      </c>
      <c r="P1820" s="8" t="s">
        <v>1608</v>
      </c>
    </row>
    <row r="1821" spans="1:16" ht="33.950000000000003" customHeight="1">
      <c r="A1821" s="5" t="s">
        <v>1603</v>
      </c>
      <c r="B1821" s="5" t="s">
        <v>1595</v>
      </c>
      <c r="C1821" s="9" t="s">
        <v>1604</v>
      </c>
      <c r="D1821" s="5">
        <v>2</v>
      </c>
      <c r="E1821" s="9" t="s">
        <v>3191</v>
      </c>
      <c r="F1821" s="5" t="s">
        <v>2513</v>
      </c>
      <c r="G1821" s="5" t="s">
        <v>3177</v>
      </c>
      <c r="H1821" s="5" t="s">
        <v>3178</v>
      </c>
      <c r="I1821" s="9" t="s">
        <v>3259</v>
      </c>
      <c r="J1821" s="5">
        <v>2027</v>
      </c>
      <c r="K1821" s="5">
        <v>112</v>
      </c>
      <c r="L1821" s="9" t="s">
        <v>3598</v>
      </c>
      <c r="M1821" s="5"/>
      <c r="N1821" s="9" t="s">
        <v>5239</v>
      </c>
      <c r="O1821" s="9" t="str">
        <f t="shared" si="179"/>
        <v>PDFを開く</v>
      </c>
      <c r="P1821" s="9" t="s">
        <v>1608</v>
      </c>
    </row>
    <row r="1822" spans="1:16" ht="33.950000000000003" customHeight="1">
      <c r="A1822" s="2" t="s">
        <v>1603</v>
      </c>
      <c r="B1822" s="2" t="s">
        <v>1595</v>
      </c>
      <c r="C1822" s="8" t="s">
        <v>1604</v>
      </c>
      <c r="D1822" s="2">
        <v>2</v>
      </c>
      <c r="E1822" s="8" t="s">
        <v>3191</v>
      </c>
      <c r="F1822" s="2" t="s">
        <v>2513</v>
      </c>
      <c r="G1822" s="2" t="s">
        <v>3177</v>
      </c>
      <c r="H1822" s="2" t="s">
        <v>3178</v>
      </c>
      <c r="I1822" s="8" t="s">
        <v>3262</v>
      </c>
      <c r="J1822" s="2">
        <v>2030</v>
      </c>
      <c r="K1822" s="2">
        <v>122</v>
      </c>
      <c r="L1822" s="8" t="s">
        <v>5240</v>
      </c>
      <c r="M1822" s="2"/>
      <c r="N1822" s="8" t="s">
        <v>5239</v>
      </c>
      <c r="O1822" s="8" t="str">
        <f t="shared" si="179"/>
        <v>PDFを開く</v>
      </c>
      <c r="P1822" s="8" t="s">
        <v>1608</v>
      </c>
    </row>
    <row r="1823" spans="1:16" ht="33.950000000000003" customHeight="1">
      <c r="A1823" s="5" t="s">
        <v>1603</v>
      </c>
      <c r="B1823" s="5" t="s">
        <v>1595</v>
      </c>
      <c r="C1823" s="9" t="s">
        <v>1604</v>
      </c>
      <c r="D1823" s="5">
        <v>2</v>
      </c>
      <c r="E1823" s="9" t="s">
        <v>3184</v>
      </c>
      <c r="F1823" s="5" t="s">
        <v>86</v>
      </c>
      <c r="G1823" s="5" t="s">
        <v>3177</v>
      </c>
      <c r="H1823" s="5" t="s">
        <v>3178</v>
      </c>
      <c r="I1823" s="9" t="s">
        <v>3259</v>
      </c>
      <c r="J1823" s="5">
        <v>2027</v>
      </c>
      <c r="K1823" s="5">
        <v>676</v>
      </c>
      <c r="L1823" s="9" t="s">
        <v>5233</v>
      </c>
      <c r="M1823" s="5">
        <v>7</v>
      </c>
      <c r="N1823" s="9" t="s">
        <v>5234</v>
      </c>
      <c r="O1823" s="9" t="str">
        <f t="shared" si="179"/>
        <v>PDFを開く</v>
      </c>
      <c r="P1823" s="9" t="s">
        <v>1608</v>
      </c>
    </row>
    <row r="1824" spans="1:16" ht="33.950000000000003" customHeight="1">
      <c r="A1824" s="2" t="s">
        <v>1603</v>
      </c>
      <c r="B1824" s="2" t="s">
        <v>1595</v>
      </c>
      <c r="C1824" s="8" t="s">
        <v>1604</v>
      </c>
      <c r="D1824" s="2">
        <v>2</v>
      </c>
      <c r="E1824" s="8" t="s">
        <v>3184</v>
      </c>
      <c r="F1824" s="2" t="s">
        <v>86</v>
      </c>
      <c r="G1824" s="2" t="s">
        <v>3177</v>
      </c>
      <c r="H1824" s="2" t="s">
        <v>3178</v>
      </c>
      <c r="I1824" s="8" t="s">
        <v>3262</v>
      </c>
      <c r="J1824" s="2">
        <v>2030</v>
      </c>
      <c r="K1824" s="2">
        <v>828</v>
      </c>
      <c r="L1824" s="8" t="s">
        <v>5235</v>
      </c>
      <c r="M1824" s="2">
        <v>7</v>
      </c>
      <c r="N1824" s="8" t="s">
        <v>5234</v>
      </c>
      <c r="O1824" s="8" t="str">
        <f t="shared" si="179"/>
        <v>PDFを開く</v>
      </c>
      <c r="P1824" s="8" t="s">
        <v>1608</v>
      </c>
    </row>
    <row r="1825" spans="1:16" ht="33.950000000000003" customHeight="1">
      <c r="A1825" s="5" t="s">
        <v>1609</v>
      </c>
      <c r="B1825" s="5" t="s">
        <v>1595</v>
      </c>
      <c r="C1825" s="9" t="s">
        <v>1610</v>
      </c>
      <c r="D1825" s="5">
        <v>2</v>
      </c>
      <c r="E1825" s="9" t="s">
        <v>3176</v>
      </c>
      <c r="F1825" s="5" t="s">
        <v>86</v>
      </c>
      <c r="G1825" s="5" t="s">
        <v>3177</v>
      </c>
      <c r="H1825" s="5"/>
      <c r="I1825" s="9" t="s">
        <v>3686</v>
      </c>
      <c r="J1825" s="5">
        <v>2027</v>
      </c>
      <c r="K1825" s="5">
        <v>2036</v>
      </c>
      <c r="L1825" s="9" t="s">
        <v>5241</v>
      </c>
      <c r="M1825" s="5">
        <v>21.7</v>
      </c>
      <c r="N1825" s="9" t="s">
        <v>5242</v>
      </c>
      <c r="O1825" s="9" t="str">
        <f t="shared" ref="O1825:O1830" si="180">HYPERLINK("https://seichotoushi-hojo.jp/assets/pdf/koufu_3_4ji/outline_103.pdf","PDFを開く")</f>
        <v>PDFを開く</v>
      </c>
      <c r="P1825" s="9" t="s">
        <v>1616</v>
      </c>
    </row>
    <row r="1826" spans="1:16" ht="33.950000000000003" customHeight="1">
      <c r="A1826" s="2" t="s">
        <v>1609</v>
      </c>
      <c r="B1826" s="2" t="s">
        <v>1595</v>
      </c>
      <c r="C1826" s="8" t="s">
        <v>1610</v>
      </c>
      <c r="D1826" s="2">
        <v>2</v>
      </c>
      <c r="E1826" s="8" t="s">
        <v>3176</v>
      </c>
      <c r="F1826" s="2" t="s">
        <v>86</v>
      </c>
      <c r="G1826" s="2" t="s">
        <v>3177</v>
      </c>
      <c r="H1826" s="2"/>
      <c r="I1826" s="8" t="s">
        <v>3688</v>
      </c>
      <c r="J1826" s="2">
        <v>2030</v>
      </c>
      <c r="K1826" s="2">
        <v>3672</v>
      </c>
      <c r="L1826" s="8" t="s">
        <v>5243</v>
      </c>
      <c r="M1826" s="2">
        <v>21.7</v>
      </c>
      <c r="N1826" s="8" t="s">
        <v>5242</v>
      </c>
      <c r="O1826" s="8" t="str">
        <f t="shared" si="180"/>
        <v>PDFを開く</v>
      </c>
      <c r="P1826" s="8" t="s">
        <v>1616</v>
      </c>
    </row>
    <row r="1827" spans="1:16" ht="33.950000000000003" customHeight="1">
      <c r="A1827" s="5" t="s">
        <v>1609</v>
      </c>
      <c r="B1827" s="5" t="s">
        <v>1595</v>
      </c>
      <c r="C1827" s="9" t="s">
        <v>1610</v>
      </c>
      <c r="D1827" s="5">
        <v>2</v>
      </c>
      <c r="E1827" s="9" t="s">
        <v>3184</v>
      </c>
      <c r="F1827" s="5" t="s">
        <v>86</v>
      </c>
      <c r="G1827" s="5" t="s">
        <v>3177</v>
      </c>
      <c r="H1827" s="5"/>
      <c r="I1827" s="9" t="s">
        <v>3686</v>
      </c>
      <c r="J1827" s="5">
        <v>2027</v>
      </c>
      <c r="K1827" s="5">
        <v>410</v>
      </c>
      <c r="L1827" s="9" t="s">
        <v>3617</v>
      </c>
      <c r="M1827" s="5">
        <v>8</v>
      </c>
      <c r="N1827" s="9" t="s">
        <v>5244</v>
      </c>
      <c r="O1827" s="9" t="str">
        <f t="shared" si="180"/>
        <v>PDFを開く</v>
      </c>
      <c r="P1827" s="9" t="s">
        <v>1616</v>
      </c>
    </row>
    <row r="1828" spans="1:16" ht="33.950000000000003" customHeight="1">
      <c r="A1828" s="2" t="s">
        <v>1609</v>
      </c>
      <c r="B1828" s="2" t="s">
        <v>1595</v>
      </c>
      <c r="C1828" s="8" t="s">
        <v>1610</v>
      </c>
      <c r="D1828" s="2">
        <v>2</v>
      </c>
      <c r="E1828" s="8" t="s">
        <v>3184</v>
      </c>
      <c r="F1828" s="2" t="s">
        <v>86</v>
      </c>
      <c r="G1828" s="2" t="s">
        <v>3177</v>
      </c>
      <c r="H1828" s="2"/>
      <c r="I1828" s="8" t="s">
        <v>3688</v>
      </c>
      <c r="J1828" s="2">
        <v>2030</v>
      </c>
      <c r="K1828" s="2">
        <v>516</v>
      </c>
      <c r="L1828" s="8" t="s">
        <v>3505</v>
      </c>
      <c r="M1828" s="2">
        <v>8</v>
      </c>
      <c r="N1828" s="8" t="s">
        <v>5244</v>
      </c>
      <c r="O1828" s="8" t="str">
        <f t="shared" si="180"/>
        <v>PDFを開く</v>
      </c>
      <c r="P1828" s="8" t="s">
        <v>1616</v>
      </c>
    </row>
    <row r="1829" spans="1:16" ht="33.950000000000003" customHeight="1">
      <c r="A1829" s="5" t="s">
        <v>1609</v>
      </c>
      <c r="B1829" s="5" t="s">
        <v>1595</v>
      </c>
      <c r="C1829" s="9" t="s">
        <v>1610</v>
      </c>
      <c r="D1829" s="5">
        <v>2</v>
      </c>
      <c r="E1829" s="9" t="s">
        <v>3191</v>
      </c>
      <c r="F1829" s="5" t="s">
        <v>2513</v>
      </c>
      <c r="G1829" s="5" t="s">
        <v>3177</v>
      </c>
      <c r="H1829" s="5"/>
      <c r="I1829" s="9" t="s">
        <v>3686</v>
      </c>
      <c r="J1829" s="5">
        <v>2027</v>
      </c>
      <c r="K1829" s="5">
        <v>100</v>
      </c>
      <c r="L1829" s="9" t="s">
        <v>3417</v>
      </c>
      <c r="M1829" s="5"/>
      <c r="N1829" s="9" t="s">
        <v>5245</v>
      </c>
      <c r="O1829" s="9" t="str">
        <f t="shared" si="180"/>
        <v>PDFを開く</v>
      </c>
      <c r="P1829" s="9" t="s">
        <v>1616</v>
      </c>
    </row>
    <row r="1830" spans="1:16" ht="33.950000000000003" customHeight="1">
      <c r="A1830" s="2" t="s">
        <v>1609</v>
      </c>
      <c r="B1830" s="2" t="s">
        <v>1595</v>
      </c>
      <c r="C1830" s="8" t="s">
        <v>1610</v>
      </c>
      <c r="D1830" s="2">
        <v>2</v>
      </c>
      <c r="E1830" s="8" t="s">
        <v>3191</v>
      </c>
      <c r="F1830" s="2" t="s">
        <v>2513</v>
      </c>
      <c r="G1830" s="2" t="s">
        <v>3177</v>
      </c>
      <c r="H1830" s="2"/>
      <c r="I1830" s="8" t="s">
        <v>3688</v>
      </c>
      <c r="J1830" s="2">
        <v>2030</v>
      </c>
      <c r="K1830" s="2">
        <v>125</v>
      </c>
      <c r="L1830" s="8" t="s">
        <v>4467</v>
      </c>
      <c r="M1830" s="2"/>
      <c r="N1830" s="8" t="s">
        <v>5245</v>
      </c>
      <c r="O1830" s="8" t="str">
        <f t="shared" si="180"/>
        <v>PDFを開く</v>
      </c>
      <c r="P1830" s="8" t="s">
        <v>1616</v>
      </c>
    </row>
    <row r="1831" spans="1:16" ht="33.950000000000003" customHeight="1">
      <c r="A1831" s="5" t="s">
        <v>1617</v>
      </c>
      <c r="B1831" s="5" t="s">
        <v>1595</v>
      </c>
      <c r="C1831" s="9" t="s">
        <v>1618</v>
      </c>
      <c r="D1831" s="5">
        <v>3</v>
      </c>
      <c r="E1831" s="9" t="s">
        <v>3176</v>
      </c>
      <c r="F1831" s="5" t="s">
        <v>86</v>
      </c>
      <c r="G1831" s="5" t="s">
        <v>3177</v>
      </c>
      <c r="H1831" s="5" t="s">
        <v>3178</v>
      </c>
      <c r="I1831" s="9" t="s">
        <v>3259</v>
      </c>
      <c r="J1831" s="5">
        <v>2027</v>
      </c>
      <c r="K1831" s="5">
        <v>416</v>
      </c>
      <c r="L1831" s="9" t="s">
        <v>5246</v>
      </c>
      <c r="M1831" s="5">
        <v>16.7</v>
      </c>
      <c r="N1831" s="9" t="s">
        <v>5247</v>
      </c>
      <c r="O1831" s="9" t="str">
        <f t="shared" ref="O1831:O1837" si="181">HYPERLINK("https://seichotoushi-hojo.jp/assets/pdf/koufu_3_4ji/outline_104.pdf","PDFを開く")</f>
        <v>PDFを開く</v>
      </c>
      <c r="P1831" s="9" t="s">
        <v>1624</v>
      </c>
    </row>
    <row r="1832" spans="1:16" ht="33.950000000000003" customHeight="1">
      <c r="A1832" s="2" t="s">
        <v>1617</v>
      </c>
      <c r="B1832" s="2" t="s">
        <v>1595</v>
      </c>
      <c r="C1832" s="8" t="s">
        <v>1618</v>
      </c>
      <c r="D1832" s="2">
        <v>3</v>
      </c>
      <c r="E1832" s="8" t="s">
        <v>3176</v>
      </c>
      <c r="F1832" s="2" t="s">
        <v>86</v>
      </c>
      <c r="G1832" s="2" t="s">
        <v>3177</v>
      </c>
      <c r="H1832" s="2" t="s">
        <v>3178</v>
      </c>
      <c r="I1832" s="8" t="s">
        <v>3262</v>
      </c>
      <c r="J1832" s="2">
        <v>2030</v>
      </c>
      <c r="K1832" s="2">
        <v>660</v>
      </c>
      <c r="L1832" s="8" t="s">
        <v>5248</v>
      </c>
      <c r="M1832" s="2">
        <v>16.7</v>
      </c>
      <c r="N1832" s="8" t="s">
        <v>5247</v>
      </c>
      <c r="O1832" s="8" t="str">
        <f t="shared" si="181"/>
        <v>PDFを開く</v>
      </c>
      <c r="P1832" s="8" t="s">
        <v>1624</v>
      </c>
    </row>
    <row r="1833" spans="1:16" ht="33.950000000000003" customHeight="1">
      <c r="A1833" s="5" t="s">
        <v>1617</v>
      </c>
      <c r="B1833" s="5" t="s">
        <v>1595</v>
      </c>
      <c r="C1833" s="9" t="s">
        <v>1618</v>
      </c>
      <c r="D1833" s="5">
        <v>3</v>
      </c>
      <c r="E1833" s="9" t="s">
        <v>3184</v>
      </c>
      <c r="F1833" s="5" t="s">
        <v>86</v>
      </c>
      <c r="G1833" s="5" t="s">
        <v>3177</v>
      </c>
      <c r="H1833" s="5" t="s">
        <v>3178</v>
      </c>
      <c r="I1833" s="9" t="s">
        <v>3259</v>
      </c>
      <c r="J1833" s="5">
        <v>2027</v>
      </c>
      <c r="K1833" s="5">
        <v>314</v>
      </c>
      <c r="L1833" s="9" t="s">
        <v>3345</v>
      </c>
      <c r="M1833" s="5">
        <v>6</v>
      </c>
      <c r="N1833" s="9" t="s">
        <v>5249</v>
      </c>
      <c r="O1833" s="9" t="str">
        <f t="shared" si="181"/>
        <v>PDFを開く</v>
      </c>
      <c r="P1833" s="9" t="s">
        <v>1624</v>
      </c>
    </row>
    <row r="1834" spans="1:16" ht="33.950000000000003" customHeight="1">
      <c r="A1834" s="2" t="s">
        <v>1617</v>
      </c>
      <c r="B1834" s="2" t="s">
        <v>1595</v>
      </c>
      <c r="C1834" s="8" t="s">
        <v>1618</v>
      </c>
      <c r="D1834" s="2">
        <v>3</v>
      </c>
      <c r="E1834" s="8" t="s">
        <v>3184</v>
      </c>
      <c r="F1834" s="2" t="s">
        <v>86</v>
      </c>
      <c r="G1834" s="2" t="s">
        <v>3177</v>
      </c>
      <c r="H1834" s="2" t="s">
        <v>3178</v>
      </c>
      <c r="I1834" s="8" t="s">
        <v>3262</v>
      </c>
      <c r="J1834" s="2">
        <v>2030</v>
      </c>
      <c r="K1834" s="2">
        <v>374</v>
      </c>
      <c r="L1834" s="8" t="s">
        <v>4731</v>
      </c>
      <c r="M1834" s="2">
        <v>6</v>
      </c>
      <c r="N1834" s="8" t="s">
        <v>5249</v>
      </c>
      <c r="O1834" s="8" t="str">
        <f t="shared" si="181"/>
        <v>PDFを開く</v>
      </c>
      <c r="P1834" s="8" t="s">
        <v>1624</v>
      </c>
    </row>
    <row r="1835" spans="1:16" ht="33.950000000000003" customHeight="1">
      <c r="A1835" s="5" t="s">
        <v>1617</v>
      </c>
      <c r="B1835" s="5" t="s">
        <v>1595</v>
      </c>
      <c r="C1835" s="9" t="s">
        <v>1618</v>
      </c>
      <c r="D1835" s="5">
        <v>3</v>
      </c>
      <c r="E1835" s="9" t="s">
        <v>3188</v>
      </c>
      <c r="F1835" s="5" t="s">
        <v>86</v>
      </c>
      <c r="G1835" s="19" t="s">
        <v>3189</v>
      </c>
      <c r="H1835" s="5" t="s">
        <v>3178</v>
      </c>
      <c r="I1835" s="9"/>
      <c r="J1835" s="5"/>
      <c r="K1835" s="5"/>
      <c r="L1835" s="9"/>
      <c r="M1835" s="5">
        <v>6</v>
      </c>
      <c r="N1835" s="9" t="s">
        <v>5250</v>
      </c>
      <c r="O1835" s="9" t="str">
        <f t="shared" si="181"/>
        <v>PDFを開く</v>
      </c>
      <c r="P1835" s="9" t="s">
        <v>1624</v>
      </c>
    </row>
    <row r="1836" spans="1:16" ht="33.950000000000003" customHeight="1">
      <c r="A1836" s="2" t="s">
        <v>1617</v>
      </c>
      <c r="B1836" s="2" t="s">
        <v>1595</v>
      </c>
      <c r="C1836" s="8" t="s">
        <v>1618</v>
      </c>
      <c r="D1836" s="2">
        <v>3</v>
      </c>
      <c r="E1836" s="8" t="s">
        <v>3191</v>
      </c>
      <c r="F1836" s="2" t="s">
        <v>2513</v>
      </c>
      <c r="G1836" s="2" t="s">
        <v>3177</v>
      </c>
      <c r="H1836" s="2" t="s">
        <v>3178</v>
      </c>
      <c r="I1836" s="8" t="s">
        <v>3259</v>
      </c>
      <c r="J1836" s="2">
        <v>2027</v>
      </c>
      <c r="K1836" s="2">
        <v>685</v>
      </c>
      <c r="L1836" s="8" t="s">
        <v>3995</v>
      </c>
      <c r="M1836" s="2"/>
      <c r="N1836" s="8" t="s">
        <v>5251</v>
      </c>
      <c r="O1836" s="8" t="str">
        <f t="shared" si="181"/>
        <v>PDFを開く</v>
      </c>
      <c r="P1836" s="8" t="s">
        <v>1624</v>
      </c>
    </row>
    <row r="1837" spans="1:16" ht="33.950000000000003" customHeight="1">
      <c r="A1837" s="5" t="s">
        <v>1617</v>
      </c>
      <c r="B1837" s="5" t="s">
        <v>1595</v>
      </c>
      <c r="C1837" s="9" t="s">
        <v>1618</v>
      </c>
      <c r="D1837" s="5">
        <v>3</v>
      </c>
      <c r="E1837" s="9" t="s">
        <v>3191</v>
      </c>
      <c r="F1837" s="5" t="s">
        <v>2513</v>
      </c>
      <c r="G1837" s="5" t="s">
        <v>3177</v>
      </c>
      <c r="H1837" s="5" t="s">
        <v>3178</v>
      </c>
      <c r="I1837" s="9" t="s">
        <v>3262</v>
      </c>
      <c r="J1837" s="5">
        <v>2030</v>
      </c>
      <c r="K1837" s="5">
        <v>795</v>
      </c>
      <c r="L1837" s="9" t="s">
        <v>3240</v>
      </c>
      <c r="M1837" s="5"/>
      <c r="N1837" s="9" t="s">
        <v>5251</v>
      </c>
      <c r="O1837" s="9" t="str">
        <f t="shared" si="181"/>
        <v>PDFを開く</v>
      </c>
      <c r="P1837" s="9" t="s">
        <v>1624</v>
      </c>
    </row>
    <row r="1838" spans="1:16" ht="33.950000000000003" customHeight="1">
      <c r="A1838" s="2" t="s">
        <v>1625</v>
      </c>
      <c r="B1838" s="2" t="s">
        <v>1595</v>
      </c>
      <c r="C1838" s="8" t="s">
        <v>1626</v>
      </c>
      <c r="D1838" s="2">
        <v>2</v>
      </c>
      <c r="E1838" s="8" t="s">
        <v>3176</v>
      </c>
      <c r="F1838" s="2" t="s">
        <v>86</v>
      </c>
      <c r="G1838" s="2" t="s">
        <v>3177</v>
      </c>
      <c r="H1838" s="2" t="s">
        <v>3178</v>
      </c>
      <c r="I1838" s="8" t="s">
        <v>3259</v>
      </c>
      <c r="J1838" s="2">
        <v>2027</v>
      </c>
      <c r="K1838" s="2">
        <v>1190</v>
      </c>
      <c r="L1838" s="8" t="s">
        <v>5252</v>
      </c>
      <c r="M1838" s="2">
        <v>5.2</v>
      </c>
      <c r="N1838" s="8" t="s">
        <v>5253</v>
      </c>
      <c r="O1838" s="8" t="str">
        <f t="shared" ref="O1838:O1857" si="182">HYPERLINK("https://seichotoushi-hojo.jp/assets/pdf/koufu_3_4ji/outline_105.pdf","PDFを開く")</f>
        <v>PDFを開く</v>
      </c>
      <c r="P1838" s="8" t="s">
        <v>1631</v>
      </c>
    </row>
    <row r="1839" spans="1:16" ht="33.950000000000003" customHeight="1">
      <c r="A1839" s="5" t="s">
        <v>1625</v>
      </c>
      <c r="B1839" s="5" t="s">
        <v>1595</v>
      </c>
      <c r="C1839" s="9" t="s">
        <v>1626</v>
      </c>
      <c r="D1839" s="5">
        <v>2</v>
      </c>
      <c r="E1839" s="9" t="s">
        <v>3176</v>
      </c>
      <c r="F1839" s="5" t="s">
        <v>86</v>
      </c>
      <c r="G1839" s="5" t="s">
        <v>3177</v>
      </c>
      <c r="H1839" s="5" t="s">
        <v>3178</v>
      </c>
      <c r="I1839" s="9" t="s">
        <v>3262</v>
      </c>
      <c r="J1839" s="5">
        <v>2030</v>
      </c>
      <c r="K1839" s="5">
        <v>1385</v>
      </c>
      <c r="L1839" s="9" t="s">
        <v>5229</v>
      </c>
      <c r="M1839" s="5">
        <v>5.2</v>
      </c>
      <c r="N1839" s="9" t="s">
        <v>5253</v>
      </c>
      <c r="O1839" s="9" t="str">
        <f t="shared" si="182"/>
        <v>PDFを開く</v>
      </c>
      <c r="P1839" s="9" t="s">
        <v>1631</v>
      </c>
    </row>
    <row r="1840" spans="1:16" ht="33.950000000000003" customHeight="1">
      <c r="A1840" s="2" t="s">
        <v>1625</v>
      </c>
      <c r="B1840" s="2" t="s">
        <v>1595</v>
      </c>
      <c r="C1840" s="8" t="s">
        <v>1626</v>
      </c>
      <c r="D1840" s="2">
        <v>2</v>
      </c>
      <c r="E1840" s="8" t="s">
        <v>3184</v>
      </c>
      <c r="F1840" s="2" t="s">
        <v>86</v>
      </c>
      <c r="G1840" s="19" t="s">
        <v>3494</v>
      </c>
      <c r="H1840" s="2" t="s">
        <v>3178</v>
      </c>
      <c r="I1840" s="8" t="s">
        <v>3259</v>
      </c>
      <c r="J1840" s="2">
        <v>2027</v>
      </c>
      <c r="K1840" s="2">
        <v>502</v>
      </c>
      <c r="L1840" s="8" t="s">
        <v>4276</v>
      </c>
      <c r="M1840" s="2">
        <v>5.5</v>
      </c>
      <c r="N1840" s="8" t="s">
        <v>5254</v>
      </c>
      <c r="O1840" s="8" t="str">
        <f t="shared" si="182"/>
        <v>PDFを開く</v>
      </c>
      <c r="P1840" s="8" t="s">
        <v>1631</v>
      </c>
    </row>
    <row r="1841" spans="1:16" ht="33.950000000000003" customHeight="1">
      <c r="A1841" s="5" t="s">
        <v>1625</v>
      </c>
      <c r="B1841" s="5" t="s">
        <v>1595</v>
      </c>
      <c r="C1841" s="9" t="s">
        <v>1626</v>
      </c>
      <c r="D1841" s="5">
        <v>2</v>
      </c>
      <c r="E1841" s="9" t="s">
        <v>3184</v>
      </c>
      <c r="F1841" s="5" t="s">
        <v>86</v>
      </c>
      <c r="G1841" s="19" t="s">
        <v>3494</v>
      </c>
      <c r="H1841" s="5" t="s">
        <v>3178</v>
      </c>
      <c r="I1841" s="9"/>
      <c r="J1841" s="5"/>
      <c r="K1841" s="5">
        <v>567</v>
      </c>
      <c r="L1841" s="9" t="s">
        <v>3940</v>
      </c>
      <c r="M1841" s="5">
        <v>5.5</v>
      </c>
      <c r="N1841" s="9" t="s">
        <v>5254</v>
      </c>
      <c r="O1841" s="9" t="str">
        <f t="shared" si="182"/>
        <v>PDFを開く</v>
      </c>
      <c r="P1841" s="9" t="s">
        <v>1631</v>
      </c>
    </row>
    <row r="1842" spans="1:16" ht="33.950000000000003" customHeight="1">
      <c r="A1842" s="2" t="s">
        <v>1625</v>
      </c>
      <c r="B1842" s="2" t="s">
        <v>1595</v>
      </c>
      <c r="C1842" s="8" t="s">
        <v>1626</v>
      </c>
      <c r="D1842" s="2">
        <v>2</v>
      </c>
      <c r="E1842" s="8" t="s">
        <v>3184</v>
      </c>
      <c r="F1842" s="2" t="s">
        <v>86</v>
      </c>
      <c r="G1842" s="19" t="s">
        <v>3494</v>
      </c>
      <c r="H1842" s="2" t="s">
        <v>3178</v>
      </c>
      <c r="I1842" s="8" t="s">
        <v>3262</v>
      </c>
      <c r="J1842" s="2">
        <v>2030</v>
      </c>
      <c r="K1842" s="2">
        <v>589</v>
      </c>
      <c r="L1842" s="8" t="s">
        <v>3533</v>
      </c>
      <c r="M1842" s="2">
        <v>5.5</v>
      </c>
      <c r="N1842" s="8" t="s">
        <v>5254</v>
      </c>
      <c r="O1842" s="8" t="str">
        <f t="shared" si="182"/>
        <v>PDFを開く</v>
      </c>
      <c r="P1842" s="8" t="s">
        <v>1631</v>
      </c>
    </row>
    <row r="1843" spans="1:16" ht="33.950000000000003" customHeight="1">
      <c r="A1843" s="5" t="s">
        <v>1625</v>
      </c>
      <c r="B1843" s="5" t="s">
        <v>1595</v>
      </c>
      <c r="C1843" s="9" t="s">
        <v>1626</v>
      </c>
      <c r="D1843" s="5">
        <v>2</v>
      </c>
      <c r="E1843" s="9" t="s">
        <v>3184</v>
      </c>
      <c r="F1843" s="5" t="s">
        <v>86</v>
      </c>
      <c r="G1843" s="19" t="s">
        <v>3494</v>
      </c>
      <c r="H1843" s="5" t="s">
        <v>3178</v>
      </c>
      <c r="I1843" s="9"/>
      <c r="J1843" s="5"/>
      <c r="K1843" s="5">
        <v>666</v>
      </c>
      <c r="L1843" s="9" t="s">
        <v>5255</v>
      </c>
      <c r="M1843" s="5">
        <v>5.5</v>
      </c>
      <c r="N1843" s="9" t="s">
        <v>5254</v>
      </c>
      <c r="O1843" s="9" t="str">
        <f t="shared" si="182"/>
        <v>PDFを開く</v>
      </c>
      <c r="P1843" s="9" t="s">
        <v>1631</v>
      </c>
    </row>
    <row r="1844" spans="1:16" ht="33.950000000000003" customHeight="1">
      <c r="A1844" s="2" t="s">
        <v>1625</v>
      </c>
      <c r="B1844" s="2" t="s">
        <v>1595</v>
      </c>
      <c r="C1844" s="8" t="s">
        <v>1626</v>
      </c>
      <c r="D1844" s="2">
        <v>2</v>
      </c>
      <c r="E1844" s="8" t="s">
        <v>3188</v>
      </c>
      <c r="F1844" s="2" t="s">
        <v>86</v>
      </c>
      <c r="G1844" s="19" t="s">
        <v>3494</v>
      </c>
      <c r="H1844" s="2" t="s">
        <v>3178</v>
      </c>
      <c r="I1844" s="8" t="s">
        <v>3259</v>
      </c>
      <c r="J1844" s="2">
        <v>2027</v>
      </c>
      <c r="K1844" s="2">
        <v>716</v>
      </c>
      <c r="L1844" s="8" t="s">
        <v>4883</v>
      </c>
      <c r="M1844" s="2">
        <v>5</v>
      </c>
      <c r="N1844" s="8" t="s">
        <v>5256</v>
      </c>
      <c r="O1844" s="8" t="str">
        <f t="shared" si="182"/>
        <v>PDFを開く</v>
      </c>
      <c r="P1844" s="8" t="s">
        <v>1631</v>
      </c>
    </row>
    <row r="1845" spans="1:16" ht="33.950000000000003" customHeight="1">
      <c r="A1845" s="5" t="s">
        <v>1625</v>
      </c>
      <c r="B1845" s="5" t="s">
        <v>1595</v>
      </c>
      <c r="C1845" s="9" t="s">
        <v>1626</v>
      </c>
      <c r="D1845" s="5">
        <v>2</v>
      </c>
      <c r="E1845" s="9" t="s">
        <v>3188</v>
      </c>
      <c r="F1845" s="5" t="s">
        <v>86</v>
      </c>
      <c r="G1845" s="19" t="s">
        <v>3494</v>
      </c>
      <c r="H1845" s="5" t="s">
        <v>3178</v>
      </c>
      <c r="I1845" s="9"/>
      <c r="J1845" s="5"/>
      <c r="K1845" s="5">
        <v>716</v>
      </c>
      <c r="L1845" s="9" t="s">
        <v>4883</v>
      </c>
      <c r="M1845" s="5">
        <v>5</v>
      </c>
      <c r="N1845" s="9" t="s">
        <v>5256</v>
      </c>
      <c r="O1845" s="9" t="str">
        <f t="shared" si="182"/>
        <v>PDFを開く</v>
      </c>
      <c r="P1845" s="9" t="s">
        <v>1631</v>
      </c>
    </row>
    <row r="1846" spans="1:16" ht="33.950000000000003" customHeight="1">
      <c r="A1846" s="2" t="s">
        <v>1625</v>
      </c>
      <c r="B1846" s="2" t="s">
        <v>1595</v>
      </c>
      <c r="C1846" s="8" t="s">
        <v>1626</v>
      </c>
      <c r="D1846" s="2">
        <v>2</v>
      </c>
      <c r="E1846" s="8" t="s">
        <v>3188</v>
      </c>
      <c r="F1846" s="2" t="s">
        <v>86</v>
      </c>
      <c r="G1846" s="19" t="s">
        <v>3494</v>
      </c>
      <c r="H1846" s="2" t="s">
        <v>3178</v>
      </c>
      <c r="I1846" s="8" t="s">
        <v>3262</v>
      </c>
      <c r="J1846" s="2">
        <v>2030</v>
      </c>
      <c r="K1846" s="2">
        <v>828</v>
      </c>
      <c r="L1846" s="8" t="s">
        <v>5235</v>
      </c>
      <c r="M1846" s="2">
        <v>5</v>
      </c>
      <c r="N1846" s="8" t="s">
        <v>5256</v>
      </c>
      <c r="O1846" s="8" t="str">
        <f t="shared" si="182"/>
        <v>PDFを開く</v>
      </c>
      <c r="P1846" s="8" t="s">
        <v>1631</v>
      </c>
    </row>
    <row r="1847" spans="1:16" ht="33.950000000000003" customHeight="1">
      <c r="A1847" s="5" t="s">
        <v>1625</v>
      </c>
      <c r="B1847" s="5" t="s">
        <v>1595</v>
      </c>
      <c r="C1847" s="9" t="s">
        <v>1626</v>
      </c>
      <c r="D1847" s="5">
        <v>2</v>
      </c>
      <c r="E1847" s="9" t="s">
        <v>3188</v>
      </c>
      <c r="F1847" s="5" t="s">
        <v>86</v>
      </c>
      <c r="G1847" s="19" t="s">
        <v>3494</v>
      </c>
      <c r="H1847" s="5" t="s">
        <v>3178</v>
      </c>
      <c r="I1847" s="9"/>
      <c r="J1847" s="5"/>
      <c r="K1847" s="5">
        <v>828</v>
      </c>
      <c r="L1847" s="9" t="s">
        <v>5235</v>
      </c>
      <c r="M1847" s="5">
        <v>5</v>
      </c>
      <c r="N1847" s="9" t="s">
        <v>5256</v>
      </c>
      <c r="O1847" s="9" t="str">
        <f t="shared" si="182"/>
        <v>PDFを開く</v>
      </c>
      <c r="P1847" s="9" t="s">
        <v>1631</v>
      </c>
    </row>
    <row r="1848" spans="1:16" ht="33.950000000000003" customHeight="1">
      <c r="A1848" s="2" t="s">
        <v>1625</v>
      </c>
      <c r="B1848" s="2" t="s">
        <v>1595</v>
      </c>
      <c r="C1848" s="8" t="s">
        <v>1626</v>
      </c>
      <c r="D1848" s="2">
        <v>2</v>
      </c>
      <c r="E1848" s="8" t="s">
        <v>3191</v>
      </c>
      <c r="F1848" s="2" t="s">
        <v>2513</v>
      </c>
      <c r="G1848" s="19" t="s">
        <v>3494</v>
      </c>
      <c r="H1848" s="2" t="s">
        <v>3178</v>
      </c>
      <c r="I1848" s="8" t="s">
        <v>3259</v>
      </c>
      <c r="J1848" s="2">
        <v>2027</v>
      </c>
      <c r="K1848" s="2">
        <v>829</v>
      </c>
      <c r="L1848" s="8" t="s">
        <v>5257</v>
      </c>
      <c r="M1848" s="2"/>
      <c r="N1848" s="8" t="s">
        <v>5258</v>
      </c>
      <c r="O1848" s="8" t="str">
        <f t="shared" si="182"/>
        <v>PDFを開く</v>
      </c>
      <c r="P1848" s="8" t="s">
        <v>1631</v>
      </c>
    </row>
    <row r="1849" spans="1:16" ht="33.950000000000003" customHeight="1">
      <c r="A1849" s="5" t="s">
        <v>1625</v>
      </c>
      <c r="B1849" s="5" t="s">
        <v>1595</v>
      </c>
      <c r="C1849" s="9" t="s">
        <v>1626</v>
      </c>
      <c r="D1849" s="5">
        <v>2</v>
      </c>
      <c r="E1849" s="9" t="s">
        <v>3191</v>
      </c>
      <c r="F1849" s="5" t="s">
        <v>2513</v>
      </c>
      <c r="G1849" s="19" t="s">
        <v>3494</v>
      </c>
      <c r="H1849" s="5" t="s">
        <v>3178</v>
      </c>
      <c r="I1849" s="9"/>
      <c r="J1849" s="5"/>
      <c r="K1849" s="5">
        <v>341</v>
      </c>
      <c r="L1849" s="9" t="s">
        <v>5259</v>
      </c>
      <c r="M1849" s="5"/>
      <c r="N1849" s="9" t="s">
        <v>5258</v>
      </c>
      <c r="O1849" s="9" t="str">
        <f t="shared" si="182"/>
        <v>PDFを開く</v>
      </c>
      <c r="P1849" s="9" t="s">
        <v>1631</v>
      </c>
    </row>
    <row r="1850" spans="1:16" ht="33.950000000000003" customHeight="1">
      <c r="A1850" s="2" t="s">
        <v>1625</v>
      </c>
      <c r="B1850" s="2" t="s">
        <v>1595</v>
      </c>
      <c r="C1850" s="8" t="s">
        <v>1626</v>
      </c>
      <c r="D1850" s="2">
        <v>2</v>
      </c>
      <c r="E1850" s="8" t="s">
        <v>3191</v>
      </c>
      <c r="F1850" s="2" t="s">
        <v>2513</v>
      </c>
      <c r="G1850" s="19" t="s">
        <v>3494</v>
      </c>
      <c r="H1850" s="2" t="s">
        <v>3178</v>
      </c>
      <c r="I1850" s="8" t="s">
        <v>3262</v>
      </c>
      <c r="J1850" s="2">
        <v>2030</v>
      </c>
      <c r="K1850" s="2">
        <v>864</v>
      </c>
      <c r="L1850" s="8" t="s">
        <v>5260</v>
      </c>
      <c r="M1850" s="2"/>
      <c r="N1850" s="8" t="s">
        <v>5258</v>
      </c>
      <c r="O1850" s="8" t="str">
        <f t="shared" si="182"/>
        <v>PDFを開く</v>
      </c>
      <c r="P1850" s="8" t="s">
        <v>1631</v>
      </c>
    </row>
    <row r="1851" spans="1:16" ht="33.950000000000003" customHeight="1">
      <c r="A1851" s="5" t="s">
        <v>1625</v>
      </c>
      <c r="B1851" s="5" t="s">
        <v>1595</v>
      </c>
      <c r="C1851" s="9" t="s">
        <v>1626</v>
      </c>
      <c r="D1851" s="5">
        <v>2</v>
      </c>
      <c r="E1851" s="9" t="s">
        <v>3191</v>
      </c>
      <c r="F1851" s="5" t="s">
        <v>2513</v>
      </c>
      <c r="G1851" s="19" t="s">
        <v>3494</v>
      </c>
      <c r="H1851" s="5" t="s">
        <v>3178</v>
      </c>
      <c r="I1851" s="9"/>
      <c r="J1851" s="5"/>
      <c r="K1851" s="5">
        <v>341</v>
      </c>
      <c r="L1851" s="9" t="s">
        <v>5259</v>
      </c>
      <c r="M1851" s="5"/>
      <c r="N1851" s="9" t="s">
        <v>5258</v>
      </c>
      <c r="O1851" s="9" t="str">
        <f t="shared" si="182"/>
        <v>PDFを開く</v>
      </c>
      <c r="P1851" s="9" t="s">
        <v>1631</v>
      </c>
    </row>
    <row r="1852" spans="1:16" ht="33.950000000000003" customHeight="1">
      <c r="A1852" s="2" t="s">
        <v>1625</v>
      </c>
      <c r="B1852" s="2" t="s">
        <v>1595</v>
      </c>
      <c r="C1852" s="8" t="s">
        <v>1626</v>
      </c>
      <c r="D1852" s="2">
        <v>2</v>
      </c>
      <c r="E1852" s="8" t="s">
        <v>3188</v>
      </c>
      <c r="F1852" s="2" t="s">
        <v>86</v>
      </c>
      <c r="G1852" s="2" t="s">
        <v>3177</v>
      </c>
      <c r="H1852" s="2" t="s">
        <v>3178</v>
      </c>
      <c r="I1852" s="8" t="s">
        <v>3259</v>
      </c>
      <c r="J1852" s="2">
        <v>2027</v>
      </c>
      <c r="K1852" s="2">
        <v>716</v>
      </c>
      <c r="L1852" s="8" t="s">
        <v>4883</v>
      </c>
      <c r="M1852" s="2">
        <v>5</v>
      </c>
      <c r="N1852" s="8" t="s">
        <v>5256</v>
      </c>
      <c r="O1852" s="8" t="str">
        <f t="shared" si="182"/>
        <v>PDFを開く</v>
      </c>
      <c r="P1852" s="8" t="s">
        <v>1631</v>
      </c>
    </row>
    <row r="1853" spans="1:16" ht="33.950000000000003" customHeight="1">
      <c r="A1853" s="5" t="s">
        <v>1625</v>
      </c>
      <c r="B1853" s="5" t="s">
        <v>1595</v>
      </c>
      <c r="C1853" s="9" t="s">
        <v>1626</v>
      </c>
      <c r="D1853" s="5">
        <v>2</v>
      </c>
      <c r="E1853" s="9" t="s">
        <v>3188</v>
      </c>
      <c r="F1853" s="5" t="s">
        <v>86</v>
      </c>
      <c r="G1853" s="5" t="s">
        <v>3177</v>
      </c>
      <c r="H1853" s="5" t="s">
        <v>3178</v>
      </c>
      <c r="I1853" s="9" t="s">
        <v>3262</v>
      </c>
      <c r="J1853" s="5">
        <v>2030</v>
      </c>
      <c r="K1853" s="5">
        <v>828</v>
      </c>
      <c r="L1853" s="9" t="s">
        <v>5235</v>
      </c>
      <c r="M1853" s="5">
        <v>5</v>
      </c>
      <c r="N1853" s="9" t="s">
        <v>5256</v>
      </c>
      <c r="O1853" s="9" t="str">
        <f t="shared" si="182"/>
        <v>PDFを開く</v>
      </c>
      <c r="P1853" s="9" t="s">
        <v>1631</v>
      </c>
    </row>
    <row r="1854" spans="1:16" ht="33.950000000000003" customHeight="1">
      <c r="A1854" s="2" t="s">
        <v>1625</v>
      </c>
      <c r="B1854" s="2" t="s">
        <v>1595</v>
      </c>
      <c r="C1854" s="8" t="s">
        <v>1626</v>
      </c>
      <c r="D1854" s="2">
        <v>2</v>
      </c>
      <c r="E1854" s="8" t="s">
        <v>3191</v>
      </c>
      <c r="F1854" s="2" t="s">
        <v>2513</v>
      </c>
      <c r="G1854" s="2" t="s">
        <v>3177</v>
      </c>
      <c r="H1854" s="2" t="s">
        <v>3178</v>
      </c>
      <c r="I1854" s="8" t="s">
        <v>3259</v>
      </c>
      <c r="J1854" s="2">
        <v>2027</v>
      </c>
      <c r="K1854" s="2">
        <v>829</v>
      </c>
      <c r="L1854" s="8" t="s">
        <v>5257</v>
      </c>
      <c r="M1854" s="2"/>
      <c r="N1854" s="8" t="s">
        <v>5258</v>
      </c>
      <c r="O1854" s="8" t="str">
        <f t="shared" si="182"/>
        <v>PDFを開く</v>
      </c>
      <c r="P1854" s="8" t="s">
        <v>1631</v>
      </c>
    </row>
    <row r="1855" spans="1:16" ht="33.950000000000003" customHeight="1">
      <c r="A1855" s="5" t="s">
        <v>1625</v>
      </c>
      <c r="B1855" s="5" t="s">
        <v>1595</v>
      </c>
      <c r="C1855" s="9" t="s">
        <v>1626</v>
      </c>
      <c r="D1855" s="5">
        <v>2</v>
      </c>
      <c r="E1855" s="9" t="s">
        <v>3191</v>
      </c>
      <c r="F1855" s="5" t="s">
        <v>2513</v>
      </c>
      <c r="G1855" s="5" t="s">
        <v>3177</v>
      </c>
      <c r="H1855" s="5" t="s">
        <v>3178</v>
      </c>
      <c r="I1855" s="9" t="s">
        <v>3262</v>
      </c>
      <c r="J1855" s="5">
        <v>2030</v>
      </c>
      <c r="K1855" s="5">
        <v>864</v>
      </c>
      <c r="L1855" s="9" t="s">
        <v>5260</v>
      </c>
      <c r="M1855" s="5"/>
      <c r="N1855" s="9" t="s">
        <v>5258</v>
      </c>
      <c r="O1855" s="9" t="str">
        <f t="shared" si="182"/>
        <v>PDFを開く</v>
      </c>
      <c r="P1855" s="9" t="s">
        <v>1631</v>
      </c>
    </row>
    <row r="1856" spans="1:16" ht="33.950000000000003" customHeight="1">
      <c r="A1856" s="2" t="s">
        <v>1625</v>
      </c>
      <c r="B1856" s="2" t="s">
        <v>1595</v>
      </c>
      <c r="C1856" s="8" t="s">
        <v>1626</v>
      </c>
      <c r="D1856" s="2">
        <v>2</v>
      </c>
      <c r="E1856" s="8" t="s">
        <v>3184</v>
      </c>
      <c r="F1856" s="2" t="s">
        <v>86</v>
      </c>
      <c r="G1856" s="2" t="s">
        <v>3177</v>
      </c>
      <c r="H1856" s="2" t="s">
        <v>3178</v>
      </c>
      <c r="I1856" s="8" t="s">
        <v>3259</v>
      </c>
      <c r="J1856" s="2">
        <v>2027</v>
      </c>
      <c r="K1856" s="2">
        <v>502</v>
      </c>
      <c r="L1856" s="8" t="s">
        <v>4276</v>
      </c>
      <c r="M1856" s="2">
        <v>5.5</v>
      </c>
      <c r="N1856" s="8" t="s">
        <v>5254</v>
      </c>
      <c r="O1856" s="8" t="str">
        <f t="shared" si="182"/>
        <v>PDFを開く</v>
      </c>
      <c r="P1856" s="8" t="s">
        <v>1631</v>
      </c>
    </row>
    <row r="1857" spans="1:16" ht="33.950000000000003" customHeight="1">
      <c r="A1857" s="5" t="s">
        <v>1625</v>
      </c>
      <c r="B1857" s="5" t="s">
        <v>1595</v>
      </c>
      <c r="C1857" s="9" t="s">
        <v>1626</v>
      </c>
      <c r="D1857" s="5">
        <v>2</v>
      </c>
      <c r="E1857" s="9" t="s">
        <v>3184</v>
      </c>
      <c r="F1857" s="5" t="s">
        <v>86</v>
      </c>
      <c r="G1857" s="5" t="s">
        <v>3177</v>
      </c>
      <c r="H1857" s="5" t="s">
        <v>3178</v>
      </c>
      <c r="I1857" s="9" t="s">
        <v>3262</v>
      </c>
      <c r="J1857" s="5">
        <v>2030</v>
      </c>
      <c r="K1857" s="5">
        <v>589</v>
      </c>
      <c r="L1857" s="9" t="s">
        <v>3533</v>
      </c>
      <c r="M1857" s="5">
        <v>5.5</v>
      </c>
      <c r="N1857" s="9" t="s">
        <v>5254</v>
      </c>
      <c r="O1857" s="9" t="str">
        <f t="shared" si="182"/>
        <v>PDFを開く</v>
      </c>
      <c r="P1857" s="9" t="s">
        <v>1631</v>
      </c>
    </row>
    <row r="1858" spans="1:16" ht="33.950000000000003" customHeight="1">
      <c r="A1858" s="2" t="s">
        <v>1632</v>
      </c>
      <c r="B1858" s="2" t="s">
        <v>1595</v>
      </c>
      <c r="C1858" s="8" t="s">
        <v>1633</v>
      </c>
      <c r="D1858" s="2">
        <v>2</v>
      </c>
      <c r="E1858" s="8" t="s">
        <v>3176</v>
      </c>
      <c r="F1858" s="2" t="s">
        <v>86</v>
      </c>
      <c r="G1858" s="19" t="s">
        <v>3189</v>
      </c>
      <c r="H1858" s="2" t="s">
        <v>3178</v>
      </c>
      <c r="I1858" s="8" t="s">
        <v>5261</v>
      </c>
      <c r="J1858" s="2">
        <v>2030</v>
      </c>
      <c r="K1858" s="2">
        <v>5771</v>
      </c>
      <c r="L1858" s="8" t="s">
        <v>5262</v>
      </c>
      <c r="M1858" s="2">
        <v>21.1</v>
      </c>
      <c r="N1858" s="8" t="s">
        <v>5263</v>
      </c>
      <c r="O1858" s="8" t="str">
        <f t="shared" ref="O1858:O1869" si="183">HYPERLINK("https://seichotoushi-hojo.jp/assets/pdf/koufu_3_4ji/outline_106.pdf","PDFを開く")</f>
        <v>PDFを開く</v>
      </c>
      <c r="P1858" s="8" t="s">
        <v>1639</v>
      </c>
    </row>
    <row r="1859" spans="1:16" ht="33.950000000000003" customHeight="1">
      <c r="A1859" s="5" t="s">
        <v>1632</v>
      </c>
      <c r="B1859" s="5" t="s">
        <v>1595</v>
      </c>
      <c r="C1859" s="9" t="s">
        <v>1633</v>
      </c>
      <c r="D1859" s="5">
        <v>2</v>
      </c>
      <c r="E1859" s="9" t="s">
        <v>3176</v>
      </c>
      <c r="F1859" s="5" t="s">
        <v>86</v>
      </c>
      <c r="G1859" s="19" t="s">
        <v>3189</v>
      </c>
      <c r="H1859" s="5" t="s">
        <v>3178</v>
      </c>
      <c r="I1859" s="9" t="s">
        <v>5261</v>
      </c>
      <c r="J1859" s="5">
        <v>2030</v>
      </c>
      <c r="K1859" s="5">
        <v>351</v>
      </c>
      <c r="L1859" s="9" t="s">
        <v>5264</v>
      </c>
      <c r="M1859" s="5">
        <v>21.1</v>
      </c>
      <c r="N1859" s="9" t="s">
        <v>5263</v>
      </c>
      <c r="O1859" s="9" t="str">
        <f t="shared" si="183"/>
        <v>PDFを開く</v>
      </c>
      <c r="P1859" s="9" t="s">
        <v>1639</v>
      </c>
    </row>
    <row r="1860" spans="1:16" ht="33.950000000000003" customHeight="1">
      <c r="A1860" s="2" t="s">
        <v>1632</v>
      </c>
      <c r="B1860" s="2" t="s">
        <v>1595</v>
      </c>
      <c r="C1860" s="8" t="s">
        <v>1633</v>
      </c>
      <c r="D1860" s="2">
        <v>2</v>
      </c>
      <c r="E1860" s="8" t="s">
        <v>3176</v>
      </c>
      <c r="F1860" s="2" t="s">
        <v>86</v>
      </c>
      <c r="G1860" s="19" t="s">
        <v>3189</v>
      </c>
      <c r="H1860" s="2" t="s">
        <v>3178</v>
      </c>
      <c r="I1860" s="8" t="s">
        <v>5265</v>
      </c>
      <c r="J1860" s="2">
        <v>2027</v>
      </c>
      <c r="K1860" s="2">
        <v>3252</v>
      </c>
      <c r="L1860" s="8" t="s">
        <v>5266</v>
      </c>
      <c r="M1860" s="2">
        <v>21.1</v>
      </c>
      <c r="N1860" s="8" t="s">
        <v>5263</v>
      </c>
      <c r="O1860" s="8" t="str">
        <f t="shared" si="183"/>
        <v>PDFを開く</v>
      </c>
      <c r="P1860" s="8" t="s">
        <v>1639</v>
      </c>
    </row>
    <row r="1861" spans="1:16" ht="33.950000000000003" customHeight="1">
      <c r="A1861" s="5" t="s">
        <v>1632</v>
      </c>
      <c r="B1861" s="5" t="s">
        <v>1595</v>
      </c>
      <c r="C1861" s="9" t="s">
        <v>1633</v>
      </c>
      <c r="D1861" s="5">
        <v>2</v>
      </c>
      <c r="E1861" s="9" t="s">
        <v>3176</v>
      </c>
      <c r="F1861" s="5" t="s">
        <v>86</v>
      </c>
      <c r="G1861" s="19" t="s">
        <v>3189</v>
      </c>
      <c r="H1861" s="5" t="s">
        <v>3178</v>
      </c>
      <c r="I1861" s="9" t="s">
        <v>5265</v>
      </c>
      <c r="J1861" s="5">
        <v>2027</v>
      </c>
      <c r="K1861" s="5">
        <v>1</v>
      </c>
      <c r="L1861" s="9" t="s">
        <v>4529</v>
      </c>
      <c r="M1861" s="5">
        <v>21.1</v>
      </c>
      <c r="N1861" s="9" t="s">
        <v>5263</v>
      </c>
      <c r="O1861" s="9" t="str">
        <f t="shared" si="183"/>
        <v>PDFを開く</v>
      </c>
      <c r="P1861" s="9" t="s">
        <v>1639</v>
      </c>
    </row>
    <row r="1862" spans="1:16" ht="33.950000000000003" customHeight="1">
      <c r="A1862" s="2" t="s">
        <v>1632</v>
      </c>
      <c r="B1862" s="2" t="s">
        <v>1595</v>
      </c>
      <c r="C1862" s="8" t="s">
        <v>1633</v>
      </c>
      <c r="D1862" s="2">
        <v>2</v>
      </c>
      <c r="E1862" s="8" t="s">
        <v>3176</v>
      </c>
      <c r="F1862" s="2" t="s">
        <v>86</v>
      </c>
      <c r="G1862" s="19" t="s">
        <v>3189</v>
      </c>
      <c r="H1862" s="2" t="s">
        <v>3178</v>
      </c>
      <c r="I1862" s="8" t="s">
        <v>5265</v>
      </c>
      <c r="J1862" s="2">
        <v>2027</v>
      </c>
      <c r="K1862" s="2">
        <v>295</v>
      </c>
      <c r="L1862" s="8" t="s">
        <v>5267</v>
      </c>
      <c r="M1862" s="2">
        <v>21.1</v>
      </c>
      <c r="N1862" s="8" t="s">
        <v>5263</v>
      </c>
      <c r="O1862" s="8" t="str">
        <f t="shared" si="183"/>
        <v>PDFを開く</v>
      </c>
      <c r="P1862" s="8" t="s">
        <v>1639</v>
      </c>
    </row>
    <row r="1863" spans="1:16" ht="33.950000000000003" customHeight="1">
      <c r="A1863" s="5" t="s">
        <v>1632</v>
      </c>
      <c r="B1863" s="5" t="s">
        <v>1595</v>
      </c>
      <c r="C1863" s="9" t="s">
        <v>1633</v>
      </c>
      <c r="D1863" s="5">
        <v>2</v>
      </c>
      <c r="E1863" s="9" t="s">
        <v>3176</v>
      </c>
      <c r="F1863" s="5" t="s">
        <v>86</v>
      </c>
      <c r="G1863" s="19" t="s">
        <v>3189</v>
      </c>
      <c r="H1863" s="5" t="s">
        <v>3178</v>
      </c>
      <c r="I1863" s="9" t="s">
        <v>5265</v>
      </c>
      <c r="J1863" s="5">
        <v>2027</v>
      </c>
      <c r="K1863" s="5">
        <v>1</v>
      </c>
      <c r="L1863" s="9" t="s">
        <v>4529</v>
      </c>
      <c r="M1863" s="5">
        <v>21.1</v>
      </c>
      <c r="N1863" s="9" t="s">
        <v>5263</v>
      </c>
      <c r="O1863" s="9" t="str">
        <f t="shared" si="183"/>
        <v>PDFを開く</v>
      </c>
      <c r="P1863" s="9" t="s">
        <v>1639</v>
      </c>
    </row>
    <row r="1864" spans="1:16" ht="33.950000000000003" customHeight="1">
      <c r="A1864" s="2" t="s">
        <v>1632</v>
      </c>
      <c r="B1864" s="2" t="s">
        <v>1595</v>
      </c>
      <c r="C1864" s="8" t="s">
        <v>1633</v>
      </c>
      <c r="D1864" s="2">
        <v>2</v>
      </c>
      <c r="E1864" s="8" t="s">
        <v>3191</v>
      </c>
      <c r="F1864" s="2" t="s">
        <v>2513</v>
      </c>
      <c r="G1864" s="2" t="s">
        <v>3177</v>
      </c>
      <c r="H1864" s="2"/>
      <c r="I1864" s="8" t="s">
        <v>5265</v>
      </c>
      <c r="J1864" s="2">
        <v>2027</v>
      </c>
      <c r="K1864" s="2">
        <v>62</v>
      </c>
      <c r="L1864" s="8" t="s">
        <v>3961</v>
      </c>
      <c r="M1864" s="2"/>
      <c r="N1864" s="8" t="s">
        <v>5268</v>
      </c>
      <c r="O1864" s="8" t="str">
        <f t="shared" si="183"/>
        <v>PDFを開く</v>
      </c>
      <c r="P1864" s="8" t="s">
        <v>1639</v>
      </c>
    </row>
    <row r="1865" spans="1:16" ht="33.950000000000003" customHeight="1">
      <c r="A1865" s="5" t="s">
        <v>1632</v>
      </c>
      <c r="B1865" s="5" t="s">
        <v>1595</v>
      </c>
      <c r="C1865" s="9" t="s">
        <v>1633</v>
      </c>
      <c r="D1865" s="5">
        <v>2</v>
      </c>
      <c r="E1865" s="9" t="s">
        <v>3191</v>
      </c>
      <c r="F1865" s="5" t="s">
        <v>2513</v>
      </c>
      <c r="G1865" s="5" t="s">
        <v>3177</v>
      </c>
      <c r="H1865" s="5"/>
      <c r="I1865" s="9" t="s">
        <v>5261</v>
      </c>
      <c r="J1865" s="5">
        <v>2030</v>
      </c>
      <c r="K1865" s="5">
        <v>72</v>
      </c>
      <c r="L1865" s="9" t="s">
        <v>3657</v>
      </c>
      <c r="M1865" s="5"/>
      <c r="N1865" s="9" t="s">
        <v>5268</v>
      </c>
      <c r="O1865" s="9" t="str">
        <f t="shared" si="183"/>
        <v>PDFを開く</v>
      </c>
      <c r="P1865" s="9" t="s">
        <v>1639</v>
      </c>
    </row>
    <row r="1866" spans="1:16" ht="33.950000000000003" customHeight="1">
      <c r="A1866" s="2" t="s">
        <v>1632</v>
      </c>
      <c r="B1866" s="2" t="s">
        <v>1595</v>
      </c>
      <c r="C1866" s="8" t="s">
        <v>1633</v>
      </c>
      <c r="D1866" s="2">
        <v>2</v>
      </c>
      <c r="E1866" s="8" t="s">
        <v>3184</v>
      </c>
      <c r="F1866" s="2" t="s">
        <v>86</v>
      </c>
      <c r="G1866" s="2" t="s">
        <v>3177</v>
      </c>
      <c r="H1866" s="2"/>
      <c r="I1866" s="8" t="s">
        <v>3686</v>
      </c>
      <c r="J1866" s="2">
        <v>2027</v>
      </c>
      <c r="K1866" s="2">
        <v>295</v>
      </c>
      <c r="L1866" s="8" t="s">
        <v>5267</v>
      </c>
      <c r="M1866" s="2">
        <v>6</v>
      </c>
      <c r="N1866" s="8" t="s">
        <v>5269</v>
      </c>
      <c r="O1866" s="8" t="str">
        <f t="shared" si="183"/>
        <v>PDFを開く</v>
      </c>
      <c r="P1866" s="8" t="s">
        <v>1639</v>
      </c>
    </row>
    <row r="1867" spans="1:16" ht="33.950000000000003" customHeight="1">
      <c r="A1867" s="5" t="s">
        <v>1632</v>
      </c>
      <c r="B1867" s="5" t="s">
        <v>1595</v>
      </c>
      <c r="C1867" s="9" t="s">
        <v>1633</v>
      </c>
      <c r="D1867" s="5">
        <v>2</v>
      </c>
      <c r="E1867" s="9" t="s">
        <v>3184</v>
      </c>
      <c r="F1867" s="5" t="s">
        <v>86</v>
      </c>
      <c r="G1867" s="5" t="s">
        <v>3177</v>
      </c>
      <c r="H1867" s="5"/>
      <c r="I1867" s="9" t="s">
        <v>3688</v>
      </c>
      <c r="J1867" s="5">
        <v>2030</v>
      </c>
      <c r="K1867" s="5">
        <v>351</v>
      </c>
      <c r="L1867" s="9" t="s">
        <v>5264</v>
      </c>
      <c r="M1867" s="5">
        <v>6</v>
      </c>
      <c r="N1867" s="9" t="s">
        <v>5269</v>
      </c>
      <c r="O1867" s="9" t="str">
        <f t="shared" si="183"/>
        <v>PDFを開く</v>
      </c>
      <c r="P1867" s="9" t="s">
        <v>1639</v>
      </c>
    </row>
    <row r="1868" spans="1:16" ht="33.950000000000003" customHeight="1">
      <c r="A1868" s="2" t="s">
        <v>1632</v>
      </c>
      <c r="B1868" s="2" t="s">
        <v>1595</v>
      </c>
      <c r="C1868" s="8" t="s">
        <v>1633</v>
      </c>
      <c r="D1868" s="2">
        <v>2</v>
      </c>
      <c r="E1868" s="8" t="s">
        <v>3176</v>
      </c>
      <c r="F1868" s="2" t="s">
        <v>86</v>
      </c>
      <c r="G1868" s="2" t="s">
        <v>3177</v>
      </c>
      <c r="H1868" s="2" t="s">
        <v>3178</v>
      </c>
      <c r="I1868" s="8" t="s">
        <v>5265</v>
      </c>
      <c r="J1868" s="2">
        <v>2027</v>
      </c>
      <c r="K1868" s="2">
        <v>3252</v>
      </c>
      <c r="L1868" s="8" t="s">
        <v>5266</v>
      </c>
      <c r="M1868" s="2">
        <v>21.1</v>
      </c>
      <c r="N1868" s="8" t="s">
        <v>5263</v>
      </c>
      <c r="O1868" s="8" t="str">
        <f t="shared" si="183"/>
        <v>PDFを開く</v>
      </c>
      <c r="P1868" s="8" t="s">
        <v>1639</v>
      </c>
    </row>
    <row r="1869" spans="1:16" ht="33.950000000000003" customHeight="1">
      <c r="A1869" s="5" t="s">
        <v>1632</v>
      </c>
      <c r="B1869" s="5" t="s">
        <v>1595</v>
      </c>
      <c r="C1869" s="9" t="s">
        <v>1633</v>
      </c>
      <c r="D1869" s="5">
        <v>2</v>
      </c>
      <c r="E1869" s="9" t="s">
        <v>3176</v>
      </c>
      <c r="F1869" s="5" t="s">
        <v>86</v>
      </c>
      <c r="G1869" s="5" t="s">
        <v>3177</v>
      </c>
      <c r="H1869" s="5" t="s">
        <v>3178</v>
      </c>
      <c r="I1869" s="9" t="s">
        <v>5261</v>
      </c>
      <c r="J1869" s="5">
        <v>2030</v>
      </c>
      <c r="K1869" s="5">
        <v>5771</v>
      </c>
      <c r="L1869" s="9" t="s">
        <v>5262</v>
      </c>
      <c r="M1869" s="5">
        <v>21.1</v>
      </c>
      <c r="N1869" s="9" t="s">
        <v>5263</v>
      </c>
      <c r="O1869" s="9" t="str">
        <f t="shared" si="183"/>
        <v>PDFを開く</v>
      </c>
      <c r="P1869" s="9" t="s">
        <v>1639</v>
      </c>
    </row>
    <row r="1870" spans="1:16" ht="33.950000000000003" customHeight="1">
      <c r="A1870" s="2" t="s">
        <v>1640</v>
      </c>
      <c r="B1870" s="2" t="s">
        <v>1595</v>
      </c>
      <c r="C1870" s="8" t="s">
        <v>1641</v>
      </c>
      <c r="D1870" s="2">
        <v>2</v>
      </c>
      <c r="E1870" s="8" t="s">
        <v>3176</v>
      </c>
      <c r="F1870" s="2" t="s">
        <v>86</v>
      </c>
      <c r="G1870" s="2" t="s">
        <v>3177</v>
      </c>
      <c r="H1870" s="2" t="s">
        <v>3178</v>
      </c>
      <c r="I1870" s="8" t="s">
        <v>3259</v>
      </c>
      <c r="J1870" s="2">
        <v>2027</v>
      </c>
      <c r="K1870" s="2">
        <v>1723</v>
      </c>
      <c r="L1870" s="8" t="s">
        <v>5270</v>
      </c>
      <c r="M1870" s="2">
        <v>20</v>
      </c>
      <c r="N1870" s="8" t="s">
        <v>5271</v>
      </c>
      <c r="O1870" s="8" t="str">
        <f t="shared" ref="O1870:O1876" si="184">HYPERLINK("https://seichotoushi-hojo.jp/assets/pdf/koufu_3_4ji/outline_108.pdf","PDFを開く")</f>
        <v>PDFを開く</v>
      </c>
      <c r="P1870" s="8" t="s">
        <v>1648</v>
      </c>
    </row>
    <row r="1871" spans="1:16" ht="33.950000000000003" customHeight="1">
      <c r="A1871" s="5" t="s">
        <v>1640</v>
      </c>
      <c r="B1871" s="5" t="s">
        <v>1595</v>
      </c>
      <c r="C1871" s="9" t="s">
        <v>1641</v>
      </c>
      <c r="D1871" s="5">
        <v>2</v>
      </c>
      <c r="E1871" s="9" t="s">
        <v>3176</v>
      </c>
      <c r="F1871" s="5" t="s">
        <v>86</v>
      </c>
      <c r="G1871" s="5" t="s">
        <v>3177</v>
      </c>
      <c r="H1871" s="5" t="s">
        <v>3178</v>
      </c>
      <c r="I1871" s="9" t="s">
        <v>3262</v>
      </c>
      <c r="J1871" s="5">
        <v>2030</v>
      </c>
      <c r="K1871" s="5">
        <v>2975</v>
      </c>
      <c r="L1871" s="9" t="s">
        <v>5272</v>
      </c>
      <c r="M1871" s="5">
        <v>20</v>
      </c>
      <c r="N1871" s="9" t="s">
        <v>5271</v>
      </c>
      <c r="O1871" s="9" t="str">
        <f t="shared" si="184"/>
        <v>PDFを開く</v>
      </c>
      <c r="P1871" s="9" t="s">
        <v>1648</v>
      </c>
    </row>
    <row r="1872" spans="1:16" ht="33.950000000000003" customHeight="1">
      <c r="A1872" s="2" t="s">
        <v>1640</v>
      </c>
      <c r="B1872" s="2" t="s">
        <v>1595</v>
      </c>
      <c r="C1872" s="8" t="s">
        <v>1641</v>
      </c>
      <c r="D1872" s="2">
        <v>2</v>
      </c>
      <c r="E1872" s="8" t="s">
        <v>3184</v>
      </c>
      <c r="F1872" s="2" t="s">
        <v>86</v>
      </c>
      <c r="G1872" s="2" t="s">
        <v>3177</v>
      </c>
      <c r="H1872" s="2" t="s">
        <v>3178</v>
      </c>
      <c r="I1872" s="8" t="s">
        <v>3259</v>
      </c>
      <c r="J1872" s="2">
        <v>2027</v>
      </c>
      <c r="K1872" s="2">
        <v>469</v>
      </c>
      <c r="L1872" s="8" t="s">
        <v>3712</v>
      </c>
      <c r="M1872" s="2">
        <v>6.1</v>
      </c>
      <c r="N1872" s="8" t="s">
        <v>5273</v>
      </c>
      <c r="O1872" s="8" t="str">
        <f t="shared" si="184"/>
        <v>PDFを開く</v>
      </c>
      <c r="P1872" s="8" t="s">
        <v>1648</v>
      </c>
    </row>
    <row r="1873" spans="1:16" ht="33.950000000000003" customHeight="1">
      <c r="A1873" s="5" t="s">
        <v>1640</v>
      </c>
      <c r="B1873" s="5" t="s">
        <v>1595</v>
      </c>
      <c r="C1873" s="9" t="s">
        <v>1641</v>
      </c>
      <c r="D1873" s="5">
        <v>2</v>
      </c>
      <c r="E1873" s="9" t="s">
        <v>3184</v>
      </c>
      <c r="F1873" s="5" t="s">
        <v>86</v>
      </c>
      <c r="G1873" s="5" t="s">
        <v>3177</v>
      </c>
      <c r="H1873" s="5" t="s">
        <v>3178</v>
      </c>
      <c r="I1873" s="9" t="s">
        <v>3262</v>
      </c>
      <c r="J1873" s="5">
        <v>2030</v>
      </c>
      <c r="K1873" s="5">
        <v>560</v>
      </c>
      <c r="L1873" s="9" t="s">
        <v>3637</v>
      </c>
      <c r="M1873" s="5">
        <v>6.1</v>
      </c>
      <c r="N1873" s="9" t="s">
        <v>5273</v>
      </c>
      <c r="O1873" s="9" t="str">
        <f t="shared" si="184"/>
        <v>PDFを開く</v>
      </c>
      <c r="P1873" s="9" t="s">
        <v>1648</v>
      </c>
    </row>
    <row r="1874" spans="1:16" ht="33.950000000000003" customHeight="1">
      <c r="A1874" s="2" t="s">
        <v>1640</v>
      </c>
      <c r="B1874" s="2" t="s">
        <v>1595</v>
      </c>
      <c r="C1874" s="8" t="s">
        <v>1641</v>
      </c>
      <c r="D1874" s="2">
        <v>2</v>
      </c>
      <c r="E1874" s="8" t="s">
        <v>3188</v>
      </c>
      <c r="F1874" s="2" t="s">
        <v>86</v>
      </c>
      <c r="G1874" s="19" t="s">
        <v>3189</v>
      </c>
      <c r="H1874" s="2" t="s">
        <v>3178</v>
      </c>
      <c r="I1874" s="8"/>
      <c r="J1874" s="2"/>
      <c r="K1874" s="2"/>
      <c r="L1874" s="8"/>
      <c r="M1874" s="2"/>
      <c r="N1874" s="8" t="s">
        <v>3488</v>
      </c>
      <c r="O1874" s="8" t="str">
        <f t="shared" si="184"/>
        <v>PDFを開く</v>
      </c>
      <c r="P1874" s="8" t="s">
        <v>1648</v>
      </c>
    </row>
    <row r="1875" spans="1:16" ht="33.950000000000003" customHeight="1">
      <c r="A1875" s="5" t="s">
        <v>1640</v>
      </c>
      <c r="B1875" s="5" t="s">
        <v>1595</v>
      </c>
      <c r="C1875" s="9" t="s">
        <v>1641</v>
      </c>
      <c r="D1875" s="5">
        <v>2</v>
      </c>
      <c r="E1875" s="9" t="s">
        <v>3191</v>
      </c>
      <c r="F1875" s="5" t="s">
        <v>2513</v>
      </c>
      <c r="G1875" s="5" t="s">
        <v>3177</v>
      </c>
      <c r="H1875" s="5" t="s">
        <v>3178</v>
      </c>
      <c r="I1875" s="9" t="s">
        <v>3259</v>
      </c>
      <c r="J1875" s="5">
        <v>2027</v>
      </c>
      <c r="K1875" s="5">
        <v>161</v>
      </c>
      <c r="L1875" s="9" t="s">
        <v>5274</v>
      </c>
      <c r="M1875" s="5"/>
      <c r="N1875" s="9" t="s">
        <v>5275</v>
      </c>
      <c r="O1875" s="9" t="str">
        <f t="shared" si="184"/>
        <v>PDFを開く</v>
      </c>
      <c r="P1875" s="9" t="s">
        <v>1648</v>
      </c>
    </row>
    <row r="1876" spans="1:16" ht="33.950000000000003" customHeight="1">
      <c r="A1876" s="2" t="s">
        <v>1640</v>
      </c>
      <c r="B1876" s="2" t="s">
        <v>1595</v>
      </c>
      <c r="C1876" s="8" t="s">
        <v>1641</v>
      </c>
      <c r="D1876" s="2">
        <v>2</v>
      </c>
      <c r="E1876" s="8" t="s">
        <v>3191</v>
      </c>
      <c r="F1876" s="2" t="s">
        <v>2513</v>
      </c>
      <c r="G1876" s="2" t="s">
        <v>3177</v>
      </c>
      <c r="H1876" s="2" t="s">
        <v>3178</v>
      </c>
      <c r="I1876" s="8" t="s">
        <v>3262</v>
      </c>
      <c r="J1876" s="2">
        <v>2030</v>
      </c>
      <c r="K1876" s="2">
        <v>167</v>
      </c>
      <c r="L1876" s="8" t="s">
        <v>5276</v>
      </c>
      <c r="M1876" s="2"/>
      <c r="N1876" s="8" t="s">
        <v>5275</v>
      </c>
      <c r="O1876" s="8" t="str">
        <f t="shared" si="184"/>
        <v>PDFを開く</v>
      </c>
      <c r="P1876" s="8" t="s">
        <v>1648</v>
      </c>
    </row>
    <row r="1877" spans="1:16" ht="33.950000000000003" customHeight="1">
      <c r="A1877" s="5" t="s">
        <v>1649</v>
      </c>
      <c r="B1877" s="5" t="s">
        <v>1595</v>
      </c>
      <c r="C1877" s="9" t="s">
        <v>1650</v>
      </c>
      <c r="D1877" s="5">
        <v>2</v>
      </c>
      <c r="E1877" s="9" t="s">
        <v>3176</v>
      </c>
      <c r="F1877" s="5" t="s">
        <v>86</v>
      </c>
      <c r="G1877" s="5" t="s">
        <v>3177</v>
      </c>
      <c r="H1877" s="5" t="s">
        <v>3178</v>
      </c>
      <c r="I1877" s="9" t="s">
        <v>3259</v>
      </c>
      <c r="J1877" s="5">
        <v>2027</v>
      </c>
      <c r="K1877" s="5">
        <v>523</v>
      </c>
      <c r="L1877" s="9" t="s">
        <v>4304</v>
      </c>
      <c r="M1877" s="5">
        <v>24.9</v>
      </c>
      <c r="N1877" s="9" t="s">
        <v>5277</v>
      </c>
      <c r="O1877" s="9" t="str">
        <f t="shared" ref="O1877:O1885" si="185">HYPERLINK("https://seichotoushi-hojo.jp/assets/pdf/koufu_3_4ji/outline_109.pdf","PDFを開く")</f>
        <v>PDFを開く</v>
      </c>
      <c r="P1877" s="9" t="s">
        <v>1655</v>
      </c>
    </row>
    <row r="1878" spans="1:16" ht="33.950000000000003" customHeight="1">
      <c r="A1878" s="2" t="s">
        <v>1649</v>
      </c>
      <c r="B1878" s="2" t="s">
        <v>1595</v>
      </c>
      <c r="C1878" s="8" t="s">
        <v>1650</v>
      </c>
      <c r="D1878" s="2">
        <v>2</v>
      </c>
      <c r="E1878" s="8" t="s">
        <v>3176</v>
      </c>
      <c r="F1878" s="2" t="s">
        <v>86</v>
      </c>
      <c r="G1878" s="2" t="s">
        <v>3177</v>
      </c>
      <c r="H1878" s="2" t="s">
        <v>3178</v>
      </c>
      <c r="I1878" s="8" t="s">
        <v>3262</v>
      </c>
      <c r="J1878" s="2">
        <v>2030</v>
      </c>
      <c r="K1878" s="2">
        <v>1019</v>
      </c>
      <c r="L1878" s="8" t="s">
        <v>5278</v>
      </c>
      <c r="M1878" s="2">
        <v>24.9</v>
      </c>
      <c r="N1878" s="8" t="s">
        <v>5277</v>
      </c>
      <c r="O1878" s="8" t="str">
        <f t="shared" si="185"/>
        <v>PDFを開く</v>
      </c>
      <c r="P1878" s="8" t="s">
        <v>1655</v>
      </c>
    </row>
    <row r="1879" spans="1:16" ht="33.950000000000003" customHeight="1">
      <c r="A1879" s="5" t="s">
        <v>1649</v>
      </c>
      <c r="B1879" s="5" t="s">
        <v>1595</v>
      </c>
      <c r="C1879" s="9" t="s">
        <v>1650</v>
      </c>
      <c r="D1879" s="5">
        <v>2</v>
      </c>
      <c r="E1879" s="9" t="s">
        <v>3184</v>
      </c>
      <c r="F1879" s="5" t="s">
        <v>86</v>
      </c>
      <c r="G1879" s="5" t="s">
        <v>3177</v>
      </c>
      <c r="H1879" s="5" t="s">
        <v>3178</v>
      </c>
      <c r="I1879" s="9" t="s">
        <v>3259</v>
      </c>
      <c r="J1879" s="5">
        <v>2027</v>
      </c>
      <c r="K1879" s="5">
        <v>377</v>
      </c>
      <c r="L1879" s="9" t="s">
        <v>5279</v>
      </c>
      <c r="M1879" s="5">
        <v>7</v>
      </c>
      <c r="N1879" s="9" t="s">
        <v>5280</v>
      </c>
      <c r="O1879" s="9" t="str">
        <f t="shared" si="185"/>
        <v>PDFを開く</v>
      </c>
      <c r="P1879" s="9" t="s">
        <v>1655</v>
      </c>
    </row>
    <row r="1880" spans="1:16" ht="33.950000000000003" customHeight="1">
      <c r="A1880" s="2" t="s">
        <v>1649</v>
      </c>
      <c r="B1880" s="2" t="s">
        <v>1595</v>
      </c>
      <c r="C1880" s="8" t="s">
        <v>1650</v>
      </c>
      <c r="D1880" s="2">
        <v>2</v>
      </c>
      <c r="E1880" s="8" t="s">
        <v>3184</v>
      </c>
      <c r="F1880" s="2" t="s">
        <v>86</v>
      </c>
      <c r="G1880" s="2" t="s">
        <v>3177</v>
      </c>
      <c r="H1880" s="2" t="s">
        <v>3178</v>
      </c>
      <c r="I1880" s="8" t="s">
        <v>3262</v>
      </c>
      <c r="J1880" s="2">
        <v>2030</v>
      </c>
      <c r="K1880" s="2">
        <v>462</v>
      </c>
      <c r="L1880" s="8" t="s">
        <v>5281</v>
      </c>
      <c r="M1880" s="2">
        <v>7</v>
      </c>
      <c r="N1880" s="8" t="s">
        <v>5280</v>
      </c>
      <c r="O1880" s="8" t="str">
        <f t="shared" si="185"/>
        <v>PDFを開く</v>
      </c>
      <c r="P1880" s="8" t="s">
        <v>1655</v>
      </c>
    </row>
    <row r="1881" spans="1:16" ht="33.950000000000003" customHeight="1">
      <c r="A1881" s="5" t="s">
        <v>1649</v>
      </c>
      <c r="B1881" s="5" t="s">
        <v>1595</v>
      </c>
      <c r="C1881" s="9" t="s">
        <v>1650</v>
      </c>
      <c r="D1881" s="5">
        <v>2</v>
      </c>
      <c r="E1881" s="9" t="s">
        <v>3188</v>
      </c>
      <c r="F1881" s="5" t="s">
        <v>86</v>
      </c>
      <c r="G1881" s="19" t="s">
        <v>3189</v>
      </c>
      <c r="H1881" s="5" t="s">
        <v>3178</v>
      </c>
      <c r="I1881" s="9"/>
      <c r="J1881" s="5"/>
      <c r="K1881" s="5"/>
      <c r="L1881" s="9"/>
      <c r="M1881" s="5">
        <v>5</v>
      </c>
      <c r="N1881" s="9" t="s">
        <v>3377</v>
      </c>
      <c r="O1881" s="9" t="str">
        <f t="shared" si="185"/>
        <v>PDFを開く</v>
      </c>
      <c r="P1881" s="9" t="s">
        <v>1655</v>
      </c>
    </row>
    <row r="1882" spans="1:16" ht="33.950000000000003" customHeight="1">
      <c r="A1882" s="2" t="s">
        <v>1649</v>
      </c>
      <c r="B1882" s="2" t="s">
        <v>1595</v>
      </c>
      <c r="C1882" s="8" t="s">
        <v>1650</v>
      </c>
      <c r="D1882" s="2">
        <v>2</v>
      </c>
      <c r="E1882" s="8" t="s">
        <v>3191</v>
      </c>
      <c r="F1882" s="2" t="s">
        <v>2513</v>
      </c>
      <c r="G1882" s="2" t="s">
        <v>3177</v>
      </c>
      <c r="H1882" s="2" t="s">
        <v>3178</v>
      </c>
      <c r="I1882" s="8" t="s">
        <v>3259</v>
      </c>
      <c r="J1882" s="2">
        <v>2027</v>
      </c>
      <c r="K1882" s="2">
        <v>221</v>
      </c>
      <c r="L1882" s="8" t="s">
        <v>5282</v>
      </c>
      <c r="M1882" s="2"/>
      <c r="N1882" s="8" t="s">
        <v>5283</v>
      </c>
      <c r="O1882" s="8" t="str">
        <f t="shared" si="185"/>
        <v>PDFを開く</v>
      </c>
      <c r="P1882" s="8" t="s">
        <v>1655</v>
      </c>
    </row>
    <row r="1883" spans="1:16" ht="33.950000000000003" customHeight="1">
      <c r="A1883" s="5" t="s">
        <v>1649</v>
      </c>
      <c r="B1883" s="5" t="s">
        <v>1595</v>
      </c>
      <c r="C1883" s="9" t="s">
        <v>1650</v>
      </c>
      <c r="D1883" s="5">
        <v>2</v>
      </c>
      <c r="E1883" s="9" t="s">
        <v>3191</v>
      </c>
      <c r="F1883" s="5" t="s">
        <v>2513</v>
      </c>
      <c r="G1883" s="5" t="s">
        <v>3177</v>
      </c>
      <c r="H1883" s="5" t="s">
        <v>3178</v>
      </c>
      <c r="I1883" s="9" t="s">
        <v>3262</v>
      </c>
      <c r="J1883" s="5">
        <v>2030</v>
      </c>
      <c r="K1883" s="5">
        <v>230</v>
      </c>
      <c r="L1883" s="9" t="s">
        <v>4898</v>
      </c>
      <c r="M1883" s="5"/>
      <c r="N1883" s="9" t="s">
        <v>5283</v>
      </c>
      <c r="O1883" s="9" t="str">
        <f t="shared" si="185"/>
        <v>PDFを開く</v>
      </c>
      <c r="P1883" s="9" t="s">
        <v>1655</v>
      </c>
    </row>
    <row r="1884" spans="1:16" ht="33.950000000000003" customHeight="1">
      <c r="A1884" s="2" t="s">
        <v>1649</v>
      </c>
      <c r="B1884" s="2" t="s">
        <v>1595</v>
      </c>
      <c r="C1884" s="8" t="s">
        <v>1650</v>
      </c>
      <c r="D1884" s="2">
        <v>2</v>
      </c>
      <c r="E1884" s="8" t="s">
        <v>3188</v>
      </c>
      <c r="F1884" s="2" t="s">
        <v>86</v>
      </c>
      <c r="G1884" s="2" t="s">
        <v>3177</v>
      </c>
      <c r="H1884" s="2"/>
      <c r="I1884" s="8" t="s">
        <v>5284</v>
      </c>
      <c r="J1884" s="2">
        <v>2027</v>
      </c>
      <c r="K1884" s="2"/>
      <c r="L1884" s="8" t="s">
        <v>3211</v>
      </c>
      <c r="M1884" s="2">
        <v>5</v>
      </c>
      <c r="N1884" s="8" t="s">
        <v>3382</v>
      </c>
      <c r="O1884" s="8" t="str">
        <f t="shared" si="185"/>
        <v>PDFを開く</v>
      </c>
      <c r="P1884" s="8" t="s">
        <v>1655</v>
      </c>
    </row>
    <row r="1885" spans="1:16" ht="33.950000000000003" customHeight="1">
      <c r="A1885" s="5" t="s">
        <v>1649</v>
      </c>
      <c r="B1885" s="5" t="s">
        <v>1595</v>
      </c>
      <c r="C1885" s="9" t="s">
        <v>1650</v>
      </c>
      <c r="D1885" s="5">
        <v>2</v>
      </c>
      <c r="E1885" s="9" t="s">
        <v>3188</v>
      </c>
      <c r="F1885" s="5" t="s">
        <v>86</v>
      </c>
      <c r="G1885" s="5" t="s">
        <v>3177</v>
      </c>
      <c r="H1885" s="5"/>
      <c r="I1885" s="9" t="s">
        <v>5285</v>
      </c>
      <c r="J1885" s="5">
        <v>2030</v>
      </c>
      <c r="K1885" s="5"/>
      <c r="L1885" s="9" t="s">
        <v>3384</v>
      </c>
      <c r="M1885" s="5">
        <v>5</v>
      </c>
      <c r="N1885" s="9" t="s">
        <v>3382</v>
      </c>
      <c r="O1885" s="9" t="str">
        <f t="shared" si="185"/>
        <v>PDFを開く</v>
      </c>
      <c r="P1885" s="9" t="s">
        <v>1655</v>
      </c>
    </row>
    <row r="1886" spans="1:16" ht="33.950000000000003" customHeight="1">
      <c r="A1886" s="2" t="s">
        <v>1656</v>
      </c>
      <c r="B1886" s="2" t="s">
        <v>1595</v>
      </c>
      <c r="C1886" s="8" t="s">
        <v>1657</v>
      </c>
      <c r="D1886" s="2">
        <v>2</v>
      </c>
      <c r="E1886" s="8" t="s">
        <v>3176</v>
      </c>
      <c r="F1886" s="2" t="s">
        <v>86</v>
      </c>
      <c r="G1886" s="2" t="s">
        <v>3177</v>
      </c>
      <c r="H1886" s="2"/>
      <c r="I1886" s="8" t="s">
        <v>5286</v>
      </c>
      <c r="J1886" s="2">
        <v>2028</v>
      </c>
      <c r="K1886" s="2">
        <v>658</v>
      </c>
      <c r="L1886" s="8" t="s">
        <v>5287</v>
      </c>
      <c r="M1886" s="2">
        <v>25.2</v>
      </c>
      <c r="N1886" s="8" t="s">
        <v>5288</v>
      </c>
      <c r="O1886" s="8" t="str">
        <f t="shared" ref="O1886:O1913" si="186">HYPERLINK("https://seichotoushi-hojo.jp/assets/pdf/koufu_3_4ji/outline_11.pdf","PDFを開く")</f>
        <v>PDFを開く</v>
      </c>
      <c r="P1886" s="8" t="s">
        <v>1662</v>
      </c>
    </row>
    <row r="1887" spans="1:16" ht="33.950000000000003" customHeight="1">
      <c r="A1887" s="5" t="s">
        <v>1656</v>
      </c>
      <c r="B1887" s="5" t="s">
        <v>1595</v>
      </c>
      <c r="C1887" s="9" t="s">
        <v>1657</v>
      </c>
      <c r="D1887" s="5">
        <v>2</v>
      </c>
      <c r="E1887" s="9" t="s">
        <v>3176</v>
      </c>
      <c r="F1887" s="5" t="s">
        <v>86</v>
      </c>
      <c r="G1887" s="5" t="s">
        <v>3177</v>
      </c>
      <c r="H1887" s="5"/>
      <c r="I1887" s="9" t="s">
        <v>5289</v>
      </c>
      <c r="J1887" s="5">
        <v>2031</v>
      </c>
      <c r="K1887" s="5">
        <v>1291</v>
      </c>
      <c r="L1887" s="9" t="s">
        <v>4502</v>
      </c>
      <c r="M1887" s="5">
        <v>25.2</v>
      </c>
      <c r="N1887" s="9" t="s">
        <v>5288</v>
      </c>
      <c r="O1887" s="9" t="str">
        <f t="shared" si="186"/>
        <v>PDFを開く</v>
      </c>
      <c r="P1887" s="9" t="s">
        <v>1662</v>
      </c>
    </row>
    <row r="1888" spans="1:16" ht="33.950000000000003" customHeight="1">
      <c r="A1888" s="2" t="s">
        <v>1656</v>
      </c>
      <c r="B1888" s="2" t="s">
        <v>1595</v>
      </c>
      <c r="C1888" s="8" t="s">
        <v>1657</v>
      </c>
      <c r="D1888" s="2">
        <v>2</v>
      </c>
      <c r="E1888" s="8" t="s">
        <v>3184</v>
      </c>
      <c r="F1888" s="2"/>
      <c r="G1888" s="19" t="s">
        <v>3494</v>
      </c>
      <c r="H1888" s="2"/>
      <c r="I1888" s="8" t="s">
        <v>5286</v>
      </c>
      <c r="J1888" s="2">
        <v>2028</v>
      </c>
      <c r="K1888" s="2">
        <v>344</v>
      </c>
      <c r="L1888" s="8" t="s">
        <v>5290</v>
      </c>
      <c r="M1888" s="2">
        <v>7</v>
      </c>
      <c r="N1888" s="8" t="s">
        <v>5291</v>
      </c>
      <c r="O1888" s="8" t="str">
        <f t="shared" si="186"/>
        <v>PDFを開く</v>
      </c>
      <c r="P1888" s="8" t="s">
        <v>1662</v>
      </c>
    </row>
    <row r="1889" spans="1:16" ht="33.950000000000003" customHeight="1">
      <c r="A1889" s="5" t="s">
        <v>1656</v>
      </c>
      <c r="B1889" s="5" t="s">
        <v>1595</v>
      </c>
      <c r="C1889" s="9" t="s">
        <v>1657</v>
      </c>
      <c r="D1889" s="5">
        <v>2</v>
      </c>
      <c r="E1889" s="9" t="s">
        <v>3184</v>
      </c>
      <c r="F1889" s="5"/>
      <c r="G1889" s="19" t="s">
        <v>3494</v>
      </c>
      <c r="H1889" s="5"/>
      <c r="I1889" s="9" t="s">
        <v>5289</v>
      </c>
      <c r="J1889" s="5">
        <v>2031</v>
      </c>
      <c r="K1889" s="5">
        <v>422</v>
      </c>
      <c r="L1889" s="9" t="s">
        <v>5108</v>
      </c>
      <c r="M1889" s="5">
        <v>7</v>
      </c>
      <c r="N1889" s="9" t="s">
        <v>5291</v>
      </c>
      <c r="O1889" s="9" t="str">
        <f t="shared" si="186"/>
        <v>PDFを開く</v>
      </c>
      <c r="P1889" s="9" t="s">
        <v>1662</v>
      </c>
    </row>
    <row r="1890" spans="1:16" ht="33.950000000000003" customHeight="1">
      <c r="A1890" s="2" t="s">
        <v>1656</v>
      </c>
      <c r="B1890" s="2" t="s">
        <v>1595</v>
      </c>
      <c r="C1890" s="8" t="s">
        <v>1657</v>
      </c>
      <c r="D1890" s="2">
        <v>2</v>
      </c>
      <c r="E1890" s="8" t="s">
        <v>3184</v>
      </c>
      <c r="F1890" s="2"/>
      <c r="G1890" s="19" t="s">
        <v>3494</v>
      </c>
      <c r="H1890" s="2"/>
      <c r="I1890" s="8" t="s">
        <v>5286</v>
      </c>
      <c r="J1890" s="2">
        <v>2028</v>
      </c>
      <c r="K1890" s="2">
        <v>344</v>
      </c>
      <c r="L1890" s="8" t="s">
        <v>5290</v>
      </c>
      <c r="M1890" s="2">
        <v>7</v>
      </c>
      <c r="N1890" s="8" t="s">
        <v>5292</v>
      </c>
      <c r="O1890" s="8" t="str">
        <f t="shared" si="186"/>
        <v>PDFを開く</v>
      </c>
      <c r="P1890" s="8" t="s">
        <v>1662</v>
      </c>
    </row>
    <row r="1891" spans="1:16" ht="33.950000000000003" customHeight="1">
      <c r="A1891" s="5" t="s">
        <v>1656</v>
      </c>
      <c r="B1891" s="5" t="s">
        <v>1595</v>
      </c>
      <c r="C1891" s="9" t="s">
        <v>1657</v>
      </c>
      <c r="D1891" s="5">
        <v>2</v>
      </c>
      <c r="E1891" s="9" t="s">
        <v>3184</v>
      </c>
      <c r="F1891" s="5"/>
      <c r="G1891" s="19" t="s">
        <v>3494</v>
      </c>
      <c r="H1891" s="5"/>
      <c r="I1891" s="9" t="s">
        <v>5289</v>
      </c>
      <c r="J1891" s="5">
        <v>2031</v>
      </c>
      <c r="K1891" s="5">
        <v>422</v>
      </c>
      <c r="L1891" s="9" t="s">
        <v>5108</v>
      </c>
      <c r="M1891" s="5">
        <v>7</v>
      </c>
      <c r="N1891" s="9" t="s">
        <v>5292</v>
      </c>
      <c r="O1891" s="9" t="str">
        <f t="shared" si="186"/>
        <v>PDFを開く</v>
      </c>
      <c r="P1891" s="9" t="s">
        <v>1662</v>
      </c>
    </row>
    <row r="1892" spans="1:16" ht="33.950000000000003" customHeight="1">
      <c r="A1892" s="2" t="s">
        <v>1656</v>
      </c>
      <c r="B1892" s="2" t="s">
        <v>1595</v>
      </c>
      <c r="C1892" s="8" t="s">
        <v>1657</v>
      </c>
      <c r="D1892" s="2">
        <v>2</v>
      </c>
      <c r="E1892" s="8" t="s">
        <v>3184</v>
      </c>
      <c r="F1892" s="2"/>
      <c r="G1892" s="19" t="s">
        <v>3494</v>
      </c>
      <c r="H1892" s="2"/>
      <c r="I1892" s="8" t="s">
        <v>5286</v>
      </c>
      <c r="J1892" s="2">
        <v>2028</v>
      </c>
      <c r="K1892" s="2">
        <v>344</v>
      </c>
      <c r="L1892" s="8" t="s">
        <v>5290</v>
      </c>
      <c r="M1892" s="2">
        <v>7</v>
      </c>
      <c r="N1892" s="8" t="s">
        <v>5293</v>
      </c>
      <c r="O1892" s="8" t="str">
        <f t="shared" si="186"/>
        <v>PDFを開く</v>
      </c>
      <c r="P1892" s="8" t="s">
        <v>1662</v>
      </c>
    </row>
    <row r="1893" spans="1:16" ht="33.950000000000003" customHeight="1">
      <c r="A1893" s="5" t="s">
        <v>1656</v>
      </c>
      <c r="B1893" s="5" t="s">
        <v>1595</v>
      </c>
      <c r="C1893" s="9" t="s">
        <v>1657</v>
      </c>
      <c r="D1893" s="5">
        <v>2</v>
      </c>
      <c r="E1893" s="9" t="s">
        <v>3184</v>
      </c>
      <c r="F1893" s="5"/>
      <c r="G1893" s="19" t="s">
        <v>3494</v>
      </c>
      <c r="H1893" s="5"/>
      <c r="I1893" s="9" t="s">
        <v>5289</v>
      </c>
      <c r="J1893" s="5">
        <v>2031</v>
      </c>
      <c r="K1893" s="5">
        <v>422</v>
      </c>
      <c r="L1893" s="9" t="s">
        <v>5108</v>
      </c>
      <c r="M1893" s="5">
        <v>7</v>
      </c>
      <c r="N1893" s="9" t="s">
        <v>5293</v>
      </c>
      <c r="O1893" s="9" t="str">
        <f t="shared" si="186"/>
        <v>PDFを開く</v>
      </c>
      <c r="P1893" s="9" t="s">
        <v>1662</v>
      </c>
    </row>
    <row r="1894" spans="1:16" ht="33.950000000000003" customHeight="1">
      <c r="A1894" s="2" t="s">
        <v>1656</v>
      </c>
      <c r="B1894" s="2" t="s">
        <v>1595</v>
      </c>
      <c r="C1894" s="8" t="s">
        <v>1657</v>
      </c>
      <c r="D1894" s="2">
        <v>2</v>
      </c>
      <c r="E1894" s="8" t="s">
        <v>3184</v>
      </c>
      <c r="F1894" s="2"/>
      <c r="G1894" s="19" t="s">
        <v>3494</v>
      </c>
      <c r="H1894" s="2"/>
      <c r="I1894" s="8" t="s">
        <v>5286</v>
      </c>
      <c r="J1894" s="2">
        <v>2028</v>
      </c>
      <c r="K1894" s="2">
        <v>344</v>
      </c>
      <c r="L1894" s="8" t="s">
        <v>5290</v>
      </c>
      <c r="M1894" s="2">
        <v>7</v>
      </c>
      <c r="N1894" s="8" t="s">
        <v>5294</v>
      </c>
      <c r="O1894" s="8" t="str">
        <f t="shared" si="186"/>
        <v>PDFを開く</v>
      </c>
      <c r="P1894" s="8" t="s">
        <v>1662</v>
      </c>
    </row>
    <row r="1895" spans="1:16" ht="33.950000000000003" customHeight="1">
      <c r="A1895" s="5" t="s">
        <v>1656</v>
      </c>
      <c r="B1895" s="5" t="s">
        <v>1595</v>
      </c>
      <c r="C1895" s="9" t="s">
        <v>1657</v>
      </c>
      <c r="D1895" s="5">
        <v>2</v>
      </c>
      <c r="E1895" s="9" t="s">
        <v>3184</v>
      </c>
      <c r="F1895" s="5"/>
      <c r="G1895" s="19" t="s">
        <v>3494</v>
      </c>
      <c r="H1895" s="5"/>
      <c r="I1895" s="9" t="s">
        <v>5289</v>
      </c>
      <c r="J1895" s="5">
        <v>2031</v>
      </c>
      <c r="K1895" s="5">
        <v>422</v>
      </c>
      <c r="L1895" s="9" t="s">
        <v>5108</v>
      </c>
      <c r="M1895" s="5">
        <v>7</v>
      </c>
      <c r="N1895" s="9" t="s">
        <v>5294</v>
      </c>
      <c r="O1895" s="9" t="str">
        <f t="shared" si="186"/>
        <v>PDFを開く</v>
      </c>
      <c r="P1895" s="9" t="s">
        <v>1662</v>
      </c>
    </row>
    <row r="1896" spans="1:16" ht="33.950000000000003" customHeight="1">
      <c r="A1896" s="2" t="s">
        <v>1656</v>
      </c>
      <c r="B1896" s="2" t="s">
        <v>1595</v>
      </c>
      <c r="C1896" s="8" t="s">
        <v>1657</v>
      </c>
      <c r="D1896" s="2">
        <v>2</v>
      </c>
      <c r="E1896" s="8" t="s">
        <v>3188</v>
      </c>
      <c r="F1896" s="2"/>
      <c r="G1896" s="19" t="s">
        <v>3189</v>
      </c>
      <c r="H1896" s="2"/>
      <c r="I1896" s="8"/>
      <c r="J1896" s="2"/>
      <c r="K1896" s="2"/>
      <c r="L1896" s="8"/>
      <c r="M1896" s="2"/>
      <c r="N1896" s="8" t="s">
        <v>5295</v>
      </c>
      <c r="O1896" s="8" t="str">
        <f t="shared" si="186"/>
        <v>PDFを開く</v>
      </c>
      <c r="P1896" s="8" t="s">
        <v>1662</v>
      </c>
    </row>
    <row r="1897" spans="1:16" ht="33.950000000000003" customHeight="1">
      <c r="A1897" s="5" t="s">
        <v>1656</v>
      </c>
      <c r="B1897" s="5" t="s">
        <v>1595</v>
      </c>
      <c r="C1897" s="9" t="s">
        <v>1657</v>
      </c>
      <c r="D1897" s="5">
        <v>2</v>
      </c>
      <c r="E1897" s="9" t="s">
        <v>3188</v>
      </c>
      <c r="F1897" s="5"/>
      <c r="G1897" s="19" t="s">
        <v>3189</v>
      </c>
      <c r="H1897" s="5"/>
      <c r="I1897" s="9"/>
      <c r="J1897" s="5"/>
      <c r="K1897" s="5"/>
      <c r="L1897" s="9"/>
      <c r="M1897" s="5"/>
      <c r="N1897" s="9" t="s">
        <v>5296</v>
      </c>
      <c r="O1897" s="9" t="str">
        <f t="shared" si="186"/>
        <v>PDFを開く</v>
      </c>
      <c r="P1897" s="9" t="s">
        <v>1662</v>
      </c>
    </row>
    <row r="1898" spans="1:16" ht="33.950000000000003" customHeight="1">
      <c r="A1898" s="2" t="s">
        <v>1656</v>
      </c>
      <c r="B1898" s="2" t="s">
        <v>1595</v>
      </c>
      <c r="C1898" s="8" t="s">
        <v>1657</v>
      </c>
      <c r="D1898" s="2">
        <v>2</v>
      </c>
      <c r="E1898" s="8" t="s">
        <v>3188</v>
      </c>
      <c r="F1898" s="2"/>
      <c r="G1898" s="19" t="s">
        <v>3189</v>
      </c>
      <c r="H1898" s="2"/>
      <c r="I1898" s="8"/>
      <c r="J1898" s="2"/>
      <c r="K1898" s="2"/>
      <c r="L1898" s="8"/>
      <c r="M1898" s="2"/>
      <c r="N1898" s="8" t="s">
        <v>5297</v>
      </c>
      <c r="O1898" s="8" t="str">
        <f t="shared" si="186"/>
        <v>PDFを開く</v>
      </c>
      <c r="P1898" s="8" t="s">
        <v>1662</v>
      </c>
    </row>
    <row r="1899" spans="1:16" ht="33.950000000000003" customHeight="1">
      <c r="A1899" s="5" t="s">
        <v>1656</v>
      </c>
      <c r="B1899" s="5" t="s">
        <v>1595</v>
      </c>
      <c r="C1899" s="9" t="s">
        <v>1657</v>
      </c>
      <c r="D1899" s="5">
        <v>2</v>
      </c>
      <c r="E1899" s="9" t="s">
        <v>3188</v>
      </c>
      <c r="F1899" s="5"/>
      <c r="G1899" s="19" t="s">
        <v>3189</v>
      </c>
      <c r="H1899" s="5"/>
      <c r="I1899" s="9"/>
      <c r="J1899" s="5"/>
      <c r="K1899" s="5"/>
      <c r="L1899" s="9"/>
      <c r="M1899" s="5"/>
      <c r="N1899" s="9" t="s">
        <v>5298</v>
      </c>
      <c r="O1899" s="9" t="str">
        <f t="shared" si="186"/>
        <v>PDFを開く</v>
      </c>
      <c r="P1899" s="9" t="s">
        <v>1662</v>
      </c>
    </row>
    <row r="1900" spans="1:16" ht="33.950000000000003" customHeight="1">
      <c r="A1900" s="2" t="s">
        <v>1656</v>
      </c>
      <c r="B1900" s="2" t="s">
        <v>1595</v>
      </c>
      <c r="C1900" s="8" t="s">
        <v>1657</v>
      </c>
      <c r="D1900" s="2">
        <v>2</v>
      </c>
      <c r="E1900" s="8" t="s">
        <v>3191</v>
      </c>
      <c r="F1900" s="2" t="s">
        <v>2513</v>
      </c>
      <c r="G1900" s="19" t="s">
        <v>3494</v>
      </c>
      <c r="H1900" s="2"/>
      <c r="I1900" s="8" t="s">
        <v>5286</v>
      </c>
      <c r="J1900" s="2">
        <v>2028</v>
      </c>
      <c r="K1900" s="2">
        <v>165</v>
      </c>
      <c r="L1900" s="8" t="s">
        <v>5299</v>
      </c>
      <c r="M1900" s="2"/>
      <c r="N1900" s="8" t="s">
        <v>5300</v>
      </c>
      <c r="O1900" s="8" t="str">
        <f t="shared" si="186"/>
        <v>PDFを開く</v>
      </c>
      <c r="P1900" s="8" t="s">
        <v>1662</v>
      </c>
    </row>
    <row r="1901" spans="1:16" ht="33.950000000000003" customHeight="1">
      <c r="A1901" s="5" t="s">
        <v>1656</v>
      </c>
      <c r="B1901" s="5" t="s">
        <v>1595</v>
      </c>
      <c r="C1901" s="9" t="s">
        <v>1657</v>
      </c>
      <c r="D1901" s="5">
        <v>2</v>
      </c>
      <c r="E1901" s="9" t="s">
        <v>3191</v>
      </c>
      <c r="F1901" s="5" t="s">
        <v>2513</v>
      </c>
      <c r="G1901" s="19" t="s">
        <v>3494</v>
      </c>
      <c r="H1901" s="5"/>
      <c r="I1901" s="9" t="s">
        <v>5289</v>
      </c>
      <c r="J1901" s="5">
        <v>2031</v>
      </c>
      <c r="K1901" s="5">
        <v>180</v>
      </c>
      <c r="L1901" s="9" t="s">
        <v>5088</v>
      </c>
      <c r="M1901" s="5"/>
      <c r="N1901" s="9" t="s">
        <v>5300</v>
      </c>
      <c r="O1901" s="9" t="str">
        <f t="shared" si="186"/>
        <v>PDFを開く</v>
      </c>
      <c r="P1901" s="9" t="s">
        <v>1662</v>
      </c>
    </row>
    <row r="1902" spans="1:16" ht="33.950000000000003" customHeight="1">
      <c r="A1902" s="2" t="s">
        <v>1656</v>
      </c>
      <c r="B1902" s="2" t="s">
        <v>1595</v>
      </c>
      <c r="C1902" s="8" t="s">
        <v>1657</v>
      </c>
      <c r="D1902" s="2">
        <v>2</v>
      </c>
      <c r="E1902" s="8" t="s">
        <v>3191</v>
      </c>
      <c r="F1902" s="2" t="s">
        <v>2513</v>
      </c>
      <c r="G1902" s="19" t="s">
        <v>3494</v>
      </c>
      <c r="H1902" s="2"/>
      <c r="I1902" s="8" t="s">
        <v>5286</v>
      </c>
      <c r="J1902" s="2">
        <v>2028</v>
      </c>
      <c r="K1902" s="2">
        <v>176</v>
      </c>
      <c r="L1902" s="8" t="s">
        <v>5301</v>
      </c>
      <c r="M1902" s="2"/>
      <c r="N1902" s="8" t="s">
        <v>5302</v>
      </c>
      <c r="O1902" s="8" t="str">
        <f t="shared" si="186"/>
        <v>PDFを開く</v>
      </c>
      <c r="P1902" s="8" t="s">
        <v>1662</v>
      </c>
    </row>
    <row r="1903" spans="1:16" ht="33.950000000000003" customHeight="1">
      <c r="A1903" s="5" t="s">
        <v>1656</v>
      </c>
      <c r="B1903" s="5" t="s">
        <v>1595</v>
      </c>
      <c r="C1903" s="9" t="s">
        <v>1657</v>
      </c>
      <c r="D1903" s="5">
        <v>2</v>
      </c>
      <c r="E1903" s="9" t="s">
        <v>3191</v>
      </c>
      <c r="F1903" s="5" t="s">
        <v>2513</v>
      </c>
      <c r="G1903" s="19" t="s">
        <v>3494</v>
      </c>
      <c r="H1903" s="5"/>
      <c r="I1903" s="9" t="s">
        <v>5289</v>
      </c>
      <c r="J1903" s="5">
        <v>2031</v>
      </c>
      <c r="K1903" s="5">
        <v>196</v>
      </c>
      <c r="L1903" s="9" t="s">
        <v>5303</v>
      </c>
      <c r="M1903" s="5"/>
      <c r="N1903" s="9" t="s">
        <v>5302</v>
      </c>
      <c r="O1903" s="9" t="str">
        <f t="shared" si="186"/>
        <v>PDFを開く</v>
      </c>
      <c r="P1903" s="9" t="s">
        <v>1662</v>
      </c>
    </row>
    <row r="1904" spans="1:16" ht="33.950000000000003" customHeight="1">
      <c r="A1904" s="2" t="s">
        <v>1656</v>
      </c>
      <c r="B1904" s="2" t="s">
        <v>1595</v>
      </c>
      <c r="C1904" s="8" t="s">
        <v>1657</v>
      </c>
      <c r="D1904" s="2">
        <v>2</v>
      </c>
      <c r="E1904" s="8" t="s">
        <v>3191</v>
      </c>
      <c r="F1904" s="2" t="s">
        <v>2513</v>
      </c>
      <c r="G1904" s="19" t="s">
        <v>3494</v>
      </c>
      <c r="H1904" s="2"/>
      <c r="I1904" s="8" t="s">
        <v>5286</v>
      </c>
      <c r="J1904" s="2">
        <v>2028</v>
      </c>
      <c r="K1904" s="2">
        <v>45</v>
      </c>
      <c r="L1904" s="8" t="s">
        <v>3404</v>
      </c>
      <c r="M1904" s="2"/>
      <c r="N1904" s="8" t="s">
        <v>5304</v>
      </c>
      <c r="O1904" s="8" t="str">
        <f t="shared" si="186"/>
        <v>PDFを開く</v>
      </c>
      <c r="P1904" s="8" t="s">
        <v>1662</v>
      </c>
    </row>
    <row r="1905" spans="1:16" ht="33.950000000000003" customHeight="1">
      <c r="A1905" s="5" t="s">
        <v>1656</v>
      </c>
      <c r="B1905" s="5" t="s">
        <v>1595</v>
      </c>
      <c r="C1905" s="9" t="s">
        <v>1657</v>
      </c>
      <c r="D1905" s="5">
        <v>2</v>
      </c>
      <c r="E1905" s="9" t="s">
        <v>3191</v>
      </c>
      <c r="F1905" s="5" t="s">
        <v>2513</v>
      </c>
      <c r="G1905" s="19" t="s">
        <v>3494</v>
      </c>
      <c r="H1905" s="5"/>
      <c r="I1905" s="9" t="s">
        <v>5289</v>
      </c>
      <c r="J1905" s="5">
        <v>2031</v>
      </c>
      <c r="K1905" s="5">
        <v>80</v>
      </c>
      <c r="L1905" s="9" t="s">
        <v>3252</v>
      </c>
      <c r="M1905" s="5"/>
      <c r="N1905" s="9" t="s">
        <v>5304</v>
      </c>
      <c r="O1905" s="9" t="str">
        <f t="shared" si="186"/>
        <v>PDFを開く</v>
      </c>
      <c r="P1905" s="9" t="s">
        <v>1662</v>
      </c>
    </row>
    <row r="1906" spans="1:16" ht="33.950000000000003" customHeight="1">
      <c r="A1906" s="2" t="s">
        <v>1656</v>
      </c>
      <c r="B1906" s="2" t="s">
        <v>1595</v>
      </c>
      <c r="C1906" s="8" t="s">
        <v>1657</v>
      </c>
      <c r="D1906" s="2">
        <v>2</v>
      </c>
      <c r="E1906" s="8" t="s">
        <v>3191</v>
      </c>
      <c r="F1906" s="2" t="s">
        <v>2513</v>
      </c>
      <c r="G1906" s="19" t="s">
        <v>3494</v>
      </c>
      <c r="H1906" s="2"/>
      <c r="I1906" s="8" t="s">
        <v>5286</v>
      </c>
      <c r="J1906" s="2">
        <v>2028</v>
      </c>
      <c r="K1906" s="2">
        <v>74</v>
      </c>
      <c r="L1906" s="8" t="s">
        <v>5305</v>
      </c>
      <c r="M1906" s="2"/>
      <c r="N1906" s="8" t="s">
        <v>5306</v>
      </c>
      <c r="O1906" s="8" t="str">
        <f t="shared" si="186"/>
        <v>PDFを開く</v>
      </c>
      <c r="P1906" s="8" t="s">
        <v>1662</v>
      </c>
    </row>
    <row r="1907" spans="1:16" ht="33.950000000000003" customHeight="1">
      <c r="A1907" s="5" t="s">
        <v>1656</v>
      </c>
      <c r="B1907" s="5" t="s">
        <v>1595</v>
      </c>
      <c r="C1907" s="9" t="s">
        <v>1657</v>
      </c>
      <c r="D1907" s="5">
        <v>2</v>
      </c>
      <c r="E1907" s="9" t="s">
        <v>3191</v>
      </c>
      <c r="F1907" s="5" t="s">
        <v>2513</v>
      </c>
      <c r="G1907" s="19" t="s">
        <v>3494</v>
      </c>
      <c r="H1907" s="5"/>
      <c r="I1907" s="9" t="s">
        <v>5289</v>
      </c>
      <c r="J1907" s="5">
        <v>2031</v>
      </c>
      <c r="K1907" s="5">
        <v>94</v>
      </c>
      <c r="L1907" s="9" t="s">
        <v>4810</v>
      </c>
      <c r="M1907" s="5"/>
      <c r="N1907" s="9" t="s">
        <v>5306</v>
      </c>
      <c r="O1907" s="9" t="str">
        <f t="shared" si="186"/>
        <v>PDFを開く</v>
      </c>
      <c r="P1907" s="9" t="s">
        <v>1662</v>
      </c>
    </row>
    <row r="1908" spans="1:16" ht="33.950000000000003" customHeight="1">
      <c r="A1908" s="2" t="s">
        <v>1656</v>
      </c>
      <c r="B1908" s="2" t="s">
        <v>1595</v>
      </c>
      <c r="C1908" s="8" t="s">
        <v>1657</v>
      </c>
      <c r="D1908" s="2">
        <v>2</v>
      </c>
      <c r="E1908" s="8" t="s">
        <v>3188</v>
      </c>
      <c r="F1908" s="2" t="s">
        <v>86</v>
      </c>
      <c r="G1908" s="2" t="s">
        <v>3177</v>
      </c>
      <c r="H1908" s="2"/>
      <c r="I1908" s="8" t="s">
        <v>5307</v>
      </c>
      <c r="J1908" s="2">
        <v>2028</v>
      </c>
      <c r="K1908" s="2"/>
      <c r="L1908" s="8" t="s">
        <v>4227</v>
      </c>
      <c r="M1908" s="2">
        <v>1</v>
      </c>
      <c r="N1908" s="8" t="s">
        <v>5308</v>
      </c>
      <c r="O1908" s="8" t="str">
        <f t="shared" si="186"/>
        <v>PDFを開く</v>
      </c>
      <c r="P1908" s="8" t="s">
        <v>1662</v>
      </c>
    </row>
    <row r="1909" spans="1:16" ht="33.950000000000003" customHeight="1">
      <c r="A1909" s="5" t="s">
        <v>1656</v>
      </c>
      <c r="B1909" s="5" t="s">
        <v>1595</v>
      </c>
      <c r="C1909" s="9" t="s">
        <v>1657</v>
      </c>
      <c r="D1909" s="5">
        <v>2</v>
      </c>
      <c r="E1909" s="9" t="s">
        <v>3188</v>
      </c>
      <c r="F1909" s="5" t="s">
        <v>86</v>
      </c>
      <c r="G1909" s="5" t="s">
        <v>3177</v>
      </c>
      <c r="H1909" s="5"/>
      <c r="I1909" s="9" t="s">
        <v>5309</v>
      </c>
      <c r="J1909" s="5">
        <v>2031</v>
      </c>
      <c r="K1909" s="5"/>
      <c r="L1909" s="9" t="s">
        <v>5310</v>
      </c>
      <c r="M1909" s="5">
        <v>1</v>
      </c>
      <c r="N1909" s="9" t="s">
        <v>5308</v>
      </c>
      <c r="O1909" s="9" t="str">
        <f t="shared" si="186"/>
        <v>PDFを開く</v>
      </c>
      <c r="P1909" s="9" t="s">
        <v>1662</v>
      </c>
    </row>
    <row r="1910" spans="1:16" ht="33.950000000000003" customHeight="1">
      <c r="A1910" s="2" t="s">
        <v>1656</v>
      </c>
      <c r="B1910" s="2" t="s">
        <v>1595</v>
      </c>
      <c r="C1910" s="8" t="s">
        <v>1657</v>
      </c>
      <c r="D1910" s="2">
        <v>2</v>
      </c>
      <c r="E1910" s="8" t="s">
        <v>3191</v>
      </c>
      <c r="F1910" s="2" t="s">
        <v>2513</v>
      </c>
      <c r="G1910" s="2" t="s">
        <v>3177</v>
      </c>
      <c r="H1910" s="2"/>
      <c r="I1910" s="8" t="s">
        <v>5286</v>
      </c>
      <c r="J1910" s="2">
        <v>2028</v>
      </c>
      <c r="K1910" s="2">
        <v>165</v>
      </c>
      <c r="L1910" s="8" t="s">
        <v>5299</v>
      </c>
      <c r="M1910" s="2"/>
      <c r="N1910" s="8" t="s">
        <v>5300</v>
      </c>
      <c r="O1910" s="8" t="str">
        <f t="shared" si="186"/>
        <v>PDFを開く</v>
      </c>
      <c r="P1910" s="8" t="s">
        <v>1662</v>
      </c>
    </row>
    <row r="1911" spans="1:16" ht="33.950000000000003" customHeight="1">
      <c r="A1911" s="5" t="s">
        <v>1656</v>
      </c>
      <c r="B1911" s="5" t="s">
        <v>1595</v>
      </c>
      <c r="C1911" s="9" t="s">
        <v>1657</v>
      </c>
      <c r="D1911" s="5">
        <v>2</v>
      </c>
      <c r="E1911" s="9" t="s">
        <v>3191</v>
      </c>
      <c r="F1911" s="5" t="s">
        <v>2513</v>
      </c>
      <c r="G1911" s="5" t="s">
        <v>3177</v>
      </c>
      <c r="H1911" s="5"/>
      <c r="I1911" s="9" t="s">
        <v>5289</v>
      </c>
      <c r="J1911" s="5">
        <v>2031</v>
      </c>
      <c r="K1911" s="5">
        <v>180</v>
      </c>
      <c r="L1911" s="9" t="s">
        <v>5088</v>
      </c>
      <c r="M1911" s="5"/>
      <c r="N1911" s="9" t="s">
        <v>5300</v>
      </c>
      <c r="O1911" s="9" t="str">
        <f t="shared" si="186"/>
        <v>PDFを開く</v>
      </c>
      <c r="P1911" s="9" t="s">
        <v>1662</v>
      </c>
    </row>
    <row r="1912" spans="1:16" ht="33.950000000000003" customHeight="1">
      <c r="A1912" s="2" t="s">
        <v>1656</v>
      </c>
      <c r="B1912" s="2" t="s">
        <v>1595</v>
      </c>
      <c r="C1912" s="8" t="s">
        <v>1657</v>
      </c>
      <c r="D1912" s="2">
        <v>2</v>
      </c>
      <c r="E1912" s="8" t="s">
        <v>3184</v>
      </c>
      <c r="F1912" s="2" t="s">
        <v>86</v>
      </c>
      <c r="G1912" s="2" t="s">
        <v>3177</v>
      </c>
      <c r="H1912" s="2"/>
      <c r="I1912" s="8" t="s">
        <v>5286</v>
      </c>
      <c r="J1912" s="2">
        <v>2028</v>
      </c>
      <c r="K1912" s="2">
        <v>344</v>
      </c>
      <c r="L1912" s="8" t="s">
        <v>5290</v>
      </c>
      <c r="M1912" s="2">
        <v>7</v>
      </c>
      <c r="N1912" s="8" t="s">
        <v>5291</v>
      </c>
      <c r="O1912" s="8" t="str">
        <f t="shared" si="186"/>
        <v>PDFを開く</v>
      </c>
      <c r="P1912" s="8" t="s">
        <v>1662</v>
      </c>
    </row>
    <row r="1913" spans="1:16" ht="33.950000000000003" customHeight="1">
      <c r="A1913" s="5" t="s">
        <v>1656</v>
      </c>
      <c r="B1913" s="5" t="s">
        <v>1595</v>
      </c>
      <c r="C1913" s="9" t="s">
        <v>1657</v>
      </c>
      <c r="D1913" s="5">
        <v>2</v>
      </c>
      <c r="E1913" s="9" t="s">
        <v>3184</v>
      </c>
      <c r="F1913" s="5" t="s">
        <v>86</v>
      </c>
      <c r="G1913" s="5" t="s">
        <v>3177</v>
      </c>
      <c r="H1913" s="5"/>
      <c r="I1913" s="9" t="s">
        <v>5289</v>
      </c>
      <c r="J1913" s="5">
        <v>2031</v>
      </c>
      <c r="K1913" s="5">
        <v>422</v>
      </c>
      <c r="L1913" s="9" t="s">
        <v>5108</v>
      </c>
      <c r="M1913" s="5">
        <v>7</v>
      </c>
      <c r="N1913" s="9" t="s">
        <v>5291</v>
      </c>
      <c r="O1913" s="9" t="str">
        <f t="shared" si="186"/>
        <v>PDFを開く</v>
      </c>
      <c r="P1913" s="9" t="s">
        <v>1662</v>
      </c>
    </row>
    <row r="1914" spans="1:16" ht="33.950000000000003" customHeight="1">
      <c r="A1914" s="2" t="s">
        <v>1663</v>
      </c>
      <c r="B1914" s="2" t="s">
        <v>1595</v>
      </c>
      <c r="C1914" s="8" t="s">
        <v>1664</v>
      </c>
      <c r="D1914" s="2">
        <v>2</v>
      </c>
      <c r="E1914" s="8" t="s">
        <v>3176</v>
      </c>
      <c r="F1914" s="2" t="s">
        <v>86</v>
      </c>
      <c r="G1914" s="2" t="s">
        <v>3177</v>
      </c>
      <c r="H1914" s="2" t="s">
        <v>3178</v>
      </c>
      <c r="I1914" s="8" t="s">
        <v>3179</v>
      </c>
      <c r="J1914" s="2">
        <v>2026</v>
      </c>
      <c r="K1914" s="2">
        <v>1171</v>
      </c>
      <c r="L1914" s="8" t="s">
        <v>5311</v>
      </c>
      <c r="M1914" s="2">
        <v>15.7</v>
      </c>
      <c r="N1914" s="8" t="s">
        <v>5312</v>
      </c>
      <c r="O1914" s="8" t="str">
        <f t="shared" ref="O1914:O1921" si="187">HYPERLINK("https://seichotoushi-hojo.jp/assets/pdf/koufu_3_4ji/outline_110.pdf","PDFを開く")</f>
        <v>PDFを開く</v>
      </c>
      <c r="P1914" s="8" t="s">
        <v>1669</v>
      </c>
    </row>
    <row r="1915" spans="1:16" ht="33.950000000000003" customHeight="1">
      <c r="A1915" s="5" t="s">
        <v>1663</v>
      </c>
      <c r="B1915" s="5" t="s">
        <v>1595</v>
      </c>
      <c r="C1915" s="9" t="s">
        <v>1664</v>
      </c>
      <c r="D1915" s="5">
        <v>2</v>
      </c>
      <c r="E1915" s="9" t="s">
        <v>3176</v>
      </c>
      <c r="F1915" s="5" t="s">
        <v>86</v>
      </c>
      <c r="G1915" s="5" t="s">
        <v>3177</v>
      </c>
      <c r="H1915" s="5" t="s">
        <v>3178</v>
      </c>
      <c r="I1915" s="9" t="s">
        <v>3182</v>
      </c>
      <c r="J1915" s="5">
        <v>2029</v>
      </c>
      <c r="K1915" s="5">
        <v>1815</v>
      </c>
      <c r="L1915" s="9" t="s">
        <v>5313</v>
      </c>
      <c r="M1915" s="5">
        <v>15.7</v>
      </c>
      <c r="N1915" s="9" t="s">
        <v>5312</v>
      </c>
      <c r="O1915" s="9" t="str">
        <f t="shared" si="187"/>
        <v>PDFを開く</v>
      </c>
      <c r="P1915" s="9" t="s">
        <v>1669</v>
      </c>
    </row>
    <row r="1916" spans="1:16" ht="33.950000000000003" customHeight="1">
      <c r="A1916" s="2" t="s">
        <v>1663</v>
      </c>
      <c r="B1916" s="2" t="s">
        <v>1595</v>
      </c>
      <c r="C1916" s="8" t="s">
        <v>1664</v>
      </c>
      <c r="D1916" s="2">
        <v>2</v>
      </c>
      <c r="E1916" s="8" t="s">
        <v>3184</v>
      </c>
      <c r="F1916" s="2" t="s">
        <v>86</v>
      </c>
      <c r="G1916" s="2" t="s">
        <v>3177</v>
      </c>
      <c r="H1916" s="2" t="s">
        <v>3178</v>
      </c>
      <c r="I1916" s="8" t="s">
        <v>3179</v>
      </c>
      <c r="J1916" s="2">
        <v>2026</v>
      </c>
      <c r="K1916" s="2">
        <v>745</v>
      </c>
      <c r="L1916" s="8" t="s">
        <v>5314</v>
      </c>
      <c r="M1916" s="2">
        <v>6</v>
      </c>
      <c r="N1916" s="8" t="s">
        <v>5315</v>
      </c>
      <c r="O1916" s="8" t="str">
        <f t="shared" si="187"/>
        <v>PDFを開く</v>
      </c>
      <c r="P1916" s="8" t="s">
        <v>1669</v>
      </c>
    </row>
    <row r="1917" spans="1:16" ht="33.950000000000003" customHeight="1">
      <c r="A1917" s="5" t="s">
        <v>1663</v>
      </c>
      <c r="B1917" s="5" t="s">
        <v>1595</v>
      </c>
      <c r="C1917" s="9" t="s">
        <v>1664</v>
      </c>
      <c r="D1917" s="5">
        <v>2</v>
      </c>
      <c r="E1917" s="9" t="s">
        <v>3184</v>
      </c>
      <c r="F1917" s="5" t="s">
        <v>86</v>
      </c>
      <c r="G1917" s="5" t="s">
        <v>3177</v>
      </c>
      <c r="H1917" s="5" t="s">
        <v>3178</v>
      </c>
      <c r="I1917" s="9" t="s">
        <v>3182</v>
      </c>
      <c r="J1917" s="5">
        <v>2029</v>
      </c>
      <c r="K1917" s="5">
        <v>887</v>
      </c>
      <c r="L1917" s="9" t="s">
        <v>4156</v>
      </c>
      <c r="M1917" s="5">
        <v>6</v>
      </c>
      <c r="N1917" s="9" t="s">
        <v>5315</v>
      </c>
      <c r="O1917" s="9" t="str">
        <f t="shared" si="187"/>
        <v>PDFを開く</v>
      </c>
      <c r="P1917" s="9" t="s">
        <v>1669</v>
      </c>
    </row>
    <row r="1918" spans="1:16" ht="33.950000000000003" customHeight="1">
      <c r="A1918" s="2" t="s">
        <v>1663</v>
      </c>
      <c r="B1918" s="2" t="s">
        <v>1595</v>
      </c>
      <c r="C1918" s="8" t="s">
        <v>1664</v>
      </c>
      <c r="D1918" s="2">
        <v>2</v>
      </c>
      <c r="E1918" s="8" t="s">
        <v>3188</v>
      </c>
      <c r="F1918" s="2" t="s">
        <v>86</v>
      </c>
      <c r="G1918" s="2" t="s">
        <v>3177</v>
      </c>
      <c r="H1918" s="2" t="s">
        <v>3178</v>
      </c>
      <c r="I1918" s="8" t="s">
        <v>3179</v>
      </c>
      <c r="J1918" s="2">
        <v>2026</v>
      </c>
      <c r="K1918" s="2">
        <v>1087</v>
      </c>
      <c r="L1918" s="8" t="s">
        <v>5316</v>
      </c>
      <c r="M1918" s="2">
        <v>5</v>
      </c>
      <c r="N1918" s="8" t="s">
        <v>5317</v>
      </c>
      <c r="O1918" s="8" t="str">
        <f t="shared" si="187"/>
        <v>PDFを開く</v>
      </c>
      <c r="P1918" s="8" t="s">
        <v>1669</v>
      </c>
    </row>
    <row r="1919" spans="1:16" ht="33.950000000000003" customHeight="1">
      <c r="A1919" s="5" t="s">
        <v>1663</v>
      </c>
      <c r="B1919" s="5" t="s">
        <v>1595</v>
      </c>
      <c r="C1919" s="9" t="s">
        <v>1664</v>
      </c>
      <c r="D1919" s="5">
        <v>2</v>
      </c>
      <c r="E1919" s="9" t="s">
        <v>3188</v>
      </c>
      <c r="F1919" s="5" t="s">
        <v>86</v>
      </c>
      <c r="G1919" s="5" t="s">
        <v>3177</v>
      </c>
      <c r="H1919" s="5" t="s">
        <v>3178</v>
      </c>
      <c r="I1919" s="9" t="s">
        <v>3182</v>
      </c>
      <c r="J1919" s="5">
        <v>2029</v>
      </c>
      <c r="K1919" s="5">
        <v>1259</v>
      </c>
      <c r="L1919" s="9" t="s">
        <v>3568</v>
      </c>
      <c r="M1919" s="5">
        <v>5</v>
      </c>
      <c r="N1919" s="9" t="s">
        <v>5317</v>
      </c>
      <c r="O1919" s="9" t="str">
        <f t="shared" si="187"/>
        <v>PDFを開く</v>
      </c>
      <c r="P1919" s="9" t="s">
        <v>1669</v>
      </c>
    </row>
    <row r="1920" spans="1:16" ht="33.950000000000003" customHeight="1">
      <c r="A1920" s="2" t="s">
        <v>1663</v>
      </c>
      <c r="B1920" s="2" t="s">
        <v>1595</v>
      </c>
      <c r="C1920" s="8" t="s">
        <v>1664</v>
      </c>
      <c r="D1920" s="2">
        <v>2</v>
      </c>
      <c r="E1920" s="8" t="s">
        <v>3191</v>
      </c>
      <c r="F1920" s="2" t="s">
        <v>2513</v>
      </c>
      <c r="G1920" s="2" t="s">
        <v>3177</v>
      </c>
      <c r="H1920" s="2" t="s">
        <v>3178</v>
      </c>
      <c r="I1920" s="8" t="s">
        <v>3179</v>
      </c>
      <c r="J1920" s="2">
        <v>2026</v>
      </c>
      <c r="K1920" s="2">
        <v>58</v>
      </c>
      <c r="L1920" s="8" t="s">
        <v>5318</v>
      </c>
      <c r="M1920" s="2"/>
      <c r="N1920" s="8" t="s">
        <v>5319</v>
      </c>
      <c r="O1920" s="8" t="str">
        <f t="shared" si="187"/>
        <v>PDFを開く</v>
      </c>
      <c r="P1920" s="8" t="s">
        <v>1669</v>
      </c>
    </row>
    <row r="1921" spans="1:16" ht="33.950000000000003" customHeight="1">
      <c r="A1921" s="5" t="s">
        <v>1663</v>
      </c>
      <c r="B1921" s="5" t="s">
        <v>1595</v>
      </c>
      <c r="C1921" s="9" t="s">
        <v>1664</v>
      </c>
      <c r="D1921" s="5">
        <v>2</v>
      </c>
      <c r="E1921" s="9" t="s">
        <v>3191</v>
      </c>
      <c r="F1921" s="5" t="s">
        <v>2513</v>
      </c>
      <c r="G1921" s="5" t="s">
        <v>3177</v>
      </c>
      <c r="H1921" s="5" t="s">
        <v>3178</v>
      </c>
      <c r="I1921" s="9" t="s">
        <v>3182</v>
      </c>
      <c r="J1921" s="5">
        <v>2029</v>
      </c>
      <c r="K1921" s="5">
        <v>94</v>
      </c>
      <c r="L1921" s="9" t="s">
        <v>4810</v>
      </c>
      <c r="M1921" s="5"/>
      <c r="N1921" s="9" t="s">
        <v>5319</v>
      </c>
      <c r="O1921" s="9" t="str">
        <f t="shared" si="187"/>
        <v>PDFを開く</v>
      </c>
      <c r="P1921" s="9" t="s">
        <v>1669</v>
      </c>
    </row>
    <row r="1922" spans="1:16" ht="33.950000000000003" customHeight="1">
      <c r="A1922" s="2" t="s">
        <v>1670</v>
      </c>
      <c r="B1922" s="2" t="s">
        <v>1595</v>
      </c>
      <c r="C1922" s="8" t="s">
        <v>1671</v>
      </c>
      <c r="D1922" s="2">
        <v>2</v>
      </c>
      <c r="E1922" s="8" t="s">
        <v>3176</v>
      </c>
      <c r="F1922" s="2" t="s">
        <v>86</v>
      </c>
      <c r="G1922" s="2" t="s">
        <v>3177</v>
      </c>
      <c r="H1922" s="2" t="s">
        <v>3178</v>
      </c>
      <c r="I1922" s="8" t="s">
        <v>3179</v>
      </c>
      <c r="J1922" s="2">
        <v>2026</v>
      </c>
      <c r="K1922" s="2">
        <v>723</v>
      </c>
      <c r="L1922" s="8" t="s">
        <v>4017</v>
      </c>
      <c r="M1922" s="2">
        <v>33.1</v>
      </c>
      <c r="N1922" s="8" t="s">
        <v>5320</v>
      </c>
      <c r="O1922" s="8" t="str">
        <f t="shared" ref="O1922:O1930" si="188">HYPERLINK("https://seichotoushi-hojo.jp/assets/pdf/koufu_3_4ji/outline_12.pdf","PDFを開く")</f>
        <v>PDFを開く</v>
      </c>
      <c r="P1922" s="8" t="s">
        <v>1676</v>
      </c>
    </row>
    <row r="1923" spans="1:16" ht="33.950000000000003" customHeight="1">
      <c r="A1923" s="5" t="s">
        <v>1670</v>
      </c>
      <c r="B1923" s="5" t="s">
        <v>1595</v>
      </c>
      <c r="C1923" s="9" t="s">
        <v>1671</v>
      </c>
      <c r="D1923" s="5">
        <v>2</v>
      </c>
      <c r="E1923" s="9" t="s">
        <v>3176</v>
      </c>
      <c r="F1923" s="5" t="s">
        <v>86</v>
      </c>
      <c r="G1923" s="5" t="s">
        <v>3177</v>
      </c>
      <c r="H1923" s="5" t="s">
        <v>3178</v>
      </c>
      <c r="I1923" s="9" t="s">
        <v>3182</v>
      </c>
      <c r="J1923" s="5">
        <v>2029</v>
      </c>
      <c r="K1923" s="5">
        <v>1704</v>
      </c>
      <c r="L1923" s="9" t="s">
        <v>5321</v>
      </c>
      <c r="M1923" s="5">
        <v>33.1</v>
      </c>
      <c r="N1923" s="9" t="s">
        <v>5320</v>
      </c>
      <c r="O1923" s="9" t="str">
        <f t="shared" si="188"/>
        <v>PDFを開く</v>
      </c>
      <c r="P1923" s="9" t="s">
        <v>1676</v>
      </c>
    </row>
    <row r="1924" spans="1:16" ht="33.950000000000003" customHeight="1">
      <c r="A1924" s="2" t="s">
        <v>1670</v>
      </c>
      <c r="B1924" s="2" t="s">
        <v>1595</v>
      </c>
      <c r="C1924" s="8" t="s">
        <v>1671</v>
      </c>
      <c r="D1924" s="2">
        <v>2</v>
      </c>
      <c r="E1924" s="8" t="s">
        <v>3184</v>
      </c>
      <c r="F1924" s="2" t="s">
        <v>86</v>
      </c>
      <c r="G1924" s="2" t="s">
        <v>3177</v>
      </c>
      <c r="H1924" s="2" t="s">
        <v>3178</v>
      </c>
      <c r="I1924" s="8" t="s">
        <v>3179</v>
      </c>
      <c r="J1924" s="2">
        <v>2026</v>
      </c>
      <c r="K1924" s="2">
        <v>421</v>
      </c>
      <c r="L1924" s="8" t="s">
        <v>5322</v>
      </c>
      <c r="M1924" s="2">
        <v>7</v>
      </c>
      <c r="N1924" s="8" t="s">
        <v>5323</v>
      </c>
      <c r="O1924" s="8" t="str">
        <f t="shared" si="188"/>
        <v>PDFを開く</v>
      </c>
      <c r="P1924" s="8" t="s">
        <v>1676</v>
      </c>
    </row>
    <row r="1925" spans="1:16" ht="33.950000000000003" customHeight="1">
      <c r="A1925" s="5" t="s">
        <v>1670</v>
      </c>
      <c r="B1925" s="5" t="s">
        <v>1595</v>
      </c>
      <c r="C1925" s="9" t="s">
        <v>1671</v>
      </c>
      <c r="D1925" s="5">
        <v>2</v>
      </c>
      <c r="E1925" s="9" t="s">
        <v>3184</v>
      </c>
      <c r="F1925" s="5" t="s">
        <v>86</v>
      </c>
      <c r="G1925" s="5" t="s">
        <v>3177</v>
      </c>
      <c r="H1925" s="5" t="s">
        <v>3178</v>
      </c>
      <c r="I1925" s="9" t="s">
        <v>3182</v>
      </c>
      <c r="J1925" s="5">
        <v>2029</v>
      </c>
      <c r="K1925" s="5">
        <v>516</v>
      </c>
      <c r="L1925" s="9" t="s">
        <v>3505</v>
      </c>
      <c r="M1925" s="5">
        <v>7</v>
      </c>
      <c r="N1925" s="9" t="s">
        <v>5323</v>
      </c>
      <c r="O1925" s="9" t="str">
        <f t="shared" si="188"/>
        <v>PDFを開く</v>
      </c>
      <c r="P1925" s="9" t="s">
        <v>1676</v>
      </c>
    </row>
    <row r="1926" spans="1:16" ht="33.950000000000003" customHeight="1">
      <c r="A1926" s="2" t="s">
        <v>1670</v>
      </c>
      <c r="B1926" s="2" t="s">
        <v>1595</v>
      </c>
      <c r="C1926" s="8" t="s">
        <v>1671</v>
      </c>
      <c r="D1926" s="2">
        <v>2</v>
      </c>
      <c r="E1926" s="8" t="s">
        <v>3188</v>
      </c>
      <c r="F1926" s="2" t="s">
        <v>86</v>
      </c>
      <c r="G1926" s="19" t="s">
        <v>3189</v>
      </c>
      <c r="H1926" s="2" t="s">
        <v>3178</v>
      </c>
      <c r="I1926" s="8"/>
      <c r="J1926" s="2"/>
      <c r="K1926" s="2"/>
      <c r="L1926" s="8"/>
      <c r="M1926" s="2">
        <v>7</v>
      </c>
      <c r="N1926" s="8" t="s">
        <v>5324</v>
      </c>
      <c r="O1926" s="8" t="str">
        <f t="shared" si="188"/>
        <v>PDFを開く</v>
      </c>
      <c r="P1926" s="8" t="s">
        <v>1676</v>
      </c>
    </row>
    <row r="1927" spans="1:16" ht="33.950000000000003" customHeight="1">
      <c r="A1927" s="5" t="s">
        <v>1670</v>
      </c>
      <c r="B1927" s="5" t="s">
        <v>1595</v>
      </c>
      <c r="C1927" s="9" t="s">
        <v>1671</v>
      </c>
      <c r="D1927" s="5">
        <v>2</v>
      </c>
      <c r="E1927" s="9" t="s">
        <v>3191</v>
      </c>
      <c r="F1927" s="5" t="s">
        <v>2513</v>
      </c>
      <c r="G1927" s="5" t="s">
        <v>3177</v>
      </c>
      <c r="H1927" s="5" t="s">
        <v>3178</v>
      </c>
      <c r="I1927" s="9" t="s">
        <v>3179</v>
      </c>
      <c r="J1927" s="5">
        <v>2026</v>
      </c>
      <c r="K1927" s="5">
        <v>160</v>
      </c>
      <c r="L1927" s="9" t="s">
        <v>3502</v>
      </c>
      <c r="M1927" s="5"/>
      <c r="N1927" s="9" t="s">
        <v>5325</v>
      </c>
      <c r="O1927" s="9" t="str">
        <f t="shared" si="188"/>
        <v>PDFを開く</v>
      </c>
      <c r="P1927" s="9" t="s">
        <v>1676</v>
      </c>
    </row>
    <row r="1928" spans="1:16" ht="33.950000000000003" customHeight="1">
      <c r="A1928" s="2" t="s">
        <v>1670</v>
      </c>
      <c r="B1928" s="2" t="s">
        <v>1595</v>
      </c>
      <c r="C1928" s="8" t="s">
        <v>1671</v>
      </c>
      <c r="D1928" s="2">
        <v>2</v>
      </c>
      <c r="E1928" s="8" t="s">
        <v>3191</v>
      </c>
      <c r="F1928" s="2" t="s">
        <v>2513</v>
      </c>
      <c r="G1928" s="2" t="s">
        <v>3177</v>
      </c>
      <c r="H1928" s="2" t="s">
        <v>3178</v>
      </c>
      <c r="I1928" s="8" t="s">
        <v>3182</v>
      </c>
      <c r="J1928" s="2">
        <v>2029</v>
      </c>
      <c r="K1928" s="2">
        <v>190</v>
      </c>
      <c r="L1928" s="8" t="s">
        <v>5013</v>
      </c>
      <c r="M1928" s="2"/>
      <c r="N1928" s="8" t="s">
        <v>5325</v>
      </c>
      <c r="O1928" s="8" t="str">
        <f t="shared" si="188"/>
        <v>PDFを開く</v>
      </c>
      <c r="P1928" s="8" t="s">
        <v>1676</v>
      </c>
    </row>
    <row r="1929" spans="1:16" ht="33.950000000000003" customHeight="1">
      <c r="A1929" s="5" t="s">
        <v>1670</v>
      </c>
      <c r="B1929" s="5" t="s">
        <v>1595</v>
      </c>
      <c r="C1929" s="9" t="s">
        <v>1671</v>
      </c>
      <c r="D1929" s="5">
        <v>2</v>
      </c>
      <c r="E1929" s="9" t="s">
        <v>3188</v>
      </c>
      <c r="F1929" s="5" t="s">
        <v>86</v>
      </c>
      <c r="G1929" s="5" t="s">
        <v>3177</v>
      </c>
      <c r="H1929" s="5"/>
      <c r="I1929" s="9" t="s">
        <v>5326</v>
      </c>
      <c r="J1929" s="5">
        <v>2026</v>
      </c>
      <c r="K1929" s="5"/>
      <c r="L1929" s="9" t="s">
        <v>3211</v>
      </c>
      <c r="M1929" s="5">
        <v>7</v>
      </c>
      <c r="N1929" s="9" t="s">
        <v>5327</v>
      </c>
      <c r="O1929" s="9" t="str">
        <f t="shared" si="188"/>
        <v>PDFを開く</v>
      </c>
      <c r="P1929" s="9" t="s">
        <v>1676</v>
      </c>
    </row>
    <row r="1930" spans="1:16" ht="33.950000000000003" customHeight="1">
      <c r="A1930" s="2" t="s">
        <v>1670</v>
      </c>
      <c r="B1930" s="2" t="s">
        <v>1595</v>
      </c>
      <c r="C1930" s="8" t="s">
        <v>1671</v>
      </c>
      <c r="D1930" s="2">
        <v>2</v>
      </c>
      <c r="E1930" s="8" t="s">
        <v>3188</v>
      </c>
      <c r="F1930" s="2" t="s">
        <v>86</v>
      </c>
      <c r="G1930" s="2" t="s">
        <v>3177</v>
      </c>
      <c r="H1930" s="2"/>
      <c r="I1930" s="8" t="s">
        <v>5328</v>
      </c>
      <c r="J1930" s="2">
        <v>2029</v>
      </c>
      <c r="K1930" s="2"/>
      <c r="L1930" s="8" t="s">
        <v>5329</v>
      </c>
      <c r="M1930" s="2">
        <v>7</v>
      </c>
      <c r="N1930" s="8" t="s">
        <v>5327</v>
      </c>
      <c r="O1930" s="8" t="str">
        <f t="shared" si="188"/>
        <v>PDFを開く</v>
      </c>
      <c r="P1930" s="8" t="s">
        <v>1676</v>
      </c>
    </row>
    <row r="1931" spans="1:16" ht="33.950000000000003" customHeight="1">
      <c r="A1931" s="5" t="s">
        <v>1677</v>
      </c>
      <c r="B1931" s="5" t="s">
        <v>1595</v>
      </c>
      <c r="C1931" s="9" t="s">
        <v>1678</v>
      </c>
      <c r="D1931" s="5">
        <v>2</v>
      </c>
      <c r="E1931" s="9" t="s">
        <v>3176</v>
      </c>
      <c r="F1931" s="5" t="s">
        <v>86</v>
      </c>
      <c r="G1931" s="19" t="s">
        <v>3494</v>
      </c>
      <c r="H1931" s="5" t="s">
        <v>3178</v>
      </c>
      <c r="I1931" s="9" t="s">
        <v>3179</v>
      </c>
      <c r="J1931" s="5">
        <v>2026</v>
      </c>
      <c r="K1931" s="5">
        <v>599</v>
      </c>
      <c r="L1931" s="9" t="s">
        <v>5330</v>
      </c>
      <c r="M1931" s="5">
        <v>41.8</v>
      </c>
      <c r="N1931" s="9" t="s">
        <v>5331</v>
      </c>
      <c r="O1931" s="9" t="str">
        <f t="shared" ref="O1931:O1950" si="189">HYPERLINK("https://seichotoushi-hojo.jp/assets/pdf/koufu_3_4ji/outline_123.pdf","PDFを開く")</f>
        <v>PDFを開く</v>
      </c>
      <c r="P1931" s="9" t="s">
        <v>1684</v>
      </c>
    </row>
    <row r="1932" spans="1:16" ht="33.950000000000003" customHeight="1">
      <c r="A1932" s="2" t="s">
        <v>1677</v>
      </c>
      <c r="B1932" s="2" t="s">
        <v>1595</v>
      </c>
      <c r="C1932" s="8" t="s">
        <v>1678</v>
      </c>
      <c r="D1932" s="2">
        <v>2</v>
      </c>
      <c r="E1932" s="8" t="s">
        <v>3176</v>
      </c>
      <c r="F1932" s="2" t="s">
        <v>86</v>
      </c>
      <c r="G1932" s="19" t="s">
        <v>3494</v>
      </c>
      <c r="H1932" s="2" t="s">
        <v>3178</v>
      </c>
      <c r="I1932" s="8"/>
      <c r="J1932" s="2"/>
      <c r="K1932" s="2">
        <v>438</v>
      </c>
      <c r="L1932" s="8" t="s">
        <v>5058</v>
      </c>
      <c r="M1932" s="2">
        <v>41.8</v>
      </c>
      <c r="N1932" s="8" t="s">
        <v>5331</v>
      </c>
      <c r="O1932" s="8" t="str">
        <f t="shared" si="189"/>
        <v>PDFを開く</v>
      </c>
      <c r="P1932" s="8" t="s">
        <v>1684</v>
      </c>
    </row>
    <row r="1933" spans="1:16" ht="33.950000000000003" customHeight="1">
      <c r="A1933" s="5" t="s">
        <v>1677</v>
      </c>
      <c r="B1933" s="5" t="s">
        <v>1595</v>
      </c>
      <c r="C1933" s="9" t="s">
        <v>1678</v>
      </c>
      <c r="D1933" s="5">
        <v>2</v>
      </c>
      <c r="E1933" s="9" t="s">
        <v>3176</v>
      </c>
      <c r="F1933" s="5" t="s">
        <v>86</v>
      </c>
      <c r="G1933" s="19" t="s">
        <v>3494</v>
      </c>
      <c r="H1933" s="5" t="s">
        <v>3178</v>
      </c>
      <c r="I1933" s="9" t="s">
        <v>3182</v>
      </c>
      <c r="J1933" s="5">
        <v>2029</v>
      </c>
      <c r="K1933" s="5">
        <v>1707</v>
      </c>
      <c r="L1933" s="9" t="s">
        <v>5332</v>
      </c>
      <c r="M1933" s="5">
        <v>41.8</v>
      </c>
      <c r="N1933" s="9" t="s">
        <v>5331</v>
      </c>
      <c r="O1933" s="9" t="str">
        <f t="shared" si="189"/>
        <v>PDFを開く</v>
      </c>
      <c r="P1933" s="9" t="s">
        <v>1684</v>
      </c>
    </row>
    <row r="1934" spans="1:16" ht="33.950000000000003" customHeight="1">
      <c r="A1934" s="2" t="s">
        <v>1677</v>
      </c>
      <c r="B1934" s="2" t="s">
        <v>1595</v>
      </c>
      <c r="C1934" s="8" t="s">
        <v>1678</v>
      </c>
      <c r="D1934" s="2">
        <v>2</v>
      </c>
      <c r="E1934" s="8" t="s">
        <v>3176</v>
      </c>
      <c r="F1934" s="2" t="s">
        <v>86</v>
      </c>
      <c r="G1934" s="19" t="s">
        <v>3494</v>
      </c>
      <c r="H1934" s="2" t="s">
        <v>3178</v>
      </c>
      <c r="I1934" s="8"/>
      <c r="J1934" s="2"/>
      <c r="K1934" s="2">
        <v>1511</v>
      </c>
      <c r="L1934" s="8" t="s">
        <v>5333</v>
      </c>
      <c r="M1934" s="2">
        <v>41.8</v>
      </c>
      <c r="N1934" s="8" t="s">
        <v>5331</v>
      </c>
      <c r="O1934" s="8" t="str">
        <f t="shared" si="189"/>
        <v>PDFを開く</v>
      </c>
      <c r="P1934" s="8" t="s">
        <v>1684</v>
      </c>
    </row>
    <row r="1935" spans="1:16" ht="33.950000000000003" customHeight="1">
      <c r="A1935" s="5" t="s">
        <v>1677</v>
      </c>
      <c r="B1935" s="5" t="s">
        <v>1595</v>
      </c>
      <c r="C1935" s="9" t="s">
        <v>1678</v>
      </c>
      <c r="D1935" s="5">
        <v>2</v>
      </c>
      <c r="E1935" s="9" t="s">
        <v>3184</v>
      </c>
      <c r="F1935" s="5" t="s">
        <v>86</v>
      </c>
      <c r="G1935" s="19" t="s">
        <v>3494</v>
      </c>
      <c r="H1935" s="5" t="s">
        <v>3178</v>
      </c>
      <c r="I1935" s="9" t="s">
        <v>3179</v>
      </c>
      <c r="J1935" s="5">
        <v>2026</v>
      </c>
      <c r="K1935" s="5">
        <v>407</v>
      </c>
      <c r="L1935" s="9" t="s">
        <v>3956</v>
      </c>
      <c r="M1935" s="5">
        <v>8</v>
      </c>
      <c r="N1935" s="9" t="s">
        <v>5334</v>
      </c>
      <c r="O1935" s="9" t="str">
        <f t="shared" si="189"/>
        <v>PDFを開く</v>
      </c>
      <c r="P1935" s="9" t="s">
        <v>1684</v>
      </c>
    </row>
    <row r="1936" spans="1:16" ht="33.950000000000003" customHeight="1">
      <c r="A1936" s="2" t="s">
        <v>1677</v>
      </c>
      <c r="B1936" s="2" t="s">
        <v>1595</v>
      </c>
      <c r="C1936" s="8" t="s">
        <v>1678</v>
      </c>
      <c r="D1936" s="2">
        <v>2</v>
      </c>
      <c r="E1936" s="8" t="s">
        <v>3184</v>
      </c>
      <c r="F1936" s="2" t="s">
        <v>86</v>
      </c>
      <c r="G1936" s="19" t="s">
        <v>3494</v>
      </c>
      <c r="H1936" s="2" t="s">
        <v>3178</v>
      </c>
      <c r="I1936" s="8"/>
      <c r="J1936" s="2"/>
      <c r="K1936" s="2">
        <v>471</v>
      </c>
      <c r="L1936" s="8" t="s">
        <v>3246</v>
      </c>
      <c r="M1936" s="2">
        <v>8</v>
      </c>
      <c r="N1936" s="8" t="s">
        <v>5334</v>
      </c>
      <c r="O1936" s="8" t="str">
        <f t="shared" si="189"/>
        <v>PDFを開く</v>
      </c>
      <c r="P1936" s="8" t="s">
        <v>1684</v>
      </c>
    </row>
    <row r="1937" spans="1:16" ht="33.950000000000003" customHeight="1">
      <c r="A1937" s="5" t="s">
        <v>1677</v>
      </c>
      <c r="B1937" s="5" t="s">
        <v>1595</v>
      </c>
      <c r="C1937" s="9" t="s">
        <v>1678</v>
      </c>
      <c r="D1937" s="5">
        <v>2</v>
      </c>
      <c r="E1937" s="9" t="s">
        <v>3184</v>
      </c>
      <c r="F1937" s="5" t="s">
        <v>86</v>
      </c>
      <c r="G1937" s="19" t="s">
        <v>3494</v>
      </c>
      <c r="H1937" s="5" t="s">
        <v>3178</v>
      </c>
      <c r="I1937" s="9" t="s">
        <v>3182</v>
      </c>
      <c r="J1937" s="5">
        <v>2029</v>
      </c>
      <c r="K1937" s="5">
        <v>512</v>
      </c>
      <c r="L1937" s="9" t="s">
        <v>5335</v>
      </c>
      <c r="M1937" s="5">
        <v>8</v>
      </c>
      <c r="N1937" s="9" t="s">
        <v>5334</v>
      </c>
      <c r="O1937" s="9" t="str">
        <f t="shared" si="189"/>
        <v>PDFを開く</v>
      </c>
      <c r="P1937" s="9" t="s">
        <v>1684</v>
      </c>
    </row>
    <row r="1938" spans="1:16" ht="33.950000000000003" customHeight="1">
      <c r="A1938" s="2" t="s">
        <v>1677</v>
      </c>
      <c r="B1938" s="2" t="s">
        <v>1595</v>
      </c>
      <c r="C1938" s="8" t="s">
        <v>1678</v>
      </c>
      <c r="D1938" s="2">
        <v>2</v>
      </c>
      <c r="E1938" s="8" t="s">
        <v>3184</v>
      </c>
      <c r="F1938" s="2" t="s">
        <v>86</v>
      </c>
      <c r="G1938" s="19" t="s">
        <v>3494</v>
      </c>
      <c r="H1938" s="2" t="s">
        <v>3178</v>
      </c>
      <c r="I1938" s="8"/>
      <c r="J1938" s="2"/>
      <c r="K1938" s="2">
        <v>594</v>
      </c>
      <c r="L1938" s="8" t="s">
        <v>4286</v>
      </c>
      <c r="M1938" s="2">
        <v>8</v>
      </c>
      <c r="N1938" s="8" t="s">
        <v>5334</v>
      </c>
      <c r="O1938" s="8" t="str">
        <f t="shared" si="189"/>
        <v>PDFを開く</v>
      </c>
      <c r="P1938" s="8" t="s">
        <v>1684</v>
      </c>
    </row>
    <row r="1939" spans="1:16" ht="33.950000000000003" customHeight="1">
      <c r="A1939" s="5" t="s">
        <v>1677</v>
      </c>
      <c r="B1939" s="5" t="s">
        <v>1595</v>
      </c>
      <c r="C1939" s="9" t="s">
        <v>1678</v>
      </c>
      <c r="D1939" s="5">
        <v>2</v>
      </c>
      <c r="E1939" s="9" t="s">
        <v>3188</v>
      </c>
      <c r="F1939" s="5" t="s">
        <v>86</v>
      </c>
      <c r="G1939" s="5" t="s">
        <v>3177</v>
      </c>
      <c r="H1939" s="5" t="s">
        <v>3178</v>
      </c>
      <c r="I1939" s="9" t="s">
        <v>3179</v>
      </c>
      <c r="J1939" s="5">
        <v>2026</v>
      </c>
      <c r="K1939" s="5">
        <v>979</v>
      </c>
      <c r="L1939" s="9" t="s">
        <v>5336</v>
      </c>
      <c r="M1939" s="5">
        <v>5</v>
      </c>
      <c r="N1939" s="9" t="s">
        <v>5337</v>
      </c>
      <c r="O1939" s="9" t="str">
        <f t="shared" si="189"/>
        <v>PDFを開く</v>
      </c>
      <c r="P1939" s="9" t="s">
        <v>1684</v>
      </c>
    </row>
    <row r="1940" spans="1:16" ht="33.950000000000003" customHeight="1">
      <c r="A1940" s="2" t="s">
        <v>1677</v>
      </c>
      <c r="B1940" s="2" t="s">
        <v>1595</v>
      </c>
      <c r="C1940" s="8" t="s">
        <v>1678</v>
      </c>
      <c r="D1940" s="2">
        <v>2</v>
      </c>
      <c r="E1940" s="8" t="s">
        <v>3188</v>
      </c>
      <c r="F1940" s="2" t="s">
        <v>86</v>
      </c>
      <c r="G1940" s="2" t="s">
        <v>3177</v>
      </c>
      <c r="H1940" s="2" t="s">
        <v>3178</v>
      </c>
      <c r="I1940" s="8" t="s">
        <v>3182</v>
      </c>
      <c r="J1940" s="2">
        <v>2029</v>
      </c>
      <c r="K1940" s="2">
        <v>1133</v>
      </c>
      <c r="L1940" s="8" t="s">
        <v>4910</v>
      </c>
      <c r="M1940" s="2">
        <v>5</v>
      </c>
      <c r="N1940" s="8" t="s">
        <v>5337</v>
      </c>
      <c r="O1940" s="8" t="str">
        <f t="shared" si="189"/>
        <v>PDFを開く</v>
      </c>
      <c r="P1940" s="8" t="s">
        <v>1684</v>
      </c>
    </row>
    <row r="1941" spans="1:16" ht="33.950000000000003" customHeight="1">
      <c r="A1941" s="5" t="s">
        <v>1677</v>
      </c>
      <c r="B1941" s="5" t="s">
        <v>1595</v>
      </c>
      <c r="C1941" s="9" t="s">
        <v>1678</v>
      </c>
      <c r="D1941" s="5">
        <v>2</v>
      </c>
      <c r="E1941" s="9" t="s">
        <v>3191</v>
      </c>
      <c r="F1941" s="5" t="s">
        <v>2513</v>
      </c>
      <c r="G1941" s="19" t="s">
        <v>3494</v>
      </c>
      <c r="H1941" s="5" t="s">
        <v>3178</v>
      </c>
      <c r="I1941" s="9" t="s">
        <v>3179</v>
      </c>
      <c r="J1941" s="5">
        <v>2026</v>
      </c>
      <c r="K1941" s="5">
        <v>104</v>
      </c>
      <c r="L1941" s="9" t="s">
        <v>3444</v>
      </c>
      <c r="M1941" s="5"/>
      <c r="N1941" s="9" t="s">
        <v>5338</v>
      </c>
      <c r="O1941" s="9" t="str">
        <f t="shared" si="189"/>
        <v>PDFを開く</v>
      </c>
      <c r="P1941" s="9" t="s">
        <v>1684</v>
      </c>
    </row>
    <row r="1942" spans="1:16" ht="33.950000000000003" customHeight="1">
      <c r="A1942" s="2" t="s">
        <v>1677</v>
      </c>
      <c r="B1942" s="2" t="s">
        <v>1595</v>
      </c>
      <c r="C1942" s="8" t="s">
        <v>1678</v>
      </c>
      <c r="D1942" s="2">
        <v>2</v>
      </c>
      <c r="E1942" s="8" t="s">
        <v>3191</v>
      </c>
      <c r="F1942" s="2" t="s">
        <v>2513</v>
      </c>
      <c r="G1942" s="19" t="s">
        <v>3494</v>
      </c>
      <c r="H1942" s="2" t="s">
        <v>3178</v>
      </c>
      <c r="I1942" s="8"/>
      <c r="J1942" s="2"/>
      <c r="K1942" s="2">
        <v>35</v>
      </c>
      <c r="L1942" s="8" t="s">
        <v>3269</v>
      </c>
      <c r="M1942" s="2"/>
      <c r="N1942" s="8" t="s">
        <v>5338</v>
      </c>
      <c r="O1942" s="8" t="str">
        <f t="shared" si="189"/>
        <v>PDFを開く</v>
      </c>
      <c r="P1942" s="8" t="s">
        <v>1684</v>
      </c>
    </row>
    <row r="1943" spans="1:16" ht="33.950000000000003" customHeight="1">
      <c r="A1943" s="5" t="s">
        <v>1677</v>
      </c>
      <c r="B1943" s="5" t="s">
        <v>1595</v>
      </c>
      <c r="C1943" s="9" t="s">
        <v>1678</v>
      </c>
      <c r="D1943" s="5">
        <v>2</v>
      </c>
      <c r="E1943" s="9" t="s">
        <v>3191</v>
      </c>
      <c r="F1943" s="5" t="s">
        <v>2513</v>
      </c>
      <c r="G1943" s="19" t="s">
        <v>3494</v>
      </c>
      <c r="H1943" s="5" t="s">
        <v>3178</v>
      </c>
      <c r="I1943" s="9" t="s">
        <v>3182</v>
      </c>
      <c r="J1943" s="5">
        <v>2029</v>
      </c>
      <c r="K1943" s="5">
        <v>106</v>
      </c>
      <c r="L1943" s="9" t="s">
        <v>5054</v>
      </c>
      <c r="M1943" s="5"/>
      <c r="N1943" s="9" t="s">
        <v>5338</v>
      </c>
      <c r="O1943" s="9" t="str">
        <f t="shared" si="189"/>
        <v>PDFを開く</v>
      </c>
      <c r="P1943" s="9" t="s">
        <v>1684</v>
      </c>
    </row>
    <row r="1944" spans="1:16" ht="33.950000000000003" customHeight="1">
      <c r="A1944" s="2" t="s">
        <v>1677</v>
      </c>
      <c r="B1944" s="2" t="s">
        <v>1595</v>
      </c>
      <c r="C1944" s="8" t="s">
        <v>1678</v>
      </c>
      <c r="D1944" s="2">
        <v>2</v>
      </c>
      <c r="E1944" s="8" t="s">
        <v>3191</v>
      </c>
      <c r="F1944" s="2" t="s">
        <v>2513</v>
      </c>
      <c r="G1944" s="19" t="s">
        <v>3494</v>
      </c>
      <c r="H1944" s="2" t="s">
        <v>3178</v>
      </c>
      <c r="I1944" s="8"/>
      <c r="J1944" s="2"/>
      <c r="K1944" s="2">
        <v>50</v>
      </c>
      <c r="L1944" s="8" t="s">
        <v>3271</v>
      </c>
      <c r="M1944" s="2"/>
      <c r="N1944" s="8" t="s">
        <v>5338</v>
      </c>
      <c r="O1944" s="8" t="str">
        <f t="shared" si="189"/>
        <v>PDFを開く</v>
      </c>
      <c r="P1944" s="8" t="s">
        <v>1684</v>
      </c>
    </row>
    <row r="1945" spans="1:16" ht="33.950000000000003" customHeight="1">
      <c r="A1945" s="5" t="s">
        <v>1677</v>
      </c>
      <c r="B1945" s="5" t="s">
        <v>1595</v>
      </c>
      <c r="C1945" s="9" t="s">
        <v>1678</v>
      </c>
      <c r="D1945" s="5">
        <v>2</v>
      </c>
      <c r="E1945" s="9" t="s">
        <v>3176</v>
      </c>
      <c r="F1945" s="5" t="s">
        <v>86</v>
      </c>
      <c r="G1945" s="5" t="s">
        <v>3177</v>
      </c>
      <c r="H1945" s="5" t="s">
        <v>3178</v>
      </c>
      <c r="I1945" s="9" t="s">
        <v>3179</v>
      </c>
      <c r="J1945" s="5">
        <v>2026</v>
      </c>
      <c r="K1945" s="5">
        <v>599</v>
      </c>
      <c r="L1945" s="9" t="s">
        <v>5330</v>
      </c>
      <c r="M1945" s="5">
        <v>41.8</v>
      </c>
      <c r="N1945" s="9" t="s">
        <v>5331</v>
      </c>
      <c r="O1945" s="9" t="str">
        <f t="shared" si="189"/>
        <v>PDFを開く</v>
      </c>
      <c r="P1945" s="9" t="s">
        <v>1684</v>
      </c>
    </row>
    <row r="1946" spans="1:16" ht="33.950000000000003" customHeight="1">
      <c r="A1946" s="2" t="s">
        <v>1677</v>
      </c>
      <c r="B1946" s="2" t="s">
        <v>1595</v>
      </c>
      <c r="C1946" s="8" t="s">
        <v>1678</v>
      </c>
      <c r="D1946" s="2">
        <v>2</v>
      </c>
      <c r="E1946" s="8" t="s">
        <v>3176</v>
      </c>
      <c r="F1946" s="2" t="s">
        <v>86</v>
      </c>
      <c r="G1946" s="2" t="s">
        <v>3177</v>
      </c>
      <c r="H1946" s="2" t="s">
        <v>3178</v>
      </c>
      <c r="I1946" s="8" t="s">
        <v>3182</v>
      </c>
      <c r="J1946" s="2">
        <v>2029</v>
      </c>
      <c r="K1946" s="2">
        <v>1707</v>
      </c>
      <c r="L1946" s="8" t="s">
        <v>5332</v>
      </c>
      <c r="M1946" s="2">
        <v>41.8</v>
      </c>
      <c r="N1946" s="8" t="s">
        <v>5331</v>
      </c>
      <c r="O1946" s="8" t="str">
        <f t="shared" si="189"/>
        <v>PDFを開く</v>
      </c>
      <c r="P1946" s="8" t="s">
        <v>1684</v>
      </c>
    </row>
    <row r="1947" spans="1:16" ht="33.950000000000003" customHeight="1">
      <c r="A1947" s="5" t="s">
        <v>1677</v>
      </c>
      <c r="B1947" s="5" t="s">
        <v>1595</v>
      </c>
      <c r="C1947" s="9" t="s">
        <v>1678</v>
      </c>
      <c r="D1947" s="5">
        <v>2</v>
      </c>
      <c r="E1947" s="9" t="s">
        <v>3191</v>
      </c>
      <c r="F1947" s="5" t="s">
        <v>2513</v>
      </c>
      <c r="G1947" s="5" t="s">
        <v>3177</v>
      </c>
      <c r="H1947" s="5" t="s">
        <v>3178</v>
      </c>
      <c r="I1947" s="9" t="s">
        <v>3179</v>
      </c>
      <c r="J1947" s="5">
        <v>2026</v>
      </c>
      <c r="K1947" s="5">
        <v>104</v>
      </c>
      <c r="L1947" s="9" t="s">
        <v>3444</v>
      </c>
      <c r="M1947" s="5"/>
      <c r="N1947" s="9" t="s">
        <v>5338</v>
      </c>
      <c r="O1947" s="9" t="str">
        <f t="shared" si="189"/>
        <v>PDFを開く</v>
      </c>
      <c r="P1947" s="9" t="s">
        <v>1684</v>
      </c>
    </row>
    <row r="1948" spans="1:16" ht="33.950000000000003" customHeight="1">
      <c r="A1948" s="2" t="s">
        <v>1677</v>
      </c>
      <c r="B1948" s="2" t="s">
        <v>1595</v>
      </c>
      <c r="C1948" s="8" t="s">
        <v>1678</v>
      </c>
      <c r="D1948" s="2">
        <v>2</v>
      </c>
      <c r="E1948" s="8" t="s">
        <v>3191</v>
      </c>
      <c r="F1948" s="2" t="s">
        <v>2513</v>
      </c>
      <c r="G1948" s="2" t="s">
        <v>3177</v>
      </c>
      <c r="H1948" s="2" t="s">
        <v>3178</v>
      </c>
      <c r="I1948" s="8" t="s">
        <v>3182</v>
      </c>
      <c r="J1948" s="2">
        <v>2029</v>
      </c>
      <c r="K1948" s="2">
        <v>106</v>
      </c>
      <c r="L1948" s="8" t="s">
        <v>5054</v>
      </c>
      <c r="M1948" s="2"/>
      <c r="N1948" s="8" t="s">
        <v>5338</v>
      </c>
      <c r="O1948" s="8" t="str">
        <f t="shared" si="189"/>
        <v>PDFを開く</v>
      </c>
      <c r="P1948" s="8" t="s">
        <v>1684</v>
      </c>
    </row>
    <row r="1949" spans="1:16" ht="33.950000000000003" customHeight="1">
      <c r="A1949" s="5" t="s">
        <v>1677</v>
      </c>
      <c r="B1949" s="5" t="s">
        <v>1595</v>
      </c>
      <c r="C1949" s="9" t="s">
        <v>1678</v>
      </c>
      <c r="D1949" s="5">
        <v>2</v>
      </c>
      <c r="E1949" s="9" t="s">
        <v>3184</v>
      </c>
      <c r="F1949" s="5" t="s">
        <v>86</v>
      </c>
      <c r="G1949" s="5" t="s">
        <v>3177</v>
      </c>
      <c r="H1949" s="5" t="s">
        <v>3178</v>
      </c>
      <c r="I1949" s="9" t="s">
        <v>3179</v>
      </c>
      <c r="J1949" s="5">
        <v>2026</v>
      </c>
      <c r="K1949" s="5">
        <v>407</v>
      </c>
      <c r="L1949" s="9" t="s">
        <v>3956</v>
      </c>
      <c r="M1949" s="5">
        <v>8</v>
      </c>
      <c r="N1949" s="9" t="s">
        <v>5334</v>
      </c>
      <c r="O1949" s="9" t="str">
        <f t="shared" si="189"/>
        <v>PDFを開く</v>
      </c>
      <c r="P1949" s="9" t="s">
        <v>1684</v>
      </c>
    </row>
    <row r="1950" spans="1:16" ht="33.950000000000003" customHeight="1">
      <c r="A1950" s="2" t="s">
        <v>1677</v>
      </c>
      <c r="B1950" s="2" t="s">
        <v>1595</v>
      </c>
      <c r="C1950" s="8" t="s">
        <v>1678</v>
      </c>
      <c r="D1950" s="2">
        <v>2</v>
      </c>
      <c r="E1950" s="8" t="s">
        <v>3184</v>
      </c>
      <c r="F1950" s="2" t="s">
        <v>86</v>
      </c>
      <c r="G1950" s="2" t="s">
        <v>3177</v>
      </c>
      <c r="H1950" s="2" t="s">
        <v>3178</v>
      </c>
      <c r="I1950" s="8" t="s">
        <v>3182</v>
      </c>
      <c r="J1950" s="2">
        <v>2029</v>
      </c>
      <c r="K1950" s="2">
        <v>512</v>
      </c>
      <c r="L1950" s="8" t="s">
        <v>5335</v>
      </c>
      <c r="M1950" s="2">
        <v>8</v>
      </c>
      <c r="N1950" s="8" t="s">
        <v>5334</v>
      </c>
      <c r="O1950" s="8" t="str">
        <f t="shared" si="189"/>
        <v>PDFを開く</v>
      </c>
      <c r="P1950" s="8" t="s">
        <v>1684</v>
      </c>
    </row>
    <row r="1951" spans="1:16" ht="33.950000000000003" customHeight="1">
      <c r="A1951" s="5" t="s">
        <v>1685</v>
      </c>
      <c r="B1951" s="5" t="s">
        <v>1595</v>
      </c>
      <c r="C1951" s="9" t="s">
        <v>1686</v>
      </c>
      <c r="D1951" s="5">
        <v>2</v>
      </c>
      <c r="E1951" s="9" t="s">
        <v>3176</v>
      </c>
      <c r="F1951" s="5" t="s">
        <v>86</v>
      </c>
      <c r="G1951" s="19" t="s">
        <v>3494</v>
      </c>
      <c r="H1951" s="5" t="s">
        <v>3178</v>
      </c>
      <c r="I1951" s="9" t="s">
        <v>5339</v>
      </c>
      <c r="J1951" s="5">
        <v>2028</v>
      </c>
      <c r="K1951" s="5">
        <v>714</v>
      </c>
      <c r="L1951" s="9" t="s">
        <v>5340</v>
      </c>
      <c r="M1951" s="5">
        <v>19.600000000000001</v>
      </c>
      <c r="N1951" s="9" t="s">
        <v>5341</v>
      </c>
      <c r="O1951" s="9" t="str">
        <f t="shared" ref="O1951:O1970" si="190">HYPERLINK("https://seichotoushi-hojo.jp/assets/pdf/koufu_3_4ji/outline_128.pdf","PDFを開く")</f>
        <v>PDFを開く</v>
      </c>
      <c r="P1951" s="9" t="s">
        <v>1692</v>
      </c>
    </row>
    <row r="1952" spans="1:16" ht="33.950000000000003" customHeight="1">
      <c r="A1952" s="2" t="s">
        <v>1685</v>
      </c>
      <c r="B1952" s="2" t="s">
        <v>1595</v>
      </c>
      <c r="C1952" s="8" t="s">
        <v>1686</v>
      </c>
      <c r="D1952" s="2">
        <v>2</v>
      </c>
      <c r="E1952" s="8" t="s">
        <v>3176</v>
      </c>
      <c r="F1952" s="2" t="s">
        <v>86</v>
      </c>
      <c r="G1952" s="19" t="s">
        <v>3494</v>
      </c>
      <c r="H1952" s="2" t="s">
        <v>3178</v>
      </c>
      <c r="I1952" s="8"/>
      <c r="J1952" s="2"/>
      <c r="K1952" s="2">
        <v>7234</v>
      </c>
      <c r="L1952" s="8" t="s">
        <v>5342</v>
      </c>
      <c r="M1952" s="2">
        <v>19.600000000000001</v>
      </c>
      <c r="N1952" s="8" t="s">
        <v>5341</v>
      </c>
      <c r="O1952" s="8" t="str">
        <f t="shared" si="190"/>
        <v>PDFを開く</v>
      </c>
      <c r="P1952" s="8" t="s">
        <v>1692</v>
      </c>
    </row>
    <row r="1953" spans="1:16" ht="33.950000000000003" customHeight="1">
      <c r="A1953" s="5" t="s">
        <v>1685</v>
      </c>
      <c r="B1953" s="5" t="s">
        <v>1595</v>
      </c>
      <c r="C1953" s="9" t="s">
        <v>1686</v>
      </c>
      <c r="D1953" s="5">
        <v>2</v>
      </c>
      <c r="E1953" s="9" t="s">
        <v>3176</v>
      </c>
      <c r="F1953" s="5" t="s">
        <v>86</v>
      </c>
      <c r="G1953" s="19" t="s">
        <v>3494</v>
      </c>
      <c r="H1953" s="5" t="s">
        <v>3178</v>
      </c>
      <c r="I1953" s="9" t="s">
        <v>5343</v>
      </c>
      <c r="J1953" s="5">
        <v>2031</v>
      </c>
      <c r="K1953" s="5">
        <v>1222</v>
      </c>
      <c r="L1953" s="9" t="s">
        <v>5344</v>
      </c>
      <c r="M1953" s="5">
        <v>19.600000000000001</v>
      </c>
      <c r="N1953" s="9" t="s">
        <v>5341</v>
      </c>
      <c r="O1953" s="9" t="str">
        <f t="shared" si="190"/>
        <v>PDFを開く</v>
      </c>
      <c r="P1953" s="9" t="s">
        <v>1692</v>
      </c>
    </row>
    <row r="1954" spans="1:16" ht="33.950000000000003" customHeight="1">
      <c r="A1954" s="2" t="s">
        <v>1685</v>
      </c>
      <c r="B1954" s="2" t="s">
        <v>1595</v>
      </c>
      <c r="C1954" s="8" t="s">
        <v>1686</v>
      </c>
      <c r="D1954" s="2">
        <v>2</v>
      </c>
      <c r="E1954" s="8" t="s">
        <v>3176</v>
      </c>
      <c r="F1954" s="2" t="s">
        <v>86</v>
      </c>
      <c r="G1954" s="19" t="s">
        <v>3494</v>
      </c>
      <c r="H1954" s="2" t="s">
        <v>3178</v>
      </c>
      <c r="I1954" s="8"/>
      <c r="J1954" s="2"/>
      <c r="K1954" s="2">
        <v>32635</v>
      </c>
      <c r="L1954" s="8" t="s">
        <v>5345</v>
      </c>
      <c r="M1954" s="2">
        <v>19.600000000000001</v>
      </c>
      <c r="N1954" s="8" t="s">
        <v>5341</v>
      </c>
      <c r="O1954" s="8" t="str">
        <f t="shared" si="190"/>
        <v>PDFを開く</v>
      </c>
      <c r="P1954" s="8" t="s">
        <v>1692</v>
      </c>
    </row>
    <row r="1955" spans="1:16" ht="33.950000000000003" customHeight="1">
      <c r="A1955" s="5" t="s">
        <v>1685</v>
      </c>
      <c r="B1955" s="5" t="s">
        <v>1595</v>
      </c>
      <c r="C1955" s="9" t="s">
        <v>1686</v>
      </c>
      <c r="D1955" s="5">
        <v>2</v>
      </c>
      <c r="E1955" s="9" t="s">
        <v>3188</v>
      </c>
      <c r="F1955" s="5" t="s">
        <v>86</v>
      </c>
      <c r="G1955" s="19" t="s">
        <v>3494</v>
      </c>
      <c r="H1955" s="5" t="s">
        <v>3178</v>
      </c>
      <c r="I1955" s="9" t="s">
        <v>5339</v>
      </c>
      <c r="J1955" s="5">
        <v>2028</v>
      </c>
      <c r="K1955" s="5">
        <v>456</v>
      </c>
      <c r="L1955" s="9" t="s">
        <v>3477</v>
      </c>
      <c r="M1955" s="5">
        <v>5</v>
      </c>
      <c r="N1955" s="9" t="s">
        <v>5346</v>
      </c>
      <c r="O1955" s="9" t="str">
        <f t="shared" si="190"/>
        <v>PDFを開く</v>
      </c>
      <c r="P1955" s="9" t="s">
        <v>1692</v>
      </c>
    </row>
    <row r="1956" spans="1:16" ht="33.950000000000003" customHeight="1">
      <c r="A1956" s="2" t="s">
        <v>1685</v>
      </c>
      <c r="B1956" s="2" t="s">
        <v>1595</v>
      </c>
      <c r="C1956" s="8" t="s">
        <v>1686</v>
      </c>
      <c r="D1956" s="2">
        <v>2</v>
      </c>
      <c r="E1956" s="8" t="s">
        <v>3188</v>
      </c>
      <c r="F1956" s="2" t="s">
        <v>86</v>
      </c>
      <c r="G1956" s="19" t="s">
        <v>3494</v>
      </c>
      <c r="H1956" s="2" t="s">
        <v>3178</v>
      </c>
      <c r="I1956" s="8"/>
      <c r="J1956" s="2"/>
      <c r="K1956" s="2">
        <v>408</v>
      </c>
      <c r="L1956" s="8" t="s">
        <v>3627</v>
      </c>
      <c r="M1956" s="2">
        <v>5</v>
      </c>
      <c r="N1956" s="8" t="s">
        <v>5346</v>
      </c>
      <c r="O1956" s="8" t="str">
        <f t="shared" si="190"/>
        <v>PDFを開く</v>
      </c>
      <c r="P1956" s="8" t="s">
        <v>1692</v>
      </c>
    </row>
    <row r="1957" spans="1:16" ht="33.950000000000003" customHeight="1">
      <c r="A1957" s="5" t="s">
        <v>1685</v>
      </c>
      <c r="B1957" s="5" t="s">
        <v>1595</v>
      </c>
      <c r="C1957" s="9" t="s">
        <v>1686</v>
      </c>
      <c r="D1957" s="5">
        <v>2</v>
      </c>
      <c r="E1957" s="9" t="s">
        <v>3188</v>
      </c>
      <c r="F1957" s="5" t="s">
        <v>86</v>
      </c>
      <c r="G1957" s="19" t="s">
        <v>3494</v>
      </c>
      <c r="H1957" s="5" t="s">
        <v>3178</v>
      </c>
      <c r="I1957" s="9" t="s">
        <v>5343</v>
      </c>
      <c r="J1957" s="5">
        <v>2031</v>
      </c>
      <c r="K1957" s="5">
        <v>543</v>
      </c>
      <c r="L1957" s="9" t="s">
        <v>5347</v>
      </c>
      <c r="M1957" s="5">
        <v>5</v>
      </c>
      <c r="N1957" s="9" t="s">
        <v>5346</v>
      </c>
      <c r="O1957" s="9" t="str">
        <f t="shared" si="190"/>
        <v>PDFを開く</v>
      </c>
      <c r="P1957" s="9" t="s">
        <v>1692</v>
      </c>
    </row>
    <row r="1958" spans="1:16" ht="33.950000000000003" customHeight="1">
      <c r="A1958" s="2" t="s">
        <v>1685</v>
      </c>
      <c r="B1958" s="2" t="s">
        <v>1595</v>
      </c>
      <c r="C1958" s="8" t="s">
        <v>1686</v>
      </c>
      <c r="D1958" s="2">
        <v>2</v>
      </c>
      <c r="E1958" s="8" t="s">
        <v>3188</v>
      </c>
      <c r="F1958" s="2" t="s">
        <v>86</v>
      </c>
      <c r="G1958" s="19" t="s">
        <v>3494</v>
      </c>
      <c r="H1958" s="2" t="s">
        <v>3178</v>
      </c>
      <c r="I1958" s="8"/>
      <c r="J1958" s="2"/>
      <c r="K1958" s="2">
        <v>486</v>
      </c>
      <c r="L1958" s="8" t="s">
        <v>3892</v>
      </c>
      <c r="M1958" s="2">
        <v>5</v>
      </c>
      <c r="N1958" s="8" t="s">
        <v>5346</v>
      </c>
      <c r="O1958" s="8" t="str">
        <f t="shared" si="190"/>
        <v>PDFを開く</v>
      </c>
      <c r="P1958" s="8" t="s">
        <v>1692</v>
      </c>
    </row>
    <row r="1959" spans="1:16" ht="33.950000000000003" customHeight="1">
      <c r="A1959" s="5" t="s">
        <v>1685</v>
      </c>
      <c r="B1959" s="5" t="s">
        <v>1595</v>
      </c>
      <c r="C1959" s="9" t="s">
        <v>1686</v>
      </c>
      <c r="D1959" s="5">
        <v>2</v>
      </c>
      <c r="E1959" s="9" t="s">
        <v>3191</v>
      </c>
      <c r="F1959" s="5" t="s">
        <v>2513</v>
      </c>
      <c r="G1959" s="19" t="s">
        <v>3494</v>
      </c>
      <c r="H1959" s="5" t="s">
        <v>3178</v>
      </c>
      <c r="I1959" s="9" t="s">
        <v>5339</v>
      </c>
      <c r="J1959" s="5">
        <v>2028</v>
      </c>
      <c r="K1959" s="5">
        <v>365</v>
      </c>
      <c r="L1959" s="9" t="s">
        <v>5348</v>
      </c>
      <c r="M1959" s="5"/>
      <c r="N1959" s="9" t="s">
        <v>5349</v>
      </c>
      <c r="O1959" s="9" t="str">
        <f t="shared" si="190"/>
        <v>PDFを開く</v>
      </c>
      <c r="P1959" s="9" t="s">
        <v>1692</v>
      </c>
    </row>
    <row r="1960" spans="1:16" ht="33.950000000000003" customHeight="1">
      <c r="A1960" s="2" t="s">
        <v>1685</v>
      </c>
      <c r="B1960" s="2" t="s">
        <v>1595</v>
      </c>
      <c r="C1960" s="8" t="s">
        <v>1686</v>
      </c>
      <c r="D1960" s="2">
        <v>2</v>
      </c>
      <c r="E1960" s="8" t="s">
        <v>3191</v>
      </c>
      <c r="F1960" s="2" t="s">
        <v>2513</v>
      </c>
      <c r="G1960" s="19" t="s">
        <v>3494</v>
      </c>
      <c r="H1960" s="2" t="s">
        <v>3178</v>
      </c>
      <c r="I1960" s="8"/>
      <c r="J1960" s="2"/>
      <c r="K1960" s="2">
        <v>2</v>
      </c>
      <c r="L1960" s="8" t="s">
        <v>4153</v>
      </c>
      <c r="M1960" s="2"/>
      <c r="N1960" s="8" t="s">
        <v>5349</v>
      </c>
      <c r="O1960" s="8" t="str">
        <f t="shared" si="190"/>
        <v>PDFを開く</v>
      </c>
      <c r="P1960" s="8" t="s">
        <v>1692</v>
      </c>
    </row>
    <row r="1961" spans="1:16" ht="33.950000000000003" customHeight="1">
      <c r="A1961" s="5" t="s">
        <v>1685</v>
      </c>
      <c r="B1961" s="5" t="s">
        <v>1595</v>
      </c>
      <c r="C1961" s="9" t="s">
        <v>1686</v>
      </c>
      <c r="D1961" s="5">
        <v>2</v>
      </c>
      <c r="E1961" s="9" t="s">
        <v>3191</v>
      </c>
      <c r="F1961" s="5" t="s">
        <v>2513</v>
      </c>
      <c r="G1961" s="19" t="s">
        <v>3494</v>
      </c>
      <c r="H1961" s="5" t="s">
        <v>3178</v>
      </c>
      <c r="I1961" s="9" t="s">
        <v>5343</v>
      </c>
      <c r="J1961" s="5">
        <v>2031</v>
      </c>
      <c r="K1961" s="5">
        <v>368</v>
      </c>
      <c r="L1961" s="9" t="s">
        <v>5350</v>
      </c>
      <c r="M1961" s="5"/>
      <c r="N1961" s="9" t="s">
        <v>5349</v>
      </c>
      <c r="O1961" s="9" t="str">
        <f t="shared" si="190"/>
        <v>PDFを開く</v>
      </c>
      <c r="P1961" s="9" t="s">
        <v>1692</v>
      </c>
    </row>
    <row r="1962" spans="1:16" ht="33.950000000000003" customHeight="1">
      <c r="A1962" s="2" t="s">
        <v>1685</v>
      </c>
      <c r="B1962" s="2" t="s">
        <v>1595</v>
      </c>
      <c r="C1962" s="8" t="s">
        <v>1686</v>
      </c>
      <c r="D1962" s="2">
        <v>2</v>
      </c>
      <c r="E1962" s="8" t="s">
        <v>3191</v>
      </c>
      <c r="F1962" s="2" t="s">
        <v>2513</v>
      </c>
      <c r="G1962" s="19" t="s">
        <v>3494</v>
      </c>
      <c r="H1962" s="2" t="s">
        <v>3178</v>
      </c>
      <c r="I1962" s="8"/>
      <c r="J1962" s="2"/>
      <c r="K1962" s="2">
        <v>2</v>
      </c>
      <c r="L1962" s="8" t="s">
        <v>4153</v>
      </c>
      <c r="M1962" s="2"/>
      <c r="N1962" s="8" t="s">
        <v>5349</v>
      </c>
      <c r="O1962" s="8" t="str">
        <f t="shared" si="190"/>
        <v>PDFを開く</v>
      </c>
      <c r="P1962" s="8" t="s">
        <v>1692</v>
      </c>
    </row>
    <row r="1963" spans="1:16" ht="33.950000000000003" customHeight="1">
      <c r="A1963" s="5" t="s">
        <v>1685</v>
      </c>
      <c r="B1963" s="5" t="s">
        <v>1595</v>
      </c>
      <c r="C1963" s="9" t="s">
        <v>1686</v>
      </c>
      <c r="D1963" s="5">
        <v>2</v>
      </c>
      <c r="E1963" s="9" t="s">
        <v>3176</v>
      </c>
      <c r="F1963" s="5" t="s">
        <v>86</v>
      </c>
      <c r="G1963" s="5" t="s">
        <v>3177</v>
      </c>
      <c r="H1963" s="5"/>
      <c r="I1963" s="9" t="s">
        <v>5351</v>
      </c>
      <c r="J1963" s="5">
        <v>2028</v>
      </c>
      <c r="K1963" s="5">
        <v>714</v>
      </c>
      <c r="L1963" s="9" t="s">
        <v>5340</v>
      </c>
      <c r="M1963" s="5">
        <v>19.600000000000001</v>
      </c>
      <c r="N1963" s="9" t="s">
        <v>5352</v>
      </c>
      <c r="O1963" s="9" t="str">
        <f t="shared" si="190"/>
        <v>PDFを開く</v>
      </c>
      <c r="P1963" s="9" t="s">
        <v>1692</v>
      </c>
    </row>
    <row r="1964" spans="1:16" ht="33.950000000000003" customHeight="1">
      <c r="A1964" s="2" t="s">
        <v>1685</v>
      </c>
      <c r="B1964" s="2" t="s">
        <v>1595</v>
      </c>
      <c r="C1964" s="8" t="s">
        <v>1686</v>
      </c>
      <c r="D1964" s="2">
        <v>2</v>
      </c>
      <c r="E1964" s="8" t="s">
        <v>3176</v>
      </c>
      <c r="F1964" s="2" t="s">
        <v>86</v>
      </c>
      <c r="G1964" s="2" t="s">
        <v>3177</v>
      </c>
      <c r="H1964" s="2"/>
      <c r="I1964" s="8" t="s">
        <v>5353</v>
      </c>
      <c r="J1964" s="2">
        <v>2031</v>
      </c>
      <c r="K1964" s="2">
        <v>1222</v>
      </c>
      <c r="L1964" s="8" t="s">
        <v>5354</v>
      </c>
      <c r="M1964" s="2">
        <v>19.600000000000001</v>
      </c>
      <c r="N1964" s="8" t="s">
        <v>5352</v>
      </c>
      <c r="O1964" s="8" t="str">
        <f t="shared" si="190"/>
        <v>PDFを開く</v>
      </c>
      <c r="P1964" s="8" t="s">
        <v>1692</v>
      </c>
    </row>
    <row r="1965" spans="1:16" ht="33.950000000000003" customHeight="1">
      <c r="A1965" s="5" t="s">
        <v>1685</v>
      </c>
      <c r="B1965" s="5" t="s">
        <v>1595</v>
      </c>
      <c r="C1965" s="9" t="s">
        <v>1686</v>
      </c>
      <c r="D1965" s="5">
        <v>2</v>
      </c>
      <c r="E1965" s="9" t="s">
        <v>3184</v>
      </c>
      <c r="F1965" s="5" t="s">
        <v>86</v>
      </c>
      <c r="G1965" s="5" t="s">
        <v>3177</v>
      </c>
      <c r="H1965" s="5"/>
      <c r="I1965" s="9" t="s">
        <v>5351</v>
      </c>
      <c r="J1965" s="5">
        <v>2028</v>
      </c>
      <c r="K1965" s="5">
        <v>456</v>
      </c>
      <c r="L1965" s="9" t="s">
        <v>3477</v>
      </c>
      <c r="M1965" s="5">
        <v>6</v>
      </c>
      <c r="N1965" s="9" t="s">
        <v>5355</v>
      </c>
      <c r="O1965" s="9" t="str">
        <f t="shared" si="190"/>
        <v>PDFを開く</v>
      </c>
      <c r="P1965" s="9" t="s">
        <v>1692</v>
      </c>
    </row>
    <row r="1966" spans="1:16" ht="33.950000000000003" customHeight="1">
      <c r="A1966" s="2" t="s">
        <v>1685</v>
      </c>
      <c r="B1966" s="2" t="s">
        <v>1595</v>
      </c>
      <c r="C1966" s="8" t="s">
        <v>1686</v>
      </c>
      <c r="D1966" s="2">
        <v>2</v>
      </c>
      <c r="E1966" s="8" t="s">
        <v>3184</v>
      </c>
      <c r="F1966" s="2" t="s">
        <v>86</v>
      </c>
      <c r="G1966" s="2" t="s">
        <v>3177</v>
      </c>
      <c r="H1966" s="2"/>
      <c r="I1966" s="8" t="s">
        <v>5353</v>
      </c>
      <c r="J1966" s="2">
        <v>2031</v>
      </c>
      <c r="K1966" s="2">
        <v>543</v>
      </c>
      <c r="L1966" s="8" t="s">
        <v>5347</v>
      </c>
      <c r="M1966" s="2">
        <v>6</v>
      </c>
      <c r="N1966" s="8" t="s">
        <v>5355</v>
      </c>
      <c r="O1966" s="8" t="str">
        <f t="shared" si="190"/>
        <v>PDFを開く</v>
      </c>
      <c r="P1966" s="8" t="s">
        <v>1692</v>
      </c>
    </row>
    <row r="1967" spans="1:16" ht="33.950000000000003" customHeight="1">
      <c r="A1967" s="5" t="s">
        <v>1685</v>
      </c>
      <c r="B1967" s="5" t="s">
        <v>1595</v>
      </c>
      <c r="C1967" s="9" t="s">
        <v>1686</v>
      </c>
      <c r="D1967" s="5">
        <v>2</v>
      </c>
      <c r="E1967" s="9" t="s">
        <v>3191</v>
      </c>
      <c r="F1967" s="5" t="s">
        <v>2513</v>
      </c>
      <c r="G1967" s="5" t="s">
        <v>3177</v>
      </c>
      <c r="H1967" s="5"/>
      <c r="I1967" s="9" t="s">
        <v>5351</v>
      </c>
      <c r="J1967" s="5">
        <v>2028</v>
      </c>
      <c r="K1967" s="5">
        <v>365</v>
      </c>
      <c r="L1967" s="9" t="s">
        <v>5348</v>
      </c>
      <c r="M1967" s="5"/>
      <c r="N1967" s="9" t="s">
        <v>5356</v>
      </c>
      <c r="O1967" s="9" t="str">
        <f t="shared" si="190"/>
        <v>PDFを開く</v>
      </c>
      <c r="P1967" s="9" t="s">
        <v>1692</v>
      </c>
    </row>
    <row r="1968" spans="1:16" ht="33.950000000000003" customHeight="1">
      <c r="A1968" s="2" t="s">
        <v>1685</v>
      </c>
      <c r="B1968" s="2" t="s">
        <v>1595</v>
      </c>
      <c r="C1968" s="8" t="s">
        <v>1686</v>
      </c>
      <c r="D1968" s="2">
        <v>2</v>
      </c>
      <c r="E1968" s="8" t="s">
        <v>3191</v>
      </c>
      <c r="F1968" s="2" t="s">
        <v>2513</v>
      </c>
      <c r="G1968" s="2" t="s">
        <v>3177</v>
      </c>
      <c r="H1968" s="2"/>
      <c r="I1968" s="8" t="s">
        <v>5353</v>
      </c>
      <c r="J1968" s="2">
        <v>2031</v>
      </c>
      <c r="K1968" s="2">
        <v>368</v>
      </c>
      <c r="L1968" s="8" t="s">
        <v>5350</v>
      </c>
      <c r="M1968" s="2"/>
      <c r="N1968" s="8" t="s">
        <v>5356</v>
      </c>
      <c r="O1968" s="8" t="str">
        <f t="shared" si="190"/>
        <v>PDFを開く</v>
      </c>
      <c r="P1968" s="8" t="s">
        <v>1692</v>
      </c>
    </row>
    <row r="1969" spans="1:16" ht="33.950000000000003" customHeight="1">
      <c r="A1969" s="5" t="s">
        <v>1685</v>
      </c>
      <c r="B1969" s="5" t="s">
        <v>1595</v>
      </c>
      <c r="C1969" s="9" t="s">
        <v>1686</v>
      </c>
      <c r="D1969" s="5">
        <v>2</v>
      </c>
      <c r="E1969" s="9" t="s">
        <v>3188</v>
      </c>
      <c r="F1969" s="5" t="s">
        <v>86</v>
      </c>
      <c r="G1969" s="5" t="s">
        <v>3177</v>
      </c>
      <c r="H1969" s="5" t="s">
        <v>3178</v>
      </c>
      <c r="I1969" s="9" t="s">
        <v>5339</v>
      </c>
      <c r="J1969" s="5">
        <v>2028</v>
      </c>
      <c r="K1969" s="5">
        <v>456</v>
      </c>
      <c r="L1969" s="9" t="s">
        <v>3477</v>
      </c>
      <c r="M1969" s="5">
        <v>5</v>
      </c>
      <c r="N1969" s="9" t="s">
        <v>5346</v>
      </c>
      <c r="O1969" s="9" t="str">
        <f t="shared" si="190"/>
        <v>PDFを開く</v>
      </c>
      <c r="P1969" s="9" t="s">
        <v>1692</v>
      </c>
    </row>
    <row r="1970" spans="1:16" ht="33.950000000000003" customHeight="1">
      <c r="A1970" s="2" t="s">
        <v>1685</v>
      </c>
      <c r="B1970" s="2" t="s">
        <v>1595</v>
      </c>
      <c r="C1970" s="8" t="s">
        <v>1686</v>
      </c>
      <c r="D1970" s="2">
        <v>2</v>
      </c>
      <c r="E1970" s="8" t="s">
        <v>3188</v>
      </c>
      <c r="F1970" s="2" t="s">
        <v>86</v>
      </c>
      <c r="G1970" s="2" t="s">
        <v>3177</v>
      </c>
      <c r="H1970" s="2" t="s">
        <v>3178</v>
      </c>
      <c r="I1970" s="8" t="s">
        <v>5343</v>
      </c>
      <c r="J1970" s="2">
        <v>2031</v>
      </c>
      <c r="K1970" s="2">
        <v>543</v>
      </c>
      <c r="L1970" s="8" t="s">
        <v>5347</v>
      </c>
      <c r="M1970" s="2">
        <v>5</v>
      </c>
      <c r="N1970" s="8" t="s">
        <v>5346</v>
      </c>
      <c r="O1970" s="8" t="str">
        <f t="shared" si="190"/>
        <v>PDFを開く</v>
      </c>
      <c r="P1970" s="8" t="s">
        <v>1692</v>
      </c>
    </row>
    <row r="1971" spans="1:16" ht="33.950000000000003" customHeight="1">
      <c r="A1971" s="5" t="s">
        <v>1693</v>
      </c>
      <c r="B1971" s="5" t="s">
        <v>1595</v>
      </c>
      <c r="C1971" s="9" t="s">
        <v>1694</v>
      </c>
      <c r="D1971" s="5">
        <v>2</v>
      </c>
      <c r="E1971" s="9" t="s">
        <v>3176</v>
      </c>
      <c r="F1971" s="5" t="s">
        <v>86</v>
      </c>
      <c r="G1971" s="5" t="s">
        <v>3177</v>
      </c>
      <c r="H1971" s="5" t="s">
        <v>3178</v>
      </c>
      <c r="I1971" s="9" t="s">
        <v>3179</v>
      </c>
      <c r="J1971" s="5">
        <v>2026</v>
      </c>
      <c r="K1971" s="5">
        <v>1049</v>
      </c>
      <c r="L1971" s="9" t="s">
        <v>5357</v>
      </c>
      <c r="M1971" s="5">
        <v>26.1</v>
      </c>
      <c r="N1971" s="9" t="s">
        <v>5358</v>
      </c>
      <c r="O1971" s="9" t="str">
        <f t="shared" ref="O1971:O1979" si="191">HYPERLINK("https://seichotoushi-hojo.jp/assets/pdf/koufu_3_4ji/outline_13.pdf","PDFを開く")</f>
        <v>PDFを開く</v>
      </c>
      <c r="P1971" s="9" t="s">
        <v>1701</v>
      </c>
    </row>
    <row r="1972" spans="1:16" ht="33.950000000000003" customHeight="1">
      <c r="A1972" s="2" t="s">
        <v>1693</v>
      </c>
      <c r="B1972" s="2" t="s">
        <v>1595</v>
      </c>
      <c r="C1972" s="8" t="s">
        <v>1694</v>
      </c>
      <c r="D1972" s="2">
        <v>2</v>
      </c>
      <c r="E1972" s="8" t="s">
        <v>3176</v>
      </c>
      <c r="F1972" s="2" t="s">
        <v>86</v>
      </c>
      <c r="G1972" s="2" t="s">
        <v>3177</v>
      </c>
      <c r="H1972" s="2" t="s">
        <v>3178</v>
      </c>
      <c r="I1972" s="8" t="s">
        <v>3182</v>
      </c>
      <c r="J1972" s="2">
        <v>2029</v>
      </c>
      <c r="K1972" s="2">
        <v>2104</v>
      </c>
      <c r="L1972" s="8" t="s">
        <v>5359</v>
      </c>
      <c r="M1972" s="2">
        <v>26.1</v>
      </c>
      <c r="N1972" s="8" t="s">
        <v>5358</v>
      </c>
      <c r="O1972" s="8" t="str">
        <f t="shared" si="191"/>
        <v>PDFを開く</v>
      </c>
      <c r="P1972" s="8" t="s">
        <v>1701</v>
      </c>
    </row>
    <row r="1973" spans="1:16" ht="33.950000000000003" customHeight="1">
      <c r="A1973" s="5" t="s">
        <v>1693</v>
      </c>
      <c r="B1973" s="5" t="s">
        <v>1595</v>
      </c>
      <c r="C1973" s="9" t="s">
        <v>1694</v>
      </c>
      <c r="D1973" s="5">
        <v>2</v>
      </c>
      <c r="E1973" s="9" t="s">
        <v>3184</v>
      </c>
      <c r="F1973" s="5" t="s">
        <v>86</v>
      </c>
      <c r="G1973" s="5" t="s">
        <v>3177</v>
      </c>
      <c r="H1973" s="5" t="s">
        <v>3178</v>
      </c>
      <c r="I1973" s="9" t="s">
        <v>3179</v>
      </c>
      <c r="J1973" s="5">
        <v>2026</v>
      </c>
      <c r="K1973" s="5">
        <v>489</v>
      </c>
      <c r="L1973" s="9" t="s">
        <v>4692</v>
      </c>
      <c r="M1973" s="5">
        <v>6.5</v>
      </c>
      <c r="N1973" s="9" t="s">
        <v>5360</v>
      </c>
      <c r="O1973" s="9" t="str">
        <f t="shared" si="191"/>
        <v>PDFを開く</v>
      </c>
      <c r="P1973" s="9" t="s">
        <v>1701</v>
      </c>
    </row>
    <row r="1974" spans="1:16" ht="33.950000000000003" customHeight="1">
      <c r="A1974" s="2" t="s">
        <v>1693</v>
      </c>
      <c r="B1974" s="2" t="s">
        <v>1595</v>
      </c>
      <c r="C1974" s="8" t="s">
        <v>1694</v>
      </c>
      <c r="D1974" s="2">
        <v>2</v>
      </c>
      <c r="E1974" s="8" t="s">
        <v>3184</v>
      </c>
      <c r="F1974" s="2" t="s">
        <v>86</v>
      </c>
      <c r="G1974" s="2" t="s">
        <v>3177</v>
      </c>
      <c r="H1974" s="2" t="s">
        <v>3178</v>
      </c>
      <c r="I1974" s="8" t="s">
        <v>3182</v>
      </c>
      <c r="J1974" s="2">
        <v>2029</v>
      </c>
      <c r="K1974" s="2">
        <v>590</v>
      </c>
      <c r="L1974" s="8" t="s">
        <v>4661</v>
      </c>
      <c r="M1974" s="2">
        <v>6.5</v>
      </c>
      <c r="N1974" s="8" t="s">
        <v>5360</v>
      </c>
      <c r="O1974" s="8" t="str">
        <f t="shared" si="191"/>
        <v>PDFを開く</v>
      </c>
      <c r="P1974" s="8" t="s">
        <v>1701</v>
      </c>
    </row>
    <row r="1975" spans="1:16" ht="33.950000000000003" customHeight="1">
      <c r="A1975" s="5" t="s">
        <v>1693</v>
      </c>
      <c r="B1975" s="5" t="s">
        <v>1595</v>
      </c>
      <c r="C1975" s="9" t="s">
        <v>1694</v>
      </c>
      <c r="D1975" s="5">
        <v>2</v>
      </c>
      <c r="E1975" s="9" t="s">
        <v>3188</v>
      </c>
      <c r="F1975" s="5" t="s">
        <v>86</v>
      </c>
      <c r="G1975" s="19" t="s">
        <v>3189</v>
      </c>
      <c r="H1975" s="5" t="s">
        <v>3178</v>
      </c>
      <c r="I1975" s="9"/>
      <c r="J1975" s="5"/>
      <c r="K1975" s="5"/>
      <c r="L1975" s="9"/>
      <c r="M1975" s="5">
        <v>6</v>
      </c>
      <c r="N1975" s="9" t="s">
        <v>5361</v>
      </c>
      <c r="O1975" s="9" t="str">
        <f t="shared" si="191"/>
        <v>PDFを開く</v>
      </c>
      <c r="P1975" s="9" t="s">
        <v>1701</v>
      </c>
    </row>
    <row r="1976" spans="1:16" ht="33.950000000000003" customHeight="1">
      <c r="A1976" s="2" t="s">
        <v>1693</v>
      </c>
      <c r="B1976" s="2" t="s">
        <v>1595</v>
      </c>
      <c r="C1976" s="8" t="s">
        <v>1694</v>
      </c>
      <c r="D1976" s="2">
        <v>2</v>
      </c>
      <c r="E1976" s="8" t="s">
        <v>3191</v>
      </c>
      <c r="F1976" s="2" t="s">
        <v>2513</v>
      </c>
      <c r="G1976" s="2" t="s">
        <v>3177</v>
      </c>
      <c r="H1976" s="2" t="s">
        <v>3178</v>
      </c>
      <c r="I1976" s="8" t="s">
        <v>3179</v>
      </c>
      <c r="J1976" s="2">
        <v>2026</v>
      </c>
      <c r="K1976" s="2">
        <v>94</v>
      </c>
      <c r="L1976" s="8" t="s">
        <v>4810</v>
      </c>
      <c r="M1976" s="2"/>
      <c r="N1976" s="8" t="s">
        <v>5362</v>
      </c>
      <c r="O1976" s="8" t="str">
        <f t="shared" si="191"/>
        <v>PDFを開く</v>
      </c>
      <c r="P1976" s="8" t="s">
        <v>1701</v>
      </c>
    </row>
    <row r="1977" spans="1:16" ht="33.950000000000003" customHeight="1">
      <c r="A1977" s="5" t="s">
        <v>1693</v>
      </c>
      <c r="B1977" s="5" t="s">
        <v>1595</v>
      </c>
      <c r="C1977" s="9" t="s">
        <v>1694</v>
      </c>
      <c r="D1977" s="5">
        <v>2</v>
      </c>
      <c r="E1977" s="9" t="s">
        <v>3191</v>
      </c>
      <c r="F1977" s="5" t="s">
        <v>2513</v>
      </c>
      <c r="G1977" s="5" t="s">
        <v>3177</v>
      </c>
      <c r="H1977" s="5" t="s">
        <v>3178</v>
      </c>
      <c r="I1977" s="9" t="s">
        <v>3182</v>
      </c>
      <c r="J1977" s="5">
        <v>2029</v>
      </c>
      <c r="K1977" s="5">
        <v>100</v>
      </c>
      <c r="L1977" s="9" t="s">
        <v>3417</v>
      </c>
      <c r="M1977" s="5"/>
      <c r="N1977" s="9" t="s">
        <v>5362</v>
      </c>
      <c r="O1977" s="9" t="str">
        <f t="shared" si="191"/>
        <v>PDFを開く</v>
      </c>
      <c r="P1977" s="9" t="s">
        <v>1701</v>
      </c>
    </row>
    <row r="1978" spans="1:16" ht="33.950000000000003" customHeight="1">
      <c r="A1978" s="2" t="s">
        <v>1693</v>
      </c>
      <c r="B1978" s="2" t="s">
        <v>1595</v>
      </c>
      <c r="C1978" s="8" t="s">
        <v>1694</v>
      </c>
      <c r="D1978" s="2">
        <v>2</v>
      </c>
      <c r="E1978" s="8" t="s">
        <v>3188</v>
      </c>
      <c r="F1978" s="2" t="s">
        <v>86</v>
      </c>
      <c r="G1978" s="2" t="s">
        <v>3177</v>
      </c>
      <c r="H1978" s="2"/>
      <c r="I1978" s="8" t="s">
        <v>5363</v>
      </c>
      <c r="J1978" s="2">
        <v>2026</v>
      </c>
      <c r="K1978" s="2"/>
      <c r="L1978" s="8" t="s">
        <v>3211</v>
      </c>
      <c r="M1978" s="2">
        <v>6</v>
      </c>
      <c r="N1978" s="8" t="s">
        <v>5364</v>
      </c>
      <c r="O1978" s="8" t="str">
        <f t="shared" si="191"/>
        <v>PDFを開く</v>
      </c>
      <c r="P1978" s="8" t="s">
        <v>1701</v>
      </c>
    </row>
    <row r="1979" spans="1:16" ht="33.950000000000003" customHeight="1">
      <c r="A1979" s="5" t="s">
        <v>1693</v>
      </c>
      <c r="B1979" s="5" t="s">
        <v>1595</v>
      </c>
      <c r="C1979" s="9" t="s">
        <v>1694</v>
      </c>
      <c r="D1979" s="5">
        <v>2</v>
      </c>
      <c r="E1979" s="9" t="s">
        <v>3188</v>
      </c>
      <c r="F1979" s="5" t="s">
        <v>86</v>
      </c>
      <c r="G1979" s="5" t="s">
        <v>3177</v>
      </c>
      <c r="H1979" s="5"/>
      <c r="I1979" s="9" t="s">
        <v>5365</v>
      </c>
      <c r="J1979" s="5">
        <v>2029</v>
      </c>
      <c r="K1979" s="5"/>
      <c r="L1979" s="9" t="s">
        <v>5366</v>
      </c>
      <c r="M1979" s="5">
        <v>6</v>
      </c>
      <c r="N1979" s="9" t="s">
        <v>5364</v>
      </c>
      <c r="O1979" s="9" t="str">
        <f t="shared" si="191"/>
        <v>PDFを開く</v>
      </c>
      <c r="P1979" s="9" t="s">
        <v>1701</v>
      </c>
    </row>
    <row r="1980" spans="1:16" ht="33.950000000000003" customHeight="1">
      <c r="A1980" s="2" t="s">
        <v>1702</v>
      </c>
      <c r="B1980" s="2" t="s">
        <v>1595</v>
      </c>
      <c r="C1980" s="8" t="s">
        <v>1703</v>
      </c>
      <c r="D1980" s="2">
        <v>2</v>
      </c>
      <c r="E1980" s="8" t="s">
        <v>3176</v>
      </c>
      <c r="F1980" s="2" t="s">
        <v>86</v>
      </c>
      <c r="G1980" s="2" t="s">
        <v>3177</v>
      </c>
      <c r="H1980" s="2" t="s">
        <v>3178</v>
      </c>
      <c r="I1980" s="8" t="s">
        <v>5367</v>
      </c>
      <c r="J1980" s="2">
        <v>2028</v>
      </c>
      <c r="K1980" s="2">
        <v>1426</v>
      </c>
      <c r="L1980" s="8" t="s">
        <v>5368</v>
      </c>
      <c r="M1980" s="2">
        <v>30.8</v>
      </c>
      <c r="N1980" s="8" t="s">
        <v>5369</v>
      </c>
      <c r="O1980" s="8" t="str">
        <f t="shared" ref="O1980:O1988" si="192">HYPERLINK("https://seichotoushi-hojo.jp/assets/pdf/koufu_3_4ji/outline_14.pdf","PDFを開く")</f>
        <v>PDFを開く</v>
      </c>
      <c r="P1980" s="8" t="s">
        <v>1710</v>
      </c>
    </row>
    <row r="1981" spans="1:16" ht="33.950000000000003" customHeight="1">
      <c r="A1981" s="5" t="s">
        <v>1702</v>
      </c>
      <c r="B1981" s="5" t="s">
        <v>1595</v>
      </c>
      <c r="C1981" s="9" t="s">
        <v>1703</v>
      </c>
      <c r="D1981" s="5">
        <v>2</v>
      </c>
      <c r="E1981" s="9" t="s">
        <v>3176</v>
      </c>
      <c r="F1981" s="5" t="s">
        <v>86</v>
      </c>
      <c r="G1981" s="5" t="s">
        <v>3177</v>
      </c>
      <c r="H1981" s="5" t="s">
        <v>3178</v>
      </c>
      <c r="I1981" s="9" t="s">
        <v>5370</v>
      </c>
      <c r="J1981" s="5">
        <v>2031</v>
      </c>
      <c r="K1981" s="5">
        <v>3192</v>
      </c>
      <c r="L1981" s="9" t="s">
        <v>4920</v>
      </c>
      <c r="M1981" s="5">
        <v>30.8</v>
      </c>
      <c r="N1981" s="9" t="s">
        <v>5369</v>
      </c>
      <c r="O1981" s="9" t="str">
        <f t="shared" si="192"/>
        <v>PDFを開く</v>
      </c>
      <c r="P1981" s="9" t="s">
        <v>1710</v>
      </c>
    </row>
    <row r="1982" spans="1:16" ht="33.950000000000003" customHeight="1">
      <c r="A1982" s="2" t="s">
        <v>1702</v>
      </c>
      <c r="B1982" s="2" t="s">
        <v>1595</v>
      </c>
      <c r="C1982" s="8" t="s">
        <v>1703</v>
      </c>
      <c r="D1982" s="2">
        <v>2</v>
      </c>
      <c r="E1982" s="8" t="s">
        <v>3184</v>
      </c>
      <c r="F1982" s="2" t="s">
        <v>86</v>
      </c>
      <c r="G1982" s="2" t="s">
        <v>3177</v>
      </c>
      <c r="H1982" s="2" t="s">
        <v>3178</v>
      </c>
      <c r="I1982" s="8" t="s">
        <v>5367</v>
      </c>
      <c r="J1982" s="2">
        <v>2028</v>
      </c>
      <c r="K1982" s="2">
        <v>626</v>
      </c>
      <c r="L1982" s="8" t="s">
        <v>5371</v>
      </c>
      <c r="M1982" s="2">
        <v>6</v>
      </c>
      <c r="N1982" s="8" t="s">
        <v>5372</v>
      </c>
      <c r="O1982" s="8" t="str">
        <f t="shared" si="192"/>
        <v>PDFを開く</v>
      </c>
      <c r="P1982" s="8" t="s">
        <v>1710</v>
      </c>
    </row>
    <row r="1983" spans="1:16" ht="33.950000000000003" customHeight="1">
      <c r="A1983" s="5" t="s">
        <v>1702</v>
      </c>
      <c r="B1983" s="5" t="s">
        <v>1595</v>
      </c>
      <c r="C1983" s="9" t="s">
        <v>1703</v>
      </c>
      <c r="D1983" s="5">
        <v>2</v>
      </c>
      <c r="E1983" s="9" t="s">
        <v>3184</v>
      </c>
      <c r="F1983" s="5" t="s">
        <v>86</v>
      </c>
      <c r="G1983" s="5" t="s">
        <v>3177</v>
      </c>
      <c r="H1983" s="5" t="s">
        <v>3178</v>
      </c>
      <c r="I1983" s="9" t="s">
        <v>5370</v>
      </c>
      <c r="J1983" s="5">
        <v>2031</v>
      </c>
      <c r="K1983" s="5">
        <v>746</v>
      </c>
      <c r="L1983" s="9" t="s">
        <v>3473</v>
      </c>
      <c r="M1983" s="5">
        <v>6</v>
      </c>
      <c r="N1983" s="9" t="s">
        <v>5372</v>
      </c>
      <c r="O1983" s="9" t="str">
        <f t="shared" si="192"/>
        <v>PDFを開く</v>
      </c>
      <c r="P1983" s="9" t="s">
        <v>1710</v>
      </c>
    </row>
    <row r="1984" spans="1:16" ht="33.950000000000003" customHeight="1">
      <c r="A1984" s="2" t="s">
        <v>1702</v>
      </c>
      <c r="B1984" s="2" t="s">
        <v>1595</v>
      </c>
      <c r="C1984" s="8" t="s">
        <v>1703</v>
      </c>
      <c r="D1984" s="2">
        <v>2</v>
      </c>
      <c r="E1984" s="8" t="s">
        <v>3188</v>
      </c>
      <c r="F1984" s="2" t="s">
        <v>86</v>
      </c>
      <c r="G1984" s="19" t="s">
        <v>3189</v>
      </c>
      <c r="H1984" s="2" t="s">
        <v>3178</v>
      </c>
      <c r="I1984" s="8"/>
      <c r="J1984" s="2"/>
      <c r="K1984" s="2"/>
      <c r="L1984" s="8"/>
      <c r="M1984" s="2">
        <v>6</v>
      </c>
      <c r="N1984" s="8" t="s">
        <v>3930</v>
      </c>
      <c r="O1984" s="8" t="str">
        <f t="shared" si="192"/>
        <v>PDFを開く</v>
      </c>
      <c r="P1984" s="8" t="s">
        <v>1710</v>
      </c>
    </row>
    <row r="1985" spans="1:16" ht="33.950000000000003" customHeight="1">
      <c r="A1985" s="5" t="s">
        <v>1702</v>
      </c>
      <c r="B1985" s="5" t="s">
        <v>1595</v>
      </c>
      <c r="C1985" s="9" t="s">
        <v>1703</v>
      </c>
      <c r="D1985" s="5">
        <v>2</v>
      </c>
      <c r="E1985" s="9" t="s">
        <v>3191</v>
      </c>
      <c r="F1985" s="5" t="s">
        <v>2513</v>
      </c>
      <c r="G1985" s="5" t="s">
        <v>3177</v>
      </c>
      <c r="H1985" s="5" t="s">
        <v>3178</v>
      </c>
      <c r="I1985" s="9" t="s">
        <v>5367</v>
      </c>
      <c r="J1985" s="5">
        <v>2028</v>
      </c>
      <c r="K1985" s="5">
        <v>192</v>
      </c>
      <c r="L1985" s="9" t="s">
        <v>5373</v>
      </c>
      <c r="M1985" s="5"/>
      <c r="N1985" s="9" t="s">
        <v>5374</v>
      </c>
      <c r="O1985" s="9" t="str">
        <f t="shared" si="192"/>
        <v>PDFを開く</v>
      </c>
      <c r="P1985" s="9" t="s">
        <v>1710</v>
      </c>
    </row>
    <row r="1986" spans="1:16" ht="33.950000000000003" customHeight="1">
      <c r="A1986" s="2" t="s">
        <v>1702</v>
      </c>
      <c r="B1986" s="2" t="s">
        <v>1595</v>
      </c>
      <c r="C1986" s="8" t="s">
        <v>1703</v>
      </c>
      <c r="D1986" s="2">
        <v>2</v>
      </c>
      <c r="E1986" s="8" t="s">
        <v>3191</v>
      </c>
      <c r="F1986" s="2" t="s">
        <v>2513</v>
      </c>
      <c r="G1986" s="2" t="s">
        <v>3177</v>
      </c>
      <c r="H1986" s="2" t="s">
        <v>3178</v>
      </c>
      <c r="I1986" s="8" t="s">
        <v>5370</v>
      </c>
      <c r="J1986" s="2">
        <v>2031</v>
      </c>
      <c r="K1986" s="2">
        <v>198</v>
      </c>
      <c r="L1986" s="8" t="s">
        <v>3897</v>
      </c>
      <c r="M1986" s="2"/>
      <c r="N1986" s="8" t="s">
        <v>5374</v>
      </c>
      <c r="O1986" s="8" t="str">
        <f t="shared" si="192"/>
        <v>PDFを開く</v>
      </c>
      <c r="P1986" s="8" t="s">
        <v>1710</v>
      </c>
    </row>
    <row r="1987" spans="1:16" ht="33.950000000000003" customHeight="1">
      <c r="A1987" s="5" t="s">
        <v>1702</v>
      </c>
      <c r="B1987" s="5" t="s">
        <v>1595</v>
      </c>
      <c r="C1987" s="9" t="s">
        <v>1703</v>
      </c>
      <c r="D1987" s="5">
        <v>2</v>
      </c>
      <c r="E1987" s="9" t="s">
        <v>3188</v>
      </c>
      <c r="F1987" s="5" t="s">
        <v>86</v>
      </c>
      <c r="G1987" s="5" t="s">
        <v>3177</v>
      </c>
      <c r="H1987" s="5"/>
      <c r="I1987" s="9" t="s">
        <v>5375</v>
      </c>
      <c r="J1987" s="5">
        <v>2028</v>
      </c>
      <c r="K1987" s="5"/>
      <c r="L1987" s="9" t="s">
        <v>3211</v>
      </c>
      <c r="M1987" s="5">
        <v>6</v>
      </c>
      <c r="N1987" s="9" t="s">
        <v>5376</v>
      </c>
      <c r="O1987" s="9" t="str">
        <f t="shared" si="192"/>
        <v>PDFを開く</v>
      </c>
      <c r="P1987" s="9" t="s">
        <v>1710</v>
      </c>
    </row>
    <row r="1988" spans="1:16" ht="33.950000000000003" customHeight="1">
      <c r="A1988" s="2" t="s">
        <v>1702</v>
      </c>
      <c r="B1988" s="2" t="s">
        <v>1595</v>
      </c>
      <c r="C1988" s="8" t="s">
        <v>1703</v>
      </c>
      <c r="D1988" s="2">
        <v>2</v>
      </c>
      <c r="E1988" s="8" t="s">
        <v>3188</v>
      </c>
      <c r="F1988" s="2" t="s">
        <v>86</v>
      </c>
      <c r="G1988" s="2" t="s">
        <v>3177</v>
      </c>
      <c r="H1988" s="2"/>
      <c r="I1988" s="8" t="s">
        <v>5377</v>
      </c>
      <c r="J1988" s="2">
        <v>2031</v>
      </c>
      <c r="K1988" s="2"/>
      <c r="L1988" s="8" t="s">
        <v>5378</v>
      </c>
      <c r="M1988" s="2">
        <v>6</v>
      </c>
      <c r="N1988" s="8" t="s">
        <v>5376</v>
      </c>
      <c r="O1988" s="8" t="str">
        <f t="shared" si="192"/>
        <v>PDFを開く</v>
      </c>
      <c r="P1988" s="8" t="s">
        <v>1710</v>
      </c>
    </row>
    <row r="1989" spans="1:16" ht="33.950000000000003" customHeight="1">
      <c r="A1989" s="5" t="s">
        <v>1711</v>
      </c>
      <c r="B1989" s="5" t="s">
        <v>1595</v>
      </c>
      <c r="C1989" s="9" t="s">
        <v>1712</v>
      </c>
      <c r="D1989" s="5">
        <v>2</v>
      </c>
      <c r="E1989" s="9" t="s">
        <v>3176</v>
      </c>
      <c r="F1989" s="5" t="s">
        <v>86</v>
      </c>
      <c r="G1989" s="5" t="s">
        <v>3177</v>
      </c>
      <c r="H1989" s="5" t="s">
        <v>3178</v>
      </c>
      <c r="I1989" s="9" t="s">
        <v>3259</v>
      </c>
      <c r="J1989" s="5">
        <v>2027</v>
      </c>
      <c r="K1989" s="5">
        <v>605</v>
      </c>
      <c r="L1989" s="9" t="s">
        <v>5379</v>
      </c>
      <c r="M1989" s="5">
        <v>17.2</v>
      </c>
      <c r="N1989" s="9" t="s">
        <v>5380</v>
      </c>
      <c r="O1989" s="9" t="str">
        <f t="shared" ref="O1989:O1996" si="193">HYPERLINK("https://seichotoushi-hojo.jp/assets/pdf/koufu_3_4ji/outline_140.pdf","PDFを開く")</f>
        <v>PDFを開く</v>
      </c>
      <c r="P1989" s="9" t="s">
        <v>1718</v>
      </c>
    </row>
    <row r="1990" spans="1:16" ht="33.950000000000003" customHeight="1">
      <c r="A1990" s="2" t="s">
        <v>1711</v>
      </c>
      <c r="B1990" s="2" t="s">
        <v>1595</v>
      </c>
      <c r="C1990" s="8" t="s">
        <v>1712</v>
      </c>
      <c r="D1990" s="2">
        <v>2</v>
      </c>
      <c r="E1990" s="8" t="s">
        <v>3176</v>
      </c>
      <c r="F1990" s="2" t="s">
        <v>86</v>
      </c>
      <c r="G1990" s="2" t="s">
        <v>3177</v>
      </c>
      <c r="H1990" s="2" t="s">
        <v>3178</v>
      </c>
      <c r="I1990" s="8" t="s">
        <v>3262</v>
      </c>
      <c r="J1990" s="2">
        <v>2030</v>
      </c>
      <c r="K1990" s="2">
        <v>975</v>
      </c>
      <c r="L1990" s="8" t="s">
        <v>5381</v>
      </c>
      <c r="M1990" s="2">
        <v>17.2</v>
      </c>
      <c r="N1990" s="8" t="s">
        <v>5380</v>
      </c>
      <c r="O1990" s="8" t="str">
        <f t="shared" si="193"/>
        <v>PDFを開く</v>
      </c>
      <c r="P1990" s="8" t="s">
        <v>1718</v>
      </c>
    </row>
    <row r="1991" spans="1:16" ht="33.950000000000003" customHeight="1">
      <c r="A1991" s="5" t="s">
        <v>1711</v>
      </c>
      <c r="B1991" s="5" t="s">
        <v>1595</v>
      </c>
      <c r="C1991" s="9" t="s">
        <v>1712</v>
      </c>
      <c r="D1991" s="5">
        <v>2</v>
      </c>
      <c r="E1991" s="9" t="s">
        <v>3184</v>
      </c>
      <c r="F1991" s="5" t="s">
        <v>86</v>
      </c>
      <c r="G1991" s="5" t="s">
        <v>3177</v>
      </c>
      <c r="H1991" s="5" t="s">
        <v>3178</v>
      </c>
      <c r="I1991" s="9" t="s">
        <v>3259</v>
      </c>
      <c r="J1991" s="5">
        <v>2027</v>
      </c>
      <c r="K1991" s="5">
        <v>357</v>
      </c>
      <c r="L1991" s="9" t="s">
        <v>3745</v>
      </c>
      <c r="M1991" s="5">
        <v>7.3</v>
      </c>
      <c r="N1991" s="9" t="s">
        <v>5382</v>
      </c>
      <c r="O1991" s="9" t="str">
        <f t="shared" si="193"/>
        <v>PDFを開く</v>
      </c>
      <c r="P1991" s="9" t="s">
        <v>1718</v>
      </c>
    </row>
    <row r="1992" spans="1:16" ht="33.950000000000003" customHeight="1">
      <c r="A1992" s="2" t="s">
        <v>1711</v>
      </c>
      <c r="B1992" s="2" t="s">
        <v>1595</v>
      </c>
      <c r="C1992" s="8" t="s">
        <v>1712</v>
      </c>
      <c r="D1992" s="2">
        <v>2</v>
      </c>
      <c r="E1992" s="8" t="s">
        <v>3184</v>
      </c>
      <c r="F1992" s="2" t="s">
        <v>86</v>
      </c>
      <c r="G1992" s="2" t="s">
        <v>3177</v>
      </c>
      <c r="H1992" s="2" t="s">
        <v>3178</v>
      </c>
      <c r="I1992" s="8" t="s">
        <v>3262</v>
      </c>
      <c r="J1992" s="2">
        <v>2030</v>
      </c>
      <c r="K1992" s="2">
        <v>442</v>
      </c>
      <c r="L1992" s="8" t="s">
        <v>5383</v>
      </c>
      <c r="M1992" s="2">
        <v>7.3</v>
      </c>
      <c r="N1992" s="8" t="s">
        <v>5382</v>
      </c>
      <c r="O1992" s="8" t="str">
        <f t="shared" si="193"/>
        <v>PDFを開く</v>
      </c>
      <c r="P1992" s="8" t="s">
        <v>1718</v>
      </c>
    </row>
    <row r="1993" spans="1:16" ht="33.950000000000003" customHeight="1">
      <c r="A1993" s="5" t="s">
        <v>1711</v>
      </c>
      <c r="B1993" s="5" t="s">
        <v>1595</v>
      </c>
      <c r="C1993" s="9" t="s">
        <v>1712</v>
      </c>
      <c r="D1993" s="5">
        <v>2</v>
      </c>
      <c r="E1993" s="9" t="s">
        <v>3188</v>
      </c>
      <c r="F1993" s="5" t="s">
        <v>86</v>
      </c>
      <c r="G1993" s="5" t="s">
        <v>3177</v>
      </c>
      <c r="H1993" s="5" t="s">
        <v>3178</v>
      </c>
      <c r="I1993" s="9" t="s">
        <v>3259</v>
      </c>
      <c r="J1993" s="5">
        <v>2027</v>
      </c>
      <c r="K1993" s="5">
        <v>1572</v>
      </c>
      <c r="L1993" s="9" t="s">
        <v>5384</v>
      </c>
      <c r="M1993" s="5">
        <v>6</v>
      </c>
      <c r="N1993" s="9" t="s">
        <v>5385</v>
      </c>
      <c r="O1993" s="9" t="str">
        <f t="shared" si="193"/>
        <v>PDFを開く</v>
      </c>
      <c r="P1993" s="9" t="s">
        <v>1718</v>
      </c>
    </row>
    <row r="1994" spans="1:16" ht="33.950000000000003" customHeight="1">
      <c r="A1994" s="2" t="s">
        <v>1711</v>
      </c>
      <c r="B1994" s="2" t="s">
        <v>1595</v>
      </c>
      <c r="C1994" s="8" t="s">
        <v>1712</v>
      </c>
      <c r="D1994" s="2">
        <v>2</v>
      </c>
      <c r="E1994" s="8" t="s">
        <v>3188</v>
      </c>
      <c r="F1994" s="2" t="s">
        <v>86</v>
      </c>
      <c r="G1994" s="2" t="s">
        <v>3177</v>
      </c>
      <c r="H1994" s="2" t="s">
        <v>3178</v>
      </c>
      <c r="I1994" s="8" t="s">
        <v>3262</v>
      </c>
      <c r="J1994" s="2">
        <v>2030</v>
      </c>
      <c r="K1994" s="2">
        <v>1872</v>
      </c>
      <c r="L1994" s="8" t="s">
        <v>5386</v>
      </c>
      <c r="M1994" s="2">
        <v>6</v>
      </c>
      <c r="N1994" s="8" t="s">
        <v>5385</v>
      </c>
      <c r="O1994" s="8" t="str">
        <f t="shared" si="193"/>
        <v>PDFを開く</v>
      </c>
      <c r="P1994" s="8" t="s">
        <v>1718</v>
      </c>
    </row>
    <row r="1995" spans="1:16" ht="33.950000000000003" customHeight="1">
      <c r="A1995" s="5" t="s">
        <v>1711</v>
      </c>
      <c r="B1995" s="5" t="s">
        <v>1595</v>
      </c>
      <c r="C1995" s="9" t="s">
        <v>1712</v>
      </c>
      <c r="D1995" s="5">
        <v>2</v>
      </c>
      <c r="E1995" s="9" t="s">
        <v>3191</v>
      </c>
      <c r="F1995" s="5" t="s">
        <v>2513</v>
      </c>
      <c r="G1995" s="5" t="s">
        <v>3177</v>
      </c>
      <c r="H1995" s="5" t="s">
        <v>3178</v>
      </c>
      <c r="I1995" s="9" t="s">
        <v>3259</v>
      </c>
      <c r="J1995" s="5">
        <v>2027</v>
      </c>
      <c r="K1995" s="5">
        <v>318</v>
      </c>
      <c r="L1995" s="9" t="s">
        <v>5170</v>
      </c>
      <c r="M1995" s="5"/>
      <c r="N1995" s="9" t="s">
        <v>5387</v>
      </c>
      <c r="O1995" s="9" t="str">
        <f t="shared" si="193"/>
        <v>PDFを開く</v>
      </c>
      <c r="P1995" s="9" t="s">
        <v>1718</v>
      </c>
    </row>
    <row r="1996" spans="1:16" ht="33.950000000000003" customHeight="1">
      <c r="A1996" s="2" t="s">
        <v>1711</v>
      </c>
      <c r="B1996" s="2" t="s">
        <v>1595</v>
      </c>
      <c r="C1996" s="8" t="s">
        <v>1712</v>
      </c>
      <c r="D1996" s="2">
        <v>2</v>
      </c>
      <c r="E1996" s="8" t="s">
        <v>3191</v>
      </c>
      <c r="F1996" s="2" t="s">
        <v>2513</v>
      </c>
      <c r="G1996" s="2" t="s">
        <v>3177</v>
      </c>
      <c r="H1996" s="2" t="s">
        <v>3178</v>
      </c>
      <c r="I1996" s="8" t="s">
        <v>3262</v>
      </c>
      <c r="J1996" s="2">
        <v>2030</v>
      </c>
      <c r="K1996" s="2">
        <v>336</v>
      </c>
      <c r="L1996" s="8" t="s">
        <v>3203</v>
      </c>
      <c r="M1996" s="2"/>
      <c r="N1996" s="8" t="s">
        <v>5387</v>
      </c>
      <c r="O1996" s="8" t="str">
        <f t="shared" si="193"/>
        <v>PDFを開く</v>
      </c>
      <c r="P1996" s="8" t="s">
        <v>1718</v>
      </c>
    </row>
    <row r="1997" spans="1:16" ht="33.950000000000003" customHeight="1">
      <c r="A1997" s="5" t="s">
        <v>1719</v>
      </c>
      <c r="B1997" s="5" t="s">
        <v>1595</v>
      </c>
      <c r="C1997" s="9" t="s">
        <v>1720</v>
      </c>
      <c r="D1997" s="5">
        <v>2</v>
      </c>
      <c r="E1997" s="9" t="s">
        <v>3176</v>
      </c>
      <c r="F1997" s="5" t="s">
        <v>86</v>
      </c>
      <c r="G1997" s="5" t="s">
        <v>3177</v>
      </c>
      <c r="H1997" s="5" t="s">
        <v>3178</v>
      </c>
      <c r="I1997" s="9" t="s">
        <v>5388</v>
      </c>
      <c r="J1997" s="5">
        <v>2026</v>
      </c>
      <c r="K1997" s="5">
        <v>1076</v>
      </c>
      <c r="L1997" s="9" t="s">
        <v>5389</v>
      </c>
      <c r="M1997" s="5">
        <v>23.4</v>
      </c>
      <c r="N1997" s="9" t="s">
        <v>5390</v>
      </c>
      <c r="O1997" s="9" t="str">
        <f t="shared" ref="O1997:O2005" si="194">HYPERLINK("https://seichotoushi-hojo.jp/assets/pdf/koufu_3_4ji/outline_15.pdf","PDFを開く")</f>
        <v>PDFを開く</v>
      </c>
      <c r="P1997" s="9" t="s">
        <v>1726</v>
      </c>
    </row>
    <row r="1998" spans="1:16" ht="33.950000000000003" customHeight="1">
      <c r="A1998" s="2" t="s">
        <v>1719</v>
      </c>
      <c r="B1998" s="2" t="s">
        <v>1595</v>
      </c>
      <c r="C1998" s="8" t="s">
        <v>1720</v>
      </c>
      <c r="D1998" s="2">
        <v>2</v>
      </c>
      <c r="E1998" s="8" t="s">
        <v>3176</v>
      </c>
      <c r="F1998" s="2" t="s">
        <v>86</v>
      </c>
      <c r="G1998" s="2" t="s">
        <v>3177</v>
      </c>
      <c r="H1998" s="2" t="s">
        <v>3178</v>
      </c>
      <c r="I1998" s="8" t="s">
        <v>5391</v>
      </c>
      <c r="J1998" s="2">
        <v>2029</v>
      </c>
      <c r="K1998" s="2">
        <v>2024</v>
      </c>
      <c r="L1998" s="8" t="s">
        <v>5392</v>
      </c>
      <c r="M1998" s="2">
        <v>23.4</v>
      </c>
      <c r="N1998" s="8" t="s">
        <v>5390</v>
      </c>
      <c r="O1998" s="8" t="str">
        <f t="shared" si="194"/>
        <v>PDFを開く</v>
      </c>
      <c r="P1998" s="8" t="s">
        <v>1726</v>
      </c>
    </row>
    <row r="1999" spans="1:16" ht="33.950000000000003" customHeight="1">
      <c r="A1999" s="5" t="s">
        <v>1719</v>
      </c>
      <c r="B1999" s="5" t="s">
        <v>1595</v>
      </c>
      <c r="C1999" s="9" t="s">
        <v>1720</v>
      </c>
      <c r="D1999" s="5">
        <v>2</v>
      </c>
      <c r="E1999" s="9" t="s">
        <v>3184</v>
      </c>
      <c r="F1999" s="5" t="s">
        <v>86</v>
      </c>
      <c r="G1999" s="5" t="s">
        <v>3177</v>
      </c>
      <c r="H1999" s="5" t="s">
        <v>3178</v>
      </c>
      <c r="I1999" s="9" t="s">
        <v>5388</v>
      </c>
      <c r="J1999" s="5">
        <v>2026</v>
      </c>
      <c r="K1999" s="5">
        <v>526</v>
      </c>
      <c r="L1999" s="9" t="s">
        <v>3288</v>
      </c>
      <c r="M1999" s="5">
        <v>6</v>
      </c>
      <c r="N1999" s="9" t="s">
        <v>5393</v>
      </c>
      <c r="O1999" s="9" t="str">
        <f t="shared" si="194"/>
        <v>PDFを開く</v>
      </c>
      <c r="P1999" s="9" t="s">
        <v>1726</v>
      </c>
    </row>
    <row r="2000" spans="1:16" ht="33.950000000000003" customHeight="1">
      <c r="A2000" s="2" t="s">
        <v>1719</v>
      </c>
      <c r="B2000" s="2" t="s">
        <v>1595</v>
      </c>
      <c r="C2000" s="8" t="s">
        <v>1720</v>
      </c>
      <c r="D2000" s="2">
        <v>2</v>
      </c>
      <c r="E2000" s="8" t="s">
        <v>3184</v>
      </c>
      <c r="F2000" s="2" t="s">
        <v>86</v>
      </c>
      <c r="G2000" s="2" t="s">
        <v>3177</v>
      </c>
      <c r="H2000" s="2" t="s">
        <v>3178</v>
      </c>
      <c r="I2000" s="8" t="s">
        <v>5391</v>
      </c>
      <c r="J2000" s="2">
        <v>2029</v>
      </c>
      <c r="K2000" s="2">
        <v>626</v>
      </c>
      <c r="L2000" s="8" t="s">
        <v>5371</v>
      </c>
      <c r="M2000" s="2">
        <v>6</v>
      </c>
      <c r="N2000" s="8" t="s">
        <v>5393</v>
      </c>
      <c r="O2000" s="8" t="str">
        <f t="shared" si="194"/>
        <v>PDFを開く</v>
      </c>
      <c r="P2000" s="8" t="s">
        <v>1726</v>
      </c>
    </row>
    <row r="2001" spans="1:16" ht="33.950000000000003" customHeight="1">
      <c r="A2001" s="5" t="s">
        <v>1719</v>
      </c>
      <c r="B2001" s="5" t="s">
        <v>1595</v>
      </c>
      <c r="C2001" s="9" t="s">
        <v>1720</v>
      </c>
      <c r="D2001" s="5">
        <v>2</v>
      </c>
      <c r="E2001" s="9" t="s">
        <v>3188</v>
      </c>
      <c r="F2001" s="5" t="s">
        <v>86</v>
      </c>
      <c r="G2001" s="19" t="s">
        <v>3189</v>
      </c>
      <c r="H2001" s="5" t="s">
        <v>3178</v>
      </c>
      <c r="I2001" s="9"/>
      <c r="J2001" s="5"/>
      <c r="K2001" s="5"/>
      <c r="L2001" s="9"/>
      <c r="M2001" s="5">
        <v>6</v>
      </c>
      <c r="N2001" s="9" t="s">
        <v>3930</v>
      </c>
      <c r="O2001" s="9" t="str">
        <f t="shared" si="194"/>
        <v>PDFを開く</v>
      </c>
      <c r="P2001" s="9" t="s">
        <v>1726</v>
      </c>
    </row>
    <row r="2002" spans="1:16" ht="33.950000000000003" customHeight="1">
      <c r="A2002" s="2" t="s">
        <v>1719</v>
      </c>
      <c r="B2002" s="2" t="s">
        <v>1595</v>
      </c>
      <c r="C2002" s="8" t="s">
        <v>1720</v>
      </c>
      <c r="D2002" s="2">
        <v>2</v>
      </c>
      <c r="E2002" s="8" t="s">
        <v>3191</v>
      </c>
      <c r="F2002" s="2" t="s">
        <v>2513</v>
      </c>
      <c r="G2002" s="2" t="s">
        <v>3177</v>
      </c>
      <c r="H2002" s="2" t="s">
        <v>3178</v>
      </c>
      <c r="I2002" s="8" t="s">
        <v>5388</v>
      </c>
      <c r="J2002" s="2">
        <v>2026</v>
      </c>
      <c r="K2002" s="2">
        <v>74</v>
      </c>
      <c r="L2002" s="8" t="s">
        <v>5305</v>
      </c>
      <c r="M2002" s="2"/>
      <c r="N2002" s="8" t="s">
        <v>5394</v>
      </c>
      <c r="O2002" s="8" t="str">
        <f t="shared" si="194"/>
        <v>PDFを開く</v>
      </c>
      <c r="P2002" s="8" t="s">
        <v>1726</v>
      </c>
    </row>
    <row r="2003" spans="1:16" ht="33.950000000000003" customHeight="1">
      <c r="A2003" s="5" t="s">
        <v>1719</v>
      </c>
      <c r="B2003" s="5" t="s">
        <v>1595</v>
      </c>
      <c r="C2003" s="9" t="s">
        <v>1720</v>
      </c>
      <c r="D2003" s="5">
        <v>2</v>
      </c>
      <c r="E2003" s="9" t="s">
        <v>3191</v>
      </c>
      <c r="F2003" s="5" t="s">
        <v>2513</v>
      </c>
      <c r="G2003" s="5" t="s">
        <v>3177</v>
      </c>
      <c r="H2003" s="5" t="s">
        <v>3178</v>
      </c>
      <c r="I2003" s="9" t="s">
        <v>5391</v>
      </c>
      <c r="J2003" s="5">
        <v>2029</v>
      </c>
      <c r="K2003" s="5">
        <v>88</v>
      </c>
      <c r="L2003" s="9" t="s">
        <v>5395</v>
      </c>
      <c r="M2003" s="5"/>
      <c r="N2003" s="9" t="s">
        <v>5394</v>
      </c>
      <c r="O2003" s="9" t="str">
        <f t="shared" si="194"/>
        <v>PDFを開く</v>
      </c>
      <c r="P2003" s="9" t="s">
        <v>1726</v>
      </c>
    </row>
    <row r="2004" spans="1:16" ht="33.950000000000003" customHeight="1">
      <c r="A2004" s="2" t="s">
        <v>1719</v>
      </c>
      <c r="B2004" s="2" t="s">
        <v>1595</v>
      </c>
      <c r="C2004" s="8" t="s">
        <v>1720</v>
      </c>
      <c r="D2004" s="2">
        <v>2</v>
      </c>
      <c r="E2004" s="8" t="s">
        <v>3188</v>
      </c>
      <c r="F2004" s="2" t="s">
        <v>86</v>
      </c>
      <c r="G2004" s="2" t="s">
        <v>3177</v>
      </c>
      <c r="H2004" s="2"/>
      <c r="I2004" s="8" t="s">
        <v>5396</v>
      </c>
      <c r="J2004" s="2">
        <v>2026</v>
      </c>
      <c r="K2004" s="2"/>
      <c r="L2004" s="8" t="s">
        <v>3211</v>
      </c>
      <c r="M2004" s="2">
        <v>6</v>
      </c>
      <c r="N2004" s="8" t="s">
        <v>5376</v>
      </c>
      <c r="O2004" s="8" t="str">
        <f t="shared" si="194"/>
        <v>PDFを開く</v>
      </c>
      <c r="P2004" s="8" t="s">
        <v>1726</v>
      </c>
    </row>
    <row r="2005" spans="1:16" ht="33.950000000000003" customHeight="1">
      <c r="A2005" s="5" t="s">
        <v>1719</v>
      </c>
      <c r="B2005" s="5" t="s">
        <v>1595</v>
      </c>
      <c r="C2005" s="9" t="s">
        <v>1720</v>
      </c>
      <c r="D2005" s="5">
        <v>2</v>
      </c>
      <c r="E2005" s="9" t="s">
        <v>3188</v>
      </c>
      <c r="F2005" s="5" t="s">
        <v>86</v>
      </c>
      <c r="G2005" s="5" t="s">
        <v>3177</v>
      </c>
      <c r="H2005" s="5"/>
      <c r="I2005" s="9" t="s">
        <v>5397</v>
      </c>
      <c r="J2005" s="5">
        <v>2029</v>
      </c>
      <c r="K2005" s="5"/>
      <c r="L2005" s="9" t="s">
        <v>5378</v>
      </c>
      <c r="M2005" s="5">
        <v>6</v>
      </c>
      <c r="N2005" s="9" t="s">
        <v>5376</v>
      </c>
      <c r="O2005" s="9" t="str">
        <f t="shared" si="194"/>
        <v>PDFを開く</v>
      </c>
      <c r="P2005" s="9" t="s">
        <v>1726</v>
      </c>
    </row>
    <row r="2006" spans="1:16" ht="33.950000000000003" customHeight="1">
      <c r="A2006" s="2" t="s">
        <v>1727</v>
      </c>
      <c r="B2006" s="2" t="s">
        <v>1595</v>
      </c>
      <c r="C2006" s="8" t="s">
        <v>1728</v>
      </c>
      <c r="D2006" s="2">
        <v>2</v>
      </c>
      <c r="E2006" s="8" t="s">
        <v>3176</v>
      </c>
      <c r="F2006" s="2" t="s">
        <v>86</v>
      </c>
      <c r="G2006" s="2" t="s">
        <v>3177</v>
      </c>
      <c r="H2006" s="2" t="s">
        <v>3178</v>
      </c>
      <c r="I2006" s="8" t="s">
        <v>3179</v>
      </c>
      <c r="J2006" s="2">
        <v>2026</v>
      </c>
      <c r="K2006" s="2">
        <v>830</v>
      </c>
      <c r="L2006" s="8" t="s">
        <v>5165</v>
      </c>
      <c r="M2006" s="2">
        <v>32.799999999999997</v>
      </c>
      <c r="N2006" s="8" t="s">
        <v>5398</v>
      </c>
      <c r="O2006" s="8" t="str">
        <f t="shared" ref="O2006:O2018" si="195">HYPERLINK("https://seichotoushi-hojo.jp/assets/pdf/koufu_3_4ji/outline_151.pdf","PDFを開く")</f>
        <v>PDFを開く</v>
      </c>
      <c r="P2006" s="8" t="s">
        <v>1733</v>
      </c>
    </row>
    <row r="2007" spans="1:16" ht="33.950000000000003" customHeight="1">
      <c r="A2007" s="5" t="s">
        <v>1727</v>
      </c>
      <c r="B2007" s="5" t="s">
        <v>1595</v>
      </c>
      <c r="C2007" s="9" t="s">
        <v>1728</v>
      </c>
      <c r="D2007" s="5">
        <v>2</v>
      </c>
      <c r="E2007" s="9" t="s">
        <v>3176</v>
      </c>
      <c r="F2007" s="5" t="s">
        <v>86</v>
      </c>
      <c r="G2007" s="5" t="s">
        <v>3177</v>
      </c>
      <c r="H2007" s="5" t="s">
        <v>3178</v>
      </c>
      <c r="I2007" s="9" t="s">
        <v>3182</v>
      </c>
      <c r="J2007" s="5">
        <v>2029</v>
      </c>
      <c r="K2007" s="5">
        <v>1946</v>
      </c>
      <c r="L2007" s="9" t="s">
        <v>5399</v>
      </c>
      <c r="M2007" s="5">
        <v>32.799999999999997</v>
      </c>
      <c r="N2007" s="9" t="s">
        <v>5398</v>
      </c>
      <c r="O2007" s="9" t="str">
        <f t="shared" si="195"/>
        <v>PDFを開く</v>
      </c>
      <c r="P2007" s="9" t="s">
        <v>1733</v>
      </c>
    </row>
    <row r="2008" spans="1:16" ht="33.950000000000003" customHeight="1">
      <c r="A2008" s="2" t="s">
        <v>1727</v>
      </c>
      <c r="B2008" s="2" t="s">
        <v>1595</v>
      </c>
      <c r="C2008" s="8" t="s">
        <v>1728</v>
      </c>
      <c r="D2008" s="2">
        <v>2</v>
      </c>
      <c r="E2008" s="8" t="s">
        <v>3184</v>
      </c>
      <c r="F2008" s="2" t="s">
        <v>86</v>
      </c>
      <c r="G2008" s="2" t="s">
        <v>3177</v>
      </c>
      <c r="H2008" s="2" t="s">
        <v>3178</v>
      </c>
      <c r="I2008" s="8" t="s">
        <v>3179</v>
      </c>
      <c r="J2008" s="2">
        <v>2026</v>
      </c>
      <c r="K2008" s="2">
        <v>512</v>
      </c>
      <c r="L2008" s="8" t="s">
        <v>5335</v>
      </c>
      <c r="M2008" s="2">
        <v>0</v>
      </c>
      <c r="N2008" s="8" t="s">
        <v>5400</v>
      </c>
      <c r="O2008" s="8" t="str">
        <f t="shared" si="195"/>
        <v>PDFを開く</v>
      </c>
      <c r="P2008" s="8" t="s">
        <v>1733</v>
      </c>
    </row>
    <row r="2009" spans="1:16" ht="33.950000000000003" customHeight="1">
      <c r="A2009" s="5" t="s">
        <v>1727</v>
      </c>
      <c r="B2009" s="5" t="s">
        <v>1595</v>
      </c>
      <c r="C2009" s="9" t="s">
        <v>1728</v>
      </c>
      <c r="D2009" s="5">
        <v>2</v>
      </c>
      <c r="E2009" s="9" t="s">
        <v>3184</v>
      </c>
      <c r="F2009" s="5" t="s">
        <v>86</v>
      </c>
      <c r="G2009" s="5" t="s">
        <v>3177</v>
      </c>
      <c r="H2009" s="5" t="s">
        <v>3178</v>
      </c>
      <c r="I2009" s="9" t="s">
        <v>3182</v>
      </c>
      <c r="J2009" s="5">
        <v>2029</v>
      </c>
      <c r="K2009" s="5">
        <v>627</v>
      </c>
      <c r="L2009" s="9" t="s">
        <v>3767</v>
      </c>
      <c r="M2009" s="5">
        <v>0</v>
      </c>
      <c r="N2009" s="9" t="s">
        <v>5400</v>
      </c>
      <c r="O2009" s="9" t="str">
        <f t="shared" si="195"/>
        <v>PDFを開く</v>
      </c>
      <c r="P2009" s="9" t="s">
        <v>1733</v>
      </c>
    </row>
    <row r="2010" spans="1:16" ht="33.950000000000003" customHeight="1">
      <c r="A2010" s="2" t="s">
        <v>1727</v>
      </c>
      <c r="B2010" s="2" t="s">
        <v>1595</v>
      </c>
      <c r="C2010" s="8" t="s">
        <v>1728</v>
      </c>
      <c r="D2010" s="2">
        <v>2</v>
      </c>
      <c r="E2010" s="8" t="s">
        <v>3188</v>
      </c>
      <c r="F2010" s="2" t="s">
        <v>86</v>
      </c>
      <c r="G2010" s="19" t="s">
        <v>3189</v>
      </c>
      <c r="H2010" s="2" t="s">
        <v>3178</v>
      </c>
      <c r="I2010" s="8"/>
      <c r="J2010" s="2"/>
      <c r="K2010" s="2"/>
      <c r="L2010" s="8"/>
      <c r="M2010" s="2">
        <v>5.5</v>
      </c>
      <c r="N2010" s="8" t="s">
        <v>5401</v>
      </c>
      <c r="O2010" s="8" t="str">
        <f t="shared" si="195"/>
        <v>PDFを開く</v>
      </c>
      <c r="P2010" s="8" t="s">
        <v>1733</v>
      </c>
    </row>
    <row r="2011" spans="1:16" ht="33.950000000000003" customHeight="1">
      <c r="A2011" s="5" t="s">
        <v>1727</v>
      </c>
      <c r="B2011" s="5" t="s">
        <v>1595</v>
      </c>
      <c r="C2011" s="9" t="s">
        <v>1728</v>
      </c>
      <c r="D2011" s="5">
        <v>2</v>
      </c>
      <c r="E2011" s="9" t="s">
        <v>3191</v>
      </c>
      <c r="F2011" s="5" t="s">
        <v>2513</v>
      </c>
      <c r="G2011" s="5" t="s">
        <v>3177</v>
      </c>
      <c r="H2011" s="5" t="s">
        <v>3178</v>
      </c>
      <c r="I2011" s="9" t="s">
        <v>3179</v>
      </c>
      <c r="J2011" s="5">
        <v>2026</v>
      </c>
      <c r="K2011" s="5">
        <v>55</v>
      </c>
      <c r="L2011" s="9" t="s">
        <v>3944</v>
      </c>
      <c r="M2011" s="5"/>
      <c r="N2011" s="9" t="s">
        <v>5402</v>
      </c>
      <c r="O2011" s="9" t="str">
        <f t="shared" si="195"/>
        <v>PDFを開く</v>
      </c>
      <c r="P2011" s="9" t="s">
        <v>1733</v>
      </c>
    </row>
    <row r="2012" spans="1:16" ht="33.950000000000003" customHeight="1">
      <c r="A2012" s="2" t="s">
        <v>1727</v>
      </c>
      <c r="B2012" s="2" t="s">
        <v>1595</v>
      </c>
      <c r="C2012" s="8" t="s">
        <v>1728</v>
      </c>
      <c r="D2012" s="2">
        <v>2</v>
      </c>
      <c r="E2012" s="8" t="s">
        <v>3191</v>
      </c>
      <c r="F2012" s="2" t="s">
        <v>2513</v>
      </c>
      <c r="G2012" s="2" t="s">
        <v>3177</v>
      </c>
      <c r="H2012" s="2" t="s">
        <v>3178</v>
      </c>
      <c r="I2012" s="8" t="s">
        <v>3182</v>
      </c>
      <c r="J2012" s="2">
        <v>2029</v>
      </c>
      <c r="K2012" s="2">
        <v>60</v>
      </c>
      <c r="L2012" s="8" t="s">
        <v>3406</v>
      </c>
      <c r="M2012" s="2"/>
      <c r="N2012" s="8" t="s">
        <v>5402</v>
      </c>
      <c r="O2012" s="8" t="str">
        <f t="shared" si="195"/>
        <v>PDFを開く</v>
      </c>
      <c r="P2012" s="8" t="s">
        <v>1733</v>
      </c>
    </row>
    <row r="2013" spans="1:16" ht="33.950000000000003" customHeight="1">
      <c r="A2013" s="5" t="s">
        <v>1727</v>
      </c>
      <c r="B2013" s="5" t="s">
        <v>1595</v>
      </c>
      <c r="C2013" s="9" t="s">
        <v>1728</v>
      </c>
      <c r="D2013" s="5">
        <v>2</v>
      </c>
      <c r="E2013" s="9" t="s">
        <v>3176</v>
      </c>
      <c r="F2013" s="5" t="s">
        <v>86</v>
      </c>
      <c r="G2013" s="5" t="s">
        <v>3177</v>
      </c>
      <c r="H2013" s="5"/>
      <c r="I2013" s="9" t="s">
        <v>3227</v>
      </c>
      <c r="J2013" s="5">
        <v>2026</v>
      </c>
      <c r="K2013" s="5">
        <v>830</v>
      </c>
      <c r="L2013" s="9" t="s">
        <v>5165</v>
      </c>
      <c r="M2013" s="5">
        <v>12.8</v>
      </c>
      <c r="N2013" s="9" t="s">
        <v>5403</v>
      </c>
      <c r="O2013" s="9" t="str">
        <f t="shared" si="195"/>
        <v>PDFを開く</v>
      </c>
      <c r="P2013" s="9" t="s">
        <v>1733</v>
      </c>
    </row>
    <row r="2014" spans="1:16" ht="33.950000000000003" customHeight="1">
      <c r="A2014" s="2" t="s">
        <v>1727</v>
      </c>
      <c r="B2014" s="2" t="s">
        <v>1595</v>
      </c>
      <c r="C2014" s="8" t="s">
        <v>1728</v>
      </c>
      <c r="D2014" s="2">
        <v>2</v>
      </c>
      <c r="E2014" s="8" t="s">
        <v>3176</v>
      </c>
      <c r="F2014" s="2" t="s">
        <v>86</v>
      </c>
      <c r="G2014" s="2" t="s">
        <v>3177</v>
      </c>
      <c r="H2014" s="2"/>
      <c r="I2014" s="8" t="s">
        <v>3230</v>
      </c>
      <c r="J2014" s="2">
        <v>2029</v>
      </c>
      <c r="K2014" s="2">
        <v>1136</v>
      </c>
      <c r="L2014" s="8" t="s">
        <v>5404</v>
      </c>
      <c r="M2014" s="2">
        <v>12.8</v>
      </c>
      <c r="N2014" s="8" t="s">
        <v>5403</v>
      </c>
      <c r="O2014" s="8" t="str">
        <f t="shared" si="195"/>
        <v>PDFを開く</v>
      </c>
      <c r="P2014" s="8" t="s">
        <v>1733</v>
      </c>
    </row>
    <row r="2015" spans="1:16" ht="33.950000000000003" customHeight="1">
      <c r="A2015" s="5" t="s">
        <v>1727</v>
      </c>
      <c r="B2015" s="5" t="s">
        <v>1595</v>
      </c>
      <c r="C2015" s="9" t="s">
        <v>1728</v>
      </c>
      <c r="D2015" s="5">
        <v>2</v>
      </c>
      <c r="E2015" s="9" t="s">
        <v>3184</v>
      </c>
      <c r="F2015" s="5" t="s">
        <v>86</v>
      </c>
      <c r="G2015" s="5" t="s">
        <v>3177</v>
      </c>
      <c r="H2015" s="5"/>
      <c r="I2015" s="9" t="s">
        <v>3227</v>
      </c>
      <c r="J2015" s="5">
        <v>2026</v>
      </c>
      <c r="K2015" s="5">
        <v>512</v>
      </c>
      <c r="L2015" s="9" t="s">
        <v>5335</v>
      </c>
      <c r="M2015" s="5">
        <v>7</v>
      </c>
      <c r="N2015" s="9" t="s">
        <v>5405</v>
      </c>
      <c r="O2015" s="9" t="str">
        <f t="shared" si="195"/>
        <v>PDFを開く</v>
      </c>
      <c r="P2015" s="9" t="s">
        <v>1733</v>
      </c>
    </row>
    <row r="2016" spans="1:16" ht="33.950000000000003" customHeight="1">
      <c r="A2016" s="2" t="s">
        <v>1727</v>
      </c>
      <c r="B2016" s="2" t="s">
        <v>1595</v>
      </c>
      <c r="C2016" s="8" t="s">
        <v>1728</v>
      </c>
      <c r="D2016" s="2">
        <v>2</v>
      </c>
      <c r="E2016" s="8" t="s">
        <v>3184</v>
      </c>
      <c r="F2016" s="2" t="s">
        <v>86</v>
      </c>
      <c r="G2016" s="2" t="s">
        <v>3177</v>
      </c>
      <c r="H2016" s="2"/>
      <c r="I2016" s="8" t="s">
        <v>3230</v>
      </c>
      <c r="J2016" s="2">
        <v>2029</v>
      </c>
      <c r="K2016" s="2">
        <v>627</v>
      </c>
      <c r="L2016" s="8" t="s">
        <v>3767</v>
      </c>
      <c r="M2016" s="2">
        <v>7</v>
      </c>
      <c r="N2016" s="8" t="s">
        <v>5405</v>
      </c>
      <c r="O2016" s="8" t="str">
        <f t="shared" si="195"/>
        <v>PDFを開く</v>
      </c>
      <c r="P2016" s="8" t="s">
        <v>1733</v>
      </c>
    </row>
    <row r="2017" spans="1:16" ht="33.950000000000003" customHeight="1">
      <c r="A2017" s="5" t="s">
        <v>1727</v>
      </c>
      <c r="B2017" s="5" t="s">
        <v>1595</v>
      </c>
      <c r="C2017" s="9" t="s">
        <v>1728</v>
      </c>
      <c r="D2017" s="5">
        <v>2</v>
      </c>
      <c r="E2017" s="9" t="s">
        <v>3191</v>
      </c>
      <c r="F2017" s="5" t="s">
        <v>2513</v>
      </c>
      <c r="G2017" s="5" t="s">
        <v>3177</v>
      </c>
      <c r="H2017" s="5"/>
      <c r="I2017" s="9" t="s">
        <v>3227</v>
      </c>
      <c r="J2017" s="5">
        <v>2026</v>
      </c>
      <c r="K2017" s="5">
        <v>55</v>
      </c>
      <c r="L2017" s="9" t="s">
        <v>3944</v>
      </c>
      <c r="M2017" s="5"/>
      <c r="N2017" s="9" t="s">
        <v>5406</v>
      </c>
      <c r="O2017" s="9" t="str">
        <f t="shared" si="195"/>
        <v>PDFを開く</v>
      </c>
      <c r="P2017" s="9" t="s">
        <v>1733</v>
      </c>
    </row>
    <row r="2018" spans="1:16" ht="33.950000000000003" customHeight="1">
      <c r="A2018" s="2" t="s">
        <v>1727</v>
      </c>
      <c r="B2018" s="2" t="s">
        <v>1595</v>
      </c>
      <c r="C2018" s="8" t="s">
        <v>1728</v>
      </c>
      <c r="D2018" s="2">
        <v>2</v>
      </c>
      <c r="E2018" s="8" t="s">
        <v>3191</v>
      </c>
      <c r="F2018" s="2" t="s">
        <v>2513</v>
      </c>
      <c r="G2018" s="2" t="s">
        <v>3177</v>
      </c>
      <c r="H2018" s="2"/>
      <c r="I2018" s="8" t="s">
        <v>3230</v>
      </c>
      <c r="J2018" s="2">
        <v>2029</v>
      </c>
      <c r="K2018" s="2">
        <v>60</v>
      </c>
      <c r="L2018" s="8" t="s">
        <v>3406</v>
      </c>
      <c r="M2018" s="2"/>
      <c r="N2018" s="8" t="s">
        <v>5406</v>
      </c>
      <c r="O2018" s="8" t="str">
        <f t="shared" si="195"/>
        <v>PDFを開く</v>
      </c>
      <c r="P2018" s="8" t="s">
        <v>1733</v>
      </c>
    </row>
    <row r="2019" spans="1:16" ht="33.950000000000003" customHeight="1">
      <c r="A2019" s="5" t="s">
        <v>1734</v>
      </c>
      <c r="B2019" s="5" t="s">
        <v>1595</v>
      </c>
      <c r="C2019" s="9" t="s">
        <v>1735</v>
      </c>
      <c r="D2019" s="5">
        <v>2</v>
      </c>
      <c r="E2019" s="9" t="s">
        <v>3176</v>
      </c>
      <c r="F2019" s="5" t="s">
        <v>86</v>
      </c>
      <c r="G2019" s="5" t="s">
        <v>3177</v>
      </c>
      <c r="H2019" s="5" t="s">
        <v>3178</v>
      </c>
      <c r="I2019" s="9" t="s">
        <v>3259</v>
      </c>
      <c r="J2019" s="5">
        <v>2027</v>
      </c>
      <c r="K2019" s="5">
        <v>1439</v>
      </c>
      <c r="L2019" s="9" t="s">
        <v>5407</v>
      </c>
      <c r="M2019" s="5">
        <v>16.2</v>
      </c>
      <c r="N2019" s="9" t="s">
        <v>5408</v>
      </c>
      <c r="O2019" s="9" t="str">
        <f t="shared" ref="O2019:O2027" si="196">HYPERLINK("https://seichotoushi-hojo.jp/assets/pdf/koufu_3_4ji/outline_16.pdf","PDFを開く")</f>
        <v>PDFを開く</v>
      </c>
      <c r="P2019" s="9" t="s">
        <v>1739</v>
      </c>
    </row>
    <row r="2020" spans="1:16" ht="33.950000000000003" customHeight="1">
      <c r="A2020" s="2" t="s">
        <v>1734</v>
      </c>
      <c r="B2020" s="2" t="s">
        <v>1595</v>
      </c>
      <c r="C2020" s="8" t="s">
        <v>1735</v>
      </c>
      <c r="D2020" s="2">
        <v>2</v>
      </c>
      <c r="E2020" s="8" t="s">
        <v>3176</v>
      </c>
      <c r="F2020" s="2" t="s">
        <v>86</v>
      </c>
      <c r="G2020" s="2" t="s">
        <v>3177</v>
      </c>
      <c r="H2020" s="2" t="s">
        <v>3178</v>
      </c>
      <c r="I2020" s="8" t="s">
        <v>3262</v>
      </c>
      <c r="J2020" s="2">
        <v>2030</v>
      </c>
      <c r="K2020" s="2">
        <v>2258</v>
      </c>
      <c r="L2020" s="8" t="s">
        <v>5409</v>
      </c>
      <c r="M2020" s="2">
        <v>16.2</v>
      </c>
      <c r="N2020" s="8" t="s">
        <v>5408</v>
      </c>
      <c r="O2020" s="8" t="str">
        <f t="shared" si="196"/>
        <v>PDFを開く</v>
      </c>
      <c r="P2020" s="8" t="s">
        <v>1739</v>
      </c>
    </row>
    <row r="2021" spans="1:16" ht="33.950000000000003" customHeight="1">
      <c r="A2021" s="5" t="s">
        <v>1734</v>
      </c>
      <c r="B2021" s="5" t="s">
        <v>1595</v>
      </c>
      <c r="C2021" s="9" t="s">
        <v>1735</v>
      </c>
      <c r="D2021" s="5">
        <v>2</v>
      </c>
      <c r="E2021" s="9" t="s">
        <v>3184</v>
      </c>
      <c r="F2021" s="5" t="s">
        <v>86</v>
      </c>
      <c r="G2021" s="5" t="s">
        <v>3177</v>
      </c>
      <c r="H2021" s="5" t="s">
        <v>3178</v>
      </c>
      <c r="I2021" s="9" t="s">
        <v>3259</v>
      </c>
      <c r="J2021" s="5">
        <v>2027</v>
      </c>
      <c r="K2021" s="5">
        <v>424</v>
      </c>
      <c r="L2021" s="9" t="s">
        <v>3918</v>
      </c>
      <c r="M2021" s="5">
        <v>6.2</v>
      </c>
      <c r="N2021" s="9" t="s">
        <v>5410</v>
      </c>
      <c r="O2021" s="9" t="str">
        <f t="shared" si="196"/>
        <v>PDFを開く</v>
      </c>
      <c r="P2021" s="9" t="s">
        <v>1739</v>
      </c>
    </row>
    <row r="2022" spans="1:16" ht="33.950000000000003" customHeight="1">
      <c r="A2022" s="2" t="s">
        <v>1734</v>
      </c>
      <c r="B2022" s="2" t="s">
        <v>1595</v>
      </c>
      <c r="C2022" s="8" t="s">
        <v>1735</v>
      </c>
      <c r="D2022" s="2">
        <v>2</v>
      </c>
      <c r="E2022" s="8" t="s">
        <v>3184</v>
      </c>
      <c r="F2022" s="2" t="s">
        <v>86</v>
      </c>
      <c r="G2022" s="2" t="s">
        <v>3177</v>
      </c>
      <c r="H2022" s="2" t="s">
        <v>3178</v>
      </c>
      <c r="I2022" s="8" t="s">
        <v>3262</v>
      </c>
      <c r="J2022" s="2">
        <v>2030</v>
      </c>
      <c r="K2022" s="2">
        <v>508</v>
      </c>
      <c r="L2022" s="8" t="s">
        <v>3784</v>
      </c>
      <c r="M2022" s="2">
        <v>6.2</v>
      </c>
      <c r="N2022" s="8" t="s">
        <v>5410</v>
      </c>
      <c r="O2022" s="8" t="str">
        <f t="shared" si="196"/>
        <v>PDFを開く</v>
      </c>
      <c r="P2022" s="8" t="s">
        <v>1739</v>
      </c>
    </row>
    <row r="2023" spans="1:16" ht="33.950000000000003" customHeight="1">
      <c r="A2023" s="5" t="s">
        <v>1734</v>
      </c>
      <c r="B2023" s="5" t="s">
        <v>1595</v>
      </c>
      <c r="C2023" s="9" t="s">
        <v>1735</v>
      </c>
      <c r="D2023" s="5">
        <v>2</v>
      </c>
      <c r="E2023" s="9" t="s">
        <v>3188</v>
      </c>
      <c r="F2023" s="5" t="s">
        <v>86</v>
      </c>
      <c r="G2023" s="19" t="s">
        <v>3189</v>
      </c>
      <c r="H2023" s="5" t="s">
        <v>3178</v>
      </c>
      <c r="I2023" s="9"/>
      <c r="J2023" s="5"/>
      <c r="K2023" s="5"/>
      <c r="L2023" s="9"/>
      <c r="M2023" s="5">
        <v>6.2</v>
      </c>
      <c r="N2023" s="9" t="s">
        <v>5411</v>
      </c>
      <c r="O2023" s="9" t="str">
        <f t="shared" si="196"/>
        <v>PDFを開く</v>
      </c>
      <c r="P2023" s="9" t="s">
        <v>1739</v>
      </c>
    </row>
    <row r="2024" spans="1:16" ht="33.950000000000003" customHeight="1">
      <c r="A2024" s="2" t="s">
        <v>1734</v>
      </c>
      <c r="B2024" s="2" t="s">
        <v>1595</v>
      </c>
      <c r="C2024" s="8" t="s">
        <v>1735</v>
      </c>
      <c r="D2024" s="2">
        <v>2</v>
      </c>
      <c r="E2024" s="8" t="s">
        <v>3191</v>
      </c>
      <c r="F2024" s="2" t="s">
        <v>2513</v>
      </c>
      <c r="G2024" s="2" t="s">
        <v>3177</v>
      </c>
      <c r="H2024" s="2" t="s">
        <v>3178</v>
      </c>
      <c r="I2024" s="8" t="s">
        <v>3259</v>
      </c>
      <c r="J2024" s="2">
        <v>2027</v>
      </c>
      <c r="K2024" s="2">
        <v>75</v>
      </c>
      <c r="L2024" s="8" t="s">
        <v>4098</v>
      </c>
      <c r="M2024" s="2"/>
      <c r="N2024" s="8" t="s">
        <v>5412</v>
      </c>
      <c r="O2024" s="8" t="str">
        <f t="shared" si="196"/>
        <v>PDFを開く</v>
      </c>
      <c r="P2024" s="8" t="s">
        <v>1739</v>
      </c>
    </row>
    <row r="2025" spans="1:16" ht="33.950000000000003" customHeight="1">
      <c r="A2025" s="5" t="s">
        <v>1734</v>
      </c>
      <c r="B2025" s="5" t="s">
        <v>1595</v>
      </c>
      <c r="C2025" s="9" t="s">
        <v>1735</v>
      </c>
      <c r="D2025" s="5">
        <v>2</v>
      </c>
      <c r="E2025" s="9" t="s">
        <v>3191</v>
      </c>
      <c r="F2025" s="5" t="s">
        <v>2513</v>
      </c>
      <c r="G2025" s="5" t="s">
        <v>3177</v>
      </c>
      <c r="H2025" s="5" t="s">
        <v>3178</v>
      </c>
      <c r="I2025" s="9" t="s">
        <v>3262</v>
      </c>
      <c r="J2025" s="5">
        <v>2030</v>
      </c>
      <c r="K2025" s="5">
        <v>111</v>
      </c>
      <c r="L2025" s="9" t="s">
        <v>3606</v>
      </c>
      <c r="M2025" s="5"/>
      <c r="N2025" s="9" t="s">
        <v>5412</v>
      </c>
      <c r="O2025" s="9" t="str">
        <f t="shared" si="196"/>
        <v>PDFを開く</v>
      </c>
      <c r="P2025" s="9" t="s">
        <v>1739</v>
      </c>
    </row>
    <row r="2026" spans="1:16" ht="33.950000000000003" customHeight="1">
      <c r="A2026" s="2" t="s">
        <v>1734</v>
      </c>
      <c r="B2026" s="2" t="s">
        <v>1595</v>
      </c>
      <c r="C2026" s="8" t="s">
        <v>1735</v>
      </c>
      <c r="D2026" s="2">
        <v>2</v>
      </c>
      <c r="E2026" s="8" t="s">
        <v>3188</v>
      </c>
      <c r="F2026" s="2" t="s">
        <v>86</v>
      </c>
      <c r="G2026" s="2" t="s">
        <v>3177</v>
      </c>
      <c r="H2026" s="2"/>
      <c r="I2026" s="8" t="s">
        <v>5413</v>
      </c>
      <c r="J2026" s="2">
        <v>2027</v>
      </c>
      <c r="K2026" s="2"/>
      <c r="L2026" s="8" t="s">
        <v>3211</v>
      </c>
      <c r="M2026" s="2">
        <v>6.2</v>
      </c>
      <c r="N2026" s="8" t="s">
        <v>5414</v>
      </c>
      <c r="O2026" s="8" t="str">
        <f t="shared" si="196"/>
        <v>PDFを開く</v>
      </c>
      <c r="P2026" s="8" t="s">
        <v>1739</v>
      </c>
    </row>
    <row r="2027" spans="1:16" ht="33.950000000000003" customHeight="1">
      <c r="A2027" s="5" t="s">
        <v>1734</v>
      </c>
      <c r="B2027" s="5" t="s">
        <v>1595</v>
      </c>
      <c r="C2027" s="9" t="s">
        <v>1735</v>
      </c>
      <c r="D2027" s="5">
        <v>2</v>
      </c>
      <c r="E2027" s="9" t="s">
        <v>3188</v>
      </c>
      <c r="F2027" s="5" t="s">
        <v>86</v>
      </c>
      <c r="G2027" s="5" t="s">
        <v>3177</v>
      </c>
      <c r="H2027" s="5"/>
      <c r="I2027" s="9" t="s">
        <v>5415</v>
      </c>
      <c r="J2027" s="5">
        <v>2030</v>
      </c>
      <c r="K2027" s="5"/>
      <c r="L2027" s="9" t="s">
        <v>5416</v>
      </c>
      <c r="M2027" s="5">
        <v>6.2</v>
      </c>
      <c r="N2027" s="9" t="s">
        <v>5414</v>
      </c>
      <c r="O2027" s="9" t="str">
        <f t="shared" si="196"/>
        <v>PDFを開く</v>
      </c>
      <c r="P2027" s="9" t="s">
        <v>1739</v>
      </c>
    </row>
    <row r="2028" spans="1:16" ht="33.950000000000003" customHeight="1">
      <c r="A2028" s="2" t="s">
        <v>1740</v>
      </c>
      <c r="B2028" s="2" t="s">
        <v>1595</v>
      </c>
      <c r="C2028" s="8" t="s">
        <v>1741</v>
      </c>
      <c r="D2028" s="2">
        <v>2</v>
      </c>
      <c r="E2028" s="8" t="s">
        <v>3176</v>
      </c>
      <c r="F2028" s="2" t="s">
        <v>86</v>
      </c>
      <c r="G2028" s="2" t="s">
        <v>3177</v>
      </c>
      <c r="H2028" s="2" t="s">
        <v>3178</v>
      </c>
      <c r="I2028" s="8" t="s">
        <v>5417</v>
      </c>
      <c r="J2028" s="2">
        <v>2028</v>
      </c>
      <c r="K2028" s="2">
        <v>1264</v>
      </c>
      <c r="L2028" s="8" t="s">
        <v>5418</v>
      </c>
      <c r="M2028" s="2">
        <v>38.4</v>
      </c>
      <c r="N2028" s="8" t="s">
        <v>5419</v>
      </c>
      <c r="O2028" s="8" t="str">
        <f t="shared" ref="O2028:O2038" si="197">HYPERLINK("https://seichotoushi-hojo.jp/assets/pdf/koufu_3_4ji/outline_17.pdf","PDFを開く")</f>
        <v>PDFを開く</v>
      </c>
      <c r="P2028" s="8" t="s">
        <v>1747</v>
      </c>
    </row>
    <row r="2029" spans="1:16" ht="33.950000000000003" customHeight="1">
      <c r="A2029" s="5" t="s">
        <v>1740</v>
      </c>
      <c r="B2029" s="5" t="s">
        <v>1595</v>
      </c>
      <c r="C2029" s="9" t="s">
        <v>1741</v>
      </c>
      <c r="D2029" s="5">
        <v>2</v>
      </c>
      <c r="E2029" s="9" t="s">
        <v>3176</v>
      </c>
      <c r="F2029" s="5" t="s">
        <v>86</v>
      </c>
      <c r="G2029" s="5" t="s">
        <v>3177</v>
      </c>
      <c r="H2029" s="5" t="s">
        <v>3178</v>
      </c>
      <c r="I2029" s="9" t="s">
        <v>5420</v>
      </c>
      <c r="J2029" s="5">
        <v>2031</v>
      </c>
      <c r="K2029" s="5">
        <v>76</v>
      </c>
      <c r="L2029" s="9" t="s">
        <v>3631</v>
      </c>
      <c r="M2029" s="5">
        <v>38.4</v>
      </c>
      <c r="N2029" s="9" t="s">
        <v>5419</v>
      </c>
      <c r="O2029" s="9" t="str">
        <f t="shared" si="197"/>
        <v>PDFを開く</v>
      </c>
      <c r="P2029" s="9" t="s">
        <v>1747</v>
      </c>
    </row>
    <row r="2030" spans="1:16" ht="33.950000000000003" customHeight="1">
      <c r="A2030" s="2" t="s">
        <v>1740</v>
      </c>
      <c r="B2030" s="2" t="s">
        <v>1595</v>
      </c>
      <c r="C2030" s="8" t="s">
        <v>1741</v>
      </c>
      <c r="D2030" s="2">
        <v>2</v>
      </c>
      <c r="E2030" s="8" t="s">
        <v>3184</v>
      </c>
      <c r="F2030" s="2" t="s">
        <v>86</v>
      </c>
      <c r="G2030" s="2" t="s">
        <v>3177</v>
      </c>
      <c r="H2030" s="2" t="s">
        <v>3178</v>
      </c>
      <c r="I2030" s="8" t="s">
        <v>5417</v>
      </c>
      <c r="J2030" s="2">
        <v>2028</v>
      </c>
      <c r="K2030" s="2">
        <v>427</v>
      </c>
      <c r="L2030" s="8" t="s">
        <v>5421</v>
      </c>
      <c r="M2030" s="2">
        <v>5</v>
      </c>
      <c r="N2030" s="8" t="s">
        <v>5422</v>
      </c>
      <c r="O2030" s="8" t="str">
        <f t="shared" si="197"/>
        <v>PDFを開く</v>
      </c>
      <c r="P2030" s="8" t="s">
        <v>1747</v>
      </c>
    </row>
    <row r="2031" spans="1:16" ht="33.950000000000003" customHeight="1">
      <c r="A2031" s="5" t="s">
        <v>1740</v>
      </c>
      <c r="B2031" s="5" t="s">
        <v>1595</v>
      </c>
      <c r="C2031" s="9" t="s">
        <v>1741</v>
      </c>
      <c r="D2031" s="5">
        <v>2</v>
      </c>
      <c r="E2031" s="9" t="s">
        <v>3184</v>
      </c>
      <c r="F2031" s="5" t="s">
        <v>86</v>
      </c>
      <c r="G2031" s="5" t="s">
        <v>3177</v>
      </c>
      <c r="H2031" s="5" t="s">
        <v>3178</v>
      </c>
      <c r="I2031" s="9" t="s">
        <v>5420</v>
      </c>
      <c r="J2031" s="5">
        <v>2031</v>
      </c>
      <c r="K2031" s="5">
        <v>495</v>
      </c>
      <c r="L2031" s="9" t="s">
        <v>3789</v>
      </c>
      <c r="M2031" s="5">
        <v>5</v>
      </c>
      <c r="N2031" s="9" t="s">
        <v>5422</v>
      </c>
      <c r="O2031" s="9" t="str">
        <f t="shared" si="197"/>
        <v>PDFを開く</v>
      </c>
      <c r="P2031" s="9" t="s">
        <v>1747</v>
      </c>
    </row>
    <row r="2032" spans="1:16" ht="33.950000000000003" customHeight="1">
      <c r="A2032" s="2" t="s">
        <v>1740</v>
      </c>
      <c r="B2032" s="2" t="s">
        <v>1595</v>
      </c>
      <c r="C2032" s="8" t="s">
        <v>1741</v>
      </c>
      <c r="D2032" s="2">
        <v>2</v>
      </c>
      <c r="E2032" s="8" t="s">
        <v>3188</v>
      </c>
      <c r="F2032" s="2" t="s">
        <v>86</v>
      </c>
      <c r="G2032" s="19" t="s">
        <v>3189</v>
      </c>
      <c r="H2032" s="2"/>
      <c r="I2032" s="8"/>
      <c r="J2032" s="2"/>
      <c r="K2032" s="2"/>
      <c r="L2032" s="8"/>
      <c r="M2032" s="2"/>
      <c r="N2032" s="8" t="s">
        <v>5423</v>
      </c>
      <c r="O2032" s="8" t="str">
        <f t="shared" si="197"/>
        <v>PDFを開く</v>
      </c>
      <c r="P2032" s="8" t="s">
        <v>1747</v>
      </c>
    </row>
    <row r="2033" spans="1:16" ht="33.950000000000003" customHeight="1">
      <c r="A2033" s="5" t="s">
        <v>1740</v>
      </c>
      <c r="B2033" s="5" t="s">
        <v>1595</v>
      </c>
      <c r="C2033" s="9" t="s">
        <v>1741</v>
      </c>
      <c r="D2033" s="5">
        <v>2</v>
      </c>
      <c r="E2033" s="9" t="s">
        <v>3191</v>
      </c>
      <c r="F2033" s="5" t="s">
        <v>2513</v>
      </c>
      <c r="G2033" s="5" t="s">
        <v>3177</v>
      </c>
      <c r="H2033" s="5"/>
      <c r="I2033" s="9" t="s">
        <v>5417</v>
      </c>
      <c r="J2033" s="5">
        <v>2028</v>
      </c>
      <c r="K2033" s="5">
        <v>140</v>
      </c>
      <c r="L2033" s="9" t="s">
        <v>5062</v>
      </c>
      <c r="M2033" s="5"/>
      <c r="N2033" s="9" t="s">
        <v>5424</v>
      </c>
      <c r="O2033" s="9" t="str">
        <f t="shared" si="197"/>
        <v>PDFを開く</v>
      </c>
      <c r="P2033" s="9" t="s">
        <v>1747</v>
      </c>
    </row>
    <row r="2034" spans="1:16" ht="33.950000000000003" customHeight="1">
      <c r="A2034" s="2" t="s">
        <v>1740</v>
      </c>
      <c r="B2034" s="2" t="s">
        <v>1595</v>
      </c>
      <c r="C2034" s="8" t="s">
        <v>1741</v>
      </c>
      <c r="D2034" s="2">
        <v>2</v>
      </c>
      <c r="E2034" s="8" t="s">
        <v>3191</v>
      </c>
      <c r="F2034" s="2" t="s">
        <v>2513</v>
      </c>
      <c r="G2034" s="2" t="s">
        <v>3177</v>
      </c>
      <c r="H2034" s="2"/>
      <c r="I2034" s="8" t="s">
        <v>5420</v>
      </c>
      <c r="J2034" s="2">
        <v>2031</v>
      </c>
      <c r="K2034" s="2">
        <v>268</v>
      </c>
      <c r="L2034" s="8" t="s">
        <v>3781</v>
      </c>
      <c r="M2034" s="2"/>
      <c r="N2034" s="8" t="s">
        <v>5424</v>
      </c>
      <c r="O2034" s="8" t="str">
        <f t="shared" si="197"/>
        <v>PDFを開く</v>
      </c>
      <c r="P2034" s="8" t="s">
        <v>1747</v>
      </c>
    </row>
    <row r="2035" spans="1:16" ht="33.950000000000003" customHeight="1">
      <c r="A2035" s="5" t="s">
        <v>1740</v>
      </c>
      <c r="B2035" s="5" t="s">
        <v>1595</v>
      </c>
      <c r="C2035" s="9" t="s">
        <v>1741</v>
      </c>
      <c r="D2035" s="5">
        <v>2</v>
      </c>
      <c r="E2035" s="9" t="s">
        <v>3176</v>
      </c>
      <c r="F2035" s="5" t="s">
        <v>86</v>
      </c>
      <c r="G2035" s="5" t="s">
        <v>3177</v>
      </c>
      <c r="H2035" s="5"/>
      <c r="I2035" s="9" t="s">
        <v>5351</v>
      </c>
      <c r="J2035" s="5">
        <v>2028</v>
      </c>
      <c r="K2035" s="5">
        <v>476</v>
      </c>
      <c r="L2035" s="9" t="s">
        <v>5231</v>
      </c>
      <c r="M2035" s="5">
        <v>49.5</v>
      </c>
      <c r="N2035" s="9" t="s">
        <v>5425</v>
      </c>
      <c r="O2035" s="9" t="str">
        <f t="shared" si="197"/>
        <v>PDFを開く</v>
      </c>
      <c r="P2035" s="9" t="s">
        <v>1747</v>
      </c>
    </row>
    <row r="2036" spans="1:16" ht="33.950000000000003" customHeight="1">
      <c r="A2036" s="2" t="s">
        <v>1740</v>
      </c>
      <c r="B2036" s="2" t="s">
        <v>1595</v>
      </c>
      <c r="C2036" s="8" t="s">
        <v>1741</v>
      </c>
      <c r="D2036" s="2">
        <v>2</v>
      </c>
      <c r="E2036" s="8" t="s">
        <v>3176</v>
      </c>
      <c r="F2036" s="2" t="s">
        <v>86</v>
      </c>
      <c r="G2036" s="2" t="s">
        <v>3177</v>
      </c>
      <c r="H2036" s="2"/>
      <c r="I2036" s="8" t="s">
        <v>5353</v>
      </c>
      <c r="J2036" s="2">
        <v>2031</v>
      </c>
      <c r="K2036" s="2">
        <v>1647</v>
      </c>
      <c r="L2036" s="8" t="s">
        <v>5426</v>
      </c>
      <c r="M2036" s="2">
        <v>49.5</v>
      </c>
      <c r="N2036" s="8" t="s">
        <v>5425</v>
      </c>
      <c r="O2036" s="8" t="str">
        <f t="shared" si="197"/>
        <v>PDFを開く</v>
      </c>
      <c r="P2036" s="8" t="s">
        <v>1747</v>
      </c>
    </row>
    <row r="2037" spans="1:16" ht="33.950000000000003" customHeight="1">
      <c r="A2037" s="5" t="s">
        <v>1740</v>
      </c>
      <c r="B2037" s="5" t="s">
        <v>1595</v>
      </c>
      <c r="C2037" s="9" t="s">
        <v>1741</v>
      </c>
      <c r="D2037" s="5">
        <v>2</v>
      </c>
      <c r="E2037" s="9" t="s">
        <v>3191</v>
      </c>
      <c r="F2037" s="5" t="s">
        <v>2513</v>
      </c>
      <c r="G2037" s="5" t="s">
        <v>3177</v>
      </c>
      <c r="H2037" s="5"/>
      <c r="I2037" s="9" t="s">
        <v>5351</v>
      </c>
      <c r="J2037" s="5">
        <v>2028</v>
      </c>
      <c r="K2037" s="5">
        <v>140</v>
      </c>
      <c r="L2037" s="9" t="s">
        <v>5062</v>
      </c>
      <c r="M2037" s="5"/>
      <c r="N2037" s="9" t="s">
        <v>5427</v>
      </c>
      <c r="O2037" s="9" t="str">
        <f t="shared" si="197"/>
        <v>PDFを開く</v>
      </c>
      <c r="P2037" s="9" t="s">
        <v>1747</v>
      </c>
    </row>
    <row r="2038" spans="1:16" ht="33.950000000000003" customHeight="1">
      <c r="A2038" s="2" t="s">
        <v>1740</v>
      </c>
      <c r="B2038" s="2" t="s">
        <v>1595</v>
      </c>
      <c r="C2038" s="8" t="s">
        <v>1741</v>
      </c>
      <c r="D2038" s="2">
        <v>2</v>
      </c>
      <c r="E2038" s="8" t="s">
        <v>3191</v>
      </c>
      <c r="F2038" s="2" t="s">
        <v>2513</v>
      </c>
      <c r="G2038" s="2" t="s">
        <v>3177</v>
      </c>
      <c r="H2038" s="2"/>
      <c r="I2038" s="8" t="s">
        <v>5353</v>
      </c>
      <c r="J2038" s="2">
        <v>2031</v>
      </c>
      <c r="K2038" s="2">
        <v>268</v>
      </c>
      <c r="L2038" s="8" t="s">
        <v>3781</v>
      </c>
      <c r="M2038" s="2"/>
      <c r="N2038" s="8" t="s">
        <v>5427</v>
      </c>
      <c r="O2038" s="8" t="str">
        <f t="shared" si="197"/>
        <v>PDFを開く</v>
      </c>
      <c r="P2038" s="8" t="s">
        <v>1747</v>
      </c>
    </row>
    <row r="2039" spans="1:16" ht="33.950000000000003" customHeight="1">
      <c r="A2039" s="5" t="s">
        <v>1748</v>
      </c>
      <c r="B2039" s="5" t="s">
        <v>1595</v>
      </c>
      <c r="C2039" s="9" t="s">
        <v>1749</v>
      </c>
      <c r="D2039" s="5">
        <v>2</v>
      </c>
      <c r="E2039" s="9" t="s">
        <v>3176</v>
      </c>
      <c r="F2039" s="5" t="s">
        <v>86</v>
      </c>
      <c r="G2039" s="5" t="s">
        <v>3177</v>
      </c>
      <c r="H2039" s="5" t="s">
        <v>3178</v>
      </c>
      <c r="I2039" s="9" t="s">
        <v>5367</v>
      </c>
      <c r="J2039" s="5">
        <v>2028</v>
      </c>
      <c r="K2039" s="5">
        <v>1088</v>
      </c>
      <c r="L2039" s="9" t="s">
        <v>5428</v>
      </c>
      <c r="M2039" s="5">
        <v>38.5</v>
      </c>
      <c r="N2039" s="9" t="s">
        <v>5429</v>
      </c>
      <c r="O2039" s="9" t="str">
        <f t="shared" ref="O2039:O2047" si="198">HYPERLINK("https://seichotoushi-hojo.jp/assets/pdf/koufu_3_4ji/outline_173.pdf","PDFを開く")</f>
        <v>PDFを開く</v>
      </c>
      <c r="P2039" s="9" t="s">
        <v>1754</v>
      </c>
    </row>
    <row r="2040" spans="1:16" ht="33.950000000000003" customHeight="1">
      <c r="A2040" s="2" t="s">
        <v>1748</v>
      </c>
      <c r="B2040" s="2" t="s">
        <v>1595</v>
      </c>
      <c r="C2040" s="8" t="s">
        <v>1749</v>
      </c>
      <c r="D2040" s="2">
        <v>2</v>
      </c>
      <c r="E2040" s="8" t="s">
        <v>3176</v>
      </c>
      <c r="F2040" s="2" t="s">
        <v>86</v>
      </c>
      <c r="G2040" s="2" t="s">
        <v>3177</v>
      </c>
      <c r="H2040" s="2" t="s">
        <v>3178</v>
      </c>
      <c r="I2040" s="8" t="s">
        <v>5370</v>
      </c>
      <c r="J2040" s="2">
        <v>2031</v>
      </c>
      <c r="K2040" s="2">
        <v>2888</v>
      </c>
      <c r="L2040" s="8" t="s">
        <v>5430</v>
      </c>
      <c r="M2040" s="2">
        <v>38.5</v>
      </c>
      <c r="N2040" s="8" t="s">
        <v>5429</v>
      </c>
      <c r="O2040" s="8" t="str">
        <f t="shared" si="198"/>
        <v>PDFを開く</v>
      </c>
      <c r="P2040" s="8" t="s">
        <v>1754</v>
      </c>
    </row>
    <row r="2041" spans="1:16" ht="33.950000000000003" customHeight="1">
      <c r="A2041" s="5" t="s">
        <v>1748</v>
      </c>
      <c r="B2041" s="5" t="s">
        <v>1595</v>
      </c>
      <c r="C2041" s="9" t="s">
        <v>1749</v>
      </c>
      <c r="D2041" s="5">
        <v>2</v>
      </c>
      <c r="E2041" s="9" t="s">
        <v>3184</v>
      </c>
      <c r="F2041" s="5" t="s">
        <v>86</v>
      </c>
      <c r="G2041" s="5" t="s">
        <v>3177</v>
      </c>
      <c r="H2041" s="5" t="s">
        <v>3178</v>
      </c>
      <c r="I2041" s="9" t="s">
        <v>5367</v>
      </c>
      <c r="J2041" s="5">
        <v>2028</v>
      </c>
      <c r="K2041" s="5">
        <v>444</v>
      </c>
      <c r="L2041" s="9" t="s">
        <v>5431</v>
      </c>
      <c r="M2041" s="5">
        <v>8</v>
      </c>
      <c r="N2041" s="9" t="s">
        <v>5432</v>
      </c>
      <c r="O2041" s="9" t="str">
        <f t="shared" si="198"/>
        <v>PDFを開く</v>
      </c>
      <c r="P2041" s="9" t="s">
        <v>1754</v>
      </c>
    </row>
    <row r="2042" spans="1:16" ht="33.950000000000003" customHeight="1">
      <c r="A2042" s="2" t="s">
        <v>1748</v>
      </c>
      <c r="B2042" s="2" t="s">
        <v>1595</v>
      </c>
      <c r="C2042" s="8" t="s">
        <v>1749</v>
      </c>
      <c r="D2042" s="2">
        <v>2</v>
      </c>
      <c r="E2042" s="8" t="s">
        <v>3184</v>
      </c>
      <c r="F2042" s="2" t="s">
        <v>86</v>
      </c>
      <c r="G2042" s="2" t="s">
        <v>3177</v>
      </c>
      <c r="H2042" s="2" t="s">
        <v>3178</v>
      </c>
      <c r="I2042" s="8" t="s">
        <v>5370</v>
      </c>
      <c r="J2042" s="2">
        <v>2031</v>
      </c>
      <c r="K2042" s="2">
        <v>559</v>
      </c>
      <c r="L2042" s="8" t="s">
        <v>5433</v>
      </c>
      <c r="M2042" s="2">
        <v>8</v>
      </c>
      <c r="N2042" s="8" t="s">
        <v>5432</v>
      </c>
      <c r="O2042" s="8" t="str">
        <f t="shared" si="198"/>
        <v>PDFを開く</v>
      </c>
      <c r="P2042" s="8" t="s">
        <v>1754</v>
      </c>
    </row>
    <row r="2043" spans="1:16" ht="33.950000000000003" customHeight="1">
      <c r="A2043" s="5" t="s">
        <v>1748</v>
      </c>
      <c r="B2043" s="5" t="s">
        <v>1595</v>
      </c>
      <c r="C2043" s="9" t="s">
        <v>1749</v>
      </c>
      <c r="D2043" s="5">
        <v>2</v>
      </c>
      <c r="E2043" s="9" t="s">
        <v>3188</v>
      </c>
      <c r="F2043" s="5" t="s">
        <v>86</v>
      </c>
      <c r="G2043" s="19" t="s">
        <v>3189</v>
      </c>
      <c r="H2043" s="5" t="s">
        <v>3178</v>
      </c>
      <c r="I2043" s="9"/>
      <c r="J2043" s="5"/>
      <c r="K2043" s="5"/>
      <c r="L2043" s="9"/>
      <c r="M2043" s="5">
        <v>6</v>
      </c>
      <c r="N2043" s="9" t="s">
        <v>3930</v>
      </c>
      <c r="O2043" s="9" t="str">
        <f t="shared" si="198"/>
        <v>PDFを開く</v>
      </c>
      <c r="P2043" s="9" t="s">
        <v>1754</v>
      </c>
    </row>
    <row r="2044" spans="1:16" ht="33.950000000000003" customHeight="1">
      <c r="A2044" s="2" t="s">
        <v>1748</v>
      </c>
      <c r="B2044" s="2" t="s">
        <v>1595</v>
      </c>
      <c r="C2044" s="8" t="s">
        <v>1749</v>
      </c>
      <c r="D2044" s="2">
        <v>2</v>
      </c>
      <c r="E2044" s="8" t="s">
        <v>3191</v>
      </c>
      <c r="F2044" s="2" t="s">
        <v>2513</v>
      </c>
      <c r="G2044" s="2" t="s">
        <v>3177</v>
      </c>
      <c r="H2044" s="2" t="s">
        <v>3178</v>
      </c>
      <c r="I2044" s="8" t="s">
        <v>5367</v>
      </c>
      <c r="J2044" s="2">
        <v>2028</v>
      </c>
      <c r="K2044" s="2">
        <v>30</v>
      </c>
      <c r="L2044" s="8" t="s">
        <v>4040</v>
      </c>
      <c r="M2044" s="2"/>
      <c r="N2044" s="8" t="s">
        <v>5434</v>
      </c>
      <c r="O2044" s="8" t="str">
        <f t="shared" si="198"/>
        <v>PDFを開く</v>
      </c>
      <c r="P2044" s="8" t="s">
        <v>1754</v>
      </c>
    </row>
    <row r="2045" spans="1:16" ht="33.950000000000003" customHeight="1">
      <c r="A2045" s="5" t="s">
        <v>1748</v>
      </c>
      <c r="B2045" s="5" t="s">
        <v>1595</v>
      </c>
      <c r="C2045" s="9" t="s">
        <v>1749</v>
      </c>
      <c r="D2045" s="5">
        <v>2</v>
      </c>
      <c r="E2045" s="9" t="s">
        <v>3191</v>
      </c>
      <c r="F2045" s="5" t="s">
        <v>2513</v>
      </c>
      <c r="G2045" s="5" t="s">
        <v>3177</v>
      </c>
      <c r="H2045" s="5" t="s">
        <v>3178</v>
      </c>
      <c r="I2045" s="9" t="s">
        <v>5370</v>
      </c>
      <c r="J2045" s="5">
        <v>2031</v>
      </c>
      <c r="K2045" s="5">
        <v>130</v>
      </c>
      <c r="L2045" s="9" t="s">
        <v>3499</v>
      </c>
      <c r="M2045" s="5"/>
      <c r="N2045" s="9" t="s">
        <v>5434</v>
      </c>
      <c r="O2045" s="9" t="str">
        <f t="shared" si="198"/>
        <v>PDFを開く</v>
      </c>
      <c r="P2045" s="9" t="s">
        <v>1754</v>
      </c>
    </row>
    <row r="2046" spans="1:16" ht="33.950000000000003" customHeight="1">
      <c r="A2046" s="2" t="s">
        <v>1748</v>
      </c>
      <c r="B2046" s="2" t="s">
        <v>1595</v>
      </c>
      <c r="C2046" s="8" t="s">
        <v>1749</v>
      </c>
      <c r="D2046" s="2">
        <v>2</v>
      </c>
      <c r="E2046" s="8" t="s">
        <v>3188</v>
      </c>
      <c r="F2046" s="2" t="s">
        <v>86</v>
      </c>
      <c r="G2046" s="2" t="s">
        <v>3177</v>
      </c>
      <c r="H2046" s="2"/>
      <c r="I2046" s="8" t="s">
        <v>5435</v>
      </c>
      <c r="J2046" s="2">
        <v>2028</v>
      </c>
      <c r="K2046" s="2"/>
      <c r="L2046" s="8" t="s">
        <v>3211</v>
      </c>
      <c r="M2046" s="2">
        <v>6</v>
      </c>
      <c r="N2046" s="8" t="s">
        <v>5376</v>
      </c>
      <c r="O2046" s="8" t="str">
        <f t="shared" si="198"/>
        <v>PDFを開く</v>
      </c>
      <c r="P2046" s="8" t="s">
        <v>1754</v>
      </c>
    </row>
    <row r="2047" spans="1:16" ht="33.950000000000003" customHeight="1">
      <c r="A2047" s="5" t="s">
        <v>1748</v>
      </c>
      <c r="B2047" s="5" t="s">
        <v>1595</v>
      </c>
      <c r="C2047" s="9" t="s">
        <v>1749</v>
      </c>
      <c r="D2047" s="5">
        <v>2</v>
      </c>
      <c r="E2047" s="9" t="s">
        <v>3188</v>
      </c>
      <c r="F2047" s="5" t="s">
        <v>86</v>
      </c>
      <c r="G2047" s="5" t="s">
        <v>3177</v>
      </c>
      <c r="H2047" s="5"/>
      <c r="I2047" s="9" t="s">
        <v>5436</v>
      </c>
      <c r="J2047" s="5">
        <v>2031</v>
      </c>
      <c r="K2047" s="5"/>
      <c r="L2047" s="9" t="s">
        <v>5378</v>
      </c>
      <c r="M2047" s="5">
        <v>6</v>
      </c>
      <c r="N2047" s="9" t="s">
        <v>5376</v>
      </c>
      <c r="O2047" s="9" t="str">
        <f t="shared" si="198"/>
        <v>PDFを開く</v>
      </c>
      <c r="P2047" s="9" t="s">
        <v>1754</v>
      </c>
    </row>
    <row r="2048" spans="1:16" ht="33.950000000000003" customHeight="1">
      <c r="A2048" s="2" t="s">
        <v>1755</v>
      </c>
      <c r="B2048" s="2" t="s">
        <v>1595</v>
      </c>
      <c r="C2048" s="8" t="s">
        <v>1756</v>
      </c>
      <c r="D2048" s="2">
        <v>2</v>
      </c>
      <c r="E2048" s="8" t="s">
        <v>3176</v>
      </c>
      <c r="F2048" s="2" t="s">
        <v>86</v>
      </c>
      <c r="G2048" s="2" t="s">
        <v>3177</v>
      </c>
      <c r="H2048" s="2" t="s">
        <v>3178</v>
      </c>
      <c r="I2048" s="8" t="s">
        <v>3259</v>
      </c>
      <c r="J2048" s="2">
        <v>2027</v>
      </c>
      <c r="K2048" s="2">
        <v>1195</v>
      </c>
      <c r="L2048" s="8" t="s">
        <v>5437</v>
      </c>
      <c r="M2048" s="2">
        <v>25.8</v>
      </c>
      <c r="N2048" s="8" t="s">
        <v>5438</v>
      </c>
      <c r="O2048" s="8" t="str">
        <f t="shared" ref="O2048:O2056" si="199">HYPERLINK("https://seichotoushi-hojo.jp/assets/pdf/koufu_3_4ji/outline_18.pdf","PDFを開く")</f>
        <v>PDFを開く</v>
      </c>
      <c r="P2048" s="8" t="s">
        <v>1760</v>
      </c>
    </row>
    <row r="2049" spans="1:16" ht="33.950000000000003" customHeight="1">
      <c r="A2049" s="5" t="s">
        <v>1755</v>
      </c>
      <c r="B2049" s="5" t="s">
        <v>1595</v>
      </c>
      <c r="C2049" s="9" t="s">
        <v>1756</v>
      </c>
      <c r="D2049" s="5">
        <v>2</v>
      </c>
      <c r="E2049" s="9" t="s">
        <v>3176</v>
      </c>
      <c r="F2049" s="5" t="s">
        <v>86</v>
      </c>
      <c r="G2049" s="5" t="s">
        <v>3177</v>
      </c>
      <c r="H2049" s="5" t="s">
        <v>3178</v>
      </c>
      <c r="I2049" s="9" t="s">
        <v>3262</v>
      </c>
      <c r="J2049" s="5">
        <v>2030</v>
      </c>
      <c r="K2049" s="5">
        <v>2379</v>
      </c>
      <c r="L2049" s="9" t="s">
        <v>5439</v>
      </c>
      <c r="M2049" s="5">
        <v>25.8</v>
      </c>
      <c r="N2049" s="9" t="s">
        <v>5438</v>
      </c>
      <c r="O2049" s="9" t="str">
        <f t="shared" si="199"/>
        <v>PDFを開く</v>
      </c>
      <c r="P2049" s="9" t="s">
        <v>1760</v>
      </c>
    </row>
    <row r="2050" spans="1:16" ht="33.950000000000003" customHeight="1">
      <c r="A2050" s="2" t="s">
        <v>1755</v>
      </c>
      <c r="B2050" s="2" t="s">
        <v>1595</v>
      </c>
      <c r="C2050" s="8" t="s">
        <v>1756</v>
      </c>
      <c r="D2050" s="2">
        <v>2</v>
      </c>
      <c r="E2050" s="8" t="s">
        <v>3184</v>
      </c>
      <c r="F2050" s="2" t="s">
        <v>86</v>
      </c>
      <c r="G2050" s="2" t="s">
        <v>3177</v>
      </c>
      <c r="H2050" s="2" t="s">
        <v>3178</v>
      </c>
      <c r="I2050" s="8" t="s">
        <v>3259</v>
      </c>
      <c r="J2050" s="2">
        <v>2027</v>
      </c>
      <c r="K2050" s="2">
        <v>493</v>
      </c>
      <c r="L2050" s="8" t="s">
        <v>5135</v>
      </c>
      <c r="M2050" s="2">
        <v>6.5</v>
      </c>
      <c r="N2050" s="8" t="s">
        <v>5440</v>
      </c>
      <c r="O2050" s="8" t="str">
        <f t="shared" si="199"/>
        <v>PDFを開く</v>
      </c>
      <c r="P2050" s="8" t="s">
        <v>1760</v>
      </c>
    </row>
    <row r="2051" spans="1:16" ht="33.950000000000003" customHeight="1">
      <c r="A2051" s="5" t="s">
        <v>1755</v>
      </c>
      <c r="B2051" s="5" t="s">
        <v>1595</v>
      </c>
      <c r="C2051" s="9" t="s">
        <v>1756</v>
      </c>
      <c r="D2051" s="5">
        <v>2</v>
      </c>
      <c r="E2051" s="9" t="s">
        <v>3184</v>
      </c>
      <c r="F2051" s="5" t="s">
        <v>86</v>
      </c>
      <c r="G2051" s="5" t="s">
        <v>3177</v>
      </c>
      <c r="H2051" s="5" t="s">
        <v>3178</v>
      </c>
      <c r="I2051" s="9" t="s">
        <v>3262</v>
      </c>
      <c r="J2051" s="5">
        <v>2030</v>
      </c>
      <c r="K2051" s="5">
        <v>596</v>
      </c>
      <c r="L2051" s="9" t="s">
        <v>5441</v>
      </c>
      <c r="M2051" s="5">
        <v>6.5</v>
      </c>
      <c r="N2051" s="9" t="s">
        <v>5440</v>
      </c>
      <c r="O2051" s="9" t="str">
        <f t="shared" si="199"/>
        <v>PDFを開く</v>
      </c>
      <c r="P2051" s="9" t="s">
        <v>1760</v>
      </c>
    </row>
    <row r="2052" spans="1:16" ht="33.950000000000003" customHeight="1">
      <c r="A2052" s="2" t="s">
        <v>1755</v>
      </c>
      <c r="B2052" s="2" t="s">
        <v>1595</v>
      </c>
      <c r="C2052" s="8" t="s">
        <v>1756</v>
      </c>
      <c r="D2052" s="2">
        <v>2</v>
      </c>
      <c r="E2052" s="8" t="s">
        <v>3188</v>
      </c>
      <c r="F2052" s="2" t="s">
        <v>86</v>
      </c>
      <c r="G2052" s="19" t="s">
        <v>3189</v>
      </c>
      <c r="H2052" s="2" t="s">
        <v>3178</v>
      </c>
      <c r="I2052" s="8"/>
      <c r="J2052" s="2"/>
      <c r="K2052" s="2"/>
      <c r="L2052" s="8"/>
      <c r="M2052" s="2">
        <v>6.5</v>
      </c>
      <c r="N2052" s="8" t="s">
        <v>5442</v>
      </c>
      <c r="O2052" s="8" t="str">
        <f t="shared" si="199"/>
        <v>PDFを開く</v>
      </c>
      <c r="P2052" s="8" t="s">
        <v>1760</v>
      </c>
    </row>
    <row r="2053" spans="1:16" ht="33.950000000000003" customHeight="1">
      <c r="A2053" s="5" t="s">
        <v>1755</v>
      </c>
      <c r="B2053" s="5" t="s">
        <v>1595</v>
      </c>
      <c r="C2053" s="9" t="s">
        <v>1756</v>
      </c>
      <c r="D2053" s="5">
        <v>2</v>
      </c>
      <c r="E2053" s="9" t="s">
        <v>3191</v>
      </c>
      <c r="F2053" s="5" t="s">
        <v>2513</v>
      </c>
      <c r="G2053" s="5" t="s">
        <v>3177</v>
      </c>
      <c r="H2053" s="5" t="s">
        <v>3178</v>
      </c>
      <c r="I2053" s="9" t="s">
        <v>3259</v>
      </c>
      <c r="J2053" s="5">
        <v>2027</v>
      </c>
      <c r="K2053" s="5">
        <v>155</v>
      </c>
      <c r="L2053" s="9" t="s">
        <v>4162</v>
      </c>
      <c r="M2053" s="5"/>
      <c r="N2053" s="9" t="s">
        <v>5443</v>
      </c>
      <c r="O2053" s="9" t="str">
        <f t="shared" si="199"/>
        <v>PDFを開く</v>
      </c>
      <c r="P2053" s="9" t="s">
        <v>1760</v>
      </c>
    </row>
    <row r="2054" spans="1:16" ht="33.950000000000003" customHeight="1">
      <c r="A2054" s="2" t="s">
        <v>1755</v>
      </c>
      <c r="B2054" s="2" t="s">
        <v>1595</v>
      </c>
      <c r="C2054" s="8" t="s">
        <v>1756</v>
      </c>
      <c r="D2054" s="2">
        <v>2</v>
      </c>
      <c r="E2054" s="8" t="s">
        <v>3191</v>
      </c>
      <c r="F2054" s="2" t="s">
        <v>2513</v>
      </c>
      <c r="G2054" s="2" t="s">
        <v>3177</v>
      </c>
      <c r="H2054" s="2" t="s">
        <v>3178</v>
      </c>
      <c r="I2054" s="8" t="s">
        <v>3262</v>
      </c>
      <c r="J2054" s="2">
        <v>2030</v>
      </c>
      <c r="K2054" s="2">
        <v>191</v>
      </c>
      <c r="L2054" s="8" t="s">
        <v>3503</v>
      </c>
      <c r="M2054" s="2"/>
      <c r="N2054" s="8" t="s">
        <v>5443</v>
      </c>
      <c r="O2054" s="8" t="str">
        <f t="shared" si="199"/>
        <v>PDFを開く</v>
      </c>
      <c r="P2054" s="8" t="s">
        <v>1760</v>
      </c>
    </row>
    <row r="2055" spans="1:16" ht="33.950000000000003" customHeight="1">
      <c r="A2055" s="5" t="s">
        <v>1755</v>
      </c>
      <c r="B2055" s="5" t="s">
        <v>1595</v>
      </c>
      <c r="C2055" s="9" t="s">
        <v>1756</v>
      </c>
      <c r="D2055" s="5">
        <v>2</v>
      </c>
      <c r="E2055" s="9" t="s">
        <v>3188</v>
      </c>
      <c r="F2055" s="5" t="s">
        <v>86</v>
      </c>
      <c r="G2055" s="5" t="s">
        <v>3177</v>
      </c>
      <c r="H2055" s="5"/>
      <c r="I2055" s="9" t="s">
        <v>5444</v>
      </c>
      <c r="J2055" s="5">
        <v>2027</v>
      </c>
      <c r="K2055" s="5"/>
      <c r="L2055" s="9" t="s">
        <v>3211</v>
      </c>
      <c r="M2055" s="5">
        <v>6.5</v>
      </c>
      <c r="N2055" s="9" t="s">
        <v>5445</v>
      </c>
      <c r="O2055" s="9" t="str">
        <f t="shared" si="199"/>
        <v>PDFを開く</v>
      </c>
      <c r="P2055" s="9" t="s">
        <v>1760</v>
      </c>
    </row>
    <row r="2056" spans="1:16" ht="33.950000000000003" customHeight="1">
      <c r="A2056" s="2" t="s">
        <v>1755</v>
      </c>
      <c r="B2056" s="2" t="s">
        <v>1595</v>
      </c>
      <c r="C2056" s="8" t="s">
        <v>1756</v>
      </c>
      <c r="D2056" s="2">
        <v>2</v>
      </c>
      <c r="E2056" s="8" t="s">
        <v>3188</v>
      </c>
      <c r="F2056" s="2" t="s">
        <v>86</v>
      </c>
      <c r="G2056" s="2" t="s">
        <v>3177</v>
      </c>
      <c r="H2056" s="2"/>
      <c r="I2056" s="8" t="s">
        <v>5446</v>
      </c>
      <c r="J2056" s="2">
        <v>2030</v>
      </c>
      <c r="K2056" s="2"/>
      <c r="L2056" s="8" t="s">
        <v>5447</v>
      </c>
      <c r="M2056" s="2">
        <v>6.5</v>
      </c>
      <c r="N2056" s="8" t="s">
        <v>5445</v>
      </c>
      <c r="O2056" s="8" t="str">
        <f t="shared" si="199"/>
        <v>PDFを開く</v>
      </c>
      <c r="P2056" s="8" t="s">
        <v>1760</v>
      </c>
    </row>
    <row r="2057" spans="1:16" ht="33.950000000000003" customHeight="1">
      <c r="A2057" s="5" t="s">
        <v>1761</v>
      </c>
      <c r="B2057" s="5" t="s">
        <v>1595</v>
      </c>
      <c r="C2057" s="9" t="s">
        <v>1762</v>
      </c>
      <c r="D2057" s="5">
        <v>2</v>
      </c>
      <c r="E2057" s="9" t="s">
        <v>3176</v>
      </c>
      <c r="F2057" s="5" t="s">
        <v>86</v>
      </c>
      <c r="G2057" s="5" t="s">
        <v>3177</v>
      </c>
      <c r="H2057" s="5"/>
      <c r="I2057" s="9" t="s">
        <v>3546</v>
      </c>
      <c r="J2057" s="5">
        <v>2027</v>
      </c>
      <c r="K2057" s="5">
        <v>949</v>
      </c>
      <c r="L2057" s="9" t="s">
        <v>5448</v>
      </c>
      <c r="M2057" s="5">
        <v>34.200000000000003</v>
      </c>
      <c r="N2057" s="9" t="s">
        <v>5449</v>
      </c>
      <c r="O2057" s="9" t="str">
        <f t="shared" ref="O2057:O2063" si="200">HYPERLINK("https://seichotoushi-hojo.jp/assets/pdf/koufu_3_4ji/outline_185.pdf","PDFを開く")</f>
        <v>PDFを開く</v>
      </c>
      <c r="P2057" s="9" t="s">
        <v>1768</v>
      </c>
    </row>
    <row r="2058" spans="1:16" ht="33.950000000000003" customHeight="1">
      <c r="A2058" s="2" t="s">
        <v>1761</v>
      </c>
      <c r="B2058" s="2" t="s">
        <v>1595</v>
      </c>
      <c r="C2058" s="8" t="s">
        <v>1762</v>
      </c>
      <c r="D2058" s="2">
        <v>2</v>
      </c>
      <c r="E2058" s="8" t="s">
        <v>3176</v>
      </c>
      <c r="F2058" s="2" t="s">
        <v>86</v>
      </c>
      <c r="G2058" s="2" t="s">
        <v>3177</v>
      </c>
      <c r="H2058" s="2"/>
      <c r="I2058" s="8" t="s">
        <v>3549</v>
      </c>
      <c r="J2058" s="2">
        <v>2030</v>
      </c>
      <c r="K2058" s="2">
        <v>2294</v>
      </c>
      <c r="L2058" s="8" t="s">
        <v>5450</v>
      </c>
      <c r="M2058" s="2">
        <v>34.200000000000003</v>
      </c>
      <c r="N2058" s="8" t="s">
        <v>5449</v>
      </c>
      <c r="O2058" s="8" t="str">
        <f t="shared" si="200"/>
        <v>PDFを開く</v>
      </c>
      <c r="P2058" s="8" t="s">
        <v>1768</v>
      </c>
    </row>
    <row r="2059" spans="1:16" ht="33.950000000000003" customHeight="1">
      <c r="A2059" s="5" t="s">
        <v>1761</v>
      </c>
      <c r="B2059" s="5" t="s">
        <v>1595</v>
      </c>
      <c r="C2059" s="9" t="s">
        <v>1762</v>
      </c>
      <c r="D2059" s="5">
        <v>2</v>
      </c>
      <c r="E2059" s="9" t="s">
        <v>3184</v>
      </c>
      <c r="F2059" s="5" t="s">
        <v>86</v>
      </c>
      <c r="G2059" s="5" t="s">
        <v>3177</v>
      </c>
      <c r="H2059" s="5"/>
      <c r="I2059" s="9" t="s">
        <v>3546</v>
      </c>
      <c r="J2059" s="5">
        <v>2027</v>
      </c>
      <c r="K2059" s="5">
        <v>404</v>
      </c>
      <c r="L2059" s="9" t="s">
        <v>5451</v>
      </c>
      <c r="M2059" s="5">
        <v>6</v>
      </c>
      <c r="N2059" s="9" t="s">
        <v>5452</v>
      </c>
      <c r="O2059" s="9" t="str">
        <f t="shared" si="200"/>
        <v>PDFを開く</v>
      </c>
      <c r="P2059" s="9" t="s">
        <v>1768</v>
      </c>
    </row>
    <row r="2060" spans="1:16" ht="33.950000000000003" customHeight="1">
      <c r="A2060" s="2" t="s">
        <v>1761</v>
      </c>
      <c r="B2060" s="2" t="s">
        <v>1595</v>
      </c>
      <c r="C2060" s="8" t="s">
        <v>1762</v>
      </c>
      <c r="D2060" s="2">
        <v>2</v>
      </c>
      <c r="E2060" s="8" t="s">
        <v>3184</v>
      </c>
      <c r="F2060" s="2" t="s">
        <v>86</v>
      </c>
      <c r="G2060" s="2" t="s">
        <v>3177</v>
      </c>
      <c r="H2060" s="2"/>
      <c r="I2060" s="8" t="s">
        <v>3549</v>
      </c>
      <c r="J2060" s="2">
        <v>2030</v>
      </c>
      <c r="K2060" s="2">
        <v>482</v>
      </c>
      <c r="L2060" s="8" t="s">
        <v>3275</v>
      </c>
      <c r="M2060" s="2">
        <v>6</v>
      </c>
      <c r="N2060" s="8" t="s">
        <v>5452</v>
      </c>
      <c r="O2060" s="8" t="str">
        <f t="shared" si="200"/>
        <v>PDFを開く</v>
      </c>
      <c r="P2060" s="8" t="s">
        <v>1768</v>
      </c>
    </row>
    <row r="2061" spans="1:16" ht="33.950000000000003" customHeight="1">
      <c r="A2061" s="5" t="s">
        <v>1761</v>
      </c>
      <c r="B2061" s="5" t="s">
        <v>1595</v>
      </c>
      <c r="C2061" s="9" t="s">
        <v>1762</v>
      </c>
      <c r="D2061" s="5">
        <v>2</v>
      </c>
      <c r="E2061" s="9" t="s">
        <v>3188</v>
      </c>
      <c r="F2061" s="5" t="s">
        <v>86</v>
      </c>
      <c r="G2061" s="19" t="s">
        <v>3189</v>
      </c>
      <c r="H2061" s="5"/>
      <c r="I2061" s="9"/>
      <c r="J2061" s="5"/>
      <c r="K2061" s="5"/>
      <c r="L2061" s="9"/>
      <c r="M2061" s="5"/>
      <c r="N2061" s="9" t="s">
        <v>5453</v>
      </c>
      <c r="O2061" s="9" t="str">
        <f t="shared" si="200"/>
        <v>PDFを開く</v>
      </c>
      <c r="P2061" s="9" t="s">
        <v>1768</v>
      </c>
    </row>
    <row r="2062" spans="1:16" ht="33.950000000000003" customHeight="1">
      <c r="A2062" s="2" t="s">
        <v>1761</v>
      </c>
      <c r="B2062" s="2" t="s">
        <v>1595</v>
      </c>
      <c r="C2062" s="8" t="s">
        <v>1762</v>
      </c>
      <c r="D2062" s="2">
        <v>2</v>
      </c>
      <c r="E2062" s="8" t="s">
        <v>3191</v>
      </c>
      <c r="F2062" s="2" t="s">
        <v>2513</v>
      </c>
      <c r="G2062" s="2" t="s">
        <v>3177</v>
      </c>
      <c r="H2062" s="2"/>
      <c r="I2062" s="8" t="s">
        <v>3546</v>
      </c>
      <c r="J2062" s="2">
        <v>2027</v>
      </c>
      <c r="K2062" s="2">
        <v>7</v>
      </c>
      <c r="L2062" s="8" t="s">
        <v>5086</v>
      </c>
      <c r="M2062" s="2">
        <v>56.8</v>
      </c>
      <c r="N2062" s="8" t="s">
        <v>5454</v>
      </c>
      <c r="O2062" s="8" t="str">
        <f t="shared" si="200"/>
        <v>PDFを開く</v>
      </c>
      <c r="P2062" s="8" t="s">
        <v>1768</v>
      </c>
    </row>
    <row r="2063" spans="1:16" ht="33.950000000000003" customHeight="1">
      <c r="A2063" s="5" t="s">
        <v>1761</v>
      </c>
      <c r="B2063" s="5" t="s">
        <v>1595</v>
      </c>
      <c r="C2063" s="9" t="s">
        <v>1762</v>
      </c>
      <c r="D2063" s="5">
        <v>2</v>
      </c>
      <c r="E2063" s="9" t="s">
        <v>3191</v>
      </c>
      <c r="F2063" s="5" t="s">
        <v>2513</v>
      </c>
      <c r="G2063" s="5" t="s">
        <v>3177</v>
      </c>
      <c r="H2063" s="5"/>
      <c r="I2063" s="9" t="s">
        <v>3549</v>
      </c>
      <c r="J2063" s="5">
        <v>2030</v>
      </c>
      <c r="K2063" s="5">
        <v>27</v>
      </c>
      <c r="L2063" s="9" t="s">
        <v>4318</v>
      </c>
      <c r="M2063" s="5">
        <v>56.8</v>
      </c>
      <c r="N2063" s="9" t="s">
        <v>5454</v>
      </c>
      <c r="O2063" s="9" t="str">
        <f t="shared" si="200"/>
        <v>PDFを開く</v>
      </c>
      <c r="P2063" s="9" t="s">
        <v>1768</v>
      </c>
    </row>
    <row r="2064" spans="1:16" ht="33.950000000000003" customHeight="1">
      <c r="A2064" s="2" t="s">
        <v>1769</v>
      </c>
      <c r="B2064" s="2" t="s">
        <v>1595</v>
      </c>
      <c r="C2064" s="8" t="s">
        <v>1770</v>
      </c>
      <c r="D2064" s="2">
        <v>2</v>
      </c>
      <c r="E2064" s="8" t="s">
        <v>3176</v>
      </c>
      <c r="F2064" s="2" t="s">
        <v>86</v>
      </c>
      <c r="G2064" s="2" t="s">
        <v>3177</v>
      </c>
      <c r="H2064" s="2" t="s">
        <v>3178</v>
      </c>
      <c r="I2064" s="8" t="s">
        <v>3259</v>
      </c>
      <c r="J2064" s="2">
        <v>2027</v>
      </c>
      <c r="K2064" s="2">
        <v>7685</v>
      </c>
      <c r="L2064" s="8" t="s">
        <v>5455</v>
      </c>
      <c r="M2064" s="2">
        <v>48</v>
      </c>
      <c r="N2064" s="8" t="s">
        <v>5456</v>
      </c>
      <c r="O2064" s="8" t="str">
        <f t="shared" ref="O2064:O2072" si="201">HYPERLINK("https://seichotoushi-hojo.jp/assets/pdf/koufu_3_4ji/outline_186.pdf","PDFを開く")</f>
        <v>PDFを開く</v>
      </c>
      <c r="P2064" s="8" t="s">
        <v>1775</v>
      </c>
    </row>
    <row r="2065" spans="1:16" ht="33.950000000000003" customHeight="1">
      <c r="A2065" s="5" t="s">
        <v>1769</v>
      </c>
      <c r="B2065" s="5" t="s">
        <v>1595</v>
      </c>
      <c r="C2065" s="9" t="s">
        <v>1770</v>
      </c>
      <c r="D2065" s="5">
        <v>2</v>
      </c>
      <c r="E2065" s="9" t="s">
        <v>3176</v>
      </c>
      <c r="F2065" s="5" t="s">
        <v>86</v>
      </c>
      <c r="G2065" s="5" t="s">
        <v>3177</v>
      </c>
      <c r="H2065" s="5" t="s">
        <v>3178</v>
      </c>
      <c r="I2065" s="9" t="s">
        <v>3262</v>
      </c>
      <c r="J2065" s="5">
        <v>2030</v>
      </c>
      <c r="K2065" s="5">
        <v>24892</v>
      </c>
      <c r="L2065" s="9" t="s">
        <v>5457</v>
      </c>
      <c r="M2065" s="5">
        <v>48</v>
      </c>
      <c r="N2065" s="9" t="s">
        <v>5456</v>
      </c>
      <c r="O2065" s="9" t="str">
        <f t="shared" si="201"/>
        <v>PDFを開く</v>
      </c>
      <c r="P2065" s="9" t="s">
        <v>1775</v>
      </c>
    </row>
    <row r="2066" spans="1:16" ht="33.950000000000003" customHeight="1">
      <c r="A2066" s="2" t="s">
        <v>1769</v>
      </c>
      <c r="B2066" s="2" t="s">
        <v>1595</v>
      </c>
      <c r="C2066" s="8" t="s">
        <v>1770</v>
      </c>
      <c r="D2066" s="2">
        <v>2</v>
      </c>
      <c r="E2066" s="8" t="s">
        <v>3184</v>
      </c>
      <c r="F2066" s="2" t="s">
        <v>86</v>
      </c>
      <c r="G2066" s="2" t="s">
        <v>3177</v>
      </c>
      <c r="H2066" s="2" t="s">
        <v>3178</v>
      </c>
      <c r="I2066" s="8" t="s">
        <v>3259</v>
      </c>
      <c r="J2066" s="2">
        <v>2027</v>
      </c>
      <c r="K2066" s="2">
        <v>842</v>
      </c>
      <c r="L2066" s="8" t="s">
        <v>5458</v>
      </c>
      <c r="M2066" s="2">
        <v>7.8</v>
      </c>
      <c r="N2066" s="8" t="s">
        <v>5459</v>
      </c>
      <c r="O2066" s="8" t="str">
        <f t="shared" si="201"/>
        <v>PDFを開く</v>
      </c>
      <c r="P2066" s="8" t="s">
        <v>1775</v>
      </c>
    </row>
    <row r="2067" spans="1:16" ht="33.950000000000003" customHeight="1">
      <c r="A2067" s="5" t="s">
        <v>1769</v>
      </c>
      <c r="B2067" s="5" t="s">
        <v>1595</v>
      </c>
      <c r="C2067" s="9" t="s">
        <v>1770</v>
      </c>
      <c r="D2067" s="5">
        <v>2</v>
      </c>
      <c r="E2067" s="9" t="s">
        <v>3184</v>
      </c>
      <c r="F2067" s="5" t="s">
        <v>86</v>
      </c>
      <c r="G2067" s="5" t="s">
        <v>3177</v>
      </c>
      <c r="H2067" s="5" t="s">
        <v>3178</v>
      </c>
      <c r="I2067" s="9" t="s">
        <v>3262</v>
      </c>
      <c r="J2067" s="5">
        <v>2030</v>
      </c>
      <c r="K2067" s="5">
        <v>1054</v>
      </c>
      <c r="L2067" s="9" t="s">
        <v>5460</v>
      </c>
      <c r="M2067" s="5">
        <v>7.8</v>
      </c>
      <c r="N2067" s="9" t="s">
        <v>5459</v>
      </c>
      <c r="O2067" s="9" t="str">
        <f t="shared" si="201"/>
        <v>PDFを開く</v>
      </c>
      <c r="P2067" s="9" t="s">
        <v>1775</v>
      </c>
    </row>
    <row r="2068" spans="1:16" ht="33.950000000000003" customHeight="1">
      <c r="A2068" s="2" t="s">
        <v>1769</v>
      </c>
      <c r="B2068" s="2" t="s">
        <v>1595</v>
      </c>
      <c r="C2068" s="8" t="s">
        <v>1770</v>
      </c>
      <c r="D2068" s="2">
        <v>2</v>
      </c>
      <c r="E2068" s="8" t="s">
        <v>3188</v>
      </c>
      <c r="F2068" s="2" t="s">
        <v>86</v>
      </c>
      <c r="G2068" s="19" t="s">
        <v>3189</v>
      </c>
      <c r="H2068" s="2" t="s">
        <v>3178</v>
      </c>
      <c r="I2068" s="8"/>
      <c r="J2068" s="2"/>
      <c r="K2068" s="2"/>
      <c r="L2068" s="8"/>
      <c r="M2068" s="2">
        <v>5</v>
      </c>
      <c r="N2068" s="8" t="s">
        <v>3377</v>
      </c>
      <c r="O2068" s="8" t="str">
        <f t="shared" si="201"/>
        <v>PDFを開く</v>
      </c>
      <c r="P2068" s="8" t="s">
        <v>1775</v>
      </c>
    </row>
    <row r="2069" spans="1:16" ht="33.950000000000003" customHeight="1">
      <c r="A2069" s="5" t="s">
        <v>1769</v>
      </c>
      <c r="B2069" s="5" t="s">
        <v>1595</v>
      </c>
      <c r="C2069" s="9" t="s">
        <v>1770</v>
      </c>
      <c r="D2069" s="5">
        <v>2</v>
      </c>
      <c r="E2069" s="9" t="s">
        <v>3191</v>
      </c>
      <c r="F2069" s="5" t="s">
        <v>2513</v>
      </c>
      <c r="G2069" s="5" t="s">
        <v>3177</v>
      </c>
      <c r="H2069" s="5" t="s">
        <v>3178</v>
      </c>
      <c r="I2069" s="9" t="s">
        <v>3259</v>
      </c>
      <c r="J2069" s="5">
        <v>2027</v>
      </c>
      <c r="K2069" s="5">
        <v>38</v>
      </c>
      <c r="L2069" s="9" t="s">
        <v>3465</v>
      </c>
      <c r="M2069" s="5"/>
      <c r="N2069" s="9" t="s">
        <v>5461</v>
      </c>
      <c r="O2069" s="9" t="str">
        <f t="shared" si="201"/>
        <v>PDFを開く</v>
      </c>
      <c r="P2069" s="9" t="s">
        <v>1775</v>
      </c>
    </row>
    <row r="2070" spans="1:16" ht="33.950000000000003" customHeight="1">
      <c r="A2070" s="2" t="s">
        <v>1769</v>
      </c>
      <c r="B2070" s="2" t="s">
        <v>1595</v>
      </c>
      <c r="C2070" s="8" t="s">
        <v>1770</v>
      </c>
      <c r="D2070" s="2">
        <v>2</v>
      </c>
      <c r="E2070" s="8" t="s">
        <v>3191</v>
      </c>
      <c r="F2070" s="2" t="s">
        <v>2513</v>
      </c>
      <c r="G2070" s="2" t="s">
        <v>3177</v>
      </c>
      <c r="H2070" s="2" t="s">
        <v>3178</v>
      </c>
      <c r="I2070" s="8" t="s">
        <v>3262</v>
      </c>
      <c r="J2070" s="2">
        <v>2030</v>
      </c>
      <c r="K2070" s="2">
        <v>66</v>
      </c>
      <c r="L2070" s="8" t="s">
        <v>5462</v>
      </c>
      <c r="M2070" s="2"/>
      <c r="N2070" s="8" t="s">
        <v>5461</v>
      </c>
      <c r="O2070" s="8" t="str">
        <f t="shared" si="201"/>
        <v>PDFを開く</v>
      </c>
      <c r="P2070" s="8" t="s">
        <v>1775</v>
      </c>
    </row>
    <row r="2071" spans="1:16" ht="33.950000000000003" customHeight="1">
      <c r="A2071" s="5" t="s">
        <v>1769</v>
      </c>
      <c r="B2071" s="5" t="s">
        <v>1595</v>
      </c>
      <c r="C2071" s="9" t="s">
        <v>1770</v>
      </c>
      <c r="D2071" s="5">
        <v>2</v>
      </c>
      <c r="E2071" s="9" t="s">
        <v>3188</v>
      </c>
      <c r="F2071" s="5" t="s">
        <v>86</v>
      </c>
      <c r="G2071" s="5" t="s">
        <v>3177</v>
      </c>
      <c r="H2071" s="5"/>
      <c r="I2071" s="9" t="s">
        <v>5463</v>
      </c>
      <c r="J2071" s="5">
        <v>2027</v>
      </c>
      <c r="K2071" s="5"/>
      <c r="L2071" s="9" t="s">
        <v>3211</v>
      </c>
      <c r="M2071" s="5">
        <v>5</v>
      </c>
      <c r="N2071" s="9" t="s">
        <v>3382</v>
      </c>
      <c r="O2071" s="9" t="str">
        <f t="shared" si="201"/>
        <v>PDFを開く</v>
      </c>
      <c r="P2071" s="9" t="s">
        <v>1775</v>
      </c>
    </row>
    <row r="2072" spans="1:16" ht="33.950000000000003" customHeight="1">
      <c r="A2072" s="2" t="s">
        <v>1769</v>
      </c>
      <c r="B2072" s="2" t="s">
        <v>1595</v>
      </c>
      <c r="C2072" s="8" t="s">
        <v>1770</v>
      </c>
      <c r="D2072" s="2">
        <v>2</v>
      </c>
      <c r="E2072" s="8" t="s">
        <v>3188</v>
      </c>
      <c r="F2072" s="2" t="s">
        <v>86</v>
      </c>
      <c r="G2072" s="2" t="s">
        <v>3177</v>
      </c>
      <c r="H2072" s="2"/>
      <c r="I2072" s="8" t="s">
        <v>5464</v>
      </c>
      <c r="J2072" s="2">
        <v>2030</v>
      </c>
      <c r="K2072" s="2"/>
      <c r="L2072" s="8" t="s">
        <v>3384</v>
      </c>
      <c r="M2072" s="2">
        <v>5</v>
      </c>
      <c r="N2072" s="8" t="s">
        <v>3382</v>
      </c>
      <c r="O2072" s="8" t="str">
        <f t="shared" si="201"/>
        <v>PDFを開く</v>
      </c>
      <c r="P2072" s="8" t="s">
        <v>1775</v>
      </c>
    </row>
    <row r="2073" spans="1:16" ht="33.950000000000003" customHeight="1">
      <c r="A2073" s="5" t="s">
        <v>1776</v>
      </c>
      <c r="B2073" s="5" t="s">
        <v>1595</v>
      </c>
      <c r="C2073" s="9" t="s">
        <v>1777</v>
      </c>
      <c r="D2073" s="5">
        <v>2</v>
      </c>
      <c r="E2073" s="9" t="s">
        <v>3176</v>
      </c>
      <c r="F2073" s="5" t="s">
        <v>86</v>
      </c>
      <c r="G2073" s="5" t="s">
        <v>3177</v>
      </c>
      <c r="H2073" s="5" t="s">
        <v>3178</v>
      </c>
      <c r="I2073" s="9" t="s">
        <v>3259</v>
      </c>
      <c r="J2073" s="5">
        <v>2027</v>
      </c>
      <c r="K2073" s="5">
        <v>3220</v>
      </c>
      <c r="L2073" s="9" t="s">
        <v>5465</v>
      </c>
      <c r="M2073" s="5">
        <v>66.5</v>
      </c>
      <c r="N2073" s="9" t="s">
        <v>5466</v>
      </c>
      <c r="O2073" s="9" t="str">
        <f t="shared" ref="O2073:O2081" si="202">HYPERLINK("https://seichotoushi-hojo.jp/assets/pdf/koufu_3_4ji/outline_188.pdf","PDFを開く")</f>
        <v>PDFを開く</v>
      </c>
      <c r="P2073" s="9" t="s">
        <v>1783</v>
      </c>
    </row>
    <row r="2074" spans="1:16" ht="33.950000000000003" customHeight="1">
      <c r="A2074" s="2" t="s">
        <v>1776</v>
      </c>
      <c r="B2074" s="2" t="s">
        <v>1595</v>
      </c>
      <c r="C2074" s="8" t="s">
        <v>1777</v>
      </c>
      <c r="D2074" s="2">
        <v>2</v>
      </c>
      <c r="E2074" s="8" t="s">
        <v>3176</v>
      </c>
      <c r="F2074" s="2" t="s">
        <v>86</v>
      </c>
      <c r="G2074" s="2" t="s">
        <v>3177</v>
      </c>
      <c r="H2074" s="2" t="s">
        <v>3178</v>
      </c>
      <c r="I2074" s="8" t="s">
        <v>3262</v>
      </c>
      <c r="J2074" s="2">
        <v>2030</v>
      </c>
      <c r="K2074" s="2">
        <v>14857</v>
      </c>
      <c r="L2074" s="8" t="s">
        <v>5467</v>
      </c>
      <c r="M2074" s="2">
        <v>66.5</v>
      </c>
      <c r="N2074" s="8" t="s">
        <v>5466</v>
      </c>
      <c r="O2074" s="8" t="str">
        <f t="shared" si="202"/>
        <v>PDFを開く</v>
      </c>
      <c r="P2074" s="8" t="s">
        <v>1783</v>
      </c>
    </row>
    <row r="2075" spans="1:16" ht="33.950000000000003" customHeight="1">
      <c r="A2075" s="5" t="s">
        <v>1776</v>
      </c>
      <c r="B2075" s="5" t="s">
        <v>1595</v>
      </c>
      <c r="C2075" s="9" t="s">
        <v>1777</v>
      </c>
      <c r="D2075" s="5">
        <v>2</v>
      </c>
      <c r="E2075" s="9" t="s">
        <v>3184</v>
      </c>
      <c r="F2075" s="5" t="s">
        <v>86</v>
      </c>
      <c r="G2075" s="5" t="s">
        <v>3177</v>
      </c>
      <c r="H2075" s="5" t="s">
        <v>3178</v>
      </c>
      <c r="I2075" s="9" t="s">
        <v>3259</v>
      </c>
      <c r="J2075" s="5">
        <v>2027</v>
      </c>
      <c r="K2075" s="5">
        <v>764</v>
      </c>
      <c r="L2075" s="9" t="s">
        <v>4656</v>
      </c>
      <c r="M2075" s="5">
        <v>10</v>
      </c>
      <c r="N2075" s="9" t="s">
        <v>5468</v>
      </c>
      <c r="O2075" s="9" t="str">
        <f t="shared" si="202"/>
        <v>PDFを開く</v>
      </c>
      <c r="P2075" s="9" t="s">
        <v>1783</v>
      </c>
    </row>
    <row r="2076" spans="1:16" ht="33.950000000000003" customHeight="1">
      <c r="A2076" s="2" t="s">
        <v>1776</v>
      </c>
      <c r="B2076" s="2" t="s">
        <v>1595</v>
      </c>
      <c r="C2076" s="8" t="s">
        <v>1777</v>
      </c>
      <c r="D2076" s="2">
        <v>2</v>
      </c>
      <c r="E2076" s="8" t="s">
        <v>3184</v>
      </c>
      <c r="F2076" s="2" t="s">
        <v>86</v>
      </c>
      <c r="G2076" s="2" t="s">
        <v>3177</v>
      </c>
      <c r="H2076" s="2" t="s">
        <v>3178</v>
      </c>
      <c r="I2076" s="8" t="s">
        <v>3262</v>
      </c>
      <c r="J2076" s="2">
        <v>2030</v>
      </c>
      <c r="K2076" s="2">
        <v>1017</v>
      </c>
      <c r="L2076" s="8" t="s">
        <v>4925</v>
      </c>
      <c r="M2076" s="2">
        <v>10</v>
      </c>
      <c r="N2076" s="8" t="s">
        <v>5468</v>
      </c>
      <c r="O2076" s="8" t="str">
        <f t="shared" si="202"/>
        <v>PDFを開く</v>
      </c>
      <c r="P2076" s="8" t="s">
        <v>1783</v>
      </c>
    </row>
    <row r="2077" spans="1:16" ht="33.950000000000003" customHeight="1">
      <c r="A2077" s="5" t="s">
        <v>1776</v>
      </c>
      <c r="B2077" s="5" t="s">
        <v>1595</v>
      </c>
      <c r="C2077" s="9" t="s">
        <v>1777</v>
      </c>
      <c r="D2077" s="5">
        <v>2</v>
      </c>
      <c r="E2077" s="9" t="s">
        <v>3188</v>
      </c>
      <c r="F2077" s="5" t="s">
        <v>86</v>
      </c>
      <c r="G2077" s="19" t="s">
        <v>3189</v>
      </c>
      <c r="H2077" s="5" t="s">
        <v>3178</v>
      </c>
      <c r="I2077" s="9"/>
      <c r="J2077" s="5"/>
      <c r="K2077" s="5"/>
      <c r="L2077" s="9"/>
      <c r="M2077" s="5">
        <v>5</v>
      </c>
      <c r="N2077" s="9" t="s">
        <v>3377</v>
      </c>
      <c r="O2077" s="9" t="str">
        <f t="shared" si="202"/>
        <v>PDFを開く</v>
      </c>
      <c r="P2077" s="9" t="s">
        <v>1783</v>
      </c>
    </row>
    <row r="2078" spans="1:16" ht="33.950000000000003" customHeight="1">
      <c r="A2078" s="2" t="s">
        <v>1776</v>
      </c>
      <c r="B2078" s="2" t="s">
        <v>1595</v>
      </c>
      <c r="C2078" s="8" t="s">
        <v>1777</v>
      </c>
      <c r="D2078" s="2">
        <v>2</v>
      </c>
      <c r="E2078" s="8" t="s">
        <v>3191</v>
      </c>
      <c r="F2078" s="2" t="s">
        <v>2513</v>
      </c>
      <c r="G2078" s="2" t="s">
        <v>3177</v>
      </c>
      <c r="H2078" s="2" t="s">
        <v>3178</v>
      </c>
      <c r="I2078" s="8" t="s">
        <v>3259</v>
      </c>
      <c r="J2078" s="2">
        <v>2027</v>
      </c>
      <c r="K2078" s="2">
        <v>47</v>
      </c>
      <c r="L2078" s="8" t="s">
        <v>3707</v>
      </c>
      <c r="M2078" s="2"/>
      <c r="N2078" s="8" t="s">
        <v>5469</v>
      </c>
      <c r="O2078" s="8" t="str">
        <f t="shared" si="202"/>
        <v>PDFを開く</v>
      </c>
      <c r="P2078" s="8" t="s">
        <v>1783</v>
      </c>
    </row>
    <row r="2079" spans="1:16" ht="33.950000000000003" customHeight="1">
      <c r="A2079" s="5" t="s">
        <v>1776</v>
      </c>
      <c r="B2079" s="5" t="s">
        <v>1595</v>
      </c>
      <c r="C2079" s="9" t="s">
        <v>1777</v>
      </c>
      <c r="D2079" s="5">
        <v>2</v>
      </c>
      <c r="E2079" s="9" t="s">
        <v>3191</v>
      </c>
      <c r="F2079" s="5" t="s">
        <v>2513</v>
      </c>
      <c r="G2079" s="5" t="s">
        <v>3177</v>
      </c>
      <c r="H2079" s="5" t="s">
        <v>3178</v>
      </c>
      <c r="I2079" s="9" t="s">
        <v>3262</v>
      </c>
      <c r="J2079" s="5">
        <v>2030</v>
      </c>
      <c r="K2079" s="5">
        <v>60</v>
      </c>
      <c r="L2079" s="9" t="s">
        <v>3406</v>
      </c>
      <c r="M2079" s="5"/>
      <c r="N2079" s="9" t="s">
        <v>5469</v>
      </c>
      <c r="O2079" s="9" t="str">
        <f t="shared" si="202"/>
        <v>PDFを開く</v>
      </c>
      <c r="P2079" s="9" t="s">
        <v>1783</v>
      </c>
    </row>
    <row r="2080" spans="1:16" ht="33.950000000000003" customHeight="1">
      <c r="A2080" s="2" t="s">
        <v>1776</v>
      </c>
      <c r="B2080" s="2" t="s">
        <v>1595</v>
      </c>
      <c r="C2080" s="8" t="s">
        <v>1777</v>
      </c>
      <c r="D2080" s="2">
        <v>2</v>
      </c>
      <c r="E2080" s="8" t="s">
        <v>3188</v>
      </c>
      <c r="F2080" s="2" t="s">
        <v>86</v>
      </c>
      <c r="G2080" s="2" t="s">
        <v>3177</v>
      </c>
      <c r="H2080" s="2"/>
      <c r="I2080" s="8" t="s">
        <v>5470</v>
      </c>
      <c r="J2080" s="2">
        <v>2027</v>
      </c>
      <c r="K2080" s="2"/>
      <c r="L2080" s="8" t="s">
        <v>3211</v>
      </c>
      <c r="M2080" s="2">
        <v>5</v>
      </c>
      <c r="N2080" s="8" t="s">
        <v>3382</v>
      </c>
      <c r="O2080" s="8" t="str">
        <f t="shared" si="202"/>
        <v>PDFを開く</v>
      </c>
      <c r="P2080" s="8" t="s">
        <v>1783</v>
      </c>
    </row>
    <row r="2081" spans="1:16" ht="33.950000000000003" customHeight="1">
      <c r="A2081" s="5" t="s">
        <v>1776</v>
      </c>
      <c r="B2081" s="5" t="s">
        <v>1595</v>
      </c>
      <c r="C2081" s="9" t="s">
        <v>1777</v>
      </c>
      <c r="D2081" s="5">
        <v>2</v>
      </c>
      <c r="E2081" s="9" t="s">
        <v>3188</v>
      </c>
      <c r="F2081" s="5" t="s">
        <v>86</v>
      </c>
      <c r="G2081" s="5" t="s">
        <v>3177</v>
      </c>
      <c r="H2081" s="5"/>
      <c r="I2081" s="9" t="s">
        <v>5471</v>
      </c>
      <c r="J2081" s="5">
        <v>2030</v>
      </c>
      <c r="K2081" s="5"/>
      <c r="L2081" s="9" t="s">
        <v>3384</v>
      </c>
      <c r="M2081" s="5">
        <v>5</v>
      </c>
      <c r="N2081" s="9" t="s">
        <v>3382</v>
      </c>
      <c r="O2081" s="9" t="str">
        <f t="shared" si="202"/>
        <v>PDFを開く</v>
      </c>
      <c r="P2081" s="9" t="s">
        <v>1783</v>
      </c>
    </row>
    <row r="2082" spans="1:16" ht="33.950000000000003" customHeight="1">
      <c r="A2082" s="2" t="s">
        <v>1784</v>
      </c>
      <c r="B2082" s="2" t="s">
        <v>1595</v>
      </c>
      <c r="C2082" s="8" t="s">
        <v>1785</v>
      </c>
      <c r="D2082" s="2">
        <v>2</v>
      </c>
      <c r="E2082" s="8" t="s">
        <v>3176</v>
      </c>
      <c r="F2082" s="2" t="s">
        <v>86</v>
      </c>
      <c r="G2082" s="2" t="s">
        <v>3177</v>
      </c>
      <c r="H2082" s="2" t="s">
        <v>3178</v>
      </c>
      <c r="I2082" s="8" t="s">
        <v>3686</v>
      </c>
      <c r="J2082" s="2">
        <v>2027</v>
      </c>
      <c r="K2082" s="2">
        <v>3668664</v>
      </c>
      <c r="L2082" s="8" t="s">
        <v>5472</v>
      </c>
      <c r="M2082" s="2">
        <v>21.2</v>
      </c>
      <c r="N2082" s="8" t="s">
        <v>5473</v>
      </c>
      <c r="O2082" s="8" t="str">
        <f t="shared" ref="O2082:O2096" si="203">HYPERLINK("https://seichotoushi-hojo.jp/assets/pdf/koufu_3_4ji/outline_19.pdf","PDFを開く")</f>
        <v>PDFを開く</v>
      </c>
      <c r="P2082" s="8" t="s">
        <v>1790</v>
      </c>
    </row>
    <row r="2083" spans="1:16" ht="33.950000000000003" customHeight="1">
      <c r="A2083" s="5" t="s">
        <v>1784</v>
      </c>
      <c r="B2083" s="5" t="s">
        <v>1595</v>
      </c>
      <c r="C2083" s="9" t="s">
        <v>1785</v>
      </c>
      <c r="D2083" s="5">
        <v>2</v>
      </c>
      <c r="E2083" s="9" t="s">
        <v>3176</v>
      </c>
      <c r="F2083" s="5" t="s">
        <v>86</v>
      </c>
      <c r="G2083" s="5" t="s">
        <v>3177</v>
      </c>
      <c r="H2083" s="5" t="s">
        <v>3178</v>
      </c>
      <c r="I2083" s="9" t="s">
        <v>5474</v>
      </c>
      <c r="J2083" s="5">
        <v>2030</v>
      </c>
      <c r="K2083" s="5">
        <v>6529</v>
      </c>
      <c r="L2083" s="9" t="s">
        <v>5475</v>
      </c>
      <c r="M2083" s="5">
        <v>21.2</v>
      </c>
      <c r="N2083" s="9" t="s">
        <v>5473</v>
      </c>
      <c r="O2083" s="9" t="str">
        <f t="shared" si="203"/>
        <v>PDFを開く</v>
      </c>
      <c r="P2083" s="9" t="s">
        <v>1790</v>
      </c>
    </row>
    <row r="2084" spans="1:16" ht="33.950000000000003" customHeight="1">
      <c r="A2084" s="2" t="s">
        <v>1784</v>
      </c>
      <c r="B2084" s="2" t="s">
        <v>1595</v>
      </c>
      <c r="C2084" s="8" t="s">
        <v>1785</v>
      </c>
      <c r="D2084" s="2">
        <v>2</v>
      </c>
      <c r="E2084" s="8" t="s">
        <v>3184</v>
      </c>
      <c r="F2084" s="2" t="s">
        <v>86</v>
      </c>
      <c r="G2084" s="2" t="s">
        <v>3177</v>
      </c>
      <c r="H2084" s="2" t="s">
        <v>3178</v>
      </c>
      <c r="I2084" s="8" t="s">
        <v>3686</v>
      </c>
      <c r="J2084" s="2">
        <v>2027</v>
      </c>
      <c r="K2084" s="2">
        <v>599456</v>
      </c>
      <c r="L2084" s="8" t="s">
        <v>5476</v>
      </c>
      <c r="M2084" s="2">
        <v>6.3</v>
      </c>
      <c r="N2084" s="8" t="s">
        <v>5477</v>
      </c>
      <c r="O2084" s="8" t="str">
        <f t="shared" si="203"/>
        <v>PDFを開く</v>
      </c>
      <c r="P2084" s="8" t="s">
        <v>1790</v>
      </c>
    </row>
    <row r="2085" spans="1:16" ht="33.950000000000003" customHeight="1">
      <c r="A2085" s="5" t="s">
        <v>1784</v>
      </c>
      <c r="B2085" s="5" t="s">
        <v>1595</v>
      </c>
      <c r="C2085" s="9" t="s">
        <v>1785</v>
      </c>
      <c r="D2085" s="5">
        <v>2</v>
      </c>
      <c r="E2085" s="9" t="s">
        <v>3184</v>
      </c>
      <c r="F2085" s="5" t="s">
        <v>86</v>
      </c>
      <c r="G2085" s="5" t="s">
        <v>3177</v>
      </c>
      <c r="H2085" s="5" t="s">
        <v>3178</v>
      </c>
      <c r="I2085" s="9" t="s">
        <v>5474</v>
      </c>
      <c r="J2085" s="5">
        <v>2030</v>
      </c>
      <c r="K2085" s="5">
        <v>719</v>
      </c>
      <c r="L2085" s="9" t="s">
        <v>5478</v>
      </c>
      <c r="M2085" s="5">
        <v>6.3</v>
      </c>
      <c r="N2085" s="9" t="s">
        <v>5477</v>
      </c>
      <c r="O2085" s="9" t="str">
        <f t="shared" si="203"/>
        <v>PDFを開く</v>
      </c>
      <c r="P2085" s="9" t="s">
        <v>1790</v>
      </c>
    </row>
    <row r="2086" spans="1:16" ht="33.950000000000003" customHeight="1">
      <c r="A2086" s="2" t="s">
        <v>1784</v>
      </c>
      <c r="B2086" s="2" t="s">
        <v>1595</v>
      </c>
      <c r="C2086" s="8" t="s">
        <v>1785</v>
      </c>
      <c r="D2086" s="2">
        <v>2</v>
      </c>
      <c r="E2086" s="8" t="s">
        <v>3188</v>
      </c>
      <c r="F2086" s="2" t="s">
        <v>86</v>
      </c>
      <c r="G2086" s="19" t="s">
        <v>3189</v>
      </c>
      <c r="H2086" s="2"/>
      <c r="I2086" s="8"/>
      <c r="J2086" s="2"/>
      <c r="K2086" s="2"/>
      <c r="L2086" s="8"/>
      <c r="M2086" s="2"/>
      <c r="N2086" s="8" t="s">
        <v>5479</v>
      </c>
      <c r="O2086" s="8" t="str">
        <f t="shared" si="203"/>
        <v>PDFを開く</v>
      </c>
      <c r="P2086" s="8" t="s">
        <v>1790</v>
      </c>
    </row>
    <row r="2087" spans="1:16" ht="33.950000000000003" customHeight="1">
      <c r="A2087" s="5" t="s">
        <v>1784</v>
      </c>
      <c r="B2087" s="5" t="s">
        <v>1595</v>
      </c>
      <c r="C2087" s="9" t="s">
        <v>1785</v>
      </c>
      <c r="D2087" s="5">
        <v>2</v>
      </c>
      <c r="E2087" s="9" t="s">
        <v>3191</v>
      </c>
      <c r="F2087" s="5" t="s">
        <v>2513</v>
      </c>
      <c r="G2087" s="5" t="s">
        <v>3177</v>
      </c>
      <c r="H2087" s="5" t="s">
        <v>3178</v>
      </c>
      <c r="I2087" s="9" t="s">
        <v>3686</v>
      </c>
      <c r="J2087" s="5">
        <v>2027</v>
      </c>
      <c r="K2087" s="5">
        <v>9895</v>
      </c>
      <c r="L2087" s="9" t="s">
        <v>5480</v>
      </c>
      <c r="M2087" s="5">
        <v>1</v>
      </c>
      <c r="N2087" s="9" t="s">
        <v>5481</v>
      </c>
      <c r="O2087" s="9" t="str">
        <f t="shared" si="203"/>
        <v>PDFを開く</v>
      </c>
      <c r="P2087" s="9" t="s">
        <v>1790</v>
      </c>
    </row>
    <row r="2088" spans="1:16" ht="33.950000000000003" customHeight="1">
      <c r="A2088" s="2" t="s">
        <v>1784</v>
      </c>
      <c r="B2088" s="2" t="s">
        <v>1595</v>
      </c>
      <c r="C2088" s="8" t="s">
        <v>1785</v>
      </c>
      <c r="D2088" s="2">
        <v>2</v>
      </c>
      <c r="E2088" s="8" t="s">
        <v>3191</v>
      </c>
      <c r="F2088" s="2" t="s">
        <v>2513</v>
      </c>
      <c r="G2088" s="2" t="s">
        <v>3177</v>
      </c>
      <c r="H2088" s="2" t="s">
        <v>3178</v>
      </c>
      <c r="I2088" s="8" t="s">
        <v>5474</v>
      </c>
      <c r="J2088" s="2">
        <v>2030</v>
      </c>
      <c r="K2088" s="2">
        <v>101</v>
      </c>
      <c r="L2088" s="8" t="s">
        <v>4307</v>
      </c>
      <c r="M2088" s="2">
        <v>1</v>
      </c>
      <c r="N2088" s="8" t="s">
        <v>5481</v>
      </c>
      <c r="O2088" s="8" t="str">
        <f t="shared" si="203"/>
        <v>PDFを開く</v>
      </c>
      <c r="P2088" s="8" t="s">
        <v>1790</v>
      </c>
    </row>
    <row r="2089" spans="1:16" ht="33.950000000000003" customHeight="1">
      <c r="A2089" s="5" t="s">
        <v>1784</v>
      </c>
      <c r="B2089" s="5" t="s">
        <v>1595</v>
      </c>
      <c r="C2089" s="9" t="s">
        <v>1785</v>
      </c>
      <c r="D2089" s="5">
        <v>2</v>
      </c>
      <c r="E2089" s="9" t="s">
        <v>3176</v>
      </c>
      <c r="F2089" s="5" t="s">
        <v>86</v>
      </c>
      <c r="G2089" s="5" t="s">
        <v>3177</v>
      </c>
      <c r="H2089" s="5"/>
      <c r="I2089" s="9" t="s">
        <v>3686</v>
      </c>
      <c r="J2089" s="5">
        <v>2027</v>
      </c>
      <c r="K2089" s="5">
        <v>3668</v>
      </c>
      <c r="L2089" s="9" t="s">
        <v>5482</v>
      </c>
      <c r="M2089" s="5">
        <v>21.2</v>
      </c>
      <c r="N2089" s="9" t="s">
        <v>5483</v>
      </c>
      <c r="O2089" s="9" t="str">
        <f t="shared" si="203"/>
        <v>PDFを開く</v>
      </c>
      <c r="P2089" s="9" t="s">
        <v>1790</v>
      </c>
    </row>
    <row r="2090" spans="1:16" ht="33.950000000000003" customHeight="1">
      <c r="A2090" s="2" t="s">
        <v>1784</v>
      </c>
      <c r="B2090" s="2" t="s">
        <v>1595</v>
      </c>
      <c r="C2090" s="8" t="s">
        <v>1785</v>
      </c>
      <c r="D2090" s="2">
        <v>2</v>
      </c>
      <c r="E2090" s="8" t="s">
        <v>3176</v>
      </c>
      <c r="F2090" s="2" t="s">
        <v>86</v>
      </c>
      <c r="G2090" s="2" t="s">
        <v>3177</v>
      </c>
      <c r="H2090" s="2"/>
      <c r="I2090" s="8" t="s">
        <v>3688</v>
      </c>
      <c r="J2090" s="2">
        <v>2030</v>
      </c>
      <c r="K2090" s="2">
        <v>6529</v>
      </c>
      <c r="L2090" s="8" t="s">
        <v>5484</v>
      </c>
      <c r="M2090" s="2">
        <v>21.2</v>
      </c>
      <c r="N2090" s="8" t="s">
        <v>5483</v>
      </c>
      <c r="O2090" s="8" t="str">
        <f t="shared" si="203"/>
        <v>PDFを開く</v>
      </c>
      <c r="P2090" s="8" t="s">
        <v>1790</v>
      </c>
    </row>
    <row r="2091" spans="1:16" ht="33.950000000000003" customHeight="1">
      <c r="A2091" s="5" t="s">
        <v>1784</v>
      </c>
      <c r="B2091" s="5" t="s">
        <v>1595</v>
      </c>
      <c r="C2091" s="9" t="s">
        <v>1785</v>
      </c>
      <c r="D2091" s="5">
        <v>2</v>
      </c>
      <c r="E2091" s="9" t="s">
        <v>3184</v>
      </c>
      <c r="F2091" s="5" t="s">
        <v>86</v>
      </c>
      <c r="G2091" s="5" t="s">
        <v>3177</v>
      </c>
      <c r="H2091" s="5"/>
      <c r="I2091" s="9" t="s">
        <v>3686</v>
      </c>
      <c r="J2091" s="5">
        <v>2027</v>
      </c>
      <c r="K2091" s="5">
        <v>599</v>
      </c>
      <c r="L2091" s="9" t="s">
        <v>5330</v>
      </c>
      <c r="M2091" s="5">
        <v>6.3</v>
      </c>
      <c r="N2091" s="9" t="s">
        <v>5485</v>
      </c>
      <c r="O2091" s="9" t="str">
        <f t="shared" si="203"/>
        <v>PDFを開く</v>
      </c>
      <c r="P2091" s="9" t="s">
        <v>1790</v>
      </c>
    </row>
    <row r="2092" spans="1:16" ht="33.950000000000003" customHeight="1">
      <c r="A2092" s="2" t="s">
        <v>1784</v>
      </c>
      <c r="B2092" s="2" t="s">
        <v>1595</v>
      </c>
      <c r="C2092" s="8" t="s">
        <v>1785</v>
      </c>
      <c r="D2092" s="2">
        <v>2</v>
      </c>
      <c r="E2092" s="8" t="s">
        <v>3184</v>
      </c>
      <c r="F2092" s="2" t="s">
        <v>86</v>
      </c>
      <c r="G2092" s="2" t="s">
        <v>3177</v>
      </c>
      <c r="H2092" s="2"/>
      <c r="I2092" s="8" t="s">
        <v>3688</v>
      </c>
      <c r="J2092" s="2">
        <v>2030</v>
      </c>
      <c r="K2092" s="2">
        <v>719</v>
      </c>
      <c r="L2092" s="8" t="s">
        <v>5478</v>
      </c>
      <c r="M2092" s="2">
        <v>6.3</v>
      </c>
      <c r="N2092" s="8" t="s">
        <v>5485</v>
      </c>
      <c r="O2092" s="8" t="str">
        <f t="shared" si="203"/>
        <v>PDFを開く</v>
      </c>
      <c r="P2092" s="8" t="s">
        <v>1790</v>
      </c>
    </row>
    <row r="2093" spans="1:16" ht="33.950000000000003" customHeight="1">
      <c r="A2093" s="5" t="s">
        <v>1784</v>
      </c>
      <c r="B2093" s="5" t="s">
        <v>1595</v>
      </c>
      <c r="C2093" s="9" t="s">
        <v>1785</v>
      </c>
      <c r="D2093" s="5">
        <v>2</v>
      </c>
      <c r="E2093" s="9" t="s">
        <v>3188</v>
      </c>
      <c r="F2093" s="5" t="s">
        <v>86</v>
      </c>
      <c r="G2093" s="5" t="s">
        <v>3177</v>
      </c>
      <c r="H2093" s="5"/>
      <c r="I2093" s="9" t="s">
        <v>3686</v>
      </c>
      <c r="J2093" s="5">
        <v>2027</v>
      </c>
      <c r="K2093" s="5">
        <v>98</v>
      </c>
      <c r="L2093" s="9" t="s">
        <v>5486</v>
      </c>
      <c r="M2093" s="5">
        <v>1</v>
      </c>
      <c r="N2093" s="9" t="s">
        <v>5487</v>
      </c>
      <c r="O2093" s="9" t="str">
        <f t="shared" si="203"/>
        <v>PDFを開く</v>
      </c>
      <c r="P2093" s="9" t="s">
        <v>1790</v>
      </c>
    </row>
    <row r="2094" spans="1:16" ht="33.950000000000003" customHeight="1">
      <c r="A2094" s="2" t="s">
        <v>1784</v>
      </c>
      <c r="B2094" s="2" t="s">
        <v>1595</v>
      </c>
      <c r="C2094" s="8" t="s">
        <v>1785</v>
      </c>
      <c r="D2094" s="2">
        <v>2</v>
      </c>
      <c r="E2094" s="8" t="s">
        <v>3188</v>
      </c>
      <c r="F2094" s="2" t="s">
        <v>86</v>
      </c>
      <c r="G2094" s="2" t="s">
        <v>3177</v>
      </c>
      <c r="H2094" s="2"/>
      <c r="I2094" s="8" t="s">
        <v>3688</v>
      </c>
      <c r="J2094" s="2">
        <v>2030</v>
      </c>
      <c r="K2094" s="2">
        <v>101</v>
      </c>
      <c r="L2094" s="8" t="s">
        <v>4307</v>
      </c>
      <c r="M2094" s="2">
        <v>1</v>
      </c>
      <c r="N2094" s="8" t="s">
        <v>5487</v>
      </c>
      <c r="O2094" s="8" t="str">
        <f t="shared" si="203"/>
        <v>PDFを開く</v>
      </c>
      <c r="P2094" s="8" t="s">
        <v>1790</v>
      </c>
    </row>
    <row r="2095" spans="1:16" ht="33.950000000000003" customHeight="1">
      <c r="A2095" s="5" t="s">
        <v>1784</v>
      </c>
      <c r="B2095" s="5" t="s">
        <v>1595</v>
      </c>
      <c r="C2095" s="9" t="s">
        <v>1785</v>
      </c>
      <c r="D2095" s="5">
        <v>2</v>
      </c>
      <c r="E2095" s="9" t="s">
        <v>3191</v>
      </c>
      <c r="F2095" s="5" t="s">
        <v>2513</v>
      </c>
      <c r="G2095" s="5" t="s">
        <v>3177</v>
      </c>
      <c r="H2095" s="5"/>
      <c r="I2095" s="9" t="s">
        <v>3686</v>
      </c>
      <c r="J2095" s="5">
        <v>2027</v>
      </c>
      <c r="K2095" s="5">
        <v>98</v>
      </c>
      <c r="L2095" s="9" t="s">
        <v>5486</v>
      </c>
      <c r="M2095" s="5">
        <v>1</v>
      </c>
      <c r="N2095" s="9" t="s">
        <v>5487</v>
      </c>
      <c r="O2095" s="9" t="str">
        <f t="shared" si="203"/>
        <v>PDFを開く</v>
      </c>
      <c r="P2095" s="9" t="s">
        <v>1790</v>
      </c>
    </row>
    <row r="2096" spans="1:16" ht="33.950000000000003" customHeight="1">
      <c r="A2096" s="2" t="s">
        <v>1784</v>
      </c>
      <c r="B2096" s="2" t="s">
        <v>1595</v>
      </c>
      <c r="C2096" s="8" t="s">
        <v>1785</v>
      </c>
      <c r="D2096" s="2">
        <v>2</v>
      </c>
      <c r="E2096" s="8" t="s">
        <v>3191</v>
      </c>
      <c r="F2096" s="2" t="s">
        <v>2513</v>
      </c>
      <c r="G2096" s="2" t="s">
        <v>3177</v>
      </c>
      <c r="H2096" s="2"/>
      <c r="I2096" s="8" t="s">
        <v>3688</v>
      </c>
      <c r="J2096" s="2">
        <v>2030</v>
      </c>
      <c r="K2096" s="2">
        <v>101</v>
      </c>
      <c r="L2096" s="8" t="s">
        <v>4307</v>
      </c>
      <c r="M2096" s="2">
        <v>1</v>
      </c>
      <c r="N2096" s="8" t="s">
        <v>5487</v>
      </c>
      <c r="O2096" s="8" t="str">
        <f t="shared" si="203"/>
        <v>PDFを開く</v>
      </c>
      <c r="P2096" s="8" t="s">
        <v>1790</v>
      </c>
    </row>
    <row r="2097" spans="1:16" ht="33.950000000000003" customHeight="1">
      <c r="A2097" s="5" t="s">
        <v>1791</v>
      </c>
      <c r="B2097" s="5" t="s">
        <v>1595</v>
      </c>
      <c r="C2097" s="9" t="s">
        <v>1792</v>
      </c>
      <c r="D2097" s="5">
        <v>2</v>
      </c>
      <c r="E2097" s="9" t="s">
        <v>3176</v>
      </c>
      <c r="F2097" s="5" t="s">
        <v>86</v>
      </c>
      <c r="G2097" s="5" t="s">
        <v>3177</v>
      </c>
      <c r="H2097" s="5" t="s">
        <v>3178</v>
      </c>
      <c r="I2097" s="9" t="s">
        <v>5367</v>
      </c>
      <c r="J2097" s="5">
        <v>2028</v>
      </c>
      <c r="K2097" s="5">
        <v>630</v>
      </c>
      <c r="L2097" s="9" t="s">
        <v>5488</v>
      </c>
      <c r="M2097" s="5">
        <v>24.2</v>
      </c>
      <c r="N2097" s="9" t="s">
        <v>5489</v>
      </c>
      <c r="O2097" s="9" t="str">
        <f t="shared" ref="O2097:O2105" si="204">HYPERLINK("https://seichotoushi-hojo.jp/assets/pdf/koufu_3_4ji/outline_190.pdf","PDFを開く")</f>
        <v>PDFを開く</v>
      </c>
      <c r="P2097" s="9" t="s">
        <v>1797</v>
      </c>
    </row>
    <row r="2098" spans="1:16" ht="33.950000000000003" customHeight="1">
      <c r="A2098" s="2" t="s">
        <v>1791</v>
      </c>
      <c r="B2098" s="2" t="s">
        <v>1595</v>
      </c>
      <c r="C2098" s="8" t="s">
        <v>1792</v>
      </c>
      <c r="D2098" s="2">
        <v>2</v>
      </c>
      <c r="E2098" s="8" t="s">
        <v>3176</v>
      </c>
      <c r="F2098" s="2" t="s">
        <v>86</v>
      </c>
      <c r="G2098" s="2" t="s">
        <v>3177</v>
      </c>
      <c r="H2098" s="2" t="s">
        <v>3178</v>
      </c>
      <c r="I2098" s="8" t="s">
        <v>5370</v>
      </c>
      <c r="J2098" s="2">
        <v>2031</v>
      </c>
      <c r="K2098" s="2">
        <v>1208</v>
      </c>
      <c r="L2098" s="8" t="s">
        <v>5490</v>
      </c>
      <c r="M2098" s="2">
        <v>24.2</v>
      </c>
      <c r="N2098" s="8" t="s">
        <v>5489</v>
      </c>
      <c r="O2098" s="8" t="str">
        <f t="shared" si="204"/>
        <v>PDFを開く</v>
      </c>
      <c r="P2098" s="8" t="s">
        <v>1797</v>
      </c>
    </row>
    <row r="2099" spans="1:16" ht="33.950000000000003" customHeight="1">
      <c r="A2099" s="5" t="s">
        <v>1791</v>
      </c>
      <c r="B2099" s="5" t="s">
        <v>1595</v>
      </c>
      <c r="C2099" s="9" t="s">
        <v>1792</v>
      </c>
      <c r="D2099" s="5">
        <v>2</v>
      </c>
      <c r="E2099" s="9" t="s">
        <v>3184</v>
      </c>
      <c r="F2099" s="5" t="s">
        <v>86</v>
      </c>
      <c r="G2099" s="5" t="s">
        <v>3177</v>
      </c>
      <c r="H2099" s="5" t="s">
        <v>3178</v>
      </c>
      <c r="I2099" s="9" t="s">
        <v>5367</v>
      </c>
      <c r="J2099" s="5">
        <v>2028</v>
      </c>
      <c r="K2099" s="5">
        <v>513</v>
      </c>
      <c r="L2099" s="9" t="s">
        <v>5491</v>
      </c>
      <c r="M2099" s="5">
        <v>5.5</v>
      </c>
      <c r="N2099" s="9" t="s">
        <v>5492</v>
      </c>
      <c r="O2099" s="9" t="str">
        <f t="shared" si="204"/>
        <v>PDFを開く</v>
      </c>
      <c r="P2099" s="9" t="s">
        <v>1797</v>
      </c>
    </row>
    <row r="2100" spans="1:16" ht="33.950000000000003" customHeight="1">
      <c r="A2100" s="2" t="s">
        <v>1791</v>
      </c>
      <c r="B2100" s="2" t="s">
        <v>1595</v>
      </c>
      <c r="C2100" s="8" t="s">
        <v>1792</v>
      </c>
      <c r="D2100" s="2">
        <v>2</v>
      </c>
      <c r="E2100" s="8" t="s">
        <v>3184</v>
      </c>
      <c r="F2100" s="2" t="s">
        <v>86</v>
      </c>
      <c r="G2100" s="2" t="s">
        <v>3177</v>
      </c>
      <c r="H2100" s="2" t="s">
        <v>3178</v>
      </c>
      <c r="I2100" s="8" t="s">
        <v>5370</v>
      </c>
      <c r="J2100" s="2">
        <v>2031</v>
      </c>
      <c r="K2100" s="2">
        <v>602</v>
      </c>
      <c r="L2100" s="8" t="s">
        <v>5493</v>
      </c>
      <c r="M2100" s="2">
        <v>5.5</v>
      </c>
      <c r="N2100" s="8" t="s">
        <v>5492</v>
      </c>
      <c r="O2100" s="8" t="str">
        <f t="shared" si="204"/>
        <v>PDFを開く</v>
      </c>
      <c r="P2100" s="8" t="s">
        <v>1797</v>
      </c>
    </row>
    <row r="2101" spans="1:16" ht="33.950000000000003" customHeight="1">
      <c r="A2101" s="5" t="s">
        <v>1791</v>
      </c>
      <c r="B2101" s="5" t="s">
        <v>1595</v>
      </c>
      <c r="C2101" s="9" t="s">
        <v>1792</v>
      </c>
      <c r="D2101" s="5">
        <v>2</v>
      </c>
      <c r="E2101" s="9" t="s">
        <v>3188</v>
      </c>
      <c r="F2101" s="5" t="s">
        <v>86</v>
      </c>
      <c r="G2101" s="19" t="s">
        <v>3189</v>
      </c>
      <c r="H2101" s="5" t="s">
        <v>3178</v>
      </c>
      <c r="I2101" s="9"/>
      <c r="J2101" s="5"/>
      <c r="K2101" s="5"/>
      <c r="L2101" s="9"/>
      <c r="M2101" s="5">
        <v>5.5</v>
      </c>
      <c r="N2101" s="9" t="s">
        <v>5401</v>
      </c>
      <c r="O2101" s="9" t="str">
        <f t="shared" si="204"/>
        <v>PDFを開く</v>
      </c>
      <c r="P2101" s="9" t="s">
        <v>1797</v>
      </c>
    </row>
    <row r="2102" spans="1:16" ht="33.950000000000003" customHeight="1">
      <c r="A2102" s="2" t="s">
        <v>1791</v>
      </c>
      <c r="B2102" s="2" t="s">
        <v>1595</v>
      </c>
      <c r="C2102" s="8" t="s">
        <v>1792</v>
      </c>
      <c r="D2102" s="2">
        <v>2</v>
      </c>
      <c r="E2102" s="8" t="s">
        <v>3191</v>
      </c>
      <c r="F2102" s="2" t="s">
        <v>2513</v>
      </c>
      <c r="G2102" s="2" t="s">
        <v>3177</v>
      </c>
      <c r="H2102" s="2" t="s">
        <v>3178</v>
      </c>
      <c r="I2102" s="8" t="s">
        <v>5367</v>
      </c>
      <c r="J2102" s="2">
        <v>2028</v>
      </c>
      <c r="K2102" s="2">
        <v>349</v>
      </c>
      <c r="L2102" s="8" t="s">
        <v>5494</v>
      </c>
      <c r="M2102" s="2"/>
      <c r="N2102" s="8" t="s">
        <v>5495</v>
      </c>
      <c r="O2102" s="8" t="str">
        <f t="shared" si="204"/>
        <v>PDFを開く</v>
      </c>
      <c r="P2102" s="8" t="s">
        <v>1797</v>
      </c>
    </row>
    <row r="2103" spans="1:16" ht="33.950000000000003" customHeight="1">
      <c r="A2103" s="5" t="s">
        <v>1791</v>
      </c>
      <c r="B2103" s="5" t="s">
        <v>1595</v>
      </c>
      <c r="C2103" s="9" t="s">
        <v>1792</v>
      </c>
      <c r="D2103" s="5">
        <v>2</v>
      </c>
      <c r="E2103" s="9" t="s">
        <v>3191</v>
      </c>
      <c r="F2103" s="5" t="s">
        <v>2513</v>
      </c>
      <c r="G2103" s="5" t="s">
        <v>3177</v>
      </c>
      <c r="H2103" s="5" t="s">
        <v>3178</v>
      </c>
      <c r="I2103" s="9" t="s">
        <v>5370</v>
      </c>
      <c r="J2103" s="5">
        <v>2031</v>
      </c>
      <c r="K2103" s="5">
        <v>360</v>
      </c>
      <c r="L2103" s="9" t="s">
        <v>3828</v>
      </c>
      <c r="M2103" s="5"/>
      <c r="N2103" s="9" t="s">
        <v>5495</v>
      </c>
      <c r="O2103" s="9" t="str">
        <f t="shared" si="204"/>
        <v>PDFを開く</v>
      </c>
      <c r="P2103" s="9" t="s">
        <v>1797</v>
      </c>
    </row>
    <row r="2104" spans="1:16" ht="33.950000000000003" customHeight="1">
      <c r="A2104" s="2" t="s">
        <v>1791</v>
      </c>
      <c r="B2104" s="2" t="s">
        <v>1595</v>
      </c>
      <c r="C2104" s="8" t="s">
        <v>1792</v>
      </c>
      <c r="D2104" s="2">
        <v>2</v>
      </c>
      <c r="E2104" s="8" t="s">
        <v>3188</v>
      </c>
      <c r="F2104" s="2" t="s">
        <v>86</v>
      </c>
      <c r="G2104" s="2" t="s">
        <v>3177</v>
      </c>
      <c r="H2104" s="2"/>
      <c r="I2104" s="8" t="s">
        <v>5496</v>
      </c>
      <c r="J2104" s="2">
        <v>2028</v>
      </c>
      <c r="K2104" s="2"/>
      <c r="L2104" s="8" t="s">
        <v>3211</v>
      </c>
      <c r="M2104" s="2">
        <v>5.5</v>
      </c>
      <c r="N2104" s="8" t="s">
        <v>5497</v>
      </c>
      <c r="O2104" s="8" t="str">
        <f t="shared" si="204"/>
        <v>PDFを開く</v>
      </c>
      <c r="P2104" s="8" t="s">
        <v>1797</v>
      </c>
    </row>
    <row r="2105" spans="1:16" ht="33.950000000000003" customHeight="1">
      <c r="A2105" s="5" t="s">
        <v>1791</v>
      </c>
      <c r="B2105" s="5" t="s">
        <v>1595</v>
      </c>
      <c r="C2105" s="9" t="s">
        <v>1792</v>
      </c>
      <c r="D2105" s="5">
        <v>2</v>
      </c>
      <c r="E2105" s="9" t="s">
        <v>3188</v>
      </c>
      <c r="F2105" s="5" t="s">
        <v>86</v>
      </c>
      <c r="G2105" s="5" t="s">
        <v>3177</v>
      </c>
      <c r="H2105" s="5"/>
      <c r="I2105" s="9" t="s">
        <v>5498</v>
      </c>
      <c r="J2105" s="5">
        <v>2031</v>
      </c>
      <c r="K2105" s="5"/>
      <c r="L2105" s="9" t="s">
        <v>5499</v>
      </c>
      <c r="M2105" s="5">
        <v>5.5</v>
      </c>
      <c r="N2105" s="9" t="s">
        <v>5497</v>
      </c>
      <c r="O2105" s="9" t="str">
        <f t="shared" si="204"/>
        <v>PDFを開く</v>
      </c>
      <c r="P2105" s="9" t="s">
        <v>1797</v>
      </c>
    </row>
    <row r="2106" spans="1:16" ht="33.950000000000003" customHeight="1">
      <c r="A2106" s="2" t="s">
        <v>1798</v>
      </c>
      <c r="B2106" s="2" t="s">
        <v>1595</v>
      </c>
      <c r="C2106" s="8" t="s">
        <v>1799</v>
      </c>
      <c r="D2106" s="2">
        <v>2</v>
      </c>
      <c r="E2106" s="8" t="s">
        <v>3176</v>
      </c>
      <c r="F2106" s="2" t="s">
        <v>86</v>
      </c>
      <c r="G2106" s="19" t="s">
        <v>3189</v>
      </c>
      <c r="H2106" s="2"/>
      <c r="I2106" s="8" t="s">
        <v>3302</v>
      </c>
      <c r="J2106" s="2"/>
      <c r="K2106" s="2">
        <v>1310</v>
      </c>
      <c r="L2106" s="8" t="s">
        <v>5500</v>
      </c>
      <c r="M2106" s="2">
        <v>13.5</v>
      </c>
      <c r="N2106" s="8" t="s">
        <v>5501</v>
      </c>
      <c r="O2106" s="8" t="str">
        <f t="shared" ref="O2106:O2121" si="205">HYPERLINK("https://seichotoushi-hojo.jp/assets/pdf/koufu_3_4ji/outline_197.pdf","PDFを開く")</f>
        <v>PDFを開く</v>
      </c>
      <c r="P2106" s="8" t="s">
        <v>1805</v>
      </c>
    </row>
    <row r="2107" spans="1:16" ht="33.950000000000003" customHeight="1">
      <c r="A2107" s="5" t="s">
        <v>1798</v>
      </c>
      <c r="B2107" s="5" t="s">
        <v>1595</v>
      </c>
      <c r="C2107" s="9" t="s">
        <v>1799</v>
      </c>
      <c r="D2107" s="5">
        <v>2</v>
      </c>
      <c r="E2107" s="9" t="s">
        <v>3176</v>
      </c>
      <c r="F2107" s="5" t="s">
        <v>86</v>
      </c>
      <c r="G2107" s="19" t="s">
        <v>3189</v>
      </c>
      <c r="H2107" s="5"/>
      <c r="I2107" s="9" t="s">
        <v>3305</v>
      </c>
      <c r="J2107" s="5"/>
      <c r="K2107" s="5">
        <v>1453</v>
      </c>
      <c r="L2107" s="9" t="s">
        <v>5502</v>
      </c>
      <c r="M2107" s="5">
        <v>13.5</v>
      </c>
      <c r="N2107" s="9" t="s">
        <v>5501</v>
      </c>
      <c r="O2107" s="9" t="str">
        <f t="shared" si="205"/>
        <v>PDFを開く</v>
      </c>
      <c r="P2107" s="9" t="s">
        <v>1805</v>
      </c>
    </row>
    <row r="2108" spans="1:16" ht="33.950000000000003" customHeight="1">
      <c r="A2108" s="2" t="s">
        <v>1798</v>
      </c>
      <c r="B2108" s="2" t="s">
        <v>1595</v>
      </c>
      <c r="C2108" s="8" t="s">
        <v>1799</v>
      </c>
      <c r="D2108" s="2">
        <v>2</v>
      </c>
      <c r="E2108" s="8" t="s">
        <v>3176</v>
      </c>
      <c r="F2108" s="2" t="s">
        <v>86</v>
      </c>
      <c r="G2108" s="19" t="s">
        <v>3189</v>
      </c>
      <c r="H2108" s="2"/>
      <c r="I2108" s="8" t="s">
        <v>3305</v>
      </c>
      <c r="J2108" s="2"/>
      <c r="K2108" s="2">
        <v>311</v>
      </c>
      <c r="L2108" s="8" t="s">
        <v>4548</v>
      </c>
      <c r="M2108" s="2">
        <v>13.5</v>
      </c>
      <c r="N2108" s="8" t="s">
        <v>5501</v>
      </c>
      <c r="O2108" s="8" t="str">
        <f t="shared" si="205"/>
        <v>PDFを開く</v>
      </c>
      <c r="P2108" s="8" t="s">
        <v>1805</v>
      </c>
    </row>
    <row r="2109" spans="1:16" ht="33.950000000000003" customHeight="1">
      <c r="A2109" s="5" t="s">
        <v>1798</v>
      </c>
      <c r="B2109" s="5" t="s">
        <v>1595</v>
      </c>
      <c r="C2109" s="9" t="s">
        <v>1799</v>
      </c>
      <c r="D2109" s="5">
        <v>2</v>
      </c>
      <c r="E2109" s="9" t="s">
        <v>3184</v>
      </c>
      <c r="F2109" s="5" t="s">
        <v>86</v>
      </c>
      <c r="G2109" s="19" t="s">
        <v>3189</v>
      </c>
      <c r="H2109" s="5" t="s">
        <v>3178</v>
      </c>
      <c r="I2109" s="9" t="s">
        <v>3302</v>
      </c>
      <c r="J2109" s="5"/>
      <c r="K2109" s="5">
        <v>538</v>
      </c>
      <c r="L2109" s="9" t="s">
        <v>4719</v>
      </c>
      <c r="M2109" s="5">
        <v>6</v>
      </c>
      <c r="N2109" s="9" t="s">
        <v>5503</v>
      </c>
      <c r="O2109" s="9" t="str">
        <f t="shared" si="205"/>
        <v>PDFを開く</v>
      </c>
      <c r="P2109" s="9" t="s">
        <v>1805</v>
      </c>
    </row>
    <row r="2110" spans="1:16" ht="33.950000000000003" customHeight="1">
      <c r="A2110" s="2" t="s">
        <v>1798</v>
      </c>
      <c r="B2110" s="2" t="s">
        <v>1595</v>
      </c>
      <c r="C2110" s="8" t="s">
        <v>1799</v>
      </c>
      <c r="D2110" s="2">
        <v>2</v>
      </c>
      <c r="E2110" s="8" t="s">
        <v>3184</v>
      </c>
      <c r="F2110" s="2" t="s">
        <v>86</v>
      </c>
      <c r="G2110" s="19" t="s">
        <v>3189</v>
      </c>
      <c r="H2110" s="2" t="s">
        <v>3178</v>
      </c>
      <c r="I2110" s="8" t="s">
        <v>3305</v>
      </c>
      <c r="J2110" s="2"/>
      <c r="K2110" s="2">
        <v>511</v>
      </c>
      <c r="L2110" s="8" t="s">
        <v>5504</v>
      </c>
      <c r="M2110" s="2">
        <v>6</v>
      </c>
      <c r="N2110" s="8" t="s">
        <v>5503</v>
      </c>
      <c r="O2110" s="8" t="str">
        <f t="shared" si="205"/>
        <v>PDFを開く</v>
      </c>
      <c r="P2110" s="8" t="s">
        <v>1805</v>
      </c>
    </row>
    <row r="2111" spans="1:16" ht="33.950000000000003" customHeight="1">
      <c r="A2111" s="5" t="s">
        <v>1798</v>
      </c>
      <c r="B2111" s="5" t="s">
        <v>1595</v>
      </c>
      <c r="C2111" s="9" t="s">
        <v>1799</v>
      </c>
      <c r="D2111" s="5">
        <v>2</v>
      </c>
      <c r="E2111" s="9" t="s">
        <v>3184</v>
      </c>
      <c r="F2111" s="5" t="s">
        <v>86</v>
      </c>
      <c r="G2111" s="19" t="s">
        <v>3189</v>
      </c>
      <c r="H2111" s="5" t="s">
        <v>3178</v>
      </c>
      <c r="I2111" s="9" t="s">
        <v>3305</v>
      </c>
      <c r="J2111" s="5"/>
      <c r="K2111" s="5">
        <v>429</v>
      </c>
      <c r="L2111" s="9" t="s">
        <v>3388</v>
      </c>
      <c r="M2111" s="5">
        <v>6</v>
      </c>
      <c r="N2111" s="9" t="s">
        <v>5503</v>
      </c>
      <c r="O2111" s="9" t="str">
        <f t="shared" si="205"/>
        <v>PDFを開く</v>
      </c>
      <c r="P2111" s="9" t="s">
        <v>1805</v>
      </c>
    </row>
    <row r="2112" spans="1:16" ht="33.950000000000003" customHeight="1">
      <c r="A2112" s="2" t="s">
        <v>1798</v>
      </c>
      <c r="B2112" s="2" t="s">
        <v>1595</v>
      </c>
      <c r="C2112" s="8" t="s">
        <v>1799</v>
      </c>
      <c r="D2112" s="2">
        <v>2</v>
      </c>
      <c r="E2112" s="8" t="s">
        <v>3188</v>
      </c>
      <c r="F2112" s="2" t="s">
        <v>86</v>
      </c>
      <c r="G2112" s="19" t="s">
        <v>3189</v>
      </c>
      <c r="H2112" s="2"/>
      <c r="I2112" s="8"/>
      <c r="J2112" s="2"/>
      <c r="K2112" s="2"/>
      <c r="L2112" s="8"/>
      <c r="M2112" s="2">
        <v>4.5</v>
      </c>
      <c r="N2112" s="8" t="s">
        <v>5505</v>
      </c>
      <c r="O2112" s="8" t="str">
        <f t="shared" si="205"/>
        <v>PDFを開く</v>
      </c>
      <c r="P2112" s="8" t="s">
        <v>1805</v>
      </c>
    </row>
    <row r="2113" spans="1:16" ht="33.950000000000003" customHeight="1">
      <c r="A2113" s="5" t="s">
        <v>1798</v>
      </c>
      <c r="B2113" s="5" t="s">
        <v>1595</v>
      </c>
      <c r="C2113" s="9" t="s">
        <v>1799</v>
      </c>
      <c r="D2113" s="5">
        <v>2</v>
      </c>
      <c r="E2113" s="9" t="s">
        <v>3191</v>
      </c>
      <c r="F2113" s="5" t="s">
        <v>2513</v>
      </c>
      <c r="G2113" s="19" t="s">
        <v>3189</v>
      </c>
      <c r="H2113" s="5" t="s">
        <v>3178</v>
      </c>
      <c r="I2113" s="9" t="s">
        <v>3305</v>
      </c>
      <c r="J2113" s="5"/>
      <c r="K2113" s="5">
        <v>23</v>
      </c>
      <c r="L2113" s="9" t="s">
        <v>3543</v>
      </c>
      <c r="M2113" s="5"/>
      <c r="N2113" s="9" t="s">
        <v>5506</v>
      </c>
      <c r="O2113" s="9" t="str">
        <f t="shared" si="205"/>
        <v>PDFを開く</v>
      </c>
      <c r="P2113" s="9" t="s">
        <v>1805</v>
      </c>
    </row>
    <row r="2114" spans="1:16" ht="33.950000000000003" customHeight="1">
      <c r="A2114" s="2" t="s">
        <v>1798</v>
      </c>
      <c r="B2114" s="2" t="s">
        <v>1595</v>
      </c>
      <c r="C2114" s="8" t="s">
        <v>1799</v>
      </c>
      <c r="D2114" s="2">
        <v>2</v>
      </c>
      <c r="E2114" s="8" t="s">
        <v>3191</v>
      </c>
      <c r="F2114" s="2" t="s">
        <v>2513</v>
      </c>
      <c r="G2114" s="19" t="s">
        <v>3189</v>
      </c>
      <c r="H2114" s="2" t="s">
        <v>3178</v>
      </c>
      <c r="I2114" s="8" t="s">
        <v>3305</v>
      </c>
      <c r="J2114" s="2"/>
      <c r="K2114" s="2">
        <v>58</v>
      </c>
      <c r="L2114" s="8" t="s">
        <v>5318</v>
      </c>
      <c r="M2114" s="2"/>
      <c r="N2114" s="8" t="s">
        <v>5506</v>
      </c>
      <c r="O2114" s="8" t="str">
        <f t="shared" si="205"/>
        <v>PDFを開く</v>
      </c>
      <c r="P2114" s="8" t="s">
        <v>1805</v>
      </c>
    </row>
    <row r="2115" spans="1:16" ht="33.950000000000003" customHeight="1">
      <c r="A2115" s="5" t="s">
        <v>1798</v>
      </c>
      <c r="B2115" s="5" t="s">
        <v>1595</v>
      </c>
      <c r="C2115" s="9" t="s">
        <v>1799</v>
      </c>
      <c r="D2115" s="5">
        <v>2</v>
      </c>
      <c r="E2115" s="9" t="s">
        <v>3191</v>
      </c>
      <c r="F2115" s="5" t="s">
        <v>2513</v>
      </c>
      <c r="G2115" s="19" t="s">
        <v>3189</v>
      </c>
      <c r="H2115" s="5" t="s">
        <v>3178</v>
      </c>
      <c r="I2115" s="9" t="s">
        <v>3302</v>
      </c>
      <c r="J2115" s="5"/>
      <c r="K2115" s="5">
        <v>306</v>
      </c>
      <c r="L2115" s="9" t="s">
        <v>3924</v>
      </c>
      <c r="M2115" s="5"/>
      <c r="N2115" s="9" t="s">
        <v>5506</v>
      </c>
      <c r="O2115" s="9" t="str">
        <f t="shared" si="205"/>
        <v>PDFを開く</v>
      </c>
      <c r="P2115" s="9" t="s">
        <v>1805</v>
      </c>
    </row>
    <row r="2116" spans="1:16" ht="33.950000000000003" customHeight="1">
      <c r="A2116" s="2" t="s">
        <v>1798</v>
      </c>
      <c r="B2116" s="2" t="s">
        <v>1595</v>
      </c>
      <c r="C2116" s="8" t="s">
        <v>1799</v>
      </c>
      <c r="D2116" s="2">
        <v>2</v>
      </c>
      <c r="E2116" s="8" t="s">
        <v>3176</v>
      </c>
      <c r="F2116" s="2" t="s">
        <v>86</v>
      </c>
      <c r="G2116" s="2" t="s">
        <v>3177</v>
      </c>
      <c r="H2116" s="2"/>
      <c r="I2116" s="8" t="s">
        <v>5351</v>
      </c>
      <c r="J2116" s="2">
        <v>2028</v>
      </c>
      <c r="K2116" s="2">
        <v>895</v>
      </c>
      <c r="L2116" s="8" t="s">
        <v>5507</v>
      </c>
      <c r="M2116" s="2">
        <v>13.5</v>
      </c>
      <c r="N2116" s="8" t="s">
        <v>5508</v>
      </c>
      <c r="O2116" s="8" t="str">
        <f t="shared" si="205"/>
        <v>PDFを開く</v>
      </c>
      <c r="P2116" s="8" t="s">
        <v>1805</v>
      </c>
    </row>
    <row r="2117" spans="1:16" ht="33.950000000000003" customHeight="1">
      <c r="A2117" s="5" t="s">
        <v>1798</v>
      </c>
      <c r="B2117" s="5" t="s">
        <v>1595</v>
      </c>
      <c r="C2117" s="9" t="s">
        <v>1799</v>
      </c>
      <c r="D2117" s="5">
        <v>2</v>
      </c>
      <c r="E2117" s="9" t="s">
        <v>3176</v>
      </c>
      <c r="F2117" s="5" t="s">
        <v>86</v>
      </c>
      <c r="G2117" s="5" t="s">
        <v>3177</v>
      </c>
      <c r="H2117" s="5"/>
      <c r="I2117" s="9" t="s">
        <v>5353</v>
      </c>
      <c r="J2117" s="5">
        <v>2031</v>
      </c>
      <c r="K2117" s="5">
        <v>1310</v>
      </c>
      <c r="L2117" s="9" t="s">
        <v>5509</v>
      </c>
      <c r="M2117" s="5">
        <v>13.5</v>
      </c>
      <c r="N2117" s="9" t="s">
        <v>5508</v>
      </c>
      <c r="O2117" s="9" t="str">
        <f t="shared" si="205"/>
        <v>PDFを開く</v>
      </c>
      <c r="P2117" s="9" t="s">
        <v>1805</v>
      </c>
    </row>
    <row r="2118" spans="1:16" ht="33.950000000000003" customHeight="1">
      <c r="A2118" s="2" t="s">
        <v>1798</v>
      </c>
      <c r="B2118" s="2" t="s">
        <v>1595</v>
      </c>
      <c r="C2118" s="8" t="s">
        <v>1799</v>
      </c>
      <c r="D2118" s="2">
        <v>2</v>
      </c>
      <c r="E2118" s="8" t="s">
        <v>3184</v>
      </c>
      <c r="F2118" s="2" t="s">
        <v>86</v>
      </c>
      <c r="G2118" s="2" t="s">
        <v>3177</v>
      </c>
      <c r="H2118" s="2"/>
      <c r="I2118" s="8" t="s">
        <v>5351</v>
      </c>
      <c r="J2118" s="2">
        <v>2028</v>
      </c>
      <c r="K2118" s="2">
        <v>452</v>
      </c>
      <c r="L2118" s="8" t="s">
        <v>4302</v>
      </c>
      <c r="M2118" s="2">
        <v>6</v>
      </c>
      <c r="N2118" s="8" t="s">
        <v>5510</v>
      </c>
      <c r="O2118" s="8" t="str">
        <f t="shared" si="205"/>
        <v>PDFを開く</v>
      </c>
      <c r="P2118" s="8" t="s">
        <v>1805</v>
      </c>
    </row>
    <row r="2119" spans="1:16" ht="33.950000000000003" customHeight="1">
      <c r="A2119" s="5" t="s">
        <v>1798</v>
      </c>
      <c r="B2119" s="5" t="s">
        <v>1595</v>
      </c>
      <c r="C2119" s="9" t="s">
        <v>1799</v>
      </c>
      <c r="D2119" s="5">
        <v>2</v>
      </c>
      <c r="E2119" s="9" t="s">
        <v>3184</v>
      </c>
      <c r="F2119" s="5" t="s">
        <v>86</v>
      </c>
      <c r="G2119" s="5" t="s">
        <v>3177</v>
      </c>
      <c r="H2119" s="5"/>
      <c r="I2119" s="9" t="s">
        <v>5353</v>
      </c>
      <c r="J2119" s="5">
        <v>2031</v>
      </c>
      <c r="K2119" s="5">
        <v>538</v>
      </c>
      <c r="L2119" s="9" t="s">
        <v>4719</v>
      </c>
      <c r="M2119" s="5">
        <v>6</v>
      </c>
      <c r="N2119" s="9" t="s">
        <v>5510</v>
      </c>
      <c r="O2119" s="9" t="str">
        <f t="shared" si="205"/>
        <v>PDFを開く</v>
      </c>
      <c r="P2119" s="9" t="s">
        <v>1805</v>
      </c>
    </row>
    <row r="2120" spans="1:16" ht="33.950000000000003" customHeight="1">
      <c r="A2120" s="2" t="s">
        <v>1798</v>
      </c>
      <c r="B2120" s="2" t="s">
        <v>1595</v>
      </c>
      <c r="C2120" s="8" t="s">
        <v>1799</v>
      </c>
      <c r="D2120" s="2">
        <v>2</v>
      </c>
      <c r="E2120" s="8" t="s">
        <v>3191</v>
      </c>
      <c r="F2120" s="2" t="s">
        <v>2513</v>
      </c>
      <c r="G2120" s="2" t="s">
        <v>3177</v>
      </c>
      <c r="H2120" s="2"/>
      <c r="I2120" s="8" t="s">
        <v>5351</v>
      </c>
      <c r="J2120" s="2">
        <v>2028</v>
      </c>
      <c r="K2120" s="2">
        <v>276</v>
      </c>
      <c r="L2120" s="8" t="s">
        <v>4499</v>
      </c>
      <c r="M2120" s="2"/>
      <c r="N2120" s="8" t="s">
        <v>5511</v>
      </c>
      <c r="O2120" s="8" t="str">
        <f t="shared" si="205"/>
        <v>PDFを開く</v>
      </c>
      <c r="P2120" s="8" t="s">
        <v>1805</v>
      </c>
    </row>
    <row r="2121" spans="1:16" ht="33.950000000000003" customHeight="1">
      <c r="A2121" s="5" t="s">
        <v>1798</v>
      </c>
      <c r="B2121" s="5" t="s">
        <v>1595</v>
      </c>
      <c r="C2121" s="9" t="s">
        <v>1799</v>
      </c>
      <c r="D2121" s="5">
        <v>2</v>
      </c>
      <c r="E2121" s="9" t="s">
        <v>3191</v>
      </c>
      <c r="F2121" s="5" t="s">
        <v>2513</v>
      </c>
      <c r="G2121" s="5" t="s">
        <v>3177</v>
      </c>
      <c r="H2121" s="5"/>
      <c r="I2121" s="9" t="s">
        <v>5353</v>
      </c>
      <c r="J2121" s="5">
        <v>2031</v>
      </c>
      <c r="K2121" s="5">
        <v>306</v>
      </c>
      <c r="L2121" s="9" t="s">
        <v>3924</v>
      </c>
      <c r="M2121" s="5"/>
      <c r="N2121" s="9" t="s">
        <v>5511</v>
      </c>
      <c r="O2121" s="9" t="str">
        <f t="shared" si="205"/>
        <v>PDFを開く</v>
      </c>
      <c r="P2121" s="9" t="s">
        <v>1805</v>
      </c>
    </row>
    <row r="2122" spans="1:16" ht="33.950000000000003" customHeight="1">
      <c r="A2122" s="2" t="s">
        <v>1806</v>
      </c>
      <c r="B2122" s="2" t="s">
        <v>1595</v>
      </c>
      <c r="C2122" s="8" t="s">
        <v>1807</v>
      </c>
      <c r="D2122" s="2">
        <v>2</v>
      </c>
      <c r="E2122" s="8" t="s">
        <v>3176</v>
      </c>
      <c r="F2122" s="2" t="s">
        <v>86</v>
      </c>
      <c r="G2122" s="2" t="s">
        <v>3177</v>
      </c>
      <c r="H2122" s="2" t="s">
        <v>3178</v>
      </c>
      <c r="I2122" s="8" t="s">
        <v>3845</v>
      </c>
      <c r="J2122" s="2">
        <v>2026</v>
      </c>
      <c r="K2122" s="2">
        <v>963</v>
      </c>
      <c r="L2122" s="8" t="s">
        <v>5512</v>
      </c>
      <c r="M2122" s="2">
        <v>47.6</v>
      </c>
      <c r="N2122" s="8" t="s">
        <v>5513</v>
      </c>
      <c r="O2122" s="8" t="str">
        <f t="shared" ref="O2122:O2143" si="206">HYPERLINK("https://seichotoushi-hojo.jp/assets/pdf/koufu_3_4ji/outline_2.pdf","PDFを開く")</f>
        <v>PDFを開く</v>
      </c>
      <c r="P2122" s="8" t="s">
        <v>1812</v>
      </c>
    </row>
    <row r="2123" spans="1:16" ht="33.950000000000003" customHeight="1">
      <c r="A2123" s="5" t="s">
        <v>1806</v>
      </c>
      <c r="B2123" s="5" t="s">
        <v>1595</v>
      </c>
      <c r="C2123" s="9" t="s">
        <v>1807</v>
      </c>
      <c r="D2123" s="5">
        <v>2</v>
      </c>
      <c r="E2123" s="9" t="s">
        <v>3176</v>
      </c>
      <c r="F2123" s="5" t="s">
        <v>86</v>
      </c>
      <c r="G2123" s="5" t="s">
        <v>3177</v>
      </c>
      <c r="H2123" s="5" t="s">
        <v>3178</v>
      </c>
      <c r="I2123" s="9" t="s">
        <v>3848</v>
      </c>
      <c r="J2123" s="5">
        <v>2029</v>
      </c>
      <c r="K2123" s="5">
        <v>3099</v>
      </c>
      <c r="L2123" s="9" t="s">
        <v>5514</v>
      </c>
      <c r="M2123" s="5">
        <v>47.6</v>
      </c>
      <c r="N2123" s="9" t="s">
        <v>5513</v>
      </c>
      <c r="O2123" s="9" t="str">
        <f t="shared" si="206"/>
        <v>PDFを開く</v>
      </c>
      <c r="P2123" s="9" t="s">
        <v>1812</v>
      </c>
    </row>
    <row r="2124" spans="1:16" ht="33.950000000000003" customHeight="1">
      <c r="A2124" s="2" t="s">
        <v>1806</v>
      </c>
      <c r="B2124" s="2" t="s">
        <v>1595</v>
      </c>
      <c r="C2124" s="8" t="s">
        <v>1807</v>
      </c>
      <c r="D2124" s="2">
        <v>2</v>
      </c>
      <c r="E2124" s="8" t="s">
        <v>3184</v>
      </c>
      <c r="F2124" s="2" t="s">
        <v>86</v>
      </c>
      <c r="G2124" s="19" t="s">
        <v>3494</v>
      </c>
      <c r="H2124" s="2" t="s">
        <v>3178</v>
      </c>
      <c r="I2124" s="8" t="s">
        <v>3845</v>
      </c>
      <c r="J2124" s="2">
        <v>2026</v>
      </c>
      <c r="K2124" s="2">
        <v>428</v>
      </c>
      <c r="L2124" s="8" t="s">
        <v>4135</v>
      </c>
      <c r="M2124" s="2">
        <v>6.6</v>
      </c>
      <c r="N2124" s="8" t="s">
        <v>5515</v>
      </c>
      <c r="O2124" s="8" t="str">
        <f t="shared" si="206"/>
        <v>PDFを開く</v>
      </c>
      <c r="P2124" s="8" t="s">
        <v>1812</v>
      </c>
    </row>
    <row r="2125" spans="1:16" ht="33.950000000000003" customHeight="1">
      <c r="A2125" s="5" t="s">
        <v>1806</v>
      </c>
      <c r="B2125" s="5" t="s">
        <v>1595</v>
      </c>
      <c r="C2125" s="9" t="s">
        <v>1807</v>
      </c>
      <c r="D2125" s="5">
        <v>2</v>
      </c>
      <c r="E2125" s="9" t="s">
        <v>3184</v>
      </c>
      <c r="F2125" s="5" t="s">
        <v>86</v>
      </c>
      <c r="G2125" s="19" t="s">
        <v>3494</v>
      </c>
      <c r="H2125" s="5" t="s">
        <v>3178</v>
      </c>
      <c r="I2125" s="9"/>
      <c r="J2125" s="5"/>
      <c r="K2125" s="5">
        <v>615</v>
      </c>
      <c r="L2125" s="9" t="s">
        <v>4712</v>
      </c>
      <c r="M2125" s="5">
        <v>6.6</v>
      </c>
      <c r="N2125" s="9" t="s">
        <v>5515</v>
      </c>
      <c r="O2125" s="9" t="str">
        <f t="shared" si="206"/>
        <v>PDFを開く</v>
      </c>
      <c r="P2125" s="9" t="s">
        <v>1812</v>
      </c>
    </row>
    <row r="2126" spans="1:16" ht="33.950000000000003" customHeight="1">
      <c r="A2126" s="2" t="s">
        <v>1806</v>
      </c>
      <c r="B2126" s="2" t="s">
        <v>1595</v>
      </c>
      <c r="C2126" s="8" t="s">
        <v>1807</v>
      </c>
      <c r="D2126" s="2">
        <v>2</v>
      </c>
      <c r="E2126" s="8" t="s">
        <v>3184</v>
      </c>
      <c r="F2126" s="2" t="s">
        <v>86</v>
      </c>
      <c r="G2126" s="19" t="s">
        <v>3494</v>
      </c>
      <c r="H2126" s="2" t="s">
        <v>3178</v>
      </c>
      <c r="I2126" s="8"/>
      <c r="J2126" s="2"/>
      <c r="K2126" s="2">
        <v>481</v>
      </c>
      <c r="L2126" s="8" t="s">
        <v>4559</v>
      </c>
      <c r="M2126" s="2">
        <v>6.6</v>
      </c>
      <c r="N2126" s="8" t="s">
        <v>5515</v>
      </c>
      <c r="O2126" s="8" t="str">
        <f t="shared" si="206"/>
        <v>PDFを開く</v>
      </c>
      <c r="P2126" s="8" t="s">
        <v>1812</v>
      </c>
    </row>
    <row r="2127" spans="1:16" ht="33.950000000000003" customHeight="1">
      <c r="A2127" s="5" t="s">
        <v>1806</v>
      </c>
      <c r="B2127" s="5" t="s">
        <v>1595</v>
      </c>
      <c r="C2127" s="9" t="s">
        <v>1807</v>
      </c>
      <c r="D2127" s="5">
        <v>2</v>
      </c>
      <c r="E2127" s="9" t="s">
        <v>3184</v>
      </c>
      <c r="F2127" s="5" t="s">
        <v>86</v>
      </c>
      <c r="G2127" s="19" t="s">
        <v>3494</v>
      </c>
      <c r="H2127" s="5" t="s">
        <v>3178</v>
      </c>
      <c r="I2127" s="9" t="s">
        <v>3848</v>
      </c>
      <c r="J2127" s="5">
        <v>2029</v>
      </c>
      <c r="K2127" s="5">
        <v>518</v>
      </c>
      <c r="L2127" s="9" t="s">
        <v>3878</v>
      </c>
      <c r="M2127" s="5">
        <v>6.6</v>
      </c>
      <c r="N2127" s="9" t="s">
        <v>5515</v>
      </c>
      <c r="O2127" s="9" t="str">
        <f t="shared" si="206"/>
        <v>PDFを開く</v>
      </c>
      <c r="P2127" s="9" t="s">
        <v>1812</v>
      </c>
    </row>
    <row r="2128" spans="1:16" ht="33.950000000000003" customHeight="1">
      <c r="A2128" s="2" t="s">
        <v>1806</v>
      </c>
      <c r="B2128" s="2" t="s">
        <v>1595</v>
      </c>
      <c r="C2128" s="8" t="s">
        <v>1807</v>
      </c>
      <c r="D2128" s="2">
        <v>2</v>
      </c>
      <c r="E2128" s="8" t="s">
        <v>3184</v>
      </c>
      <c r="F2128" s="2" t="s">
        <v>86</v>
      </c>
      <c r="G2128" s="19" t="s">
        <v>3494</v>
      </c>
      <c r="H2128" s="2" t="s">
        <v>3178</v>
      </c>
      <c r="I2128" s="8"/>
      <c r="J2128" s="2"/>
      <c r="K2128" s="2">
        <v>773</v>
      </c>
      <c r="L2128" s="8" t="s">
        <v>3329</v>
      </c>
      <c r="M2128" s="2">
        <v>6.6</v>
      </c>
      <c r="N2128" s="8" t="s">
        <v>5515</v>
      </c>
      <c r="O2128" s="8" t="str">
        <f t="shared" si="206"/>
        <v>PDFを開く</v>
      </c>
      <c r="P2128" s="8" t="s">
        <v>1812</v>
      </c>
    </row>
    <row r="2129" spans="1:16" ht="33.950000000000003" customHeight="1">
      <c r="A2129" s="5" t="s">
        <v>1806</v>
      </c>
      <c r="B2129" s="5" t="s">
        <v>1595</v>
      </c>
      <c r="C2129" s="9" t="s">
        <v>1807</v>
      </c>
      <c r="D2129" s="5">
        <v>2</v>
      </c>
      <c r="E2129" s="9" t="s">
        <v>3184</v>
      </c>
      <c r="F2129" s="5" t="s">
        <v>86</v>
      </c>
      <c r="G2129" s="19" t="s">
        <v>3494</v>
      </c>
      <c r="H2129" s="5" t="s">
        <v>3178</v>
      </c>
      <c r="I2129" s="9"/>
      <c r="J2129" s="5"/>
      <c r="K2129" s="5">
        <v>575</v>
      </c>
      <c r="L2129" s="9" t="s">
        <v>3541</v>
      </c>
      <c r="M2129" s="5">
        <v>6.6</v>
      </c>
      <c r="N2129" s="9" t="s">
        <v>5515</v>
      </c>
      <c r="O2129" s="9" t="str">
        <f t="shared" si="206"/>
        <v>PDFを開く</v>
      </c>
      <c r="P2129" s="9" t="s">
        <v>1812</v>
      </c>
    </row>
    <row r="2130" spans="1:16" ht="33.950000000000003" customHeight="1">
      <c r="A2130" s="2" t="s">
        <v>1806</v>
      </c>
      <c r="B2130" s="2" t="s">
        <v>1595</v>
      </c>
      <c r="C2130" s="8" t="s">
        <v>1807</v>
      </c>
      <c r="D2130" s="2">
        <v>2</v>
      </c>
      <c r="E2130" s="8" t="s">
        <v>3188</v>
      </c>
      <c r="F2130" s="2" t="s">
        <v>86</v>
      </c>
      <c r="G2130" s="19" t="s">
        <v>3494</v>
      </c>
      <c r="H2130" s="2" t="s">
        <v>3178</v>
      </c>
      <c r="I2130" s="8"/>
      <c r="J2130" s="2"/>
      <c r="K2130" s="2">
        <v>7</v>
      </c>
      <c r="L2130" s="8" t="s">
        <v>5086</v>
      </c>
      <c r="M2130" s="2">
        <v>5.95</v>
      </c>
      <c r="N2130" s="8" t="s">
        <v>5516</v>
      </c>
      <c r="O2130" s="8" t="str">
        <f t="shared" si="206"/>
        <v>PDFを開く</v>
      </c>
      <c r="P2130" s="8" t="s">
        <v>1812</v>
      </c>
    </row>
    <row r="2131" spans="1:16" ht="33.950000000000003" customHeight="1">
      <c r="A2131" s="5" t="s">
        <v>1806</v>
      </c>
      <c r="B2131" s="5" t="s">
        <v>1595</v>
      </c>
      <c r="C2131" s="9" t="s">
        <v>1807</v>
      </c>
      <c r="D2131" s="5">
        <v>2</v>
      </c>
      <c r="E2131" s="9" t="s">
        <v>3188</v>
      </c>
      <c r="F2131" s="5" t="s">
        <v>86</v>
      </c>
      <c r="G2131" s="19" t="s">
        <v>3494</v>
      </c>
      <c r="H2131" s="5" t="s">
        <v>3178</v>
      </c>
      <c r="I2131" s="9"/>
      <c r="J2131" s="5"/>
      <c r="K2131" s="5">
        <v>7</v>
      </c>
      <c r="L2131" s="9" t="s">
        <v>5086</v>
      </c>
      <c r="M2131" s="5">
        <v>5.95</v>
      </c>
      <c r="N2131" s="9" t="s">
        <v>5516</v>
      </c>
      <c r="O2131" s="9" t="str">
        <f t="shared" si="206"/>
        <v>PDFを開く</v>
      </c>
      <c r="P2131" s="9" t="s">
        <v>1812</v>
      </c>
    </row>
    <row r="2132" spans="1:16" ht="33.950000000000003" customHeight="1">
      <c r="A2132" s="2" t="s">
        <v>1806</v>
      </c>
      <c r="B2132" s="2" t="s">
        <v>1595</v>
      </c>
      <c r="C2132" s="8" t="s">
        <v>1807</v>
      </c>
      <c r="D2132" s="2">
        <v>2</v>
      </c>
      <c r="E2132" s="8" t="s">
        <v>3188</v>
      </c>
      <c r="F2132" s="2" t="s">
        <v>86</v>
      </c>
      <c r="G2132" s="19" t="s">
        <v>3494</v>
      </c>
      <c r="H2132" s="2" t="s">
        <v>3178</v>
      </c>
      <c r="I2132" s="8"/>
      <c r="J2132" s="2"/>
      <c r="K2132" s="2">
        <v>7</v>
      </c>
      <c r="L2132" s="8" t="s">
        <v>5086</v>
      </c>
      <c r="M2132" s="2">
        <v>5.95</v>
      </c>
      <c r="N2132" s="8" t="s">
        <v>5516</v>
      </c>
      <c r="O2132" s="8" t="str">
        <f t="shared" si="206"/>
        <v>PDFを開く</v>
      </c>
      <c r="P2132" s="8" t="s">
        <v>1812</v>
      </c>
    </row>
    <row r="2133" spans="1:16" ht="33.950000000000003" customHeight="1">
      <c r="A2133" s="5" t="s">
        <v>1806</v>
      </c>
      <c r="B2133" s="5" t="s">
        <v>1595</v>
      </c>
      <c r="C2133" s="9" t="s">
        <v>1807</v>
      </c>
      <c r="D2133" s="5">
        <v>2</v>
      </c>
      <c r="E2133" s="9" t="s">
        <v>3188</v>
      </c>
      <c r="F2133" s="5" t="s">
        <v>86</v>
      </c>
      <c r="G2133" s="19" t="s">
        <v>3494</v>
      </c>
      <c r="H2133" s="5" t="s">
        <v>3178</v>
      </c>
      <c r="I2133" s="9"/>
      <c r="J2133" s="5"/>
      <c r="K2133" s="5">
        <v>7</v>
      </c>
      <c r="L2133" s="9" t="s">
        <v>5086</v>
      </c>
      <c r="M2133" s="5">
        <v>5.95</v>
      </c>
      <c r="N2133" s="9" t="s">
        <v>5516</v>
      </c>
      <c r="O2133" s="9" t="str">
        <f t="shared" si="206"/>
        <v>PDFを開く</v>
      </c>
      <c r="P2133" s="9" t="s">
        <v>1812</v>
      </c>
    </row>
    <row r="2134" spans="1:16" ht="33.950000000000003" customHeight="1">
      <c r="A2134" s="2" t="s">
        <v>1806</v>
      </c>
      <c r="B2134" s="2" t="s">
        <v>1595</v>
      </c>
      <c r="C2134" s="8" t="s">
        <v>1807</v>
      </c>
      <c r="D2134" s="2">
        <v>2</v>
      </c>
      <c r="E2134" s="8" t="s">
        <v>3191</v>
      </c>
      <c r="F2134" s="2" t="s">
        <v>2513</v>
      </c>
      <c r="G2134" s="19" t="s">
        <v>3494</v>
      </c>
      <c r="H2134" s="2" t="s">
        <v>3178</v>
      </c>
      <c r="I2134" s="8" t="s">
        <v>3845</v>
      </c>
      <c r="J2134" s="2">
        <v>2026</v>
      </c>
      <c r="K2134" s="2">
        <v>60</v>
      </c>
      <c r="L2134" s="8" t="s">
        <v>3406</v>
      </c>
      <c r="M2134" s="2"/>
      <c r="N2134" s="8" t="s">
        <v>5517</v>
      </c>
      <c r="O2134" s="8" t="str">
        <f t="shared" si="206"/>
        <v>PDFを開く</v>
      </c>
      <c r="P2134" s="8" t="s">
        <v>1812</v>
      </c>
    </row>
    <row r="2135" spans="1:16" ht="33.950000000000003" customHeight="1">
      <c r="A2135" s="5" t="s">
        <v>1806</v>
      </c>
      <c r="B2135" s="5" t="s">
        <v>1595</v>
      </c>
      <c r="C2135" s="9" t="s">
        <v>1807</v>
      </c>
      <c r="D2135" s="5">
        <v>2</v>
      </c>
      <c r="E2135" s="9" t="s">
        <v>3191</v>
      </c>
      <c r="F2135" s="5" t="s">
        <v>2513</v>
      </c>
      <c r="G2135" s="19" t="s">
        <v>3494</v>
      </c>
      <c r="H2135" s="5" t="s">
        <v>3178</v>
      </c>
      <c r="I2135" s="9"/>
      <c r="J2135" s="5"/>
      <c r="K2135" s="5">
        <v>24</v>
      </c>
      <c r="L2135" s="9" t="s">
        <v>4748</v>
      </c>
      <c r="M2135" s="5"/>
      <c r="N2135" s="9" t="s">
        <v>5517</v>
      </c>
      <c r="O2135" s="9" t="str">
        <f t="shared" si="206"/>
        <v>PDFを開く</v>
      </c>
      <c r="P2135" s="9" t="s">
        <v>1812</v>
      </c>
    </row>
    <row r="2136" spans="1:16" ht="33.950000000000003" customHeight="1">
      <c r="A2136" s="2" t="s">
        <v>1806</v>
      </c>
      <c r="B2136" s="2" t="s">
        <v>1595</v>
      </c>
      <c r="C2136" s="8" t="s">
        <v>1807</v>
      </c>
      <c r="D2136" s="2">
        <v>2</v>
      </c>
      <c r="E2136" s="8" t="s">
        <v>3191</v>
      </c>
      <c r="F2136" s="2" t="s">
        <v>2513</v>
      </c>
      <c r="G2136" s="19" t="s">
        <v>3494</v>
      </c>
      <c r="H2136" s="2" t="s">
        <v>3178</v>
      </c>
      <c r="I2136" s="8"/>
      <c r="J2136" s="2"/>
      <c r="K2136" s="2">
        <v>84</v>
      </c>
      <c r="L2136" s="8" t="s">
        <v>4872</v>
      </c>
      <c r="M2136" s="2"/>
      <c r="N2136" s="8" t="s">
        <v>5517</v>
      </c>
      <c r="O2136" s="8" t="str">
        <f t="shared" si="206"/>
        <v>PDFを開く</v>
      </c>
      <c r="P2136" s="8" t="s">
        <v>1812</v>
      </c>
    </row>
    <row r="2137" spans="1:16" ht="33.950000000000003" customHeight="1">
      <c r="A2137" s="5" t="s">
        <v>1806</v>
      </c>
      <c r="B2137" s="5" t="s">
        <v>1595</v>
      </c>
      <c r="C2137" s="9" t="s">
        <v>1807</v>
      </c>
      <c r="D2137" s="5">
        <v>2</v>
      </c>
      <c r="E2137" s="9" t="s">
        <v>3191</v>
      </c>
      <c r="F2137" s="5" t="s">
        <v>2513</v>
      </c>
      <c r="G2137" s="19" t="s">
        <v>3494</v>
      </c>
      <c r="H2137" s="5" t="s">
        <v>3178</v>
      </c>
      <c r="I2137" s="9" t="s">
        <v>3848</v>
      </c>
      <c r="J2137" s="5">
        <v>2029</v>
      </c>
      <c r="K2137" s="5">
        <v>84</v>
      </c>
      <c r="L2137" s="9" t="s">
        <v>4872</v>
      </c>
      <c r="M2137" s="5"/>
      <c r="N2137" s="9" t="s">
        <v>5517</v>
      </c>
      <c r="O2137" s="9" t="str">
        <f t="shared" si="206"/>
        <v>PDFを開く</v>
      </c>
      <c r="P2137" s="9" t="s">
        <v>1812</v>
      </c>
    </row>
    <row r="2138" spans="1:16" ht="33.950000000000003" customHeight="1">
      <c r="A2138" s="2" t="s">
        <v>1806</v>
      </c>
      <c r="B2138" s="2" t="s">
        <v>1595</v>
      </c>
      <c r="C2138" s="8" t="s">
        <v>1807</v>
      </c>
      <c r="D2138" s="2">
        <v>2</v>
      </c>
      <c r="E2138" s="8" t="s">
        <v>3191</v>
      </c>
      <c r="F2138" s="2" t="s">
        <v>2513</v>
      </c>
      <c r="G2138" s="19" t="s">
        <v>3494</v>
      </c>
      <c r="H2138" s="2" t="s">
        <v>3178</v>
      </c>
      <c r="I2138" s="8"/>
      <c r="J2138" s="2"/>
      <c r="K2138" s="2">
        <v>24</v>
      </c>
      <c r="L2138" s="8" t="s">
        <v>4748</v>
      </c>
      <c r="M2138" s="2"/>
      <c r="N2138" s="8" t="s">
        <v>5517</v>
      </c>
      <c r="O2138" s="8" t="str">
        <f t="shared" si="206"/>
        <v>PDFを開く</v>
      </c>
      <c r="P2138" s="8" t="s">
        <v>1812</v>
      </c>
    </row>
    <row r="2139" spans="1:16" ht="33.950000000000003" customHeight="1">
      <c r="A2139" s="5" t="s">
        <v>1806</v>
      </c>
      <c r="B2139" s="5" t="s">
        <v>1595</v>
      </c>
      <c r="C2139" s="9" t="s">
        <v>1807</v>
      </c>
      <c r="D2139" s="5">
        <v>2</v>
      </c>
      <c r="E2139" s="9" t="s">
        <v>3191</v>
      </c>
      <c r="F2139" s="5" t="s">
        <v>2513</v>
      </c>
      <c r="G2139" s="19" t="s">
        <v>3494</v>
      </c>
      <c r="H2139" s="5" t="s">
        <v>3178</v>
      </c>
      <c r="I2139" s="9"/>
      <c r="J2139" s="5"/>
      <c r="K2139" s="5">
        <v>108</v>
      </c>
      <c r="L2139" s="9" t="s">
        <v>5518</v>
      </c>
      <c r="M2139" s="5"/>
      <c r="N2139" s="9" t="s">
        <v>5517</v>
      </c>
      <c r="O2139" s="9" t="str">
        <f t="shared" si="206"/>
        <v>PDFを開く</v>
      </c>
      <c r="P2139" s="9" t="s">
        <v>1812</v>
      </c>
    </row>
    <row r="2140" spans="1:16" ht="33.950000000000003" customHeight="1">
      <c r="A2140" s="2" t="s">
        <v>1806</v>
      </c>
      <c r="B2140" s="2" t="s">
        <v>1595</v>
      </c>
      <c r="C2140" s="8" t="s">
        <v>1807</v>
      </c>
      <c r="D2140" s="2">
        <v>2</v>
      </c>
      <c r="E2140" s="8" t="s">
        <v>3191</v>
      </c>
      <c r="F2140" s="2" t="s">
        <v>2513</v>
      </c>
      <c r="G2140" s="2" t="s">
        <v>3177</v>
      </c>
      <c r="H2140" s="2" t="s">
        <v>3178</v>
      </c>
      <c r="I2140" s="8" t="s">
        <v>3845</v>
      </c>
      <c r="J2140" s="2">
        <v>2026</v>
      </c>
      <c r="K2140" s="2">
        <v>60</v>
      </c>
      <c r="L2140" s="8" t="s">
        <v>3406</v>
      </c>
      <c r="M2140" s="2"/>
      <c r="N2140" s="8" t="s">
        <v>5517</v>
      </c>
      <c r="O2140" s="8" t="str">
        <f t="shared" si="206"/>
        <v>PDFを開く</v>
      </c>
      <c r="P2140" s="8" t="s">
        <v>1812</v>
      </c>
    </row>
    <row r="2141" spans="1:16" ht="33.950000000000003" customHeight="1">
      <c r="A2141" s="5" t="s">
        <v>1806</v>
      </c>
      <c r="B2141" s="5" t="s">
        <v>1595</v>
      </c>
      <c r="C2141" s="9" t="s">
        <v>1807</v>
      </c>
      <c r="D2141" s="5">
        <v>2</v>
      </c>
      <c r="E2141" s="9" t="s">
        <v>3191</v>
      </c>
      <c r="F2141" s="5" t="s">
        <v>2513</v>
      </c>
      <c r="G2141" s="5" t="s">
        <v>3177</v>
      </c>
      <c r="H2141" s="5" t="s">
        <v>3178</v>
      </c>
      <c r="I2141" s="9" t="s">
        <v>3848</v>
      </c>
      <c r="J2141" s="5">
        <v>2029</v>
      </c>
      <c r="K2141" s="5">
        <v>84</v>
      </c>
      <c r="L2141" s="9" t="s">
        <v>4872</v>
      </c>
      <c r="M2141" s="5"/>
      <c r="N2141" s="9" t="s">
        <v>5517</v>
      </c>
      <c r="O2141" s="9" t="str">
        <f t="shared" si="206"/>
        <v>PDFを開く</v>
      </c>
      <c r="P2141" s="9" t="s">
        <v>1812</v>
      </c>
    </row>
    <row r="2142" spans="1:16" ht="33.950000000000003" customHeight="1">
      <c r="A2142" s="2" t="s">
        <v>1806</v>
      </c>
      <c r="B2142" s="2" t="s">
        <v>1595</v>
      </c>
      <c r="C2142" s="8" t="s">
        <v>1807</v>
      </c>
      <c r="D2142" s="2">
        <v>2</v>
      </c>
      <c r="E2142" s="8" t="s">
        <v>3184</v>
      </c>
      <c r="F2142" s="2" t="s">
        <v>86</v>
      </c>
      <c r="G2142" s="2" t="s">
        <v>3177</v>
      </c>
      <c r="H2142" s="2" t="s">
        <v>3178</v>
      </c>
      <c r="I2142" s="8" t="s">
        <v>3845</v>
      </c>
      <c r="J2142" s="2">
        <v>2026</v>
      </c>
      <c r="K2142" s="2">
        <v>428</v>
      </c>
      <c r="L2142" s="8" t="s">
        <v>4135</v>
      </c>
      <c r="M2142" s="2">
        <v>6.6</v>
      </c>
      <c r="N2142" s="8" t="s">
        <v>5515</v>
      </c>
      <c r="O2142" s="8" t="str">
        <f t="shared" si="206"/>
        <v>PDFを開く</v>
      </c>
      <c r="P2142" s="8" t="s">
        <v>1812</v>
      </c>
    </row>
    <row r="2143" spans="1:16" ht="33.950000000000003" customHeight="1">
      <c r="A2143" s="5" t="s">
        <v>1806</v>
      </c>
      <c r="B2143" s="5" t="s">
        <v>1595</v>
      </c>
      <c r="C2143" s="9" t="s">
        <v>1807</v>
      </c>
      <c r="D2143" s="5">
        <v>2</v>
      </c>
      <c r="E2143" s="9" t="s">
        <v>3184</v>
      </c>
      <c r="F2143" s="5" t="s">
        <v>86</v>
      </c>
      <c r="G2143" s="5" t="s">
        <v>3177</v>
      </c>
      <c r="H2143" s="5" t="s">
        <v>3178</v>
      </c>
      <c r="I2143" s="9" t="s">
        <v>3848</v>
      </c>
      <c r="J2143" s="5">
        <v>2029</v>
      </c>
      <c r="K2143" s="5">
        <v>518</v>
      </c>
      <c r="L2143" s="9" t="s">
        <v>3878</v>
      </c>
      <c r="M2143" s="5">
        <v>6.6</v>
      </c>
      <c r="N2143" s="9" t="s">
        <v>5515</v>
      </c>
      <c r="O2143" s="9" t="str">
        <f t="shared" si="206"/>
        <v>PDFを開く</v>
      </c>
      <c r="P2143" s="9" t="s">
        <v>1812</v>
      </c>
    </row>
    <row r="2144" spans="1:16" ht="33.950000000000003" customHeight="1">
      <c r="A2144" s="2" t="s">
        <v>1813</v>
      </c>
      <c r="B2144" s="2" t="s">
        <v>1595</v>
      </c>
      <c r="C2144" s="8" t="s">
        <v>1814</v>
      </c>
      <c r="D2144" s="2">
        <v>2</v>
      </c>
      <c r="E2144" s="8" t="s">
        <v>3176</v>
      </c>
      <c r="F2144" s="2" t="s">
        <v>86</v>
      </c>
      <c r="G2144" s="2" t="s">
        <v>3177</v>
      </c>
      <c r="H2144" s="2" t="s">
        <v>3178</v>
      </c>
      <c r="I2144" s="8" t="s">
        <v>3259</v>
      </c>
      <c r="J2144" s="2">
        <v>2027</v>
      </c>
      <c r="K2144" s="2">
        <v>1140</v>
      </c>
      <c r="L2144" s="8" t="s">
        <v>5519</v>
      </c>
      <c r="M2144" s="2">
        <v>12.4</v>
      </c>
      <c r="N2144" s="8" t="s">
        <v>5520</v>
      </c>
      <c r="O2144" s="8" t="str">
        <f t="shared" ref="O2144:O2151" si="207">HYPERLINK("https://seichotoushi-hojo.jp/assets/pdf/koufu_3_4ji/outline_205.pdf","PDFを開く")</f>
        <v>PDFを開く</v>
      </c>
      <c r="P2144" s="8" t="s">
        <v>1820</v>
      </c>
    </row>
    <row r="2145" spans="1:16" ht="33.950000000000003" customHeight="1">
      <c r="A2145" s="5" t="s">
        <v>1813</v>
      </c>
      <c r="B2145" s="5" t="s">
        <v>1595</v>
      </c>
      <c r="C2145" s="9" t="s">
        <v>1814</v>
      </c>
      <c r="D2145" s="5">
        <v>2</v>
      </c>
      <c r="E2145" s="9" t="s">
        <v>3176</v>
      </c>
      <c r="F2145" s="5" t="s">
        <v>86</v>
      </c>
      <c r="G2145" s="5" t="s">
        <v>3177</v>
      </c>
      <c r="H2145" s="5" t="s">
        <v>3178</v>
      </c>
      <c r="I2145" s="9" t="s">
        <v>3262</v>
      </c>
      <c r="J2145" s="5">
        <v>2030</v>
      </c>
      <c r="K2145" s="5">
        <v>1618</v>
      </c>
      <c r="L2145" s="9" t="s">
        <v>5521</v>
      </c>
      <c r="M2145" s="5">
        <v>12.4</v>
      </c>
      <c r="N2145" s="9" t="s">
        <v>5520</v>
      </c>
      <c r="O2145" s="9" t="str">
        <f t="shared" si="207"/>
        <v>PDFを開く</v>
      </c>
      <c r="P2145" s="9" t="s">
        <v>1820</v>
      </c>
    </row>
    <row r="2146" spans="1:16" ht="33.950000000000003" customHeight="1">
      <c r="A2146" s="2" t="s">
        <v>1813</v>
      </c>
      <c r="B2146" s="2" t="s">
        <v>1595</v>
      </c>
      <c r="C2146" s="8" t="s">
        <v>1814</v>
      </c>
      <c r="D2146" s="2">
        <v>2</v>
      </c>
      <c r="E2146" s="8" t="s">
        <v>3184</v>
      </c>
      <c r="F2146" s="2" t="s">
        <v>86</v>
      </c>
      <c r="G2146" s="2" t="s">
        <v>3177</v>
      </c>
      <c r="H2146" s="2" t="s">
        <v>3178</v>
      </c>
      <c r="I2146" s="8" t="s">
        <v>3259</v>
      </c>
      <c r="J2146" s="2">
        <v>2027</v>
      </c>
      <c r="K2146" s="2">
        <v>407</v>
      </c>
      <c r="L2146" s="8" t="s">
        <v>3956</v>
      </c>
      <c r="M2146" s="2">
        <v>10</v>
      </c>
      <c r="N2146" s="8" t="s">
        <v>5522</v>
      </c>
      <c r="O2146" s="8" t="str">
        <f t="shared" si="207"/>
        <v>PDFを開く</v>
      </c>
      <c r="P2146" s="8" t="s">
        <v>1820</v>
      </c>
    </row>
    <row r="2147" spans="1:16" ht="33.950000000000003" customHeight="1">
      <c r="A2147" s="5" t="s">
        <v>1813</v>
      </c>
      <c r="B2147" s="5" t="s">
        <v>1595</v>
      </c>
      <c r="C2147" s="9" t="s">
        <v>1814</v>
      </c>
      <c r="D2147" s="5">
        <v>2</v>
      </c>
      <c r="E2147" s="9" t="s">
        <v>3184</v>
      </c>
      <c r="F2147" s="5" t="s">
        <v>86</v>
      </c>
      <c r="G2147" s="5" t="s">
        <v>3177</v>
      </c>
      <c r="H2147" s="5" t="s">
        <v>3178</v>
      </c>
      <c r="I2147" s="9" t="s">
        <v>3262</v>
      </c>
      <c r="J2147" s="5">
        <v>2030</v>
      </c>
      <c r="K2147" s="5">
        <v>542</v>
      </c>
      <c r="L2147" s="9" t="s">
        <v>5523</v>
      </c>
      <c r="M2147" s="5">
        <v>10</v>
      </c>
      <c r="N2147" s="9" t="s">
        <v>5522</v>
      </c>
      <c r="O2147" s="9" t="str">
        <f t="shared" si="207"/>
        <v>PDFを開く</v>
      </c>
      <c r="P2147" s="9" t="s">
        <v>1820</v>
      </c>
    </row>
    <row r="2148" spans="1:16" ht="33.950000000000003" customHeight="1">
      <c r="A2148" s="2" t="s">
        <v>1813</v>
      </c>
      <c r="B2148" s="2" t="s">
        <v>1595</v>
      </c>
      <c r="C2148" s="8" t="s">
        <v>1814</v>
      </c>
      <c r="D2148" s="2">
        <v>2</v>
      </c>
      <c r="E2148" s="8" t="s">
        <v>3188</v>
      </c>
      <c r="F2148" s="2" t="s">
        <v>86</v>
      </c>
      <c r="G2148" s="2" t="s">
        <v>3177</v>
      </c>
      <c r="H2148" s="2" t="s">
        <v>3178</v>
      </c>
      <c r="I2148" s="8" t="s">
        <v>3259</v>
      </c>
      <c r="J2148" s="2">
        <v>2027</v>
      </c>
      <c r="K2148" s="2">
        <v>3396</v>
      </c>
      <c r="L2148" s="8" t="s">
        <v>5524</v>
      </c>
      <c r="M2148" s="2">
        <v>7</v>
      </c>
      <c r="N2148" s="8" t="s">
        <v>5525</v>
      </c>
      <c r="O2148" s="8" t="str">
        <f t="shared" si="207"/>
        <v>PDFを開く</v>
      </c>
      <c r="P2148" s="8" t="s">
        <v>1820</v>
      </c>
    </row>
    <row r="2149" spans="1:16" ht="33.950000000000003" customHeight="1">
      <c r="A2149" s="5" t="s">
        <v>1813</v>
      </c>
      <c r="B2149" s="5" t="s">
        <v>1595</v>
      </c>
      <c r="C2149" s="9" t="s">
        <v>1814</v>
      </c>
      <c r="D2149" s="5">
        <v>2</v>
      </c>
      <c r="E2149" s="9" t="s">
        <v>3188</v>
      </c>
      <c r="F2149" s="5" t="s">
        <v>86</v>
      </c>
      <c r="G2149" s="5" t="s">
        <v>3177</v>
      </c>
      <c r="H2149" s="5" t="s">
        <v>3178</v>
      </c>
      <c r="I2149" s="9" t="s">
        <v>3262</v>
      </c>
      <c r="J2149" s="5">
        <v>2030</v>
      </c>
      <c r="K2149" s="5">
        <v>4160</v>
      </c>
      <c r="L2149" s="9" t="s">
        <v>5526</v>
      </c>
      <c r="M2149" s="5">
        <v>7</v>
      </c>
      <c r="N2149" s="9" t="s">
        <v>5525</v>
      </c>
      <c r="O2149" s="9" t="str">
        <f t="shared" si="207"/>
        <v>PDFを開く</v>
      </c>
      <c r="P2149" s="9" t="s">
        <v>1820</v>
      </c>
    </row>
    <row r="2150" spans="1:16" ht="33.950000000000003" customHeight="1">
      <c r="A2150" s="2" t="s">
        <v>1813</v>
      </c>
      <c r="B2150" s="2" t="s">
        <v>1595</v>
      </c>
      <c r="C2150" s="8" t="s">
        <v>1814</v>
      </c>
      <c r="D2150" s="2">
        <v>2</v>
      </c>
      <c r="E2150" s="8" t="s">
        <v>3191</v>
      </c>
      <c r="F2150" s="2" t="s">
        <v>2513</v>
      </c>
      <c r="G2150" s="2" t="s">
        <v>3177</v>
      </c>
      <c r="H2150" s="2" t="s">
        <v>3178</v>
      </c>
      <c r="I2150" s="8" t="s">
        <v>3259</v>
      </c>
      <c r="J2150" s="2">
        <v>2027</v>
      </c>
      <c r="K2150" s="2">
        <v>36</v>
      </c>
      <c r="L2150" s="8" t="s">
        <v>4090</v>
      </c>
      <c r="M2150" s="2"/>
      <c r="N2150" s="8" t="s">
        <v>5527</v>
      </c>
      <c r="O2150" s="8" t="str">
        <f t="shared" si="207"/>
        <v>PDFを開く</v>
      </c>
      <c r="P2150" s="8" t="s">
        <v>1820</v>
      </c>
    </row>
    <row r="2151" spans="1:16" ht="33.950000000000003" customHeight="1">
      <c r="A2151" s="5" t="s">
        <v>1813</v>
      </c>
      <c r="B2151" s="5" t="s">
        <v>1595</v>
      </c>
      <c r="C2151" s="9" t="s">
        <v>1814</v>
      </c>
      <c r="D2151" s="5">
        <v>2</v>
      </c>
      <c r="E2151" s="9" t="s">
        <v>3191</v>
      </c>
      <c r="F2151" s="5" t="s">
        <v>2513</v>
      </c>
      <c r="G2151" s="5" t="s">
        <v>3177</v>
      </c>
      <c r="H2151" s="5" t="s">
        <v>3178</v>
      </c>
      <c r="I2151" s="9" t="s">
        <v>3262</v>
      </c>
      <c r="J2151" s="5">
        <v>2030</v>
      </c>
      <c r="K2151" s="5">
        <v>42</v>
      </c>
      <c r="L2151" s="9" t="s">
        <v>5528</v>
      </c>
      <c r="M2151" s="5"/>
      <c r="N2151" s="9" t="s">
        <v>5527</v>
      </c>
      <c r="O2151" s="9" t="str">
        <f t="shared" si="207"/>
        <v>PDFを開く</v>
      </c>
      <c r="P2151" s="9" t="s">
        <v>1820</v>
      </c>
    </row>
    <row r="2152" spans="1:16" ht="33.950000000000003" customHeight="1">
      <c r="A2152" s="2" t="s">
        <v>1821</v>
      </c>
      <c r="B2152" s="2" t="s">
        <v>1595</v>
      </c>
      <c r="C2152" s="8" t="s">
        <v>1822</v>
      </c>
      <c r="D2152" s="2">
        <v>2</v>
      </c>
      <c r="E2152" s="8" t="s">
        <v>3176</v>
      </c>
      <c r="F2152" s="2" t="s">
        <v>86</v>
      </c>
      <c r="G2152" s="2" t="s">
        <v>3177</v>
      </c>
      <c r="H2152" s="2" t="s">
        <v>3178</v>
      </c>
      <c r="I2152" s="8" t="s">
        <v>3259</v>
      </c>
      <c r="J2152" s="2">
        <v>2027</v>
      </c>
      <c r="K2152" s="2">
        <v>484</v>
      </c>
      <c r="L2152" s="8" t="s">
        <v>5529</v>
      </c>
      <c r="M2152" s="2">
        <v>16.100000000000001</v>
      </c>
      <c r="N2152" s="8" t="s">
        <v>5530</v>
      </c>
      <c r="O2152" s="8" t="str">
        <f t="shared" ref="O2152:O2162" si="208">HYPERLINK("https://seichotoushi-hojo.jp/assets/pdf/koufu_3_4ji/outline_209.pdf","PDFを開く")</f>
        <v>PDFを開く</v>
      </c>
      <c r="P2152" s="8" t="s">
        <v>1829</v>
      </c>
    </row>
    <row r="2153" spans="1:16" ht="33.950000000000003" customHeight="1">
      <c r="A2153" s="5" t="s">
        <v>1821</v>
      </c>
      <c r="B2153" s="5" t="s">
        <v>1595</v>
      </c>
      <c r="C2153" s="9" t="s">
        <v>1822</v>
      </c>
      <c r="D2153" s="5">
        <v>2</v>
      </c>
      <c r="E2153" s="9" t="s">
        <v>3176</v>
      </c>
      <c r="F2153" s="5" t="s">
        <v>86</v>
      </c>
      <c r="G2153" s="5" t="s">
        <v>3177</v>
      </c>
      <c r="H2153" s="5" t="s">
        <v>3178</v>
      </c>
      <c r="I2153" s="9" t="s">
        <v>3262</v>
      </c>
      <c r="J2153" s="5">
        <v>2030</v>
      </c>
      <c r="K2153" s="5">
        <v>758</v>
      </c>
      <c r="L2153" s="9" t="s">
        <v>5531</v>
      </c>
      <c r="M2153" s="5">
        <v>16.100000000000001</v>
      </c>
      <c r="N2153" s="9" t="s">
        <v>5530</v>
      </c>
      <c r="O2153" s="9" t="str">
        <f t="shared" si="208"/>
        <v>PDFを開く</v>
      </c>
      <c r="P2153" s="9" t="s">
        <v>1829</v>
      </c>
    </row>
    <row r="2154" spans="1:16" ht="33.950000000000003" customHeight="1">
      <c r="A2154" s="2" t="s">
        <v>1821</v>
      </c>
      <c r="B2154" s="2" t="s">
        <v>1595</v>
      </c>
      <c r="C2154" s="8" t="s">
        <v>1822</v>
      </c>
      <c r="D2154" s="2">
        <v>2</v>
      </c>
      <c r="E2154" s="8" t="s">
        <v>3184</v>
      </c>
      <c r="F2154" s="2" t="s">
        <v>86</v>
      </c>
      <c r="G2154" s="2" t="s">
        <v>3177</v>
      </c>
      <c r="H2154" s="2" t="s">
        <v>3178</v>
      </c>
      <c r="I2154" s="8" t="s">
        <v>3259</v>
      </c>
      <c r="J2154" s="2">
        <v>2027</v>
      </c>
      <c r="K2154" s="2">
        <v>322</v>
      </c>
      <c r="L2154" s="8" t="s">
        <v>5532</v>
      </c>
      <c r="M2154" s="2">
        <v>5</v>
      </c>
      <c r="N2154" s="8" t="s">
        <v>5533</v>
      </c>
      <c r="O2154" s="8" t="str">
        <f t="shared" si="208"/>
        <v>PDFを開く</v>
      </c>
      <c r="P2154" s="8" t="s">
        <v>1829</v>
      </c>
    </row>
    <row r="2155" spans="1:16" ht="33.950000000000003" customHeight="1">
      <c r="A2155" s="5" t="s">
        <v>1821</v>
      </c>
      <c r="B2155" s="5" t="s">
        <v>1595</v>
      </c>
      <c r="C2155" s="9" t="s">
        <v>1822</v>
      </c>
      <c r="D2155" s="5">
        <v>2</v>
      </c>
      <c r="E2155" s="9" t="s">
        <v>3184</v>
      </c>
      <c r="F2155" s="5" t="s">
        <v>86</v>
      </c>
      <c r="G2155" s="5" t="s">
        <v>3177</v>
      </c>
      <c r="H2155" s="5" t="s">
        <v>3178</v>
      </c>
      <c r="I2155" s="9" t="s">
        <v>3262</v>
      </c>
      <c r="J2155" s="5">
        <v>2030</v>
      </c>
      <c r="K2155" s="5">
        <v>373</v>
      </c>
      <c r="L2155" s="9" t="s">
        <v>3962</v>
      </c>
      <c r="M2155" s="5">
        <v>5</v>
      </c>
      <c r="N2155" s="9" t="s">
        <v>5533</v>
      </c>
      <c r="O2155" s="9" t="str">
        <f t="shared" si="208"/>
        <v>PDFを開く</v>
      </c>
      <c r="P2155" s="9" t="s">
        <v>1829</v>
      </c>
    </row>
    <row r="2156" spans="1:16" ht="33.950000000000003" customHeight="1">
      <c r="A2156" s="2" t="s">
        <v>1821</v>
      </c>
      <c r="B2156" s="2" t="s">
        <v>1595</v>
      </c>
      <c r="C2156" s="8" t="s">
        <v>1822</v>
      </c>
      <c r="D2156" s="2">
        <v>2</v>
      </c>
      <c r="E2156" s="8" t="s">
        <v>3188</v>
      </c>
      <c r="F2156" s="2" t="s">
        <v>86</v>
      </c>
      <c r="G2156" s="19" t="s">
        <v>3189</v>
      </c>
      <c r="H2156" s="2" t="s">
        <v>3178</v>
      </c>
      <c r="I2156" s="8"/>
      <c r="J2156" s="2"/>
      <c r="K2156" s="2"/>
      <c r="L2156" s="8"/>
      <c r="M2156" s="2">
        <v>4.9000000000000004</v>
      </c>
      <c r="N2156" s="8" t="s">
        <v>5534</v>
      </c>
      <c r="O2156" s="8" t="str">
        <f t="shared" si="208"/>
        <v>PDFを開く</v>
      </c>
      <c r="P2156" s="8" t="s">
        <v>1829</v>
      </c>
    </row>
    <row r="2157" spans="1:16" ht="33.950000000000003" customHeight="1">
      <c r="A2157" s="5" t="s">
        <v>1821</v>
      </c>
      <c r="B2157" s="5" t="s">
        <v>1595</v>
      </c>
      <c r="C2157" s="9" t="s">
        <v>1822</v>
      </c>
      <c r="D2157" s="5">
        <v>2</v>
      </c>
      <c r="E2157" s="9" t="s">
        <v>3191</v>
      </c>
      <c r="F2157" s="5" t="s">
        <v>2513</v>
      </c>
      <c r="G2157" s="5" t="s">
        <v>3177</v>
      </c>
      <c r="H2157" s="5" t="s">
        <v>3178</v>
      </c>
      <c r="I2157" s="9" t="s">
        <v>3259</v>
      </c>
      <c r="J2157" s="5">
        <v>2027</v>
      </c>
      <c r="K2157" s="5">
        <v>380</v>
      </c>
      <c r="L2157" s="9" t="s">
        <v>5226</v>
      </c>
      <c r="M2157" s="5"/>
      <c r="N2157" s="9" t="s">
        <v>5535</v>
      </c>
      <c r="O2157" s="9" t="str">
        <f t="shared" si="208"/>
        <v>PDFを開く</v>
      </c>
      <c r="P2157" s="9" t="s">
        <v>1829</v>
      </c>
    </row>
    <row r="2158" spans="1:16" ht="33.950000000000003" customHeight="1">
      <c r="A2158" s="2" t="s">
        <v>1821</v>
      </c>
      <c r="B2158" s="2" t="s">
        <v>1595</v>
      </c>
      <c r="C2158" s="8" t="s">
        <v>1822</v>
      </c>
      <c r="D2158" s="2">
        <v>2</v>
      </c>
      <c r="E2158" s="8" t="s">
        <v>3191</v>
      </c>
      <c r="F2158" s="2" t="s">
        <v>2513</v>
      </c>
      <c r="G2158" s="2" t="s">
        <v>3177</v>
      </c>
      <c r="H2158" s="2" t="s">
        <v>3178</v>
      </c>
      <c r="I2158" s="8" t="s">
        <v>3262</v>
      </c>
      <c r="J2158" s="2">
        <v>2030</v>
      </c>
      <c r="K2158" s="2">
        <v>500</v>
      </c>
      <c r="L2158" s="8" t="s">
        <v>4108</v>
      </c>
      <c r="M2158" s="2"/>
      <c r="N2158" s="8" t="s">
        <v>5535</v>
      </c>
      <c r="O2158" s="8" t="str">
        <f t="shared" si="208"/>
        <v>PDFを開く</v>
      </c>
      <c r="P2158" s="8" t="s">
        <v>1829</v>
      </c>
    </row>
    <row r="2159" spans="1:16" ht="33.950000000000003" customHeight="1">
      <c r="A2159" s="5" t="s">
        <v>1821</v>
      </c>
      <c r="B2159" s="5" t="s">
        <v>1595</v>
      </c>
      <c r="C2159" s="9" t="s">
        <v>1822</v>
      </c>
      <c r="D2159" s="5">
        <v>4</v>
      </c>
      <c r="E2159" s="9" t="s">
        <v>3176</v>
      </c>
      <c r="F2159" s="5" t="s">
        <v>86</v>
      </c>
      <c r="G2159" s="19" t="s">
        <v>3189</v>
      </c>
      <c r="H2159" s="5"/>
      <c r="I2159" s="9" t="s">
        <v>5536</v>
      </c>
      <c r="J2159" s="5">
        <v>2024</v>
      </c>
      <c r="K2159" s="5">
        <v>3469</v>
      </c>
      <c r="L2159" s="9" t="s">
        <v>5537</v>
      </c>
      <c r="M2159" s="5"/>
      <c r="N2159" s="9" t="s">
        <v>5538</v>
      </c>
      <c r="O2159" s="9" t="str">
        <f t="shared" si="208"/>
        <v>PDFを開く</v>
      </c>
      <c r="P2159" s="9" t="s">
        <v>1829</v>
      </c>
    </row>
    <row r="2160" spans="1:16" ht="33.950000000000003" customHeight="1">
      <c r="A2160" s="2" t="s">
        <v>1821</v>
      </c>
      <c r="B2160" s="2" t="s">
        <v>1595</v>
      </c>
      <c r="C2160" s="8" t="s">
        <v>1822</v>
      </c>
      <c r="D2160" s="2">
        <v>4</v>
      </c>
      <c r="E2160" s="8" t="s">
        <v>3176</v>
      </c>
      <c r="F2160" s="2" t="s">
        <v>86</v>
      </c>
      <c r="G2160" s="19" t="s">
        <v>3189</v>
      </c>
      <c r="H2160" s="2"/>
      <c r="I2160" s="8" t="s">
        <v>5536</v>
      </c>
      <c r="J2160" s="2">
        <v>2024</v>
      </c>
      <c r="K2160" s="2">
        <v>779</v>
      </c>
      <c r="L2160" s="8" t="s">
        <v>4825</v>
      </c>
      <c r="M2160" s="2"/>
      <c r="N2160" s="8" t="s">
        <v>5538</v>
      </c>
      <c r="O2160" s="8" t="str">
        <f t="shared" si="208"/>
        <v>PDFを開く</v>
      </c>
      <c r="P2160" s="8" t="s">
        <v>1829</v>
      </c>
    </row>
    <row r="2161" spans="1:16" ht="33.950000000000003" customHeight="1">
      <c r="A2161" s="5" t="s">
        <v>1821</v>
      </c>
      <c r="B2161" s="5" t="s">
        <v>1595</v>
      </c>
      <c r="C2161" s="9" t="s">
        <v>1822</v>
      </c>
      <c r="D2161" s="5">
        <v>2</v>
      </c>
      <c r="E2161" s="9" t="s">
        <v>3188</v>
      </c>
      <c r="F2161" s="5" t="s">
        <v>86</v>
      </c>
      <c r="G2161" s="5" t="s">
        <v>3177</v>
      </c>
      <c r="H2161" s="5"/>
      <c r="I2161" s="9" t="s">
        <v>5539</v>
      </c>
      <c r="J2161" s="5">
        <v>2027</v>
      </c>
      <c r="K2161" s="5"/>
      <c r="L2161" s="9" t="s">
        <v>3211</v>
      </c>
      <c r="M2161" s="5">
        <v>4.9000000000000004</v>
      </c>
      <c r="N2161" s="9" t="s">
        <v>5540</v>
      </c>
      <c r="O2161" s="9" t="str">
        <f t="shared" si="208"/>
        <v>PDFを開く</v>
      </c>
      <c r="P2161" s="9" t="s">
        <v>1829</v>
      </c>
    </row>
    <row r="2162" spans="1:16" ht="33.950000000000003" customHeight="1">
      <c r="A2162" s="2" t="s">
        <v>1821</v>
      </c>
      <c r="B2162" s="2" t="s">
        <v>1595</v>
      </c>
      <c r="C2162" s="8" t="s">
        <v>1822</v>
      </c>
      <c r="D2162" s="2">
        <v>2</v>
      </c>
      <c r="E2162" s="8" t="s">
        <v>3188</v>
      </c>
      <c r="F2162" s="2" t="s">
        <v>86</v>
      </c>
      <c r="G2162" s="2" t="s">
        <v>3177</v>
      </c>
      <c r="H2162" s="2"/>
      <c r="I2162" s="8" t="s">
        <v>5541</v>
      </c>
      <c r="J2162" s="2">
        <v>2030</v>
      </c>
      <c r="K2162" s="2"/>
      <c r="L2162" s="8" t="s">
        <v>5542</v>
      </c>
      <c r="M2162" s="2">
        <v>4.9000000000000004</v>
      </c>
      <c r="N2162" s="8" t="s">
        <v>5540</v>
      </c>
      <c r="O2162" s="8" t="str">
        <f t="shared" si="208"/>
        <v>PDFを開く</v>
      </c>
      <c r="P2162" s="8" t="s">
        <v>1829</v>
      </c>
    </row>
    <row r="2163" spans="1:16" ht="33.950000000000003" customHeight="1">
      <c r="A2163" s="5" t="s">
        <v>1830</v>
      </c>
      <c r="B2163" s="5" t="s">
        <v>1595</v>
      </c>
      <c r="C2163" s="9" t="s">
        <v>1831</v>
      </c>
      <c r="D2163" s="5">
        <v>2</v>
      </c>
      <c r="E2163" s="9" t="s">
        <v>3176</v>
      </c>
      <c r="F2163" s="5" t="s">
        <v>86</v>
      </c>
      <c r="G2163" s="5" t="s">
        <v>3177</v>
      </c>
      <c r="H2163" s="5" t="s">
        <v>3178</v>
      </c>
      <c r="I2163" s="9" t="s">
        <v>3259</v>
      </c>
      <c r="J2163" s="5">
        <v>2027</v>
      </c>
      <c r="K2163" s="5">
        <v>1982</v>
      </c>
      <c r="L2163" s="9" t="s">
        <v>5543</v>
      </c>
      <c r="M2163" s="5">
        <v>12.3</v>
      </c>
      <c r="N2163" s="9" t="s">
        <v>5544</v>
      </c>
      <c r="O2163" s="9" t="str">
        <f t="shared" ref="O2163:O2171" si="209">HYPERLINK("https://seichotoushi-hojo.jp/assets/pdf/koufu_3_4ji/outline_21.pdf","PDFを開く")</f>
        <v>PDFを開く</v>
      </c>
      <c r="P2163" s="9" t="s">
        <v>1836</v>
      </c>
    </row>
    <row r="2164" spans="1:16" ht="33.950000000000003" customHeight="1">
      <c r="A2164" s="2" t="s">
        <v>1830</v>
      </c>
      <c r="B2164" s="2" t="s">
        <v>1595</v>
      </c>
      <c r="C2164" s="8" t="s">
        <v>1831</v>
      </c>
      <c r="D2164" s="2">
        <v>2</v>
      </c>
      <c r="E2164" s="8" t="s">
        <v>3176</v>
      </c>
      <c r="F2164" s="2" t="s">
        <v>86</v>
      </c>
      <c r="G2164" s="2" t="s">
        <v>3177</v>
      </c>
      <c r="H2164" s="2" t="s">
        <v>3178</v>
      </c>
      <c r="I2164" s="8" t="s">
        <v>3262</v>
      </c>
      <c r="J2164" s="2">
        <v>2030</v>
      </c>
      <c r="K2164" s="2">
        <v>2807</v>
      </c>
      <c r="L2164" s="8" t="s">
        <v>5545</v>
      </c>
      <c r="M2164" s="2">
        <v>12.3</v>
      </c>
      <c r="N2164" s="8" t="s">
        <v>5544</v>
      </c>
      <c r="O2164" s="8" t="str">
        <f t="shared" si="209"/>
        <v>PDFを開く</v>
      </c>
      <c r="P2164" s="8" t="s">
        <v>1836</v>
      </c>
    </row>
    <row r="2165" spans="1:16" ht="33.950000000000003" customHeight="1">
      <c r="A2165" s="5" t="s">
        <v>1830</v>
      </c>
      <c r="B2165" s="5" t="s">
        <v>1595</v>
      </c>
      <c r="C2165" s="9" t="s">
        <v>1831</v>
      </c>
      <c r="D2165" s="5">
        <v>2</v>
      </c>
      <c r="E2165" s="9" t="s">
        <v>3184</v>
      </c>
      <c r="F2165" s="5" t="s">
        <v>86</v>
      </c>
      <c r="G2165" s="5" t="s">
        <v>3177</v>
      </c>
      <c r="H2165" s="5" t="s">
        <v>3178</v>
      </c>
      <c r="I2165" s="9" t="s">
        <v>3259</v>
      </c>
      <c r="J2165" s="5">
        <v>2027</v>
      </c>
      <c r="K2165" s="5">
        <v>433</v>
      </c>
      <c r="L2165" s="9" t="s">
        <v>3567</v>
      </c>
      <c r="M2165" s="5">
        <v>9</v>
      </c>
      <c r="N2165" s="9" t="s">
        <v>5546</v>
      </c>
      <c r="O2165" s="9" t="str">
        <f t="shared" si="209"/>
        <v>PDFを開く</v>
      </c>
      <c r="P2165" s="9" t="s">
        <v>1836</v>
      </c>
    </row>
    <row r="2166" spans="1:16" ht="33.950000000000003" customHeight="1">
      <c r="A2166" s="2" t="s">
        <v>1830</v>
      </c>
      <c r="B2166" s="2" t="s">
        <v>1595</v>
      </c>
      <c r="C2166" s="8" t="s">
        <v>1831</v>
      </c>
      <c r="D2166" s="2">
        <v>2</v>
      </c>
      <c r="E2166" s="8" t="s">
        <v>3184</v>
      </c>
      <c r="F2166" s="2" t="s">
        <v>86</v>
      </c>
      <c r="G2166" s="2" t="s">
        <v>3177</v>
      </c>
      <c r="H2166" s="2" t="s">
        <v>3178</v>
      </c>
      <c r="I2166" s="8" t="s">
        <v>3262</v>
      </c>
      <c r="J2166" s="2">
        <v>2030</v>
      </c>
      <c r="K2166" s="2">
        <v>561</v>
      </c>
      <c r="L2166" s="8" t="s">
        <v>5547</v>
      </c>
      <c r="M2166" s="2">
        <v>9</v>
      </c>
      <c r="N2166" s="8" t="s">
        <v>5546</v>
      </c>
      <c r="O2166" s="8" t="str">
        <f t="shared" si="209"/>
        <v>PDFを開く</v>
      </c>
      <c r="P2166" s="8" t="s">
        <v>1836</v>
      </c>
    </row>
    <row r="2167" spans="1:16" ht="33.950000000000003" customHeight="1">
      <c r="A2167" s="5" t="s">
        <v>1830</v>
      </c>
      <c r="B2167" s="5" t="s">
        <v>1595</v>
      </c>
      <c r="C2167" s="9" t="s">
        <v>1831</v>
      </c>
      <c r="D2167" s="5">
        <v>2</v>
      </c>
      <c r="E2167" s="9" t="s">
        <v>3188</v>
      </c>
      <c r="F2167" s="5" t="s">
        <v>86</v>
      </c>
      <c r="G2167" s="19" t="s">
        <v>3189</v>
      </c>
      <c r="H2167" s="5" t="s">
        <v>3178</v>
      </c>
      <c r="I2167" s="9"/>
      <c r="J2167" s="5"/>
      <c r="K2167" s="5"/>
      <c r="L2167" s="9"/>
      <c r="M2167" s="5">
        <v>6.5</v>
      </c>
      <c r="N2167" s="9" t="s">
        <v>5442</v>
      </c>
      <c r="O2167" s="9" t="str">
        <f t="shared" si="209"/>
        <v>PDFを開く</v>
      </c>
      <c r="P2167" s="9" t="s">
        <v>1836</v>
      </c>
    </row>
    <row r="2168" spans="1:16" ht="33.950000000000003" customHeight="1">
      <c r="A2168" s="2" t="s">
        <v>1830</v>
      </c>
      <c r="B2168" s="2" t="s">
        <v>1595</v>
      </c>
      <c r="C2168" s="8" t="s">
        <v>1831</v>
      </c>
      <c r="D2168" s="2">
        <v>2</v>
      </c>
      <c r="E2168" s="8" t="s">
        <v>3191</v>
      </c>
      <c r="F2168" s="2" t="s">
        <v>2513</v>
      </c>
      <c r="G2168" s="2" t="s">
        <v>3177</v>
      </c>
      <c r="H2168" s="2" t="s">
        <v>3178</v>
      </c>
      <c r="I2168" s="8" t="s">
        <v>3259</v>
      </c>
      <c r="J2168" s="2">
        <v>2027</v>
      </c>
      <c r="K2168" s="2">
        <v>683</v>
      </c>
      <c r="L2168" s="8" t="s">
        <v>5548</v>
      </c>
      <c r="M2168" s="2"/>
      <c r="N2168" s="8" t="s">
        <v>5549</v>
      </c>
      <c r="O2168" s="8" t="str">
        <f t="shared" si="209"/>
        <v>PDFを開く</v>
      </c>
      <c r="P2168" s="8" t="s">
        <v>1836</v>
      </c>
    </row>
    <row r="2169" spans="1:16" ht="33.950000000000003" customHeight="1">
      <c r="A2169" s="5" t="s">
        <v>1830</v>
      </c>
      <c r="B2169" s="5" t="s">
        <v>1595</v>
      </c>
      <c r="C2169" s="9" t="s">
        <v>1831</v>
      </c>
      <c r="D2169" s="5">
        <v>2</v>
      </c>
      <c r="E2169" s="9" t="s">
        <v>3191</v>
      </c>
      <c r="F2169" s="5" t="s">
        <v>2513</v>
      </c>
      <c r="G2169" s="5" t="s">
        <v>3177</v>
      </c>
      <c r="H2169" s="5" t="s">
        <v>3178</v>
      </c>
      <c r="I2169" s="9" t="s">
        <v>3262</v>
      </c>
      <c r="J2169" s="5">
        <v>2030</v>
      </c>
      <c r="K2169" s="5">
        <v>716</v>
      </c>
      <c r="L2169" s="9" t="s">
        <v>4883</v>
      </c>
      <c r="M2169" s="5"/>
      <c r="N2169" s="9" t="s">
        <v>5549</v>
      </c>
      <c r="O2169" s="9" t="str">
        <f t="shared" si="209"/>
        <v>PDFを開く</v>
      </c>
      <c r="P2169" s="9" t="s">
        <v>1836</v>
      </c>
    </row>
    <row r="2170" spans="1:16" ht="33.950000000000003" customHeight="1">
      <c r="A2170" s="2" t="s">
        <v>1830</v>
      </c>
      <c r="B2170" s="2" t="s">
        <v>1595</v>
      </c>
      <c r="C2170" s="8" t="s">
        <v>1831</v>
      </c>
      <c r="D2170" s="2">
        <v>2</v>
      </c>
      <c r="E2170" s="8" t="s">
        <v>3188</v>
      </c>
      <c r="F2170" s="2" t="s">
        <v>86</v>
      </c>
      <c r="G2170" s="2" t="s">
        <v>3177</v>
      </c>
      <c r="H2170" s="2"/>
      <c r="I2170" s="8" t="s">
        <v>5550</v>
      </c>
      <c r="J2170" s="2">
        <v>2027</v>
      </c>
      <c r="K2170" s="2"/>
      <c r="L2170" s="8" t="s">
        <v>3211</v>
      </c>
      <c r="M2170" s="2">
        <v>6.5</v>
      </c>
      <c r="N2170" s="8" t="s">
        <v>5445</v>
      </c>
      <c r="O2170" s="8" t="str">
        <f t="shared" si="209"/>
        <v>PDFを開く</v>
      </c>
      <c r="P2170" s="8" t="s">
        <v>1836</v>
      </c>
    </row>
    <row r="2171" spans="1:16" ht="33.950000000000003" customHeight="1">
      <c r="A2171" s="5" t="s">
        <v>1830</v>
      </c>
      <c r="B2171" s="5" t="s">
        <v>1595</v>
      </c>
      <c r="C2171" s="9" t="s">
        <v>1831</v>
      </c>
      <c r="D2171" s="5">
        <v>2</v>
      </c>
      <c r="E2171" s="9" t="s">
        <v>3188</v>
      </c>
      <c r="F2171" s="5" t="s">
        <v>86</v>
      </c>
      <c r="G2171" s="5" t="s">
        <v>3177</v>
      </c>
      <c r="H2171" s="5"/>
      <c r="I2171" s="9" t="s">
        <v>5551</v>
      </c>
      <c r="J2171" s="5">
        <v>2030</v>
      </c>
      <c r="K2171" s="5"/>
      <c r="L2171" s="9" t="s">
        <v>5447</v>
      </c>
      <c r="M2171" s="5">
        <v>6.5</v>
      </c>
      <c r="N2171" s="9" t="s">
        <v>5445</v>
      </c>
      <c r="O2171" s="9" t="str">
        <f t="shared" si="209"/>
        <v>PDFを開く</v>
      </c>
      <c r="P2171" s="9" t="s">
        <v>1836</v>
      </c>
    </row>
    <row r="2172" spans="1:16" ht="33.950000000000003" customHeight="1">
      <c r="A2172" s="2" t="s">
        <v>1837</v>
      </c>
      <c r="B2172" s="2" t="s">
        <v>1595</v>
      </c>
      <c r="C2172" s="8" t="s">
        <v>1838</v>
      </c>
      <c r="D2172" s="2">
        <v>2</v>
      </c>
      <c r="E2172" s="8" t="s">
        <v>3176</v>
      </c>
      <c r="F2172" s="2" t="s">
        <v>86</v>
      </c>
      <c r="G2172" s="2" t="s">
        <v>3177</v>
      </c>
      <c r="H2172" s="2"/>
      <c r="I2172" s="8" t="s">
        <v>3546</v>
      </c>
      <c r="J2172" s="2">
        <v>2027</v>
      </c>
      <c r="K2172" s="2">
        <v>745</v>
      </c>
      <c r="L2172" s="8" t="s">
        <v>5314</v>
      </c>
      <c r="M2172" s="2">
        <v>16.5</v>
      </c>
      <c r="N2172" s="8" t="s">
        <v>5552</v>
      </c>
      <c r="O2172" s="8" t="str">
        <f t="shared" ref="O2172:O2180" si="210">HYPERLINK("https://seichotoushi-hojo.jp/assets/pdf/koufu_3_4ji/outline_212.pdf","PDFを開く")</f>
        <v>PDFを開く</v>
      </c>
      <c r="P2172" s="8" t="s">
        <v>1842</v>
      </c>
    </row>
    <row r="2173" spans="1:16" ht="33.950000000000003" customHeight="1">
      <c r="A2173" s="5" t="s">
        <v>1837</v>
      </c>
      <c r="B2173" s="5" t="s">
        <v>1595</v>
      </c>
      <c r="C2173" s="9" t="s">
        <v>1838</v>
      </c>
      <c r="D2173" s="5">
        <v>2</v>
      </c>
      <c r="E2173" s="9" t="s">
        <v>3176</v>
      </c>
      <c r="F2173" s="5" t="s">
        <v>86</v>
      </c>
      <c r="G2173" s="5" t="s">
        <v>3177</v>
      </c>
      <c r="H2173" s="5"/>
      <c r="I2173" s="9" t="s">
        <v>3549</v>
      </c>
      <c r="J2173" s="5">
        <v>2030</v>
      </c>
      <c r="K2173" s="5">
        <v>1177</v>
      </c>
      <c r="L2173" s="9" t="s">
        <v>4736</v>
      </c>
      <c r="M2173" s="5">
        <v>16.5</v>
      </c>
      <c r="N2173" s="9" t="s">
        <v>5552</v>
      </c>
      <c r="O2173" s="9" t="str">
        <f t="shared" si="210"/>
        <v>PDFを開く</v>
      </c>
      <c r="P2173" s="9" t="s">
        <v>1842</v>
      </c>
    </row>
    <row r="2174" spans="1:16" ht="33.950000000000003" customHeight="1">
      <c r="A2174" s="2" t="s">
        <v>1837</v>
      </c>
      <c r="B2174" s="2" t="s">
        <v>1595</v>
      </c>
      <c r="C2174" s="8" t="s">
        <v>1838</v>
      </c>
      <c r="D2174" s="2">
        <v>2</v>
      </c>
      <c r="E2174" s="8" t="s">
        <v>3184</v>
      </c>
      <c r="F2174" s="2" t="s">
        <v>86</v>
      </c>
      <c r="G2174" s="2" t="s">
        <v>3177</v>
      </c>
      <c r="H2174" s="2"/>
      <c r="I2174" s="8" t="s">
        <v>3546</v>
      </c>
      <c r="J2174" s="2">
        <v>2027</v>
      </c>
      <c r="K2174" s="2">
        <v>390</v>
      </c>
      <c r="L2174" s="8" t="s">
        <v>4032</v>
      </c>
      <c r="M2174" s="2">
        <v>6</v>
      </c>
      <c r="N2174" s="8" t="s">
        <v>5553</v>
      </c>
      <c r="O2174" s="8" t="str">
        <f t="shared" si="210"/>
        <v>PDFを開く</v>
      </c>
      <c r="P2174" s="8" t="s">
        <v>1842</v>
      </c>
    </row>
    <row r="2175" spans="1:16" ht="33.950000000000003" customHeight="1">
      <c r="A2175" s="5" t="s">
        <v>1837</v>
      </c>
      <c r="B2175" s="5" t="s">
        <v>1595</v>
      </c>
      <c r="C2175" s="9" t="s">
        <v>1838</v>
      </c>
      <c r="D2175" s="5">
        <v>2</v>
      </c>
      <c r="E2175" s="9" t="s">
        <v>3184</v>
      </c>
      <c r="F2175" s="5" t="s">
        <v>86</v>
      </c>
      <c r="G2175" s="5" t="s">
        <v>3177</v>
      </c>
      <c r="H2175" s="5"/>
      <c r="I2175" s="9" t="s">
        <v>3549</v>
      </c>
      <c r="J2175" s="5">
        <v>2030</v>
      </c>
      <c r="K2175" s="5">
        <v>464</v>
      </c>
      <c r="L2175" s="9" t="s">
        <v>5554</v>
      </c>
      <c r="M2175" s="5">
        <v>6</v>
      </c>
      <c r="N2175" s="9" t="s">
        <v>5553</v>
      </c>
      <c r="O2175" s="9" t="str">
        <f t="shared" si="210"/>
        <v>PDFを開く</v>
      </c>
      <c r="P2175" s="9" t="s">
        <v>1842</v>
      </c>
    </row>
    <row r="2176" spans="1:16" ht="33.950000000000003" customHeight="1">
      <c r="A2176" s="2" t="s">
        <v>1837</v>
      </c>
      <c r="B2176" s="2" t="s">
        <v>1595</v>
      </c>
      <c r="C2176" s="8" t="s">
        <v>1838</v>
      </c>
      <c r="D2176" s="2">
        <v>2</v>
      </c>
      <c r="E2176" s="8" t="s">
        <v>3188</v>
      </c>
      <c r="F2176" s="2" t="s">
        <v>86</v>
      </c>
      <c r="G2176" s="19" t="s">
        <v>3189</v>
      </c>
      <c r="H2176" s="2"/>
      <c r="I2176" s="8"/>
      <c r="J2176" s="2"/>
      <c r="K2176" s="2"/>
      <c r="L2176" s="8"/>
      <c r="M2176" s="2">
        <v>5</v>
      </c>
      <c r="N2176" s="8" t="s">
        <v>5555</v>
      </c>
      <c r="O2176" s="8" t="str">
        <f t="shared" si="210"/>
        <v>PDFを開く</v>
      </c>
      <c r="P2176" s="8" t="s">
        <v>1842</v>
      </c>
    </row>
    <row r="2177" spans="1:16" ht="33.950000000000003" customHeight="1">
      <c r="A2177" s="5" t="s">
        <v>1837</v>
      </c>
      <c r="B2177" s="5" t="s">
        <v>1595</v>
      </c>
      <c r="C2177" s="9" t="s">
        <v>1838</v>
      </c>
      <c r="D2177" s="5">
        <v>2</v>
      </c>
      <c r="E2177" s="9" t="s">
        <v>3191</v>
      </c>
      <c r="F2177" s="5" t="s">
        <v>2513</v>
      </c>
      <c r="G2177" s="5" t="s">
        <v>3177</v>
      </c>
      <c r="H2177" s="5"/>
      <c r="I2177" s="9" t="s">
        <v>3546</v>
      </c>
      <c r="J2177" s="5">
        <v>2027</v>
      </c>
      <c r="K2177" s="5">
        <v>323</v>
      </c>
      <c r="L2177" s="9" t="s">
        <v>5556</v>
      </c>
      <c r="M2177" s="5"/>
      <c r="N2177" s="9" t="s">
        <v>5557</v>
      </c>
      <c r="O2177" s="9" t="str">
        <f t="shared" si="210"/>
        <v>PDFを開く</v>
      </c>
      <c r="P2177" s="9" t="s">
        <v>1842</v>
      </c>
    </row>
    <row r="2178" spans="1:16" ht="33.950000000000003" customHeight="1">
      <c r="A2178" s="2" t="s">
        <v>1837</v>
      </c>
      <c r="B2178" s="2" t="s">
        <v>1595</v>
      </c>
      <c r="C2178" s="8" t="s">
        <v>1838</v>
      </c>
      <c r="D2178" s="2">
        <v>2</v>
      </c>
      <c r="E2178" s="8" t="s">
        <v>3191</v>
      </c>
      <c r="F2178" s="2" t="s">
        <v>2513</v>
      </c>
      <c r="G2178" s="2" t="s">
        <v>3177</v>
      </c>
      <c r="H2178" s="2"/>
      <c r="I2178" s="8" t="s">
        <v>3549</v>
      </c>
      <c r="J2178" s="2">
        <v>2030</v>
      </c>
      <c r="K2178" s="2">
        <v>372</v>
      </c>
      <c r="L2178" s="8" t="s">
        <v>5126</v>
      </c>
      <c r="M2178" s="2"/>
      <c r="N2178" s="8" t="s">
        <v>5557</v>
      </c>
      <c r="O2178" s="8" t="str">
        <f t="shared" si="210"/>
        <v>PDFを開く</v>
      </c>
      <c r="P2178" s="8" t="s">
        <v>1842</v>
      </c>
    </row>
    <row r="2179" spans="1:16" ht="33.950000000000003" customHeight="1">
      <c r="A2179" s="5" t="s">
        <v>1837</v>
      </c>
      <c r="B2179" s="5" t="s">
        <v>1595</v>
      </c>
      <c r="C2179" s="9" t="s">
        <v>1838</v>
      </c>
      <c r="D2179" s="5">
        <v>2</v>
      </c>
      <c r="E2179" s="9" t="s">
        <v>3188</v>
      </c>
      <c r="F2179" s="5" t="s">
        <v>86</v>
      </c>
      <c r="G2179" s="5" t="s">
        <v>3177</v>
      </c>
      <c r="H2179" s="5"/>
      <c r="I2179" s="9" t="s">
        <v>5558</v>
      </c>
      <c r="J2179" s="5">
        <v>2027</v>
      </c>
      <c r="K2179" s="5"/>
      <c r="L2179" s="9" t="s">
        <v>3211</v>
      </c>
      <c r="M2179" s="5">
        <v>5</v>
      </c>
      <c r="N2179" s="9" t="s">
        <v>5559</v>
      </c>
      <c r="O2179" s="9" t="str">
        <f t="shared" si="210"/>
        <v>PDFを開く</v>
      </c>
      <c r="P2179" s="9" t="s">
        <v>1842</v>
      </c>
    </row>
    <row r="2180" spans="1:16" ht="33.950000000000003" customHeight="1">
      <c r="A2180" s="2" t="s">
        <v>1837</v>
      </c>
      <c r="B2180" s="2" t="s">
        <v>1595</v>
      </c>
      <c r="C2180" s="8" t="s">
        <v>1838</v>
      </c>
      <c r="D2180" s="2">
        <v>2</v>
      </c>
      <c r="E2180" s="8" t="s">
        <v>3188</v>
      </c>
      <c r="F2180" s="2" t="s">
        <v>86</v>
      </c>
      <c r="G2180" s="2" t="s">
        <v>3177</v>
      </c>
      <c r="H2180" s="2"/>
      <c r="I2180" s="8" t="s">
        <v>5560</v>
      </c>
      <c r="J2180" s="2">
        <v>2030</v>
      </c>
      <c r="K2180" s="2"/>
      <c r="L2180" s="8" t="s">
        <v>5561</v>
      </c>
      <c r="M2180" s="2">
        <v>5</v>
      </c>
      <c r="N2180" s="8" t="s">
        <v>5559</v>
      </c>
      <c r="O2180" s="8" t="str">
        <f t="shared" si="210"/>
        <v>PDFを開く</v>
      </c>
      <c r="P2180" s="8" t="s">
        <v>1842</v>
      </c>
    </row>
    <row r="2181" spans="1:16" ht="33.950000000000003" customHeight="1">
      <c r="A2181" s="5" t="s">
        <v>1843</v>
      </c>
      <c r="B2181" s="5" t="s">
        <v>1595</v>
      </c>
      <c r="C2181" s="9" t="s">
        <v>1844</v>
      </c>
      <c r="D2181" s="5">
        <v>2</v>
      </c>
      <c r="E2181" s="9" t="s">
        <v>3176</v>
      </c>
      <c r="F2181" s="5" t="s">
        <v>86</v>
      </c>
      <c r="G2181" s="5" t="s">
        <v>3177</v>
      </c>
      <c r="H2181" s="5"/>
      <c r="I2181" s="9" t="s">
        <v>3546</v>
      </c>
      <c r="J2181" s="5">
        <v>2027</v>
      </c>
      <c r="K2181" s="5">
        <v>719</v>
      </c>
      <c r="L2181" s="9" t="s">
        <v>5478</v>
      </c>
      <c r="M2181" s="5">
        <v>21.3</v>
      </c>
      <c r="N2181" s="9" t="s">
        <v>5562</v>
      </c>
      <c r="O2181" s="9" t="str">
        <f t="shared" ref="O2181:O2195" si="211">HYPERLINK("https://seichotoushi-hojo.jp/assets/pdf/koufu_3_4ji/outline_214.pdf","PDFを開く")</f>
        <v>PDFを開く</v>
      </c>
      <c r="P2181" s="9" t="s">
        <v>1851</v>
      </c>
    </row>
    <row r="2182" spans="1:16" ht="33.950000000000003" customHeight="1">
      <c r="A2182" s="2" t="s">
        <v>1843</v>
      </c>
      <c r="B2182" s="2" t="s">
        <v>1595</v>
      </c>
      <c r="C2182" s="8" t="s">
        <v>1844</v>
      </c>
      <c r="D2182" s="2">
        <v>2</v>
      </c>
      <c r="E2182" s="8" t="s">
        <v>3176</v>
      </c>
      <c r="F2182" s="2" t="s">
        <v>86</v>
      </c>
      <c r="G2182" s="2" t="s">
        <v>3177</v>
      </c>
      <c r="H2182" s="2"/>
      <c r="I2182" s="8" t="s">
        <v>3549</v>
      </c>
      <c r="J2182" s="2">
        <v>2030</v>
      </c>
      <c r="K2182" s="2">
        <v>1284</v>
      </c>
      <c r="L2182" s="8" t="s">
        <v>5563</v>
      </c>
      <c r="M2182" s="2">
        <v>21.3</v>
      </c>
      <c r="N2182" s="8" t="s">
        <v>5562</v>
      </c>
      <c r="O2182" s="8" t="str">
        <f t="shared" si="211"/>
        <v>PDFを開く</v>
      </c>
      <c r="P2182" s="8" t="s">
        <v>1851</v>
      </c>
    </row>
    <row r="2183" spans="1:16" ht="33.950000000000003" customHeight="1">
      <c r="A2183" s="5" t="s">
        <v>1843</v>
      </c>
      <c r="B2183" s="5" t="s">
        <v>1595</v>
      </c>
      <c r="C2183" s="9" t="s">
        <v>1844</v>
      </c>
      <c r="D2183" s="5">
        <v>2</v>
      </c>
      <c r="E2183" s="9" t="s">
        <v>3184</v>
      </c>
      <c r="F2183" s="5" t="s">
        <v>86</v>
      </c>
      <c r="G2183" s="5" t="s">
        <v>3177</v>
      </c>
      <c r="H2183" s="5" t="s">
        <v>3178</v>
      </c>
      <c r="I2183" s="9" t="s">
        <v>3546</v>
      </c>
      <c r="J2183" s="5">
        <v>2027</v>
      </c>
      <c r="K2183" s="5">
        <v>380</v>
      </c>
      <c r="L2183" s="9" t="s">
        <v>5226</v>
      </c>
      <c r="M2183" s="5">
        <v>3</v>
      </c>
      <c r="N2183" s="9" t="s">
        <v>5564</v>
      </c>
      <c r="O2183" s="9" t="str">
        <f t="shared" si="211"/>
        <v>PDFを開く</v>
      </c>
      <c r="P2183" s="9" t="s">
        <v>1851</v>
      </c>
    </row>
    <row r="2184" spans="1:16" ht="33.950000000000003" customHeight="1">
      <c r="A2184" s="2" t="s">
        <v>1843</v>
      </c>
      <c r="B2184" s="2" t="s">
        <v>1595</v>
      </c>
      <c r="C2184" s="8" t="s">
        <v>1844</v>
      </c>
      <c r="D2184" s="2">
        <v>2</v>
      </c>
      <c r="E2184" s="8" t="s">
        <v>3184</v>
      </c>
      <c r="F2184" s="2" t="s">
        <v>86</v>
      </c>
      <c r="G2184" s="2" t="s">
        <v>3177</v>
      </c>
      <c r="H2184" s="2" t="s">
        <v>3178</v>
      </c>
      <c r="I2184" s="8" t="s">
        <v>3549</v>
      </c>
      <c r="J2184" s="2">
        <v>2030</v>
      </c>
      <c r="K2184" s="2">
        <v>45</v>
      </c>
      <c r="L2184" s="8" t="s">
        <v>3404</v>
      </c>
      <c r="M2184" s="2">
        <v>3</v>
      </c>
      <c r="N2184" s="8" t="s">
        <v>5564</v>
      </c>
      <c r="O2184" s="8" t="str">
        <f t="shared" si="211"/>
        <v>PDFを開く</v>
      </c>
      <c r="P2184" s="8" t="s">
        <v>1851</v>
      </c>
    </row>
    <row r="2185" spans="1:16" ht="33.950000000000003" customHeight="1">
      <c r="A2185" s="5" t="s">
        <v>1843</v>
      </c>
      <c r="B2185" s="5" t="s">
        <v>1595</v>
      </c>
      <c r="C2185" s="9" t="s">
        <v>1844</v>
      </c>
      <c r="D2185" s="5">
        <v>2</v>
      </c>
      <c r="E2185" s="9" t="s">
        <v>3188</v>
      </c>
      <c r="F2185" s="5" t="s">
        <v>86</v>
      </c>
      <c r="G2185" s="19" t="s">
        <v>3189</v>
      </c>
      <c r="H2185" s="5" t="s">
        <v>3178</v>
      </c>
      <c r="I2185" s="9"/>
      <c r="J2185" s="5"/>
      <c r="K2185" s="5"/>
      <c r="L2185" s="9"/>
      <c r="M2185" s="5">
        <v>6</v>
      </c>
      <c r="N2185" s="9" t="s">
        <v>5565</v>
      </c>
      <c r="O2185" s="9" t="str">
        <f t="shared" si="211"/>
        <v>PDFを開く</v>
      </c>
      <c r="P2185" s="9" t="s">
        <v>1851</v>
      </c>
    </row>
    <row r="2186" spans="1:16" ht="33.950000000000003" customHeight="1">
      <c r="A2186" s="2" t="s">
        <v>1843</v>
      </c>
      <c r="B2186" s="2" t="s">
        <v>1595</v>
      </c>
      <c r="C2186" s="8" t="s">
        <v>1844</v>
      </c>
      <c r="D2186" s="2">
        <v>2</v>
      </c>
      <c r="E2186" s="8" t="s">
        <v>3191</v>
      </c>
      <c r="F2186" s="2" t="s">
        <v>2513</v>
      </c>
      <c r="G2186" s="2" t="s">
        <v>3177</v>
      </c>
      <c r="H2186" s="2" t="s">
        <v>3178</v>
      </c>
      <c r="I2186" s="8" t="s">
        <v>3546</v>
      </c>
      <c r="J2186" s="2">
        <v>2027</v>
      </c>
      <c r="K2186" s="2">
        <v>198</v>
      </c>
      <c r="L2186" s="8" t="s">
        <v>3897</v>
      </c>
      <c r="M2186" s="2"/>
      <c r="N2186" s="8" t="s">
        <v>5566</v>
      </c>
      <c r="O2186" s="8" t="str">
        <f t="shared" si="211"/>
        <v>PDFを開く</v>
      </c>
      <c r="P2186" s="8" t="s">
        <v>1851</v>
      </c>
    </row>
    <row r="2187" spans="1:16" ht="33.950000000000003" customHeight="1">
      <c r="A2187" s="5" t="s">
        <v>1843</v>
      </c>
      <c r="B2187" s="5" t="s">
        <v>1595</v>
      </c>
      <c r="C2187" s="9" t="s">
        <v>1844</v>
      </c>
      <c r="D2187" s="5">
        <v>2</v>
      </c>
      <c r="E2187" s="9" t="s">
        <v>3191</v>
      </c>
      <c r="F2187" s="5" t="s">
        <v>2513</v>
      </c>
      <c r="G2187" s="5" t="s">
        <v>3177</v>
      </c>
      <c r="H2187" s="5" t="s">
        <v>3178</v>
      </c>
      <c r="I2187" s="9" t="s">
        <v>3549</v>
      </c>
      <c r="J2187" s="5">
        <v>2030</v>
      </c>
      <c r="K2187" s="5">
        <v>241</v>
      </c>
      <c r="L2187" s="9" t="s">
        <v>5567</v>
      </c>
      <c r="M2187" s="5"/>
      <c r="N2187" s="9" t="s">
        <v>5566</v>
      </c>
      <c r="O2187" s="9" t="str">
        <f t="shared" si="211"/>
        <v>PDFを開く</v>
      </c>
      <c r="P2187" s="9" t="s">
        <v>1851</v>
      </c>
    </row>
    <row r="2188" spans="1:16" ht="33.950000000000003" customHeight="1">
      <c r="A2188" s="2" t="s">
        <v>1843</v>
      </c>
      <c r="B2188" s="2" t="s">
        <v>1595</v>
      </c>
      <c r="C2188" s="8" t="s">
        <v>1844</v>
      </c>
      <c r="D2188" s="2">
        <v>2</v>
      </c>
      <c r="E2188" s="8" t="s">
        <v>3176</v>
      </c>
      <c r="F2188" s="2" t="s">
        <v>86</v>
      </c>
      <c r="G2188" s="2" t="s">
        <v>3177</v>
      </c>
      <c r="H2188" s="2"/>
      <c r="I2188" s="8" t="s">
        <v>3686</v>
      </c>
      <c r="J2188" s="2">
        <v>2027</v>
      </c>
      <c r="K2188" s="2">
        <v>719</v>
      </c>
      <c r="L2188" s="8" t="s">
        <v>5478</v>
      </c>
      <c r="M2188" s="2">
        <v>21.3</v>
      </c>
      <c r="N2188" s="8" t="s">
        <v>5568</v>
      </c>
      <c r="O2188" s="8" t="str">
        <f t="shared" si="211"/>
        <v>PDFを開く</v>
      </c>
      <c r="P2188" s="8" t="s">
        <v>1851</v>
      </c>
    </row>
    <row r="2189" spans="1:16" ht="33.950000000000003" customHeight="1">
      <c r="A2189" s="5" t="s">
        <v>1843</v>
      </c>
      <c r="B2189" s="5" t="s">
        <v>1595</v>
      </c>
      <c r="C2189" s="9" t="s">
        <v>1844</v>
      </c>
      <c r="D2189" s="5">
        <v>2</v>
      </c>
      <c r="E2189" s="9" t="s">
        <v>3176</v>
      </c>
      <c r="F2189" s="5" t="s">
        <v>86</v>
      </c>
      <c r="G2189" s="5" t="s">
        <v>3177</v>
      </c>
      <c r="H2189" s="5"/>
      <c r="I2189" s="9" t="s">
        <v>3688</v>
      </c>
      <c r="J2189" s="5">
        <v>2030</v>
      </c>
      <c r="K2189" s="5">
        <v>1284</v>
      </c>
      <c r="L2189" s="9" t="s">
        <v>5569</v>
      </c>
      <c r="M2189" s="5">
        <v>21.3</v>
      </c>
      <c r="N2189" s="9" t="s">
        <v>5568</v>
      </c>
      <c r="O2189" s="9" t="str">
        <f t="shared" si="211"/>
        <v>PDFを開く</v>
      </c>
      <c r="P2189" s="9" t="s">
        <v>1851</v>
      </c>
    </row>
    <row r="2190" spans="1:16" ht="33.950000000000003" customHeight="1">
      <c r="A2190" s="2" t="s">
        <v>1843</v>
      </c>
      <c r="B2190" s="2" t="s">
        <v>1595</v>
      </c>
      <c r="C2190" s="8" t="s">
        <v>1844</v>
      </c>
      <c r="D2190" s="2">
        <v>2</v>
      </c>
      <c r="E2190" s="8" t="s">
        <v>3184</v>
      </c>
      <c r="F2190" s="2" t="s">
        <v>86</v>
      </c>
      <c r="G2190" s="2" t="s">
        <v>3177</v>
      </c>
      <c r="H2190" s="2"/>
      <c r="I2190" s="8" t="s">
        <v>3686</v>
      </c>
      <c r="J2190" s="2">
        <v>2027</v>
      </c>
      <c r="K2190" s="2">
        <v>380</v>
      </c>
      <c r="L2190" s="8" t="s">
        <v>5226</v>
      </c>
      <c r="M2190" s="2">
        <v>6</v>
      </c>
      <c r="N2190" s="8" t="s">
        <v>5570</v>
      </c>
      <c r="O2190" s="8" t="str">
        <f t="shared" si="211"/>
        <v>PDFを開く</v>
      </c>
      <c r="P2190" s="8" t="s">
        <v>1851</v>
      </c>
    </row>
    <row r="2191" spans="1:16" ht="33.950000000000003" customHeight="1">
      <c r="A2191" s="5" t="s">
        <v>1843</v>
      </c>
      <c r="B2191" s="5" t="s">
        <v>1595</v>
      </c>
      <c r="C2191" s="9" t="s">
        <v>1844</v>
      </c>
      <c r="D2191" s="5">
        <v>2</v>
      </c>
      <c r="E2191" s="9" t="s">
        <v>3184</v>
      </c>
      <c r="F2191" s="5" t="s">
        <v>86</v>
      </c>
      <c r="G2191" s="5" t="s">
        <v>3177</v>
      </c>
      <c r="H2191" s="5"/>
      <c r="I2191" s="9" t="s">
        <v>3688</v>
      </c>
      <c r="J2191" s="5">
        <v>2030</v>
      </c>
      <c r="K2191" s="5">
        <v>453</v>
      </c>
      <c r="L2191" s="9" t="s">
        <v>5571</v>
      </c>
      <c r="M2191" s="5">
        <v>6</v>
      </c>
      <c r="N2191" s="9" t="s">
        <v>5570</v>
      </c>
      <c r="O2191" s="9" t="str">
        <f t="shared" si="211"/>
        <v>PDFを開く</v>
      </c>
      <c r="P2191" s="9" t="s">
        <v>1851</v>
      </c>
    </row>
    <row r="2192" spans="1:16" ht="33.950000000000003" customHeight="1">
      <c r="A2192" s="2" t="s">
        <v>1843</v>
      </c>
      <c r="B2192" s="2" t="s">
        <v>1595</v>
      </c>
      <c r="C2192" s="8" t="s">
        <v>1844</v>
      </c>
      <c r="D2192" s="2">
        <v>2</v>
      </c>
      <c r="E2192" s="8" t="s">
        <v>3191</v>
      </c>
      <c r="F2192" s="2" t="s">
        <v>2513</v>
      </c>
      <c r="G2192" s="2" t="s">
        <v>3177</v>
      </c>
      <c r="H2192" s="2"/>
      <c r="I2192" s="8" t="s">
        <v>3686</v>
      </c>
      <c r="J2192" s="2">
        <v>2027</v>
      </c>
      <c r="K2192" s="2">
        <v>198</v>
      </c>
      <c r="L2192" s="8" t="s">
        <v>3897</v>
      </c>
      <c r="M2192" s="2"/>
      <c r="N2192" s="8" t="s">
        <v>5572</v>
      </c>
      <c r="O2192" s="8" t="str">
        <f t="shared" si="211"/>
        <v>PDFを開く</v>
      </c>
      <c r="P2192" s="8" t="s">
        <v>1851</v>
      </c>
    </row>
    <row r="2193" spans="1:16" ht="33.950000000000003" customHeight="1">
      <c r="A2193" s="5" t="s">
        <v>1843</v>
      </c>
      <c r="B2193" s="5" t="s">
        <v>1595</v>
      </c>
      <c r="C2193" s="9" t="s">
        <v>1844</v>
      </c>
      <c r="D2193" s="5">
        <v>2</v>
      </c>
      <c r="E2193" s="9" t="s">
        <v>3191</v>
      </c>
      <c r="F2193" s="5" t="s">
        <v>2513</v>
      </c>
      <c r="G2193" s="5" t="s">
        <v>3177</v>
      </c>
      <c r="H2193" s="5"/>
      <c r="I2193" s="9" t="s">
        <v>3688</v>
      </c>
      <c r="J2193" s="5">
        <v>2030</v>
      </c>
      <c r="K2193" s="5">
        <v>241</v>
      </c>
      <c r="L2193" s="9" t="s">
        <v>5567</v>
      </c>
      <c r="M2193" s="5"/>
      <c r="N2193" s="9" t="s">
        <v>5572</v>
      </c>
      <c r="O2193" s="9" t="str">
        <f t="shared" si="211"/>
        <v>PDFを開く</v>
      </c>
      <c r="P2193" s="9" t="s">
        <v>1851</v>
      </c>
    </row>
    <row r="2194" spans="1:16" ht="33.950000000000003" customHeight="1">
      <c r="A2194" s="2" t="s">
        <v>1843</v>
      </c>
      <c r="B2194" s="2" t="s">
        <v>1595</v>
      </c>
      <c r="C2194" s="8" t="s">
        <v>1844</v>
      </c>
      <c r="D2194" s="2">
        <v>2</v>
      </c>
      <c r="E2194" s="8" t="s">
        <v>3188</v>
      </c>
      <c r="F2194" s="2" t="s">
        <v>86</v>
      </c>
      <c r="G2194" s="2" t="s">
        <v>3177</v>
      </c>
      <c r="H2194" s="2"/>
      <c r="I2194" s="8" t="s">
        <v>5573</v>
      </c>
      <c r="J2194" s="2">
        <v>2027</v>
      </c>
      <c r="K2194" s="2"/>
      <c r="L2194" s="8" t="s">
        <v>3211</v>
      </c>
      <c r="M2194" s="2">
        <v>6</v>
      </c>
      <c r="N2194" s="8" t="s">
        <v>5574</v>
      </c>
      <c r="O2194" s="8" t="str">
        <f t="shared" si="211"/>
        <v>PDFを開く</v>
      </c>
      <c r="P2194" s="8" t="s">
        <v>1851</v>
      </c>
    </row>
    <row r="2195" spans="1:16" ht="33.950000000000003" customHeight="1">
      <c r="A2195" s="5" t="s">
        <v>1843</v>
      </c>
      <c r="B2195" s="5" t="s">
        <v>1595</v>
      </c>
      <c r="C2195" s="9" t="s">
        <v>1844</v>
      </c>
      <c r="D2195" s="5">
        <v>2</v>
      </c>
      <c r="E2195" s="9" t="s">
        <v>3188</v>
      </c>
      <c r="F2195" s="5" t="s">
        <v>86</v>
      </c>
      <c r="G2195" s="5" t="s">
        <v>3177</v>
      </c>
      <c r="H2195" s="5"/>
      <c r="I2195" s="9" t="s">
        <v>5575</v>
      </c>
      <c r="J2195" s="5">
        <v>2030</v>
      </c>
      <c r="K2195" s="5"/>
      <c r="L2195" s="9" t="s">
        <v>5576</v>
      </c>
      <c r="M2195" s="5">
        <v>6</v>
      </c>
      <c r="N2195" s="9" t="s">
        <v>5574</v>
      </c>
      <c r="O2195" s="9" t="str">
        <f t="shared" si="211"/>
        <v>PDFを開く</v>
      </c>
      <c r="P2195" s="9" t="s">
        <v>1851</v>
      </c>
    </row>
    <row r="2196" spans="1:16" ht="33.950000000000003" customHeight="1">
      <c r="A2196" s="2" t="s">
        <v>1852</v>
      </c>
      <c r="B2196" s="2" t="s">
        <v>1595</v>
      </c>
      <c r="C2196" s="8" t="s">
        <v>1853</v>
      </c>
      <c r="D2196" s="2">
        <v>2</v>
      </c>
      <c r="E2196" s="8" t="s">
        <v>3176</v>
      </c>
      <c r="F2196" s="2" t="s">
        <v>86</v>
      </c>
      <c r="G2196" s="2" t="s">
        <v>3177</v>
      </c>
      <c r="H2196" s="2" t="s">
        <v>3178</v>
      </c>
      <c r="I2196" s="8" t="s">
        <v>5577</v>
      </c>
      <c r="J2196" s="2">
        <v>2028</v>
      </c>
      <c r="K2196" s="2">
        <v>1304</v>
      </c>
      <c r="L2196" s="8" t="s">
        <v>3482</v>
      </c>
      <c r="M2196" s="2">
        <v>27.7</v>
      </c>
      <c r="N2196" s="8" t="s">
        <v>5578</v>
      </c>
      <c r="O2196" s="8" t="str">
        <f t="shared" ref="O2196:O2204" si="212">HYPERLINK("https://seichotoushi-hojo.jp/assets/pdf/koufu_3_4ji/outline_215.pdf","PDFを開く")</f>
        <v>PDFを開く</v>
      </c>
      <c r="P2196" s="8" t="s">
        <v>1858</v>
      </c>
    </row>
    <row r="2197" spans="1:16" ht="33.950000000000003" customHeight="1">
      <c r="A2197" s="5" t="s">
        <v>1852</v>
      </c>
      <c r="B2197" s="5" t="s">
        <v>1595</v>
      </c>
      <c r="C2197" s="9" t="s">
        <v>1853</v>
      </c>
      <c r="D2197" s="5">
        <v>2</v>
      </c>
      <c r="E2197" s="9" t="s">
        <v>3176</v>
      </c>
      <c r="F2197" s="5" t="s">
        <v>86</v>
      </c>
      <c r="G2197" s="5" t="s">
        <v>3177</v>
      </c>
      <c r="H2197" s="5" t="s">
        <v>3178</v>
      </c>
      <c r="I2197" s="9" t="s">
        <v>5579</v>
      </c>
      <c r="J2197" s="5">
        <v>2031</v>
      </c>
      <c r="K2197" s="5">
        <v>2715</v>
      </c>
      <c r="L2197" s="9" t="s">
        <v>5580</v>
      </c>
      <c r="M2197" s="5">
        <v>27.7</v>
      </c>
      <c r="N2197" s="9" t="s">
        <v>5578</v>
      </c>
      <c r="O2197" s="9" t="str">
        <f t="shared" si="212"/>
        <v>PDFを開く</v>
      </c>
      <c r="P2197" s="9" t="s">
        <v>1858</v>
      </c>
    </row>
    <row r="2198" spans="1:16" ht="33.950000000000003" customHeight="1">
      <c r="A2198" s="2" t="s">
        <v>1852</v>
      </c>
      <c r="B2198" s="2" t="s">
        <v>1595</v>
      </c>
      <c r="C2198" s="8" t="s">
        <v>1853</v>
      </c>
      <c r="D2198" s="2">
        <v>2</v>
      </c>
      <c r="E2198" s="8" t="s">
        <v>3184</v>
      </c>
      <c r="F2198" s="2" t="s">
        <v>86</v>
      </c>
      <c r="G2198" s="2" t="s">
        <v>3177</v>
      </c>
      <c r="H2198" s="2" t="s">
        <v>3178</v>
      </c>
      <c r="I2198" s="8" t="s">
        <v>5577</v>
      </c>
      <c r="J2198" s="2">
        <v>2028</v>
      </c>
      <c r="K2198" s="2">
        <v>626</v>
      </c>
      <c r="L2198" s="8" t="s">
        <v>5371</v>
      </c>
      <c r="M2198" s="2">
        <v>7</v>
      </c>
      <c r="N2198" s="8" t="s">
        <v>5581</v>
      </c>
      <c r="O2198" s="8" t="str">
        <f t="shared" si="212"/>
        <v>PDFを開く</v>
      </c>
      <c r="P2198" s="8" t="s">
        <v>1858</v>
      </c>
    </row>
    <row r="2199" spans="1:16" ht="33.950000000000003" customHeight="1">
      <c r="A2199" s="5" t="s">
        <v>1852</v>
      </c>
      <c r="B2199" s="5" t="s">
        <v>1595</v>
      </c>
      <c r="C2199" s="9" t="s">
        <v>1853</v>
      </c>
      <c r="D2199" s="5">
        <v>2</v>
      </c>
      <c r="E2199" s="9" t="s">
        <v>3184</v>
      </c>
      <c r="F2199" s="5" t="s">
        <v>86</v>
      </c>
      <c r="G2199" s="5" t="s">
        <v>3177</v>
      </c>
      <c r="H2199" s="5" t="s">
        <v>3178</v>
      </c>
      <c r="I2199" s="9" t="s">
        <v>5579</v>
      </c>
      <c r="J2199" s="5">
        <v>2031</v>
      </c>
      <c r="K2199" s="5">
        <v>767</v>
      </c>
      <c r="L2199" s="9" t="s">
        <v>4805</v>
      </c>
      <c r="M2199" s="5">
        <v>7</v>
      </c>
      <c r="N2199" s="9" t="s">
        <v>5581</v>
      </c>
      <c r="O2199" s="9" t="str">
        <f t="shared" si="212"/>
        <v>PDFを開く</v>
      </c>
      <c r="P2199" s="9" t="s">
        <v>1858</v>
      </c>
    </row>
    <row r="2200" spans="1:16" ht="33.950000000000003" customHeight="1">
      <c r="A2200" s="2" t="s">
        <v>1852</v>
      </c>
      <c r="B2200" s="2" t="s">
        <v>1595</v>
      </c>
      <c r="C2200" s="8" t="s">
        <v>1853</v>
      </c>
      <c r="D2200" s="2">
        <v>2</v>
      </c>
      <c r="E2200" s="8" t="s">
        <v>3188</v>
      </c>
      <c r="F2200" s="2" t="s">
        <v>86</v>
      </c>
      <c r="G2200" s="19" t="s">
        <v>3189</v>
      </c>
      <c r="H2200" s="2" t="s">
        <v>3178</v>
      </c>
      <c r="I2200" s="8"/>
      <c r="J2200" s="2"/>
      <c r="K2200" s="2"/>
      <c r="L2200" s="8"/>
      <c r="M2200" s="2">
        <v>5</v>
      </c>
      <c r="N2200" s="8" t="s">
        <v>5582</v>
      </c>
      <c r="O2200" s="8" t="str">
        <f t="shared" si="212"/>
        <v>PDFを開く</v>
      </c>
      <c r="P2200" s="8" t="s">
        <v>1858</v>
      </c>
    </row>
    <row r="2201" spans="1:16" ht="33.950000000000003" customHeight="1">
      <c r="A2201" s="5" t="s">
        <v>1852</v>
      </c>
      <c r="B2201" s="5" t="s">
        <v>1595</v>
      </c>
      <c r="C2201" s="9" t="s">
        <v>1853</v>
      </c>
      <c r="D2201" s="5">
        <v>2</v>
      </c>
      <c r="E2201" s="9" t="s">
        <v>3191</v>
      </c>
      <c r="F2201" s="5" t="s">
        <v>2513</v>
      </c>
      <c r="G2201" s="5" t="s">
        <v>3177</v>
      </c>
      <c r="H2201" s="5" t="s">
        <v>3178</v>
      </c>
      <c r="I2201" s="9" t="s">
        <v>5577</v>
      </c>
      <c r="J2201" s="5">
        <v>2028</v>
      </c>
      <c r="K2201" s="5">
        <v>160</v>
      </c>
      <c r="L2201" s="9" t="s">
        <v>3502</v>
      </c>
      <c r="M2201" s="5"/>
      <c r="N2201" s="9" t="s">
        <v>5583</v>
      </c>
      <c r="O2201" s="9" t="str">
        <f t="shared" si="212"/>
        <v>PDFを開く</v>
      </c>
      <c r="P2201" s="9" t="s">
        <v>1858</v>
      </c>
    </row>
    <row r="2202" spans="1:16" ht="33.950000000000003" customHeight="1">
      <c r="A2202" s="2" t="s">
        <v>1852</v>
      </c>
      <c r="B2202" s="2" t="s">
        <v>1595</v>
      </c>
      <c r="C2202" s="8" t="s">
        <v>1853</v>
      </c>
      <c r="D2202" s="2">
        <v>2</v>
      </c>
      <c r="E2202" s="8" t="s">
        <v>3191</v>
      </c>
      <c r="F2202" s="2" t="s">
        <v>2513</v>
      </c>
      <c r="G2202" s="2" t="s">
        <v>3177</v>
      </c>
      <c r="H2202" s="2" t="s">
        <v>3178</v>
      </c>
      <c r="I2202" s="8" t="s">
        <v>5579</v>
      </c>
      <c r="J2202" s="2">
        <v>2031</v>
      </c>
      <c r="K2202" s="2">
        <v>177</v>
      </c>
      <c r="L2202" s="8" t="s">
        <v>5584</v>
      </c>
      <c r="M2202" s="2"/>
      <c r="N2202" s="8" t="s">
        <v>5583</v>
      </c>
      <c r="O2202" s="8" t="str">
        <f t="shared" si="212"/>
        <v>PDFを開く</v>
      </c>
      <c r="P2202" s="8" t="s">
        <v>1858</v>
      </c>
    </row>
    <row r="2203" spans="1:16" ht="33.950000000000003" customHeight="1">
      <c r="A2203" s="5" t="s">
        <v>1852</v>
      </c>
      <c r="B2203" s="5" t="s">
        <v>1595</v>
      </c>
      <c r="C2203" s="9" t="s">
        <v>1853</v>
      </c>
      <c r="D2203" s="5">
        <v>2</v>
      </c>
      <c r="E2203" s="9" t="s">
        <v>3188</v>
      </c>
      <c r="F2203" s="5" t="s">
        <v>86</v>
      </c>
      <c r="G2203" s="5" t="s">
        <v>3177</v>
      </c>
      <c r="H2203" s="5"/>
      <c r="I2203" s="9" t="s">
        <v>5585</v>
      </c>
      <c r="J2203" s="5">
        <v>2028</v>
      </c>
      <c r="K2203" s="5"/>
      <c r="L2203" s="9" t="s">
        <v>3211</v>
      </c>
      <c r="M2203" s="5">
        <v>5</v>
      </c>
      <c r="N2203" s="9" t="s">
        <v>5586</v>
      </c>
      <c r="O2203" s="9" t="str">
        <f t="shared" si="212"/>
        <v>PDFを開く</v>
      </c>
      <c r="P2203" s="9" t="s">
        <v>1858</v>
      </c>
    </row>
    <row r="2204" spans="1:16" ht="33.950000000000003" customHeight="1">
      <c r="A2204" s="2" t="s">
        <v>1852</v>
      </c>
      <c r="B2204" s="2" t="s">
        <v>1595</v>
      </c>
      <c r="C2204" s="8" t="s">
        <v>1853</v>
      </c>
      <c r="D2204" s="2">
        <v>2</v>
      </c>
      <c r="E2204" s="8" t="s">
        <v>3188</v>
      </c>
      <c r="F2204" s="2" t="s">
        <v>86</v>
      </c>
      <c r="G2204" s="2" t="s">
        <v>3177</v>
      </c>
      <c r="H2204" s="2"/>
      <c r="I2204" s="8" t="s">
        <v>5587</v>
      </c>
      <c r="J2204" s="2">
        <v>2031</v>
      </c>
      <c r="K2204" s="2"/>
      <c r="L2204" s="8" t="s">
        <v>5588</v>
      </c>
      <c r="M2204" s="2">
        <v>5</v>
      </c>
      <c r="N2204" s="8" t="s">
        <v>5586</v>
      </c>
      <c r="O2204" s="8" t="str">
        <f t="shared" si="212"/>
        <v>PDFを開く</v>
      </c>
      <c r="P2204" s="8" t="s">
        <v>1858</v>
      </c>
    </row>
    <row r="2205" spans="1:16" ht="33.950000000000003" customHeight="1">
      <c r="A2205" s="5" t="s">
        <v>1859</v>
      </c>
      <c r="B2205" s="5" t="s">
        <v>1595</v>
      </c>
      <c r="C2205" s="9" t="s">
        <v>1860</v>
      </c>
      <c r="D2205" s="5">
        <v>2</v>
      </c>
      <c r="E2205" s="9" t="s">
        <v>3176</v>
      </c>
      <c r="F2205" s="5" t="s">
        <v>86</v>
      </c>
      <c r="G2205" s="5" t="s">
        <v>3177</v>
      </c>
      <c r="H2205" s="5" t="s">
        <v>3178</v>
      </c>
      <c r="I2205" s="9" t="s">
        <v>3259</v>
      </c>
      <c r="J2205" s="5">
        <v>2027</v>
      </c>
      <c r="K2205" s="5">
        <v>415</v>
      </c>
      <c r="L2205" s="9" t="s">
        <v>4733</v>
      </c>
      <c r="M2205" s="5">
        <v>26.8</v>
      </c>
      <c r="N2205" s="9" t="s">
        <v>5589</v>
      </c>
      <c r="O2205" s="9" t="str">
        <f t="shared" ref="O2205:O2213" si="213">HYPERLINK("https://seichotoushi-hojo.jp/assets/pdf/koufu_3_4ji/outline_216.pdf","PDFを開く")</f>
        <v>PDFを開く</v>
      </c>
      <c r="P2205" s="9" t="s">
        <v>1866</v>
      </c>
    </row>
    <row r="2206" spans="1:16" ht="33.950000000000003" customHeight="1">
      <c r="A2206" s="2" t="s">
        <v>1859</v>
      </c>
      <c r="B2206" s="2" t="s">
        <v>1595</v>
      </c>
      <c r="C2206" s="8" t="s">
        <v>1860</v>
      </c>
      <c r="D2206" s="2">
        <v>2</v>
      </c>
      <c r="E2206" s="8" t="s">
        <v>3176</v>
      </c>
      <c r="F2206" s="2" t="s">
        <v>86</v>
      </c>
      <c r="G2206" s="2" t="s">
        <v>3177</v>
      </c>
      <c r="H2206" s="2" t="s">
        <v>3178</v>
      </c>
      <c r="I2206" s="8" t="s">
        <v>3262</v>
      </c>
      <c r="J2206" s="2">
        <v>2030</v>
      </c>
      <c r="K2206" s="2">
        <v>847</v>
      </c>
      <c r="L2206" s="8" t="s">
        <v>3831</v>
      </c>
      <c r="M2206" s="2">
        <v>26.8</v>
      </c>
      <c r="N2206" s="8" t="s">
        <v>5589</v>
      </c>
      <c r="O2206" s="8" t="str">
        <f t="shared" si="213"/>
        <v>PDFを開く</v>
      </c>
      <c r="P2206" s="8" t="s">
        <v>1866</v>
      </c>
    </row>
    <row r="2207" spans="1:16" ht="33.950000000000003" customHeight="1">
      <c r="A2207" s="5" t="s">
        <v>1859</v>
      </c>
      <c r="B2207" s="5" t="s">
        <v>1595</v>
      </c>
      <c r="C2207" s="9" t="s">
        <v>1860</v>
      </c>
      <c r="D2207" s="5">
        <v>2</v>
      </c>
      <c r="E2207" s="9" t="s">
        <v>3184</v>
      </c>
      <c r="F2207" s="5" t="s">
        <v>86</v>
      </c>
      <c r="G2207" s="5" t="s">
        <v>3177</v>
      </c>
      <c r="H2207" s="5" t="s">
        <v>3178</v>
      </c>
      <c r="I2207" s="9" t="s">
        <v>3259</v>
      </c>
      <c r="J2207" s="5">
        <v>2027</v>
      </c>
      <c r="K2207" s="5">
        <v>367</v>
      </c>
      <c r="L2207" s="9" t="s">
        <v>5590</v>
      </c>
      <c r="M2207" s="5">
        <v>5.5</v>
      </c>
      <c r="N2207" s="9" t="s">
        <v>5591</v>
      </c>
      <c r="O2207" s="9" t="str">
        <f t="shared" si="213"/>
        <v>PDFを開く</v>
      </c>
      <c r="P2207" s="9" t="s">
        <v>1866</v>
      </c>
    </row>
    <row r="2208" spans="1:16" ht="33.950000000000003" customHeight="1">
      <c r="A2208" s="2" t="s">
        <v>1859</v>
      </c>
      <c r="B2208" s="2" t="s">
        <v>1595</v>
      </c>
      <c r="C2208" s="8" t="s">
        <v>1860</v>
      </c>
      <c r="D2208" s="2">
        <v>2</v>
      </c>
      <c r="E2208" s="8" t="s">
        <v>3184</v>
      </c>
      <c r="F2208" s="2" t="s">
        <v>86</v>
      </c>
      <c r="G2208" s="2" t="s">
        <v>3177</v>
      </c>
      <c r="H2208" s="2" t="s">
        <v>3178</v>
      </c>
      <c r="I2208" s="8" t="s">
        <v>3262</v>
      </c>
      <c r="J2208" s="2">
        <v>2030</v>
      </c>
      <c r="K2208" s="2">
        <v>431</v>
      </c>
      <c r="L2208" s="8" t="s">
        <v>3475</v>
      </c>
      <c r="M2208" s="2">
        <v>5.5</v>
      </c>
      <c r="N2208" s="8" t="s">
        <v>5591</v>
      </c>
      <c r="O2208" s="8" t="str">
        <f t="shared" si="213"/>
        <v>PDFを開く</v>
      </c>
      <c r="P2208" s="8" t="s">
        <v>1866</v>
      </c>
    </row>
    <row r="2209" spans="1:16" ht="33.950000000000003" customHeight="1">
      <c r="A2209" s="5" t="s">
        <v>1859</v>
      </c>
      <c r="B2209" s="5" t="s">
        <v>1595</v>
      </c>
      <c r="C2209" s="9" t="s">
        <v>1860</v>
      </c>
      <c r="D2209" s="5">
        <v>2</v>
      </c>
      <c r="E2209" s="9" t="s">
        <v>3188</v>
      </c>
      <c r="F2209" s="5" t="s">
        <v>86</v>
      </c>
      <c r="G2209" s="19" t="s">
        <v>3189</v>
      </c>
      <c r="H2209" s="5" t="s">
        <v>3178</v>
      </c>
      <c r="I2209" s="9"/>
      <c r="J2209" s="5"/>
      <c r="K2209" s="5"/>
      <c r="L2209" s="9"/>
      <c r="M2209" s="5">
        <v>5</v>
      </c>
      <c r="N2209" s="9" t="s">
        <v>3377</v>
      </c>
      <c r="O2209" s="9" t="str">
        <f t="shared" si="213"/>
        <v>PDFを開く</v>
      </c>
      <c r="P2209" s="9" t="s">
        <v>1866</v>
      </c>
    </row>
    <row r="2210" spans="1:16" ht="33.950000000000003" customHeight="1">
      <c r="A2210" s="2" t="s">
        <v>1859</v>
      </c>
      <c r="B2210" s="2" t="s">
        <v>1595</v>
      </c>
      <c r="C2210" s="8" t="s">
        <v>1860</v>
      </c>
      <c r="D2210" s="2">
        <v>2</v>
      </c>
      <c r="E2210" s="8" t="s">
        <v>3191</v>
      </c>
      <c r="F2210" s="2" t="s">
        <v>2513</v>
      </c>
      <c r="G2210" s="2" t="s">
        <v>3177</v>
      </c>
      <c r="H2210" s="2"/>
      <c r="I2210" s="8" t="s">
        <v>3259</v>
      </c>
      <c r="J2210" s="2">
        <v>2027</v>
      </c>
      <c r="K2210" s="2">
        <v>64</v>
      </c>
      <c r="L2210" s="8" t="s">
        <v>4237</v>
      </c>
      <c r="M2210" s="2"/>
      <c r="N2210" s="8" t="s">
        <v>5592</v>
      </c>
      <c r="O2210" s="8" t="str">
        <f t="shared" si="213"/>
        <v>PDFを開く</v>
      </c>
      <c r="P2210" s="8" t="s">
        <v>1866</v>
      </c>
    </row>
    <row r="2211" spans="1:16" ht="33.950000000000003" customHeight="1">
      <c r="A2211" s="5" t="s">
        <v>1859</v>
      </c>
      <c r="B2211" s="5" t="s">
        <v>1595</v>
      </c>
      <c r="C2211" s="9" t="s">
        <v>1860</v>
      </c>
      <c r="D2211" s="5">
        <v>2</v>
      </c>
      <c r="E2211" s="9" t="s">
        <v>3191</v>
      </c>
      <c r="F2211" s="5" t="s">
        <v>2513</v>
      </c>
      <c r="G2211" s="5" t="s">
        <v>3177</v>
      </c>
      <c r="H2211" s="5"/>
      <c r="I2211" s="9" t="s">
        <v>3262</v>
      </c>
      <c r="J2211" s="5">
        <v>2030</v>
      </c>
      <c r="K2211" s="5">
        <v>144</v>
      </c>
      <c r="L2211" s="9" t="s">
        <v>4664</v>
      </c>
      <c r="M2211" s="5"/>
      <c r="N2211" s="9" t="s">
        <v>5592</v>
      </c>
      <c r="O2211" s="9" t="str">
        <f t="shared" si="213"/>
        <v>PDFを開く</v>
      </c>
      <c r="P2211" s="9" t="s">
        <v>1866</v>
      </c>
    </row>
    <row r="2212" spans="1:16" ht="33.950000000000003" customHeight="1">
      <c r="A2212" s="2" t="s">
        <v>1859</v>
      </c>
      <c r="B2212" s="2" t="s">
        <v>1595</v>
      </c>
      <c r="C2212" s="8" t="s">
        <v>1860</v>
      </c>
      <c r="D2212" s="2">
        <v>2</v>
      </c>
      <c r="E2212" s="8" t="s">
        <v>3188</v>
      </c>
      <c r="F2212" s="2" t="s">
        <v>86</v>
      </c>
      <c r="G2212" s="2" t="s">
        <v>3177</v>
      </c>
      <c r="H2212" s="2"/>
      <c r="I2212" s="8" t="s">
        <v>5593</v>
      </c>
      <c r="J2212" s="2">
        <v>2027</v>
      </c>
      <c r="K2212" s="2"/>
      <c r="L2212" s="8" t="s">
        <v>3211</v>
      </c>
      <c r="M2212" s="2">
        <v>5</v>
      </c>
      <c r="N2212" s="8" t="s">
        <v>3382</v>
      </c>
      <c r="O2212" s="8" t="str">
        <f t="shared" si="213"/>
        <v>PDFを開く</v>
      </c>
      <c r="P2212" s="8" t="s">
        <v>1866</v>
      </c>
    </row>
    <row r="2213" spans="1:16" ht="33.950000000000003" customHeight="1">
      <c r="A2213" s="5" t="s">
        <v>1859</v>
      </c>
      <c r="B2213" s="5" t="s">
        <v>1595</v>
      </c>
      <c r="C2213" s="9" t="s">
        <v>1860</v>
      </c>
      <c r="D2213" s="5">
        <v>2</v>
      </c>
      <c r="E2213" s="9" t="s">
        <v>3188</v>
      </c>
      <c r="F2213" s="5" t="s">
        <v>86</v>
      </c>
      <c r="G2213" s="5" t="s">
        <v>3177</v>
      </c>
      <c r="H2213" s="5"/>
      <c r="I2213" s="9" t="s">
        <v>5594</v>
      </c>
      <c r="J2213" s="5">
        <v>2030</v>
      </c>
      <c r="K2213" s="5"/>
      <c r="L2213" s="9" t="s">
        <v>3384</v>
      </c>
      <c r="M2213" s="5">
        <v>5</v>
      </c>
      <c r="N2213" s="9" t="s">
        <v>3382</v>
      </c>
      <c r="O2213" s="9" t="str">
        <f t="shared" si="213"/>
        <v>PDFを開く</v>
      </c>
      <c r="P2213" s="9" t="s">
        <v>1866</v>
      </c>
    </row>
    <row r="2214" spans="1:16" ht="33.950000000000003" customHeight="1">
      <c r="A2214" s="2" t="s">
        <v>1867</v>
      </c>
      <c r="B2214" s="2" t="s">
        <v>1595</v>
      </c>
      <c r="C2214" s="8" t="s">
        <v>1868</v>
      </c>
      <c r="D2214" s="2">
        <v>2</v>
      </c>
      <c r="E2214" s="8" t="s">
        <v>3176</v>
      </c>
      <c r="F2214" s="2" t="s">
        <v>86</v>
      </c>
      <c r="G2214" s="2" t="s">
        <v>3177</v>
      </c>
      <c r="H2214" s="2" t="s">
        <v>3178</v>
      </c>
      <c r="I2214" s="8" t="s">
        <v>3259</v>
      </c>
      <c r="J2214" s="2">
        <v>2027</v>
      </c>
      <c r="K2214" s="2">
        <v>1331</v>
      </c>
      <c r="L2214" s="8" t="s">
        <v>5595</v>
      </c>
      <c r="M2214" s="2">
        <v>20.100000000000001</v>
      </c>
      <c r="N2214" s="8" t="s">
        <v>5596</v>
      </c>
      <c r="O2214" s="8" t="str">
        <f t="shared" ref="O2214:O2224" si="214">HYPERLINK("https://seichotoushi-hojo.jp/assets/pdf/koufu_3_4ji/outline_22.pdf","PDFを開く")</f>
        <v>PDFを開く</v>
      </c>
      <c r="P2214" s="8" t="s">
        <v>1873</v>
      </c>
    </row>
    <row r="2215" spans="1:16" ht="33.950000000000003" customHeight="1">
      <c r="A2215" s="5" t="s">
        <v>1867</v>
      </c>
      <c r="B2215" s="5" t="s">
        <v>1595</v>
      </c>
      <c r="C2215" s="9" t="s">
        <v>1868</v>
      </c>
      <c r="D2215" s="5">
        <v>2</v>
      </c>
      <c r="E2215" s="9" t="s">
        <v>3176</v>
      </c>
      <c r="F2215" s="5" t="s">
        <v>86</v>
      </c>
      <c r="G2215" s="5" t="s">
        <v>3177</v>
      </c>
      <c r="H2215" s="5" t="s">
        <v>3178</v>
      </c>
      <c r="I2215" s="9" t="s">
        <v>3262</v>
      </c>
      <c r="J2215" s="5">
        <v>2030</v>
      </c>
      <c r="K2215" s="5">
        <v>2306</v>
      </c>
      <c r="L2215" s="9" t="s">
        <v>5597</v>
      </c>
      <c r="M2215" s="5">
        <v>20.100000000000001</v>
      </c>
      <c r="N2215" s="9" t="s">
        <v>5596</v>
      </c>
      <c r="O2215" s="9" t="str">
        <f t="shared" si="214"/>
        <v>PDFを開く</v>
      </c>
      <c r="P2215" s="9" t="s">
        <v>1873</v>
      </c>
    </row>
    <row r="2216" spans="1:16" ht="33.950000000000003" customHeight="1">
      <c r="A2216" s="2" t="s">
        <v>1867</v>
      </c>
      <c r="B2216" s="2" t="s">
        <v>1595</v>
      </c>
      <c r="C2216" s="8" t="s">
        <v>1868</v>
      </c>
      <c r="D2216" s="2">
        <v>2</v>
      </c>
      <c r="E2216" s="8" t="s">
        <v>3184</v>
      </c>
      <c r="F2216" s="2" t="s">
        <v>86</v>
      </c>
      <c r="G2216" s="2" t="s">
        <v>3177</v>
      </c>
      <c r="H2216" s="2" t="s">
        <v>3178</v>
      </c>
      <c r="I2216" s="8" t="s">
        <v>3259</v>
      </c>
      <c r="J2216" s="2">
        <v>2027</v>
      </c>
      <c r="K2216" s="2">
        <v>472</v>
      </c>
      <c r="L2216" s="8" t="s">
        <v>3264</v>
      </c>
      <c r="M2216" s="2">
        <v>3</v>
      </c>
      <c r="N2216" s="8" t="s">
        <v>5598</v>
      </c>
      <c r="O2216" s="8" t="str">
        <f t="shared" si="214"/>
        <v>PDFを開く</v>
      </c>
      <c r="P2216" s="8" t="s">
        <v>1873</v>
      </c>
    </row>
    <row r="2217" spans="1:16" ht="33.950000000000003" customHeight="1">
      <c r="A2217" s="5" t="s">
        <v>1867</v>
      </c>
      <c r="B2217" s="5" t="s">
        <v>1595</v>
      </c>
      <c r="C2217" s="9" t="s">
        <v>1868</v>
      </c>
      <c r="D2217" s="5">
        <v>2</v>
      </c>
      <c r="E2217" s="9" t="s">
        <v>3184</v>
      </c>
      <c r="F2217" s="5" t="s">
        <v>86</v>
      </c>
      <c r="G2217" s="5" t="s">
        <v>3177</v>
      </c>
      <c r="H2217" s="5" t="s">
        <v>3178</v>
      </c>
      <c r="I2217" s="9" t="s">
        <v>3262</v>
      </c>
      <c r="J2217" s="5">
        <v>2030</v>
      </c>
      <c r="K2217" s="5">
        <v>566</v>
      </c>
      <c r="L2217" s="9" t="s">
        <v>3791</v>
      </c>
      <c r="M2217" s="5">
        <v>3</v>
      </c>
      <c r="N2217" s="9" t="s">
        <v>5598</v>
      </c>
      <c r="O2217" s="9" t="str">
        <f t="shared" si="214"/>
        <v>PDFを開く</v>
      </c>
      <c r="P2217" s="9" t="s">
        <v>1873</v>
      </c>
    </row>
    <row r="2218" spans="1:16" ht="33.950000000000003" customHeight="1">
      <c r="A2218" s="2" t="s">
        <v>1867</v>
      </c>
      <c r="B2218" s="2" t="s">
        <v>1595</v>
      </c>
      <c r="C2218" s="8" t="s">
        <v>1868</v>
      </c>
      <c r="D2218" s="2">
        <v>2</v>
      </c>
      <c r="E2218" s="8" t="s">
        <v>3188</v>
      </c>
      <c r="F2218" s="2" t="s">
        <v>86</v>
      </c>
      <c r="G2218" s="19" t="s">
        <v>3189</v>
      </c>
      <c r="H2218" s="2" t="s">
        <v>3178</v>
      </c>
      <c r="I2218" s="8"/>
      <c r="J2218" s="2"/>
      <c r="K2218" s="2"/>
      <c r="L2218" s="8"/>
      <c r="M2218" s="2"/>
      <c r="N2218" s="8" t="s">
        <v>3488</v>
      </c>
      <c r="O2218" s="8" t="str">
        <f t="shared" si="214"/>
        <v>PDFを開く</v>
      </c>
      <c r="P2218" s="8" t="s">
        <v>1873</v>
      </c>
    </row>
    <row r="2219" spans="1:16" ht="33.950000000000003" customHeight="1">
      <c r="A2219" s="5" t="s">
        <v>1867</v>
      </c>
      <c r="B2219" s="5" t="s">
        <v>1595</v>
      </c>
      <c r="C2219" s="9" t="s">
        <v>1868</v>
      </c>
      <c r="D2219" s="5">
        <v>2</v>
      </c>
      <c r="E2219" s="9" t="s">
        <v>3191</v>
      </c>
      <c r="F2219" s="5" t="s">
        <v>2513</v>
      </c>
      <c r="G2219" s="5" t="s">
        <v>3177</v>
      </c>
      <c r="H2219" s="5" t="s">
        <v>3178</v>
      </c>
      <c r="I2219" s="9" t="s">
        <v>3259</v>
      </c>
      <c r="J2219" s="5">
        <v>2027</v>
      </c>
      <c r="K2219" s="5">
        <v>638</v>
      </c>
      <c r="L2219" s="9" t="s">
        <v>5599</v>
      </c>
      <c r="M2219" s="5"/>
      <c r="N2219" s="9" t="s">
        <v>5600</v>
      </c>
      <c r="O2219" s="9" t="str">
        <f t="shared" si="214"/>
        <v>PDFを開く</v>
      </c>
      <c r="P2219" s="9" t="s">
        <v>1873</v>
      </c>
    </row>
    <row r="2220" spans="1:16" ht="33.950000000000003" customHeight="1">
      <c r="A2220" s="2" t="s">
        <v>1867</v>
      </c>
      <c r="B2220" s="2" t="s">
        <v>1595</v>
      </c>
      <c r="C2220" s="8" t="s">
        <v>1868</v>
      </c>
      <c r="D2220" s="2">
        <v>2</v>
      </c>
      <c r="E2220" s="8" t="s">
        <v>3191</v>
      </c>
      <c r="F2220" s="2" t="s">
        <v>2513</v>
      </c>
      <c r="G2220" s="2" t="s">
        <v>3177</v>
      </c>
      <c r="H2220" s="2" t="s">
        <v>3178</v>
      </c>
      <c r="I2220" s="8" t="s">
        <v>3262</v>
      </c>
      <c r="J2220" s="2">
        <v>2030</v>
      </c>
      <c r="K2220" s="2">
        <v>742</v>
      </c>
      <c r="L2220" s="8" t="s">
        <v>4366</v>
      </c>
      <c r="M2220" s="2"/>
      <c r="N2220" s="8" t="s">
        <v>5600</v>
      </c>
      <c r="O2220" s="8" t="str">
        <f t="shared" si="214"/>
        <v>PDFを開く</v>
      </c>
      <c r="P2220" s="8" t="s">
        <v>1873</v>
      </c>
    </row>
    <row r="2221" spans="1:16" ht="33.950000000000003" customHeight="1">
      <c r="A2221" s="5" t="s">
        <v>1867</v>
      </c>
      <c r="B2221" s="5" t="s">
        <v>1595</v>
      </c>
      <c r="C2221" s="9" t="s">
        <v>1868</v>
      </c>
      <c r="D2221" s="5">
        <v>2</v>
      </c>
      <c r="E2221" s="9" t="s">
        <v>3184</v>
      </c>
      <c r="F2221" s="5" t="s">
        <v>86</v>
      </c>
      <c r="G2221" s="5" t="s">
        <v>3177</v>
      </c>
      <c r="H2221" s="5"/>
      <c r="I2221" s="9" t="s">
        <v>3686</v>
      </c>
      <c r="J2221" s="5">
        <v>2027</v>
      </c>
      <c r="K2221" s="5">
        <v>472</v>
      </c>
      <c r="L2221" s="9" t="s">
        <v>3264</v>
      </c>
      <c r="M2221" s="5">
        <v>6.3</v>
      </c>
      <c r="N2221" s="9" t="s">
        <v>5601</v>
      </c>
      <c r="O2221" s="9" t="str">
        <f t="shared" si="214"/>
        <v>PDFを開く</v>
      </c>
      <c r="P2221" s="9" t="s">
        <v>1873</v>
      </c>
    </row>
    <row r="2222" spans="1:16" ht="33.950000000000003" customHeight="1">
      <c r="A2222" s="2" t="s">
        <v>1867</v>
      </c>
      <c r="B2222" s="2" t="s">
        <v>1595</v>
      </c>
      <c r="C2222" s="8" t="s">
        <v>1868</v>
      </c>
      <c r="D2222" s="2">
        <v>2</v>
      </c>
      <c r="E2222" s="8" t="s">
        <v>3184</v>
      </c>
      <c r="F2222" s="2" t="s">
        <v>86</v>
      </c>
      <c r="G2222" s="2" t="s">
        <v>3177</v>
      </c>
      <c r="H2222" s="2"/>
      <c r="I2222" s="8" t="s">
        <v>3688</v>
      </c>
      <c r="J2222" s="2">
        <v>2030</v>
      </c>
      <c r="K2222" s="2">
        <v>566</v>
      </c>
      <c r="L2222" s="8" t="s">
        <v>3791</v>
      </c>
      <c r="M2222" s="2">
        <v>6.3</v>
      </c>
      <c r="N2222" s="8" t="s">
        <v>5601</v>
      </c>
      <c r="O2222" s="8" t="str">
        <f t="shared" si="214"/>
        <v>PDFを開く</v>
      </c>
      <c r="P2222" s="8" t="s">
        <v>1873</v>
      </c>
    </row>
    <row r="2223" spans="1:16" ht="33.950000000000003" customHeight="1">
      <c r="A2223" s="5" t="s">
        <v>1867</v>
      </c>
      <c r="B2223" s="5" t="s">
        <v>1595</v>
      </c>
      <c r="C2223" s="9" t="s">
        <v>1868</v>
      </c>
      <c r="D2223" s="5">
        <v>2</v>
      </c>
      <c r="E2223" s="9" t="s">
        <v>3191</v>
      </c>
      <c r="F2223" s="5" t="s">
        <v>2513</v>
      </c>
      <c r="G2223" s="5" t="s">
        <v>3177</v>
      </c>
      <c r="H2223" s="5"/>
      <c r="I2223" s="9" t="s">
        <v>3686</v>
      </c>
      <c r="J2223" s="5">
        <v>2027</v>
      </c>
      <c r="K2223" s="5">
        <v>638</v>
      </c>
      <c r="L2223" s="9" t="s">
        <v>5599</v>
      </c>
      <c r="M2223" s="5"/>
      <c r="N2223" s="9" t="s">
        <v>5602</v>
      </c>
      <c r="O2223" s="9" t="str">
        <f t="shared" si="214"/>
        <v>PDFを開く</v>
      </c>
      <c r="P2223" s="9" t="s">
        <v>1873</v>
      </c>
    </row>
    <row r="2224" spans="1:16" ht="33.950000000000003" customHeight="1">
      <c r="A2224" s="2" t="s">
        <v>1867</v>
      </c>
      <c r="B2224" s="2" t="s">
        <v>1595</v>
      </c>
      <c r="C2224" s="8" t="s">
        <v>1868</v>
      </c>
      <c r="D2224" s="2">
        <v>2</v>
      </c>
      <c r="E2224" s="8" t="s">
        <v>3191</v>
      </c>
      <c r="F2224" s="2" t="s">
        <v>2513</v>
      </c>
      <c r="G2224" s="2" t="s">
        <v>3177</v>
      </c>
      <c r="H2224" s="2"/>
      <c r="I2224" s="8" t="s">
        <v>3688</v>
      </c>
      <c r="J2224" s="2">
        <v>2030</v>
      </c>
      <c r="K2224" s="2">
        <v>742</v>
      </c>
      <c r="L2224" s="8" t="s">
        <v>4366</v>
      </c>
      <c r="M2224" s="2"/>
      <c r="N2224" s="8" t="s">
        <v>5602</v>
      </c>
      <c r="O2224" s="8" t="str">
        <f t="shared" si="214"/>
        <v>PDFを開く</v>
      </c>
      <c r="P2224" s="8" t="s">
        <v>1873</v>
      </c>
    </row>
    <row r="2225" spans="1:16" ht="33.950000000000003" customHeight="1">
      <c r="A2225" s="5" t="s">
        <v>1874</v>
      </c>
      <c r="B2225" s="5" t="s">
        <v>1595</v>
      </c>
      <c r="C2225" s="9" t="s">
        <v>1875</v>
      </c>
      <c r="D2225" s="5">
        <v>2</v>
      </c>
      <c r="E2225" s="9" t="s">
        <v>3176</v>
      </c>
      <c r="F2225" s="5" t="s">
        <v>86</v>
      </c>
      <c r="G2225" s="5" t="s">
        <v>3177</v>
      </c>
      <c r="H2225" s="5"/>
      <c r="I2225" s="9" t="s">
        <v>3302</v>
      </c>
      <c r="J2225" s="5"/>
      <c r="K2225" s="5">
        <v>762</v>
      </c>
      <c r="L2225" s="9" t="s">
        <v>4879</v>
      </c>
      <c r="M2225" s="5">
        <v>26.1</v>
      </c>
      <c r="N2225" s="9" t="s">
        <v>5603</v>
      </c>
      <c r="O2225" s="9" t="str">
        <f t="shared" ref="O2225:O2233" si="215">HYPERLINK("https://seichotoushi-hojo.jp/assets/pdf/koufu_3_4ji/outline_229.pdf","PDFを開く")</f>
        <v>PDFを開く</v>
      </c>
      <c r="P2225" s="9" t="s">
        <v>1880</v>
      </c>
    </row>
    <row r="2226" spans="1:16" ht="33.950000000000003" customHeight="1">
      <c r="A2226" s="2" t="s">
        <v>1874</v>
      </c>
      <c r="B2226" s="2" t="s">
        <v>1595</v>
      </c>
      <c r="C2226" s="8" t="s">
        <v>1875</v>
      </c>
      <c r="D2226" s="2">
        <v>2</v>
      </c>
      <c r="E2226" s="8" t="s">
        <v>3176</v>
      </c>
      <c r="F2226" s="2" t="s">
        <v>86</v>
      </c>
      <c r="G2226" s="2" t="s">
        <v>3177</v>
      </c>
      <c r="H2226" s="2"/>
      <c r="I2226" s="8" t="s">
        <v>3305</v>
      </c>
      <c r="J2226" s="2"/>
      <c r="K2226" s="2">
        <v>1527</v>
      </c>
      <c r="L2226" s="8" t="s">
        <v>5604</v>
      </c>
      <c r="M2226" s="2">
        <v>26.1</v>
      </c>
      <c r="N2226" s="8" t="s">
        <v>5603</v>
      </c>
      <c r="O2226" s="8" t="str">
        <f t="shared" si="215"/>
        <v>PDFを開く</v>
      </c>
      <c r="P2226" s="8" t="s">
        <v>1880</v>
      </c>
    </row>
    <row r="2227" spans="1:16" ht="33.950000000000003" customHeight="1">
      <c r="A2227" s="5" t="s">
        <v>1874</v>
      </c>
      <c r="B2227" s="5" t="s">
        <v>1595</v>
      </c>
      <c r="C2227" s="9" t="s">
        <v>1875</v>
      </c>
      <c r="D2227" s="5">
        <v>2</v>
      </c>
      <c r="E2227" s="9" t="s">
        <v>3184</v>
      </c>
      <c r="F2227" s="5" t="s">
        <v>86</v>
      </c>
      <c r="G2227" s="5" t="s">
        <v>3177</v>
      </c>
      <c r="H2227" s="5"/>
      <c r="I2227" s="9" t="s">
        <v>3302</v>
      </c>
      <c r="J2227" s="5"/>
      <c r="K2227" s="5">
        <v>409</v>
      </c>
      <c r="L2227" s="9" t="s">
        <v>4988</v>
      </c>
      <c r="M2227" s="5">
        <v>6.1</v>
      </c>
      <c r="N2227" s="9" t="s">
        <v>5605</v>
      </c>
      <c r="O2227" s="9" t="str">
        <f t="shared" si="215"/>
        <v>PDFを開く</v>
      </c>
      <c r="P2227" s="9" t="s">
        <v>1880</v>
      </c>
    </row>
    <row r="2228" spans="1:16" ht="33.950000000000003" customHeight="1">
      <c r="A2228" s="2" t="s">
        <v>1874</v>
      </c>
      <c r="B2228" s="2" t="s">
        <v>1595</v>
      </c>
      <c r="C2228" s="8" t="s">
        <v>1875</v>
      </c>
      <c r="D2228" s="2">
        <v>2</v>
      </c>
      <c r="E2228" s="8" t="s">
        <v>3184</v>
      </c>
      <c r="F2228" s="2" t="s">
        <v>86</v>
      </c>
      <c r="G2228" s="2" t="s">
        <v>3177</v>
      </c>
      <c r="H2228" s="2"/>
      <c r="I2228" s="8" t="s">
        <v>3305</v>
      </c>
      <c r="J2228" s="2"/>
      <c r="K2228" s="2">
        <v>488</v>
      </c>
      <c r="L2228" s="8" t="s">
        <v>5606</v>
      </c>
      <c r="M2228" s="2">
        <v>6.1</v>
      </c>
      <c r="N2228" s="8" t="s">
        <v>5605</v>
      </c>
      <c r="O2228" s="8" t="str">
        <f t="shared" si="215"/>
        <v>PDFを開く</v>
      </c>
      <c r="P2228" s="8" t="s">
        <v>1880</v>
      </c>
    </row>
    <row r="2229" spans="1:16" ht="33.950000000000003" customHeight="1">
      <c r="A2229" s="5" t="s">
        <v>1874</v>
      </c>
      <c r="B2229" s="5" t="s">
        <v>1595</v>
      </c>
      <c r="C2229" s="9" t="s">
        <v>1875</v>
      </c>
      <c r="D2229" s="5">
        <v>2</v>
      </c>
      <c r="E2229" s="9" t="s">
        <v>3188</v>
      </c>
      <c r="F2229" s="5" t="s">
        <v>86</v>
      </c>
      <c r="G2229" s="19" t="s">
        <v>3189</v>
      </c>
      <c r="H2229" s="5"/>
      <c r="I2229" s="9"/>
      <c r="J2229" s="5"/>
      <c r="K2229" s="5"/>
      <c r="L2229" s="9"/>
      <c r="M2229" s="5">
        <v>6.1</v>
      </c>
      <c r="N2229" s="9" t="s">
        <v>5607</v>
      </c>
      <c r="O2229" s="9" t="str">
        <f t="shared" si="215"/>
        <v>PDFを開く</v>
      </c>
      <c r="P2229" s="9" t="s">
        <v>1880</v>
      </c>
    </row>
    <row r="2230" spans="1:16" ht="33.950000000000003" customHeight="1">
      <c r="A2230" s="2" t="s">
        <v>1874</v>
      </c>
      <c r="B2230" s="2" t="s">
        <v>1595</v>
      </c>
      <c r="C2230" s="8" t="s">
        <v>1875</v>
      </c>
      <c r="D2230" s="2">
        <v>2</v>
      </c>
      <c r="E2230" s="8" t="s">
        <v>3191</v>
      </c>
      <c r="F2230" s="2" t="s">
        <v>2513</v>
      </c>
      <c r="G2230" s="2" t="s">
        <v>3177</v>
      </c>
      <c r="H2230" s="2"/>
      <c r="I2230" s="8" t="s">
        <v>3302</v>
      </c>
      <c r="J2230" s="2"/>
      <c r="K2230" s="2">
        <v>170</v>
      </c>
      <c r="L2230" s="8" t="s">
        <v>4164</v>
      </c>
      <c r="M2230" s="2"/>
      <c r="N2230" s="8" t="s">
        <v>5608</v>
      </c>
      <c r="O2230" s="8" t="str">
        <f t="shared" si="215"/>
        <v>PDFを開く</v>
      </c>
      <c r="P2230" s="8" t="s">
        <v>1880</v>
      </c>
    </row>
    <row r="2231" spans="1:16" ht="33.950000000000003" customHeight="1">
      <c r="A2231" s="5" t="s">
        <v>1874</v>
      </c>
      <c r="B2231" s="5" t="s">
        <v>1595</v>
      </c>
      <c r="C2231" s="9" t="s">
        <v>1875</v>
      </c>
      <c r="D2231" s="5">
        <v>2</v>
      </c>
      <c r="E2231" s="9" t="s">
        <v>3191</v>
      </c>
      <c r="F2231" s="5" t="s">
        <v>2513</v>
      </c>
      <c r="G2231" s="5" t="s">
        <v>3177</v>
      </c>
      <c r="H2231" s="5"/>
      <c r="I2231" s="9" t="s">
        <v>3305</v>
      </c>
      <c r="J2231" s="5"/>
      <c r="K2231" s="5">
        <v>205</v>
      </c>
      <c r="L2231" s="9" t="s">
        <v>5609</v>
      </c>
      <c r="M2231" s="5"/>
      <c r="N2231" s="9" t="s">
        <v>5608</v>
      </c>
      <c r="O2231" s="9" t="str">
        <f t="shared" si="215"/>
        <v>PDFを開く</v>
      </c>
      <c r="P2231" s="9" t="s">
        <v>1880</v>
      </c>
    </row>
    <row r="2232" spans="1:16" ht="33.950000000000003" customHeight="1">
      <c r="A2232" s="2" t="s">
        <v>1874</v>
      </c>
      <c r="B2232" s="2" t="s">
        <v>1595</v>
      </c>
      <c r="C2232" s="8" t="s">
        <v>1875</v>
      </c>
      <c r="D2232" s="2">
        <v>2</v>
      </c>
      <c r="E2232" s="8" t="s">
        <v>3188</v>
      </c>
      <c r="F2232" s="2" t="s">
        <v>86</v>
      </c>
      <c r="G2232" s="2" t="s">
        <v>3177</v>
      </c>
      <c r="H2232" s="2"/>
      <c r="I2232" s="8" t="s">
        <v>5610</v>
      </c>
      <c r="J2232" s="2"/>
      <c r="K2232" s="2"/>
      <c r="L2232" s="8" t="s">
        <v>3211</v>
      </c>
      <c r="M2232" s="2">
        <v>6.1</v>
      </c>
      <c r="N2232" s="8" t="s">
        <v>5611</v>
      </c>
      <c r="O2232" s="8" t="str">
        <f t="shared" si="215"/>
        <v>PDFを開く</v>
      </c>
      <c r="P2232" s="8" t="s">
        <v>1880</v>
      </c>
    </row>
    <row r="2233" spans="1:16" ht="33.950000000000003" customHeight="1">
      <c r="A2233" s="5" t="s">
        <v>1874</v>
      </c>
      <c r="B2233" s="5" t="s">
        <v>1595</v>
      </c>
      <c r="C2233" s="9" t="s">
        <v>1875</v>
      </c>
      <c r="D2233" s="5">
        <v>2</v>
      </c>
      <c r="E2233" s="9" t="s">
        <v>3188</v>
      </c>
      <c r="F2233" s="5" t="s">
        <v>86</v>
      </c>
      <c r="G2233" s="5" t="s">
        <v>3177</v>
      </c>
      <c r="H2233" s="5"/>
      <c r="I2233" s="9" t="s">
        <v>5612</v>
      </c>
      <c r="J2233" s="5"/>
      <c r="K2233" s="5"/>
      <c r="L2233" s="9" t="s">
        <v>5613</v>
      </c>
      <c r="M2233" s="5">
        <v>6.1</v>
      </c>
      <c r="N2233" s="9" t="s">
        <v>5611</v>
      </c>
      <c r="O2233" s="9" t="str">
        <f t="shared" si="215"/>
        <v>PDFを開く</v>
      </c>
      <c r="P2233" s="9" t="s">
        <v>1880</v>
      </c>
    </row>
    <row r="2234" spans="1:16" ht="33.950000000000003" customHeight="1">
      <c r="A2234" s="2" t="s">
        <v>1881</v>
      </c>
      <c r="B2234" s="2" t="s">
        <v>1595</v>
      </c>
      <c r="C2234" s="8" t="s">
        <v>1882</v>
      </c>
      <c r="D2234" s="2">
        <v>2</v>
      </c>
      <c r="E2234" s="8" t="s">
        <v>3176</v>
      </c>
      <c r="F2234" s="2" t="s">
        <v>86</v>
      </c>
      <c r="G2234" s="2" t="s">
        <v>3177</v>
      </c>
      <c r="H2234" s="2" t="s">
        <v>3178</v>
      </c>
      <c r="I2234" s="8" t="s">
        <v>3259</v>
      </c>
      <c r="J2234" s="2">
        <v>2027</v>
      </c>
      <c r="K2234" s="2">
        <v>726</v>
      </c>
      <c r="L2234" s="8" t="s">
        <v>5614</v>
      </c>
      <c r="M2234" s="2">
        <v>35.4</v>
      </c>
      <c r="N2234" s="8" t="s">
        <v>5615</v>
      </c>
      <c r="O2234" s="8" t="str">
        <f t="shared" ref="O2234:O2242" si="216">HYPERLINK("https://seichotoushi-hojo.jp/assets/pdf/koufu_3_4ji/outline_23.pdf","PDFを開く")</f>
        <v>PDFを開く</v>
      </c>
      <c r="P2234" s="8" t="s">
        <v>1887</v>
      </c>
    </row>
    <row r="2235" spans="1:16" ht="33.950000000000003" customHeight="1">
      <c r="A2235" s="5" t="s">
        <v>1881</v>
      </c>
      <c r="B2235" s="5" t="s">
        <v>1595</v>
      </c>
      <c r="C2235" s="9" t="s">
        <v>1882</v>
      </c>
      <c r="D2235" s="5">
        <v>2</v>
      </c>
      <c r="E2235" s="9" t="s">
        <v>3176</v>
      </c>
      <c r="F2235" s="5" t="s">
        <v>86</v>
      </c>
      <c r="G2235" s="5" t="s">
        <v>3177</v>
      </c>
      <c r="H2235" s="5" t="s">
        <v>3178</v>
      </c>
      <c r="I2235" s="9" t="s">
        <v>3262</v>
      </c>
      <c r="J2235" s="5">
        <v>2030</v>
      </c>
      <c r="K2235" s="5">
        <v>1802</v>
      </c>
      <c r="L2235" s="9" t="s">
        <v>5616</v>
      </c>
      <c r="M2235" s="5">
        <v>35.4</v>
      </c>
      <c r="N2235" s="9" t="s">
        <v>5615</v>
      </c>
      <c r="O2235" s="9" t="str">
        <f t="shared" si="216"/>
        <v>PDFを開く</v>
      </c>
      <c r="P2235" s="9" t="s">
        <v>1887</v>
      </c>
    </row>
    <row r="2236" spans="1:16" ht="33.950000000000003" customHeight="1">
      <c r="A2236" s="2" t="s">
        <v>1881</v>
      </c>
      <c r="B2236" s="2" t="s">
        <v>1595</v>
      </c>
      <c r="C2236" s="8" t="s">
        <v>1882</v>
      </c>
      <c r="D2236" s="2">
        <v>2</v>
      </c>
      <c r="E2236" s="8" t="s">
        <v>3184</v>
      </c>
      <c r="F2236" s="2" t="s">
        <v>86</v>
      </c>
      <c r="G2236" s="2" t="s">
        <v>3177</v>
      </c>
      <c r="H2236" s="2" t="s">
        <v>3178</v>
      </c>
      <c r="I2236" s="8" t="s">
        <v>3259</v>
      </c>
      <c r="J2236" s="2">
        <v>2027</v>
      </c>
      <c r="K2236" s="2">
        <v>626</v>
      </c>
      <c r="L2236" s="8" t="s">
        <v>5371</v>
      </c>
      <c r="M2236" s="2">
        <v>7.5</v>
      </c>
      <c r="N2236" s="8" t="s">
        <v>5617</v>
      </c>
      <c r="O2236" s="8" t="str">
        <f t="shared" si="216"/>
        <v>PDFを開く</v>
      </c>
      <c r="P2236" s="8" t="s">
        <v>1887</v>
      </c>
    </row>
    <row r="2237" spans="1:16" ht="33.950000000000003" customHeight="1">
      <c r="A2237" s="5" t="s">
        <v>1881</v>
      </c>
      <c r="B2237" s="5" t="s">
        <v>1595</v>
      </c>
      <c r="C2237" s="9" t="s">
        <v>1882</v>
      </c>
      <c r="D2237" s="5">
        <v>2</v>
      </c>
      <c r="E2237" s="9" t="s">
        <v>3184</v>
      </c>
      <c r="F2237" s="5" t="s">
        <v>86</v>
      </c>
      <c r="G2237" s="5" t="s">
        <v>3177</v>
      </c>
      <c r="H2237" s="5" t="s">
        <v>3178</v>
      </c>
      <c r="I2237" s="9" t="s">
        <v>3262</v>
      </c>
      <c r="J2237" s="5">
        <v>2030</v>
      </c>
      <c r="K2237" s="5">
        <v>777</v>
      </c>
      <c r="L2237" s="9" t="s">
        <v>5618</v>
      </c>
      <c r="M2237" s="5">
        <v>7.5</v>
      </c>
      <c r="N2237" s="9" t="s">
        <v>5617</v>
      </c>
      <c r="O2237" s="9" t="str">
        <f t="shared" si="216"/>
        <v>PDFを開く</v>
      </c>
      <c r="P2237" s="9" t="s">
        <v>1887</v>
      </c>
    </row>
    <row r="2238" spans="1:16" ht="33.950000000000003" customHeight="1">
      <c r="A2238" s="2" t="s">
        <v>1881</v>
      </c>
      <c r="B2238" s="2" t="s">
        <v>1595</v>
      </c>
      <c r="C2238" s="8" t="s">
        <v>1882</v>
      </c>
      <c r="D2238" s="2">
        <v>2</v>
      </c>
      <c r="E2238" s="8" t="s">
        <v>3188</v>
      </c>
      <c r="F2238" s="2" t="s">
        <v>86</v>
      </c>
      <c r="G2238" s="19" t="s">
        <v>3189</v>
      </c>
      <c r="H2238" s="2" t="s">
        <v>3178</v>
      </c>
      <c r="I2238" s="8"/>
      <c r="J2238" s="2"/>
      <c r="K2238" s="2"/>
      <c r="L2238" s="8"/>
      <c r="M2238" s="2">
        <v>7.5</v>
      </c>
      <c r="N2238" s="8" t="s">
        <v>5619</v>
      </c>
      <c r="O2238" s="8" t="str">
        <f t="shared" si="216"/>
        <v>PDFを開く</v>
      </c>
      <c r="P2238" s="8" t="s">
        <v>1887</v>
      </c>
    </row>
    <row r="2239" spans="1:16" ht="33.950000000000003" customHeight="1">
      <c r="A2239" s="5" t="s">
        <v>1881</v>
      </c>
      <c r="B2239" s="5" t="s">
        <v>1595</v>
      </c>
      <c r="C2239" s="9" t="s">
        <v>1882</v>
      </c>
      <c r="D2239" s="5">
        <v>2</v>
      </c>
      <c r="E2239" s="9" t="s">
        <v>3191</v>
      </c>
      <c r="F2239" s="5" t="s">
        <v>2513</v>
      </c>
      <c r="G2239" s="5" t="s">
        <v>3177</v>
      </c>
      <c r="H2239" s="5" t="s">
        <v>3178</v>
      </c>
      <c r="I2239" s="9" t="s">
        <v>3259</v>
      </c>
      <c r="J2239" s="5">
        <v>2027</v>
      </c>
      <c r="K2239" s="5">
        <v>135</v>
      </c>
      <c r="L2239" s="9" t="s">
        <v>4992</v>
      </c>
      <c r="M2239" s="5"/>
      <c r="N2239" s="9" t="s">
        <v>5620</v>
      </c>
      <c r="O2239" s="9" t="str">
        <f t="shared" si="216"/>
        <v>PDFを開く</v>
      </c>
      <c r="P2239" s="9" t="s">
        <v>1887</v>
      </c>
    </row>
    <row r="2240" spans="1:16" ht="33.950000000000003" customHeight="1">
      <c r="A2240" s="2" t="s">
        <v>1881</v>
      </c>
      <c r="B2240" s="2" t="s">
        <v>1595</v>
      </c>
      <c r="C2240" s="8" t="s">
        <v>1882</v>
      </c>
      <c r="D2240" s="2">
        <v>2</v>
      </c>
      <c r="E2240" s="8" t="s">
        <v>3191</v>
      </c>
      <c r="F2240" s="2" t="s">
        <v>2513</v>
      </c>
      <c r="G2240" s="2" t="s">
        <v>3177</v>
      </c>
      <c r="H2240" s="2" t="s">
        <v>3178</v>
      </c>
      <c r="I2240" s="8" t="s">
        <v>3262</v>
      </c>
      <c r="J2240" s="2">
        <v>2030</v>
      </c>
      <c r="K2240" s="2">
        <v>145</v>
      </c>
      <c r="L2240" s="8" t="s">
        <v>3455</v>
      </c>
      <c r="M2240" s="2"/>
      <c r="N2240" s="8" t="s">
        <v>5620</v>
      </c>
      <c r="O2240" s="8" t="str">
        <f t="shared" si="216"/>
        <v>PDFを開く</v>
      </c>
      <c r="P2240" s="8" t="s">
        <v>1887</v>
      </c>
    </row>
    <row r="2241" spans="1:16" ht="33.950000000000003" customHeight="1">
      <c r="A2241" s="5" t="s">
        <v>1881</v>
      </c>
      <c r="B2241" s="5" t="s">
        <v>1595</v>
      </c>
      <c r="C2241" s="9" t="s">
        <v>1882</v>
      </c>
      <c r="D2241" s="5">
        <v>2</v>
      </c>
      <c r="E2241" s="9" t="s">
        <v>3188</v>
      </c>
      <c r="F2241" s="5" t="s">
        <v>86</v>
      </c>
      <c r="G2241" s="5" t="s">
        <v>3177</v>
      </c>
      <c r="H2241" s="5"/>
      <c r="I2241" s="9" t="s">
        <v>5621</v>
      </c>
      <c r="J2241" s="5">
        <v>2027</v>
      </c>
      <c r="K2241" s="5"/>
      <c r="L2241" s="9" t="s">
        <v>3211</v>
      </c>
      <c r="M2241" s="5">
        <v>7.5</v>
      </c>
      <c r="N2241" s="9" t="s">
        <v>5622</v>
      </c>
      <c r="O2241" s="9" t="str">
        <f t="shared" si="216"/>
        <v>PDFを開く</v>
      </c>
      <c r="P2241" s="9" t="s">
        <v>1887</v>
      </c>
    </row>
    <row r="2242" spans="1:16" ht="33.950000000000003" customHeight="1">
      <c r="A2242" s="2" t="s">
        <v>1881</v>
      </c>
      <c r="B2242" s="2" t="s">
        <v>1595</v>
      </c>
      <c r="C2242" s="8" t="s">
        <v>1882</v>
      </c>
      <c r="D2242" s="2">
        <v>2</v>
      </c>
      <c r="E2242" s="8" t="s">
        <v>3188</v>
      </c>
      <c r="F2242" s="2" t="s">
        <v>86</v>
      </c>
      <c r="G2242" s="2" t="s">
        <v>3177</v>
      </c>
      <c r="H2242" s="2"/>
      <c r="I2242" s="8" t="s">
        <v>5623</v>
      </c>
      <c r="J2242" s="2">
        <v>2030</v>
      </c>
      <c r="K2242" s="2"/>
      <c r="L2242" s="8" t="s">
        <v>5624</v>
      </c>
      <c r="M2242" s="2">
        <v>7.5</v>
      </c>
      <c r="N2242" s="8" t="s">
        <v>5622</v>
      </c>
      <c r="O2242" s="8" t="str">
        <f t="shared" si="216"/>
        <v>PDFを開く</v>
      </c>
      <c r="P2242" s="8" t="s">
        <v>1887</v>
      </c>
    </row>
    <row r="2243" spans="1:16" ht="33.950000000000003" customHeight="1">
      <c r="A2243" s="5" t="s">
        <v>1888</v>
      </c>
      <c r="B2243" s="5" t="s">
        <v>1595</v>
      </c>
      <c r="C2243" s="9" t="s">
        <v>1889</v>
      </c>
      <c r="D2243" s="5">
        <v>2</v>
      </c>
      <c r="E2243" s="9" t="s">
        <v>3176</v>
      </c>
      <c r="F2243" s="5" t="s">
        <v>86</v>
      </c>
      <c r="G2243" s="19" t="s">
        <v>3494</v>
      </c>
      <c r="H2243" s="5"/>
      <c r="I2243" s="9" t="s">
        <v>3259</v>
      </c>
      <c r="J2243" s="5">
        <v>2027</v>
      </c>
      <c r="K2243" s="5">
        <v>855</v>
      </c>
      <c r="L2243" s="9" t="s">
        <v>5625</v>
      </c>
      <c r="M2243" s="5">
        <v>12.9</v>
      </c>
      <c r="N2243" s="9" t="s">
        <v>5626</v>
      </c>
      <c r="O2243" s="9" t="str">
        <f t="shared" ref="O2243:O2263" si="217">HYPERLINK("https://seichotoushi-hojo.jp/assets/pdf/koufu_3_4ji/outline_232.pdf","PDFを開く")</f>
        <v>PDFを開く</v>
      </c>
      <c r="P2243" s="9" t="s">
        <v>1896</v>
      </c>
    </row>
    <row r="2244" spans="1:16" ht="33.950000000000003" customHeight="1">
      <c r="A2244" s="2" t="s">
        <v>1888</v>
      </c>
      <c r="B2244" s="2" t="s">
        <v>1595</v>
      </c>
      <c r="C2244" s="8" t="s">
        <v>1889</v>
      </c>
      <c r="D2244" s="2">
        <v>2</v>
      </c>
      <c r="E2244" s="8" t="s">
        <v>3176</v>
      </c>
      <c r="F2244" s="2" t="s">
        <v>86</v>
      </c>
      <c r="G2244" s="19" t="s">
        <v>3494</v>
      </c>
      <c r="H2244" s="2"/>
      <c r="I2244" s="8" t="s">
        <v>3262</v>
      </c>
      <c r="J2244" s="2">
        <v>2030</v>
      </c>
      <c r="K2244" s="2">
        <v>1232</v>
      </c>
      <c r="L2244" s="8" t="s">
        <v>5627</v>
      </c>
      <c r="M2244" s="2">
        <v>12.9</v>
      </c>
      <c r="N2244" s="8" t="s">
        <v>5626</v>
      </c>
      <c r="O2244" s="8" t="str">
        <f t="shared" si="217"/>
        <v>PDFを開く</v>
      </c>
      <c r="P2244" s="8" t="s">
        <v>1896</v>
      </c>
    </row>
    <row r="2245" spans="1:16" ht="33.950000000000003" customHeight="1">
      <c r="A2245" s="5" t="s">
        <v>1888</v>
      </c>
      <c r="B2245" s="5" t="s">
        <v>1595</v>
      </c>
      <c r="C2245" s="9" t="s">
        <v>1889</v>
      </c>
      <c r="D2245" s="5">
        <v>2</v>
      </c>
      <c r="E2245" s="9" t="s">
        <v>3176</v>
      </c>
      <c r="F2245" s="5" t="s">
        <v>86</v>
      </c>
      <c r="G2245" s="19" t="s">
        <v>3494</v>
      </c>
      <c r="H2245" s="5"/>
      <c r="I2245" s="9" t="s">
        <v>3259</v>
      </c>
      <c r="J2245" s="5">
        <v>2027</v>
      </c>
      <c r="K2245" s="5">
        <v>1232</v>
      </c>
      <c r="L2245" s="9" t="s">
        <v>5627</v>
      </c>
      <c r="M2245" s="5">
        <v>12.9</v>
      </c>
      <c r="N2245" s="9" t="s">
        <v>5626</v>
      </c>
      <c r="O2245" s="9" t="str">
        <f t="shared" si="217"/>
        <v>PDFを開く</v>
      </c>
      <c r="P2245" s="9" t="s">
        <v>1896</v>
      </c>
    </row>
    <row r="2246" spans="1:16" ht="33.950000000000003" customHeight="1">
      <c r="A2246" s="2" t="s">
        <v>1888</v>
      </c>
      <c r="B2246" s="2" t="s">
        <v>1595</v>
      </c>
      <c r="C2246" s="8" t="s">
        <v>1889</v>
      </c>
      <c r="D2246" s="2">
        <v>2</v>
      </c>
      <c r="E2246" s="8" t="s">
        <v>3176</v>
      </c>
      <c r="F2246" s="2" t="s">
        <v>86</v>
      </c>
      <c r="G2246" s="19" t="s">
        <v>3494</v>
      </c>
      <c r="H2246" s="2"/>
      <c r="I2246" s="8" t="s">
        <v>3262</v>
      </c>
      <c r="J2246" s="2">
        <v>2030</v>
      </c>
      <c r="K2246" s="2">
        <v>4771</v>
      </c>
      <c r="L2246" s="8" t="s">
        <v>5628</v>
      </c>
      <c r="M2246" s="2">
        <v>12.9</v>
      </c>
      <c r="N2246" s="8" t="s">
        <v>5626</v>
      </c>
      <c r="O2246" s="8" t="str">
        <f t="shared" si="217"/>
        <v>PDFを開く</v>
      </c>
      <c r="P2246" s="8" t="s">
        <v>1896</v>
      </c>
    </row>
    <row r="2247" spans="1:16" ht="33.950000000000003" customHeight="1">
      <c r="A2247" s="5" t="s">
        <v>1888</v>
      </c>
      <c r="B2247" s="5" t="s">
        <v>1595</v>
      </c>
      <c r="C2247" s="9" t="s">
        <v>1889</v>
      </c>
      <c r="D2247" s="5">
        <v>2</v>
      </c>
      <c r="E2247" s="9" t="s">
        <v>3184</v>
      </c>
      <c r="F2247" s="5" t="s">
        <v>86</v>
      </c>
      <c r="G2247" s="19" t="s">
        <v>3494</v>
      </c>
      <c r="H2247" s="5"/>
      <c r="I2247" s="9" t="s">
        <v>3259</v>
      </c>
      <c r="J2247" s="5">
        <v>2027</v>
      </c>
      <c r="K2247" s="5">
        <v>431</v>
      </c>
      <c r="L2247" s="9" t="s">
        <v>3475</v>
      </c>
      <c r="M2247" s="5">
        <v>6</v>
      </c>
      <c r="N2247" s="9" t="s">
        <v>5629</v>
      </c>
      <c r="O2247" s="9" t="str">
        <f t="shared" si="217"/>
        <v>PDFを開く</v>
      </c>
      <c r="P2247" s="9" t="s">
        <v>1896</v>
      </c>
    </row>
    <row r="2248" spans="1:16" ht="33.950000000000003" customHeight="1">
      <c r="A2248" s="2" t="s">
        <v>1888</v>
      </c>
      <c r="B2248" s="2" t="s">
        <v>1595</v>
      </c>
      <c r="C2248" s="8" t="s">
        <v>1889</v>
      </c>
      <c r="D2248" s="2">
        <v>2</v>
      </c>
      <c r="E2248" s="8" t="s">
        <v>3184</v>
      </c>
      <c r="F2248" s="2" t="s">
        <v>86</v>
      </c>
      <c r="G2248" s="19" t="s">
        <v>3494</v>
      </c>
      <c r="H2248" s="2"/>
      <c r="I2248" s="8" t="s">
        <v>3262</v>
      </c>
      <c r="J2248" s="2">
        <v>2030</v>
      </c>
      <c r="K2248" s="2">
        <v>513</v>
      </c>
      <c r="L2248" s="8" t="s">
        <v>5491</v>
      </c>
      <c r="M2248" s="2">
        <v>6</v>
      </c>
      <c r="N2248" s="8" t="s">
        <v>5629</v>
      </c>
      <c r="O2248" s="8" t="str">
        <f t="shared" si="217"/>
        <v>PDFを開く</v>
      </c>
      <c r="P2248" s="8" t="s">
        <v>1896</v>
      </c>
    </row>
    <row r="2249" spans="1:16" ht="33.950000000000003" customHeight="1">
      <c r="A2249" s="5" t="s">
        <v>1888</v>
      </c>
      <c r="B2249" s="5" t="s">
        <v>1595</v>
      </c>
      <c r="C2249" s="9" t="s">
        <v>1889</v>
      </c>
      <c r="D2249" s="5">
        <v>2</v>
      </c>
      <c r="E2249" s="9" t="s">
        <v>3184</v>
      </c>
      <c r="F2249" s="5" t="s">
        <v>86</v>
      </c>
      <c r="G2249" s="19" t="s">
        <v>3494</v>
      </c>
      <c r="H2249" s="5"/>
      <c r="I2249" s="9" t="s">
        <v>3259</v>
      </c>
      <c r="J2249" s="5">
        <v>2027</v>
      </c>
      <c r="K2249" s="5">
        <v>529</v>
      </c>
      <c r="L2249" s="9" t="s">
        <v>4599</v>
      </c>
      <c r="M2249" s="5">
        <v>6</v>
      </c>
      <c r="N2249" s="9" t="s">
        <v>5629</v>
      </c>
      <c r="O2249" s="9" t="str">
        <f t="shared" si="217"/>
        <v>PDFを開く</v>
      </c>
      <c r="P2249" s="9" t="s">
        <v>1896</v>
      </c>
    </row>
    <row r="2250" spans="1:16" ht="33.950000000000003" customHeight="1">
      <c r="A2250" s="2" t="s">
        <v>1888</v>
      </c>
      <c r="B2250" s="2" t="s">
        <v>1595</v>
      </c>
      <c r="C2250" s="8" t="s">
        <v>1889</v>
      </c>
      <c r="D2250" s="2">
        <v>2</v>
      </c>
      <c r="E2250" s="8" t="s">
        <v>3184</v>
      </c>
      <c r="F2250" s="2" t="s">
        <v>86</v>
      </c>
      <c r="G2250" s="19" t="s">
        <v>3494</v>
      </c>
      <c r="H2250" s="2"/>
      <c r="I2250" s="8" t="s">
        <v>3262</v>
      </c>
      <c r="J2250" s="2">
        <v>2030</v>
      </c>
      <c r="K2250" s="2">
        <v>630</v>
      </c>
      <c r="L2250" s="8" t="s">
        <v>5488</v>
      </c>
      <c r="M2250" s="2">
        <v>6</v>
      </c>
      <c r="N2250" s="8" t="s">
        <v>5629</v>
      </c>
      <c r="O2250" s="8" t="str">
        <f t="shared" si="217"/>
        <v>PDFを開く</v>
      </c>
      <c r="P2250" s="8" t="s">
        <v>1896</v>
      </c>
    </row>
    <row r="2251" spans="1:16" ht="33.950000000000003" customHeight="1">
      <c r="A2251" s="5" t="s">
        <v>1888</v>
      </c>
      <c r="B2251" s="5" t="s">
        <v>1595</v>
      </c>
      <c r="C2251" s="9" t="s">
        <v>1889</v>
      </c>
      <c r="D2251" s="5">
        <v>2</v>
      </c>
      <c r="E2251" s="9" t="s">
        <v>3188</v>
      </c>
      <c r="F2251" s="5" t="s">
        <v>86</v>
      </c>
      <c r="G2251" s="19" t="s">
        <v>3494</v>
      </c>
      <c r="H2251" s="5"/>
      <c r="I2251" s="9"/>
      <c r="J2251" s="5"/>
      <c r="K2251" s="5"/>
      <c r="L2251" s="9"/>
      <c r="M2251" s="5">
        <v>6</v>
      </c>
      <c r="N2251" s="9" t="s">
        <v>5630</v>
      </c>
      <c r="O2251" s="9" t="str">
        <f t="shared" si="217"/>
        <v>PDFを開く</v>
      </c>
      <c r="P2251" s="9" t="s">
        <v>1896</v>
      </c>
    </row>
    <row r="2252" spans="1:16" ht="33.950000000000003" customHeight="1">
      <c r="A2252" s="2" t="s">
        <v>1888</v>
      </c>
      <c r="B2252" s="2" t="s">
        <v>1595</v>
      </c>
      <c r="C2252" s="8" t="s">
        <v>1889</v>
      </c>
      <c r="D2252" s="2">
        <v>2</v>
      </c>
      <c r="E2252" s="8" t="s">
        <v>3191</v>
      </c>
      <c r="F2252" s="2" t="s">
        <v>2513</v>
      </c>
      <c r="G2252" s="19" t="s">
        <v>3494</v>
      </c>
      <c r="H2252" s="2"/>
      <c r="I2252" s="8" t="s">
        <v>3259</v>
      </c>
      <c r="J2252" s="2">
        <v>2027</v>
      </c>
      <c r="K2252" s="2">
        <v>21</v>
      </c>
      <c r="L2252" s="8" t="s">
        <v>4223</v>
      </c>
      <c r="M2252" s="2"/>
      <c r="N2252" s="8" t="s">
        <v>5631</v>
      </c>
      <c r="O2252" s="8" t="str">
        <f t="shared" si="217"/>
        <v>PDFを開く</v>
      </c>
      <c r="P2252" s="8" t="s">
        <v>1896</v>
      </c>
    </row>
    <row r="2253" spans="1:16" ht="33.950000000000003" customHeight="1">
      <c r="A2253" s="5" t="s">
        <v>1888</v>
      </c>
      <c r="B2253" s="5" t="s">
        <v>1595</v>
      </c>
      <c r="C2253" s="9" t="s">
        <v>1889</v>
      </c>
      <c r="D2253" s="5">
        <v>2</v>
      </c>
      <c r="E2253" s="9" t="s">
        <v>3191</v>
      </c>
      <c r="F2253" s="5" t="s">
        <v>2513</v>
      </c>
      <c r="G2253" s="19" t="s">
        <v>3494</v>
      </c>
      <c r="H2253" s="5"/>
      <c r="I2253" s="9" t="s">
        <v>3262</v>
      </c>
      <c r="J2253" s="5">
        <v>2030</v>
      </c>
      <c r="K2253" s="5">
        <v>25</v>
      </c>
      <c r="L2253" s="9" t="s">
        <v>3885</v>
      </c>
      <c r="M2253" s="5"/>
      <c r="N2253" s="9" t="s">
        <v>5631</v>
      </c>
      <c r="O2253" s="9" t="str">
        <f t="shared" si="217"/>
        <v>PDFを開く</v>
      </c>
      <c r="P2253" s="9" t="s">
        <v>1896</v>
      </c>
    </row>
    <row r="2254" spans="1:16" ht="33.950000000000003" customHeight="1">
      <c r="A2254" s="2" t="s">
        <v>1888</v>
      </c>
      <c r="B2254" s="2" t="s">
        <v>1595</v>
      </c>
      <c r="C2254" s="8" t="s">
        <v>1889</v>
      </c>
      <c r="D2254" s="2">
        <v>2</v>
      </c>
      <c r="E2254" s="8" t="s">
        <v>3191</v>
      </c>
      <c r="F2254" s="2" t="s">
        <v>2513</v>
      </c>
      <c r="G2254" s="19" t="s">
        <v>3494</v>
      </c>
      <c r="H2254" s="2"/>
      <c r="I2254" s="8" t="s">
        <v>3259</v>
      </c>
      <c r="J2254" s="2">
        <v>2027</v>
      </c>
      <c r="K2254" s="2">
        <v>8</v>
      </c>
      <c r="L2254" s="8" t="s">
        <v>4113</v>
      </c>
      <c r="M2254" s="2"/>
      <c r="N2254" s="8" t="s">
        <v>5631</v>
      </c>
      <c r="O2254" s="8" t="str">
        <f t="shared" si="217"/>
        <v>PDFを開く</v>
      </c>
      <c r="P2254" s="8" t="s">
        <v>1896</v>
      </c>
    </row>
    <row r="2255" spans="1:16" ht="33.950000000000003" customHeight="1">
      <c r="A2255" s="5" t="s">
        <v>1888</v>
      </c>
      <c r="B2255" s="5" t="s">
        <v>1595</v>
      </c>
      <c r="C2255" s="9" t="s">
        <v>1889</v>
      </c>
      <c r="D2255" s="5">
        <v>2</v>
      </c>
      <c r="E2255" s="9" t="s">
        <v>3191</v>
      </c>
      <c r="F2255" s="5" t="s">
        <v>2513</v>
      </c>
      <c r="G2255" s="19" t="s">
        <v>3494</v>
      </c>
      <c r="H2255" s="5"/>
      <c r="I2255" s="9" t="s">
        <v>3262</v>
      </c>
      <c r="J2255" s="5">
        <v>2030</v>
      </c>
      <c r="K2255" s="5">
        <v>13</v>
      </c>
      <c r="L2255" s="9" t="s">
        <v>5632</v>
      </c>
      <c r="M2255" s="5"/>
      <c r="N2255" s="9" t="s">
        <v>5631</v>
      </c>
      <c r="O2255" s="9" t="str">
        <f t="shared" si="217"/>
        <v>PDFを開く</v>
      </c>
      <c r="P2255" s="9" t="s">
        <v>1896</v>
      </c>
    </row>
    <row r="2256" spans="1:16" ht="33.950000000000003" customHeight="1">
      <c r="A2256" s="2" t="s">
        <v>1888</v>
      </c>
      <c r="B2256" s="2" t="s">
        <v>1595</v>
      </c>
      <c r="C2256" s="8" t="s">
        <v>1889</v>
      </c>
      <c r="D2256" s="2">
        <v>2</v>
      </c>
      <c r="E2256" s="8" t="s">
        <v>3188</v>
      </c>
      <c r="F2256" s="2" t="s">
        <v>86</v>
      </c>
      <c r="G2256" s="2" t="s">
        <v>3177</v>
      </c>
      <c r="H2256" s="2"/>
      <c r="I2256" s="8" t="s">
        <v>5633</v>
      </c>
      <c r="J2256" s="2">
        <v>2027</v>
      </c>
      <c r="K2256" s="2"/>
      <c r="L2256" s="8" t="s">
        <v>3211</v>
      </c>
      <c r="M2256" s="2">
        <v>6</v>
      </c>
      <c r="N2256" s="8" t="s">
        <v>5634</v>
      </c>
      <c r="O2256" s="8" t="str">
        <f t="shared" si="217"/>
        <v>PDFを開く</v>
      </c>
      <c r="P2256" s="8" t="s">
        <v>1896</v>
      </c>
    </row>
    <row r="2257" spans="1:16" ht="33.950000000000003" customHeight="1">
      <c r="A2257" s="5" t="s">
        <v>1888</v>
      </c>
      <c r="B2257" s="5" t="s">
        <v>1595</v>
      </c>
      <c r="C2257" s="9" t="s">
        <v>1889</v>
      </c>
      <c r="D2257" s="5">
        <v>2</v>
      </c>
      <c r="E2257" s="9" t="s">
        <v>3188</v>
      </c>
      <c r="F2257" s="5" t="s">
        <v>86</v>
      </c>
      <c r="G2257" s="5" t="s">
        <v>3177</v>
      </c>
      <c r="H2257" s="5"/>
      <c r="I2257" s="9" t="s">
        <v>5635</v>
      </c>
      <c r="J2257" s="5">
        <v>2030</v>
      </c>
      <c r="K2257" s="5"/>
      <c r="L2257" s="9" t="s">
        <v>5636</v>
      </c>
      <c r="M2257" s="5">
        <v>6</v>
      </c>
      <c r="N2257" s="9" t="s">
        <v>5634</v>
      </c>
      <c r="O2257" s="9" t="str">
        <f t="shared" si="217"/>
        <v>PDFを開く</v>
      </c>
      <c r="P2257" s="9" t="s">
        <v>1896</v>
      </c>
    </row>
    <row r="2258" spans="1:16" ht="33.950000000000003" customHeight="1">
      <c r="A2258" s="2" t="s">
        <v>1888</v>
      </c>
      <c r="B2258" s="2" t="s">
        <v>1595</v>
      </c>
      <c r="C2258" s="8" t="s">
        <v>1889</v>
      </c>
      <c r="D2258" s="2">
        <v>2</v>
      </c>
      <c r="E2258" s="8" t="s">
        <v>3176</v>
      </c>
      <c r="F2258" s="2" t="s">
        <v>86</v>
      </c>
      <c r="G2258" s="2" t="s">
        <v>3177</v>
      </c>
      <c r="H2258" s="2"/>
      <c r="I2258" s="8" t="s">
        <v>3259</v>
      </c>
      <c r="J2258" s="2">
        <v>2027</v>
      </c>
      <c r="K2258" s="2">
        <v>855</v>
      </c>
      <c r="L2258" s="8" t="s">
        <v>5625</v>
      </c>
      <c r="M2258" s="2">
        <v>12.9</v>
      </c>
      <c r="N2258" s="8" t="s">
        <v>5626</v>
      </c>
      <c r="O2258" s="8" t="str">
        <f t="shared" si="217"/>
        <v>PDFを開く</v>
      </c>
      <c r="P2258" s="8" t="s">
        <v>1896</v>
      </c>
    </row>
    <row r="2259" spans="1:16" ht="33.950000000000003" customHeight="1">
      <c r="A2259" s="5" t="s">
        <v>1888</v>
      </c>
      <c r="B2259" s="5" t="s">
        <v>1595</v>
      </c>
      <c r="C2259" s="9" t="s">
        <v>1889</v>
      </c>
      <c r="D2259" s="5">
        <v>2</v>
      </c>
      <c r="E2259" s="9" t="s">
        <v>3176</v>
      </c>
      <c r="F2259" s="5" t="s">
        <v>86</v>
      </c>
      <c r="G2259" s="5" t="s">
        <v>3177</v>
      </c>
      <c r="H2259" s="5"/>
      <c r="I2259" s="9" t="s">
        <v>3262</v>
      </c>
      <c r="J2259" s="5">
        <v>2030</v>
      </c>
      <c r="K2259" s="5">
        <v>1232</v>
      </c>
      <c r="L2259" s="9" t="s">
        <v>5627</v>
      </c>
      <c r="M2259" s="5">
        <v>12.9</v>
      </c>
      <c r="N2259" s="9" t="s">
        <v>5626</v>
      </c>
      <c r="O2259" s="9" t="str">
        <f t="shared" si="217"/>
        <v>PDFを開く</v>
      </c>
      <c r="P2259" s="9" t="s">
        <v>1896</v>
      </c>
    </row>
    <row r="2260" spans="1:16" ht="33.950000000000003" customHeight="1">
      <c r="A2260" s="2" t="s">
        <v>1888</v>
      </c>
      <c r="B2260" s="2" t="s">
        <v>1595</v>
      </c>
      <c r="C2260" s="8" t="s">
        <v>1889</v>
      </c>
      <c r="D2260" s="2">
        <v>2</v>
      </c>
      <c r="E2260" s="8" t="s">
        <v>3191</v>
      </c>
      <c r="F2260" s="2" t="s">
        <v>2513</v>
      </c>
      <c r="G2260" s="2" t="s">
        <v>3177</v>
      </c>
      <c r="H2260" s="2"/>
      <c r="I2260" s="8" t="s">
        <v>3259</v>
      </c>
      <c r="J2260" s="2">
        <v>2027</v>
      </c>
      <c r="K2260" s="2">
        <v>21</v>
      </c>
      <c r="L2260" s="8" t="s">
        <v>4223</v>
      </c>
      <c r="M2260" s="2"/>
      <c r="N2260" s="8" t="s">
        <v>5631</v>
      </c>
      <c r="O2260" s="8" t="str">
        <f t="shared" si="217"/>
        <v>PDFを開く</v>
      </c>
      <c r="P2260" s="8" t="s">
        <v>1896</v>
      </c>
    </row>
    <row r="2261" spans="1:16" ht="33.950000000000003" customHeight="1">
      <c r="A2261" s="5" t="s">
        <v>1888</v>
      </c>
      <c r="B2261" s="5" t="s">
        <v>1595</v>
      </c>
      <c r="C2261" s="9" t="s">
        <v>1889</v>
      </c>
      <c r="D2261" s="5">
        <v>2</v>
      </c>
      <c r="E2261" s="9" t="s">
        <v>3191</v>
      </c>
      <c r="F2261" s="5" t="s">
        <v>2513</v>
      </c>
      <c r="G2261" s="5" t="s">
        <v>3177</v>
      </c>
      <c r="H2261" s="5"/>
      <c r="I2261" s="9" t="s">
        <v>3262</v>
      </c>
      <c r="J2261" s="5">
        <v>2030</v>
      </c>
      <c r="K2261" s="5">
        <v>25</v>
      </c>
      <c r="L2261" s="9" t="s">
        <v>3885</v>
      </c>
      <c r="M2261" s="5"/>
      <c r="N2261" s="9" t="s">
        <v>5631</v>
      </c>
      <c r="O2261" s="9" t="str">
        <f t="shared" si="217"/>
        <v>PDFを開く</v>
      </c>
      <c r="P2261" s="9" t="s">
        <v>1896</v>
      </c>
    </row>
    <row r="2262" spans="1:16" ht="33.950000000000003" customHeight="1">
      <c r="A2262" s="2" t="s">
        <v>1888</v>
      </c>
      <c r="B2262" s="2" t="s">
        <v>1595</v>
      </c>
      <c r="C2262" s="8" t="s">
        <v>1889</v>
      </c>
      <c r="D2262" s="2">
        <v>2</v>
      </c>
      <c r="E2262" s="8" t="s">
        <v>3184</v>
      </c>
      <c r="F2262" s="2" t="s">
        <v>86</v>
      </c>
      <c r="G2262" s="2" t="s">
        <v>3177</v>
      </c>
      <c r="H2262" s="2"/>
      <c r="I2262" s="8" t="s">
        <v>3259</v>
      </c>
      <c r="J2262" s="2">
        <v>2027</v>
      </c>
      <c r="K2262" s="2">
        <v>431</v>
      </c>
      <c r="L2262" s="8" t="s">
        <v>3475</v>
      </c>
      <c r="M2262" s="2">
        <v>6</v>
      </c>
      <c r="N2262" s="8" t="s">
        <v>5629</v>
      </c>
      <c r="O2262" s="8" t="str">
        <f t="shared" si="217"/>
        <v>PDFを開く</v>
      </c>
      <c r="P2262" s="8" t="s">
        <v>1896</v>
      </c>
    </row>
    <row r="2263" spans="1:16" ht="33.950000000000003" customHeight="1">
      <c r="A2263" s="5" t="s">
        <v>1888</v>
      </c>
      <c r="B2263" s="5" t="s">
        <v>1595</v>
      </c>
      <c r="C2263" s="9" t="s">
        <v>1889</v>
      </c>
      <c r="D2263" s="5">
        <v>2</v>
      </c>
      <c r="E2263" s="9" t="s">
        <v>3184</v>
      </c>
      <c r="F2263" s="5" t="s">
        <v>86</v>
      </c>
      <c r="G2263" s="5" t="s">
        <v>3177</v>
      </c>
      <c r="H2263" s="5"/>
      <c r="I2263" s="9" t="s">
        <v>3262</v>
      </c>
      <c r="J2263" s="5">
        <v>2030</v>
      </c>
      <c r="K2263" s="5">
        <v>513</v>
      </c>
      <c r="L2263" s="9" t="s">
        <v>5491</v>
      </c>
      <c r="M2263" s="5">
        <v>6</v>
      </c>
      <c r="N2263" s="9" t="s">
        <v>5629</v>
      </c>
      <c r="O2263" s="9" t="str">
        <f t="shared" si="217"/>
        <v>PDFを開く</v>
      </c>
      <c r="P2263" s="9" t="s">
        <v>1896</v>
      </c>
    </row>
    <row r="2264" spans="1:16" ht="33.950000000000003" customHeight="1">
      <c r="A2264" s="2" t="s">
        <v>1897</v>
      </c>
      <c r="B2264" s="2" t="s">
        <v>1595</v>
      </c>
      <c r="C2264" s="8" t="s">
        <v>1898</v>
      </c>
      <c r="D2264" s="2">
        <v>2</v>
      </c>
      <c r="E2264" s="8" t="s">
        <v>3176</v>
      </c>
      <c r="F2264" s="2" t="s">
        <v>86</v>
      </c>
      <c r="G2264" s="2" t="s">
        <v>3177</v>
      </c>
      <c r="H2264" s="2" t="s">
        <v>3178</v>
      </c>
      <c r="I2264" s="8" t="s">
        <v>5265</v>
      </c>
      <c r="J2264" s="2">
        <v>2027</v>
      </c>
      <c r="K2264" s="2">
        <v>8619</v>
      </c>
      <c r="L2264" s="8" t="s">
        <v>5637</v>
      </c>
      <c r="M2264" s="2">
        <v>41.3</v>
      </c>
      <c r="N2264" s="8" t="s">
        <v>5638</v>
      </c>
      <c r="O2264" s="8" t="str">
        <f t="shared" ref="O2264:O2270" si="218">HYPERLINK("https://seichotoushi-hojo.jp/assets/pdf/koufu_3_4ji/outline_234.pdf","PDFを開く")</f>
        <v>PDFを開く</v>
      </c>
      <c r="P2264" s="8" t="s">
        <v>1903</v>
      </c>
    </row>
    <row r="2265" spans="1:16" ht="33.950000000000003" customHeight="1">
      <c r="A2265" s="5" t="s">
        <v>1897</v>
      </c>
      <c r="B2265" s="5" t="s">
        <v>1595</v>
      </c>
      <c r="C2265" s="9" t="s">
        <v>1898</v>
      </c>
      <c r="D2265" s="5">
        <v>2</v>
      </c>
      <c r="E2265" s="9" t="s">
        <v>3176</v>
      </c>
      <c r="F2265" s="5" t="s">
        <v>86</v>
      </c>
      <c r="G2265" s="5" t="s">
        <v>3177</v>
      </c>
      <c r="H2265" s="5" t="s">
        <v>3178</v>
      </c>
      <c r="I2265" s="9" t="s">
        <v>5261</v>
      </c>
      <c r="J2265" s="5">
        <v>2030</v>
      </c>
      <c r="K2265" s="5">
        <v>24301</v>
      </c>
      <c r="L2265" s="9" t="s">
        <v>5639</v>
      </c>
      <c r="M2265" s="5">
        <v>41.3</v>
      </c>
      <c r="N2265" s="9" t="s">
        <v>5638</v>
      </c>
      <c r="O2265" s="9" t="str">
        <f t="shared" si="218"/>
        <v>PDFを開く</v>
      </c>
      <c r="P2265" s="9" t="s">
        <v>1903</v>
      </c>
    </row>
    <row r="2266" spans="1:16" ht="33.950000000000003" customHeight="1">
      <c r="A2266" s="2" t="s">
        <v>1897</v>
      </c>
      <c r="B2266" s="2" t="s">
        <v>1595</v>
      </c>
      <c r="C2266" s="8" t="s">
        <v>1898</v>
      </c>
      <c r="D2266" s="2">
        <v>2</v>
      </c>
      <c r="E2266" s="8" t="s">
        <v>3184</v>
      </c>
      <c r="F2266" s="2" t="s">
        <v>86</v>
      </c>
      <c r="G2266" s="2" t="s">
        <v>3177</v>
      </c>
      <c r="H2266" s="2" t="s">
        <v>3178</v>
      </c>
      <c r="I2266" s="8" t="s">
        <v>5265</v>
      </c>
      <c r="J2266" s="2">
        <v>2027</v>
      </c>
      <c r="K2266" s="2">
        <v>871</v>
      </c>
      <c r="L2266" s="8" t="s">
        <v>5640</v>
      </c>
      <c r="M2266" s="2">
        <v>6.5</v>
      </c>
      <c r="N2266" s="8" t="s">
        <v>5641</v>
      </c>
      <c r="O2266" s="8" t="str">
        <f t="shared" si="218"/>
        <v>PDFを開く</v>
      </c>
      <c r="P2266" s="8" t="s">
        <v>1903</v>
      </c>
    </row>
    <row r="2267" spans="1:16" ht="33.950000000000003" customHeight="1">
      <c r="A2267" s="5" t="s">
        <v>1897</v>
      </c>
      <c r="B2267" s="5" t="s">
        <v>1595</v>
      </c>
      <c r="C2267" s="9" t="s">
        <v>1898</v>
      </c>
      <c r="D2267" s="5">
        <v>2</v>
      </c>
      <c r="E2267" s="9" t="s">
        <v>3184</v>
      </c>
      <c r="F2267" s="5" t="s">
        <v>86</v>
      </c>
      <c r="G2267" s="5" t="s">
        <v>3177</v>
      </c>
      <c r="H2267" s="5" t="s">
        <v>3178</v>
      </c>
      <c r="I2267" s="9" t="s">
        <v>5261</v>
      </c>
      <c r="J2267" s="5">
        <v>2030</v>
      </c>
      <c r="K2267" s="5">
        <v>1046</v>
      </c>
      <c r="L2267" s="9" t="s">
        <v>5642</v>
      </c>
      <c r="M2267" s="5">
        <v>6.5</v>
      </c>
      <c r="N2267" s="9" t="s">
        <v>5641</v>
      </c>
      <c r="O2267" s="9" t="str">
        <f t="shared" si="218"/>
        <v>PDFを開く</v>
      </c>
      <c r="P2267" s="9" t="s">
        <v>1903</v>
      </c>
    </row>
    <row r="2268" spans="1:16" ht="33.950000000000003" customHeight="1">
      <c r="A2268" s="2" t="s">
        <v>1897</v>
      </c>
      <c r="B2268" s="2" t="s">
        <v>1595</v>
      </c>
      <c r="C2268" s="8" t="s">
        <v>1898</v>
      </c>
      <c r="D2268" s="2">
        <v>2</v>
      </c>
      <c r="E2268" s="8" t="s">
        <v>3188</v>
      </c>
      <c r="F2268" s="2" t="s">
        <v>86</v>
      </c>
      <c r="G2268" s="19" t="s">
        <v>3189</v>
      </c>
      <c r="H2268" s="2" t="s">
        <v>3178</v>
      </c>
      <c r="I2268" s="8"/>
      <c r="J2268" s="2"/>
      <c r="K2268" s="2"/>
      <c r="L2268" s="8"/>
      <c r="M2268" s="2"/>
      <c r="N2268" s="8" t="s">
        <v>5643</v>
      </c>
      <c r="O2268" s="8" t="str">
        <f t="shared" si="218"/>
        <v>PDFを開く</v>
      </c>
      <c r="P2268" s="8" t="s">
        <v>1903</v>
      </c>
    </row>
    <row r="2269" spans="1:16" ht="33.950000000000003" customHeight="1">
      <c r="A2269" s="5" t="s">
        <v>1897</v>
      </c>
      <c r="B2269" s="5" t="s">
        <v>1595</v>
      </c>
      <c r="C2269" s="9" t="s">
        <v>1898</v>
      </c>
      <c r="D2269" s="5">
        <v>2</v>
      </c>
      <c r="E2269" s="9" t="s">
        <v>3191</v>
      </c>
      <c r="F2269" s="5" t="s">
        <v>2513</v>
      </c>
      <c r="G2269" s="5" t="s">
        <v>3177</v>
      </c>
      <c r="H2269" s="5" t="s">
        <v>3178</v>
      </c>
      <c r="I2269" s="9" t="s">
        <v>5265</v>
      </c>
      <c r="J2269" s="5">
        <v>2027</v>
      </c>
      <c r="K2269" s="5">
        <v>244</v>
      </c>
      <c r="L2269" s="9" t="s">
        <v>5644</v>
      </c>
      <c r="M2269" s="5"/>
      <c r="N2269" s="9" t="s">
        <v>5645</v>
      </c>
      <c r="O2269" s="9" t="str">
        <f t="shared" si="218"/>
        <v>PDFを開く</v>
      </c>
      <c r="P2269" s="9" t="s">
        <v>1903</v>
      </c>
    </row>
    <row r="2270" spans="1:16" ht="33.950000000000003" customHeight="1">
      <c r="A2270" s="2" t="s">
        <v>1897</v>
      </c>
      <c r="B2270" s="2" t="s">
        <v>1595</v>
      </c>
      <c r="C2270" s="8" t="s">
        <v>1898</v>
      </c>
      <c r="D2270" s="2">
        <v>2</v>
      </c>
      <c r="E2270" s="8" t="s">
        <v>3191</v>
      </c>
      <c r="F2270" s="2" t="s">
        <v>2513</v>
      </c>
      <c r="G2270" s="2" t="s">
        <v>3177</v>
      </c>
      <c r="H2270" s="2" t="s">
        <v>3178</v>
      </c>
      <c r="I2270" s="8" t="s">
        <v>5261</v>
      </c>
      <c r="J2270" s="2">
        <v>2030</v>
      </c>
      <c r="K2270" s="2">
        <v>269</v>
      </c>
      <c r="L2270" s="8" t="s">
        <v>3779</v>
      </c>
      <c r="M2270" s="2"/>
      <c r="N2270" s="8" t="s">
        <v>5645</v>
      </c>
      <c r="O2270" s="8" t="str">
        <f t="shared" si="218"/>
        <v>PDFを開く</v>
      </c>
      <c r="P2270" s="8" t="s">
        <v>1903</v>
      </c>
    </row>
    <row r="2271" spans="1:16" ht="33.950000000000003" customHeight="1">
      <c r="A2271" s="5" t="s">
        <v>1904</v>
      </c>
      <c r="B2271" s="5" t="s">
        <v>1595</v>
      </c>
      <c r="C2271" s="9" t="s">
        <v>1905</v>
      </c>
      <c r="D2271" s="5">
        <v>2</v>
      </c>
      <c r="E2271" s="9" t="s">
        <v>3176</v>
      </c>
      <c r="F2271" s="5" t="s">
        <v>86</v>
      </c>
      <c r="G2271" s="5" t="s">
        <v>3177</v>
      </c>
      <c r="H2271" s="5" t="s">
        <v>3178</v>
      </c>
      <c r="I2271" s="9" t="s">
        <v>3259</v>
      </c>
      <c r="J2271" s="5">
        <v>2027</v>
      </c>
      <c r="K2271" s="5">
        <v>344</v>
      </c>
      <c r="L2271" s="9" t="s">
        <v>5290</v>
      </c>
      <c r="M2271" s="5">
        <v>15</v>
      </c>
      <c r="N2271" s="9" t="s">
        <v>5646</v>
      </c>
      <c r="O2271" s="9" t="str">
        <f t="shared" ref="O2271:O2276" si="219">HYPERLINK("https://seichotoushi-hojo.jp/assets/pdf/koufu_3_4ji/outline_24.pdf","PDFを開く")</f>
        <v>PDFを開く</v>
      </c>
      <c r="P2271" s="9" t="s">
        <v>1911</v>
      </c>
    </row>
    <row r="2272" spans="1:16" ht="33.950000000000003" customHeight="1">
      <c r="A2272" s="2" t="s">
        <v>1904</v>
      </c>
      <c r="B2272" s="2" t="s">
        <v>1595</v>
      </c>
      <c r="C2272" s="8" t="s">
        <v>1905</v>
      </c>
      <c r="D2272" s="2">
        <v>2</v>
      </c>
      <c r="E2272" s="8" t="s">
        <v>3176</v>
      </c>
      <c r="F2272" s="2" t="s">
        <v>86</v>
      </c>
      <c r="G2272" s="2" t="s">
        <v>3177</v>
      </c>
      <c r="H2272" s="2" t="s">
        <v>3178</v>
      </c>
      <c r="I2272" s="8" t="s">
        <v>3262</v>
      </c>
      <c r="J2272" s="2">
        <v>2030</v>
      </c>
      <c r="K2272" s="2">
        <v>523</v>
      </c>
      <c r="L2272" s="8" t="s">
        <v>4304</v>
      </c>
      <c r="M2272" s="2">
        <v>15</v>
      </c>
      <c r="N2272" s="8" t="s">
        <v>5646</v>
      </c>
      <c r="O2272" s="8" t="str">
        <f t="shared" si="219"/>
        <v>PDFを開く</v>
      </c>
      <c r="P2272" s="8" t="s">
        <v>1911</v>
      </c>
    </row>
    <row r="2273" spans="1:16" ht="33.950000000000003" customHeight="1">
      <c r="A2273" s="5" t="s">
        <v>1904</v>
      </c>
      <c r="B2273" s="5" t="s">
        <v>1595</v>
      </c>
      <c r="C2273" s="9" t="s">
        <v>1905</v>
      </c>
      <c r="D2273" s="5">
        <v>2</v>
      </c>
      <c r="E2273" s="9" t="s">
        <v>3191</v>
      </c>
      <c r="F2273" s="5" t="s">
        <v>2513</v>
      </c>
      <c r="G2273" s="5" t="s">
        <v>3177</v>
      </c>
      <c r="H2273" s="5" t="s">
        <v>3178</v>
      </c>
      <c r="I2273" s="9" t="s">
        <v>3259</v>
      </c>
      <c r="J2273" s="5">
        <v>2027</v>
      </c>
      <c r="K2273" s="5">
        <v>330</v>
      </c>
      <c r="L2273" s="9" t="s">
        <v>3851</v>
      </c>
      <c r="M2273" s="5"/>
      <c r="N2273" s="9" t="s">
        <v>5647</v>
      </c>
      <c r="O2273" s="9" t="str">
        <f t="shared" si="219"/>
        <v>PDFを開く</v>
      </c>
      <c r="P2273" s="9" t="s">
        <v>1911</v>
      </c>
    </row>
    <row r="2274" spans="1:16" ht="33.950000000000003" customHeight="1">
      <c r="A2274" s="2" t="s">
        <v>1904</v>
      </c>
      <c r="B2274" s="2" t="s">
        <v>1595</v>
      </c>
      <c r="C2274" s="8" t="s">
        <v>1905</v>
      </c>
      <c r="D2274" s="2">
        <v>2</v>
      </c>
      <c r="E2274" s="8" t="s">
        <v>3191</v>
      </c>
      <c r="F2274" s="2" t="s">
        <v>2513</v>
      </c>
      <c r="G2274" s="2" t="s">
        <v>3177</v>
      </c>
      <c r="H2274" s="2" t="s">
        <v>3178</v>
      </c>
      <c r="I2274" s="8" t="s">
        <v>3262</v>
      </c>
      <c r="J2274" s="2">
        <v>2030</v>
      </c>
      <c r="K2274" s="2">
        <v>336</v>
      </c>
      <c r="L2274" s="8" t="s">
        <v>3203</v>
      </c>
      <c r="M2274" s="2"/>
      <c r="N2274" s="8" t="s">
        <v>5647</v>
      </c>
      <c r="O2274" s="8" t="str">
        <f t="shared" si="219"/>
        <v>PDFを開く</v>
      </c>
      <c r="P2274" s="8" t="s">
        <v>1911</v>
      </c>
    </row>
    <row r="2275" spans="1:16" ht="33.950000000000003" customHeight="1">
      <c r="A2275" s="5" t="s">
        <v>1904</v>
      </c>
      <c r="B2275" s="5" t="s">
        <v>1595</v>
      </c>
      <c r="C2275" s="9" t="s">
        <v>1905</v>
      </c>
      <c r="D2275" s="5">
        <v>2</v>
      </c>
      <c r="E2275" s="9" t="s">
        <v>3184</v>
      </c>
      <c r="F2275" s="5" t="s">
        <v>86</v>
      </c>
      <c r="G2275" s="5" t="s">
        <v>3177</v>
      </c>
      <c r="H2275" s="5"/>
      <c r="I2275" s="9" t="s">
        <v>3686</v>
      </c>
      <c r="J2275" s="5">
        <v>2027</v>
      </c>
      <c r="K2275" s="5">
        <v>257</v>
      </c>
      <c r="L2275" s="9" t="s">
        <v>5648</v>
      </c>
      <c r="M2275" s="5">
        <v>6.1</v>
      </c>
      <c r="N2275" s="9" t="s">
        <v>5649</v>
      </c>
      <c r="O2275" s="9" t="str">
        <f t="shared" si="219"/>
        <v>PDFを開く</v>
      </c>
      <c r="P2275" s="9" t="s">
        <v>1911</v>
      </c>
    </row>
    <row r="2276" spans="1:16" ht="33.950000000000003" customHeight="1">
      <c r="A2276" s="2" t="s">
        <v>1904</v>
      </c>
      <c r="B2276" s="2" t="s">
        <v>1595</v>
      </c>
      <c r="C2276" s="8" t="s">
        <v>1905</v>
      </c>
      <c r="D2276" s="2">
        <v>2</v>
      </c>
      <c r="E2276" s="8" t="s">
        <v>3184</v>
      </c>
      <c r="F2276" s="2" t="s">
        <v>86</v>
      </c>
      <c r="G2276" s="2" t="s">
        <v>3177</v>
      </c>
      <c r="H2276" s="2"/>
      <c r="I2276" s="8" t="s">
        <v>3688</v>
      </c>
      <c r="J2276" s="2">
        <v>2030</v>
      </c>
      <c r="K2276" s="2">
        <v>307</v>
      </c>
      <c r="L2276" s="8" t="s">
        <v>5650</v>
      </c>
      <c r="M2276" s="2">
        <v>6.1</v>
      </c>
      <c r="N2276" s="8" t="s">
        <v>5649</v>
      </c>
      <c r="O2276" s="8" t="str">
        <f t="shared" si="219"/>
        <v>PDFを開く</v>
      </c>
      <c r="P2276" s="8" t="s">
        <v>1911</v>
      </c>
    </row>
    <row r="2277" spans="1:16" ht="33.950000000000003" customHeight="1">
      <c r="A2277" s="5" t="s">
        <v>1912</v>
      </c>
      <c r="B2277" s="5" t="s">
        <v>1595</v>
      </c>
      <c r="C2277" s="9" t="s">
        <v>1913</v>
      </c>
      <c r="D2277" s="5">
        <v>4</v>
      </c>
      <c r="E2277" s="9" t="s">
        <v>3176</v>
      </c>
      <c r="F2277" s="5" t="s">
        <v>86</v>
      </c>
      <c r="G2277" s="5" t="s">
        <v>3177</v>
      </c>
      <c r="H2277" s="5" t="s">
        <v>3178</v>
      </c>
      <c r="I2277" s="9" t="s">
        <v>3259</v>
      </c>
      <c r="J2277" s="5">
        <v>2027</v>
      </c>
      <c r="K2277" s="5">
        <v>949</v>
      </c>
      <c r="L2277" s="9" t="s">
        <v>5448</v>
      </c>
      <c r="M2277" s="5">
        <v>38</v>
      </c>
      <c r="N2277" s="9" t="s">
        <v>5651</v>
      </c>
      <c r="O2277" s="9" t="str">
        <f t="shared" ref="O2277:O2285" si="220">HYPERLINK("https://seichotoushi-hojo.jp/assets/pdf/koufu_3_4ji/outline_25.pdf","PDFを開く")</f>
        <v>PDFを開く</v>
      </c>
      <c r="P2277" s="9" t="s">
        <v>1917</v>
      </c>
    </row>
    <row r="2278" spans="1:16" ht="33.950000000000003" customHeight="1">
      <c r="A2278" s="2" t="s">
        <v>1912</v>
      </c>
      <c r="B2278" s="2" t="s">
        <v>1595</v>
      </c>
      <c r="C2278" s="8" t="s">
        <v>1913</v>
      </c>
      <c r="D2278" s="2">
        <v>4</v>
      </c>
      <c r="E2278" s="8" t="s">
        <v>3176</v>
      </c>
      <c r="F2278" s="2" t="s">
        <v>86</v>
      </c>
      <c r="G2278" s="2" t="s">
        <v>3177</v>
      </c>
      <c r="H2278" s="2" t="s">
        <v>3178</v>
      </c>
      <c r="I2278" s="8" t="s">
        <v>3262</v>
      </c>
      <c r="J2278" s="2">
        <v>2030</v>
      </c>
      <c r="K2278" s="2">
        <v>2496</v>
      </c>
      <c r="L2278" s="8" t="s">
        <v>5652</v>
      </c>
      <c r="M2278" s="2">
        <v>38</v>
      </c>
      <c r="N2278" s="8" t="s">
        <v>5651</v>
      </c>
      <c r="O2278" s="8" t="str">
        <f t="shared" si="220"/>
        <v>PDFを開く</v>
      </c>
      <c r="P2278" s="8" t="s">
        <v>1917</v>
      </c>
    </row>
    <row r="2279" spans="1:16" ht="33.950000000000003" customHeight="1">
      <c r="A2279" s="5" t="s">
        <v>1912</v>
      </c>
      <c r="B2279" s="5" t="s">
        <v>1595</v>
      </c>
      <c r="C2279" s="9" t="s">
        <v>1913</v>
      </c>
      <c r="D2279" s="5">
        <v>4</v>
      </c>
      <c r="E2279" s="9" t="s">
        <v>3184</v>
      </c>
      <c r="F2279" s="5" t="s">
        <v>86</v>
      </c>
      <c r="G2279" s="5" t="s">
        <v>3177</v>
      </c>
      <c r="H2279" s="5" t="s">
        <v>3178</v>
      </c>
      <c r="I2279" s="9" t="s">
        <v>3259</v>
      </c>
      <c r="J2279" s="5">
        <v>2027</v>
      </c>
      <c r="K2279" s="5">
        <v>396</v>
      </c>
      <c r="L2279" s="9" t="s">
        <v>5653</v>
      </c>
      <c r="M2279" s="5">
        <v>7</v>
      </c>
      <c r="N2279" s="9" t="s">
        <v>5654</v>
      </c>
      <c r="O2279" s="9" t="str">
        <f t="shared" si="220"/>
        <v>PDFを開く</v>
      </c>
      <c r="P2279" s="9" t="s">
        <v>1917</v>
      </c>
    </row>
    <row r="2280" spans="1:16" ht="33.950000000000003" customHeight="1">
      <c r="A2280" s="2" t="s">
        <v>1912</v>
      </c>
      <c r="B2280" s="2" t="s">
        <v>1595</v>
      </c>
      <c r="C2280" s="8" t="s">
        <v>1913</v>
      </c>
      <c r="D2280" s="2">
        <v>4</v>
      </c>
      <c r="E2280" s="8" t="s">
        <v>3184</v>
      </c>
      <c r="F2280" s="2" t="s">
        <v>86</v>
      </c>
      <c r="G2280" s="2" t="s">
        <v>3177</v>
      </c>
      <c r="H2280" s="2" t="s">
        <v>3178</v>
      </c>
      <c r="I2280" s="8" t="s">
        <v>3262</v>
      </c>
      <c r="J2280" s="2">
        <v>2030</v>
      </c>
      <c r="K2280" s="2">
        <v>486</v>
      </c>
      <c r="L2280" s="8" t="s">
        <v>3892</v>
      </c>
      <c r="M2280" s="2">
        <v>7</v>
      </c>
      <c r="N2280" s="8" t="s">
        <v>5654</v>
      </c>
      <c r="O2280" s="8" t="str">
        <f t="shared" si="220"/>
        <v>PDFを開く</v>
      </c>
      <c r="P2280" s="8" t="s">
        <v>1917</v>
      </c>
    </row>
    <row r="2281" spans="1:16" ht="33.950000000000003" customHeight="1">
      <c r="A2281" s="5" t="s">
        <v>1912</v>
      </c>
      <c r="B2281" s="5" t="s">
        <v>1595</v>
      </c>
      <c r="C2281" s="9" t="s">
        <v>1913</v>
      </c>
      <c r="D2281" s="5">
        <v>4</v>
      </c>
      <c r="E2281" s="9" t="s">
        <v>3188</v>
      </c>
      <c r="F2281" s="5" t="s">
        <v>86</v>
      </c>
      <c r="G2281" s="19" t="s">
        <v>3189</v>
      </c>
      <c r="H2281" s="5" t="s">
        <v>3178</v>
      </c>
      <c r="I2281" s="9"/>
      <c r="J2281" s="5"/>
      <c r="K2281" s="5"/>
      <c r="L2281" s="9"/>
      <c r="M2281" s="5">
        <v>7</v>
      </c>
      <c r="N2281" s="9" t="s">
        <v>5655</v>
      </c>
      <c r="O2281" s="9" t="str">
        <f t="shared" si="220"/>
        <v>PDFを開く</v>
      </c>
      <c r="P2281" s="9" t="s">
        <v>1917</v>
      </c>
    </row>
    <row r="2282" spans="1:16" ht="33.950000000000003" customHeight="1">
      <c r="A2282" s="2" t="s">
        <v>1912</v>
      </c>
      <c r="B2282" s="2" t="s">
        <v>1595</v>
      </c>
      <c r="C2282" s="8" t="s">
        <v>1913</v>
      </c>
      <c r="D2282" s="2">
        <v>4</v>
      </c>
      <c r="E2282" s="8" t="s">
        <v>3191</v>
      </c>
      <c r="F2282" s="2" t="s">
        <v>2513</v>
      </c>
      <c r="G2282" s="2" t="s">
        <v>3177</v>
      </c>
      <c r="H2282" s="2" t="s">
        <v>3178</v>
      </c>
      <c r="I2282" s="8" t="s">
        <v>3259</v>
      </c>
      <c r="J2282" s="2">
        <v>2027</v>
      </c>
      <c r="K2282" s="2">
        <v>78</v>
      </c>
      <c r="L2282" s="8" t="s">
        <v>4111</v>
      </c>
      <c r="M2282" s="2"/>
      <c r="N2282" s="8" t="s">
        <v>5656</v>
      </c>
      <c r="O2282" s="8" t="str">
        <f t="shared" si="220"/>
        <v>PDFを開く</v>
      </c>
      <c r="P2282" s="8" t="s">
        <v>1917</v>
      </c>
    </row>
    <row r="2283" spans="1:16" ht="33.950000000000003" customHeight="1">
      <c r="A2283" s="5" t="s">
        <v>1912</v>
      </c>
      <c r="B2283" s="5" t="s">
        <v>1595</v>
      </c>
      <c r="C2283" s="9" t="s">
        <v>1913</v>
      </c>
      <c r="D2283" s="5">
        <v>4</v>
      </c>
      <c r="E2283" s="9" t="s">
        <v>3191</v>
      </c>
      <c r="F2283" s="5" t="s">
        <v>2513</v>
      </c>
      <c r="G2283" s="5" t="s">
        <v>3177</v>
      </c>
      <c r="H2283" s="5" t="s">
        <v>3178</v>
      </c>
      <c r="I2283" s="9" t="s">
        <v>3262</v>
      </c>
      <c r="J2283" s="5">
        <v>2030</v>
      </c>
      <c r="K2283" s="5">
        <v>90</v>
      </c>
      <c r="L2283" s="9" t="s">
        <v>5139</v>
      </c>
      <c r="M2283" s="5"/>
      <c r="N2283" s="9" t="s">
        <v>5656</v>
      </c>
      <c r="O2283" s="9" t="str">
        <f t="shared" si="220"/>
        <v>PDFを開く</v>
      </c>
      <c r="P2283" s="9" t="s">
        <v>1917</v>
      </c>
    </row>
    <row r="2284" spans="1:16" ht="33.950000000000003" customHeight="1">
      <c r="A2284" s="2" t="s">
        <v>1912</v>
      </c>
      <c r="B2284" s="2" t="s">
        <v>1595</v>
      </c>
      <c r="C2284" s="8" t="s">
        <v>1913</v>
      </c>
      <c r="D2284" s="2">
        <v>4</v>
      </c>
      <c r="E2284" s="8" t="s">
        <v>3188</v>
      </c>
      <c r="F2284" s="2" t="s">
        <v>86</v>
      </c>
      <c r="G2284" s="2" t="s">
        <v>3177</v>
      </c>
      <c r="H2284" s="2"/>
      <c r="I2284" s="8" t="s">
        <v>5657</v>
      </c>
      <c r="J2284" s="2">
        <v>2027</v>
      </c>
      <c r="K2284" s="2"/>
      <c r="L2284" s="8" t="s">
        <v>3211</v>
      </c>
      <c r="M2284" s="2">
        <v>7</v>
      </c>
      <c r="N2284" s="8" t="s">
        <v>5658</v>
      </c>
      <c r="O2284" s="8" t="str">
        <f t="shared" si="220"/>
        <v>PDFを開く</v>
      </c>
      <c r="P2284" s="8" t="s">
        <v>1917</v>
      </c>
    </row>
    <row r="2285" spans="1:16" ht="33.950000000000003" customHeight="1">
      <c r="A2285" s="5" t="s">
        <v>1912</v>
      </c>
      <c r="B2285" s="5" t="s">
        <v>1595</v>
      </c>
      <c r="C2285" s="9" t="s">
        <v>1913</v>
      </c>
      <c r="D2285" s="5">
        <v>4</v>
      </c>
      <c r="E2285" s="9" t="s">
        <v>3188</v>
      </c>
      <c r="F2285" s="5" t="s">
        <v>86</v>
      </c>
      <c r="G2285" s="5" t="s">
        <v>3177</v>
      </c>
      <c r="H2285" s="5"/>
      <c r="I2285" s="9" t="s">
        <v>5659</v>
      </c>
      <c r="J2285" s="5">
        <v>2030</v>
      </c>
      <c r="K2285" s="5"/>
      <c r="L2285" s="9" t="s">
        <v>5660</v>
      </c>
      <c r="M2285" s="5">
        <v>7</v>
      </c>
      <c r="N2285" s="9" t="s">
        <v>5658</v>
      </c>
      <c r="O2285" s="9" t="str">
        <f t="shared" si="220"/>
        <v>PDFを開く</v>
      </c>
      <c r="P2285" s="9" t="s">
        <v>1917</v>
      </c>
    </row>
    <row r="2286" spans="1:16" ht="33.950000000000003" customHeight="1">
      <c r="A2286" s="2" t="s">
        <v>1918</v>
      </c>
      <c r="B2286" s="2" t="s">
        <v>1595</v>
      </c>
      <c r="C2286" s="8" t="s">
        <v>1919</v>
      </c>
      <c r="D2286" s="2">
        <v>2</v>
      </c>
      <c r="E2286" s="8" t="s">
        <v>3176</v>
      </c>
      <c r="F2286" s="2" t="s">
        <v>86</v>
      </c>
      <c r="G2286" s="2" t="s">
        <v>3177</v>
      </c>
      <c r="H2286" s="2" t="s">
        <v>3178</v>
      </c>
      <c r="I2286" s="8" t="s">
        <v>5661</v>
      </c>
      <c r="J2286" s="2">
        <v>2027</v>
      </c>
      <c r="K2286" s="2">
        <v>956</v>
      </c>
      <c r="L2286" s="8" t="s">
        <v>5662</v>
      </c>
      <c r="M2286" s="2">
        <v>31.2</v>
      </c>
      <c r="N2286" s="8" t="s">
        <v>5663</v>
      </c>
      <c r="O2286" s="8" t="str">
        <f t="shared" ref="O2286:O2292" si="221">HYPERLINK("https://seichotoushi-hojo.jp/assets/pdf/koufu_3_4ji/outline_26.pdf","PDFを開く")</f>
        <v>PDFを開く</v>
      </c>
      <c r="P2286" s="8" t="s">
        <v>1926</v>
      </c>
    </row>
    <row r="2287" spans="1:16" ht="33.950000000000003" customHeight="1">
      <c r="A2287" s="5" t="s">
        <v>1918</v>
      </c>
      <c r="B2287" s="5" t="s">
        <v>1595</v>
      </c>
      <c r="C2287" s="9" t="s">
        <v>1919</v>
      </c>
      <c r="D2287" s="5">
        <v>2</v>
      </c>
      <c r="E2287" s="9" t="s">
        <v>3176</v>
      </c>
      <c r="F2287" s="5" t="s">
        <v>86</v>
      </c>
      <c r="G2287" s="5" t="s">
        <v>3177</v>
      </c>
      <c r="H2287" s="5" t="s">
        <v>3178</v>
      </c>
      <c r="I2287" s="9" t="s">
        <v>5664</v>
      </c>
      <c r="J2287" s="5">
        <v>2030</v>
      </c>
      <c r="K2287" s="5">
        <v>2159</v>
      </c>
      <c r="L2287" s="9" t="s">
        <v>5665</v>
      </c>
      <c r="M2287" s="5">
        <v>31.2</v>
      </c>
      <c r="N2287" s="9" t="s">
        <v>5663</v>
      </c>
      <c r="O2287" s="9" t="str">
        <f t="shared" si="221"/>
        <v>PDFを開く</v>
      </c>
      <c r="P2287" s="9" t="s">
        <v>1926</v>
      </c>
    </row>
    <row r="2288" spans="1:16" ht="33.950000000000003" customHeight="1">
      <c r="A2288" s="2" t="s">
        <v>1918</v>
      </c>
      <c r="B2288" s="2" t="s">
        <v>1595</v>
      </c>
      <c r="C2288" s="8" t="s">
        <v>1919</v>
      </c>
      <c r="D2288" s="2">
        <v>2</v>
      </c>
      <c r="E2288" s="8" t="s">
        <v>3184</v>
      </c>
      <c r="F2288" s="2" t="s">
        <v>86</v>
      </c>
      <c r="G2288" s="2" t="s">
        <v>3177</v>
      </c>
      <c r="H2288" s="2" t="s">
        <v>3178</v>
      </c>
      <c r="I2288" s="8" t="s">
        <v>5661</v>
      </c>
      <c r="J2288" s="2">
        <v>2027</v>
      </c>
      <c r="K2288" s="2">
        <v>349</v>
      </c>
      <c r="L2288" s="8" t="s">
        <v>5494</v>
      </c>
      <c r="M2288" s="2">
        <v>6.8</v>
      </c>
      <c r="N2288" s="8" t="s">
        <v>5666</v>
      </c>
      <c r="O2288" s="8" t="str">
        <f t="shared" si="221"/>
        <v>PDFを開く</v>
      </c>
      <c r="P2288" s="8" t="s">
        <v>1926</v>
      </c>
    </row>
    <row r="2289" spans="1:16" ht="33.950000000000003" customHeight="1">
      <c r="A2289" s="5" t="s">
        <v>1918</v>
      </c>
      <c r="B2289" s="5" t="s">
        <v>1595</v>
      </c>
      <c r="C2289" s="9" t="s">
        <v>1919</v>
      </c>
      <c r="D2289" s="5">
        <v>2</v>
      </c>
      <c r="E2289" s="9" t="s">
        <v>3184</v>
      </c>
      <c r="F2289" s="5" t="s">
        <v>86</v>
      </c>
      <c r="G2289" s="5" t="s">
        <v>3177</v>
      </c>
      <c r="H2289" s="5" t="s">
        <v>3178</v>
      </c>
      <c r="I2289" s="9" t="s">
        <v>5664</v>
      </c>
      <c r="J2289" s="5">
        <v>2030</v>
      </c>
      <c r="K2289" s="5">
        <v>425</v>
      </c>
      <c r="L2289" s="9" t="s">
        <v>4527</v>
      </c>
      <c r="M2289" s="5">
        <v>6.8</v>
      </c>
      <c r="N2289" s="9" t="s">
        <v>5666</v>
      </c>
      <c r="O2289" s="9" t="str">
        <f t="shared" si="221"/>
        <v>PDFを開く</v>
      </c>
      <c r="P2289" s="9" t="s">
        <v>1926</v>
      </c>
    </row>
    <row r="2290" spans="1:16" ht="33.950000000000003" customHeight="1">
      <c r="A2290" s="2" t="s">
        <v>1918</v>
      </c>
      <c r="B2290" s="2" t="s">
        <v>1595</v>
      </c>
      <c r="C2290" s="8" t="s">
        <v>1919</v>
      </c>
      <c r="D2290" s="2">
        <v>2</v>
      </c>
      <c r="E2290" s="8" t="s">
        <v>3188</v>
      </c>
      <c r="F2290" s="2" t="s">
        <v>86</v>
      </c>
      <c r="G2290" s="19" t="s">
        <v>3189</v>
      </c>
      <c r="H2290" s="2" t="s">
        <v>3178</v>
      </c>
      <c r="I2290" s="8"/>
      <c r="J2290" s="2"/>
      <c r="K2290" s="2"/>
      <c r="L2290" s="8"/>
      <c r="M2290" s="2"/>
      <c r="N2290" s="8" t="s">
        <v>3488</v>
      </c>
      <c r="O2290" s="8" t="str">
        <f t="shared" si="221"/>
        <v>PDFを開く</v>
      </c>
      <c r="P2290" s="8" t="s">
        <v>1926</v>
      </c>
    </row>
    <row r="2291" spans="1:16" ht="33.950000000000003" customHeight="1">
      <c r="A2291" s="5" t="s">
        <v>1918</v>
      </c>
      <c r="B2291" s="5" t="s">
        <v>1595</v>
      </c>
      <c r="C2291" s="9" t="s">
        <v>1919</v>
      </c>
      <c r="D2291" s="5">
        <v>2</v>
      </c>
      <c r="E2291" s="9" t="s">
        <v>3191</v>
      </c>
      <c r="F2291" s="5" t="s">
        <v>2513</v>
      </c>
      <c r="G2291" s="5" t="s">
        <v>3177</v>
      </c>
      <c r="H2291" s="5" t="s">
        <v>3178</v>
      </c>
      <c r="I2291" s="9" t="s">
        <v>5661</v>
      </c>
      <c r="J2291" s="5">
        <v>2027</v>
      </c>
      <c r="K2291" s="5">
        <v>44</v>
      </c>
      <c r="L2291" s="9" t="s">
        <v>5115</v>
      </c>
      <c r="M2291" s="5"/>
      <c r="N2291" s="9" t="s">
        <v>5667</v>
      </c>
      <c r="O2291" s="9" t="str">
        <f t="shared" si="221"/>
        <v>PDFを開く</v>
      </c>
      <c r="P2291" s="9" t="s">
        <v>1926</v>
      </c>
    </row>
    <row r="2292" spans="1:16" ht="33.950000000000003" customHeight="1">
      <c r="A2292" s="2" t="s">
        <v>1918</v>
      </c>
      <c r="B2292" s="2" t="s">
        <v>1595</v>
      </c>
      <c r="C2292" s="8" t="s">
        <v>1919</v>
      </c>
      <c r="D2292" s="2">
        <v>2</v>
      </c>
      <c r="E2292" s="8" t="s">
        <v>3191</v>
      </c>
      <c r="F2292" s="2" t="s">
        <v>2513</v>
      </c>
      <c r="G2292" s="2" t="s">
        <v>3177</v>
      </c>
      <c r="H2292" s="2" t="s">
        <v>3178</v>
      </c>
      <c r="I2292" s="8" t="s">
        <v>5664</v>
      </c>
      <c r="J2292" s="2">
        <v>2030</v>
      </c>
      <c r="K2292" s="2">
        <v>98</v>
      </c>
      <c r="L2292" s="8" t="s">
        <v>5486</v>
      </c>
      <c r="M2292" s="2"/>
      <c r="N2292" s="8" t="s">
        <v>5667</v>
      </c>
      <c r="O2292" s="8" t="str">
        <f t="shared" si="221"/>
        <v>PDFを開く</v>
      </c>
      <c r="P2292" s="8" t="s">
        <v>1926</v>
      </c>
    </row>
    <row r="2293" spans="1:16" ht="33.950000000000003" customHeight="1">
      <c r="A2293" s="5" t="s">
        <v>1927</v>
      </c>
      <c r="B2293" s="5" t="s">
        <v>1595</v>
      </c>
      <c r="C2293" s="9" t="s">
        <v>1928</v>
      </c>
      <c r="D2293" s="5">
        <v>2</v>
      </c>
      <c r="E2293" s="9" t="s">
        <v>3176</v>
      </c>
      <c r="F2293" s="5"/>
      <c r="G2293" s="19" t="s">
        <v>3494</v>
      </c>
      <c r="H2293" s="5"/>
      <c r="I2293" s="9" t="s">
        <v>3504</v>
      </c>
      <c r="J2293" s="5">
        <v>2026</v>
      </c>
      <c r="K2293" s="5">
        <v>556</v>
      </c>
      <c r="L2293" s="9" t="s">
        <v>5030</v>
      </c>
      <c r="M2293" s="5"/>
      <c r="N2293" s="9" t="s">
        <v>5668</v>
      </c>
      <c r="O2293" s="9" t="str">
        <f t="shared" ref="O2293:O2323" si="222">HYPERLINK("https://seichotoushi-hojo.jp/assets/pdf/koufu_3_4ji/outline_27.pdf","PDFを開く")</f>
        <v>PDFを開く</v>
      </c>
      <c r="P2293" s="9" t="s">
        <v>1935</v>
      </c>
    </row>
    <row r="2294" spans="1:16" ht="33.950000000000003" customHeight="1">
      <c r="A2294" s="2" t="s">
        <v>1927</v>
      </c>
      <c r="B2294" s="2" t="s">
        <v>1595</v>
      </c>
      <c r="C2294" s="8" t="s">
        <v>1928</v>
      </c>
      <c r="D2294" s="2">
        <v>2</v>
      </c>
      <c r="E2294" s="8" t="s">
        <v>3176</v>
      </c>
      <c r="F2294" s="2"/>
      <c r="G2294" s="19" t="s">
        <v>3494</v>
      </c>
      <c r="H2294" s="2"/>
      <c r="I2294" s="8" t="s">
        <v>3507</v>
      </c>
      <c r="J2294" s="2">
        <v>2029</v>
      </c>
      <c r="K2294" s="2">
        <v>1281</v>
      </c>
      <c r="L2294" s="8" t="s">
        <v>5669</v>
      </c>
      <c r="M2294" s="2"/>
      <c r="N2294" s="8" t="s">
        <v>5668</v>
      </c>
      <c r="O2294" s="8" t="str">
        <f t="shared" si="222"/>
        <v>PDFを開く</v>
      </c>
      <c r="P2294" s="8" t="s">
        <v>1935</v>
      </c>
    </row>
    <row r="2295" spans="1:16" ht="33.950000000000003" customHeight="1">
      <c r="A2295" s="5" t="s">
        <v>1927</v>
      </c>
      <c r="B2295" s="5" t="s">
        <v>1595</v>
      </c>
      <c r="C2295" s="9" t="s">
        <v>1928</v>
      </c>
      <c r="D2295" s="5">
        <v>2</v>
      </c>
      <c r="E2295" s="9" t="s">
        <v>3176</v>
      </c>
      <c r="F2295" s="5"/>
      <c r="G2295" s="19" t="s">
        <v>3494</v>
      </c>
      <c r="H2295" s="5"/>
      <c r="I2295" s="9" t="s">
        <v>3504</v>
      </c>
      <c r="J2295" s="5">
        <v>2026</v>
      </c>
      <c r="K2295" s="5">
        <v>5916</v>
      </c>
      <c r="L2295" s="9" t="s">
        <v>5670</v>
      </c>
      <c r="M2295" s="5"/>
      <c r="N2295" s="9" t="s">
        <v>5668</v>
      </c>
      <c r="O2295" s="9" t="str">
        <f t="shared" si="222"/>
        <v>PDFを開く</v>
      </c>
      <c r="P2295" s="9" t="s">
        <v>1935</v>
      </c>
    </row>
    <row r="2296" spans="1:16" ht="33.950000000000003" customHeight="1">
      <c r="A2296" s="2" t="s">
        <v>1927</v>
      </c>
      <c r="B2296" s="2" t="s">
        <v>1595</v>
      </c>
      <c r="C2296" s="8" t="s">
        <v>1928</v>
      </c>
      <c r="D2296" s="2">
        <v>2</v>
      </c>
      <c r="E2296" s="8" t="s">
        <v>3176</v>
      </c>
      <c r="F2296" s="2"/>
      <c r="G2296" s="19" t="s">
        <v>3494</v>
      </c>
      <c r="H2296" s="2"/>
      <c r="I2296" s="8" t="s">
        <v>3507</v>
      </c>
      <c r="J2296" s="2">
        <v>2029</v>
      </c>
      <c r="K2296" s="2">
        <v>25437</v>
      </c>
      <c r="L2296" s="8" t="s">
        <v>5671</v>
      </c>
      <c r="M2296" s="2"/>
      <c r="N2296" s="8" t="s">
        <v>5668</v>
      </c>
      <c r="O2296" s="8" t="str">
        <f t="shared" si="222"/>
        <v>PDFを開く</v>
      </c>
      <c r="P2296" s="8" t="s">
        <v>1935</v>
      </c>
    </row>
    <row r="2297" spans="1:16" ht="33.950000000000003" customHeight="1">
      <c r="A2297" s="5" t="s">
        <v>1927</v>
      </c>
      <c r="B2297" s="5" t="s">
        <v>1595</v>
      </c>
      <c r="C2297" s="9" t="s">
        <v>1928</v>
      </c>
      <c r="D2297" s="5">
        <v>2</v>
      </c>
      <c r="E2297" s="9" t="s">
        <v>3176</v>
      </c>
      <c r="F2297" s="5"/>
      <c r="G2297" s="19" t="s">
        <v>3494</v>
      </c>
      <c r="H2297" s="5"/>
      <c r="I2297" s="9" t="s">
        <v>3504</v>
      </c>
      <c r="J2297" s="5">
        <v>2026</v>
      </c>
      <c r="K2297" s="5">
        <v>440</v>
      </c>
      <c r="L2297" s="9" t="s">
        <v>3887</v>
      </c>
      <c r="M2297" s="5"/>
      <c r="N2297" s="9" t="s">
        <v>5668</v>
      </c>
      <c r="O2297" s="9" t="str">
        <f t="shared" si="222"/>
        <v>PDFを開く</v>
      </c>
      <c r="P2297" s="9" t="s">
        <v>1935</v>
      </c>
    </row>
    <row r="2298" spans="1:16" ht="33.950000000000003" customHeight="1">
      <c r="A2298" s="2" t="s">
        <v>1927</v>
      </c>
      <c r="B2298" s="2" t="s">
        <v>1595</v>
      </c>
      <c r="C2298" s="8" t="s">
        <v>1928</v>
      </c>
      <c r="D2298" s="2">
        <v>2</v>
      </c>
      <c r="E2298" s="8" t="s">
        <v>3176</v>
      </c>
      <c r="F2298" s="2"/>
      <c r="G2298" s="19" t="s">
        <v>3494</v>
      </c>
      <c r="H2298" s="2"/>
      <c r="I2298" s="8" t="s">
        <v>3507</v>
      </c>
      <c r="J2298" s="2">
        <v>2029</v>
      </c>
      <c r="K2298" s="2">
        <v>644</v>
      </c>
      <c r="L2298" s="8" t="s">
        <v>3894</v>
      </c>
      <c r="M2298" s="2"/>
      <c r="N2298" s="8" t="s">
        <v>5668</v>
      </c>
      <c r="O2298" s="8" t="str">
        <f t="shared" si="222"/>
        <v>PDFを開く</v>
      </c>
      <c r="P2298" s="8" t="s">
        <v>1935</v>
      </c>
    </row>
    <row r="2299" spans="1:16" ht="33.950000000000003" customHeight="1">
      <c r="A2299" s="5" t="s">
        <v>1927</v>
      </c>
      <c r="B2299" s="5" t="s">
        <v>1595</v>
      </c>
      <c r="C2299" s="9" t="s">
        <v>1928</v>
      </c>
      <c r="D2299" s="5">
        <v>2</v>
      </c>
      <c r="E2299" s="9" t="s">
        <v>3176</v>
      </c>
      <c r="F2299" s="5"/>
      <c r="G2299" s="19" t="s">
        <v>3494</v>
      </c>
      <c r="H2299" s="5"/>
      <c r="I2299" s="9" t="s">
        <v>3504</v>
      </c>
      <c r="J2299" s="5">
        <v>2026</v>
      </c>
      <c r="K2299" s="5">
        <v>403</v>
      </c>
      <c r="L2299" s="9" t="s">
        <v>3624</v>
      </c>
      <c r="M2299" s="5"/>
      <c r="N2299" s="9" t="s">
        <v>5668</v>
      </c>
      <c r="O2299" s="9" t="str">
        <f t="shared" si="222"/>
        <v>PDFを開く</v>
      </c>
      <c r="P2299" s="9" t="s">
        <v>1935</v>
      </c>
    </row>
    <row r="2300" spans="1:16" ht="33.950000000000003" customHeight="1">
      <c r="A2300" s="2" t="s">
        <v>1927</v>
      </c>
      <c r="B2300" s="2" t="s">
        <v>1595</v>
      </c>
      <c r="C2300" s="8" t="s">
        <v>1928</v>
      </c>
      <c r="D2300" s="2">
        <v>2</v>
      </c>
      <c r="E2300" s="8" t="s">
        <v>3176</v>
      </c>
      <c r="F2300" s="2"/>
      <c r="G2300" s="19" t="s">
        <v>3494</v>
      </c>
      <c r="H2300" s="2"/>
      <c r="I2300" s="8" t="s">
        <v>3507</v>
      </c>
      <c r="J2300" s="2">
        <v>2029</v>
      </c>
      <c r="K2300" s="2">
        <v>708</v>
      </c>
      <c r="L2300" s="8" t="s">
        <v>4798</v>
      </c>
      <c r="M2300" s="2"/>
      <c r="N2300" s="8" t="s">
        <v>5668</v>
      </c>
      <c r="O2300" s="8" t="str">
        <f t="shared" si="222"/>
        <v>PDFを開く</v>
      </c>
      <c r="P2300" s="8" t="s">
        <v>1935</v>
      </c>
    </row>
    <row r="2301" spans="1:16" ht="33.950000000000003" customHeight="1">
      <c r="A2301" s="5" t="s">
        <v>1927</v>
      </c>
      <c r="B2301" s="5" t="s">
        <v>1595</v>
      </c>
      <c r="C2301" s="9" t="s">
        <v>1928</v>
      </c>
      <c r="D2301" s="5">
        <v>2</v>
      </c>
      <c r="E2301" s="9" t="s">
        <v>3184</v>
      </c>
      <c r="F2301" s="5"/>
      <c r="G2301" s="19" t="s">
        <v>3494</v>
      </c>
      <c r="H2301" s="5" t="s">
        <v>3178</v>
      </c>
      <c r="I2301" s="9" t="s">
        <v>3504</v>
      </c>
      <c r="J2301" s="5">
        <v>2026</v>
      </c>
      <c r="K2301" s="5">
        <v>339</v>
      </c>
      <c r="L2301" s="9" t="s">
        <v>5672</v>
      </c>
      <c r="M2301" s="5">
        <v>6</v>
      </c>
      <c r="N2301" s="9" t="s">
        <v>5673</v>
      </c>
      <c r="O2301" s="9" t="str">
        <f t="shared" si="222"/>
        <v>PDFを開く</v>
      </c>
      <c r="P2301" s="9" t="s">
        <v>1935</v>
      </c>
    </row>
    <row r="2302" spans="1:16" ht="33.950000000000003" customHeight="1">
      <c r="A2302" s="2" t="s">
        <v>1927</v>
      </c>
      <c r="B2302" s="2" t="s">
        <v>1595</v>
      </c>
      <c r="C2302" s="8" t="s">
        <v>1928</v>
      </c>
      <c r="D2302" s="2">
        <v>2</v>
      </c>
      <c r="E2302" s="8" t="s">
        <v>3184</v>
      </c>
      <c r="F2302" s="2"/>
      <c r="G2302" s="19" t="s">
        <v>3494</v>
      </c>
      <c r="H2302" s="2" t="s">
        <v>3178</v>
      </c>
      <c r="I2302" s="8" t="s">
        <v>3507</v>
      </c>
      <c r="J2302" s="2">
        <v>2029</v>
      </c>
      <c r="K2302" s="2">
        <v>405</v>
      </c>
      <c r="L2302" s="8" t="s">
        <v>5674</v>
      </c>
      <c r="M2302" s="2">
        <v>6</v>
      </c>
      <c r="N2302" s="8" t="s">
        <v>5673</v>
      </c>
      <c r="O2302" s="8" t="str">
        <f t="shared" si="222"/>
        <v>PDFを開く</v>
      </c>
      <c r="P2302" s="8" t="s">
        <v>1935</v>
      </c>
    </row>
    <row r="2303" spans="1:16" ht="33.950000000000003" customHeight="1">
      <c r="A2303" s="5" t="s">
        <v>1927</v>
      </c>
      <c r="B2303" s="5" t="s">
        <v>1595</v>
      </c>
      <c r="C2303" s="9" t="s">
        <v>1928</v>
      </c>
      <c r="D2303" s="5">
        <v>2</v>
      </c>
      <c r="E2303" s="9" t="s">
        <v>3184</v>
      </c>
      <c r="F2303" s="5"/>
      <c r="G2303" s="19" t="s">
        <v>3494</v>
      </c>
      <c r="H2303" s="5" t="s">
        <v>3178</v>
      </c>
      <c r="I2303" s="9" t="s">
        <v>3504</v>
      </c>
      <c r="J2303" s="5">
        <v>2026</v>
      </c>
      <c r="K2303" s="5">
        <v>429</v>
      </c>
      <c r="L2303" s="9" t="s">
        <v>3388</v>
      </c>
      <c r="M2303" s="5">
        <v>6</v>
      </c>
      <c r="N2303" s="9" t="s">
        <v>5673</v>
      </c>
      <c r="O2303" s="9" t="str">
        <f t="shared" si="222"/>
        <v>PDFを開く</v>
      </c>
      <c r="P2303" s="9" t="s">
        <v>1935</v>
      </c>
    </row>
    <row r="2304" spans="1:16" ht="33.950000000000003" customHeight="1">
      <c r="A2304" s="2" t="s">
        <v>1927</v>
      </c>
      <c r="B2304" s="2" t="s">
        <v>1595</v>
      </c>
      <c r="C2304" s="8" t="s">
        <v>1928</v>
      </c>
      <c r="D2304" s="2">
        <v>2</v>
      </c>
      <c r="E2304" s="8" t="s">
        <v>3184</v>
      </c>
      <c r="F2304" s="2"/>
      <c r="G2304" s="19" t="s">
        <v>3494</v>
      </c>
      <c r="H2304" s="2" t="s">
        <v>3178</v>
      </c>
      <c r="I2304" s="8" t="s">
        <v>3507</v>
      </c>
      <c r="J2304" s="2">
        <v>2029</v>
      </c>
      <c r="K2304" s="2">
        <v>511</v>
      </c>
      <c r="L2304" s="8" t="s">
        <v>5504</v>
      </c>
      <c r="M2304" s="2">
        <v>6</v>
      </c>
      <c r="N2304" s="8" t="s">
        <v>5673</v>
      </c>
      <c r="O2304" s="8" t="str">
        <f t="shared" si="222"/>
        <v>PDFを開く</v>
      </c>
      <c r="P2304" s="8" t="s">
        <v>1935</v>
      </c>
    </row>
    <row r="2305" spans="1:16" ht="33.950000000000003" customHeight="1">
      <c r="A2305" s="5" t="s">
        <v>1927</v>
      </c>
      <c r="B2305" s="5" t="s">
        <v>1595</v>
      </c>
      <c r="C2305" s="9" t="s">
        <v>1928</v>
      </c>
      <c r="D2305" s="5">
        <v>2</v>
      </c>
      <c r="E2305" s="9" t="s">
        <v>3184</v>
      </c>
      <c r="F2305" s="5"/>
      <c r="G2305" s="19" t="s">
        <v>3494</v>
      </c>
      <c r="H2305" s="5" t="s">
        <v>3178</v>
      </c>
      <c r="I2305" s="9" t="s">
        <v>3504</v>
      </c>
      <c r="J2305" s="5">
        <v>2026</v>
      </c>
      <c r="K2305" s="5">
        <v>354</v>
      </c>
      <c r="L2305" s="9" t="s">
        <v>5675</v>
      </c>
      <c r="M2305" s="5">
        <v>6</v>
      </c>
      <c r="N2305" s="9" t="s">
        <v>5673</v>
      </c>
      <c r="O2305" s="9" t="str">
        <f t="shared" si="222"/>
        <v>PDFを開く</v>
      </c>
      <c r="P2305" s="9" t="s">
        <v>1935</v>
      </c>
    </row>
    <row r="2306" spans="1:16" ht="33.950000000000003" customHeight="1">
      <c r="A2306" s="2" t="s">
        <v>1927</v>
      </c>
      <c r="B2306" s="2" t="s">
        <v>1595</v>
      </c>
      <c r="C2306" s="8" t="s">
        <v>1928</v>
      </c>
      <c r="D2306" s="2">
        <v>2</v>
      </c>
      <c r="E2306" s="8" t="s">
        <v>3184</v>
      </c>
      <c r="F2306" s="2"/>
      <c r="G2306" s="19" t="s">
        <v>3494</v>
      </c>
      <c r="H2306" s="2" t="s">
        <v>3178</v>
      </c>
      <c r="I2306" s="8" t="s">
        <v>3507</v>
      </c>
      <c r="J2306" s="2">
        <v>2029</v>
      </c>
      <c r="K2306" s="2">
        <v>422</v>
      </c>
      <c r="L2306" s="8" t="s">
        <v>5108</v>
      </c>
      <c r="M2306" s="2">
        <v>6</v>
      </c>
      <c r="N2306" s="8" t="s">
        <v>5673</v>
      </c>
      <c r="O2306" s="8" t="str">
        <f t="shared" si="222"/>
        <v>PDFを開く</v>
      </c>
      <c r="P2306" s="8" t="s">
        <v>1935</v>
      </c>
    </row>
    <row r="2307" spans="1:16" ht="33.950000000000003" customHeight="1">
      <c r="A2307" s="5" t="s">
        <v>1927</v>
      </c>
      <c r="B2307" s="5" t="s">
        <v>1595</v>
      </c>
      <c r="C2307" s="9" t="s">
        <v>1928</v>
      </c>
      <c r="D2307" s="5">
        <v>2</v>
      </c>
      <c r="E2307" s="9" t="s">
        <v>3184</v>
      </c>
      <c r="F2307" s="5"/>
      <c r="G2307" s="19" t="s">
        <v>3494</v>
      </c>
      <c r="H2307" s="5" t="s">
        <v>3178</v>
      </c>
      <c r="I2307" s="9" t="s">
        <v>3504</v>
      </c>
      <c r="J2307" s="5">
        <v>2026</v>
      </c>
      <c r="K2307" s="5">
        <v>334</v>
      </c>
      <c r="L2307" s="9" t="s">
        <v>3678</v>
      </c>
      <c r="M2307" s="5">
        <v>6</v>
      </c>
      <c r="N2307" s="9" t="s">
        <v>5673</v>
      </c>
      <c r="O2307" s="9" t="str">
        <f t="shared" si="222"/>
        <v>PDFを開く</v>
      </c>
      <c r="P2307" s="9" t="s">
        <v>1935</v>
      </c>
    </row>
    <row r="2308" spans="1:16" ht="33.950000000000003" customHeight="1">
      <c r="A2308" s="2" t="s">
        <v>1927</v>
      </c>
      <c r="B2308" s="2" t="s">
        <v>1595</v>
      </c>
      <c r="C2308" s="8" t="s">
        <v>1928</v>
      </c>
      <c r="D2308" s="2">
        <v>2</v>
      </c>
      <c r="E2308" s="8" t="s">
        <v>3184</v>
      </c>
      <c r="F2308" s="2"/>
      <c r="G2308" s="19" t="s">
        <v>3494</v>
      </c>
      <c r="H2308" s="2" t="s">
        <v>3178</v>
      </c>
      <c r="I2308" s="8" t="s">
        <v>3507</v>
      </c>
      <c r="J2308" s="2">
        <v>2029</v>
      </c>
      <c r="K2308" s="2">
        <v>398</v>
      </c>
      <c r="L2308" s="8" t="s">
        <v>5676</v>
      </c>
      <c r="M2308" s="2">
        <v>6</v>
      </c>
      <c r="N2308" s="8" t="s">
        <v>5673</v>
      </c>
      <c r="O2308" s="8" t="str">
        <f t="shared" si="222"/>
        <v>PDFを開く</v>
      </c>
      <c r="P2308" s="8" t="s">
        <v>1935</v>
      </c>
    </row>
    <row r="2309" spans="1:16" ht="33.950000000000003" customHeight="1">
      <c r="A2309" s="5" t="s">
        <v>1927</v>
      </c>
      <c r="B2309" s="5" t="s">
        <v>1595</v>
      </c>
      <c r="C2309" s="9" t="s">
        <v>1928</v>
      </c>
      <c r="D2309" s="5">
        <v>2</v>
      </c>
      <c r="E2309" s="9" t="s">
        <v>3188</v>
      </c>
      <c r="F2309" s="5"/>
      <c r="G2309" s="19" t="s">
        <v>3494</v>
      </c>
      <c r="H2309" s="5" t="s">
        <v>3178</v>
      </c>
      <c r="I2309" s="9"/>
      <c r="J2309" s="5"/>
      <c r="K2309" s="5"/>
      <c r="L2309" s="9"/>
      <c r="M2309" s="5">
        <v>6</v>
      </c>
      <c r="N2309" s="9" t="s">
        <v>5677</v>
      </c>
      <c r="O2309" s="9" t="str">
        <f t="shared" si="222"/>
        <v>PDFを開く</v>
      </c>
      <c r="P2309" s="9" t="s">
        <v>1935</v>
      </c>
    </row>
    <row r="2310" spans="1:16" ht="33.950000000000003" customHeight="1">
      <c r="A2310" s="2" t="s">
        <v>1927</v>
      </c>
      <c r="B2310" s="2" t="s">
        <v>1595</v>
      </c>
      <c r="C2310" s="8" t="s">
        <v>1928</v>
      </c>
      <c r="D2310" s="2">
        <v>2</v>
      </c>
      <c r="E2310" s="8" t="s">
        <v>3191</v>
      </c>
      <c r="F2310" s="2" t="s">
        <v>2513</v>
      </c>
      <c r="G2310" s="19" t="s">
        <v>3494</v>
      </c>
      <c r="H2310" s="2"/>
      <c r="I2310" s="8" t="s">
        <v>3504</v>
      </c>
      <c r="J2310" s="2">
        <v>2026</v>
      </c>
      <c r="K2310" s="2">
        <v>368</v>
      </c>
      <c r="L2310" s="8" t="s">
        <v>5350</v>
      </c>
      <c r="M2310" s="2"/>
      <c r="N2310" s="8" t="s">
        <v>5678</v>
      </c>
      <c r="O2310" s="8" t="str">
        <f t="shared" si="222"/>
        <v>PDFを開く</v>
      </c>
      <c r="P2310" s="8" t="s">
        <v>1935</v>
      </c>
    </row>
    <row r="2311" spans="1:16" ht="33.950000000000003" customHeight="1">
      <c r="A2311" s="5" t="s">
        <v>1927</v>
      </c>
      <c r="B2311" s="5" t="s">
        <v>1595</v>
      </c>
      <c r="C2311" s="9" t="s">
        <v>1928</v>
      </c>
      <c r="D2311" s="5">
        <v>2</v>
      </c>
      <c r="E2311" s="9" t="s">
        <v>3191</v>
      </c>
      <c r="F2311" s="5" t="s">
        <v>2513</v>
      </c>
      <c r="G2311" s="19" t="s">
        <v>3494</v>
      </c>
      <c r="H2311" s="5"/>
      <c r="I2311" s="9" t="s">
        <v>3507</v>
      </c>
      <c r="J2311" s="5">
        <v>2029</v>
      </c>
      <c r="K2311" s="5">
        <v>416</v>
      </c>
      <c r="L2311" s="9" t="s">
        <v>5246</v>
      </c>
      <c r="M2311" s="5"/>
      <c r="N2311" s="9" t="s">
        <v>5678</v>
      </c>
      <c r="O2311" s="9" t="str">
        <f t="shared" si="222"/>
        <v>PDFを開く</v>
      </c>
      <c r="P2311" s="9" t="s">
        <v>1935</v>
      </c>
    </row>
    <row r="2312" spans="1:16" ht="33.950000000000003" customHeight="1">
      <c r="A2312" s="2" t="s">
        <v>1927</v>
      </c>
      <c r="B2312" s="2" t="s">
        <v>1595</v>
      </c>
      <c r="C2312" s="8" t="s">
        <v>1928</v>
      </c>
      <c r="D2312" s="2">
        <v>2</v>
      </c>
      <c r="E2312" s="8" t="s">
        <v>3191</v>
      </c>
      <c r="F2312" s="2" t="s">
        <v>2513</v>
      </c>
      <c r="G2312" s="19" t="s">
        <v>3494</v>
      </c>
      <c r="H2312" s="2"/>
      <c r="I2312" s="8" t="s">
        <v>3504</v>
      </c>
      <c r="J2312" s="2">
        <v>2026</v>
      </c>
      <c r="K2312" s="2">
        <v>10</v>
      </c>
      <c r="L2312" s="8" t="s">
        <v>3623</v>
      </c>
      <c r="M2312" s="2"/>
      <c r="N2312" s="8" t="s">
        <v>5678</v>
      </c>
      <c r="O2312" s="8" t="str">
        <f t="shared" si="222"/>
        <v>PDFを開く</v>
      </c>
      <c r="P2312" s="8" t="s">
        <v>1935</v>
      </c>
    </row>
    <row r="2313" spans="1:16" ht="33.950000000000003" customHeight="1">
      <c r="A2313" s="5" t="s">
        <v>1927</v>
      </c>
      <c r="B2313" s="5" t="s">
        <v>1595</v>
      </c>
      <c r="C2313" s="9" t="s">
        <v>1928</v>
      </c>
      <c r="D2313" s="5">
        <v>2</v>
      </c>
      <c r="E2313" s="9" t="s">
        <v>3191</v>
      </c>
      <c r="F2313" s="5" t="s">
        <v>2513</v>
      </c>
      <c r="G2313" s="19" t="s">
        <v>3494</v>
      </c>
      <c r="H2313" s="5"/>
      <c r="I2313" s="9" t="s">
        <v>3507</v>
      </c>
      <c r="J2313" s="5">
        <v>2029</v>
      </c>
      <c r="K2313" s="5">
        <v>10</v>
      </c>
      <c r="L2313" s="9" t="s">
        <v>3623</v>
      </c>
      <c r="M2313" s="5"/>
      <c r="N2313" s="9" t="s">
        <v>5678</v>
      </c>
      <c r="O2313" s="9" t="str">
        <f t="shared" si="222"/>
        <v>PDFを開く</v>
      </c>
      <c r="P2313" s="9" t="s">
        <v>1935</v>
      </c>
    </row>
    <row r="2314" spans="1:16" ht="33.950000000000003" customHeight="1">
      <c r="A2314" s="2" t="s">
        <v>1927</v>
      </c>
      <c r="B2314" s="2" t="s">
        <v>1595</v>
      </c>
      <c r="C2314" s="8" t="s">
        <v>1928</v>
      </c>
      <c r="D2314" s="2">
        <v>2</v>
      </c>
      <c r="E2314" s="8" t="s">
        <v>3191</v>
      </c>
      <c r="F2314" s="2" t="s">
        <v>2513</v>
      </c>
      <c r="G2314" s="19" t="s">
        <v>3494</v>
      </c>
      <c r="H2314" s="2"/>
      <c r="I2314" s="8" t="s">
        <v>3504</v>
      </c>
      <c r="J2314" s="2">
        <v>2026</v>
      </c>
      <c r="K2314" s="2">
        <v>63</v>
      </c>
      <c r="L2314" s="8" t="s">
        <v>3442</v>
      </c>
      <c r="M2314" s="2"/>
      <c r="N2314" s="8" t="s">
        <v>5678</v>
      </c>
      <c r="O2314" s="8" t="str">
        <f t="shared" si="222"/>
        <v>PDFを開く</v>
      </c>
      <c r="P2314" s="8" t="s">
        <v>1935</v>
      </c>
    </row>
    <row r="2315" spans="1:16" ht="33.950000000000003" customHeight="1">
      <c r="A2315" s="5" t="s">
        <v>1927</v>
      </c>
      <c r="B2315" s="5" t="s">
        <v>1595</v>
      </c>
      <c r="C2315" s="9" t="s">
        <v>1928</v>
      </c>
      <c r="D2315" s="5">
        <v>2</v>
      </c>
      <c r="E2315" s="9" t="s">
        <v>3191</v>
      </c>
      <c r="F2315" s="5" t="s">
        <v>2513</v>
      </c>
      <c r="G2315" s="19" t="s">
        <v>3494</v>
      </c>
      <c r="H2315" s="5"/>
      <c r="I2315" s="9" t="s">
        <v>3507</v>
      </c>
      <c r="J2315" s="5">
        <v>2029</v>
      </c>
      <c r="K2315" s="5">
        <v>79</v>
      </c>
      <c r="L2315" s="9" t="s">
        <v>5095</v>
      </c>
      <c r="M2315" s="5"/>
      <c r="N2315" s="9" t="s">
        <v>5678</v>
      </c>
      <c r="O2315" s="9" t="str">
        <f t="shared" si="222"/>
        <v>PDFを開く</v>
      </c>
      <c r="P2315" s="9" t="s">
        <v>1935</v>
      </c>
    </row>
    <row r="2316" spans="1:16" ht="33.950000000000003" customHeight="1">
      <c r="A2316" s="2" t="s">
        <v>1927</v>
      </c>
      <c r="B2316" s="2" t="s">
        <v>1595</v>
      </c>
      <c r="C2316" s="8" t="s">
        <v>1928</v>
      </c>
      <c r="D2316" s="2">
        <v>2</v>
      </c>
      <c r="E2316" s="8" t="s">
        <v>3191</v>
      </c>
      <c r="F2316" s="2" t="s">
        <v>2513</v>
      </c>
      <c r="G2316" s="19" t="s">
        <v>3494</v>
      </c>
      <c r="H2316" s="2"/>
      <c r="I2316" s="8" t="s">
        <v>3504</v>
      </c>
      <c r="J2316" s="2">
        <v>2026</v>
      </c>
      <c r="K2316" s="2">
        <v>295</v>
      </c>
      <c r="L2316" s="8" t="s">
        <v>5267</v>
      </c>
      <c r="M2316" s="2"/>
      <c r="N2316" s="8" t="s">
        <v>5678</v>
      </c>
      <c r="O2316" s="8" t="str">
        <f t="shared" si="222"/>
        <v>PDFを開く</v>
      </c>
      <c r="P2316" s="8" t="s">
        <v>1935</v>
      </c>
    </row>
    <row r="2317" spans="1:16" ht="33.950000000000003" customHeight="1">
      <c r="A2317" s="5" t="s">
        <v>1927</v>
      </c>
      <c r="B2317" s="5" t="s">
        <v>1595</v>
      </c>
      <c r="C2317" s="9" t="s">
        <v>1928</v>
      </c>
      <c r="D2317" s="5">
        <v>2</v>
      </c>
      <c r="E2317" s="9" t="s">
        <v>3191</v>
      </c>
      <c r="F2317" s="5" t="s">
        <v>2513</v>
      </c>
      <c r="G2317" s="19" t="s">
        <v>3494</v>
      </c>
      <c r="H2317" s="5"/>
      <c r="I2317" s="9" t="s">
        <v>3507</v>
      </c>
      <c r="J2317" s="5">
        <v>2029</v>
      </c>
      <c r="K2317" s="5">
        <v>327</v>
      </c>
      <c r="L2317" s="9" t="s">
        <v>5679</v>
      </c>
      <c r="M2317" s="5"/>
      <c r="N2317" s="9" t="s">
        <v>5678</v>
      </c>
      <c r="O2317" s="9" t="str">
        <f t="shared" si="222"/>
        <v>PDFを開く</v>
      </c>
      <c r="P2317" s="9" t="s">
        <v>1935</v>
      </c>
    </row>
    <row r="2318" spans="1:16" ht="33.950000000000003" customHeight="1">
      <c r="A2318" s="2" t="s">
        <v>1927</v>
      </c>
      <c r="B2318" s="2" t="s">
        <v>1595</v>
      </c>
      <c r="C2318" s="8" t="s">
        <v>1928</v>
      </c>
      <c r="D2318" s="2">
        <v>2</v>
      </c>
      <c r="E2318" s="8" t="s">
        <v>3176</v>
      </c>
      <c r="F2318" s="2" t="s">
        <v>86</v>
      </c>
      <c r="G2318" s="2" t="s">
        <v>3177</v>
      </c>
      <c r="H2318" s="2"/>
      <c r="I2318" s="8" t="s">
        <v>3504</v>
      </c>
      <c r="J2318" s="2">
        <v>2026</v>
      </c>
      <c r="K2318" s="2">
        <v>556</v>
      </c>
      <c r="L2318" s="8" t="s">
        <v>5030</v>
      </c>
      <c r="M2318" s="2"/>
      <c r="N2318" s="8" t="s">
        <v>5668</v>
      </c>
      <c r="O2318" s="8" t="str">
        <f t="shared" si="222"/>
        <v>PDFを開く</v>
      </c>
      <c r="P2318" s="8" t="s">
        <v>1935</v>
      </c>
    </row>
    <row r="2319" spans="1:16" ht="33.950000000000003" customHeight="1">
      <c r="A2319" s="5" t="s">
        <v>1927</v>
      </c>
      <c r="B2319" s="5" t="s">
        <v>1595</v>
      </c>
      <c r="C2319" s="9" t="s">
        <v>1928</v>
      </c>
      <c r="D2319" s="5">
        <v>2</v>
      </c>
      <c r="E2319" s="9" t="s">
        <v>3176</v>
      </c>
      <c r="F2319" s="5" t="s">
        <v>86</v>
      </c>
      <c r="G2319" s="5" t="s">
        <v>3177</v>
      </c>
      <c r="H2319" s="5"/>
      <c r="I2319" s="9" t="s">
        <v>3507</v>
      </c>
      <c r="J2319" s="5">
        <v>2029</v>
      </c>
      <c r="K2319" s="5">
        <v>1281</v>
      </c>
      <c r="L2319" s="9" t="s">
        <v>5669</v>
      </c>
      <c r="M2319" s="5"/>
      <c r="N2319" s="9" t="s">
        <v>5668</v>
      </c>
      <c r="O2319" s="9" t="str">
        <f t="shared" si="222"/>
        <v>PDFを開く</v>
      </c>
      <c r="P2319" s="9" t="s">
        <v>1935</v>
      </c>
    </row>
    <row r="2320" spans="1:16" ht="33.950000000000003" customHeight="1">
      <c r="A2320" s="2" t="s">
        <v>1927</v>
      </c>
      <c r="B2320" s="2" t="s">
        <v>1595</v>
      </c>
      <c r="C2320" s="8" t="s">
        <v>1928</v>
      </c>
      <c r="D2320" s="2">
        <v>2</v>
      </c>
      <c r="E2320" s="8" t="s">
        <v>3191</v>
      </c>
      <c r="F2320" s="2" t="s">
        <v>2513</v>
      </c>
      <c r="G2320" s="2" t="s">
        <v>3177</v>
      </c>
      <c r="H2320" s="2"/>
      <c r="I2320" s="8" t="s">
        <v>3504</v>
      </c>
      <c r="J2320" s="2">
        <v>2026</v>
      </c>
      <c r="K2320" s="2">
        <v>368</v>
      </c>
      <c r="L2320" s="8" t="s">
        <v>5350</v>
      </c>
      <c r="M2320" s="2"/>
      <c r="N2320" s="8" t="s">
        <v>5678</v>
      </c>
      <c r="O2320" s="8" t="str">
        <f t="shared" si="222"/>
        <v>PDFを開く</v>
      </c>
      <c r="P2320" s="8" t="s">
        <v>1935</v>
      </c>
    </row>
    <row r="2321" spans="1:16" ht="33.950000000000003" customHeight="1">
      <c r="A2321" s="5" t="s">
        <v>1927</v>
      </c>
      <c r="B2321" s="5" t="s">
        <v>1595</v>
      </c>
      <c r="C2321" s="9" t="s">
        <v>1928</v>
      </c>
      <c r="D2321" s="5">
        <v>2</v>
      </c>
      <c r="E2321" s="9" t="s">
        <v>3191</v>
      </c>
      <c r="F2321" s="5" t="s">
        <v>2513</v>
      </c>
      <c r="G2321" s="5" t="s">
        <v>3177</v>
      </c>
      <c r="H2321" s="5"/>
      <c r="I2321" s="9" t="s">
        <v>3507</v>
      </c>
      <c r="J2321" s="5">
        <v>2029</v>
      </c>
      <c r="K2321" s="5">
        <v>416</v>
      </c>
      <c r="L2321" s="9" t="s">
        <v>5246</v>
      </c>
      <c r="M2321" s="5"/>
      <c r="N2321" s="9" t="s">
        <v>5678</v>
      </c>
      <c r="O2321" s="9" t="str">
        <f t="shared" si="222"/>
        <v>PDFを開く</v>
      </c>
      <c r="P2321" s="9" t="s">
        <v>1935</v>
      </c>
    </row>
    <row r="2322" spans="1:16" ht="33.950000000000003" customHeight="1">
      <c r="A2322" s="2" t="s">
        <v>1927</v>
      </c>
      <c r="B2322" s="2" t="s">
        <v>1595</v>
      </c>
      <c r="C2322" s="8" t="s">
        <v>1928</v>
      </c>
      <c r="D2322" s="2">
        <v>2</v>
      </c>
      <c r="E2322" s="8" t="s">
        <v>3184</v>
      </c>
      <c r="F2322" s="2" t="s">
        <v>86</v>
      </c>
      <c r="G2322" s="2" t="s">
        <v>3177</v>
      </c>
      <c r="H2322" s="2" t="s">
        <v>3178</v>
      </c>
      <c r="I2322" s="8" t="s">
        <v>3504</v>
      </c>
      <c r="J2322" s="2">
        <v>2026</v>
      </c>
      <c r="K2322" s="2">
        <v>339</v>
      </c>
      <c r="L2322" s="8" t="s">
        <v>5672</v>
      </c>
      <c r="M2322" s="2">
        <v>6</v>
      </c>
      <c r="N2322" s="8" t="s">
        <v>5673</v>
      </c>
      <c r="O2322" s="8" t="str">
        <f t="shared" si="222"/>
        <v>PDFを開く</v>
      </c>
      <c r="P2322" s="8" t="s">
        <v>1935</v>
      </c>
    </row>
    <row r="2323" spans="1:16" ht="33.950000000000003" customHeight="1">
      <c r="A2323" s="5" t="s">
        <v>1927</v>
      </c>
      <c r="B2323" s="5" t="s">
        <v>1595</v>
      </c>
      <c r="C2323" s="9" t="s">
        <v>1928</v>
      </c>
      <c r="D2323" s="5">
        <v>2</v>
      </c>
      <c r="E2323" s="9" t="s">
        <v>3184</v>
      </c>
      <c r="F2323" s="5" t="s">
        <v>86</v>
      </c>
      <c r="G2323" s="5" t="s">
        <v>3177</v>
      </c>
      <c r="H2323" s="5" t="s">
        <v>3178</v>
      </c>
      <c r="I2323" s="9" t="s">
        <v>3507</v>
      </c>
      <c r="J2323" s="5">
        <v>2029</v>
      </c>
      <c r="K2323" s="5">
        <v>405</v>
      </c>
      <c r="L2323" s="9" t="s">
        <v>5674</v>
      </c>
      <c r="M2323" s="5">
        <v>6</v>
      </c>
      <c r="N2323" s="9" t="s">
        <v>5673</v>
      </c>
      <c r="O2323" s="9" t="str">
        <f t="shared" si="222"/>
        <v>PDFを開く</v>
      </c>
      <c r="P2323" s="9" t="s">
        <v>1935</v>
      </c>
    </row>
    <row r="2324" spans="1:16" ht="33.950000000000003" customHeight="1">
      <c r="A2324" s="2" t="s">
        <v>1936</v>
      </c>
      <c r="B2324" s="2" t="s">
        <v>1595</v>
      </c>
      <c r="C2324" s="8" t="s">
        <v>1937</v>
      </c>
      <c r="D2324" s="2">
        <v>3</v>
      </c>
      <c r="E2324" s="8" t="s">
        <v>3176</v>
      </c>
      <c r="F2324" s="2" t="s">
        <v>86</v>
      </c>
      <c r="G2324" s="19" t="s">
        <v>3494</v>
      </c>
      <c r="H2324" s="2" t="s">
        <v>3178</v>
      </c>
      <c r="I2324" s="8" t="s">
        <v>3179</v>
      </c>
      <c r="J2324" s="2">
        <v>2026</v>
      </c>
      <c r="K2324" s="2">
        <v>583</v>
      </c>
      <c r="L2324" s="8" t="s">
        <v>3818</v>
      </c>
      <c r="M2324" s="2">
        <v>21.1</v>
      </c>
      <c r="N2324" s="8" t="s">
        <v>5680</v>
      </c>
      <c r="O2324" s="8" t="str">
        <f t="shared" ref="O2324:O2350" si="223">HYPERLINK("https://seichotoushi-hojo.jp/assets/pdf/koufu_3_4ji/outline_3.pdf","PDFを開く")</f>
        <v>PDFを開く</v>
      </c>
      <c r="P2324" s="8" t="s">
        <v>1943</v>
      </c>
    </row>
    <row r="2325" spans="1:16" ht="33.950000000000003" customHeight="1">
      <c r="A2325" s="5" t="s">
        <v>1936</v>
      </c>
      <c r="B2325" s="5" t="s">
        <v>1595</v>
      </c>
      <c r="C2325" s="9" t="s">
        <v>1937</v>
      </c>
      <c r="D2325" s="5">
        <v>3</v>
      </c>
      <c r="E2325" s="9" t="s">
        <v>3176</v>
      </c>
      <c r="F2325" s="5" t="s">
        <v>86</v>
      </c>
      <c r="G2325" s="19" t="s">
        <v>3494</v>
      </c>
      <c r="H2325" s="5" t="s">
        <v>3178</v>
      </c>
      <c r="I2325" s="9" t="s">
        <v>3182</v>
      </c>
      <c r="J2325" s="5">
        <v>2029</v>
      </c>
      <c r="K2325" s="5">
        <v>1049</v>
      </c>
      <c r="L2325" s="9" t="s">
        <v>5681</v>
      </c>
      <c r="M2325" s="5">
        <v>21.1</v>
      </c>
      <c r="N2325" s="9" t="s">
        <v>5680</v>
      </c>
      <c r="O2325" s="9" t="str">
        <f t="shared" si="223"/>
        <v>PDFを開く</v>
      </c>
      <c r="P2325" s="9" t="s">
        <v>1943</v>
      </c>
    </row>
    <row r="2326" spans="1:16" ht="33.950000000000003" customHeight="1">
      <c r="A2326" s="2" t="s">
        <v>1936</v>
      </c>
      <c r="B2326" s="2" t="s">
        <v>1595</v>
      </c>
      <c r="C2326" s="8" t="s">
        <v>1937</v>
      </c>
      <c r="D2326" s="2">
        <v>3</v>
      </c>
      <c r="E2326" s="8" t="s">
        <v>3176</v>
      </c>
      <c r="F2326" s="2" t="s">
        <v>86</v>
      </c>
      <c r="G2326" s="19" t="s">
        <v>3494</v>
      </c>
      <c r="H2326" s="2" t="s">
        <v>3178</v>
      </c>
      <c r="I2326" s="8" t="s">
        <v>3179</v>
      </c>
      <c r="J2326" s="2">
        <v>2026</v>
      </c>
      <c r="K2326" s="2">
        <v>776</v>
      </c>
      <c r="L2326" s="8" t="s">
        <v>5682</v>
      </c>
      <c r="M2326" s="2">
        <v>21.1</v>
      </c>
      <c r="N2326" s="8" t="s">
        <v>5680</v>
      </c>
      <c r="O2326" s="8" t="str">
        <f t="shared" si="223"/>
        <v>PDFを開く</v>
      </c>
      <c r="P2326" s="8" t="s">
        <v>1943</v>
      </c>
    </row>
    <row r="2327" spans="1:16" ht="33.950000000000003" customHeight="1">
      <c r="A2327" s="5" t="s">
        <v>1936</v>
      </c>
      <c r="B2327" s="5" t="s">
        <v>1595</v>
      </c>
      <c r="C2327" s="9" t="s">
        <v>1937</v>
      </c>
      <c r="D2327" s="5">
        <v>3</v>
      </c>
      <c r="E2327" s="9" t="s">
        <v>3176</v>
      </c>
      <c r="F2327" s="5" t="s">
        <v>86</v>
      </c>
      <c r="G2327" s="19" t="s">
        <v>3494</v>
      </c>
      <c r="H2327" s="5" t="s">
        <v>3178</v>
      </c>
      <c r="I2327" s="9" t="s">
        <v>3182</v>
      </c>
      <c r="J2327" s="5">
        <v>2029</v>
      </c>
      <c r="K2327" s="5">
        <v>1661</v>
      </c>
      <c r="L2327" s="9" t="s">
        <v>5683</v>
      </c>
      <c r="M2327" s="5">
        <v>21.1</v>
      </c>
      <c r="N2327" s="9" t="s">
        <v>5680</v>
      </c>
      <c r="O2327" s="9" t="str">
        <f t="shared" si="223"/>
        <v>PDFを開く</v>
      </c>
      <c r="P2327" s="9" t="s">
        <v>1943</v>
      </c>
    </row>
    <row r="2328" spans="1:16" ht="33.950000000000003" customHeight="1">
      <c r="A2328" s="2" t="s">
        <v>1936</v>
      </c>
      <c r="B2328" s="2" t="s">
        <v>1595</v>
      </c>
      <c r="C2328" s="8" t="s">
        <v>1937</v>
      </c>
      <c r="D2328" s="2">
        <v>3</v>
      </c>
      <c r="E2328" s="8" t="s">
        <v>3176</v>
      </c>
      <c r="F2328" s="2" t="s">
        <v>86</v>
      </c>
      <c r="G2328" s="19" t="s">
        <v>3494</v>
      </c>
      <c r="H2328" s="2" t="s">
        <v>3178</v>
      </c>
      <c r="I2328" s="8" t="s">
        <v>3179</v>
      </c>
      <c r="J2328" s="2">
        <v>2026</v>
      </c>
      <c r="K2328" s="2">
        <v>400</v>
      </c>
      <c r="L2328" s="8" t="s">
        <v>3400</v>
      </c>
      <c r="M2328" s="2">
        <v>21.1</v>
      </c>
      <c r="N2328" s="8" t="s">
        <v>5680</v>
      </c>
      <c r="O2328" s="8" t="str">
        <f t="shared" si="223"/>
        <v>PDFを開く</v>
      </c>
      <c r="P2328" s="8" t="s">
        <v>1943</v>
      </c>
    </row>
    <row r="2329" spans="1:16" ht="33.950000000000003" customHeight="1">
      <c r="A2329" s="5" t="s">
        <v>1936</v>
      </c>
      <c r="B2329" s="5" t="s">
        <v>1595</v>
      </c>
      <c r="C2329" s="9" t="s">
        <v>1937</v>
      </c>
      <c r="D2329" s="5">
        <v>3</v>
      </c>
      <c r="E2329" s="9" t="s">
        <v>3176</v>
      </c>
      <c r="F2329" s="5" t="s">
        <v>86</v>
      </c>
      <c r="G2329" s="19" t="s">
        <v>3494</v>
      </c>
      <c r="H2329" s="5" t="s">
        <v>3178</v>
      </c>
      <c r="I2329" s="9" t="s">
        <v>3182</v>
      </c>
      <c r="J2329" s="5">
        <v>2029</v>
      </c>
      <c r="K2329" s="5">
        <v>772</v>
      </c>
      <c r="L2329" s="9" t="s">
        <v>5684</v>
      </c>
      <c r="M2329" s="5">
        <v>21.1</v>
      </c>
      <c r="N2329" s="9" t="s">
        <v>5680</v>
      </c>
      <c r="O2329" s="9" t="str">
        <f t="shared" si="223"/>
        <v>PDFを開く</v>
      </c>
      <c r="P2329" s="9" t="s">
        <v>1943</v>
      </c>
    </row>
    <row r="2330" spans="1:16" ht="33.950000000000003" customHeight="1">
      <c r="A2330" s="2" t="s">
        <v>1936</v>
      </c>
      <c r="B2330" s="2" t="s">
        <v>1595</v>
      </c>
      <c r="C2330" s="8" t="s">
        <v>1937</v>
      </c>
      <c r="D2330" s="2">
        <v>3</v>
      </c>
      <c r="E2330" s="8" t="s">
        <v>3184</v>
      </c>
      <c r="F2330" s="2" t="s">
        <v>86</v>
      </c>
      <c r="G2330" s="19" t="s">
        <v>3494</v>
      </c>
      <c r="H2330" s="2" t="s">
        <v>3178</v>
      </c>
      <c r="I2330" s="8" t="s">
        <v>3179</v>
      </c>
      <c r="J2330" s="2">
        <v>2026</v>
      </c>
      <c r="K2330" s="2">
        <v>568</v>
      </c>
      <c r="L2330" s="8" t="s">
        <v>3772</v>
      </c>
      <c r="M2330" s="2">
        <v>7.8</v>
      </c>
      <c r="N2330" s="8" t="s">
        <v>5685</v>
      </c>
      <c r="O2330" s="8" t="str">
        <f t="shared" si="223"/>
        <v>PDFを開く</v>
      </c>
      <c r="P2330" s="8" t="s">
        <v>1943</v>
      </c>
    </row>
    <row r="2331" spans="1:16" ht="33.950000000000003" customHeight="1">
      <c r="A2331" s="5" t="s">
        <v>1936</v>
      </c>
      <c r="B2331" s="5" t="s">
        <v>1595</v>
      </c>
      <c r="C2331" s="9" t="s">
        <v>1937</v>
      </c>
      <c r="D2331" s="5">
        <v>3</v>
      </c>
      <c r="E2331" s="9" t="s">
        <v>3184</v>
      </c>
      <c r="F2331" s="5" t="s">
        <v>86</v>
      </c>
      <c r="G2331" s="19" t="s">
        <v>3494</v>
      </c>
      <c r="H2331" s="5" t="s">
        <v>3178</v>
      </c>
      <c r="I2331" s="9" t="s">
        <v>3182</v>
      </c>
      <c r="J2331" s="5">
        <v>2029</v>
      </c>
      <c r="K2331" s="5">
        <v>712</v>
      </c>
      <c r="L2331" s="9" t="s">
        <v>5686</v>
      </c>
      <c r="M2331" s="5">
        <v>7.8</v>
      </c>
      <c r="N2331" s="9" t="s">
        <v>5685</v>
      </c>
      <c r="O2331" s="9" t="str">
        <f t="shared" si="223"/>
        <v>PDFを開く</v>
      </c>
      <c r="P2331" s="9" t="s">
        <v>1943</v>
      </c>
    </row>
    <row r="2332" spans="1:16" ht="33.950000000000003" customHeight="1">
      <c r="A2332" s="2" t="s">
        <v>1936</v>
      </c>
      <c r="B2332" s="2" t="s">
        <v>1595</v>
      </c>
      <c r="C2332" s="8" t="s">
        <v>1937</v>
      </c>
      <c r="D2332" s="2">
        <v>3</v>
      </c>
      <c r="E2332" s="8" t="s">
        <v>3184</v>
      </c>
      <c r="F2332" s="2" t="s">
        <v>86</v>
      </c>
      <c r="G2332" s="19" t="s">
        <v>3494</v>
      </c>
      <c r="H2332" s="2" t="s">
        <v>3178</v>
      </c>
      <c r="I2332" s="8" t="s">
        <v>3179</v>
      </c>
      <c r="J2332" s="2">
        <v>2026</v>
      </c>
      <c r="K2332" s="2">
        <v>690</v>
      </c>
      <c r="L2332" s="8" t="s">
        <v>4868</v>
      </c>
      <c r="M2332" s="2">
        <v>7.8</v>
      </c>
      <c r="N2332" s="8" t="s">
        <v>5685</v>
      </c>
      <c r="O2332" s="8" t="str">
        <f t="shared" si="223"/>
        <v>PDFを開く</v>
      </c>
      <c r="P2332" s="8" t="s">
        <v>1943</v>
      </c>
    </row>
    <row r="2333" spans="1:16" ht="33.950000000000003" customHeight="1">
      <c r="A2333" s="5" t="s">
        <v>1936</v>
      </c>
      <c r="B2333" s="5" t="s">
        <v>1595</v>
      </c>
      <c r="C2333" s="9" t="s">
        <v>1937</v>
      </c>
      <c r="D2333" s="5">
        <v>3</v>
      </c>
      <c r="E2333" s="9" t="s">
        <v>3184</v>
      </c>
      <c r="F2333" s="5" t="s">
        <v>86</v>
      </c>
      <c r="G2333" s="19" t="s">
        <v>3494</v>
      </c>
      <c r="H2333" s="5" t="s">
        <v>3178</v>
      </c>
      <c r="I2333" s="9" t="s">
        <v>3182</v>
      </c>
      <c r="J2333" s="5">
        <v>2029</v>
      </c>
      <c r="K2333" s="5">
        <v>918</v>
      </c>
      <c r="L2333" s="9" t="s">
        <v>3575</v>
      </c>
      <c r="M2333" s="5">
        <v>7.8</v>
      </c>
      <c r="N2333" s="9" t="s">
        <v>5685</v>
      </c>
      <c r="O2333" s="9" t="str">
        <f t="shared" si="223"/>
        <v>PDFを開く</v>
      </c>
      <c r="P2333" s="9" t="s">
        <v>1943</v>
      </c>
    </row>
    <row r="2334" spans="1:16" ht="33.950000000000003" customHeight="1">
      <c r="A2334" s="2" t="s">
        <v>1936</v>
      </c>
      <c r="B2334" s="2" t="s">
        <v>1595</v>
      </c>
      <c r="C2334" s="8" t="s">
        <v>1937</v>
      </c>
      <c r="D2334" s="2">
        <v>3</v>
      </c>
      <c r="E2334" s="8" t="s">
        <v>3184</v>
      </c>
      <c r="F2334" s="2" t="s">
        <v>86</v>
      </c>
      <c r="G2334" s="19" t="s">
        <v>3494</v>
      </c>
      <c r="H2334" s="2" t="s">
        <v>3178</v>
      </c>
      <c r="I2334" s="8" t="s">
        <v>3179</v>
      </c>
      <c r="J2334" s="2">
        <v>2026</v>
      </c>
      <c r="K2334" s="2">
        <v>475</v>
      </c>
      <c r="L2334" s="8" t="s">
        <v>5687</v>
      </c>
      <c r="M2334" s="2">
        <v>7.8</v>
      </c>
      <c r="N2334" s="8" t="s">
        <v>5685</v>
      </c>
      <c r="O2334" s="8" t="str">
        <f t="shared" si="223"/>
        <v>PDFを開く</v>
      </c>
      <c r="P2334" s="8" t="s">
        <v>1943</v>
      </c>
    </row>
    <row r="2335" spans="1:16" ht="33.950000000000003" customHeight="1">
      <c r="A2335" s="5" t="s">
        <v>1936</v>
      </c>
      <c r="B2335" s="5" t="s">
        <v>1595</v>
      </c>
      <c r="C2335" s="9" t="s">
        <v>1937</v>
      </c>
      <c r="D2335" s="5">
        <v>3</v>
      </c>
      <c r="E2335" s="9" t="s">
        <v>3184</v>
      </c>
      <c r="F2335" s="5" t="s">
        <v>86</v>
      </c>
      <c r="G2335" s="19" t="s">
        <v>3494</v>
      </c>
      <c r="H2335" s="5" t="s">
        <v>3178</v>
      </c>
      <c r="I2335" s="9" t="s">
        <v>3182</v>
      </c>
      <c r="J2335" s="5">
        <v>2029</v>
      </c>
      <c r="K2335" s="5">
        <v>632</v>
      </c>
      <c r="L2335" s="9" t="s">
        <v>4461</v>
      </c>
      <c r="M2335" s="5">
        <v>7.8</v>
      </c>
      <c r="N2335" s="9" t="s">
        <v>5685</v>
      </c>
      <c r="O2335" s="9" t="str">
        <f t="shared" si="223"/>
        <v>PDFを開く</v>
      </c>
      <c r="P2335" s="9" t="s">
        <v>1943</v>
      </c>
    </row>
    <row r="2336" spans="1:16" ht="33.950000000000003" customHeight="1">
      <c r="A2336" s="2" t="s">
        <v>1936</v>
      </c>
      <c r="B2336" s="2" t="s">
        <v>1595</v>
      </c>
      <c r="C2336" s="8" t="s">
        <v>1937</v>
      </c>
      <c r="D2336" s="2">
        <v>3</v>
      </c>
      <c r="E2336" s="8" t="s">
        <v>3188</v>
      </c>
      <c r="F2336" s="2" t="s">
        <v>86</v>
      </c>
      <c r="G2336" s="19" t="s">
        <v>3494</v>
      </c>
      <c r="H2336" s="2" t="s">
        <v>3178</v>
      </c>
      <c r="I2336" s="8"/>
      <c r="J2336" s="2"/>
      <c r="K2336" s="2"/>
      <c r="L2336" s="8"/>
      <c r="M2336" s="2">
        <v>5</v>
      </c>
      <c r="N2336" s="8" t="s">
        <v>5688</v>
      </c>
      <c r="O2336" s="8" t="str">
        <f t="shared" si="223"/>
        <v>PDFを開く</v>
      </c>
      <c r="P2336" s="8" t="s">
        <v>1943</v>
      </c>
    </row>
    <row r="2337" spans="1:16" ht="33.950000000000003" customHeight="1">
      <c r="A2337" s="5" t="s">
        <v>1936</v>
      </c>
      <c r="B2337" s="5" t="s">
        <v>1595</v>
      </c>
      <c r="C2337" s="9" t="s">
        <v>1937</v>
      </c>
      <c r="D2337" s="5">
        <v>3</v>
      </c>
      <c r="E2337" s="9" t="s">
        <v>3191</v>
      </c>
      <c r="F2337" s="5" t="s">
        <v>2513</v>
      </c>
      <c r="G2337" s="19" t="s">
        <v>3494</v>
      </c>
      <c r="H2337" s="5" t="s">
        <v>3178</v>
      </c>
      <c r="I2337" s="9" t="s">
        <v>3179</v>
      </c>
      <c r="J2337" s="5">
        <v>2026</v>
      </c>
      <c r="K2337" s="5">
        <v>30</v>
      </c>
      <c r="L2337" s="9" t="s">
        <v>4040</v>
      </c>
      <c r="M2337" s="5"/>
      <c r="N2337" s="9" t="s">
        <v>5689</v>
      </c>
      <c r="O2337" s="9" t="str">
        <f t="shared" si="223"/>
        <v>PDFを開く</v>
      </c>
      <c r="P2337" s="9" t="s">
        <v>1943</v>
      </c>
    </row>
    <row r="2338" spans="1:16" ht="33.950000000000003" customHeight="1">
      <c r="A2338" s="2" t="s">
        <v>1936</v>
      </c>
      <c r="B2338" s="2" t="s">
        <v>1595</v>
      </c>
      <c r="C2338" s="8" t="s">
        <v>1937</v>
      </c>
      <c r="D2338" s="2">
        <v>3</v>
      </c>
      <c r="E2338" s="8" t="s">
        <v>3191</v>
      </c>
      <c r="F2338" s="2" t="s">
        <v>2513</v>
      </c>
      <c r="G2338" s="19" t="s">
        <v>3494</v>
      </c>
      <c r="H2338" s="2" t="s">
        <v>3178</v>
      </c>
      <c r="I2338" s="8" t="s">
        <v>3182</v>
      </c>
      <c r="J2338" s="2">
        <v>2029</v>
      </c>
      <c r="K2338" s="2">
        <v>61</v>
      </c>
      <c r="L2338" s="8" t="s">
        <v>3415</v>
      </c>
      <c r="M2338" s="2"/>
      <c r="N2338" s="8" t="s">
        <v>5689</v>
      </c>
      <c r="O2338" s="8" t="str">
        <f t="shared" si="223"/>
        <v>PDFを開く</v>
      </c>
      <c r="P2338" s="8" t="s">
        <v>1943</v>
      </c>
    </row>
    <row r="2339" spans="1:16" ht="33.950000000000003" customHeight="1">
      <c r="A2339" s="5" t="s">
        <v>1936</v>
      </c>
      <c r="B2339" s="5" t="s">
        <v>1595</v>
      </c>
      <c r="C2339" s="9" t="s">
        <v>1937</v>
      </c>
      <c r="D2339" s="5">
        <v>3</v>
      </c>
      <c r="E2339" s="9" t="s">
        <v>3191</v>
      </c>
      <c r="F2339" s="5" t="s">
        <v>2513</v>
      </c>
      <c r="G2339" s="19" t="s">
        <v>3494</v>
      </c>
      <c r="H2339" s="5" t="s">
        <v>3178</v>
      </c>
      <c r="I2339" s="9" t="s">
        <v>3179</v>
      </c>
      <c r="J2339" s="5">
        <v>2026</v>
      </c>
      <c r="K2339" s="5">
        <v>13</v>
      </c>
      <c r="L2339" s="9" t="s">
        <v>5632</v>
      </c>
      <c r="M2339" s="5"/>
      <c r="N2339" s="9" t="s">
        <v>5689</v>
      </c>
      <c r="O2339" s="9" t="str">
        <f t="shared" si="223"/>
        <v>PDFを開く</v>
      </c>
      <c r="P2339" s="9" t="s">
        <v>1943</v>
      </c>
    </row>
    <row r="2340" spans="1:16" ht="33.950000000000003" customHeight="1">
      <c r="A2340" s="2" t="s">
        <v>1936</v>
      </c>
      <c r="B2340" s="2" t="s">
        <v>1595</v>
      </c>
      <c r="C2340" s="8" t="s">
        <v>1937</v>
      </c>
      <c r="D2340" s="2">
        <v>3</v>
      </c>
      <c r="E2340" s="8" t="s">
        <v>3191</v>
      </c>
      <c r="F2340" s="2" t="s">
        <v>2513</v>
      </c>
      <c r="G2340" s="19" t="s">
        <v>3494</v>
      </c>
      <c r="H2340" s="2" t="s">
        <v>3178</v>
      </c>
      <c r="I2340" s="8" t="s">
        <v>3182</v>
      </c>
      <c r="J2340" s="2">
        <v>2029</v>
      </c>
      <c r="K2340" s="2">
        <v>17</v>
      </c>
      <c r="L2340" s="8" t="s">
        <v>3535</v>
      </c>
      <c r="M2340" s="2"/>
      <c r="N2340" s="8" t="s">
        <v>5689</v>
      </c>
      <c r="O2340" s="8" t="str">
        <f t="shared" si="223"/>
        <v>PDFを開く</v>
      </c>
      <c r="P2340" s="8" t="s">
        <v>1943</v>
      </c>
    </row>
    <row r="2341" spans="1:16" ht="33.950000000000003" customHeight="1">
      <c r="A2341" s="5" t="s">
        <v>1936</v>
      </c>
      <c r="B2341" s="5" t="s">
        <v>1595</v>
      </c>
      <c r="C2341" s="9" t="s">
        <v>1937</v>
      </c>
      <c r="D2341" s="5">
        <v>3</v>
      </c>
      <c r="E2341" s="9" t="s">
        <v>3191</v>
      </c>
      <c r="F2341" s="5" t="s">
        <v>2513</v>
      </c>
      <c r="G2341" s="19" t="s">
        <v>3494</v>
      </c>
      <c r="H2341" s="5" t="s">
        <v>3178</v>
      </c>
      <c r="I2341" s="9" t="s">
        <v>3179</v>
      </c>
      <c r="J2341" s="5">
        <v>2026</v>
      </c>
      <c r="K2341" s="5">
        <v>17</v>
      </c>
      <c r="L2341" s="9" t="s">
        <v>3535</v>
      </c>
      <c r="M2341" s="5"/>
      <c r="N2341" s="9" t="s">
        <v>5689</v>
      </c>
      <c r="O2341" s="9" t="str">
        <f t="shared" si="223"/>
        <v>PDFを開く</v>
      </c>
      <c r="P2341" s="9" t="s">
        <v>1943</v>
      </c>
    </row>
    <row r="2342" spans="1:16" ht="33.950000000000003" customHeight="1">
      <c r="A2342" s="2" t="s">
        <v>1936</v>
      </c>
      <c r="B2342" s="2" t="s">
        <v>1595</v>
      </c>
      <c r="C2342" s="8" t="s">
        <v>1937</v>
      </c>
      <c r="D2342" s="2">
        <v>3</v>
      </c>
      <c r="E2342" s="8" t="s">
        <v>3191</v>
      </c>
      <c r="F2342" s="2" t="s">
        <v>2513</v>
      </c>
      <c r="G2342" s="19" t="s">
        <v>3494</v>
      </c>
      <c r="H2342" s="2" t="s">
        <v>3178</v>
      </c>
      <c r="I2342" s="8" t="s">
        <v>3182</v>
      </c>
      <c r="J2342" s="2">
        <v>2029</v>
      </c>
      <c r="K2342" s="2">
        <v>44</v>
      </c>
      <c r="L2342" s="8" t="s">
        <v>5115</v>
      </c>
      <c r="M2342" s="2"/>
      <c r="N2342" s="8" t="s">
        <v>5689</v>
      </c>
      <c r="O2342" s="8" t="str">
        <f t="shared" si="223"/>
        <v>PDFを開く</v>
      </c>
      <c r="P2342" s="8" t="s">
        <v>1943</v>
      </c>
    </row>
    <row r="2343" spans="1:16" ht="33.950000000000003" customHeight="1">
      <c r="A2343" s="5" t="s">
        <v>1936</v>
      </c>
      <c r="B2343" s="5" t="s">
        <v>1595</v>
      </c>
      <c r="C2343" s="9" t="s">
        <v>1937</v>
      </c>
      <c r="D2343" s="5">
        <v>3</v>
      </c>
      <c r="E2343" s="9" t="s">
        <v>3188</v>
      </c>
      <c r="F2343" s="5" t="s">
        <v>86</v>
      </c>
      <c r="G2343" s="5" t="s">
        <v>3177</v>
      </c>
      <c r="H2343" s="5"/>
      <c r="I2343" s="9" t="s">
        <v>5690</v>
      </c>
      <c r="J2343" s="5">
        <v>2026</v>
      </c>
      <c r="K2343" s="5"/>
      <c r="L2343" s="9" t="s">
        <v>5691</v>
      </c>
      <c r="M2343" s="5">
        <v>5</v>
      </c>
      <c r="N2343" s="9" t="s">
        <v>5692</v>
      </c>
      <c r="O2343" s="9" t="str">
        <f t="shared" si="223"/>
        <v>PDFを開く</v>
      </c>
      <c r="P2343" s="9" t="s">
        <v>1943</v>
      </c>
    </row>
    <row r="2344" spans="1:16" ht="33.950000000000003" customHeight="1">
      <c r="A2344" s="2" t="s">
        <v>1936</v>
      </c>
      <c r="B2344" s="2" t="s">
        <v>1595</v>
      </c>
      <c r="C2344" s="8" t="s">
        <v>1937</v>
      </c>
      <c r="D2344" s="2">
        <v>3</v>
      </c>
      <c r="E2344" s="8" t="s">
        <v>3188</v>
      </c>
      <c r="F2344" s="2" t="s">
        <v>86</v>
      </c>
      <c r="G2344" s="2" t="s">
        <v>3177</v>
      </c>
      <c r="H2344" s="2"/>
      <c r="I2344" s="8" t="s">
        <v>5693</v>
      </c>
      <c r="J2344" s="2">
        <v>2029</v>
      </c>
      <c r="K2344" s="2"/>
      <c r="L2344" s="8" t="s">
        <v>3384</v>
      </c>
      <c r="M2344" s="2">
        <v>5</v>
      </c>
      <c r="N2344" s="8" t="s">
        <v>5692</v>
      </c>
      <c r="O2344" s="8" t="str">
        <f t="shared" si="223"/>
        <v>PDFを開く</v>
      </c>
      <c r="P2344" s="8" t="s">
        <v>1943</v>
      </c>
    </row>
    <row r="2345" spans="1:16" ht="33.950000000000003" customHeight="1">
      <c r="A2345" s="5" t="s">
        <v>1936</v>
      </c>
      <c r="B2345" s="5" t="s">
        <v>1595</v>
      </c>
      <c r="C2345" s="9" t="s">
        <v>1937</v>
      </c>
      <c r="D2345" s="5">
        <v>3</v>
      </c>
      <c r="E2345" s="9" t="s">
        <v>3176</v>
      </c>
      <c r="F2345" s="5" t="s">
        <v>86</v>
      </c>
      <c r="G2345" s="5" t="s">
        <v>3177</v>
      </c>
      <c r="H2345" s="5" t="s">
        <v>3178</v>
      </c>
      <c r="I2345" s="9" t="s">
        <v>3179</v>
      </c>
      <c r="J2345" s="5">
        <v>2026</v>
      </c>
      <c r="K2345" s="5">
        <v>583</v>
      </c>
      <c r="L2345" s="9" t="s">
        <v>3818</v>
      </c>
      <c r="M2345" s="5">
        <v>21.1</v>
      </c>
      <c r="N2345" s="9" t="s">
        <v>5680</v>
      </c>
      <c r="O2345" s="9" t="str">
        <f t="shared" si="223"/>
        <v>PDFを開く</v>
      </c>
      <c r="P2345" s="9" t="s">
        <v>1943</v>
      </c>
    </row>
    <row r="2346" spans="1:16" ht="33.950000000000003" customHeight="1">
      <c r="A2346" s="2" t="s">
        <v>1936</v>
      </c>
      <c r="B2346" s="2" t="s">
        <v>1595</v>
      </c>
      <c r="C2346" s="8" t="s">
        <v>1937</v>
      </c>
      <c r="D2346" s="2">
        <v>3</v>
      </c>
      <c r="E2346" s="8" t="s">
        <v>3176</v>
      </c>
      <c r="F2346" s="2" t="s">
        <v>86</v>
      </c>
      <c r="G2346" s="2" t="s">
        <v>3177</v>
      </c>
      <c r="H2346" s="2" t="s">
        <v>3178</v>
      </c>
      <c r="I2346" s="8" t="s">
        <v>3182</v>
      </c>
      <c r="J2346" s="2">
        <v>2029</v>
      </c>
      <c r="K2346" s="2">
        <v>1049</v>
      </c>
      <c r="L2346" s="8" t="s">
        <v>5681</v>
      </c>
      <c r="M2346" s="2">
        <v>21.1</v>
      </c>
      <c r="N2346" s="8" t="s">
        <v>5680</v>
      </c>
      <c r="O2346" s="8" t="str">
        <f t="shared" si="223"/>
        <v>PDFを開く</v>
      </c>
      <c r="P2346" s="8" t="s">
        <v>1943</v>
      </c>
    </row>
    <row r="2347" spans="1:16" ht="33.950000000000003" customHeight="1">
      <c r="A2347" s="5" t="s">
        <v>1936</v>
      </c>
      <c r="B2347" s="5" t="s">
        <v>1595</v>
      </c>
      <c r="C2347" s="9" t="s">
        <v>1937</v>
      </c>
      <c r="D2347" s="5">
        <v>3</v>
      </c>
      <c r="E2347" s="9" t="s">
        <v>3191</v>
      </c>
      <c r="F2347" s="5" t="s">
        <v>2513</v>
      </c>
      <c r="G2347" s="5" t="s">
        <v>3177</v>
      </c>
      <c r="H2347" s="5" t="s">
        <v>3178</v>
      </c>
      <c r="I2347" s="9" t="s">
        <v>3179</v>
      </c>
      <c r="J2347" s="5">
        <v>2026</v>
      </c>
      <c r="K2347" s="5">
        <v>30</v>
      </c>
      <c r="L2347" s="9" t="s">
        <v>4040</v>
      </c>
      <c r="M2347" s="5"/>
      <c r="N2347" s="9" t="s">
        <v>5689</v>
      </c>
      <c r="O2347" s="9" t="str">
        <f t="shared" si="223"/>
        <v>PDFを開く</v>
      </c>
      <c r="P2347" s="9" t="s">
        <v>1943</v>
      </c>
    </row>
    <row r="2348" spans="1:16" ht="33.950000000000003" customHeight="1">
      <c r="A2348" s="2" t="s">
        <v>1936</v>
      </c>
      <c r="B2348" s="2" t="s">
        <v>1595</v>
      </c>
      <c r="C2348" s="8" t="s">
        <v>1937</v>
      </c>
      <c r="D2348" s="2">
        <v>3</v>
      </c>
      <c r="E2348" s="8" t="s">
        <v>3191</v>
      </c>
      <c r="F2348" s="2" t="s">
        <v>2513</v>
      </c>
      <c r="G2348" s="2" t="s">
        <v>3177</v>
      </c>
      <c r="H2348" s="2" t="s">
        <v>3178</v>
      </c>
      <c r="I2348" s="8" t="s">
        <v>3182</v>
      </c>
      <c r="J2348" s="2">
        <v>2029</v>
      </c>
      <c r="K2348" s="2">
        <v>61</v>
      </c>
      <c r="L2348" s="8" t="s">
        <v>3415</v>
      </c>
      <c r="M2348" s="2"/>
      <c r="N2348" s="8" t="s">
        <v>5689</v>
      </c>
      <c r="O2348" s="8" t="str">
        <f t="shared" si="223"/>
        <v>PDFを開く</v>
      </c>
      <c r="P2348" s="8" t="s">
        <v>1943</v>
      </c>
    </row>
    <row r="2349" spans="1:16" ht="33.950000000000003" customHeight="1">
      <c r="A2349" s="5" t="s">
        <v>1936</v>
      </c>
      <c r="B2349" s="5" t="s">
        <v>1595</v>
      </c>
      <c r="C2349" s="9" t="s">
        <v>1937</v>
      </c>
      <c r="D2349" s="5">
        <v>3</v>
      </c>
      <c r="E2349" s="9" t="s">
        <v>3184</v>
      </c>
      <c r="F2349" s="5" t="s">
        <v>86</v>
      </c>
      <c r="G2349" s="5" t="s">
        <v>3177</v>
      </c>
      <c r="H2349" s="5" t="s">
        <v>3178</v>
      </c>
      <c r="I2349" s="9" t="s">
        <v>3179</v>
      </c>
      <c r="J2349" s="5">
        <v>2026</v>
      </c>
      <c r="K2349" s="5">
        <v>568</v>
      </c>
      <c r="L2349" s="9" t="s">
        <v>3772</v>
      </c>
      <c r="M2349" s="5">
        <v>7.8</v>
      </c>
      <c r="N2349" s="9" t="s">
        <v>5685</v>
      </c>
      <c r="O2349" s="9" t="str">
        <f t="shared" si="223"/>
        <v>PDFを開く</v>
      </c>
      <c r="P2349" s="9" t="s">
        <v>1943</v>
      </c>
    </row>
    <row r="2350" spans="1:16" ht="33.950000000000003" customHeight="1">
      <c r="A2350" s="2" t="s">
        <v>1936</v>
      </c>
      <c r="B2350" s="2" t="s">
        <v>1595</v>
      </c>
      <c r="C2350" s="8" t="s">
        <v>1937</v>
      </c>
      <c r="D2350" s="2">
        <v>3</v>
      </c>
      <c r="E2350" s="8" t="s">
        <v>3184</v>
      </c>
      <c r="F2350" s="2" t="s">
        <v>86</v>
      </c>
      <c r="G2350" s="2" t="s">
        <v>3177</v>
      </c>
      <c r="H2350" s="2" t="s">
        <v>3178</v>
      </c>
      <c r="I2350" s="8" t="s">
        <v>3182</v>
      </c>
      <c r="J2350" s="2">
        <v>2029</v>
      </c>
      <c r="K2350" s="2">
        <v>712</v>
      </c>
      <c r="L2350" s="8" t="s">
        <v>5686</v>
      </c>
      <c r="M2350" s="2">
        <v>7.8</v>
      </c>
      <c r="N2350" s="8" t="s">
        <v>5685</v>
      </c>
      <c r="O2350" s="8" t="str">
        <f t="shared" si="223"/>
        <v>PDFを開く</v>
      </c>
      <c r="P2350" s="8" t="s">
        <v>1943</v>
      </c>
    </row>
    <row r="2351" spans="1:16" ht="33.950000000000003" customHeight="1">
      <c r="A2351" s="5" t="s">
        <v>1944</v>
      </c>
      <c r="B2351" s="5" t="s">
        <v>1595</v>
      </c>
      <c r="C2351" s="9" t="s">
        <v>1945</v>
      </c>
      <c r="D2351" s="5">
        <v>2</v>
      </c>
      <c r="E2351" s="9" t="s">
        <v>3176</v>
      </c>
      <c r="F2351" s="5" t="s">
        <v>86</v>
      </c>
      <c r="G2351" s="5" t="s">
        <v>3177</v>
      </c>
      <c r="H2351" s="5" t="s">
        <v>3178</v>
      </c>
      <c r="I2351" s="9" t="s">
        <v>3179</v>
      </c>
      <c r="J2351" s="5">
        <v>2026</v>
      </c>
      <c r="K2351" s="5">
        <v>1072</v>
      </c>
      <c r="L2351" s="9" t="s">
        <v>5694</v>
      </c>
      <c r="M2351" s="5">
        <v>10.5</v>
      </c>
      <c r="N2351" s="9" t="s">
        <v>5695</v>
      </c>
      <c r="O2351" s="9" t="str">
        <f t="shared" ref="O2351:O2359" si="224">HYPERLINK("https://seichotoushi-hojo.jp/assets/pdf/koufu_3_4ji/outline_30.pdf","PDFを開く")</f>
        <v>PDFを開く</v>
      </c>
      <c r="P2351" s="9" t="s">
        <v>1951</v>
      </c>
    </row>
    <row r="2352" spans="1:16" ht="33.950000000000003" customHeight="1">
      <c r="A2352" s="2" t="s">
        <v>1944</v>
      </c>
      <c r="B2352" s="2" t="s">
        <v>1595</v>
      </c>
      <c r="C2352" s="8" t="s">
        <v>1945</v>
      </c>
      <c r="D2352" s="2">
        <v>2</v>
      </c>
      <c r="E2352" s="8" t="s">
        <v>3176</v>
      </c>
      <c r="F2352" s="2" t="s">
        <v>86</v>
      </c>
      <c r="G2352" s="2" t="s">
        <v>3177</v>
      </c>
      <c r="H2352" s="2" t="s">
        <v>3178</v>
      </c>
      <c r="I2352" s="8" t="s">
        <v>3182</v>
      </c>
      <c r="J2352" s="2">
        <v>2029</v>
      </c>
      <c r="K2352" s="2">
        <v>1446</v>
      </c>
      <c r="L2352" s="8" t="s">
        <v>5696</v>
      </c>
      <c r="M2352" s="2">
        <v>10.5</v>
      </c>
      <c r="N2352" s="8" t="s">
        <v>5695</v>
      </c>
      <c r="O2352" s="8" t="str">
        <f t="shared" si="224"/>
        <v>PDFを開く</v>
      </c>
      <c r="P2352" s="8" t="s">
        <v>1951</v>
      </c>
    </row>
    <row r="2353" spans="1:16" ht="33.950000000000003" customHeight="1">
      <c r="A2353" s="5" t="s">
        <v>1944</v>
      </c>
      <c r="B2353" s="5" t="s">
        <v>1595</v>
      </c>
      <c r="C2353" s="9" t="s">
        <v>1945</v>
      </c>
      <c r="D2353" s="5">
        <v>2</v>
      </c>
      <c r="E2353" s="9" t="s">
        <v>3184</v>
      </c>
      <c r="F2353" s="5" t="s">
        <v>86</v>
      </c>
      <c r="G2353" s="5" t="s">
        <v>3177</v>
      </c>
      <c r="H2353" s="5" t="s">
        <v>3178</v>
      </c>
      <c r="I2353" s="9" t="s">
        <v>3179</v>
      </c>
      <c r="J2353" s="5">
        <v>2026</v>
      </c>
      <c r="K2353" s="5">
        <v>529</v>
      </c>
      <c r="L2353" s="9" t="s">
        <v>4599</v>
      </c>
      <c r="M2353" s="5">
        <v>6</v>
      </c>
      <c r="N2353" s="9" t="s">
        <v>5697</v>
      </c>
      <c r="O2353" s="9" t="str">
        <f t="shared" si="224"/>
        <v>PDFを開く</v>
      </c>
      <c r="P2353" s="9" t="s">
        <v>1951</v>
      </c>
    </row>
    <row r="2354" spans="1:16" ht="33.950000000000003" customHeight="1">
      <c r="A2354" s="2" t="s">
        <v>1944</v>
      </c>
      <c r="B2354" s="2" t="s">
        <v>1595</v>
      </c>
      <c r="C2354" s="8" t="s">
        <v>1945</v>
      </c>
      <c r="D2354" s="2">
        <v>2</v>
      </c>
      <c r="E2354" s="8" t="s">
        <v>3184</v>
      </c>
      <c r="F2354" s="2" t="s">
        <v>86</v>
      </c>
      <c r="G2354" s="2" t="s">
        <v>3177</v>
      </c>
      <c r="H2354" s="2" t="s">
        <v>3178</v>
      </c>
      <c r="I2354" s="8" t="s">
        <v>3182</v>
      </c>
      <c r="J2354" s="2">
        <v>2029</v>
      </c>
      <c r="K2354" s="2">
        <v>630</v>
      </c>
      <c r="L2354" s="8" t="s">
        <v>5488</v>
      </c>
      <c r="M2354" s="2">
        <v>6</v>
      </c>
      <c r="N2354" s="8" t="s">
        <v>5697</v>
      </c>
      <c r="O2354" s="8" t="str">
        <f t="shared" si="224"/>
        <v>PDFを開く</v>
      </c>
      <c r="P2354" s="8" t="s">
        <v>1951</v>
      </c>
    </row>
    <row r="2355" spans="1:16" ht="33.950000000000003" customHeight="1">
      <c r="A2355" s="5" t="s">
        <v>1944</v>
      </c>
      <c r="B2355" s="5" t="s">
        <v>1595</v>
      </c>
      <c r="C2355" s="9" t="s">
        <v>1945</v>
      </c>
      <c r="D2355" s="5">
        <v>2</v>
      </c>
      <c r="E2355" s="9" t="s">
        <v>3188</v>
      </c>
      <c r="F2355" s="5" t="s">
        <v>86</v>
      </c>
      <c r="G2355" s="19" t="s">
        <v>3189</v>
      </c>
      <c r="H2355" s="5" t="s">
        <v>3178</v>
      </c>
      <c r="I2355" s="9"/>
      <c r="J2355" s="5"/>
      <c r="K2355" s="5"/>
      <c r="L2355" s="9"/>
      <c r="M2355" s="5">
        <v>4.5</v>
      </c>
      <c r="N2355" s="9" t="s">
        <v>3278</v>
      </c>
      <c r="O2355" s="9" t="str">
        <f t="shared" si="224"/>
        <v>PDFを開く</v>
      </c>
      <c r="P2355" s="9" t="s">
        <v>1951</v>
      </c>
    </row>
    <row r="2356" spans="1:16" ht="33.950000000000003" customHeight="1">
      <c r="A2356" s="2" t="s">
        <v>1944</v>
      </c>
      <c r="B2356" s="2" t="s">
        <v>1595</v>
      </c>
      <c r="C2356" s="8" t="s">
        <v>1945</v>
      </c>
      <c r="D2356" s="2">
        <v>2</v>
      </c>
      <c r="E2356" s="8" t="s">
        <v>3191</v>
      </c>
      <c r="F2356" s="2" t="s">
        <v>2513</v>
      </c>
      <c r="G2356" s="2" t="s">
        <v>3177</v>
      </c>
      <c r="H2356" s="2" t="s">
        <v>3178</v>
      </c>
      <c r="I2356" s="8" t="s">
        <v>3179</v>
      </c>
      <c r="J2356" s="2">
        <v>2026</v>
      </c>
      <c r="K2356" s="2">
        <v>112</v>
      </c>
      <c r="L2356" s="8" t="s">
        <v>3598</v>
      </c>
      <c r="M2356" s="2"/>
      <c r="N2356" s="8" t="s">
        <v>5698</v>
      </c>
      <c r="O2356" s="8" t="str">
        <f t="shared" si="224"/>
        <v>PDFを開く</v>
      </c>
      <c r="P2356" s="8" t="s">
        <v>1951</v>
      </c>
    </row>
    <row r="2357" spans="1:16" ht="33.950000000000003" customHeight="1">
      <c r="A2357" s="5" t="s">
        <v>1944</v>
      </c>
      <c r="B2357" s="5" t="s">
        <v>1595</v>
      </c>
      <c r="C2357" s="9" t="s">
        <v>1945</v>
      </c>
      <c r="D2357" s="5">
        <v>2</v>
      </c>
      <c r="E2357" s="9" t="s">
        <v>3191</v>
      </c>
      <c r="F2357" s="5" t="s">
        <v>2513</v>
      </c>
      <c r="G2357" s="5" t="s">
        <v>3177</v>
      </c>
      <c r="H2357" s="5" t="s">
        <v>3178</v>
      </c>
      <c r="I2357" s="9" t="s">
        <v>3182</v>
      </c>
      <c r="J2357" s="5">
        <v>2029</v>
      </c>
      <c r="K2357" s="5">
        <v>175</v>
      </c>
      <c r="L2357" s="9" t="s">
        <v>4460</v>
      </c>
      <c r="M2357" s="5"/>
      <c r="N2357" s="9" t="s">
        <v>5698</v>
      </c>
      <c r="O2357" s="9" t="str">
        <f t="shared" si="224"/>
        <v>PDFを開く</v>
      </c>
      <c r="P2357" s="9" t="s">
        <v>1951</v>
      </c>
    </row>
    <row r="2358" spans="1:16" ht="33.950000000000003" customHeight="1">
      <c r="A2358" s="2" t="s">
        <v>1944</v>
      </c>
      <c r="B2358" s="2" t="s">
        <v>1595</v>
      </c>
      <c r="C2358" s="8" t="s">
        <v>1945</v>
      </c>
      <c r="D2358" s="2">
        <v>2</v>
      </c>
      <c r="E2358" s="8" t="s">
        <v>3188</v>
      </c>
      <c r="F2358" s="2" t="s">
        <v>86</v>
      </c>
      <c r="G2358" s="2" t="s">
        <v>3177</v>
      </c>
      <c r="H2358" s="2"/>
      <c r="I2358" s="8" t="s">
        <v>5699</v>
      </c>
      <c r="J2358" s="2">
        <v>2026</v>
      </c>
      <c r="K2358" s="2"/>
      <c r="L2358" s="8" t="s">
        <v>3211</v>
      </c>
      <c r="M2358" s="2">
        <v>4.5</v>
      </c>
      <c r="N2358" s="8" t="s">
        <v>3282</v>
      </c>
      <c r="O2358" s="8" t="str">
        <f t="shared" si="224"/>
        <v>PDFを開く</v>
      </c>
      <c r="P2358" s="8" t="s">
        <v>1951</v>
      </c>
    </row>
    <row r="2359" spans="1:16" ht="33.950000000000003" customHeight="1">
      <c r="A2359" s="5" t="s">
        <v>1944</v>
      </c>
      <c r="B2359" s="5" t="s">
        <v>1595</v>
      </c>
      <c r="C2359" s="9" t="s">
        <v>1945</v>
      </c>
      <c r="D2359" s="5">
        <v>2</v>
      </c>
      <c r="E2359" s="9" t="s">
        <v>3188</v>
      </c>
      <c r="F2359" s="5" t="s">
        <v>86</v>
      </c>
      <c r="G2359" s="5" t="s">
        <v>3177</v>
      </c>
      <c r="H2359" s="5"/>
      <c r="I2359" s="9" t="s">
        <v>5700</v>
      </c>
      <c r="J2359" s="5">
        <v>2029</v>
      </c>
      <c r="K2359" s="5"/>
      <c r="L2359" s="9" t="s">
        <v>3284</v>
      </c>
      <c r="M2359" s="5">
        <v>4.5</v>
      </c>
      <c r="N2359" s="9" t="s">
        <v>3282</v>
      </c>
      <c r="O2359" s="9" t="str">
        <f t="shared" si="224"/>
        <v>PDFを開く</v>
      </c>
      <c r="P2359" s="9" t="s">
        <v>1951</v>
      </c>
    </row>
    <row r="2360" spans="1:16" ht="33.950000000000003" customHeight="1">
      <c r="A2360" s="2" t="s">
        <v>1952</v>
      </c>
      <c r="B2360" s="2" t="s">
        <v>1595</v>
      </c>
      <c r="C2360" s="8" t="s">
        <v>1953</v>
      </c>
      <c r="D2360" s="2">
        <v>2</v>
      </c>
      <c r="E2360" s="8" t="s">
        <v>3176</v>
      </c>
      <c r="F2360" s="2" t="s">
        <v>86</v>
      </c>
      <c r="G2360" s="2" t="s">
        <v>3177</v>
      </c>
      <c r="H2360" s="2" t="s">
        <v>3178</v>
      </c>
      <c r="I2360" s="8" t="s">
        <v>5701</v>
      </c>
      <c r="J2360" s="2">
        <v>2026</v>
      </c>
      <c r="K2360" s="2">
        <v>563</v>
      </c>
      <c r="L2360" s="8" t="s">
        <v>3553</v>
      </c>
      <c r="M2360" s="2">
        <v>44.1</v>
      </c>
      <c r="N2360" s="8" t="s">
        <v>5702</v>
      </c>
      <c r="O2360" s="8" t="str">
        <f t="shared" ref="O2360:O2368" si="225">HYPERLINK("https://seichotoushi-hojo.jp/assets/pdf/koufu_3_4ji/outline_31.pdf","PDFを開く")</f>
        <v>PDFを開く</v>
      </c>
      <c r="P2360" s="8" t="s">
        <v>1959</v>
      </c>
    </row>
    <row r="2361" spans="1:16" ht="33.950000000000003" customHeight="1">
      <c r="A2361" s="5" t="s">
        <v>1952</v>
      </c>
      <c r="B2361" s="5" t="s">
        <v>1595</v>
      </c>
      <c r="C2361" s="9" t="s">
        <v>1953</v>
      </c>
      <c r="D2361" s="5">
        <v>2</v>
      </c>
      <c r="E2361" s="9" t="s">
        <v>3176</v>
      </c>
      <c r="F2361" s="5" t="s">
        <v>86</v>
      </c>
      <c r="G2361" s="5" t="s">
        <v>3177</v>
      </c>
      <c r="H2361" s="5" t="s">
        <v>3178</v>
      </c>
      <c r="I2361" s="9" t="s">
        <v>5703</v>
      </c>
      <c r="J2361" s="5">
        <v>2029</v>
      </c>
      <c r="K2361" s="5">
        <v>1685</v>
      </c>
      <c r="L2361" s="9" t="s">
        <v>4410</v>
      </c>
      <c r="M2361" s="5">
        <v>44.1</v>
      </c>
      <c r="N2361" s="9" t="s">
        <v>5702</v>
      </c>
      <c r="O2361" s="9" t="str">
        <f t="shared" si="225"/>
        <v>PDFを開く</v>
      </c>
      <c r="P2361" s="9" t="s">
        <v>1959</v>
      </c>
    </row>
    <row r="2362" spans="1:16" ht="33.950000000000003" customHeight="1">
      <c r="A2362" s="2" t="s">
        <v>1952</v>
      </c>
      <c r="B2362" s="2" t="s">
        <v>1595</v>
      </c>
      <c r="C2362" s="8" t="s">
        <v>1953</v>
      </c>
      <c r="D2362" s="2">
        <v>2</v>
      </c>
      <c r="E2362" s="8" t="s">
        <v>3184</v>
      </c>
      <c r="F2362" s="2" t="s">
        <v>86</v>
      </c>
      <c r="G2362" s="2" t="s">
        <v>3177</v>
      </c>
      <c r="H2362" s="2" t="s">
        <v>3178</v>
      </c>
      <c r="I2362" s="8" t="s">
        <v>5701</v>
      </c>
      <c r="J2362" s="2">
        <v>2026</v>
      </c>
      <c r="K2362" s="2">
        <v>350</v>
      </c>
      <c r="L2362" s="8" t="s">
        <v>5224</v>
      </c>
      <c r="M2362" s="2">
        <v>5.8</v>
      </c>
      <c r="N2362" s="8" t="s">
        <v>5704</v>
      </c>
      <c r="O2362" s="8" t="str">
        <f t="shared" si="225"/>
        <v>PDFを開く</v>
      </c>
      <c r="P2362" s="8" t="s">
        <v>1959</v>
      </c>
    </row>
    <row r="2363" spans="1:16" ht="33.950000000000003" customHeight="1">
      <c r="A2363" s="5" t="s">
        <v>1952</v>
      </c>
      <c r="B2363" s="5" t="s">
        <v>1595</v>
      </c>
      <c r="C2363" s="9" t="s">
        <v>1953</v>
      </c>
      <c r="D2363" s="5">
        <v>2</v>
      </c>
      <c r="E2363" s="9" t="s">
        <v>3184</v>
      </c>
      <c r="F2363" s="5" t="s">
        <v>86</v>
      </c>
      <c r="G2363" s="5" t="s">
        <v>3177</v>
      </c>
      <c r="H2363" s="5" t="s">
        <v>3178</v>
      </c>
      <c r="I2363" s="9" t="s">
        <v>5703</v>
      </c>
      <c r="J2363" s="5">
        <v>2029</v>
      </c>
      <c r="K2363" s="5">
        <v>415</v>
      </c>
      <c r="L2363" s="9" t="s">
        <v>4733</v>
      </c>
      <c r="M2363" s="5">
        <v>5.8</v>
      </c>
      <c r="N2363" s="9" t="s">
        <v>5704</v>
      </c>
      <c r="O2363" s="9" t="str">
        <f t="shared" si="225"/>
        <v>PDFを開く</v>
      </c>
      <c r="P2363" s="9" t="s">
        <v>1959</v>
      </c>
    </row>
    <row r="2364" spans="1:16" ht="33.950000000000003" customHeight="1">
      <c r="A2364" s="2" t="s">
        <v>1952</v>
      </c>
      <c r="B2364" s="2" t="s">
        <v>1595</v>
      </c>
      <c r="C2364" s="8" t="s">
        <v>1953</v>
      </c>
      <c r="D2364" s="2">
        <v>2</v>
      </c>
      <c r="E2364" s="8" t="s">
        <v>3188</v>
      </c>
      <c r="F2364" s="2" t="s">
        <v>86</v>
      </c>
      <c r="G2364" s="19" t="s">
        <v>3189</v>
      </c>
      <c r="H2364" s="2" t="s">
        <v>3178</v>
      </c>
      <c r="I2364" s="8"/>
      <c r="J2364" s="2"/>
      <c r="K2364" s="2"/>
      <c r="L2364" s="8"/>
      <c r="M2364" s="2">
        <v>5.5</v>
      </c>
      <c r="N2364" s="8" t="s">
        <v>5401</v>
      </c>
      <c r="O2364" s="8" t="str">
        <f t="shared" si="225"/>
        <v>PDFを開く</v>
      </c>
      <c r="P2364" s="8" t="s">
        <v>1959</v>
      </c>
    </row>
    <row r="2365" spans="1:16" ht="33.950000000000003" customHeight="1">
      <c r="A2365" s="5" t="s">
        <v>1952</v>
      </c>
      <c r="B2365" s="5" t="s">
        <v>1595</v>
      </c>
      <c r="C2365" s="9" t="s">
        <v>1953</v>
      </c>
      <c r="D2365" s="5">
        <v>2</v>
      </c>
      <c r="E2365" s="9" t="s">
        <v>3191</v>
      </c>
      <c r="F2365" s="5" t="s">
        <v>2513</v>
      </c>
      <c r="G2365" s="5" t="s">
        <v>3177</v>
      </c>
      <c r="H2365" s="5" t="s">
        <v>3178</v>
      </c>
      <c r="I2365" s="9" t="s">
        <v>5701</v>
      </c>
      <c r="J2365" s="5">
        <v>2026</v>
      </c>
      <c r="K2365" s="5">
        <v>125</v>
      </c>
      <c r="L2365" s="9" t="s">
        <v>4467</v>
      </c>
      <c r="M2365" s="5"/>
      <c r="N2365" s="9" t="s">
        <v>5705</v>
      </c>
      <c r="O2365" s="9" t="str">
        <f t="shared" si="225"/>
        <v>PDFを開く</v>
      </c>
      <c r="P2365" s="9" t="s">
        <v>1959</v>
      </c>
    </row>
    <row r="2366" spans="1:16" ht="33.950000000000003" customHeight="1">
      <c r="A2366" s="2" t="s">
        <v>1952</v>
      </c>
      <c r="B2366" s="2" t="s">
        <v>1595</v>
      </c>
      <c r="C2366" s="8" t="s">
        <v>1953</v>
      </c>
      <c r="D2366" s="2">
        <v>2</v>
      </c>
      <c r="E2366" s="8" t="s">
        <v>3191</v>
      </c>
      <c r="F2366" s="2" t="s">
        <v>2513</v>
      </c>
      <c r="G2366" s="2" t="s">
        <v>3177</v>
      </c>
      <c r="H2366" s="2" t="s">
        <v>3178</v>
      </c>
      <c r="I2366" s="8" t="s">
        <v>5703</v>
      </c>
      <c r="J2366" s="2">
        <v>2029</v>
      </c>
      <c r="K2366" s="2">
        <v>170</v>
      </c>
      <c r="L2366" s="8" t="s">
        <v>4164</v>
      </c>
      <c r="M2366" s="2"/>
      <c r="N2366" s="8" t="s">
        <v>5705</v>
      </c>
      <c r="O2366" s="8" t="str">
        <f t="shared" si="225"/>
        <v>PDFを開く</v>
      </c>
      <c r="P2366" s="8" t="s">
        <v>1959</v>
      </c>
    </row>
    <row r="2367" spans="1:16" ht="33.950000000000003" customHeight="1">
      <c r="A2367" s="5" t="s">
        <v>1952</v>
      </c>
      <c r="B2367" s="5" t="s">
        <v>1595</v>
      </c>
      <c r="C2367" s="9" t="s">
        <v>1953</v>
      </c>
      <c r="D2367" s="5">
        <v>2</v>
      </c>
      <c r="E2367" s="9" t="s">
        <v>3188</v>
      </c>
      <c r="F2367" s="5" t="s">
        <v>86</v>
      </c>
      <c r="G2367" s="5" t="s">
        <v>3177</v>
      </c>
      <c r="H2367" s="5"/>
      <c r="I2367" s="9" t="s">
        <v>5706</v>
      </c>
      <c r="J2367" s="5">
        <v>2026</v>
      </c>
      <c r="K2367" s="5"/>
      <c r="L2367" s="9" t="s">
        <v>3211</v>
      </c>
      <c r="M2367" s="5">
        <v>5.5</v>
      </c>
      <c r="N2367" s="9" t="s">
        <v>5497</v>
      </c>
      <c r="O2367" s="9" t="str">
        <f t="shared" si="225"/>
        <v>PDFを開く</v>
      </c>
      <c r="P2367" s="9" t="s">
        <v>1959</v>
      </c>
    </row>
    <row r="2368" spans="1:16" ht="33.950000000000003" customHeight="1">
      <c r="A2368" s="2" t="s">
        <v>1952</v>
      </c>
      <c r="B2368" s="2" t="s">
        <v>1595</v>
      </c>
      <c r="C2368" s="8" t="s">
        <v>1953</v>
      </c>
      <c r="D2368" s="2">
        <v>2</v>
      </c>
      <c r="E2368" s="8" t="s">
        <v>3188</v>
      </c>
      <c r="F2368" s="2" t="s">
        <v>86</v>
      </c>
      <c r="G2368" s="2" t="s">
        <v>3177</v>
      </c>
      <c r="H2368" s="2"/>
      <c r="I2368" s="8" t="s">
        <v>5707</v>
      </c>
      <c r="J2368" s="2">
        <v>2029</v>
      </c>
      <c r="K2368" s="2"/>
      <c r="L2368" s="8" t="s">
        <v>5499</v>
      </c>
      <c r="M2368" s="2">
        <v>5.5</v>
      </c>
      <c r="N2368" s="8" t="s">
        <v>5497</v>
      </c>
      <c r="O2368" s="8" t="str">
        <f t="shared" si="225"/>
        <v>PDFを開く</v>
      </c>
      <c r="P2368" s="8" t="s">
        <v>1959</v>
      </c>
    </row>
    <row r="2369" spans="1:16" ht="33.950000000000003" customHeight="1">
      <c r="A2369" s="5" t="s">
        <v>1960</v>
      </c>
      <c r="B2369" s="5" t="s">
        <v>1595</v>
      </c>
      <c r="C2369" s="9" t="s">
        <v>1961</v>
      </c>
      <c r="D2369" s="5">
        <v>2</v>
      </c>
      <c r="E2369" s="9" t="s">
        <v>3176</v>
      </c>
      <c r="F2369" s="5" t="s">
        <v>86</v>
      </c>
      <c r="G2369" s="5" t="s">
        <v>3177</v>
      </c>
      <c r="H2369" s="5" t="s">
        <v>3178</v>
      </c>
      <c r="I2369" s="9" t="s">
        <v>3305</v>
      </c>
      <c r="J2369" s="5">
        <v>2028</v>
      </c>
      <c r="K2369" s="5">
        <v>667</v>
      </c>
      <c r="L2369" s="9" t="s">
        <v>4375</v>
      </c>
      <c r="M2369" s="5">
        <v>21.6</v>
      </c>
      <c r="N2369" s="9" t="s">
        <v>5708</v>
      </c>
      <c r="O2369" s="9" t="str">
        <f t="shared" ref="O2369:O2378" si="226">HYPERLINK("https://seichotoushi-hojo.jp/assets/pdf/koufu_3_4ji/outline_32.pdf","PDFを開く")</f>
        <v>PDFを開く</v>
      </c>
      <c r="P2369" s="9" t="s">
        <v>1967</v>
      </c>
    </row>
    <row r="2370" spans="1:16" ht="33.950000000000003" customHeight="1">
      <c r="A2370" s="2" t="s">
        <v>1960</v>
      </c>
      <c r="B2370" s="2" t="s">
        <v>1595</v>
      </c>
      <c r="C2370" s="8" t="s">
        <v>1961</v>
      </c>
      <c r="D2370" s="2">
        <v>2</v>
      </c>
      <c r="E2370" s="8" t="s">
        <v>3176</v>
      </c>
      <c r="F2370" s="2" t="s">
        <v>86</v>
      </c>
      <c r="G2370" s="2" t="s">
        <v>3177</v>
      </c>
      <c r="H2370" s="2" t="s">
        <v>3178</v>
      </c>
      <c r="I2370" s="8" t="s">
        <v>3302</v>
      </c>
      <c r="J2370" s="2">
        <v>2031</v>
      </c>
      <c r="K2370" s="2">
        <v>1199</v>
      </c>
      <c r="L2370" s="8" t="s">
        <v>5709</v>
      </c>
      <c r="M2370" s="2">
        <v>21.6</v>
      </c>
      <c r="N2370" s="8" t="s">
        <v>5708</v>
      </c>
      <c r="O2370" s="8" t="str">
        <f t="shared" si="226"/>
        <v>PDFを開く</v>
      </c>
      <c r="P2370" s="8" t="s">
        <v>1967</v>
      </c>
    </row>
    <row r="2371" spans="1:16" ht="33.950000000000003" customHeight="1">
      <c r="A2371" s="5" t="s">
        <v>1960</v>
      </c>
      <c r="B2371" s="5" t="s">
        <v>1595</v>
      </c>
      <c r="C2371" s="9" t="s">
        <v>1961</v>
      </c>
      <c r="D2371" s="5">
        <v>2</v>
      </c>
      <c r="E2371" s="9" t="s">
        <v>3184</v>
      </c>
      <c r="F2371" s="5" t="s">
        <v>86</v>
      </c>
      <c r="G2371" s="5" t="s">
        <v>3177</v>
      </c>
      <c r="H2371" s="5"/>
      <c r="I2371" s="9" t="s">
        <v>3305</v>
      </c>
      <c r="J2371" s="5">
        <v>2028</v>
      </c>
      <c r="K2371" s="5">
        <v>474</v>
      </c>
      <c r="L2371" s="9" t="s">
        <v>3782</v>
      </c>
      <c r="M2371" s="5">
        <v>6.1</v>
      </c>
      <c r="N2371" s="9" t="s">
        <v>5710</v>
      </c>
      <c r="O2371" s="9" t="str">
        <f t="shared" si="226"/>
        <v>PDFを開く</v>
      </c>
      <c r="P2371" s="9" t="s">
        <v>1967</v>
      </c>
    </row>
    <row r="2372" spans="1:16" ht="33.950000000000003" customHeight="1">
      <c r="A2372" s="2" t="s">
        <v>1960</v>
      </c>
      <c r="B2372" s="2" t="s">
        <v>1595</v>
      </c>
      <c r="C2372" s="8" t="s">
        <v>1961</v>
      </c>
      <c r="D2372" s="2">
        <v>2</v>
      </c>
      <c r="E2372" s="8" t="s">
        <v>3184</v>
      </c>
      <c r="F2372" s="2" t="s">
        <v>86</v>
      </c>
      <c r="G2372" s="2" t="s">
        <v>3177</v>
      </c>
      <c r="H2372" s="2"/>
      <c r="I2372" s="8" t="s">
        <v>3302</v>
      </c>
      <c r="J2372" s="2">
        <v>2031</v>
      </c>
      <c r="K2372" s="2">
        <v>566</v>
      </c>
      <c r="L2372" s="8" t="s">
        <v>3791</v>
      </c>
      <c r="M2372" s="2">
        <v>6.1</v>
      </c>
      <c r="N2372" s="8" t="s">
        <v>5710</v>
      </c>
      <c r="O2372" s="8" t="str">
        <f t="shared" si="226"/>
        <v>PDFを開く</v>
      </c>
      <c r="P2372" s="8" t="s">
        <v>1967</v>
      </c>
    </row>
    <row r="2373" spans="1:16" ht="33.950000000000003" customHeight="1">
      <c r="A2373" s="5" t="s">
        <v>1960</v>
      </c>
      <c r="B2373" s="5" t="s">
        <v>1595</v>
      </c>
      <c r="C2373" s="9" t="s">
        <v>1961</v>
      </c>
      <c r="D2373" s="5">
        <v>2</v>
      </c>
      <c r="E2373" s="9" t="s">
        <v>3188</v>
      </c>
      <c r="F2373" s="5" t="s">
        <v>86</v>
      </c>
      <c r="G2373" s="19" t="s">
        <v>3189</v>
      </c>
      <c r="H2373" s="5"/>
      <c r="I2373" s="9"/>
      <c r="J2373" s="5"/>
      <c r="K2373" s="5"/>
      <c r="L2373" s="9"/>
      <c r="M2373" s="5">
        <v>6.1</v>
      </c>
      <c r="N2373" s="9" t="s">
        <v>5711</v>
      </c>
      <c r="O2373" s="9" t="str">
        <f t="shared" si="226"/>
        <v>PDFを開く</v>
      </c>
      <c r="P2373" s="9" t="s">
        <v>1967</v>
      </c>
    </row>
    <row r="2374" spans="1:16" ht="33.950000000000003" customHeight="1">
      <c r="A2374" s="2" t="s">
        <v>1960</v>
      </c>
      <c r="B2374" s="2" t="s">
        <v>1595</v>
      </c>
      <c r="C2374" s="8" t="s">
        <v>1961</v>
      </c>
      <c r="D2374" s="2">
        <v>2</v>
      </c>
      <c r="E2374" s="8" t="s">
        <v>3191</v>
      </c>
      <c r="F2374" s="2" t="s">
        <v>2513</v>
      </c>
      <c r="G2374" s="2" t="s">
        <v>3177</v>
      </c>
      <c r="H2374" s="2"/>
      <c r="I2374" s="8" t="s">
        <v>3302</v>
      </c>
      <c r="J2374" s="2">
        <v>2028</v>
      </c>
      <c r="K2374" s="2">
        <v>78</v>
      </c>
      <c r="L2374" s="8" t="s">
        <v>4111</v>
      </c>
      <c r="M2374" s="2"/>
      <c r="N2374" s="8" t="s">
        <v>5712</v>
      </c>
      <c r="O2374" s="8" t="str">
        <f t="shared" si="226"/>
        <v>PDFを開く</v>
      </c>
      <c r="P2374" s="8" t="s">
        <v>1967</v>
      </c>
    </row>
    <row r="2375" spans="1:16" ht="33.950000000000003" customHeight="1">
      <c r="A2375" s="5" t="s">
        <v>1960</v>
      </c>
      <c r="B2375" s="5" t="s">
        <v>1595</v>
      </c>
      <c r="C2375" s="9" t="s">
        <v>1961</v>
      </c>
      <c r="D2375" s="5">
        <v>2</v>
      </c>
      <c r="E2375" s="9" t="s">
        <v>3191</v>
      </c>
      <c r="F2375" s="5" t="s">
        <v>2513</v>
      </c>
      <c r="G2375" s="5" t="s">
        <v>3177</v>
      </c>
      <c r="H2375" s="5"/>
      <c r="I2375" s="9" t="s">
        <v>3305</v>
      </c>
      <c r="J2375" s="5">
        <v>2031</v>
      </c>
      <c r="K2375" s="5">
        <v>125</v>
      </c>
      <c r="L2375" s="9" t="s">
        <v>4467</v>
      </c>
      <c r="M2375" s="5"/>
      <c r="N2375" s="9" t="s">
        <v>5712</v>
      </c>
      <c r="O2375" s="9" t="str">
        <f t="shared" si="226"/>
        <v>PDFを開く</v>
      </c>
      <c r="P2375" s="9" t="s">
        <v>1967</v>
      </c>
    </row>
    <row r="2376" spans="1:16" ht="33.950000000000003" customHeight="1">
      <c r="A2376" s="2" t="s">
        <v>1960</v>
      </c>
      <c r="B2376" s="2" t="s">
        <v>1595</v>
      </c>
      <c r="C2376" s="8" t="s">
        <v>1961</v>
      </c>
      <c r="D2376" s="2">
        <v>4</v>
      </c>
      <c r="E2376" s="8" t="s">
        <v>3176</v>
      </c>
      <c r="F2376" s="2"/>
      <c r="G2376" s="19" t="s">
        <v>3189</v>
      </c>
      <c r="H2376" s="2"/>
      <c r="I2376" s="8"/>
      <c r="J2376" s="2"/>
      <c r="K2376" s="2"/>
      <c r="L2376" s="8"/>
      <c r="M2376" s="2"/>
      <c r="N2376" s="8" t="s">
        <v>5713</v>
      </c>
      <c r="O2376" s="8" t="str">
        <f t="shared" si="226"/>
        <v>PDFを開く</v>
      </c>
      <c r="P2376" s="8" t="s">
        <v>1967</v>
      </c>
    </row>
    <row r="2377" spans="1:16" ht="33.950000000000003" customHeight="1">
      <c r="A2377" s="5" t="s">
        <v>1960</v>
      </c>
      <c r="B2377" s="5" t="s">
        <v>1595</v>
      </c>
      <c r="C2377" s="9" t="s">
        <v>1961</v>
      </c>
      <c r="D2377" s="5">
        <v>2</v>
      </c>
      <c r="E2377" s="9" t="s">
        <v>3188</v>
      </c>
      <c r="F2377" s="5" t="s">
        <v>86</v>
      </c>
      <c r="G2377" s="5" t="s">
        <v>3177</v>
      </c>
      <c r="H2377" s="5"/>
      <c r="I2377" s="9" t="s">
        <v>5714</v>
      </c>
      <c r="J2377" s="5">
        <v>2028</v>
      </c>
      <c r="K2377" s="5"/>
      <c r="L2377" s="9" t="s">
        <v>3211</v>
      </c>
      <c r="M2377" s="5">
        <v>6.1</v>
      </c>
      <c r="N2377" s="9" t="s">
        <v>5611</v>
      </c>
      <c r="O2377" s="9" t="str">
        <f t="shared" si="226"/>
        <v>PDFを開く</v>
      </c>
      <c r="P2377" s="9" t="s">
        <v>1967</v>
      </c>
    </row>
    <row r="2378" spans="1:16" ht="33.950000000000003" customHeight="1">
      <c r="A2378" s="2" t="s">
        <v>1960</v>
      </c>
      <c r="B2378" s="2" t="s">
        <v>1595</v>
      </c>
      <c r="C2378" s="8" t="s">
        <v>1961</v>
      </c>
      <c r="D2378" s="2">
        <v>2</v>
      </c>
      <c r="E2378" s="8" t="s">
        <v>3188</v>
      </c>
      <c r="F2378" s="2" t="s">
        <v>86</v>
      </c>
      <c r="G2378" s="2" t="s">
        <v>3177</v>
      </c>
      <c r="H2378" s="2"/>
      <c r="I2378" s="8" t="s">
        <v>5715</v>
      </c>
      <c r="J2378" s="2">
        <v>2031</v>
      </c>
      <c r="K2378" s="2"/>
      <c r="L2378" s="8" t="s">
        <v>5716</v>
      </c>
      <c r="M2378" s="2">
        <v>6.1</v>
      </c>
      <c r="N2378" s="8" t="s">
        <v>5611</v>
      </c>
      <c r="O2378" s="8" t="str">
        <f t="shared" si="226"/>
        <v>PDFを開く</v>
      </c>
      <c r="P2378" s="8" t="s">
        <v>1967</v>
      </c>
    </row>
    <row r="2379" spans="1:16" ht="33.950000000000003" customHeight="1">
      <c r="A2379" s="5" t="s">
        <v>1968</v>
      </c>
      <c r="B2379" s="5" t="s">
        <v>1595</v>
      </c>
      <c r="C2379" s="9" t="s">
        <v>1969</v>
      </c>
      <c r="D2379" s="5">
        <v>2</v>
      </c>
      <c r="E2379" s="9" t="s">
        <v>3176</v>
      </c>
      <c r="F2379" s="5" t="s">
        <v>86</v>
      </c>
      <c r="G2379" s="5" t="s">
        <v>3177</v>
      </c>
      <c r="H2379" s="5" t="s">
        <v>3178</v>
      </c>
      <c r="I2379" s="9" t="s">
        <v>3259</v>
      </c>
      <c r="J2379" s="5">
        <v>2027</v>
      </c>
      <c r="K2379" s="5">
        <v>856</v>
      </c>
      <c r="L2379" s="9" t="s">
        <v>5717</v>
      </c>
      <c r="M2379" s="5">
        <v>24.1</v>
      </c>
      <c r="N2379" s="9" t="s">
        <v>5718</v>
      </c>
      <c r="O2379" s="9" t="str">
        <f t="shared" ref="O2379:O2385" si="227">HYPERLINK("https://seichotoushi-hojo.jp/assets/pdf/koufu_3_4ji/outline_33.pdf","PDFを開く")</f>
        <v>PDFを開く</v>
      </c>
      <c r="P2379" s="9" t="s">
        <v>1974</v>
      </c>
    </row>
    <row r="2380" spans="1:16" ht="33.950000000000003" customHeight="1">
      <c r="A2380" s="2" t="s">
        <v>1968</v>
      </c>
      <c r="B2380" s="2" t="s">
        <v>1595</v>
      </c>
      <c r="C2380" s="8" t="s">
        <v>1969</v>
      </c>
      <c r="D2380" s="2">
        <v>2</v>
      </c>
      <c r="E2380" s="8" t="s">
        <v>3176</v>
      </c>
      <c r="F2380" s="2" t="s">
        <v>86</v>
      </c>
      <c r="G2380" s="2" t="s">
        <v>3177</v>
      </c>
      <c r="H2380" s="2" t="s">
        <v>3178</v>
      </c>
      <c r="I2380" s="8" t="s">
        <v>3262</v>
      </c>
      <c r="J2380" s="2">
        <v>2030</v>
      </c>
      <c r="K2380" s="2">
        <v>1636</v>
      </c>
      <c r="L2380" s="8" t="s">
        <v>5719</v>
      </c>
      <c r="M2380" s="2">
        <v>24.1</v>
      </c>
      <c r="N2380" s="8" t="s">
        <v>5718</v>
      </c>
      <c r="O2380" s="8" t="str">
        <f t="shared" si="227"/>
        <v>PDFを開く</v>
      </c>
      <c r="P2380" s="8" t="s">
        <v>1974</v>
      </c>
    </row>
    <row r="2381" spans="1:16" ht="33.950000000000003" customHeight="1">
      <c r="A2381" s="5" t="s">
        <v>1968</v>
      </c>
      <c r="B2381" s="5" t="s">
        <v>1595</v>
      </c>
      <c r="C2381" s="9" t="s">
        <v>1969</v>
      </c>
      <c r="D2381" s="5">
        <v>2</v>
      </c>
      <c r="E2381" s="9" t="s">
        <v>3184</v>
      </c>
      <c r="F2381" s="5" t="s">
        <v>86</v>
      </c>
      <c r="G2381" s="5" t="s">
        <v>3177</v>
      </c>
      <c r="H2381" s="5" t="s">
        <v>3178</v>
      </c>
      <c r="I2381" s="9" t="s">
        <v>3259</v>
      </c>
      <c r="J2381" s="5">
        <v>2027</v>
      </c>
      <c r="K2381" s="5">
        <v>558</v>
      </c>
      <c r="L2381" s="9" t="s">
        <v>3461</v>
      </c>
      <c r="M2381" s="5">
        <v>6.3</v>
      </c>
      <c r="N2381" s="9" t="s">
        <v>5720</v>
      </c>
      <c r="O2381" s="9" t="str">
        <f t="shared" si="227"/>
        <v>PDFを開く</v>
      </c>
      <c r="P2381" s="9" t="s">
        <v>1974</v>
      </c>
    </row>
    <row r="2382" spans="1:16" ht="33.950000000000003" customHeight="1">
      <c r="A2382" s="2" t="s">
        <v>1968</v>
      </c>
      <c r="B2382" s="2" t="s">
        <v>1595</v>
      </c>
      <c r="C2382" s="8" t="s">
        <v>1969</v>
      </c>
      <c r="D2382" s="2">
        <v>2</v>
      </c>
      <c r="E2382" s="8" t="s">
        <v>3184</v>
      </c>
      <c r="F2382" s="2" t="s">
        <v>86</v>
      </c>
      <c r="G2382" s="2" t="s">
        <v>3177</v>
      </c>
      <c r="H2382" s="2" t="s">
        <v>3178</v>
      </c>
      <c r="I2382" s="8" t="s">
        <v>3262</v>
      </c>
      <c r="J2382" s="2">
        <v>2030</v>
      </c>
      <c r="K2382" s="2">
        <v>671</v>
      </c>
      <c r="L2382" s="8" t="s">
        <v>4724</v>
      </c>
      <c r="M2382" s="2">
        <v>6.3</v>
      </c>
      <c r="N2382" s="8" t="s">
        <v>5720</v>
      </c>
      <c r="O2382" s="8" t="str">
        <f t="shared" si="227"/>
        <v>PDFを開く</v>
      </c>
      <c r="P2382" s="8" t="s">
        <v>1974</v>
      </c>
    </row>
    <row r="2383" spans="1:16" ht="33.950000000000003" customHeight="1">
      <c r="A2383" s="5" t="s">
        <v>1968</v>
      </c>
      <c r="B2383" s="5" t="s">
        <v>1595</v>
      </c>
      <c r="C2383" s="9" t="s">
        <v>1969</v>
      </c>
      <c r="D2383" s="5">
        <v>2</v>
      </c>
      <c r="E2383" s="9" t="s">
        <v>3188</v>
      </c>
      <c r="F2383" s="5" t="s">
        <v>86</v>
      </c>
      <c r="G2383" s="19" t="s">
        <v>3189</v>
      </c>
      <c r="H2383" s="5" t="s">
        <v>3178</v>
      </c>
      <c r="I2383" s="9"/>
      <c r="J2383" s="5"/>
      <c r="K2383" s="5"/>
      <c r="L2383" s="9"/>
      <c r="M2383" s="5">
        <v>5</v>
      </c>
      <c r="N2383" s="9" t="s">
        <v>3377</v>
      </c>
      <c r="O2383" s="9" t="str">
        <f t="shared" si="227"/>
        <v>PDFを開く</v>
      </c>
      <c r="P2383" s="9" t="s">
        <v>1974</v>
      </c>
    </row>
    <row r="2384" spans="1:16" ht="33.950000000000003" customHeight="1">
      <c r="A2384" s="2" t="s">
        <v>1968</v>
      </c>
      <c r="B2384" s="2" t="s">
        <v>1595</v>
      </c>
      <c r="C2384" s="8" t="s">
        <v>1969</v>
      </c>
      <c r="D2384" s="2">
        <v>2</v>
      </c>
      <c r="E2384" s="8" t="s">
        <v>3191</v>
      </c>
      <c r="F2384" s="2" t="s">
        <v>2513</v>
      </c>
      <c r="G2384" s="2" t="s">
        <v>3177</v>
      </c>
      <c r="H2384" s="2" t="s">
        <v>3178</v>
      </c>
      <c r="I2384" s="8" t="s">
        <v>3259</v>
      </c>
      <c r="J2384" s="2">
        <v>2027</v>
      </c>
      <c r="K2384" s="2">
        <v>229</v>
      </c>
      <c r="L2384" s="8" t="s">
        <v>5721</v>
      </c>
      <c r="M2384" s="2"/>
      <c r="N2384" s="8" t="s">
        <v>5722</v>
      </c>
      <c r="O2384" s="8" t="str">
        <f t="shared" si="227"/>
        <v>PDFを開く</v>
      </c>
      <c r="P2384" s="8" t="s">
        <v>1974</v>
      </c>
    </row>
    <row r="2385" spans="1:16" ht="33.950000000000003" customHeight="1">
      <c r="A2385" s="5" t="s">
        <v>1968</v>
      </c>
      <c r="B2385" s="5" t="s">
        <v>1595</v>
      </c>
      <c r="C2385" s="9" t="s">
        <v>1969</v>
      </c>
      <c r="D2385" s="5">
        <v>2</v>
      </c>
      <c r="E2385" s="9" t="s">
        <v>3191</v>
      </c>
      <c r="F2385" s="5" t="s">
        <v>2513</v>
      </c>
      <c r="G2385" s="5" t="s">
        <v>3177</v>
      </c>
      <c r="H2385" s="5" t="s">
        <v>3178</v>
      </c>
      <c r="I2385" s="9" t="s">
        <v>3262</v>
      </c>
      <c r="J2385" s="5">
        <v>2030</v>
      </c>
      <c r="K2385" s="5">
        <v>235</v>
      </c>
      <c r="L2385" s="9" t="s">
        <v>5723</v>
      </c>
      <c r="M2385" s="5"/>
      <c r="N2385" s="9" t="s">
        <v>5722</v>
      </c>
      <c r="O2385" s="9" t="str">
        <f t="shared" si="227"/>
        <v>PDFを開く</v>
      </c>
      <c r="P2385" s="9" t="s">
        <v>1974</v>
      </c>
    </row>
    <row r="2386" spans="1:16" ht="33.950000000000003" customHeight="1">
      <c r="A2386" s="2" t="s">
        <v>1975</v>
      </c>
      <c r="B2386" s="2" t="s">
        <v>1595</v>
      </c>
      <c r="C2386" s="8" t="s">
        <v>1976</v>
      </c>
      <c r="D2386" s="2">
        <v>2</v>
      </c>
      <c r="E2386" s="8" t="s">
        <v>3176</v>
      </c>
      <c r="F2386" s="2" t="s">
        <v>86</v>
      </c>
      <c r="G2386" s="2" t="s">
        <v>3177</v>
      </c>
      <c r="H2386" s="2" t="s">
        <v>3178</v>
      </c>
      <c r="I2386" s="8" t="s">
        <v>3845</v>
      </c>
      <c r="J2386" s="2">
        <v>2026</v>
      </c>
      <c r="K2386" s="2">
        <v>908</v>
      </c>
      <c r="L2386" s="8" t="s">
        <v>3727</v>
      </c>
      <c r="M2386" s="2">
        <v>19.899999999999999</v>
      </c>
      <c r="N2386" s="8" t="s">
        <v>5724</v>
      </c>
      <c r="O2386" s="8" t="str">
        <f t="shared" ref="O2386:O2400" si="228">HYPERLINK("https://seichotoushi-hojo.jp/assets/pdf/koufu_3_4ji/outline_34.pdf","PDFを開く")</f>
        <v>PDFを開く</v>
      </c>
      <c r="P2386" s="8" t="s">
        <v>1982</v>
      </c>
    </row>
    <row r="2387" spans="1:16" ht="33.950000000000003" customHeight="1">
      <c r="A2387" s="5" t="s">
        <v>1975</v>
      </c>
      <c r="B2387" s="5" t="s">
        <v>1595</v>
      </c>
      <c r="C2387" s="9" t="s">
        <v>1976</v>
      </c>
      <c r="D2387" s="5">
        <v>2</v>
      </c>
      <c r="E2387" s="9" t="s">
        <v>3176</v>
      </c>
      <c r="F2387" s="5" t="s">
        <v>86</v>
      </c>
      <c r="G2387" s="5" t="s">
        <v>3177</v>
      </c>
      <c r="H2387" s="5" t="s">
        <v>3178</v>
      </c>
      <c r="I2387" s="9" t="s">
        <v>3848</v>
      </c>
      <c r="J2387" s="5">
        <v>2029</v>
      </c>
      <c r="K2387" s="5">
        <v>15</v>
      </c>
      <c r="L2387" s="9" t="s">
        <v>5725</v>
      </c>
      <c r="M2387" s="5">
        <v>19.899999999999999</v>
      </c>
      <c r="N2387" s="9" t="s">
        <v>5724</v>
      </c>
      <c r="O2387" s="9" t="str">
        <f t="shared" si="228"/>
        <v>PDFを開く</v>
      </c>
      <c r="P2387" s="9" t="s">
        <v>1982</v>
      </c>
    </row>
    <row r="2388" spans="1:16" ht="33.950000000000003" customHeight="1">
      <c r="A2388" s="2" t="s">
        <v>1975</v>
      </c>
      <c r="B2388" s="2" t="s">
        <v>1595</v>
      </c>
      <c r="C2388" s="8" t="s">
        <v>1976</v>
      </c>
      <c r="D2388" s="2">
        <v>2</v>
      </c>
      <c r="E2388" s="8" t="s">
        <v>3184</v>
      </c>
      <c r="F2388" s="2" t="s">
        <v>86</v>
      </c>
      <c r="G2388" s="2" t="s">
        <v>3177</v>
      </c>
      <c r="H2388" s="2" t="s">
        <v>3178</v>
      </c>
      <c r="I2388" s="8" t="s">
        <v>3845</v>
      </c>
      <c r="J2388" s="2">
        <v>2026</v>
      </c>
      <c r="K2388" s="2">
        <v>74</v>
      </c>
      <c r="L2388" s="8" t="s">
        <v>5305</v>
      </c>
      <c r="M2388" s="2">
        <v>6.5</v>
      </c>
      <c r="N2388" s="8" t="s">
        <v>5726</v>
      </c>
      <c r="O2388" s="8" t="str">
        <f t="shared" si="228"/>
        <v>PDFを開く</v>
      </c>
      <c r="P2388" s="8" t="s">
        <v>1982</v>
      </c>
    </row>
    <row r="2389" spans="1:16" ht="33.950000000000003" customHeight="1">
      <c r="A2389" s="5" t="s">
        <v>1975</v>
      </c>
      <c r="B2389" s="5" t="s">
        <v>1595</v>
      </c>
      <c r="C2389" s="9" t="s">
        <v>1976</v>
      </c>
      <c r="D2389" s="5">
        <v>2</v>
      </c>
      <c r="E2389" s="9" t="s">
        <v>3184</v>
      </c>
      <c r="F2389" s="5" t="s">
        <v>86</v>
      </c>
      <c r="G2389" s="5" t="s">
        <v>3177</v>
      </c>
      <c r="H2389" s="5" t="s">
        <v>3178</v>
      </c>
      <c r="I2389" s="9" t="s">
        <v>3848</v>
      </c>
      <c r="J2389" s="5">
        <v>2029</v>
      </c>
      <c r="K2389" s="5">
        <v>75</v>
      </c>
      <c r="L2389" s="9" t="s">
        <v>4098</v>
      </c>
      <c r="M2389" s="5">
        <v>6.5</v>
      </c>
      <c r="N2389" s="9" t="s">
        <v>5726</v>
      </c>
      <c r="O2389" s="9" t="str">
        <f t="shared" si="228"/>
        <v>PDFを開く</v>
      </c>
      <c r="P2389" s="9" t="s">
        <v>1982</v>
      </c>
    </row>
    <row r="2390" spans="1:16" ht="33.950000000000003" customHeight="1">
      <c r="A2390" s="2" t="s">
        <v>1975</v>
      </c>
      <c r="B2390" s="2" t="s">
        <v>1595</v>
      </c>
      <c r="C2390" s="8" t="s">
        <v>1976</v>
      </c>
      <c r="D2390" s="2">
        <v>2</v>
      </c>
      <c r="E2390" s="8" t="s">
        <v>3188</v>
      </c>
      <c r="F2390" s="2" t="s">
        <v>86</v>
      </c>
      <c r="G2390" s="19" t="s">
        <v>3189</v>
      </c>
      <c r="H2390" s="2" t="s">
        <v>3178</v>
      </c>
      <c r="I2390" s="8"/>
      <c r="J2390" s="2"/>
      <c r="K2390" s="2"/>
      <c r="L2390" s="8"/>
      <c r="M2390" s="2">
        <v>0</v>
      </c>
      <c r="N2390" s="8" t="s">
        <v>5727</v>
      </c>
      <c r="O2390" s="8" t="str">
        <f t="shared" si="228"/>
        <v>PDFを開く</v>
      </c>
      <c r="P2390" s="8" t="s">
        <v>1982</v>
      </c>
    </row>
    <row r="2391" spans="1:16" ht="33.950000000000003" customHeight="1">
      <c r="A2391" s="5" t="s">
        <v>1975</v>
      </c>
      <c r="B2391" s="5" t="s">
        <v>1595</v>
      </c>
      <c r="C2391" s="9" t="s">
        <v>1976</v>
      </c>
      <c r="D2391" s="5">
        <v>2</v>
      </c>
      <c r="E2391" s="9" t="s">
        <v>3191</v>
      </c>
      <c r="F2391" s="5" t="s">
        <v>2513</v>
      </c>
      <c r="G2391" s="5" t="s">
        <v>3177</v>
      </c>
      <c r="H2391" s="5" t="s">
        <v>3178</v>
      </c>
      <c r="I2391" s="9" t="s">
        <v>3845</v>
      </c>
      <c r="J2391" s="5">
        <v>2026</v>
      </c>
      <c r="K2391" s="5">
        <v>437</v>
      </c>
      <c r="L2391" s="9" t="s">
        <v>5728</v>
      </c>
      <c r="M2391" s="5"/>
      <c r="N2391" s="9" t="s">
        <v>5729</v>
      </c>
      <c r="O2391" s="9" t="str">
        <f t="shared" si="228"/>
        <v>PDFを開く</v>
      </c>
      <c r="P2391" s="9" t="s">
        <v>1982</v>
      </c>
    </row>
    <row r="2392" spans="1:16" ht="33.950000000000003" customHeight="1">
      <c r="A2392" s="2" t="s">
        <v>1975</v>
      </c>
      <c r="B2392" s="2" t="s">
        <v>1595</v>
      </c>
      <c r="C2392" s="8" t="s">
        <v>1976</v>
      </c>
      <c r="D2392" s="2">
        <v>2</v>
      </c>
      <c r="E2392" s="8" t="s">
        <v>3191</v>
      </c>
      <c r="F2392" s="2" t="s">
        <v>2513</v>
      </c>
      <c r="G2392" s="2" t="s">
        <v>3177</v>
      </c>
      <c r="H2392" s="2" t="s">
        <v>3178</v>
      </c>
      <c r="I2392" s="8" t="s">
        <v>3848</v>
      </c>
      <c r="J2392" s="2">
        <v>2029</v>
      </c>
      <c r="K2392" s="2">
        <v>460</v>
      </c>
      <c r="L2392" s="8" t="s">
        <v>5183</v>
      </c>
      <c r="M2392" s="2"/>
      <c r="N2392" s="8" t="s">
        <v>5729</v>
      </c>
      <c r="O2392" s="8" t="str">
        <f t="shared" si="228"/>
        <v>PDFを開く</v>
      </c>
      <c r="P2392" s="8" t="s">
        <v>1982</v>
      </c>
    </row>
    <row r="2393" spans="1:16" ht="33.950000000000003" customHeight="1">
      <c r="A2393" s="5" t="s">
        <v>1975</v>
      </c>
      <c r="B2393" s="5" t="s">
        <v>1595</v>
      </c>
      <c r="C2393" s="9" t="s">
        <v>1976</v>
      </c>
      <c r="D2393" s="5">
        <v>2</v>
      </c>
      <c r="E2393" s="9" t="s">
        <v>3176</v>
      </c>
      <c r="F2393" s="5" t="s">
        <v>86</v>
      </c>
      <c r="G2393" s="5" t="s">
        <v>3177</v>
      </c>
      <c r="H2393" s="5"/>
      <c r="I2393" s="9" t="s">
        <v>3227</v>
      </c>
      <c r="J2393" s="5">
        <v>2026</v>
      </c>
      <c r="K2393" s="5">
        <v>908</v>
      </c>
      <c r="L2393" s="9" t="s">
        <v>3727</v>
      </c>
      <c r="M2393" s="5">
        <v>19.899999999999999</v>
      </c>
      <c r="N2393" s="9" t="s">
        <v>5730</v>
      </c>
      <c r="O2393" s="9" t="str">
        <f t="shared" si="228"/>
        <v>PDFを開く</v>
      </c>
      <c r="P2393" s="9" t="s">
        <v>1982</v>
      </c>
    </row>
    <row r="2394" spans="1:16" ht="33.950000000000003" customHeight="1">
      <c r="A2394" s="2" t="s">
        <v>1975</v>
      </c>
      <c r="B2394" s="2" t="s">
        <v>1595</v>
      </c>
      <c r="C2394" s="8" t="s">
        <v>1976</v>
      </c>
      <c r="D2394" s="2">
        <v>2</v>
      </c>
      <c r="E2394" s="8" t="s">
        <v>3176</v>
      </c>
      <c r="F2394" s="2" t="s">
        <v>86</v>
      </c>
      <c r="G2394" s="2" t="s">
        <v>3177</v>
      </c>
      <c r="H2394" s="2"/>
      <c r="I2394" s="8" t="s">
        <v>3230</v>
      </c>
      <c r="J2394" s="2">
        <v>2029</v>
      </c>
      <c r="K2394" s="2">
        <v>1556</v>
      </c>
      <c r="L2394" s="8" t="s">
        <v>5731</v>
      </c>
      <c r="M2394" s="2">
        <v>19.899999999999999</v>
      </c>
      <c r="N2394" s="8" t="s">
        <v>5730</v>
      </c>
      <c r="O2394" s="8" t="str">
        <f t="shared" si="228"/>
        <v>PDFを開く</v>
      </c>
      <c r="P2394" s="8" t="s">
        <v>1982</v>
      </c>
    </row>
    <row r="2395" spans="1:16" ht="33.950000000000003" customHeight="1">
      <c r="A2395" s="5" t="s">
        <v>1975</v>
      </c>
      <c r="B2395" s="5" t="s">
        <v>1595</v>
      </c>
      <c r="C2395" s="9" t="s">
        <v>1976</v>
      </c>
      <c r="D2395" s="5">
        <v>2</v>
      </c>
      <c r="E2395" s="9" t="s">
        <v>3184</v>
      </c>
      <c r="F2395" s="5" t="s">
        <v>86</v>
      </c>
      <c r="G2395" s="5" t="s">
        <v>3177</v>
      </c>
      <c r="H2395" s="5"/>
      <c r="I2395" s="9" t="s">
        <v>3227</v>
      </c>
      <c r="J2395" s="5">
        <v>2026</v>
      </c>
      <c r="K2395" s="5">
        <v>475</v>
      </c>
      <c r="L2395" s="9" t="s">
        <v>5687</v>
      </c>
      <c r="M2395" s="5">
        <v>6.5</v>
      </c>
      <c r="N2395" s="9" t="s">
        <v>5732</v>
      </c>
      <c r="O2395" s="9" t="str">
        <f t="shared" si="228"/>
        <v>PDFを開く</v>
      </c>
      <c r="P2395" s="9" t="s">
        <v>1982</v>
      </c>
    </row>
    <row r="2396" spans="1:16" ht="33.950000000000003" customHeight="1">
      <c r="A2396" s="2" t="s">
        <v>1975</v>
      </c>
      <c r="B2396" s="2" t="s">
        <v>1595</v>
      </c>
      <c r="C2396" s="8" t="s">
        <v>1976</v>
      </c>
      <c r="D2396" s="2">
        <v>2</v>
      </c>
      <c r="E2396" s="8" t="s">
        <v>3184</v>
      </c>
      <c r="F2396" s="2" t="s">
        <v>86</v>
      </c>
      <c r="G2396" s="2" t="s">
        <v>3177</v>
      </c>
      <c r="H2396" s="2"/>
      <c r="I2396" s="8" t="s">
        <v>3230</v>
      </c>
      <c r="J2396" s="2">
        <v>2029</v>
      </c>
      <c r="K2396" s="2">
        <v>574</v>
      </c>
      <c r="L2396" s="8" t="s">
        <v>5733</v>
      </c>
      <c r="M2396" s="2">
        <v>6.5</v>
      </c>
      <c r="N2396" s="8" t="s">
        <v>5732</v>
      </c>
      <c r="O2396" s="8" t="str">
        <f t="shared" si="228"/>
        <v>PDFを開く</v>
      </c>
      <c r="P2396" s="8" t="s">
        <v>1982</v>
      </c>
    </row>
    <row r="2397" spans="1:16" ht="33.950000000000003" customHeight="1">
      <c r="A2397" s="5" t="s">
        <v>1975</v>
      </c>
      <c r="B2397" s="5" t="s">
        <v>1595</v>
      </c>
      <c r="C2397" s="9" t="s">
        <v>1976</v>
      </c>
      <c r="D2397" s="5">
        <v>2</v>
      </c>
      <c r="E2397" s="9" t="s">
        <v>3191</v>
      </c>
      <c r="F2397" s="5" t="s">
        <v>2513</v>
      </c>
      <c r="G2397" s="5" t="s">
        <v>3177</v>
      </c>
      <c r="H2397" s="5"/>
      <c r="I2397" s="9" t="s">
        <v>3227</v>
      </c>
      <c r="J2397" s="5">
        <v>2026</v>
      </c>
      <c r="K2397" s="5">
        <v>437</v>
      </c>
      <c r="L2397" s="9" t="s">
        <v>5728</v>
      </c>
      <c r="M2397" s="5"/>
      <c r="N2397" s="9" t="s">
        <v>5734</v>
      </c>
      <c r="O2397" s="9" t="str">
        <f t="shared" si="228"/>
        <v>PDFを開く</v>
      </c>
      <c r="P2397" s="9" t="s">
        <v>1982</v>
      </c>
    </row>
    <row r="2398" spans="1:16" ht="33.950000000000003" customHeight="1">
      <c r="A2398" s="2" t="s">
        <v>1975</v>
      </c>
      <c r="B2398" s="2" t="s">
        <v>1595</v>
      </c>
      <c r="C2398" s="8" t="s">
        <v>1976</v>
      </c>
      <c r="D2398" s="2">
        <v>2</v>
      </c>
      <c r="E2398" s="8" t="s">
        <v>3191</v>
      </c>
      <c r="F2398" s="2" t="s">
        <v>2513</v>
      </c>
      <c r="G2398" s="2" t="s">
        <v>3177</v>
      </c>
      <c r="H2398" s="2"/>
      <c r="I2398" s="8" t="s">
        <v>3230</v>
      </c>
      <c r="J2398" s="2">
        <v>2029</v>
      </c>
      <c r="K2398" s="2">
        <v>460</v>
      </c>
      <c r="L2398" s="8" t="s">
        <v>5183</v>
      </c>
      <c r="M2398" s="2"/>
      <c r="N2398" s="8" t="s">
        <v>5734</v>
      </c>
      <c r="O2398" s="8" t="str">
        <f t="shared" si="228"/>
        <v>PDFを開く</v>
      </c>
      <c r="P2398" s="8" t="s">
        <v>1982</v>
      </c>
    </row>
    <row r="2399" spans="1:16" ht="33.950000000000003" customHeight="1">
      <c r="A2399" s="5" t="s">
        <v>1975</v>
      </c>
      <c r="B2399" s="5" t="s">
        <v>1595</v>
      </c>
      <c r="C2399" s="9" t="s">
        <v>1976</v>
      </c>
      <c r="D2399" s="5">
        <v>2</v>
      </c>
      <c r="E2399" s="9" t="s">
        <v>3188</v>
      </c>
      <c r="F2399" s="5" t="s">
        <v>86</v>
      </c>
      <c r="G2399" s="5" t="s">
        <v>3177</v>
      </c>
      <c r="H2399" s="5"/>
      <c r="I2399" s="9" t="s">
        <v>5735</v>
      </c>
      <c r="J2399" s="5">
        <v>2026</v>
      </c>
      <c r="K2399" s="5"/>
      <c r="L2399" s="9" t="s">
        <v>3211</v>
      </c>
      <c r="M2399" s="5">
        <v>6</v>
      </c>
      <c r="N2399" s="9" t="s">
        <v>5736</v>
      </c>
      <c r="O2399" s="9" t="str">
        <f t="shared" si="228"/>
        <v>PDFを開く</v>
      </c>
      <c r="P2399" s="9" t="s">
        <v>1982</v>
      </c>
    </row>
    <row r="2400" spans="1:16" ht="33.950000000000003" customHeight="1">
      <c r="A2400" s="2" t="s">
        <v>1975</v>
      </c>
      <c r="B2400" s="2" t="s">
        <v>1595</v>
      </c>
      <c r="C2400" s="8" t="s">
        <v>1976</v>
      </c>
      <c r="D2400" s="2">
        <v>2</v>
      </c>
      <c r="E2400" s="8" t="s">
        <v>3188</v>
      </c>
      <c r="F2400" s="2" t="s">
        <v>86</v>
      </c>
      <c r="G2400" s="2" t="s">
        <v>3177</v>
      </c>
      <c r="H2400" s="2"/>
      <c r="I2400" s="8" t="s">
        <v>5737</v>
      </c>
      <c r="J2400" s="2">
        <v>2029</v>
      </c>
      <c r="K2400" s="2"/>
      <c r="L2400" s="8" t="s">
        <v>5738</v>
      </c>
      <c r="M2400" s="2">
        <v>6</v>
      </c>
      <c r="N2400" s="8" t="s">
        <v>5736</v>
      </c>
      <c r="O2400" s="8" t="str">
        <f t="shared" si="228"/>
        <v>PDFを開く</v>
      </c>
      <c r="P2400" s="8" t="s">
        <v>1982</v>
      </c>
    </row>
    <row r="2401" spans="1:16" ht="33.950000000000003" customHeight="1">
      <c r="A2401" s="5" t="s">
        <v>1983</v>
      </c>
      <c r="B2401" s="5" t="s">
        <v>1595</v>
      </c>
      <c r="C2401" s="9" t="s">
        <v>1984</v>
      </c>
      <c r="D2401" s="5">
        <v>2</v>
      </c>
      <c r="E2401" s="9" t="s">
        <v>3176</v>
      </c>
      <c r="F2401" s="5" t="s">
        <v>86</v>
      </c>
      <c r="G2401" s="19" t="s">
        <v>3494</v>
      </c>
      <c r="H2401" s="5" t="s">
        <v>3178</v>
      </c>
      <c r="I2401" s="9" t="s">
        <v>3259</v>
      </c>
      <c r="J2401" s="5">
        <v>2027</v>
      </c>
      <c r="K2401" s="5">
        <v>2804</v>
      </c>
      <c r="L2401" s="9" t="s">
        <v>5739</v>
      </c>
      <c r="M2401" s="5">
        <v>17.2</v>
      </c>
      <c r="N2401" s="9" t="s">
        <v>5740</v>
      </c>
      <c r="O2401" s="9" t="str">
        <f t="shared" ref="O2401:O2421" si="229">HYPERLINK("https://seichotoushi-hojo.jp/assets/pdf/koufu_3_4ji/outline_35.pdf","PDFを開く")</f>
        <v>PDFを開く</v>
      </c>
      <c r="P2401" s="9" t="s">
        <v>1991</v>
      </c>
    </row>
    <row r="2402" spans="1:16" ht="33.950000000000003" customHeight="1">
      <c r="A2402" s="2" t="s">
        <v>1983</v>
      </c>
      <c r="B2402" s="2" t="s">
        <v>1595</v>
      </c>
      <c r="C2402" s="8" t="s">
        <v>1984</v>
      </c>
      <c r="D2402" s="2">
        <v>2</v>
      </c>
      <c r="E2402" s="8" t="s">
        <v>3176</v>
      </c>
      <c r="F2402" s="2" t="s">
        <v>86</v>
      </c>
      <c r="G2402" s="19" t="s">
        <v>3494</v>
      </c>
      <c r="H2402" s="2" t="s">
        <v>3178</v>
      </c>
      <c r="I2402" s="8" t="s">
        <v>3262</v>
      </c>
      <c r="J2402" s="2">
        <v>2030</v>
      </c>
      <c r="K2402" s="2">
        <v>4523</v>
      </c>
      <c r="L2402" s="8" t="s">
        <v>5741</v>
      </c>
      <c r="M2402" s="2">
        <v>17.2</v>
      </c>
      <c r="N2402" s="8" t="s">
        <v>5740</v>
      </c>
      <c r="O2402" s="8" t="str">
        <f t="shared" si="229"/>
        <v>PDFを開く</v>
      </c>
      <c r="P2402" s="8" t="s">
        <v>1991</v>
      </c>
    </row>
    <row r="2403" spans="1:16" ht="33.950000000000003" customHeight="1">
      <c r="A2403" s="5" t="s">
        <v>1983</v>
      </c>
      <c r="B2403" s="5" t="s">
        <v>1595</v>
      </c>
      <c r="C2403" s="9" t="s">
        <v>1984</v>
      </c>
      <c r="D2403" s="5">
        <v>2</v>
      </c>
      <c r="E2403" s="9" t="s">
        <v>3176</v>
      </c>
      <c r="F2403" s="5" t="s">
        <v>86</v>
      </c>
      <c r="G2403" s="19" t="s">
        <v>3494</v>
      </c>
      <c r="H2403" s="5" t="s">
        <v>3178</v>
      </c>
      <c r="I2403" s="9" t="s">
        <v>3259</v>
      </c>
      <c r="J2403" s="5">
        <v>2027</v>
      </c>
      <c r="K2403" s="5">
        <v>3357</v>
      </c>
      <c r="L2403" s="9" t="s">
        <v>5742</v>
      </c>
      <c r="M2403" s="5">
        <v>17.2</v>
      </c>
      <c r="N2403" s="9" t="s">
        <v>5740</v>
      </c>
      <c r="O2403" s="9" t="str">
        <f t="shared" si="229"/>
        <v>PDFを開く</v>
      </c>
      <c r="P2403" s="9" t="s">
        <v>1991</v>
      </c>
    </row>
    <row r="2404" spans="1:16" ht="33.950000000000003" customHeight="1">
      <c r="A2404" s="2" t="s">
        <v>1983</v>
      </c>
      <c r="B2404" s="2" t="s">
        <v>1595</v>
      </c>
      <c r="C2404" s="8" t="s">
        <v>1984</v>
      </c>
      <c r="D2404" s="2">
        <v>2</v>
      </c>
      <c r="E2404" s="8" t="s">
        <v>3176</v>
      </c>
      <c r="F2404" s="2" t="s">
        <v>86</v>
      </c>
      <c r="G2404" s="19" t="s">
        <v>3494</v>
      </c>
      <c r="H2404" s="2" t="s">
        <v>3178</v>
      </c>
      <c r="I2404" s="8" t="s">
        <v>3262</v>
      </c>
      <c r="J2404" s="2">
        <v>2030</v>
      </c>
      <c r="K2404" s="2">
        <v>4933</v>
      </c>
      <c r="L2404" s="8" t="s">
        <v>5743</v>
      </c>
      <c r="M2404" s="2">
        <v>17.2</v>
      </c>
      <c r="N2404" s="8" t="s">
        <v>5740</v>
      </c>
      <c r="O2404" s="8" t="str">
        <f t="shared" si="229"/>
        <v>PDFを開く</v>
      </c>
      <c r="P2404" s="8" t="s">
        <v>1991</v>
      </c>
    </row>
    <row r="2405" spans="1:16" ht="33.950000000000003" customHeight="1">
      <c r="A2405" s="5" t="s">
        <v>1983</v>
      </c>
      <c r="B2405" s="5" t="s">
        <v>1595</v>
      </c>
      <c r="C2405" s="9" t="s">
        <v>1984</v>
      </c>
      <c r="D2405" s="5">
        <v>2</v>
      </c>
      <c r="E2405" s="9" t="s">
        <v>3176</v>
      </c>
      <c r="F2405" s="5" t="s">
        <v>86</v>
      </c>
      <c r="G2405" s="19" t="s">
        <v>3494</v>
      </c>
      <c r="H2405" s="5" t="s">
        <v>3178</v>
      </c>
      <c r="I2405" s="9" t="s">
        <v>3259</v>
      </c>
      <c r="J2405" s="5">
        <v>2027</v>
      </c>
      <c r="K2405" s="5">
        <v>2771</v>
      </c>
      <c r="L2405" s="9" t="s">
        <v>5744</v>
      </c>
      <c r="M2405" s="5">
        <v>17.2</v>
      </c>
      <c r="N2405" s="9" t="s">
        <v>5740</v>
      </c>
      <c r="O2405" s="9" t="str">
        <f t="shared" si="229"/>
        <v>PDFを開く</v>
      </c>
      <c r="P2405" s="9" t="s">
        <v>1991</v>
      </c>
    </row>
    <row r="2406" spans="1:16" ht="33.950000000000003" customHeight="1">
      <c r="A2406" s="2" t="s">
        <v>1983</v>
      </c>
      <c r="B2406" s="2" t="s">
        <v>1595</v>
      </c>
      <c r="C2406" s="8" t="s">
        <v>1984</v>
      </c>
      <c r="D2406" s="2">
        <v>2</v>
      </c>
      <c r="E2406" s="8" t="s">
        <v>3176</v>
      </c>
      <c r="F2406" s="2" t="s">
        <v>86</v>
      </c>
      <c r="G2406" s="19" t="s">
        <v>3494</v>
      </c>
      <c r="H2406" s="2" t="s">
        <v>3178</v>
      </c>
      <c r="I2406" s="8" t="s">
        <v>3262</v>
      </c>
      <c r="J2406" s="2">
        <v>2030</v>
      </c>
      <c r="K2406" s="2">
        <v>4498</v>
      </c>
      <c r="L2406" s="8" t="s">
        <v>5745</v>
      </c>
      <c r="M2406" s="2">
        <v>17.2</v>
      </c>
      <c r="N2406" s="8" t="s">
        <v>5740</v>
      </c>
      <c r="O2406" s="8" t="str">
        <f t="shared" si="229"/>
        <v>PDFを開く</v>
      </c>
      <c r="P2406" s="8" t="s">
        <v>1991</v>
      </c>
    </row>
    <row r="2407" spans="1:16" ht="33.950000000000003" customHeight="1">
      <c r="A2407" s="5" t="s">
        <v>1983</v>
      </c>
      <c r="B2407" s="5" t="s">
        <v>1595</v>
      </c>
      <c r="C2407" s="9" t="s">
        <v>1984</v>
      </c>
      <c r="D2407" s="5">
        <v>2</v>
      </c>
      <c r="E2407" s="9" t="s">
        <v>3184</v>
      </c>
      <c r="F2407" s="5" t="s">
        <v>86</v>
      </c>
      <c r="G2407" s="19" t="s">
        <v>3494</v>
      </c>
      <c r="H2407" s="5" t="s">
        <v>3178</v>
      </c>
      <c r="I2407" s="9" t="s">
        <v>3259</v>
      </c>
      <c r="J2407" s="5">
        <v>2027</v>
      </c>
      <c r="K2407" s="5">
        <v>342</v>
      </c>
      <c r="L2407" s="9" t="s">
        <v>3743</v>
      </c>
      <c r="M2407" s="5">
        <v>5.9</v>
      </c>
      <c r="N2407" s="9" t="s">
        <v>5746</v>
      </c>
      <c r="O2407" s="9" t="str">
        <f t="shared" si="229"/>
        <v>PDFを開く</v>
      </c>
      <c r="P2407" s="9" t="s">
        <v>1991</v>
      </c>
    </row>
    <row r="2408" spans="1:16" ht="33.950000000000003" customHeight="1">
      <c r="A2408" s="2" t="s">
        <v>1983</v>
      </c>
      <c r="B2408" s="2" t="s">
        <v>1595</v>
      </c>
      <c r="C2408" s="8" t="s">
        <v>1984</v>
      </c>
      <c r="D2408" s="2">
        <v>2</v>
      </c>
      <c r="E2408" s="8" t="s">
        <v>3184</v>
      </c>
      <c r="F2408" s="2" t="s">
        <v>86</v>
      </c>
      <c r="G2408" s="19" t="s">
        <v>3494</v>
      </c>
      <c r="H2408" s="2" t="s">
        <v>3178</v>
      </c>
      <c r="I2408" s="8" t="s">
        <v>3262</v>
      </c>
      <c r="J2408" s="2">
        <v>2030</v>
      </c>
      <c r="K2408" s="2">
        <v>406</v>
      </c>
      <c r="L2408" s="8" t="s">
        <v>3965</v>
      </c>
      <c r="M2408" s="2">
        <v>5.9</v>
      </c>
      <c r="N2408" s="8" t="s">
        <v>5746</v>
      </c>
      <c r="O2408" s="8" t="str">
        <f t="shared" si="229"/>
        <v>PDFを開く</v>
      </c>
      <c r="P2408" s="8" t="s">
        <v>1991</v>
      </c>
    </row>
    <row r="2409" spans="1:16" ht="33.950000000000003" customHeight="1">
      <c r="A2409" s="5" t="s">
        <v>1983</v>
      </c>
      <c r="B2409" s="5" t="s">
        <v>1595</v>
      </c>
      <c r="C2409" s="9" t="s">
        <v>1984</v>
      </c>
      <c r="D2409" s="5">
        <v>2</v>
      </c>
      <c r="E2409" s="9" t="s">
        <v>3184</v>
      </c>
      <c r="F2409" s="5" t="s">
        <v>86</v>
      </c>
      <c r="G2409" s="19" t="s">
        <v>3494</v>
      </c>
      <c r="H2409" s="5" t="s">
        <v>3178</v>
      </c>
      <c r="I2409" s="9" t="s">
        <v>3259</v>
      </c>
      <c r="J2409" s="5">
        <v>2027</v>
      </c>
      <c r="K2409" s="5">
        <v>325</v>
      </c>
      <c r="L2409" s="9" t="s">
        <v>4613</v>
      </c>
      <c r="M2409" s="5">
        <v>5.9</v>
      </c>
      <c r="N2409" s="9" t="s">
        <v>5746</v>
      </c>
      <c r="O2409" s="9" t="str">
        <f t="shared" si="229"/>
        <v>PDFを開く</v>
      </c>
      <c r="P2409" s="9" t="s">
        <v>1991</v>
      </c>
    </row>
    <row r="2410" spans="1:16" ht="33.950000000000003" customHeight="1">
      <c r="A2410" s="2" t="s">
        <v>1983</v>
      </c>
      <c r="B2410" s="2" t="s">
        <v>1595</v>
      </c>
      <c r="C2410" s="8" t="s">
        <v>1984</v>
      </c>
      <c r="D2410" s="2">
        <v>2</v>
      </c>
      <c r="E2410" s="8" t="s">
        <v>3184</v>
      </c>
      <c r="F2410" s="2" t="s">
        <v>86</v>
      </c>
      <c r="G2410" s="19" t="s">
        <v>3494</v>
      </c>
      <c r="H2410" s="2" t="s">
        <v>3178</v>
      </c>
      <c r="I2410" s="8" t="s">
        <v>3262</v>
      </c>
      <c r="J2410" s="2">
        <v>2030</v>
      </c>
      <c r="K2410" s="2">
        <v>386</v>
      </c>
      <c r="L2410" s="8" t="s">
        <v>5747</v>
      </c>
      <c r="M2410" s="2">
        <v>5.9</v>
      </c>
      <c r="N2410" s="8" t="s">
        <v>5746</v>
      </c>
      <c r="O2410" s="8" t="str">
        <f t="shared" si="229"/>
        <v>PDFを開く</v>
      </c>
      <c r="P2410" s="8" t="s">
        <v>1991</v>
      </c>
    </row>
    <row r="2411" spans="1:16" ht="33.950000000000003" customHeight="1">
      <c r="A2411" s="5" t="s">
        <v>1983</v>
      </c>
      <c r="B2411" s="5" t="s">
        <v>1595</v>
      </c>
      <c r="C2411" s="9" t="s">
        <v>1984</v>
      </c>
      <c r="D2411" s="5">
        <v>2</v>
      </c>
      <c r="E2411" s="9" t="s">
        <v>3184</v>
      </c>
      <c r="F2411" s="5" t="s">
        <v>86</v>
      </c>
      <c r="G2411" s="19" t="s">
        <v>3494</v>
      </c>
      <c r="H2411" s="5" t="s">
        <v>3178</v>
      </c>
      <c r="I2411" s="9" t="s">
        <v>3259</v>
      </c>
      <c r="J2411" s="5">
        <v>2027</v>
      </c>
      <c r="K2411" s="5">
        <v>343</v>
      </c>
      <c r="L2411" s="9" t="s">
        <v>3615</v>
      </c>
      <c r="M2411" s="5">
        <v>5.9</v>
      </c>
      <c r="N2411" s="9" t="s">
        <v>5746</v>
      </c>
      <c r="O2411" s="9" t="str">
        <f t="shared" si="229"/>
        <v>PDFを開く</v>
      </c>
      <c r="P2411" s="9" t="s">
        <v>1991</v>
      </c>
    </row>
    <row r="2412" spans="1:16" ht="33.950000000000003" customHeight="1">
      <c r="A2412" s="2" t="s">
        <v>1983</v>
      </c>
      <c r="B2412" s="2" t="s">
        <v>1595</v>
      </c>
      <c r="C2412" s="8" t="s">
        <v>1984</v>
      </c>
      <c r="D2412" s="2">
        <v>2</v>
      </c>
      <c r="E2412" s="8" t="s">
        <v>3184</v>
      </c>
      <c r="F2412" s="2" t="s">
        <v>86</v>
      </c>
      <c r="G2412" s="19" t="s">
        <v>3494</v>
      </c>
      <c r="H2412" s="2" t="s">
        <v>3178</v>
      </c>
      <c r="I2412" s="8" t="s">
        <v>3262</v>
      </c>
      <c r="J2412" s="2">
        <v>2030</v>
      </c>
      <c r="K2412" s="2">
        <v>407</v>
      </c>
      <c r="L2412" s="8" t="s">
        <v>3956</v>
      </c>
      <c r="M2412" s="2">
        <v>5.9</v>
      </c>
      <c r="N2412" s="8" t="s">
        <v>5746</v>
      </c>
      <c r="O2412" s="8" t="str">
        <f t="shared" si="229"/>
        <v>PDFを開く</v>
      </c>
      <c r="P2412" s="8" t="s">
        <v>1991</v>
      </c>
    </row>
    <row r="2413" spans="1:16" ht="33.950000000000003" customHeight="1">
      <c r="A2413" s="5" t="s">
        <v>1983</v>
      </c>
      <c r="B2413" s="5" t="s">
        <v>1595</v>
      </c>
      <c r="C2413" s="9" t="s">
        <v>1984</v>
      </c>
      <c r="D2413" s="5">
        <v>2</v>
      </c>
      <c r="E2413" s="9" t="s">
        <v>3188</v>
      </c>
      <c r="F2413" s="5" t="s">
        <v>86</v>
      </c>
      <c r="G2413" s="19" t="s">
        <v>3494</v>
      </c>
      <c r="H2413" s="5" t="s">
        <v>3178</v>
      </c>
      <c r="I2413" s="9"/>
      <c r="J2413" s="5"/>
      <c r="K2413" s="5"/>
      <c r="L2413" s="9"/>
      <c r="M2413" s="5">
        <v>5.9</v>
      </c>
      <c r="N2413" s="9" t="s">
        <v>5748</v>
      </c>
      <c r="O2413" s="9" t="str">
        <f t="shared" si="229"/>
        <v>PDFを開く</v>
      </c>
      <c r="P2413" s="9" t="s">
        <v>1991</v>
      </c>
    </row>
    <row r="2414" spans="1:16" ht="33.950000000000003" customHeight="1">
      <c r="A2414" s="2" t="s">
        <v>1983</v>
      </c>
      <c r="B2414" s="2" t="s">
        <v>1595</v>
      </c>
      <c r="C2414" s="8" t="s">
        <v>1984</v>
      </c>
      <c r="D2414" s="2">
        <v>2</v>
      </c>
      <c r="E2414" s="8" t="s">
        <v>3191</v>
      </c>
      <c r="F2414" s="2" t="s">
        <v>2513</v>
      </c>
      <c r="G2414" s="2" t="s">
        <v>3177</v>
      </c>
      <c r="H2414" s="2"/>
      <c r="I2414" s="8" t="s">
        <v>3686</v>
      </c>
      <c r="J2414" s="2">
        <v>2027</v>
      </c>
      <c r="K2414" s="2">
        <v>220</v>
      </c>
      <c r="L2414" s="8" t="s">
        <v>3899</v>
      </c>
      <c r="M2414" s="2"/>
      <c r="N2414" s="8" t="s">
        <v>5749</v>
      </c>
      <c r="O2414" s="8" t="str">
        <f t="shared" si="229"/>
        <v>PDFを開く</v>
      </c>
      <c r="P2414" s="8" t="s">
        <v>1991</v>
      </c>
    </row>
    <row r="2415" spans="1:16" ht="33.950000000000003" customHeight="1">
      <c r="A2415" s="5" t="s">
        <v>1983</v>
      </c>
      <c r="B2415" s="5" t="s">
        <v>1595</v>
      </c>
      <c r="C2415" s="9" t="s">
        <v>1984</v>
      </c>
      <c r="D2415" s="5">
        <v>2</v>
      </c>
      <c r="E2415" s="9" t="s">
        <v>3191</v>
      </c>
      <c r="F2415" s="5" t="s">
        <v>2513</v>
      </c>
      <c r="G2415" s="5" t="s">
        <v>3177</v>
      </c>
      <c r="H2415" s="5"/>
      <c r="I2415" s="9" t="s">
        <v>3688</v>
      </c>
      <c r="J2415" s="5">
        <v>2030</v>
      </c>
      <c r="K2415" s="5">
        <v>268</v>
      </c>
      <c r="L2415" s="9" t="s">
        <v>3781</v>
      </c>
      <c r="M2415" s="5"/>
      <c r="N2415" s="9" t="s">
        <v>5749</v>
      </c>
      <c r="O2415" s="9" t="str">
        <f t="shared" si="229"/>
        <v>PDFを開く</v>
      </c>
      <c r="P2415" s="9" t="s">
        <v>1991</v>
      </c>
    </row>
    <row r="2416" spans="1:16" ht="33.950000000000003" customHeight="1">
      <c r="A2416" s="2" t="s">
        <v>1983</v>
      </c>
      <c r="B2416" s="2" t="s">
        <v>1595</v>
      </c>
      <c r="C2416" s="8" t="s">
        <v>1984</v>
      </c>
      <c r="D2416" s="2">
        <v>2</v>
      </c>
      <c r="E2416" s="8" t="s">
        <v>3188</v>
      </c>
      <c r="F2416" s="2" t="s">
        <v>86</v>
      </c>
      <c r="G2416" s="2" t="s">
        <v>3177</v>
      </c>
      <c r="H2416" s="2"/>
      <c r="I2416" s="8" t="s">
        <v>5750</v>
      </c>
      <c r="J2416" s="2">
        <v>2027</v>
      </c>
      <c r="K2416" s="2"/>
      <c r="L2416" s="8" t="s">
        <v>3211</v>
      </c>
      <c r="M2416" s="2">
        <v>5.9</v>
      </c>
      <c r="N2416" s="8" t="s">
        <v>5751</v>
      </c>
      <c r="O2416" s="8" t="str">
        <f t="shared" si="229"/>
        <v>PDFを開く</v>
      </c>
      <c r="P2416" s="8" t="s">
        <v>1991</v>
      </c>
    </row>
    <row r="2417" spans="1:16" ht="33.950000000000003" customHeight="1">
      <c r="A2417" s="5" t="s">
        <v>1983</v>
      </c>
      <c r="B2417" s="5" t="s">
        <v>1595</v>
      </c>
      <c r="C2417" s="9" t="s">
        <v>1984</v>
      </c>
      <c r="D2417" s="5">
        <v>2</v>
      </c>
      <c r="E2417" s="9" t="s">
        <v>3188</v>
      </c>
      <c r="F2417" s="5" t="s">
        <v>86</v>
      </c>
      <c r="G2417" s="5" t="s">
        <v>3177</v>
      </c>
      <c r="H2417" s="5"/>
      <c r="I2417" s="9" t="s">
        <v>5752</v>
      </c>
      <c r="J2417" s="5">
        <v>2030</v>
      </c>
      <c r="K2417" s="5"/>
      <c r="L2417" s="9" t="s">
        <v>5753</v>
      </c>
      <c r="M2417" s="5">
        <v>5.9</v>
      </c>
      <c r="N2417" s="9" t="s">
        <v>5751</v>
      </c>
      <c r="O2417" s="9" t="str">
        <f t="shared" si="229"/>
        <v>PDFを開く</v>
      </c>
      <c r="P2417" s="9" t="s">
        <v>1991</v>
      </c>
    </row>
    <row r="2418" spans="1:16" ht="33.950000000000003" customHeight="1">
      <c r="A2418" s="2" t="s">
        <v>1983</v>
      </c>
      <c r="B2418" s="2" t="s">
        <v>1595</v>
      </c>
      <c r="C2418" s="8" t="s">
        <v>1984</v>
      </c>
      <c r="D2418" s="2">
        <v>2</v>
      </c>
      <c r="E2418" s="8" t="s">
        <v>3176</v>
      </c>
      <c r="F2418" s="2" t="s">
        <v>86</v>
      </c>
      <c r="G2418" s="2" t="s">
        <v>3177</v>
      </c>
      <c r="H2418" s="2" t="s">
        <v>3178</v>
      </c>
      <c r="I2418" s="8" t="s">
        <v>3259</v>
      </c>
      <c r="J2418" s="2">
        <v>2027</v>
      </c>
      <c r="K2418" s="2">
        <v>2804</v>
      </c>
      <c r="L2418" s="8" t="s">
        <v>5739</v>
      </c>
      <c r="M2418" s="2">
        <v>17.2</v>
      </c>
      <c r="N2418" s="8" t="s">
        <v>5740</v>
      </c>
      <c r="O2418" s="8" t="str">
        <f t="shared" si="229"/>
        <v>PDFを開く</v>
      </c>
      <c r="P2418" s="8" t="s">
        <v>1991</v>
      </c>
    </row>
    <row r="2419" spans="1:16" ht="33.950000000000003" customHeight="1">
      <c r="A2419" s="5" t="s">
        <v>1983</v>
      </c>
      <c r="B2419" s="5" t="s">
        <v>1595</v>
      </c>
      <c r="C2419" s="9" t="s">
        <v>1984</v>
      </c>
      <c r="D2419" s="5">
        <v>2</v>
      </c>
      <c r="E2419" s="9" t="s">
        <v>3176</v>
      </c>
      <c r="F2419" s="5" t="s">
        <v>86</v>
      </c>
      <c r="G2419" s="5" t="s">
        <v>3177</v>
      </c>
      <c r="H2419" s="5" t="s">
        <v>3178</v>
      </c>
      <c r="I2419" s="9" t="s">
        <v>3262</v>
      </c>
      <c r="J2419" s="5">
        <v>2030</v>
      </c>
      <c r="K2419" s="5">
        <v>4523</v>
      </c>
      <c r="L2419" s="9" t="s">
        <v>5741</v>
      </c>
      <c r="M2419" s="5">
        <v>17.2</v>
      </c>
      <c r="N2419" s="9" t="s">
        <v>5740</v>
      </c>
      <c r="O2419" s="9" t="str">
        <f t="shared" si="229"/>
        <v>PDFを開く</v>
      </c>
      <c r="P2419" s="9" t="s">
        <v>1991</v>
      </c>
    </row>
    <row r="2420" spans="1:16" ht="33.950000000000003" customHeight="1">
      <c r="A2420" s="2" t="s">
        <v>1983</v>
      </c>
      <c r="B2420" s="2" t="s">
        <v>1595</v>
      </c>
      <c r="C2420" s="8" t="s">
        <v>1984</v>
      </c>
      <c r="D2420" s="2">
        <v>2</v>
      </c>
      <c r="E2420" s="8" t="s">
        <v>3184</v>
      </c>
      <c r="F2420" s="2" t="s">
        <v>86</v>
      </c>
      <c r="G2420" s="2" t="s">
        <v>3177</v>
      </c>
      <c r="H2420" s="2" t="s">
        <v>3178</v>
      </c>
      <c r="I2420" s="8" t="s">
        <v>3259</v>
      </c>
      <c r="J2420" s="2">
        <v>2027</v>
      </c>
      <c r="K2420" s="2">
        <v>342</v>
      </c>
      <c r="L2420" s="8" t="s">
        <v>3743</v>
      </c>
      <c r="M2420" s="2">
        <v>5.9</v>
      </c>
      <c r="N2420" s="8" t="s">
        <v>5746</v>
      </c>
      <c r="O2420" s="8" t="str">
        <f t="shared" si="229"/>
        <v>PDFを開く</v>
      </c>
      <c r="P2420" s="8" t="s">
        <v>1991</v>
      </c>
    </row>
    <row r="2421" spans="1:16" ht="33.950000000000003" customHeight="1">
      <c r="A2421" s="5" t="s">
        <v>1983</v>
      </c>
      <c r="B2421" s="5" t="s">
        <v>1595</v>
      </c>
      <c r="C2421" s="9" t="s">
        <v>1984</v>
      </c>
      <c r="D2421" s="5">
        <v>2</v>
      </c>
      <c r="E2421" s="9" t="s">
        <v>3184</v>
      </c>
      <c r="F2421" s="5" t="s">
        <v>86</v>
      </c>
      <c r="G2421" s="5" t="s">
        <v>3177</v>
      </c>
      <c r="H2421" s="5" t="s">
        <v>3178</v>
      </c>
      <c r="I2421" s="9" t="s">
        <v>3262</v>
      </c>
      <c r="J2421" s="5">
        <v>2030</v>
      </c>
      <c r="K2421" s="5">
        <v>406</v>
      </c>
      <c r="L2421" s="9" t="s">
        <v>3965</v>
      </c>
      <c r="M2421" s="5">
        <v>5.9</v>
      </c>
      <c r="N2421" s="9" t="s">
        <v>5746</v>
      </c>
      <c r="O2421" s="9" t="str">
        <f t="shared" si="229"/>
        <v>PDFを開く</v>
      </c>
      <c r="P2421" s="9" t="s">
        <v>1991</v>
      </c>
    </row>
    <row r="2422" spans="1:16" ht="33.950000000000003" customHeight="1">
      <c r="A2422" s="2" t="s">
        <v>1992</v>
      </c>
      <c r="B2422" s="2" t="s">
        <v>1595</v>
      </c>
      <c r="C2422" s="8" t="s">
        <v>1993</v>
      </c>
      <c r="D2422" s="2">
        <v>2</v>
      </c>
      <c r="E2422" s="8" t="s">
        <v>3176</v>
      </c>
      <c r="F2422" s="2" t="s">
        <v>86</v>
      </c>
      <c r="G2422" s="2" t="s">
        <v>3177</v>
      </c>
      <c r="H2422" s="2"/>
      <c r="I2422" s="8" t="s">
        <v>3686</v>
      </c>
      <c r="J2422" s="2">
        <v>2027</v>
      </c>
      <c r="K2422" s="2">
        <v>709</v>
      </c>
      <c r="L2422" s="8" t="s">
        <v>3514</v>
      </c>
      <c r="M2422" s="2">
        <v>22.7</v>
      </c>
      <c r="N2422" s="8" t="s">
        <v>5754</v>
      </c>
      <c r="O2422" s="8" t="str">
        <f t="shared" ref="O2422:O2433" si="230">HYPERLINK("https://seichotoushi-hojo.jp/assets/pdf/koufu_3_4ji/outline_37.pdf","PDFを開く")</f>
        <v>PDFを開く</v>
      </c>
      <c r="P2422" s="8" t="s">
        <v>2000</v>
      </c>
    </row>
    <row r="2423" spans="1:16" ht="33.950000000000003" customHeight="1">
      <c r="A2423" s="5" t="s">
        <v>1992</v>
      </c>
      <c r="B2423" s="5" t="s">
        <v>1595</v>
      </c>
      <c r="C2423" s="9" t="s">
        <v>1993</v>
      </c>
      <c r="D2423" s="5">
        <v>2</v>
      </c>
      <c r="E2423" s="9" t="s">
        <v>3176</v>
      </c>
      <c r="F2423" s="5" t="s">
        <v>86</v>
      </c>
      <c r="G2423" s="5" t="s">
        <v>3177</v>
      </c>
      <c r="H2423" s="5"/>
      <c r="I2423" s="9" t="s">
        <v>3688</v>
      </c>
      <c r="J2423" s="5">
        <v>2030</v>
      </c>
      <c r="K2423" s="5">
        <v>1308</v>
      </c>
      <c r="L2423" s="9" t="s">
        <v>5755</v>
      </c>
      <c r="M2423" s="5">
        <v>22.7</v>
      </c>
      <c r="N2423" s="9" t="s">
        <v>5754</v>
      </c>
      <c r="O2423" s="9" t="str">
        <f t="shared" si="230"/>
        <v>PDFを開く</v>
      </c>
      <c r="P2423" s="9" t="s">
        <v>2000</v>
      </c>
    </row>
    <row r="2424" spans="1:16" ht="33.950000000000003" customHeight="1">
      <c r="A2424" s="2" t="s">
        <v>1992</v>
      </c>
      <c r="B2424" s="2" t="s">
        <v>1595</v>
      </c>
      <c r="C2424" s="8" t="s">
        <v>1993</v>
      </c>
      <c r="D2424" s="2">
        <v>2</v>
      </c>
      <c r="E2424" s="8" t="s">
        <v>3184</v>
      </c>
      <c r="F2424" s="2" t="s">
        <v>86</v>
      </c>
      <c r="G2424" s="2" t="s">
        <v>3177</v>
      </c>
      <c r="H2424" s="2"/>
      <c r="I2424" s="8" t="s">
        <v>3686</v>
      </c>
      <c r="J2424" s="2">
        <v>2027</v>
      </c>
      <c r="K2424" s="2">
        <v>510</v>
      </c>
      <c r="L2424" s="8" t="s">
        <v>4659</v>
      </c>
      <c r="M2424" s="2">
        <v>6.7</v>
      </c>
      <c r="N2424" s="8" t="s">
        <v>5756</v>
      </c>
      <c r="O2424" s="8" t="str">
        <f t="shared" si="230"/>
        <v>PDFを開く</v>
      </c>
      <c r="P2424" s="8" t="s">
        <v>2000</v>
      </c>
    </row>
    <row r="2425" spans="1:16" ht="33.950000000000003" customHeight="1">
      <c r="A2425" s="5" t="s">
        <v>1992</v>
      </c>
      <c r="B2425" s="5" t="s">
        <v>1595</v>
      </c>
      <c r="C2425" s="9" t="s">
        <v>1993</v>
      </c>
      <c r="D2425" s="5">
        <v>2</v>
      </c>
      <c r="E2425" s="9" t="s">
        <v>3184</v>
      </c>
      <c r="F2425" s="5" t="s">
        <v>86</v>
      </c>
      <c r="G2425" s="5" t="s">
        <v>3177</v>
      </c>
      <c r="H2425" s="5"/>
      <c r="I2425" s="9" t="s">
        <v>3688</v>
      </c>
      <c r="J2425" s="5">
        <v>2030</v>
      </c>
      <c r="K2425" s="5">
        <v>620</v>
      </c>
      <c r="L2425" s="9" t="s">
        <v>4688</v>
      </c>
      <c r="M2425" s="5">
        <v>6.7</v>
      </c>
      <c r="N2425" s="9" t="s">
        <v>5756</v>
      </c>
      <c r="O2425" s="9" t="str">
        <f t="shared" si="230"/>
        <v>PDFを開く</v>
      </c>
      <c r="P2425" s="9" t="s">
        <v>2000</v>
      </c>
    </row>
    <row r="2426" spans="1:16" ht="33.950000000000003" customHeight="1">
      <c r="A2426" s="2" t="s">
        <v>1992</v>
      </c>
      <c r="B2426" s="2" t="s">
        <v>1595</v>
      </c>
      <c r="C2426" s="8" t="s">
        <v>1993</v>
      </c>
      <c r="D2426" s="2">
        <v>2</v>
      </c>
      <c r="E2426" s="8" t="s">
        <v>3191</v>
      </c>
      <c r="F2426" s="2" t="s">
        <v>2513</v>
      </c>
      <c r="G2426" s="2" t="s">
        <v>3177</v>
      </c>
      <c r="H2426" s="2"/>
      <c r="I2426" s="8" t="s">
        <v>3686</v>
      </c>
      <c r="J2426" s="2">
        <v>2027</v>
      </c>
      <c r="K2426" s="2">
        <v>126</v>
      </c>
      <c r="L2426" s="8" t="s">
        <v>4885</v>
      </c>
      <c r="M2426" s="2"/>
      <c r="N2426" s="8" t="s">
        <v>5757</v>
      </c>
      <c r="O2426" s="8" t="str">
        <f t="shared" si="230"/>
        <v>PDFを開く</v>
      </c>
      <c r="P2426" s="8" t="s">
        <v>2000</v>
      </c>
    </row>
    <row r="2427" spans="1:16" ht="33.950000000000003" customHeight="1">
      <c r="A2427" s="5" t="s">
        <v>1992</v>
      </c>
      <c r="B2427" s="5" t="s">
        <v>1595</v>
      </c>
      <c r="C2427" s="9" t="s">
        <v>1993</v>
      </c>
      <c r="D2427" s="5">
        <v>2</v>
      </c>
      <c r="E2427" s="9" t="s">
        <v>3191</v>
      </c>
      <c r="F2427" s="5" t="s">
        <v>2513</v>
      </c>
      <c r="G2427" s="5" t="s">
        <v>3177</v>
      </c>
      <c r="H2427" s="5"/>
      <c r="I2427" s="9" t="s">
        <v>3688</v>
      </c>
      <c r="J2427" s="5">
        <v>2030</v>
      </c>
      <c r="K2427" s="5">
        <v>162</v>
      </c>
      <c r="L2427" s="9" t="s">
        <v>5758</v>
      </c>
      <c r="M2427" s="5"/>
      <c r="N2427" s="9" t="s">
        <v>5757</v>
      </c>
      <c r="O2427" s="9" t="str">
        <f t="shared" si="230"/>
        <v>PDFを開く</v>
      </c>
      <c r="P2427" s="9" t="s">
        <v>2000</v>
      </c>
    </row>
    <row r="2428" spans="1:16" ht="33.950000000000003" customHeight="1">
      <c r="A2428" s="2" t="s">
        <v>1992</v>
      </c>
      <c r="B2428" s="2" t="s">
        <v>1595</v>
      </c>
      <c r="C2428" s="8" t="s">
        <v>1993</v>
      </c>
      <c r="D2428" s="2">
        <v>2</v>
      </c>
      <c r="E2428" s="8" t="s">
        <v>3176</v>
      </c>
      <c r="F2428" s="2" t="s">
        <v>86</v>
      </c>
      <c r="G2428" s="19" t="s">
        <v>3494</v>
      </c>
      <c r="H2428" s="2"/>
      <c r="I2428" s="8" t="s">
        <v>3686</v>
      </c>
      <c r="J2428" s="2">
        <v>2027</v>
      </c>
      <c r="K2428" s="2">
        <v>689</v>
      </c>
      <c r="L2428" s="8" t="s">
        <v>5759</v>
      </c>
      <c r="M2428" s="2">
        <v>19.2</v>
      </c>
      <c r="N2428" s="8" t="s">
        <v>5760</v>
      </c>
      <c r="O2428" s="8" t="str">
        <f t="shared" si="230"/>
        <v>PDFを開く</v>
      </c>
      <c r="P2428" s="8" t="s">
        <v>2000</v>
      </c>
    </row>
    <row r="2429" spans="1:16" ht="33.950000000000003" customHeight="1">
      <c r="A2429" s="5" t="s">
        <v>1992</v>
      </c>
      <c r="B2429" s="5" t="s">
        <v>1595</v>
      </c>
      <c r="C2429" s="9" t="s">
        <v>1993</v>
      </c>
      <c r="D2429" s="5">
        <v>2</v>
      </c>
      <c r="E2429" s="9" t="s">
        <v>3176</v>
      </c>
      <c r="F2429" s="5" t="s">
        <v>86</v>
      </c>
      <c r="G2429" s="19" t="s">
        <v>3494</v>
      </c>
      <c r="H2429" s="5"/>
      <c r="I2429" s="9" t="s">
        <v>3688</v>
      </c>
      <c r="J2429" s="5">
        <v>2030</v>
      </c>
      <c r="K2429" s="5">
        <v>1167</v>
      </c>
      <c r="L2429" s="9" t="s">
        <v>5761</v>
      </c>
      <c r="M2429" s="5">
        <v>19.2</v>
      </c>
      <c r="N2429" s="9" t="s">
        <v>5760</v>
      </c>
      <c r="O2429" s="9" t="str">
        <f t="shared" si="230"/>
        <v>PDFを開く</v>
      </c>
      <c r="P2429" s="9" t="s">
        <v>2000</v>
      </c>
    </row>
    <row r="2430" spans="1:16" ht="33.950000000000003" customHeight="1">
      <c r="A2430" s="2" t="s">
        <v>1992</v>
      </c>
      <c r="B2430" s="2" t="s">
        <v>1595</v>
      </c>
      <c r="C2430" s="8" t="s">
        <v>1993</v>
      </c>
      <c r="D2430" s="2">
        <v>2</v>
      </c>
      <c r="E2430" s="8" t="s">
        <v>3184</v>
      </c>
      <c r="F2430" s="2" t="s">
        <v>86</v>
      </c>
      <c r="G2430" s="19" t="s">
        <v>3494</v>
      </c>
      <c r="H2430" s="2"/>
      <c r="I2430" s="8" t="s">
        <v>3686</v>
      </c>
      <c r="J2430" s="2">
        <v>2027</v>
      </c>
      <c r="K2430" s="2">
        <v>355</v>
      </c>
      <c r="L2430" s="8" t="s">
        <v>5762</v>
      </c>
      <c r="M2430" s="2">
        <v>6</v>
      </c>
      <c r="N2430" s="8" t="s">
        <v>5763</v>
      </c>
      <c r="O2430" s="8" t="str">
        <f t="shared" si="230"/>
        <v>PDFを開く</v>
      </c>
      <c r="P2430" s="8" t="s">
        <v>2000</v>
      </c>
    </row>
    <row r="2431" spans="1:16" ht="33.950000000000003" customHeight="1">
      <c r="A2431" s="5" t="s">
        <v>1992</v>
      </c>
      <c r="B2431" s="5" t="s">
        <v>1595</v>
      </c>
      <c r="C2431" s="9" t="s">
        <v>1993</v>
      </c>
      <c r="D2431" s="5">
        <v>2</v>
      </c>
      <c r="E2431" s="9" t="s">
        <v>3184</v>
      </c>
      <c r="F2431" s="5" t="s">
        <v>86</v>
      </c>
      <c r="G2431" s="19" t="s">
        <v>3494</v>
      </c>
      <c r="H2431" s="5"/>
      <c r="I2431" s="9" t="s">
        <v>3688</v>
      </c>
      <c r="J2431" s="5">
        <v>2030</v>
      </c>
      <c r="K2431" s="5">
        <v>423</v>
      </c>
      <c r="L2431" s="9" t="s">
        <v>5764</v>
      </c>
      <c r="M2431" s="5">
        <v>6</v>
      </c>
      <c r="N2431" s="9" t="s">
        <v>5763</v>
      </c>
      <c r="O2431" s="9" t="str">
        <f t="shared" si="230"/>
        <v>PDFを開く</v>
      </c>
      <c r="P2431" s="9" t="s">
        <v>2000</v>
      </c>
    </row>
    <row r="2432" spans="1:16" ht="33.950000000000003" customHeight="1">
      <c r="A2432" s="2" t="s">
        <v>1992</v>
      </c>
      <c r="B2432" s="2" t="s">
        <v>1595</v>
      </c>
      <c r="C2432" s="8" t="s">
        <v>1993</v>
      </c>
      <c r="D2432" s="2">
        <v>2</v>
      </c>
      <c r="E2432" s="8" t="s">
        <v>3191</v>
      </c>
      <c r="F2432" s="2" t="s">
        <v>2513</v>
      </c>
      <c r="G2432" s="19" t="s">
        <v>3494</v>
      </c>
      <c r="H2432" s="2"/>
      <c r="I2432" s="8" t="s">
        <v>3686</v>
      </c>
      <c r="J2432" s="2">
        <v>2027</v>
      </c>
      <c r="K2432" s="2">
        <v>60</v>
      </c>
      <c r="L2432" s="8" t="s">
        <v>3406</v>
      </c>
      <c r="M2432" s="2"/>
      <c r="N2432" s="8" t="s">
        <v>5765</v>
      </c>
      <c r="O2432" s="8" t="str">
        <f t="shared" si="230"/>
        <v>PDFを開く</v>
      </c>
      <c r="P2432" s="8" t="s">
        <v>2000</v>
      </c>
    </row>
    <row r="2433" spans="1:16" ht="33.950000000000003" customHeight="1">
      <c r="A2433" s="5" t="s">
        <v>1992</v>
      </c>
      <c r="B2433" s="5" t="s">
        <v>1595</v>
      </c>
      <c r="C2433" s="9" t="s">
        <v>1993</v>
      </c>
      <c r="D2433" s="5">
        <v>2</v>
      </c>
      <c r="E2433" s="9" t="s">
        <v>3191</v>
      </c>
      <c r="F2433" s="5" t="s">
        <v>2513</v>
      </c>
      <c r="G2433" s="19" t="s">
        <v>3494</v>
      </c>
      <c r="H2433" s="5"/>
      <c r="I2433" s="9" t="s">
        <v>3688</v>
      </c>
      <c r="J2433" s="5">
        <v>2030</v>
      </c>
      <c r="K2433" s="5">
        <v>80</v>
      </c>
      <c r="L2433" s="9" t="s">
        <v>3252</v>
      </c>
      <c r="M2433" s="5"/>
      <c r="N2433" s="9" t="s">
        <v>5765</v>
      </c>
      <c r="O2433" s="9" t="str">
        <f t="shared" si="230"/>
        <v>PDFを開く</v>
      </c>
      <c r="P2433" s="9" t="s">
        <v>2000</v>
      </c>
    </row>
    <row r="2434" spans="1:16" ht="33.950000000000003" customHeight="1">
      <c r="A2434" s="2" t="s">
        <v>2001</v>
      </c>
      <c r="B2434" s="2" t="s">
        <v>1595</v>
      </c>
      <c r="C2434" s="8" t="s">
        <v>2002</v>
      </c>
      <c r="D2434" s="2">
        <v>2</v>
      </c>
      <c r="E2434" s="8" t="s">
        <v>3176</v>
      </c>
      <c r="F2434" s="2" t="s">
        <v>86</v>
      </c>
      <c r="G2434" s="2" t="s">
        <v>3177</v>
      </c>
      <c r="H2434" s="2" t="s">
        <v>3178</v>
      </c>
      <c r="I2434" s="8" t="s">
        <v>5367</v>
      </c>
      <c r="J2434" s="2">
        <v>2028</v>
      </c>
      <c r="K2434" s="2">
        <v>884</v>
      </c>
      <c r="L2434" s="8" t="s">
        <v>5766</v>
      </c>
      <c r="M2434" s="2">
        <v>22</v>
      </c>
      <c r="N2434" s="8" t="s">
        <v>5767</v>
      </c>
      <c r="O2434" s="8" t="str">
        <f t="shared" ref="O2434:O2441" si="231">HYPERLINK("https://seichotoushi-hojo.jp/assets/pdf/koufu_3_4ji/outline_39.pdf","PDFを開く")</f>
        <v>PDFを開く</v>
      </c>
      <c r="P2434" s="8" t="s">
        <v>2009</v>
      </c>
    </row>
    <row r="2435" spans="1:16" ht="33.950000000000003" customHeight="1">
      <c r="A2435" s="5" t="s">
        <v>2001</v>
      </c>
      <c r="B2435" s="5" t="s">
        <v>1595</v>
      </c>
      <c r="C2435" s="9" t="s">
        <v>2002</v>
      </c>
      <c r="D2435" s="5">
        <v>2</v>
      </c>
      <c r="E2435" s="9" t="s">
        <v>3176</v>
      </c>
      <c r="F2435" s="5" t="s">
        <v>86</v>
      </c>
      <c r="G2435" s="5" t="s">
        <v>3177</v>
      </c>
      <c r="H2435" s="5" t="s">
        <v>3178</v>
      </c>
      <c r="I2435" s="9" t="s">
        <v>5370</v>
      </c>
      <c r="J2435" s="5">
        <v>2031</v>
      </c>
      <c r="K2435" s="5">
        <v>1605</v>
      </c>
      <c r="L2435" s="9" t="s">
        <v>5768</v>
      </c>
      <c r="M2435" s="5">
        <v>22</v>
      </c>
      <c r="N2435" s="9" t="s">
        <v>5767</v>
      </c>
      <c r="O2435" s="9" t="str">
        <f t="shared" si="231"/>
        <v>PDFを開く</v>
      </c>
      <c r="P2435" s="9" t="s">
        <v>2009</v>
      </c>
    </row>
    <row r="2436" spans="1:16" ht="33.950000000000003" customHeight="1">
      <c r="A2436" s="2" t="s">
        <v>2001</v>
      </c>
      <c r="B2436" s="2" t="s">
        <v>1595</v>
      </c>
      <c r="C2436" s="8" t="s">
        <v>2002</v>
      </c>
      <c r="D2436" s="2">
        <v>2</v>
      </c>
      <c r="E2436" s="8" t="s">
        <v>3184</v>
      </c>
      <c r="F2436" s="2" t="s">
        <v>86</v>
      </c>
      <c r="G2436" s="2" t="s">
        <v>3177</v>
      </c>
      <c r="H2436" s="2" t="s">
        <v>3178</v>
      </c>
      <c r="I2436" s="8" t="s">
        <v>5367</v>
      </c>
      <c r="J2436" s="2">
        <v>2028</v>
      </c>
      <c r="K2436" s="2">
        <v>569</v>
      </c>
      <c r="L2436" s="8" t="s">
        <v>3667</v>
      </c>
      <c r="M2436" s="2">
        <v>6.9</v>
      </c>
      <c r="N2436" s="8" t="s">
        <v>5769</v>
      </c>
      <c r="O2436" s="8" t="str">
        <f t="shared" si="231"/>
        <v>PDFを開く</v>
      </c>
      <c r="P2436" s="8" t="s">
        <v>2009</v>
      </c>
    </row>
    <row r="2437" spans="1:16" ht="33.950000000000003" customHeight="1">
      <c r="A2437" s="5" t="s">
        <v>2001</v>
      </c>
      <c r="B2437" s="5" t="s">
        <v>1595</v>
      </c>
      <c r="C2437" s="9" t="s">
        <v>2002</v>
      </c>
      <c r="D2437" s="5">
        <v>2</v>
      </c>
      <c r="E2437" s="9" t="s">
        <v>3184</v>
      </c>
      <c r="F2437" s="5" t="s">
        <v>86</v>
      </c>
      <c r="G2437" s="5" t="s">
        <v>3177</v>
      </c>
      <c r="H2437" s="5" t="s">
        <v>3178</v>
      </c>
      <c r="I2437" s="9" t="s">
        <v>5370</v>
      </c>
      <c r="J2437" s="5">
        <v>2031</v>
      </c>
      <c r="K2437" s="5">
        <v>696</v>
      </c>
      <c r="L2437" s="9" t="s">
        <v>5770</v>
      </c>
      <c r="M2437" s="5">
        <v>6.9</v>
      </c>
      <c r="N2437" s="9" t="s">
        <v>5769</v>
      </c>
      <c r="O2437" s="9" t="str">
        <f t="shared" si="231"/>
        <v>PDFを開く</v>
      </c>
      <c r="P2437" s="9" t="s">
        <v>2009</v>
      </c>
    </row>
    <row r="2438" spans="1:16" ht="33.950000000000003" customHeight="1">
      <c r="A2438" s="2" t="s">
        <v>2001</v>
      </c>
      <c r="B2438" s="2" t="s">
        <v>1595</v>
      </c>
      <c r="C2438" s="8" t="s">
        <v>2002</v>
      </c>
      <c r="D2438" s="2">
        <v>2</v>
      </c>
      <c r="E2438" s="8" t="s">
        <v>3188</v>
      </c>
      <c r="F2438" s="2" t="s">
        <v>86</v>
      </c>
      <c r="G2438" s="2" t="s">
        <v>3177</v>
      </c>
      <c r="H2438" s="2" t="s">
        <v>3178</v>
      </c>
      <c r="I2438" s="8" t="s">
        <v>5367</v>
      </c>
      <c r="J2438" s="2">
        <v>2028</v>
      </c>
      <c r="K2438" s="2">
        <v>2789</v>
      </c>
      <c r="L2438" s="8" t="s">
        <v>5771</v>
      </c>
      <c r="M2438" s="2">
        <v>5.5</v>
      </c>
      <c r="N2438" s="8" t="s">
        <v>5772</v>
      </c>
      <c r="O2438" s="8" t="str">
        <f t="shared" si="231"/>
        <v>PDFを開く</v>
      </c>
      <c r="P2438" s="8" t="s">
        <v>2009</v>
      </c>
    </row>
    <row r="2439" spans="1:16" ht="33.950000000000003" customHeight="1">
      <c r="A2439" s="5" t="s">
        <v>2001</v>
      </c>
      <c r="B2439" s="5" t="s">
        <v>1595</v>
      </c>
      <c r="C2439" s="9" t="s">
        <v>2002</v>
      </c>
      <c r="D2439" s="5">
        <v>2</v>
      </c>
      <c r="E2439" s="9" t="s">
        <v>3188</v>
      </c>
      <c r="F2439" s="5" t="s">
        <v>86</v>
      </c>
      <c r="G2439" s="5" t="s">
        <v>3177</v>
      </c>
      <c r="H2439" s="5" t="s">
        <v>3178</v>
      </c>
      <c r="I2439" s="9" t="s">
        <v>5370</v>
      </c>
      <c r="J2439" s="5">
        <v>2031</v>
      </c>
      <c r="K2439" s="5">
        <v>3276</v>
      </c>
      <c r="L2439" s="9" t="s">
        <v>5773</v>
      </c>
      <c r="M2439" s="5">
        <v>5.5</v>
      </c>
      <c r="N2439" s="9" t="s">
        <v>5772</v>
      </c>
      <c r="O2439" s="9" t="str">
        <f t="shared" si="231"/>
        <v>PDFを開く</v>
      </c>
      <c r="P2439" s="9" t="s">
        <v>2009</v>
      </c>
    </row>
    <row r="2440" spans="1:16" ht="33.950000000000003" customHeight="1">
      <c r="A2440" s="2" t="s">
        <v>2001</v>
      </c>
      <c r="B2440" s="2" t="s">
        <v>1595</v>
      </c>
      <c r="C2440" s="8" t="s">
        <v>2002</v>
      </c>
      <c r="D2440" s="2">
        <v>2</v>
      </c>
      <c r="E2440" s="8" t="s">
        <v>3191</v>
      </c>
      <c r="F2440" s="2" t="s">
        <v>2513</v>
      </c>
      <c r="G2440" s="2" t="s">
        <v>3177</v>
      </c>
      <c r="H2440" s="2" t="s">
        <v>3178</v>
      </c>
      <c r="I2440" s="8" t="s">
        <v>5367</v>
      </c>
      <c r="J2440" s="2">
        <v>2028</v>
      </c>
      <c r="K2440" s="2">
        <v>390</v>
      </c>
      <c r="L2440" s="8" t="s">
        <v>4032</v>
      </c>
      <c r="M2440" s="2"/>
      <c r="N2440" s="8" t="s">
        <v>5774</v>
      </c>
      <c r="O2440" s="8" t="str">
        <f t="shared" si="231"/>
        <v>PDFを開く</v>
      </c>
      <c r="P2440" s="8" t="s">
        <v>2009</v>
      </c>
    </row>
    <row r="2441" spans="1:16" ht="33.950000000000003" customHeight="1">
      <c r="A2441" s="5" t="s">
        <v>2001</v>
      </c>
      <c r="B2441" s="5" t="s">
        <v>1595</v>
      </c>
      <c r="C2441" s="9" t="s">
        <v>2002</v>
      </c>
      <c r="D2441" s="5">
        <v>2</v>
      </c>
      <c r="E2441" s="9" t="s">
        <v>3191</v>
      </c>
      <c r="F2441" s="5" t="s">
        <v>2513</v>
      </c>
      <c r="G2441" s="5" t="s">
        <v>3177</v>
      </c>
      <c r="H2441" s="5" t="s">
        <v>3178</v>
      </c>
      <c r="I2441" s="9" t="s">
        <v>5370</v>
      </c>
      <c r="J2441" s="5">
        <v>2031</v>
      </c>
      <c r="K2441" s="5">
        <v>424</v>
      </c>
      <c r="L2441" s="9" t="s">
        <v>3918</v>
      </c>
      <c r="M2441" s="5"/>
      <c r="N2441" s="9" t="s">
        <v>5774</v>
      </c>
      <c r="O2441" s="9" t="str">
        <f t="shared" si="231"/>
        <v>PDFを開く</v>
      </c>
      <c r="P2441" s="9" t="s">
        <v>2009</v>
      </c>
    </row>
    <row r="2442" spans="1:16" ht="33.950000000000003" customHeight="1">
      <c r="A2442" s="2" t="s">
        <v>2010</v>
      </c>
      <c r="B2442" s="2" t="s">
        <v>1595</v>
      </c>
      <c r="C2442" s="8" t="s">
        <v>2011</v>
      </c>
      <c r="D2442" s="2">
        <v>2</v>
      </c>
      <c r="E2442" s="8" t="s">
        <v>3176</v>
      </c>
      <c r="F2442" s="2" t="s">
        <v>86</v>
      </c>
      <c r="G2442" s="2" t="s">
        <v>3177</v>
      </c>
      <c r="H2442" s="2" t="s">
        <v>3178</v>
      </c>
      <c r="I2442" s="8" t="s">
        <v>3179</v>
      </c>
      <c r="J2442" s="2">
        <v>2026</v>
      </c>
      <c r="K2442" s="2">
        <v>-191</v>
      </c>
      <c r="L2442" s="8" t="s">
        <v>5775</v>
      </c>
      <c r="M2442" s="2"/>
      <c r="N2442" s="8" t="s">
        <v>5776</v>
      </c>
      <c r="O2442" s="8" t="str">
        <f t="shared" ref="O2442:O2450" si="232">HYPERLINK("https://seichotoushi-hojo.jp/assets/pdf/koufu_3_4ji/outline_40.pdf","PDFを開く")</f>
        <v>PDFを開く</v>
      </c>
      <c r="P2442" s="8" t="s">
        <v>2017</v>
      </c>
    </row>
    <row r="2443" spans="1:16" ht="33.950000000000003" customHeight="1">
      <c r="A2443" s="5" t="s">
        <v>2010</v>
      </c>
      <c r="B2443" s="5" t="s">
        <v>1595</v>
      </c>
      <c r="C2443" s="9" t="s">
        <v>2011</v>
      </c>
      <c r="D2443" s="5">
        <v>2</v>
      </c>
      <c r="E2443" s="9" t="s">
        <v>3176</v>
      </c>
      <c r="F2443" s="5" t="s">
        <v>86</v>
      </c>
      <c r="G2443" s="5" t="s">
        <v>3177</v>
      </c>
      <c r="H2443" s="5" t="s">
        <v>3178</v>
      </c>
      <c r="I2443" s="9" t="s">
        <v>3182</v>
      </c>
      <c r="J2443" s="5">
        <v>2029</v>
      </c>
      <c r="K2443" s="5">
        <v>1529</v>
      </c>
      <c r="L2443" s="9" t="s">
        <v>5777</v>
      </c>
      <c r="M2443" s="5"/>
      <c r="N2443" s="9" t="s">
        <v>5776</v>
      </c>
      <c r="O2443" s="9" t="str">
        <f t="shared" si="232"/>
        <v>PDFを開く</v>
      </c>
      <c r="P2443" s="9" t="s">
        <v>2017</v>
      </c>
    </row>
    <row r="2444" spans="1:16" ht="33.950000000000003" customHeight="1">
      <c r="A2444" s="2" t="s">
        <v>2010</v>
      </c>
      <c r="B2444" s="2" t="s">
        <v>1595</v>
      </c>
      <c r="C2444" s="8" t="s">
        <v>2011</v>
      </c>
      <c r="D2444" s="2">
        <v>2</v>
      </c>
      <c r="E2444" s="8" t="s">
        <v>3184</v>
      </c>
      <c r="F2444" s="2" t="s">
        <v>86</v>
      </c>
      <c r="G2444" s="2" t="s">
        <v>3177</v>
      </c>
      <c r="H2444" s="2" t="s">
        <v>3178</v>
      </c>
      <c r="I2444" s="8" t="s">
        <v>3179</v>
      </c>
      <c r="J2444" s="2">
        <v>2026</v>
      </c>
      <c r="K2444" s="2">
        <v>265</v>
      </c>
      <c r="L2444" s="8" t="s">
        <v>5778</v>
      </c>
      <c r="M2444" s="2">
        <v>6.9</v>
      </c>
      <c r="N2444" s="8" t="s">
        <v>5779</v>
      </c>
      <c r="O2444" s="8" t="str">
        <f t="shared" si="232"/>
        <v>PDFを開く</v>
      </c>
      <c r="P2444" s="8" t="s">
        <v>2017</v>
      </c>
    </row>
    <row r="2445" spans="1:16" ht="33.950000000000003" customHeight="1">
      <c r="A2445" s="5" t="s">
        <v>2010</v>
      </c>
      <c r="B2445" s="5" t="s">
        <v>1595</v>
      </c>
      <c r="C2445" s="9" t="s">
        <v>2011</v>
      </c>
      <c r="D2445" s="5">
        <v>2</v>
      </c>
      <c r="E2445" s="9" t="s">
        <v>3184</v>
      </c>
      <c r="F2445" s="5" t="s">
        <v>86</v>
      </c>
      <c r="G2445" s="5" t="s">
        <v>3177</v>
      </c>
      <c r="H2445" s="5" t="s">
        <v>3178</v>
      </c>
      <c r="I2445" s="9" t="s">
        <v>3182</v>
      </c>
      <c r="J2445" s="5">
        <v>2029</v>
      </c>
      <c r="K2445" s="5">
        <v>324</v>
      </c>
      <c r="L2445" s="9" t="s">
        <v>3530</v>
      </c>
      <c r="M2445" s="5">
        <v>6.9</v>
      </c>
      <c r="N2445" s="9" t="s">
        <v>5779</v>
      </c>
      <c r="O2445" s="9" t="str">
        <f t="shared" si="232"/>
        <v>PDFを開く</v>
      </c>
      <c r="P2445" s="9" t="s">
        <v>2017</v>
      </c>
    </row>
    <row r="2446" spans="1:16" ht="33.950000000000003" customHeight="1">
      <c r="A2446" s="2" t="s">
        <v>2010</v>
      </c>
      <c r="B2446" s="2" t="s">
        <v>1595</v>
      </c>
      <c r="C2446" s="8" t="s">
        <v>2011</v>
      </c>
      <c r="D2446" s="2">
        <v>2</v>
      </c>
      <c r="E2446" s="8" t="s">
        <v>3188</v>
      </c>
      <c r="F2446" s="2" t="s">
        <v>86</v>
      </c>
      <c r="G2446" s="19" t="s">
        <v>3189</v>
      </c>
      <c r="H2446" s="2" t="s">
        <v>3178</v>
      </c>
      <c r="I2446" s="8"/>
      <c r="J2446" s="2"/>
      <c r="K2446" s="2"/>
      <c r="L2446" s="8"/>
      <c r="M2446" s="2">
        <v>10.6</v>
      </c>
      <c r="N2446" s="8" t="s">
        <v>5780</v>
      </c>
      <c r="O2446" s="8" t="str">
        <f t="shared" si="232"/>
        <v>PDFを開く</v>
      </c>
      <c r="P2446" s="8" t="s">
        <v>2017</v>
      </c>
    </row>
    <row r="2447" spans="1:16" ht="33.950000000000003" customHeight="1">
      <c r="A2447" s="5" t="s">
        <v>2010</v>
      </c>
      <c r="B2447" s="5" t="s">
        <v>1595</v>
      </c>
      <c r="C2447" s="9" t="s">
        <v>2011</v>
      </c>
      <c r="D2447" s="5">
        <v>2</v>
      </c>
      <c r="E2447" s="9" t="s">
        <v>3191</v>
      </c>
      <c r="F2447" s="5" t="s">
        <v>2513</v>
      </c>
      <c r="G2447" s="5" t="s">
        <v>3177</v>
      </c>
      <c r="H2447" s="5" t="s">
        <v>3178</v>
      </c>
      <c r="I2447" s="9" t="s">
        <v>3179</v>
      </c>
      <c r="J2447" s="5">
        <v>2026</v>
      </c>
      <c r="K2447" s="5">
        <v>35</v>
      </c>
      <c r="L2447" s="9" t="s">
        <v>3269</v>
      </c>
      <c r="M2447" s="5"/>
      <c r="N2447" s="9" t="s">
        <v>5781</v>
      </c>
      <c r="O2447" s="9" t="str">
        <f t="shared" si="232"/>
        <v>PDFを開く</v>
      </c>
      <c r="P2447" s="9" t="s">
        <v>2017</v>
      </c>
    </row>
    <row r="2448" spans="1:16" ht="33.950000000000003" customHeight="1">
      <c r="A2448" s="2" t="s">
        <v>2010</v>
      </c>
      <c r="B2448" s="2" t="s">
        <v>1595</v>
      </c>
      <c r="C2448" s="8" t="s">
        <v>2011</v>
      </c>
      <c r="D2448" s="2">
        <v>2</v>
      </c>
      <c r="E2448" s="8" t="s">
        <v>3191</v>
      </c>
      <c r="F2448" s="2" t="s">
        <v>2513</v>
      </c>
      <c r="G2448" s="2" t="s">
        <v>3177</v>
      </c>
      <c r="H2448" s="2" t="s">
        <v>3178</v>
      </c>
      <c r="I2448" s="8" t="s">
        <v>3182</v>
      </c>
      <c r="J2448" s="2">
        <v>2029</v>
      </c>
      <c r="K2448" s="2">
        <v>59</v>
      </c>
      <c r="L2448" s="8" t="s">
        <v>4020</v>
      </c>
      <c r="M2448" s="2"/>
      <c r="N2448" s="8" t="s">
        <v>5781</v>
      </c>
      <c r="O2448" s="8" t="str">
        <f t="shared" si="232"/>
        <v>PDFを開く</v>
      </c>
      <c r="P2448" s="8" t="s">
        <v>2017</v>
      </c>
    </row>
    <row r="2449" spans="1:16" ht="33.950000000000003" customHeight="1">
      <c r="A2449" s="5" t="s">
        <v>2010</v>
      </c>
      <c r="B2449" s="5" t="s">
        <v>1595</v>
      </c>
      <c r="C2449" s="9" t="s">
        <v>2011</v>
      </c>
      <c r="D2449" s="5">
        <v>2</v>
      </c>
      <c r="E2449" s="9" t="s">
        <v>3188</v>
      </c>
      <c r="F2449" s="5" t="s">
        <v>86</v>
      </c>
      <c r="G2449" s="5" t="s">
        <v>3177</v>
      </c>
      <c r="H2449" s="5"/>
      <c r="I2449" s="9" t="s">
        <v>5782</v>
      </c>
      <c r="J2449" s="5">
        <v>2026</v>
      </c>
      <c r="K2449" s="5"/>
      <c r="L2449" s="9" t="s">
        <v>3211</v>
      </c>
      <c r="M2449" s="5">
        <v>10.6</v>
      </c>
      <c r="N2449" s="9" t="s">
        <v>5783</v>
      </c>
      <c r="O2449" s="9" t="str">
        <f t="shared" si="232"/>
        <v>PDFを開く</v>
      </c>
      <c r="P2449" s="9" t="s">
        <v>2017</v>
      </c>
    </row>
    <row r="2450" spans="1:16" ht="33.950000000000003" customHeight="1">
      <c r="A2450" s="2" t="s">
        <v>2010</v>
      </c>
      <c r="B2450" s="2" t="s">
        <v>1595</v>
      </c>
      <c r="C2450" s="8" t="s">
        <v>2011</v>
      </c>
      <c r="D2450" s="2">
        <v>2</v>
      </c>
      <c r="E2450" s="8" t="s">
        <v>3188</v>
      </c>
      <c r="F2450" s="2" t="s">
        <v>86</v>
      </c>
      <c r="G2450" s="2" t="s">
        <v>3177</v>
      </c>
      <c r="H2450" s="2"/>
      <c r="I2450" s="8" t="s">
        <v>5784</v>
      </c>
      <c r="J2450" s="2">
        <v>2029</v>
      </c>
      <c r="K2450" s="2"/>
      <c r="L2450" s="8" t="s">
        <v>5785</v>
      </c>
      <c r="M2450" s="2">
        <v>10.6</v>
      </c>
      <c r="N2450" s="8" t="s">
        <v>5783</v>
      </c>
      <c r="O2450" s="8" t="str">
        <f t="shared" si="232"/>
        <v>PDFを開く</v>
      </c>
      <c r="P2450" s="8" t="s">
        <v>2017</v>
      </c>
    </row>
    <row r="2451" spans="1:16" ht="33.950000000000003" customHeight="1">
      <c r="A2451" s="5" t="s">
        <v>2018</v>
      </c>
      <c r="B2451" s="5" t="s">
        <v>1595</v>
      </c>
      <c r="C2451" s="9" t="s">
        <v>2019</v>
      </c>
      <c r="D2451" s="5">
        <v>2</v>
      </c>
      <c r="E2451" s="9" t="s">
        <v>3176</v>
      </c>
      <c r="F2451" s="5" t="s">
        <v>86</v>
      </c>
      <c r="G2451" s="5" t="s">
        <v>3177</v>
      </c>
      <c r="H2451" s="5" t="s">
        <v>3178</v>
      </c>
      <c r="I2451" s="9" t="s">
        <v>3259</v>
      </c>
      <c r="J2451" s="5">
        <v>2027</v>
      </c>
      <c r="K2451" s="5">
        <v>1371</v>
      </c>
      <c r="L2451" s="9" t="s">
        <v>5786</v>
      </c>
      <c r="M2451" s="5">
        <v>36.299999999999997</v>
      </c>
      <c r="N2451" s="9" t="s">
        <v>5787</v>
      </c>
      <c r="O2451" s="9" t="str">
        <f t="shared" ref="O2451:O2478" si="233">HYPERLINK("https://seichotoushi-hojo.jp/assets/pdf/koufu_3_4ji/outline_41.pdf","PDFを開く")</f>
        <v>PDFを開く</v>
      </c>
      <c r="P2451" s="9" t="s">
        <v>2025</v>
      </c>
    </row>
    <row r="2452" spans="1:16" ht="33.950000000000003" customHeight="1">
      <c r="A2452" s="2" t="s">
        <v>2018</v>
      </c>
      <c r="B2452" s="2" t="s">
        <v>1595</v>
      </c>
      <c r="C2452" s="8" t="s">
        <v>2019</v>
      </c>
      <c r="D2452" s="2">
        <v>2</v>
      </c>
      <c r="E2452" s="8" t="s">
        <v>3176</v>
      </c>
      <c r="F2452" s="2" t="s">
        <v>86</v>
      </c>
      <c r="G2452" s="2" t="s">
        <v>3177</v>
      </c>
      <c r="H2452" s="2" t="s">
        <v>3178</v>
      </c>
      <c r="I2452" s="8" t="s">
        <v>3262</v>
      </c>
      <c r="J2452" s="2">
        <v>2030</v>
      </c>
      <c r="K2452" s="2">
        <v>3475</v>
      </c>
      <c r="L2452" s="8" t="s">
        <v>5788</v>
      </c>
      <c r="M2452" s="2">
        <v>36.299999999999997</v>
      </c>
      <c r="N2452" s="8" t="s">
        <v>5787</v>
      </c>
      <c r="O2452" s="8" t="str">
        <f t="shared" si="233"/>
        <v>PDFを開く</v>
      </c>
      <c r="P2452" s="8" t="s">
        <v>2025</v>
      </c>
    </row>
    <row r="2453" spans="1:16" ht="33.950000000000003" customHeight="1">
      <c r="A2453" s="5" t="s">
        <v>2018</v>
      </c>
      <c r="B2453" s="5" t="s">
        <v>1595</v>
      </c>
      <c r="C2453" s="9" t="s">
        <v>2019</v>
      </c>
      <c r="D2453" s="5">
        <v>2</v>
      </c>
      <c r="E2453" s="9" t="s">
        <v>3184</v>
      </c>
      <c r="F2453" s="5" t="s">
        <v>86</v>
      </c>
      <c r="G2453" s="19" t="s">
        <v>3494</v>
      </c>
      <c r="H2453" s="5" t="s">
        <v>3178</v>
      </c>
      <c r="I2453" s="9" t="s">
        <v>3259</v>
      </c>
      <c r="J2453" s="5">
        <v>2027</v>
      </c>
      <c r="K2453" s="5">
        <v>708</v>
      </c>
      <c r="L2453" s="9" t="s">
        <v>4798</v>
      </c>
      <c r="M2453" s="5">
        <v>7.2</v>
      </c>
      <c r="N2453" s="9" t="s">
        <v>5789</v>
      </c>
      <c r="O2453" s="9" t="str">
        <f t="shared" si="233"/>
        <v>PDFを開く</v>
      </c>
      <c r="P2453" s="9" t="s">
        <v>2025</v>
      </c>
    </row>
    <row r="2454" spans="1:16" ht="33.950000000000003" customHeight="1">
      <c r="A2454" s="2" t="s">
        <v>2018</v>
      </c>
      <c r="B2454" s="2" t="s">
        <v>1595</v>
      </c>
      <c r="C2454" s="8" t="s">
        <v>2019</v>
      </c>
      <c r="D2454" s="2">
        <v>2</v>
      </c>
      <c r="E2454" s="8" t="s">
        <v>3184</v>
      </c>
      <c r="F2454" s="2" t="s">
        <v>86</v>
      </c>
      <c r="G2454" s="19" t="s">
        <v>3494</v>
      </c>
      <c r="H2454" s="2" t="s">
        <v>3178</v>
      </c>
      <c r="I2454" s="8"/>
      <c r="J2454" s="2"/>
      <c r="K2454" s="2">
        <v>708</v>
      </c>
      <c r="L2454" s="8" t="s">
        <v>4798</v>
      </c>
      <c r="M2454" s="2">
        <v>7.2</v>
      </c>
      <c r="N2454" s="8" t="s">
        <v>5789</v>
      </c>
      <c r="O2454" s="8" t="str">
        <f t="shared" si="233"/>
        <v>PDFを開く</v>
      </c>
      <c r="P2454" s="8" t="s">
        <v>2025</v>
      </c>
    </row>
    <row r="2455" spans="1:16" ht="33.950000000000003" customHeight="1">
      <c r="A2455" s="5" t="s">
        <v>2018</v>
      </c>
      <c r="B2455" s="5" t="s">
        <v>1595</v>
      </c>
      <c r="C2455" s="9" t="s">
        <v>2019</v>
      </c>
      <c r="D2455" s="5">
        <v>2</v>
      </c>
      <c r="E2455" s="9" t="s">
        <v>3184</v>
      </c>
      <c r="F2455" s="5" t="s">
        <v>86</v>
      </c>
      <c r="G2455" s="19" t="s">
        <v>3494</v>
      </c>
      <c r="H2455" s="5" t="s">
        <v>3178</v>
      </c>
      <c r="I2455" s="9"/>
      <c r="J2455" s="5"/>
      <c r="K2455" s="5">
        <v>631</v>
      </c>
      <c r="L2455" s="9" t="s">
        <v>3235</v>
      </c>
      <c r="M2455" s="5">
        <v>7.2</v>
      </c>
      <c r="N2455" s="9" t="s">
        <v>5789</v>
      </c>
      <c r="O2455" s="9" t="str">
        <f t="shared" si="233"/>
        <v>PDFを開く</v>
      </c>
      <c r="P2455" s="9" t="s">
        <v>2025</v>
      </c>
    </row>
    <row r="2456" spans="1:16" ht="33.950000000000003" customHeight="1">
      <c r="A2456" s="2" t="s">
        <v>2018</v>
      </c>
      <c r="B2456" s="2" t="s">
        <v>1595</v>
      </c>
      <c r="C2456" s="8" t="s">
        <v>2019</v>
      </c>
      <c r="D2456" s="2">
        <v>2</v>
      </c>
      <c r="E2456" s="8" t="s">
        <v>3184</v>
      </c>
      <c r="F2456" s="2" t="s">
        <v>86</v>
      </c>
      <c r="G2456" s="19" t="s">
        <v>3494</v>
      </c>
      <c r="H2456" s="2" t="s">
        <v>3178</v>
      </c>
      <c r="I2456" s="8"/>
      <c r="J2456" s="2"/>
      <c r="K2456" s="2">
        <v>816</v>
      </c>
      <c r="L2456" s="8" t="s">
        <v>5790</v>
      </c>
      <c r="M2456" s="2">
        <v>7.2</v>
      </c>
      <c r="N2456" s="8" t="s">
        <v>5789</v>
      </c>
      <c r="O2456" s="8" t="str">
        <f t="shared" si="233"/>
        <v>PDFを開く</v>
      </c>
      <c r="P2456" s="8" t="s">
        <v>2025</v>
      </c>
    </row>
    <row r="2457" spans="1:16" ht="33.950000000000003" customHeight="1">
      <c r="A2457" s="5" t="s">
        <v>2018</v>
      </c>
      <c r="B2457" s="5" t="s">
        <v>1595</v>
      </c>
      <c r="C2457" s="9" t="s">
        <v>2019</v>
      </c>
      <c r="D2457" s="5">
        <v>2</v>
      </c>
      <c r="E2457" s="9" t="s">
        <v>3184</v>
      </c>
      <c r="F2457" s="5" t="s">
        <v>86</v>
      </c>
      <c r="G2457" s="19" t="s">
        <v>3494</v>
      </c>
      <c r="H2457" s="5" t="s">
        <v>3178</v>
      </c>
      <c r="I2457" s="9" t="s">
        <v>3262</v>
      </c>
      <c r="J2457" s="5">
        <v>2030</v>
      </c>
      <c r="K2457" s="5">
        <v>872</v>
      </c>
      <c r="L2457" s="9" t="s">
        <v>5791</v>
      </c>
      <c r="M2457" s="5">
        <v>7.2</v>
      </c>
      <c r="N2457" s="9" t="s">
        <v>5789</v>
      </c>
      <c r="O2457" s="9" t="str">
        <f t="shared" si="233"/>
        <v>PDFを開く</v>
      </c>
      <c r="P2457" s="9" t="s">
        <v>2025</v>
      </c>
    </row>
    <row r="2458" spans="1:16" ht="33.950000000000003" customHeight="1">
      <c r="A2458" s="2" t="s">
        <v>2018</v>
      </c>
      <c r="B2458" s="2" t="s">
        <v>1595</v>
      </c>
      <c r="C2458" s="8" t="s">
        <v>2019</v>
      </c>
      <c r="D2458" s="2">
        <v>2</v>
      </c>
      <c r="E2458" s="8" t="s">
        <v>3184</v>
      </c>
      <c r="F2458" s="2" t="s">
        <v>86</v>
      </c>
      <c r="G2458" s="19" t="s">
        <v>3494</v>
      </c>
      <c r="H2458" s="2" t="s">
        <v>3178</v>
      </c>
      <c r="I2458" s="8"/>
      <c r="J2458" s="2"/>
      <c r="K2458" s="2">
        <v>872</v>
      </c>
      <c r="L2458" s="8" t="s">
        <v>5791</v>
      </c>
      <c r="M2458" s="2">
        <v>7.2</v>
      </c>
      <c r="N2458" s="8" t="s">
        <v>5789</v>
      </c>
      <c r="O2458" s="8" t="str">
        <f t="shared" si="233"/>
        <v>PDFを開く</v>
      </c>
      <c r="P2458" s="8" t="s">
        <v>2025</v>
      </c>
    </row>
    <row r="2459" spans="1:16" ht="33.950000000000003" customHeight="1">
      <c r="A2459" s="5" t="s">
        <v>2018</v>
      </c>
      <c r="B2459" s="5" t="s">
        <v>1595</v>
      </c>
      <c r="C2459" s="9" t="s">
        <v>2019</v>
      </c>
      <c r="D2459" s="5">
        <v>2</v>
      </c>
      <c r="E2459" s="9" t="s">
        <v>3184</v>
      </c>
      <c r="F2459" s="5" t="s">
        <v>86</v>
      </c>
      <c r="G2459" s="19" t="s">
        <v>3494</v>
      </c>
      <c r="H2459" s="5" t="s">
        <v>3178</v>
      </c>
      <c r="I2459" s="9"/>
      <c r="J2459" s="5"/>
      <c r="K2459" s="5">
        <v>777</v>
      </c>
      <c r="L2459" s="9" t="s">
        <v>5618</v>
      </c>
      <c r="M2459" s="5">
        <v>7.2</v>
      </c>
      <c r="N2459" s="9" t="s">
        <v>5789</v>
      </c>
      <c r="O2459" s="9" t="str">
        <f t="shared" si="233"/>
        <v>PDFを開く</v>
      </c>
      <c r="P2459" s="9" t="s">
        <v>2025</v>
      </c>
    </row>
    <row r="2460" spans="1:16" ht="33.950000000000003" customHeight="1">
      <c r="A2460" s="2" t="s">
        <v>2018</v>
      </c>
      <c r="B2460" s="2" t="s">
        <v>1595</v>
      </c>
      <c r="C2460" s="8" t="s">
        <v>2019</v>
      </c>
      <c r="D2460" s="2">
        <v>2</v>
      </c>
      <c r="E2460" s="8" t="s">
        <v>3184</v>
      </c>
      <c r="F2460" s="2" t="s">
        <v>86</v>
      </c>
      <c r="G2460" s="19" t="s">
        <v>3494</v>
      </c>
      <c r="H2460" s="2" t="s">
        <v>3178</v>
      </c>
      <c r="I2460" s="8"/>
      <c r="J2460" s="2"/>
      <c r="K2460" s="2">
        <v>1006</v>
      </c>
      <c r="L2460" s="8" t="s">
        <v>5792</v>
      </c>
      <c r="M2460" s="2">
        <v>7.2</v>
      </c>
      <c r="N2460" s="8" t="s">
        <v>5789</v>
      </c>
      <c r="O2460" s="8" t="str">
        <f t="shared" si="233"/>
        <v>PDFを開く</v>
      </c>
      <c r="P2460" s="8" t="s">
        <v>2025</v>
      </c>
    </row>
    <row r="2461" spans="1:16" ht="33.950000000000003" customHeight="1">
      <c r="A2461" s="5" t="s">
        <v>2018</v>
      </c>
      <c r="B2461" s="5" t="s">
        <v>1595</v>
      </c>
      <c r="C2461" s="9" t="s">
        <v>2019</v>
      </c>
      <c r="D2461" s="5">
        <v>2</v>
      </c>
      <c r="E2461" s="9" t="s">
        <v>3188</v>
      </c>
      <c r="F2461" s="5" t="s">
        <v>86</v>
      </c>
      <c r="G2461" s="19" t="s">
        <v>3494</v>
      </c>
      <c r="H2461" s="5" t="s">
        <v>3178</v>
      </c>
      <c r="I2461" s="9"/>
      <c r="J2461" s="5"/>
      <c r="K2461" s="5">
        <v>7.2</v>
      </c>
      <c r="L2461" s="9" t="s">
        <v>5793</v>
      </c>
      <c r="M2461" s="5"/>
      <c r="N2461" s="9" t="s">
        <v>5794</v>
      </c>
      <c r="O2461" s="9" t="str">
        <f t="shared" si="233"/>
        <v>PDFを開く</v>
      </c>
      <c r="P2461" s="9" t="s">
        <v>2025</v>
      </c>
    </row>
    <row r="2462" spans="1:16" ht="33.950000000000003" customHeight="1">
      <c r="A2462" s="2" t="s">
        <v>2018</v>
      </c>
      <c r="B2462" s="2" t="s">
        <v>1595</v>
      </c>
      <c r="C2462" s="8" t="s">
        <v>2019</v>
      </c>
      <c r="D2462" s="2">
        <v>2</v>
      </c>
      <c r="E2462" s="8" t="s">
        <v>3188</v>
      </c>
      <c r="F2462" s="2" t="s">
        <v>86</v>
      </c>
      <c r="G2462" s="19" t="s">
        <v>3494</v>
      </c>
      <c r="H2462" s="2" t="s">
        <v>3178</v>
      </c>
      <c r="I2462" s="8"/>
      <c r="J2462" s="2"/>
      <c r="K2462" s="2">
        <v>7.2</v>
      </c>
      <c r="L2462" s="8" t="s">
        <v>5793</v>
      </c>
      <c r="M2462" s="2"/>
      <c r="N2462" s="8" t="s">
        <v>5794</v>
      </c>
      <c r="O2462" s="8" t="str">
        <f t="shared" si="233"/>
        <v>PDFを開く</v>
      </c>
      <c r="P2462" s="8" t="s">
        <v>2025</v>
      </c>
    </row>
    <row r="2463" spans="1:16" ht="33.950000000000003" customHeight="1">
      <c r="A2463" s="5" t="s">
        <v>2018</v>
      </c>
      <c r="B2463" s="5" t="s">
        <v>1595</v>
      </c>
      <c r="C2463" s="9" t="s">
        <v>2019</v>
      </c>
      <c r="D2463" s="5">
        <v>2</v>
      </c>
      <c r="E2463" s="9" t="s">
        <v>3188</v>
      </c>
      <c r="F2463" s="5" t="s">
        <v>86</v>
      </c>
      <c r="G2463" s="19" t="s">
        <v>3494</v>
      </c>
      <c r="H2463" s="5" t="s">
        <v>3178</v>
      </c>
      <c r="I2463" s="9"/>
      <c r="J2463" s="5"/>
      <c r="K2463" s="5">
        <v>7.2</v>
      </c>
      <c r="L2463" s="9" t="s">
        <v>5793</v>
      </c>
      <c r="M2463" s="5"/>
      <c r="N2463" s="9" t="s">
        <v>5794</v>
      </c>
      <c r="O2463" s="9" t="str">
        <f t="shared" si="233"/>
        <v>PDFを開く</v>
      </c>
      <c r="P2463" s="9" t="s">
        <v>2025</v>
      </c>
    </row>
    <row r="2464" spans="1:16" ht="33.950000000000003" customHeight="1">
      <c r="A2464" s="2" t="s">
        <v>2018</v>
      </c>
      <c r="B2464" s="2" t="s">
        <v>1595</v>
      </c>
      <c r="C2464" s="8" t="s">
        <v>2019</v>
      </c>
      <c r="D2464" s="2">
        <v>2</v>
      </c>
      <c r="E2464" s="8" t="s">
        <v>3191</v>
      </c>
      <c r="F2464" s="2" t="s">
        <v>2513</v>
      </c>
      <c r="G2464" s="19" t="s">
        <v>3494</v>
      </c>
      <c r="H2464" s="2" t="s">
        <v>3178</v>
      </c>
      <c r="I2464" s="8" t="s">
        <v>3259</v>
      </c>
      <c r="J2464" s="2">
        <v>2027</v>
      </c>
      <c r="K2464" s="2">
        <v>20</v>
      </c>
      <c r="L2464" s="8" t="s">
        <v>3900</v>
      </c>
      <c r="M2464" s="2"/>
      <c r="N2464" s="8" t="s">
        <v>5795</v>
      </c>
      <c r="O2464" s="8" t="str">
        <f t="shared" si="233"/>
        <v>PDFを開く</v>
      </c>
      <c r="P2464" s="8" t="s">
        <v>2025</v>
      </c>
    </row>
    <row r="2465" spans="1:16" ht="33.950000000000003" customHeight="1">
      <c r="A2465" s="5" t="s">
        <v>2018</v>
      </c>
      <c r="B2465" s="5" t="s">
        <v>1595</v>
      </c>
      <c r="C2465" s="9" t="s">
        <v>2019</v>
      </c>
      <c r="D2465" s="5">
        <v>2</v>
      </c>
      <c r="E2465" s="9" t="s">
        <v>3191</v>
      </c>
      <c r="F2465" s="5" t="s">
        <v>2513</v>
      </c>
      <c r="G2465" s="19" t="s">
        <v>3494</v>
      </c>
      <c r="H2465" s="5" t="s">
        <v>3178</v>
      </c>
      <c r="I2465" s="9"/>
      <c r="J2465" s="5"/>
      <c r="K2465" s="5">
        <v>158</v>
      </c>
      <c r="L2465" s="9" t="s">
        <v>4049</v>
      </c>
      <c r="M2465" s="5"/>
      <c r="N2465" s="9" t="s">
        <v>5795</v>
      </c>
      <c r="O2465" s="9" t="str">
        <f t="shared" si="233"/>
        <v>PDFを開く</v>
      </c>
      <c r="P2465" s="9" t="s">
        <v>2025</v>
      </c>
    </row>
    <row r="2466" spans="1:16" ht="33.950000000000003" customHeight="1">
      <c r="A2466" s="2" t="s">
        <v>2018</v>
      </c>
      <c r="B2466" s="2" t="s">
        <v>1595</v>
      </c>
      <c r="C2466" s="8" t="s">
        <v>2019</v>
      </c>
      <c r="D2466" s="2">
        <v>2</v>
      </c>
      <c r="E2466" s="8" t="s">
        <v>3191</v>
      </c>
      <c r="F2466" s="2" t="s">
        <v>2513</v>
      </c>
      <c r="G2466" s="19" t="s">
        <v>3494</v>
      </c>
      <c r="H2466" s="2" t="s">
        <v>3178</v>
      </c>
      <c r="I2466" s="8"/>
      <c r="J2466" s="2"/>
      <c r="K2466" s="2">
        <v>104</v>
      </c>
      <c r="L2466" s="8" t="s">
        <v>3444</v>
      </c>
      <c r="M2466" s="2"/>
      <c r="N2466" s="8" t="s">
        <v>5795</v>
      </c>
      <c r="O2466" s="8" t="str">
        <f t="shared" si="233"/>
        <v>PDFを開く</v>
      </c>
      <c r="P2466" s="8" t="s">
        <v>2025</v>
      </c>
    </row>
    <row r="2467" spans="1:16" ht="33.950000000000003" customHeight="1">
      <c r="A2467" s="5" t="s">
        <v>2018</v>
      </c>
      <c r="B2467" s="5" t="s">
        <v>1595</v>
      </c>
      <c r="C2467" s="9" t="s">
        <v>2019</v>
      </c>
      <c r="D2467" s="5">
        <v>2</v>
      </c>
      <c r="E2467" s="9" t="s">
        <v>3191</v>
      </c>
      <c r="F2467" s="5" t="s">
        <v>2513</v>
      </c>
      <c r="G2467" s="19" t="s">
        <v>3494</v>
      </c>
      <c r="H2467" s="5" t="s">
        <v>3178</v>
      </c>
      <c r="I2467" s="9"/>
      <c r="J2467" s="5"/>
      <c r="K2467" s="5">
        <v>5</v>
      </c>
      <c r="L2467" s="9" t="s">
        <v>5087</v>
      </c>
      <c r="M2467" s="5"/>
      <c r="N2467" s="9" t="s">
        <v>5795</v>
      </c>
      <c r="O2467" s="9" t="str">
        <f t="shared" si="233"/>
        <v>PDFを開く</v>
      </c>
      <c r="P2467" s="9" t="s">
        <v>2025</v>
      </c>
    </row>
    <row r="2468" spans="1:16" ht="33.950000000000003" customHeight="1">
      <c r="A2468" s="2" t="s">
        <v>2018</v>
      </c>
      <c r="B2468" s="2" t="s">
        <v>1595</v>
      </c>
      <c r="C2468" s="8" t="s">
        <v>2019</v>
      </c>
      <c r="D2468" s="2">
        <v>2</v>
      </c>
      <c r="E2468" s="8" t="s">
        <v>3191</v>
      </c>
      <c r="F2468" s="2" t="s">
        <v>2513</v>
      </c>
      <c r="G2468" s="19" t="s">
        <v>3494</v>
      </c>
      <c r="H2468" s="2" t="s">
        <v>3178</v>
      </c>
      <c r="I2468" s="8" t="s">
        <v>3262</v>
      </c>
      <c r="J2468" s="2">
        <v>2030</v>
      </c>
      <c r="K2468" s="2">
        <v>42</v>
      </c>
      <c r="L2468" s="8" t="s">
        <v>5528</v>
      </c>
      <c r="M2468" s="2"/>
      <c r="N2468" s="8" t="s">
        <v>5795</v>
      </c>
      <c r="O2468" s="8" t="str">
        <f t="shared" si="233"/>
        <v>PDFを開く</v>
      </c>
      <c r="P2468" s="8" t="s">
        <v>2025</v>
      </c>
    </row>
    <row r="2469" spans="1:16" ht="33.950000000000003" customHeight="1">
      <c r="A2469" s="5" t="s">
        <v>2018</v>
      </c>
      <c r="B2469" s="5" t="s">
        <v>1595</v>
      </c>
      <c r="C2469" s="9" t="s">
        <v>2019</v>
      </c>
      <c r="D2469" s="5">
        <v>2</v>
      </c>
      <c r="E2469" s="9" t="s">
        <v>3191</v>
      </c>
      <c r="F2469" s="5" t="s">
        <v>2513</v>
      </c>
      <c r="G2469" s="19" t="s">
        <v>3494</v>
      </c>
      <c r="H2469" s="5" t="s">
        <v>3178</v>
      </c>
      <c r="I2469" s="9"/>
      <c r="J2469" s="5"/>
      <c r="K2469" s="5">
        <v>167</v>
      </c>
      <c r="L2469" s="9" t="s">
        <v>5276</v>
      </c>
      <c r="M2469" s="5"/>
      <c r="N2469" s="9" t="s">
        <v>5795</v>
      </c>
      <c r="O2469" s="9" t="str">
        <f t="shared" si="233"/>
        <v>PDFを開く</v>
      </c>
      <c r="P2469" s="9" t="s">
        <v>2025</v>
      </c>
    </row>
    <row r="2470" spans="1:16" ht="33.950000000000003" customHeight="1">
      <c r="A2470" s="2" t="s">
        <v>2018</v>
      </c>
      <c r="B2470" s="2" t="s">
        <v>1595</v>
      </c>
      <c r="C2470" s="8" t="s">
        <v>2019</v>
      </c>
      <c r="D2470" s="2">
        <v>2</v>
      </c>
      <c r="E2470" s="8" t="s">
        <v>3191</v>
      </c>
      <c r="F2470" s="2" t="s">
        <v>2513</v>
      </c>
      <c r="G2470" s="19" t="s">
        <v>3494</v>
      </c>
      <c r="H2470" s="2" t="s">
        <v>3178</v>
      </c>
      <c r="I2470" s="8"/>
      <c r="J2470" s="2"/>
      <c r="K2470" s="2">
        <v>90</v>
      </c>
      <c r="L2470" s="8" t="s">
        <v>5139</v>
      </c>
      <c r="M2470" s="2"/>
      <c r="N2470" s="8" t="s">
        <v>5795</v>
      </c>
      <c r="O2470" s="8" t="str">
        <f t="shared" si="233"/>
        <v>PDFを開く</v>
      </c>
      <c r="P2470" s="8" t="s">
        <v>2025</v>
      </c>
    </row>
    <row r="2471" spans="1:16" ht="33.950000000000003" customHeight="1">
      <c r="A2471" s="5" t="s">
        <v>2018</v>
      </c>
      <c r="B2471" s="5" t="s">
        <v>1595</v>
      </c>
      <c r="C2471" s="9" t="s">
        <v>2019</v>
      </c>
      <c r="D2471" s="5">
        <v>2</v>
      </c>
      <c r="E2471" s="9" t="s">
        <v>3191</v>
      </c>
      <c r="F2471" s="5" t="s">
        <v>2513</v>
      </c>
      <c r="G2471" s="19" t="s">
        <v>3494</v>
      </c>
      <c r="H2471" s="5" t="s">
        <v>3178</v>
      </c>
      <c r="I2471" s="9"/>
      <c r="J2471" s="5"/>
      <c r="K2471" s="5">
        <v>5</v>
      </c>
      <c r="L2471" s="9" t="s">
        <v>5087</v>
      </c>
      <c r="M2471" s="5"/>
      <c r="N2471" s="9" t="s">
        <v>5795</v>
      </c>
      <c r="O2471" s="9" t="str">
        <f t="shared" si="233"/>
        <v>PDFを開く</v>
      </c>
      <c r="P2471" s="9" t="s">
        <v>2025</v>
      </c>
    </row>
    <row r="2472" spans="1:16" ht="33.950000000000003" customHeight="1">
      <c r="A2472" s="2" t="s">
        <v>2018</v>
      </c>
      <c r="B2472" s="2" t="s">
        <v>1595</v>
      </c>
      <c r="C2472" s="8" t="s">
        <v>2019</v>
      </c>
      <c r="D2472" s="2">
        <v>3</v>
      </c>
      <c r="E2472" s="8" t="s">
        <v>3176</v>
      </c>
      <c r="F2472" s="2"/>
      <c r="G2472" s="19" t="s">
        <v>3189</v>
      </c>
      <c r="H2472" s="2"/>
      <c r="I2472" s="8"/>
      <c r="J2472" s="2"/>
      <c r="K2472" s="2"/>
      <c r="L2472" s="8"/>
      <c r="M2472" s="2"/>
      <c r="N2472" s="8" t="s">
        <v>5796</v>
      </c>
      <c r="O2472" s="8" t="str">
        <f t="shared" si="233"/>
        <v>PDFを開く</v>
      </c>
      <c r="P2472" s="8" t="s">
        <v>2025</v>
      </c>
    </row>
    <row r="2473" spans="1:16" ht="33.950000000000003" customHeight="1">
      <c r="A2473" s="5" t="s">
        <v>2018</v>
      </c>
      <c r="B2473" s="5" t="s">
        <v>1595</v>
      </c>
      <c r="C2473" s="9" t="s">
        <v>2019</v>
      </c>
      <c r="D2473" s="5">
        <v>2</v>
      </c>
      <c r="E2473" s="9" t="s">
        <v>3188</v>
      </c>
      <c r="F2473" s="5" t="s">
        <v>86</v>
      </c>
      <c r="G2473" s="5" t="s">
        <v>3177</v>
      </c>
      <c r="H2473" s="5"/>
      <c r="I2473" s="9" t="s">
        <v>5797</v>
      </c>
      <c r="J2473" s="5">
        <v>2027</v>
      </c>
      <c r="K2473" s="5"/>
      <c r="L2473" s="9" t="s">
        <v>3211</v>
      </c>
      <c r="M2473" s="5">
        <v>7.2</v>
      </c>
      <c r="N2473" s="9" t="s">
        <v>5798</v>
      </c>
      <c r="O2473" s="9" t="str">
        <f t="shared" si="233"/>
        <v>PDFを開く</v>
      </c>
      <c r="P2473" s="9" t="s">
        <v>2025</v>
      </c>
    </row>
    <row r="2474" spans="1:16" ht="33.950000000000003" customHeight="1">
      <c r="A2474" s="2" t="s">
        <v>2018</v>
      </c>
      <c r="B2474" s="2" t="s">
        <v>1595</v>
      </c>
      <c r="C2474" s="8" t="s">
        <v>2019</v>
      </c>
      <c r="D2474" s="2">
        <v>2</v>
      </c>
      <c r="E2474" s="8" t="s">
        <v>3188</v>
      </c>
      <c r="F2474" s="2" t="s">
        <v>86</v>
      </c>
      <c r="G2474" s="2" t="s">
        <v>3177</v>
      </c>
      <c r="H2474" s="2"/>
      <c r="I2474" s="8" t="s">
        <v>5799</v>
      </c>
      <c r="J2474" s="2"/>
      <c r="K2474" s="2"/>
      <c r="L2474" s="8" t="s">
        <v>3211</v>
      </c>
      <c r="M2474" s="2">
        <v>7.2</v>
      </c>
      <c r="N2474" s="8" t="s">
        <v>5798</v>
      </c>
      <c r="O2474" s="8" t="str">
        <f t="shared" si="233"/>
        <v>PDFを開く</v>
      </c>
      <c r="P2474" s="8" t="s">
        <v>2025</v>
      </c>
    </row>
    <row r="2475" spans="1:16" ht="33.950000000000003" customHeight="1">
      <c r="A2475" s="5" t="s">
        <v>2018</v>
      </c>
      <c r="B2475" s="5" t="s">
        <v>1595</v>
      </c>
      <c r="C2475" s="9" t="s">
        <v>2019</v>
      </c>
      <c r="D2475" s="5">
        <v>2</v>
      </c>
      <c r="E2475" s="9" t="s">
        <v>3191</v>
      </c>
      <c r="F2475" s="5" t="s">
        <v>2513</v>
      </c>
      <c r="G2475" s="5" t="s">
        <v>3177</v>
      </c>
      <c r="H2475" s="5" t="s">
        <v>3178</v>
      </c>
      <c r="I2475" s="9" t="s">
        <v>3259</v>
      </c>
      <c r="J2475" s="5">
        <v>2027</v>
      </c>
      <c r="K2475" s="5">
        <v>20</v>
      </c>
      <c r="L2475" s="9" t="s">
        <v>3900</v>
      </c>
      <c r="M2475" s="5"/>
      <c r="N2475" s="9" t="s">
        <v>5795</v>
      </c>
      <c r="O2475" s="9" t="str">
        <f t="shared" si="233"/>
        <v>PDFを開く</v>
      </c>
      <c r="P2475" s="9" t="s">
        <v>2025</v>
      </c>
    </row>
    <row r="2476" spans="1:16" ht="33.950000000000003" customHeight="1">
      <c r="A2476" s="2" t="s">
        <v>2018</v>
      </c>
      <c r="B2476" s="2" t="s">
        <v>1595</v>
      </c>
      <c r="C2476" s="8" t="s">
        <v>2019</v>
      </c>
      <c r="D2476" s="2">
        <v>2</v>
      </c>
      <c r="E2476" s="8" t="s">
        <v>3191</v>
      </c>
      <c r="F2476" s="2" t="s">
        <v>2513</v>
      </c>
      <c r="G2476" s="2" t="s">
        <v>3177</v>
      </c>
      <c r="H2476" s="2" t="s">
        <v>3178</v>
      </c>
      <c r="I2476" s="8" t="s">
        <v>3262</v>
      </c>
      <c r="J2476" s="2">
        <v>2030</v>
      </c>
      <c r="K2476" s="2">
        <v>42</v>
      </c>
      <c r="L2476" s="8" t="s">
        <v>5528</v>
      </c>
      <c r="M2476" s="2"/>
      <c r="N2476" s="8" t="s">
        <v>5795</v>
      </c>
      <c r="O2476" s="8" t="str">
        <f t="shared" si="233"/>
        <v>PDFを開く</v>
      </c>
      <c r="P2476" s="8" t="s">
        <v>2025</v>
      </c>
    </row>
    <row r="2477" spans="1:16" ht="33.950000000000003" customHeight="1">
      <c r="A2477" s="5" t="s">
        <v>2018</v>
      </c>
      <c r="B2477" s="5" t="s">
        <v>1595</v>
      </c>
      <c r="C2477" s="9" t="s">
        <v>2019</v>
      </c>
      <c r="D2477" s="5">
        <v>2</v>
      </c>
      <c r="E2477" s="9" t="s">
        <v>3184</v>
      </c>
      <c r="F2477" s="5" t="s">
        <v>86</v>
      </c>
      <c r="G2477" s="5" t="s">
        <v>3177</v>
      </c>
      <c r="H2477" s="5" t="s">
        <v>3178</v>
      </c>
      <c r="I2477" s="9" t="s">
        <v>3259</v>
      </c>
      <c r="J2477" s="5">
        <v>2027</v>
      </c>
      <c r="K2477" s="5">
        <v>708</v>
      </c>
      <c r="L2477" s="9" t="s">
        <v>4798</v>
      </c>
      <c r="M2477" s="5">
        <v>7.2</v>
      </c>
      <c r="N2477" s="9" t="s">
        <v>5789</v>
      </c>
      <c r="O2477" s="9" t="str">
        <f t="shared" si="233"/>
        <v>PDFを開く</v>
      </c>
      <c r="P2477" s="9" t="s">
        <v>2025</v>
      </c>
    </row>
    <row r="2478" spans="1:16" ht="33.950000000000003" customHeight="1">
      <c r="A2478" s="2" t="s">
        <v>2018</v>
      </c>
      <c r="B2478" s="2" t="s">
        <v>1595</v>
      </c>
      <c r="C2478" s="8" t="s">
        <v>2019</v>
      </c>
      <c r="D2478" s="2">
        <v>2</v>
      </c>
      <c r="E2478" s="8" t="s">
        <v>3184</v>
      </c>
      <c r="F2478" s="2" t="s">
        <v>86</v>
      </c>
      <c r="G2478" s="2" t="s">
        <v>3177</v>
      </c>
      <c r="H2478" s="2" t="s">
        <v>3178</v>
      </c>
      <c r="I2478" s="8" t="s">
        <v>3262</v>
      </c>
      <c r="J2478" s="2">
        <v>2030</v>
      </c>
      <c r="K2478" s="2">
        <v>872</v>
      </c>
      <c r="L2478" s="8" t="s">
        <v>5791</v>
      </c>
      <c r="M2478" s="2">
        <v>7.2</v>
      </c>
      <c r="N2478" s="8" t="s">
        <v>5789</v>
      </c>
      <c r="O2478" s="8" t="str">
        <f t="shared" si="233"/>
        <v>PDFを開く</v>
      </c>
      <c r="P2478" s="8" t="s">
        <v>2025</v>
      </c>
    </row>
    <row r="2479" spans="1:16" ht="33.950000000000003" customHeight="1">
      <c r="A2479" s="5" t="s">
        <v>2026</v>
      </c>
      <c r="B2479" s="5" t="s">
        <v>1595</v>
      </c>
      <c r="C2479" s="9" t="s">
        <v>2027</v>
      </c>
      <c r="D2479" s="5">
        <v>2</v>
      </c>
      <c r="E2479" s="9" t="s">
        <v>3176</v>
      </c>
      <c r="F2479" s="5" t="s">
        <v>86</v>
      </c>
      <c r="G2479" s="5" t="s">
        <v>3177</v>
      </c>
      <c r="H2479" s="5" t="s">
        <v>3178</v>
      </c>
      <c r="I2479" s="9" t="s">
        <v>3259</v>
      </c>
      <c r="J2479" s="5">
        <v>2027</v>
      </c>
      <c r="K2479" s="5">
        <v>789</v>
      </c>
      <c r="L2479" s="9" t="s">
        <v>5800</v>
      </c>
      <c r="M2479" s="5">
        <v>24.2</v>
      </c>
      <c r="N2479" s="9" t="s">
        <v>5801</v>
      </c>
      <c r="O2479" s="9" t="str">
        <f t="shared" ref="O2479:O2487" si="234">HYPERLINK("https://seichotoushi-hojo.jp/assets/pdf/koufu_3_4ji/outline_42.pdf","PDFを開く")</f>
        <v>PDFを開く</v>
      </c>
      <c r="P2479" s="9" t="s">
        <v>2033</v>
      </c>
    </row>
    <row r="2480" spans="1:16" ht="33.950000000000003" customHeight="1">
      <c r="A2480" s="2" t="s">
        <v>2026</v>
      </c>
      <c r="B2480" s="2" t="s">
        <v>1595</v>
      </c>
      <c r="C2480" s="8" t="s">
        <v>2027</v>
      </c>
      <c r="D2480" s="2">
        <v>2</v>
      </c>
      <c r="E2480" s="8" t="s">
        <v>3176</v>
      </c>
      <c r="F2480" s="2" t="s">
        <v>86</v>
      </c>
      <c r="G2480" s="2" t="s">
        <v>3177</v>
      </c>
      <c r="H2480" s="2" t="s">
        <v>3178</v>
      </c>
      <c r="I2480" s="8" t="s">
        <v>3262</v>
      </c>
      <c r="J2480" s="2">
        <v>2030</v>
      </c>
      <c r="K2480" s="2">
        <v>1512</v>
      </c>
      <c r="L2480" s="8" t="s">
        <v>5802</v>
      </c>
      <c r="M2480" s="2">
        <v>24.2</v>
      </c>
      <c r="N2480" s="8" t="s">
        <v>5801</v>
      </c>
      <c r="O2480" s="8" t="str">
        <f t="shared" si="234"/>
        <v>PDFを開く</v>
      </c>
      <c r="P2480" s="8" t="s">
        <v>2033</v>
      </c>
    </row>
    <row r="2481" spans="1:16" ht="33.950000000000003" customHeight="1">
      <c r="A2481" s="5" t="s">
        <v>2026</v>
      </c>
      <c r="B2481" s="5" t="s">
        <v>1595</v>
      </c>
      <c r="C2481" s="9" t="s">
        <v>2027</v>
      </c>
      <c r="D2481" s="5">
        <v>2</v>
      </c>
      <c r="E2481" s="9" t="s">
        <v>3184</v>
      </c>
      <c r="F2481" s="5" t="s">
        <v>86</v>
      </c>
      <c r="G2481" s="5" t="s">
        <v>3177</v>
      </c>
      <c r="H2481" s="5" t="s">
        <v>3178</v>
      </c>
      <c r="I2481" s="9" t="s">
        <v>3259</v>
      </c>
      <c r="J2481" s="5">
        <v>2027</v>
      </c>
      <c r="K2481" s="5">
        <v>548</v>
      </c>
      <c r="L2481" s="9" t="s">
        <v>5110</v>
      </c>
      <c r="M2481" s="5">
        <v>6.3</v>
      </c>
      <c r="N2481" s="9" t="s">
        <v>5803</v>
      </c>
      <c r="O2481" s="9" t="str">
        <f t="shared" si="234"/>
        <v>PDFを開く</v>
      </c>
      <c r="P2481" s="9" t="s">
        <v>2033</v>
      </c>
    </row>
    <row r="2482" spans="1:16" ht="33.950000000000003" customHeight="1">
      <c r="A2482" s="2" t="s">
        <v>2026</v>
      </c>
      <c r="B2482" s="2" t="s">
        <v>1595</v>
      </c>
      <c r="C2482" s="8" t="s">
        <v>2027</v>
      </c>
      <c r="D2482" s="2">
        <v>2</v>
      </c>
      <c r="E2482" s="8" t="s">
        <v>3184</v>
      </c>
      <c r="F2482" s="2" t="s">
        <v>86</v>
      </c>
      <c r="G2482" s="2" t="s">
        <v>3177</v>
      </c>
      <c r="H2482" s="2" t="s">
        <v>3178</v>
      </c>
      <c r="I2482" s="8" t="s">
        <v>3262</v>
      </c>
      <c r="J2482" s="2">
        <v>2030</v>
      </c>
      <c r="K2482" s="2">
        <v>659</v>
      </c>
      <c r="L2482" s="8" t="s">
        <v>3367</v>
      </c>
      <c r="M2482" s="2">
        <v>6.3</v>
      </c>
      <c r="N2482" s="8" t="s">
        <v>5803</v>
      </c>
      <c r="O2482" s="8" t="str">
        <f t="shared" si="234"/>
        <v>PDFを開く</v>
      </c>
      <c r="P2482" s="8" t="s">
        <v>2033</v>
      </c>
    </row>
    <row r="2483" spans="1:16" ht="33.950000000000003" customHeight="1">
      <c r="A2483" s="5" t="s">
        <v>2026</v>
      </c>
      <c r="B2483" s="5" t="s">
        <v>1595</v>
      </c>
      <c r="C2483" s="9" t="s">
        <v>2027</v>
      </c>
      <c r="D2483" s="5">
        <v>2</v>
      </c>
      <c r="E2483" s="9" t="s">
        <v>3188</v>
      </c>
      <c r="F2483" s="5" t="s">
        <v>86</v>
      </c>
      <c r="G2483" s="19" t="s">
        <v>3189</v>
      </c>
      <c r="H2483" s="5" t="s">
        <v>3178</v>
      </c>
      <c r="I2483" s="9"/>
      <c r="J2483" s="5"/>
      <c r="K2483" s="5"/>
      <c r="L2483" s="9"/>
      <c r="M2483" s="5">
        <v>6.3</v>
      </c>
      <c r="N2483" s="9" t="s">
        <v>5804</v>
      </c>
      <c r="O2483" s="9" t="str">
        <f t="shared" si="234"/>
        <v>PDFを開く</v>
      </c>
      <c r="P2483" s="9" t="s">
        <v>2033</v>
      </c>
    </row>
    <row r="2484" spans="1:16" ht="33.950000000000003" customHeight="1">
      <c r="A2484" s="2" t="s">
        <v>2026</v>
      </c>
      <c r="B2484" s="2" t="s">
        <v>1595</v>
      </c>
      <c r="C2484" s="8" t="s">
        <v>2027</v>
      </c>
      <c r="D2484" s="2">
        <v>2</v>
      </c>
      <c r="E2484" s="8" t="s">
        <v>3191</v>
      </c>
      <c r="F2484" s="2" t="s">
        <v>2513</v>
      </c>
      <c r="G2484" s="2" t="s">
        <v>3177</v>
      </c>
      <c r="H2484" s="2" t="s">
        <v>3178</v>
      </c>
      <c r="I2484" s="8" t="s">
        <v>3259</v>
      </c>
      <c r="J2484" s="2">
        <v>2027</v>
      </c>
      <c r="K2484" s="2">
        <v>124</v>
      </c>
      <c r="L2484" s="8" t="s">
        <v>5805</v>
      </c>
      <c r="M2484" s="2"/>
      <c r="N2484" s="8" t="s">
        <v>5806</v>
      </c>
      <c r="O2484" s="8" t="str">
        <f t="shared" si="234"/>
        <v>PDFを開く</v>
      </c>
      <c r="P2484" s="8" t="s">
        <v>2033</v>
      </c>
    </row>
    <row r="2485" spans="1:16" ht="33.950000000000003" customHeight="1">
      <c r="A2485" s="5" t="s">
        <v>2026</v>
      </c>
      <c r="B2485" s="5" t="s">
        <v>1595</v>
      </c>
      <c r="C2485" s="9" t="s">
        <v>2027</v>
      </c>
      <c r="D2485" s="5">
        <v>2</v>
      </c>
      <c r="E2485" s="9" t="s">
        <v>3191</v>
      </c>
      <c r="F2485" s="5" t="s">
        <v>2513</v>
      </c>
      <c r="G2485" s="5" t="s">
        <v>3177</v>
      </c>
      <c r="H2485" s="5" t="s">
        <v>3178</v>
      </c>
      <c r="I2485" s="9" t="s">
        <v>3262</v>
      </c>
      <c r="J2485" s="5">
        <v>2030</v>
      </c>
      <c r="K2485" s="5">
        <v>139</v>
      </c>
      <c r="L2485" s="9" t="s">
        <v>4418</v>
      </c>
      <c r="M2485" s="5"/>
      <c r="N2485" s="9" t="s">
        <v>5806</v>
      </c>
      <c r="O2485" s="9" t="str">
        <f t="shared" si="234"/>
        <v>PDFを開く</v>
      </c>
      <c r="P2485" s="9" t="s">
        <v>2033</v>
      </c>
    </row>
    <row r="2486" spans="1:16" ht="33.950000000000003" customHeight="1">
      <c r="A2486" s="2" t="s">
        <v>2026</v>
      </c>
      <c r="B2486" s="2" t="s">
        <v>1595</v>
      </c>
      <c r="C2486" s="8" t="s">
        <v>2027</v>
      </c>
      <c r="D2486" s="2">
        <v>2</v>
      </c>
      <c r="E2486" s="8" t="s">
        <v>3188</v>
      </c>
      <c r="F2486" s="2" t="s">
        <v>86</v>
      </c>
      <c r="G2486" s="2" t="s">
        <v>3177</v>
      </c>
      <c r="H2486" s="2"/>
      <c r="I2486" s="8" t="s">
        <v>5807</v>
      </c>
      <c r="J2486" s="2">
        <v>2027</v>
      </c>
      <c r="K2486" s="2"/>
      <c r="L2486" s="8" t="s">
        <v>3211</v>
      </c>
      <c r="M2486" s="2">
        <v>6.3</v>
      </c>
      <c r="N2486" s="8" t="s">
        <v>5808</v>
      </c>
      <c r="O2486" s="8" t="str">
        <f t="shared" si="234"/>
        <v>PDFを開く</v>
      </c>
      <c r="P2486" s="8" t="s">
        <v>2033</v>
      </c>
    </row>
    <row r="2487" spans="1:16" ht="33.950000000000003" customHeight="1">
      <c r="A2487" s="5" t="s">
        <v>2026</v>
      </c>
      <c r="B2487" s="5" t="s">
        <v>1595</v>
      </c>
      <c r="C2487" s="9" t="s">
        <v>2027</v>
      </c>
      <c r="D2487" s="5">
        <v>2</v>
      </c>
      <c r="E2487" s="9" t="s">
        <v>3188</v>
      </c>
      <c r="F2487" s="5" t="s">
        <v>86</v>
      </c>
      <c r="G2487" s="5" t="s">
        <v>3177</v>
      </c>
      <c r="H2487" s="5"/>
      <c r="I2487" s="9" t="s">
        <v>5809</v>
      </c>
      <c r="J2487" s="5">
        <v>2030</v>
      </c>
      <c r="K2487" s="5"/>
      <c r="L2487" s="9" t="s">
        <v>5810</v>
      </c>
      <c r="M2487" s="5">
        <v>6.3</v>
      </c>
      <c r="N2487" s="9" t="s">
        <v>5808</v>
      </c>
      <c r="O2487" s="9" t="str">
        <f t="shared" si="234"/>
        <v>PDFを開く</v>
      </c>
      <c r="P2487" s="9" t="s">
        <v>2033</v>
      </c>
    </row>
    <row r="2488" spans="1:16" ht="33.950000000000003" customHeight="1">
      <c r="A2488" s="2" t="s">
        <v>2034</v>
      </c>
      <c r="B2488" s="2" t="s">
        <v>1595</v>
      </c>
      <c r="C2488" s="8" t="s">
        <v>2035</v>
      </c>
      <c r="D2488" s="2">
        <v>5</v>
      </c>
      <c r="E2488" s="8" t="s">
        <v>3176</v>
      </c>
      <c r="F2488" s="2" t="s">
        <v>86</v>
      </c>
      <c r="G2488" s="2" t="s">
        <v>3177</v>
      </c>
      <c r="H2488" s="2" t="s">
        <v>3178</v>
      </c>
      <c r="I2488" s="8" t="s">
        <v>3259</v>
      </c>
      <c r="J2488" s="2">
        <v>2027</v>
      </c>
      <c r="K2488" s="2">
        <v>1571</v>
      </c>
      <c r="L2488" s="8" t="s">
        <v>5811</v>
      </c>
      <c r="M2488" s="2">
        <v>17.899999999999999</v>
      </c>
      <c r="N2488" s="8" t="s">
        <v>5812</v>
      </c>
      <c r="O2488" s="8" t="str">
        <f t="shared" ref="O2488:O2495" si="235">HYPERLINK("https://seichotoushi-hojo.jp/assets/pdf/koufu_3_4ji/outline_43.pdf","PDFを開く")</f>
        <v>PDFを開く</v>
      </c>
      <c r="P2488" s="8" t="s">
        <v>2042</v>
      </c>
    </row>
    <row r="2489" spans="1:16" ht="33.950000000000003" customHeight="1">
      <c r="A2489" s="5" t="s">
        <v>2034</v>
      </c>
      <c r="B2489" s="5" t="s">
        <v>1595</v>
      </c>
      <c r="C2489" s="9" t="s">
        <v>2035</v>
      </c>
      <c r="D2489" s="5">
        <v>5</v>
      </c>
      <c r="E2489" s="9" t="s">
        <v>3176</v>
      </c>
      <c r="F2489" s="5" t="s">
        <v>86</v>
      </c>
      <c r="G2489" s="5" t="s">
        <v>3177</v>
      </c>
      <c r="H2489" s="5" t="s">
        <v>3178</v>
      </c>
      <c r="I2489" s="9" t="s">
        <v>3262</v>
      </c>
      <c r="J2489" s="5">
        <v>2030</v>
      </c>
      <c r="K2489" s="5">
        <v>2577</v>
      </c>
      <c r="L2489" s="9" t="s">
        <v>5813</v>
      </c>
      <c r="M2489" s="5">
        <v>17.899999999999999</v>
      </c>
      <c r="N2489" s="9" t="s">
        <v>5812</v>
      </c>
      <c r="O2489" s="9" t="str">
        <f t="shared" si="235"/>
        <v>PDFを開く</v>
      </c>
      <c r="P2489" s="9" t="s">
        <v>2042</v>
      </c>
    </row>
    <row r="2490" spans="1:16" ht="33.950000000000003" customHeight="1">
      <c r="A2490" s="2" t="s">
        <v>2034</v>
      </c>
      <c r="B2490" s="2" t="s">
        <v>1595</v>
      </c>
      <c r="C2490" s="8" t="s">
        <v>2035</v>
      </c>
      <c r="D2490" s="2">
        <v>5</v>
      </c>
      <c r="E2490" s="8" t="s">
        <v>3184</v>
      </c>
      <c r="F2490" s="2" t="s">
        <v>86</v>
      </c>
      <c r="G2490" s="2" t="s">
        <v>3177</v>
      </c>
      <c r="H2490" s="2" t="s">
        <v>3178</v>
      </c>
      <c r="I2490" s="8" t="s">
        <v>3259</v>
      </c>
      <c r="J2490" s="2">
        <v>2027</v>
      </c>
      <c r="K2490" s="2">
        <v>780</v>
      </c>
      <c r="L2490" s="8" t="s">
        <v>4208</v>
      </c>
      <c r="M2490" s="2">
        <v>5.4</v>
      </c>
      <c r="N2490" s="8" t="s">
        <v>5814</v>
      </c>
      <c r="O2490" s="8" t="str">
        <f t="shared" si="235"/>
        <v>PDFを開く</v>
      </c>
      <c r="P2490" s="8" t="s">
        <v>2042</v>
      </c>
    </row>
    <row r="2491" spans="1:16" ht="33.950000000000003" customHeight="1">
      <c r="A2491" s="5" t="s">
        <v>2034</v>
      </c>
      <c r="B2491" s="5" t="s">
        <v>1595</v>
      </c>
      <c r="C2491" s="9" t="s">
        <v>2035</v>
      </c>
      <c r="D2491" s="5">
        <v>5</v>
      </c>
      <c r="E2491" s="9" t="s">
        <v>3184</v>
      </c>
      <c r="F2491" s="5" t="s">
        <v>86</v>
      </c>
      <c r="G2491" s="5" t="s">
        <v>3177</v>
      </c>
      <c r="H2491" s="5" t="s">
        <v>3178</v>
      </c>
      <c r="I2491" s="9" t="s">
        <v>3262</v>
      </c>
      <c r="J2491" s="5">
        <v>2030</v>
      </c>
      <c r="K2491" s="5">
        <v>915</v>
      </c>
      <c r="L2491" s="9" t="s">
        <v>5815</v>
      </c>
      <c r="M2491" s="5">
        <v>5.4</v>
      </c>
      <c r="N2491" s="9" t="s">
        <v>5814</v>
      </c>
      <c r="O2491" s="9" t="str">
        <f t="shared" si="235"/>
        <v>PDFを開く</v>
      </c>
      <c r="P2491" s="9" t="s">
        <v>2042</v>
      </c>
    </row>
    <row r="2492" spans="1:16" ht="33.950000000000003" customHeight="1">
      <c r="A2492" s="2" t="s">
        <v>2034</v>
      </c>
      <c r="B2492" s="2" t="s">
        <v>1595</v>
      </c>
      <c r="C2492" s="8" t="s">
        <v>2035</v>
      </c>
      <c r="D2492" s="2">
        <v>5</v>
      </c>
      <c r="E2492" s="8" t="s">
        <v>3188</v>
      </c>
      <c r="F2492" s="2" t="s">
        <v>86</v>
      </c>
      <c r="G2492" s="2" t="s">
        <v>3177</v>
      </c>
      <c r="H2492" s="2" t="s">
        <v>3178</v>
      </c>
      <c r="I2492" s="8" t="s">
        <v>3259</v>
      </c>
      <c r="J2492" s="2">
        <v>2027</v>
      </c>
      <c r="K2492" s="2">
        <v>4300</v>
      </c>
      <c r="L2492" s="8" t="s">
        <v>5816</v>
      </c>
      <c r="M2492" s="2">
        <v>5</v>
      </c>
      <c r="N2492" s="8" t="s">
        <v>5817</v>
      </c>
      <c r="O2492" s="8" t="str">
        <f t="shared" si="235"/>
        <v>PDFを開く</v>
      </c>
      <c r="P2492" s="8" t="s">
        <v>2042</v>
      </c>
    </row>
    <row r="2493" spans="1:16" ht="33.950000000000003" customHeight="1">
      <c r="A2493" s="5" t="s">
        <v>2034</v>
      </c>
      <c r="B2493" s="5" t="s">
        <v>1595</v>
      </c>
      <c r="C2493" s="9" t="s">
        <v>2035</v>
      </c>
      <c r="D2493" s="5">
        <v>5</v>
      </c>
      <c r="E2493" s="9" t="s">
        <v>3188</v>
      </c>
      <c r="F2493" s="5" t="s">
        <v>86</v>
      </c>
      <c r="G2493" s="5" t="s">
        <v>3177</v>
      </c>
      <c r="H2493" s="5" t="s">
        <v>3178</v>
      </c>
      <c r="I2493" s="9" t="s">
        <v>3262</v>
      </c>
      <c r="J2493" s="5">
        <v>2030</v>
      </c>
      <c r="K2493" s="5">
        <v>4971</v>
      </c>
      <c r="L2493" s="9" t="s">
        <v>5818</v>
      </c>
      <c r="M2493" s="5">
        <v>5</v>
      </c>
      <c r="N2493" s="9" t="s">
        <v>5817</v>
      </c>
      <c r="O2493" s="9" t="str">
        <f t="shared" si="235"/>
        <v>PDFを開く</v>
      </c>
      <c r="P2493" s="9" t="s">
        <v>2042</v>
      </c>
    </row>
    <row r="2494" spans="1:16" ht="33.950000000000003" customHeight="1">
      <c r="A2494" s="2" t="s">
        <v>2034</v>
      </c>
      <c r="B2494" s="2" t="s">
        <v>1595</v>
      </c>
      <c r="C2494" s="8" t="s">
        <v>2035</v>
      </c>
      <c r="D2494" s="2">
        <v>5</v>
      </c>
      <c r="E2494" s="8" t="s">
        <v>3191</v>
      </c>
      <c r="F2494" s="2" t="s">
        <v>2513</v>
      </c>
      <c r="G2494" s="2" t="s">
        <v>3177</v>
      </c>
      <c r="H2494" s="2" t="s">
        <v>3178</v>
      </c>
      <c r="I2494" s="8" t="s">
        <v>3259</v>
      </c>
      <c r="J2494" s="2">
        <v>2027</v>
      </c>
      <c r="K2494" s="2">
        <v>270</v>
      </c>
      <c r="L2494" s="8" t="s">
        <v>3192</v>
      </c>
      <c r="M2494" s="2">
        <v>0.4</v>
      </c>
      <c r="N2494" s="8" t="s">
        <v>5819</v>
      </c>
      <c r="O2494" s="8" t="str">
        <f t="shared" si="235"/>
        <v>PDFを開く</v>
      </c>
      <c r="P2494" s="8" t="s">
        <v>2042</v>
      </c>
    </row>
    <row r="2495" spans="1:16" ht="33.950000000000003" customHeight="1">
      <c r="A2495" s="5" t="s">
        <v>2034</v>
      </c>
      <c r="B2495" s="5" t="s">
        <v>1595</v>
      </c>
      <c r="C2495" s="9" t="s">
        <v>2035</v>
      </c>
      <c r="D2495" s="5">
        <v>5</v>
      </c>
      <c r="E2495" s="9" t="s">
        <v>3191</v>
      </c>
      <c r="F2495" s="5" t="s">
        <v>2513</v>
      </c>
      <c r="G2495" s="5" t="s">
        <v>3177</v>
      </c>
      <c r="H2495" s="5" t="s">
        <v>3178</v>
      </c>
      <c r="I2495" s="9" t="s">
        <v>3262</v>
      </c>
      <c r="J2495" s="5">
        <v>2030</v>
      </c>
      <c r="K2495" s="5">
        <v>273</v>
      </c>
      <c r="L2495" s="9" t="s">
        <v>3876</v>
      </c>
      <c r="M2495" s="5">
        <v>0.4</v>
      </c>
      <c r="N2495" s="9" t="s">
        <v>5819</v>
      </c>
      <c r="O2495" s="9" t="str">
        <f t="shared" si="235"/>
        <v>PDFを開く</v>
      </c>
      <c r="P2495" s="9" t="s">
        <v>2042</v>
      </c>
    </row>
    <row r="2496" spans="1:16" ht="33.950000000000003" customHeight="1">
      <c r="A2496" s="2" t="s">
        <v>2043</v>
      </c>
      <c r="B2496" s="2" t="s">
        <v>1595</v>
      </c>
      <c r="C2496" s="8" t="s">
        <v>2044</v>
      </c>
      <c r="D2496" s="2">
        <v>2</v>
      </c>
      <c r="E2496" s="8" t="s">
        <v>3176</v>
      </c>
      <c r="F2496" s="2"/>
      <c r="G2496" s="19" t="s">
        <v>3189</v>
      </c>
      <c r="H2496" s="2"/>
      <c r="I2496" s="8"/>
      <c r="J2496" s="2"/>
      <c r="K2496" s="2"/>
      <c r="L2496" s="8"/>
      <c r="M2496" s="2"/>
      <c r="N2496" s="8" t="s">
        <v>5820</v>
      </c>
      <c r="O2496" s="8" t="str">
        <f t="shared" ref="O2496:O2505" si="236">HYPERLINK("https://seichotoushi-hojo.jp/assets/pdf/koufu_3_4ji/outline_44.pdf","PDFを開く")</f>
        <v>PDFを開く</v>
      </c>
      <c r="P2496" s="8" t="s">
        <v>2049</v>
      </c>
    </row>
    <row r="2497" spans="1:16" ht="33.950000000000003" customHeight="1">
      <c r="A2497" s="5" t="s">
        <v>2043</v>
      </c>
      <c r="B2497" s="5" t="s">
        <v>1595</v>
      </c>
      <c r="C2497" s="9" t="s">
        <v>2044</v>
      </c>
      <c r="D2497" s="5">
        <v>4</v>
      </c>
      <c r="E2497" s="9" t="s">
        <v>3176</v>
      </c>
      <c r="F2497" s="5" t="s">
        <v>86</v>
      </c>
      <c r="G2497" s="5" t="s">
        <v>3177</v>
      </c>
      <c r="H2497" s="5" t="s">
        <v>3178</v>
      </c>
      <c r="I2497" s="9" t="s">
        <v>3259</v>
      </c>
      <c r="J2497" s="5">
        <v>2027</v>
      </c>
      <c r="K2497" s="5">
        <v>3135</v>
      </c>
      <c r="L2497" s="9" t="s">
        <v>5821</v>
      </c>
      <c r="M2497" s="5">
        <v>25.7</v>
      </c>
      <c r="N2497" s="9" t="s">
        <v>5822</v>
      </c>
      <c r="O2497" s="9" t="str">
        <f t="shared" si="236"/>
        <v>PDFを開く</v>
      </c>
      <c r="P2497" s="9" t="s">
        <v>2049</v>
      </c>
    </row>
    <row r="2498" spans="1:16" ht="33.950000000000003" customHeight="1">
      <c r="A2498" s="2" t="s">
        <v>2043</v>
      </c>
      <c r="B2498" s="2" t="s">
        <v>1595</v>
      </c>
      <c r="C2498" s="8" t="s">
        <v>2044</v>
      </c>
      <c r="D2498" s="2">
        <v>4</v>
      </c>
      <c r="E2498" s="8" t="s">
        <v>3176</v>
      </c>
      <c r="F2498" s="2" t="s">
        <v>86</v>
      </c>
      <c r="G2498" s="2" t="s">
        <v>3177</v>
      </c>
      <c r="H2498" s="2" t="s">
        <v>3178</v>
      </c>
      <c r="I2498" s="8" t="s">
        <v>3262</v>
      </c>
      <c r="J2498" s="2">
        <v>2030</v>
      </c>
      <c r="K2498" s="2">
        <v>6232</v>
      </c>
      <c r="L2498" s="8" t="s">
        <v>5823</v>
      </c>
      <c r="M2498" s="2">
        <v>25.7</v>
      </c>
      <c r="N2498" s="8" t="s">
        <v>5822</v>
      </c>
      <c r="O2498" s="8" t="str">
        <f t="shared" si="236"/>
        <v>PDFを開く</v>
      </c>
      <c r="P2498" s="8" t="s">
        <v>2049</v>
      </c>
    </row>
    <row r="2499" spans="1:16" ht="33.950000000000003" customHeight="1">
      <c r="A2499" s="5" t="s">
        <v>2043</v>
      </c>
      <c r="B2499" s="5" t="s">
        <v>1595</v>
      </c>
      <c r="C2499" s="9" t="s">
        <v>2044</v>
      </c>
      <c r="D2499" s="5">
        <v>4</v>
      </c>
      <c r="E2499" s="9" t="s">
        <v>3184</v>
      </c>
      <c r="F2499" s="5" t="s">
        <v>86</v>
      </c>
      <c r="G2499" s="5" t="s">
        <v>3177</v>
      </c>
      <c r="H2499" s="5" t="s">
        <v>3178</v>
      </c>
      <c r="I2499" s="9" t="s">
        <v>3259</v>
      </c>
      <c r="J2499" s="5">
        <v>2027</v>
      </c>
      <c r="K2499" s="5">
        <v>446</v>
      </c>
      <c r="L2499" s="9" t="s">
        <v>4434</v>
      </c>
      <c r="M2499" s="5">
        <v>10</v>
      </c>
      <c r="N2499" s="9" t="s">
        <v>5824</v>
      </c>
      <c r="O2499" s="9" t="str">
        <f t="shared" si="236"/>
        <v>PDFを開く</v>
      </c>
      <c r="P2499" s="9" t="s">
        <v>2049</v>
      </c>
    </row>
    <row r="2500" spans="1:16" ht="33.950000000000003" customHeight="1">
      <c r="A2500" s="2" t="s">
        <v>2043</v>
      </c>
      <c r="B2500" s="2" t="s">
        <v>1595</v>
      </c>
      <c r="C2500" s="8" t="s">
        <v>2044</v>
      </c>
      <c r="D2500" s="2">
        <v>4</v>
      </c>
      <c r="E2500" s="8" t="s">
        <v>3184</v>
      </c>
      <c r="F2500" s="2" t="s">
        <v>86</v>
      </c>
      <c r="G2500" s="2" t="s">
        <v>3177</v>
      </c>
      <c r="H2500" s="2" t="s">
        <v>3178</v>
      </c>
      <c r="I2500" s="8" t="s">
        <v>3262</v>
      </c>
      <c r="J2500" s="2">
        <v>2030</v>
      </c>
      <c r="K2500" s="2">
        <v>593</v>
      </c>
      <c r="L2500" s="8" t="s">
        <v>5825</v>
      </c>
      <c r="M2500" s="2">
        <v>10</v>
      </c>
      <c r="N2500" s="8" t="s">
        <v>5824</v>
      </c>
      <c r="O2500" s="8" t="str">
        <f t="shared" si="236"/>
        <v>PDFを開く</v>
      </c>
      <c r="P2500" s="8" t="s">
        <v>2049</v>
      </c>
    </row>
    <row r="2501" spans="1:16" ht="33.950000000000003" customHeight="1">
      <c r="A2501" s="5" t="s">
        <v>2043</v>
      </c>
      <c r="B2501" s="5" t="s">
        <v>1595</v>
      </c>
      <c r="C2501" s="9" t="s">
        <v>2044</v>
      </c>
      <c r="D2501" s="5">
        <v>4</v>
      </c>
      <c r="E2501" s="9" t="s">
        <v>3188</v>
      </c>
      <c r="F2501" s="5" t="s">
        <v>86</v>
      </c>
      <c r="G2501" s="19" t="s">
        <v>3189</v>
      </c>
      <c r="H2501" s="5" t="s">
        <v>3178</v>
      </c>
      <c r="I2501" s="9"/>
      <c r="J2501" s="5"/>
      <c r="K2501" s="5"/>
      <c r="L2501" s="9"/>
      <c r="M2501" s="5">
        <v>5</v>
      </c>
      <c r="N2501" s="9" t="s">
        <v>3377</v>
      </c>
      <c r="O2501" s="9" t="str">
        <f t="shared" si="236"/>
        <v>PDFを開く</v>
      </c>
      <c r="P2501" s="9" t="s">
        <v>2049</v>
      </c>
    </row>
    <row r="2502" spans="1:16" ht="33.950000000000003" customHeight="1">
      <c r="A2502" s="2" t="s">
        <v>2043</v>
      </c>
      <c r="B2502" s="2" t="s">
        <v>1595</v>
      </c>
      <c r="C2502" s="8" t="s">
        <v>2044</v>
      </c>
      <c r="D2502" s="2">
        <v>4</v>
      </c>
      <c r="E2502" s="8" t="s">
        <v>3191</v>
      </c>
      <c r="F2502" s="2" t="s">
        <v>2513</v>
      </c>
      <c r="G2502" s="2" t="s">
        <v>3177</v>
      </c>
      <c r="H2502" s="2" t="s">
        <v>3178</v>
      </c>
      <c r="I2502" s="8" t="s">
        <v>3259</v>
      </c>
      <c r="J2502" s="2">
        <v>2027</v>
      </c>
      <c r="K2502" s="2">
        <v>5</v>
      </c>
      <c r="L2502" s="8" t="s">
        <v>5087</v>
      </c>
      <c r="M2502" s="2"/>
      <c r="N2502" s="8" t="s">
        <v>5826</v>
      </c>
      <c r="O2502" s="8" t="str">
        <f t="shared" si="236"/>
        <v>PDFを開く</v>
      </c>
      <c r="P2502" s="8" t="s">
        <v>2049</v>
      </c>
    </row>
    <row r="2503" spans="1:16" ht="33.950000000000003" customHeight="1">
      <c r="A2503" s="5" t="s">
        <v>2043</v>
      </c>
      <c r="B2503" s="5" t="s">
        <v>1595</v>
      </c>
      <c r="C2503" s="9" t="s">
        <v>2044</v>
      </c>
      <c r="D2503" s="5">
        <v>4</v>
      </c>
      <c r="E2503" s="9" t="s">
        <v>3191</v>
      </c>
      <c r="F2503" s="5" t="s">
        <v>2513</v>
      </c>
      <c r="G2503" s="5" t="s">
        <v>3177</v>
      </c>
      <c r="H2503" s="5" t="s">
        <v>3178</v>
      </c>
      <c r="I2503" s="9" t="s">
        <v>3262</v>
      </c>
      <c r="J2503" s="5">
        <v>2030</v>
      </c>
      <c r="K2503" s="5">
        <v>9</v>
      </c>
      <c r="L2503" s="9" t="s">
        <v>5827</v>
      </c>
      <c r="M2503" s="5"/>
      <c r="N2503" s="9" t="s">
        <v>5826</v>
      </c>
      <c r="O2503" s="9" t="str">
        <f t="shared" si="236"/>
        <v>PDFを開く</v>
      </c>
      <c r="P2503" s="9" t="s">
        <v>2049</v>
      </c>
    </row>
    <row r="2504" spans="1:16" ht="33.950000000000003" customHeight="1">
      <c r="A2504" s="2" t="s">
        <v>2043</v>
      </c>
      <c r="B2504" s="2" t="s">
        <v>1595</v>
      </c>
      <c r="C2504" s="8" t="s">
        <v>2044</v>
      </c>
      <c r="D2504" s="2">
        <v>4</v>
      </c>
      <c r="E2504" s="8" t="s">
        <v>3188</v>
      </c>
      <c r="F2504" s="2" t="s">
        <v>86</v>
      </c>
      <c r="G2504" s="2" t="s">
        <v>3177</v>
      </c>
      <c r="H2504" s="2"/>
      <c r="I2504" s="8" t="s">
        <v>5828</v>
      </c>
      <c r="J2504" s="2">
        <v>2027</v>
      </c>
      <c r="K2504" s="2"/>
      <c r="L2504" s="8" t="s">
        <v>3211</v>
      </c>
      <c r="M2504" s="2">
        <v>5</v>
      </c>
      <c r="N2504" s="8" t="s">
        <v>3382</v>
      </c>
      <c r="O2504" s="8" t="str">
        <f t="shared" si="236"/>
        <v>PDFを開く</v>
      </c>
      <c r="P2504" s="8" t="s">
        <v>2049</v>
      </c>
    </row>
    <row r="2505" spans="1:16" ht="33.950000000000003" customHeight="1">
      <c r="A2505" s="5" t="s">
        <v>2043</v>
      </c>
      <c r="B2505" s="5" t="s">
        <v>1595</v>
      </c>
      <c r="C2505" s="9" t="s">
        <v>2044</v>
      </c>
      <c r="D2505" s="5">
        <v>4</v>
      </c>
      <c r="E2505" s="9" t="s">
        <v>3188</v>
      </c>
      <c r="F2505" s="5" t="s">
        <v>86</v>
      </c>
      <c r="G2505" s="5" t="s">
        <v>3177</v>
      </c>
      <c r="H2505" s="5"/>
      <c r="I2505" s="9" t="s">
        <v>5829</v>
      </c>
      <c r="J2505" s="5">
        <v>2030</v>
      </c>
      <c r="K2505" s="5"/>
      <c r="L2505" s="9" t="s">
        <v>5830</v>
      </c>
      <c r="M2505" s="5">
        <v>5</v>
      </c>
      <c r="N2505" s="9" t="s">
        <v>3382</v>
      </c>
      <c r="O2505" s="9" t="str">
        <f t="shared" si="236"/>
        <v>PDFを開く</v>
      </c>
      <c r="P2505" s="9" t="s">
        <v>2049</v>
      </c>
    </row>
    <row r="2506" spans="1:16" ht="33.950000000000003" customHeight="1">
      <c r="A2506" s="2" t="s">
        <v>2050</v>
      </c>
      <c r="B2506" s="2" t="s">
        <v>1595</v>
      </c>
      <c r="C2506" s="8" t="s">
        <v>2051</v>
      </c>
      <c r="D2506" s="2">
        <v>2</v>
      </c>
      <c r="E2506" s="8" t="s">
        <v>3176</v>
      </c>
      <c r="F2506" s="2" t="s">
        <v>86</v>
      </c>
      <c r="G2506" s="2" t="s">
        <v>3177</v>
      </c>
      <c r="H2506" s="2" t="s">
        <v>3178</v>
      </c>
      <c r="I2506" s="8" t="s">
        <v>5831</v>
      </c>
      <c r="J2506" s="2">
        <v>2027</v>
      </c>
      <c r="K2506" s="2">
        <v>825</v>
      </c>
      <c r="L2506" s="8" t="s">
        <v>5832</v>
      </c>
      <c r="M2506" s="2">
        <v>15.7</v>
      </c>
      <c r="N2506" s="8" t="s">
        <v>5833</v>
      </c>
      <c r="O2506" s="8" t="str">
        <f t="shared" ref="O2506:O2514" si="237">HYPERLINK("https://seichotoushi-hojo.jp/assets/pdf/koufu_3_4ji/outline_45.pdf","PDFを開く")</f>
        <v>PDFを開く</v>
      </c>
      <c r="P2506" s="8" t="s">
        <v>2057</v>
      </c>
    </row>
    <row r="2507" spans="1:16" ht="33.950000000000003" customHeight="1">
      <c r="A2507" s="5" t="s">
        <v>2050</v>
      </c>
      <c r="B2507" s="5" t="s">
        <v>1595</v>
      </c>
      <c r="C2507" s="9" t="s">
        <v>2051</v>
      </c>
      <c r="D2507" s="5">
        <v>2</v>
      </c>
      <c r="E2507" s="9" t="s">
        <v>3176</v>
      </c>
      <c r="F2507" s="5" t="s">
        <v>86</v>
      </c>
      <c r="G2507" s="5" t="s">
        <v>3177</v>
      </c>
      <c r="H2507" s="5" t="s">
        <v>3178</v>
      </c>
      <c r="I2507" s="9" t="s">
        <v>5834</v>
      </c>
      <c r="J2507" s="5">
        <v>2030</v>
      </c>
      <c r="K2507" s="5">
        <v>1276</v>
      </c>
      <c r="L2507" s="9" t="s">
        <v>5835</v>
      </c>
      <c r="M2507" s="5">
        <v>15.7</v>
      </c>
      <c r="N2507" s="9" t="s">
        <v>5833</v>
      </c>
      <c r="O2507" s="9" t="str">
        <f t="shared" si="237"/>
        <v>PDFを開く</v>
      </c>
      <c r="P2507" s="9" t="s">
        <v>2057</v>
      </c>
    </row>
    <row r="2508" spans="1:16" ht="33.950000000000003" customHeight="1">
      <c r="A2508" s="2" t="s">
        <v>2050</v>
      </c>
      <c r="B2508" s="2" t="s">
        <v>1595</v>
      </c>
      <c r="C2508" s="8" t="s">
        <v>2051</v>
      </c>
      <c r="D2508" s="2">
        <v>2</v>
      </c>
      <c r="E2508" s="8" t="s">
        <v>3184</v>
      </c>
      <c r="F2508" s="2" t="s">
        <v>86</v>
      </c>
      <c r="G2508" s="2" t="s">
        <v>3177</v>
      </c>
      <c r="H2508" s="2" t="s">
        <v>3178</v>
      </c>
      <c r="I2508" s="8" t="s">
        <v>5831</v>
      </c>
      <c r="J2508" s="2">
        <v>2027</v>
      </c>
      <c r="K2508" s="2">
        <v>558</v>
      </c>
      <c r="L2508" s="8" t="s">
        <v>3461</v>
      </c>
      <c r="M2508" s="2">
        <v>6.2</v>
      </c>
      <c r="N2508" s="8" t="s">
        <v>5836</v>
      </c>
      <c r="O2508" s="8" t="str">
        <f t="shared" si="237"/>
        <v>PDFを開く</v>
      </c>
      <c r="P2508" s="8" t="s">
        <v>2057</v>
      </c>
    </row>
    <row r="2509" spans="1:16" ht="33.950000000000003" customHeight="1">
      <c r="A2509" s="5" t="s">
        <v>2050</v>
      </c>
      <c r="B2509" s="5" t="s">
        <v>1595</v>
      </c>
      <c r="C2509" s="9" t="s">
        <v>2051</v>
      </c>
      <c r="D2509" s="5">
        <v>2</v>
      </c>
      <c r="E2509" s="9" t="s">
        <v>3184</v>
      </c>
      <c r="F2509" s="5" t="s">
        <v>86</v>
      </c>
      <c r="G2509" s="5" t="s">
        <v>3177</v>
      </c>
      <c r="H2509" s="5" t="s">
        <v>3178</v>
      </c>
      <c r="I2509" s="9" t="s">
        <v>5834</v>
      </c>
      <c r="J2509" s="5">
        <v>2030</v>
      </c>
      <c r="K2509" s="5">
        <v>669</v>
      </c>
      <c r="L2509" s="9" t="s">
        <v>5837</v>
      </c>
      <c r="M2509" s="5">
        <v>6.2</v>
      </c>
      <c r="N2509" s="9" t="s">
        <v>5836</v>
      </c>
      <c r="O2509" s="9" t="str">
        <f t="shared" si="237"/>
        <v>PDFを開く</v>
      </c>
      <c r="P2509" s="9" t="s">
        <v>2057</v>
      </c>
    </row>
    <row r="2510" spans="1:16" ht="33.950000000000003" customHeight="1">
      <c r="A2510" s="2" t="s">
        <v>2050</v>
      </c>
      <c r="B2510" s="2" t="s">
        <v>1595</v>
      </c>
      <c r="C2510" s="8" t="s">
        <v>2051</v>
      </c>
      <c r="D2510" s="2">
        <v>2</v>
      </c>
      <c r="E2510" s="8" t="s">
        <v>3188</v>
      </c>
      <c r="F2510" s="2" t="s">
        <v>86</v>
      </c>
      <c r="G2510" s="19" t="s">
        <v>3189</v>
      </c>
      <c r="H2510" s="2" t="s">
        <v>3178</v>
      </c>
      <c r="I2510" s="8"/>
      <c r="J2510" s="2"/>
      <c r="K2510" s="2"/>
      <c r="L2510" s="8"/>
      <c r="M2510" s="2">
        <v>5</v>
      </c>
      <c r="N2510" s="8" t="s">
        <v>3377</v>
      </c>
      <c r="O2510" s="8" t="str">
        <f t="shared" si="237"/>
        <v>PDFを開く</v>
      </c>
      <c r="P2510" s="8" t="s">
        <v>2057</v>
      </c>
    </row>
    <row r="2511" spans="1:16" ht="33.950000000000003" customHeight="1">
      <c r="A2511" s="5" t="s">
        <v>2050</v>
      </c>
      <c r="B2511" s="5" t="s">
        <v>1595</v>
      </c>
      <c r="C2511" s="9" t="s">
        <v>2051</v>
      </c>
      <c r="D2511" s="5">
        <v>2</v>
      </c>
      <c r="E2511" s="9" t="s">
        <v>3191</v>
      </c>
      <c r="F2511" s="5" t="s">
        <v>2513</v>
      </c>
      <c r="G2511" s="5" t="s">
        <v>3177</v>
      </c>
      <c r="H2511" s="5" t="s">
        <v>3178</v>
      </c>
      <c r="I2511" s="9" t="s">
        <v>5831</v>
      </c>
      <c r="J2511" s="5">
        <v>2027</v>
      </c>
      <c r="K2511" s="5">
        <v>326</v>
      </c>
      <c r="L2511" s="9" t="s">
        <v>3947</v>
      </c>
      <c r="M2511" s="5"/>
      <c r="N2511" s="9" t="s">
        <v>5838</v>
      </c>
      <c r="O2511" s="9" t="str">
        <f t="shared" si="237"/>
        <v>PDFを開く</v>
      </c>
      <c r="P2511" s="9" t="s">
        <v>2057</v>
      </c>
    </row>
    <row r="2512" spans="1:16" ht="33.950000000000003" customHeight="1">
      <c r="A2512" s="2" t="s">
        <v>2050</v>
      </c>
      <c r="B2512" s="2" t="s">
        <v>1595</v>
      </c>
      <c r="C2512" s="8" t="s">
        <v>2051</v>
      </c>
      <c r="D2512" s="2">
        <v>2</v>
      </c>
      <c r="E2512" s="8" t="s">
        <v>3191</v>
      </c>
      <c r="F2512" s="2" t="s">
        <v>2513</v>
      </c>
      <c r="G2512" s="2" t="s">
        <v>3177</v>
      </c>
      <c r="H2512" s="2" t="s">
        <v>3178</v>
      </c>
      <c r="I2512" s="8" t="s">
        <v>5834</v>
      </c>
      <c r="J2512" s="2">
        <v>2030</v>
      </c>
      <c r="K2512" s="2">
        <v>337</v>
      </c>
      <c r="L2512" s="8" t="s">
        <v>5839</v>
      </c>
      <c r="M2512" s="2"/>
      <c r="N2512" s="8" t="s">
        <v>5838</v>
      </c>
      <c r="O2512" s="8" t="str">
        <f t="shared" si="237"/>
        <v>PDFを開く</v>
      </c>
      <c r="P2512" s="8" t="s">
        <v>2057</v>
      </c>
    </row>
    <row r="2513" spans="1:16" ht="33.950000000000003" customHeight="1">
      <c r="A2513" s="5" t="s">
        <v>2050</v>
      </c>
      <c r="B2513" s="5" t="s">
        <v>1595</v>
      </c>
      <c r="C2513" s="9" t="s">
        <v>2051</v>
      </c>
      <c r="D2513" s="5">
        <v>2</v>
      </c>
      <c r="E2513" s="9" t="s">
        <v>3188</v>
      </c>
      <c r="F2513" s="5" t="s">
        <v>86</v>
      </c>
      <c r="G2513" s="5" t="s">
        <v>3177</v>
      </c>
      <c r="H2513" s="5"/>
      <c r="I2513" s="9" t="s">
        <v>5840</v>
      </c>
      <c r="J2513" s="5">
        <v>2027</v>
      </c>
      <c r="K2513" s="5"/>
      <c r="L2513" s="9" t="s">
        <v>3211</v>
      </c>
      <c r="M2513" s="5">
        <v>5</v>
      </c>
      <c r="N2513" s="9" t="s">
        <v>3382</v>
      </c>
      <c r="O2513" s="9" t="str">
        <f t="shared" si="237"/>
        <v>PDFを開く</v>
      </c>
      <c r="P2513" s="9" t="s">
        <v>2057</v>
      </c>
    </row>
    <row r="2514" spans="1:16" ht="33.950000000000003" customHeight="1">
      <c r="A2514" s="2" t="s">
        <v>2050</v>
      </c>
      <c r="B2514" s="2" t="s">
        <v>1595</v>
      </c>
      <c r="C2514" s="8" t="s">
        <v>2051</v>
      </c>
      <c r="D2514" s="2">
        <v>2</v>
      </c>
      <c r="E2514" s="8" t="s">
        <v>3188</v>
      </c>
      <c r="F2514" s="2" t="s">
        <v>86</v>
      </c>
      <c r="G2514" s="2" t="s">
        <v>3177</v>
      </c>
      <c r="H2514" s="2"/>
      <c r="I2514" s="8" t="s">
        <v>5841</v>
      </c>
      <c r="J2514" s="2">
        <v>2030</v>
      </c>
      <c r="K2514" s="2"/>
      <c r="L2514" s="8" t="s">
        <v>3384</v>
      </c>
      <c r="M2514" s="2">
        <v>5</v>
      </c>
      <c r="N2514" s="8" t="s">
        <v>3382</v>
      </c>
      <c r="O2514" s="8" t="str">
        <f t="shared" si="237"/>
        <v>PDFを開く</v>
      </c>
      <c r="P2514" s="8" t="s">
        <v>2057</v>
      </c>
    </row>
    <row r="2515" spans="1:16" ht="33.950000000000003" customHeight="1">
      <c r="A2515" s="5" t="s">
        <v>2058</v>
      </c>
      <c r="B2515" s="5" t="s">
        <v>1595</v>
      </c>
      <c r="C2515" s="9" t="s">
        <v>2059</v>
      </c>
      <c r="D2515" s="5">
        <v>2</v>
      </c>
      <c r="E2515" s="9" t="s">
        <v>3176</v>
      </c>
      <c r="F2515" s="5" t="s">
        <v>86</v>
      </c>
      <c r="G2515" s="5" t="s">
        <v>3177</v>
      </c>
      <c r="H2515" s="5" t="s">
        <v>3178</v>
      </c>
      <c r="I2515" s="9" t="s">
        <v>3259</v>
      </c>
      <c r="J2515" s="5">
        <v>2027</v>
      </c>
      <c r="K2515" s="5">
        <v>1006</v>
      </c>
      <c r="L2515" s="9" t="s">
        <v>5792</v>
      </c>
      <c r="M2515" s="5">
        <v>7.8</v>
      </c>
      <c r="N2515" s="9" t="s">
        <v>5842</v>
      </c>
      <c r="O2515" s="9" t="str">
        <f t="shared" ref="O2515:O2523" si="238">HYPERLINK("https://seichotoushi-hojo.jp/assets/pdf/koufu_3_4ji/outline_46.pdf","PDFを開く")</f>
        <v>PDFを開く</v>
      </c>
      <c r="P2515" s="9" t="s">
        <v>2065</v>
      </c>
    </row>
    <row r="2516" spans="1:16" ht="33.950000000000003" customHeight="1">
      <c r="A2516" s="2" t="s">
        <v>2058</v>
      </c>
      <c r="B2516" s="2" t="s">
        <v>1595</v>
      </c>
      <c r="C2516" s="8" t="s">
        <v>2059</v>
      </c>
      <c r="D2516" s="2">
        <v>2</v>
      </c>
      <c r="E2516" s="8" t="s">
        <v>3176</v>
      </c>
      <c r="F2516" s="2" t="s">
        <v>86</v>
      </c>
      <c r="G2516" s="2" t="s">
        <v>3177</v>
      </c>
      <c r="H2516" s="2" t="s">
        <v>3178</v>
      </c>
      <c r="I2516" s="8" t="s">
        <v>3262</v>
      </c>
      <c r="J2516" s="2">
        <v>2030</v>
      </c>
      <c r="K2516" s="2">
        <v>1260</v>
      </c>
      <c r="L2516" s="8" t="s">
        <v>5843</v>
      </c>
      <c r="M2516" s="2">
        <v>7.8</v>
      </c>
      <c r="N2516" s="8" t="s">
        <v>5842</v>
      </c>
      <c r="O2516" s="8" t="str">
        <f t="shared" si="238"/>
        <v>PDFを開く</v>
      </c>
      <c r="P2516" s="8" t="s">
        <v>2065</v>
      </c>
    </row>
    <row r="2517" spans="1:16" ht="33.950000000000003" customHeight="1">
      <c r="A2517" s="5" t="s">
        <v>2058</v>
      </c>
      <c r="B2517" s="5" t="s">
        <v>1595</v>
      </c>
      <c r="C2517" s="9" t="s">
        <v>2059</v>
      </c>
      <c r="D2517" s="5">
        <v>2</v>
      </c>
      <c r="E2517" s="9" t="s">
        <v>3184</v>
      </c>
      <c r="F2517" s="5" t="s">
        <v>86</v>
      </c>
      <c r="G2517" s="5" t="s">
        <v>3177</v>
      </c>
      <c r="H2517" s="5" t="s">
        <v>3178</v>
      </c>
      <c r="I2517" s="9"/>
      <c r="J2517" s="5">
        <v>2027</v>
      </c>
      <c r="K2517" s="5">
        <v>788</v>
      </c>
      <c r="L2517" s="9" t="s">
        <v>4690</v>
      </c>
      <c r="M2517" s="5">
        <v>5.5</v>
      </c>
      <c r="N2517" s="9" t="s">
        <v>5844</v>
      </c>
      <c r="O2517" s="9" t="str">
        <f t="shared" si="238"/>
        <v>PDFを開く</v>
      </c>
      <c r="P2517" s="9" t="s">
        <v>2065</v>
      </c>
    </row>
    <row r="2518" spans="1:16" ht="33.950000000000003" customHeight="1">
      <c r="A2518" s="2" t="s">
        <v>2058</v>
      </c>
      <c r="B2518" s="2" t="s">
        <v>1595</v>
      </c>
      <c r="C2518" s="8" t="s">
        <v>2059</v>
      </c>
      <c r="D2518" s="2">
        <v>2</v>
      </c>
      <c r="E2518" s="8" t="s">
        <v>3184</v>
      </c>
      <c r="F2518" s="2" t="s">
        <v>86</v>
      </c>
      <c r="G2518" s="2" t="s">
        <v>3177</v>
      </c>
      <c r="H2518" s="2" t="s">
        <v>3178</v>
      </c>
      <c r="I2518" s="8" t="s">
        <v>3262</v>
      </c>
      <c r="J2518" s="2">
        <v>2030</v>
      </c>
      <c r="K2518" s="2">
        <v>926</v>
      </c>
      <c r="L2518" s="8" t="s">
        <v>3319</v>
      </c>
      <c r="M2518" s="2">
        <v>5.5</v>
      </c>
      <c r="N2518" s="8" t="s">
        <v>5844</v>
      </c>
      <c r="O2518" s="8" t="str">
        <f t="shared" si="238"/>
        <v>PDFを開く</v>
      </c>
      <c r="P2518" s="8" t="s">
        <v>2065</v>
      </c>
    </row>
    <row r="2519" spans="1:16" ht="33.950000000000003" customHeight="1">
      <c r="A2519" s="5" t="s">
        <v>2058</v>
      </c>
      <c r="B2519" s="5" t="s">
        <v>1595</v>
      </c>
      <c r="C2519" s="9" t="s">
        <v>2059</v>
      </c>
      <c r="D2519" s="5">
        <v>2</v>
      </c>
      <c r="E2519" s="9" t="s">
        <v>3188</v>
      </c>
      <c r="F2519" s="5" t="s">
        <v>86</v>
      </c>
      <c r="G2519" s="19" t="s">
        <v>3494</v>
      </c>
      <c r="H2519" s="5" t="s">
        <v>3178</v>
      </c>
      <c r="I2519" s="9"/>
      <c r="J2519" s="5"/>
      <c r="K2519" s="5"/>
      <c r="L2519" s="9"/>
      <c r="M2519" s="5">
        <v>5.3</v>
      </c>
      <c r="N2519" s="9" t="s">
        <v>5845</v>
      </c>
      <c r="O2519" s="9" t="str">
        <f t="shared" si="238"/>
        <v>PDFを開く</v>
      </c>
      <c r="P2519" s="9" t="s">
        <v>2065</v>
      </c>
    </row>
    <row r="2520" spans="1:16" ht="33.950000000000003" customHeight="1">
      <c r="A2520" s="2" t="s">
        <v>2058</v>
      </c>
      <c r="B2520" s="2" t="s">
        <v>1595</v>
      </c>
      <c r="C2520" s="8" t="s">
        <v>2059</v>
      </c>
      <c r="D2520" s="2">
        <v>2</v>
      </c>
      <c r="E2520" s="8" t="s">
        <v>3191</v>
      </c>
      <c r="F2520" s="2" t="s">
        <v>2513</v>
      </c>
      <c r="G2520" s="2" t="s">
        <v>3177</v>
      </c>
      <c r="H2520" s="2" t="s">
        <v>3178</v>
      </c>
      <c r="I2520" s="8"/>
      <c r="J2520" s="2">
        <v>2027</v>
      </c>
      <c r="K2520" s="2">
        <v>401</v>
      </c>
      <c r="L2520" s="8" t="s">
        <v>5846</v>
      </c>
      <c r="M2520" s="2"/>
      <c r="N2520" s="8" t="s">
        <v>5847</v>
      </c>
      <c r="O2520" s="8" t="str">
        <f t="shared" si="238"/>
        <v>PDFを開く</v>
      </c>
      <c r="P2520" s="8" t="s">
        <v>2065</v>
      </c>
    </row>
    <row r="2521" spans="1:16" ht="33.950000000000003" customHeight="1">
      <c r="A2521" s="5" t="s">
        <v>2058</v>
      </c>
      <c r="B2521" s="5" t="s">
        <v>1595</v>
      </c>
      <c r="C2521" s="9" t="s">
        <v>2059</v>
      </c>
      <c r="D2521" s="5">
        <v>2</v>
      </c>
      <c r="E2521" s="9" t="s">
        <v>3191</v>
      </c>
      <c r="F2521" s="5" t="s">
        <v>2513</v>
      </c>
      <c r="G2521" s="5" t="s">
        <v>3177</v>
      </c>
      <c r="H2521" s="5" t="s">
        <v>3178</v>
      </c>
      <c r="I2521" s="9" t="s">
        <v>3262</v>
      </c>
      <c r="J2521" s="5">
        <v>2030</v>
      </c>
      <c r="K2521" s="5">
        <v>462</v>
      </c>
      <c r="L2521" s="9" t="s">
        <v>5281</v>
      </c>
      <c r="M2521" s="5"/>
      <c r="N2521" s="9" t="s">
        <v>5847</v>
      </c>
      <c r="O2521" s="9" t="str">
        <f t="shared" si="238"/>
        <v>PDFを開く</v>
      </c>
      <c r="P2521" s="9" t="s">
        <v>2065</v>
      </c>
    </row>
    <row r="2522" spans="1:16" ht="33.950000000000003" customHeight="1">
      <c r="A2522" s="2" t="s">
        <v>2058</v>
      </c>
      <c r="B2522" s="2" t="s">
        <v>1595</v>
      </c>
      <c r="C2522" s="8" t="s">
        <v>2059</v>
      </c>
      <c r="D2522" s="2">
        <v>2</v>
      </c>
      <c r="E2522" s="8" t="s">
        <v>3188</v>
      </c>
      <c r="F2522" s="2" t="s">
        <v>86</v>
      </c>
      <c r="G2522" s="2" t="s">
        <v>3177</v>
      </c>
      <c r="H2522" s="2"/>
      <c r="I2522" s="8" t="s">
        <v>5848</v>
      </c>
      <c r="J2522" s="2">
        <v>2027</v>
      </c>
      <c r="K2522" s="2"/>
      <c r="L2522" s="8" t="s">
        <v>5849</v>
      </c>
      <c r="M2522" s="2">
        <v>5.3</v>
      </c>
      <c r="N2522" s="8" t="s">
        <v>5850</v>
      </c>
      <c r="O2522" s="8" t="str">
        <f t="shared" si="238"/>
        <v>PDFを開く</v>
      </c>
      <c r="P2522" s="8" t="s">
        <v>2065</v>
      </c>
    </row>
    <row r="2523" spans="1:16" ht="33.950000000000003" customHeight="1">
      <c r="A2523" s="5" t="s">
        <v>2058</v>
      </c>
      <c r="B2523" s="5" t="s">
        <v>1595</v>
      </c>
      <c r="C2523" s="9" t="s">
        <v>2059</v>
      </c>
      <c r="D2523" s="5">
        <v>2</v>
      </c>
      <c r="E2523" s="9" t="s">
        <v>3188</v>
      </c>
      <c r="F2523" s="5" t="s">
        <v>86</v>
      </c>
      <c r="G2523" s="5" t="s">
        <v>3177</v>
      </c>
      <c r="H2523" s="5"/>
      <c r="I2523" s="9" t="s">
        <v>5851</v>
      </c>
      <c r="J2523" s="5"/>
      <c r="K2523" s="5"/>
      <c r="L2523" s="9" t="s">
        <v>3211</v>
      </c>
      <c r="M2523" s="5">
        <v>5.3</v>
      </c>
      <c r="N2523" s="9" t="s">
        <v>5850</v>
      </c>
      <c r="O2523" s="9" t="str">
        <f t="shared" si="238"/>
        <v>PDFを開く</v>
      </c>
      <c r="P2523" s="9" t="s">
        <v>2065</v>
      </c>
    </row>
    <row r="2524" spans="1:16" ht="33.950000000000003" customHeight="1">
      <c r="A2524" s="2" t="s">
        <v>2066</v>
      </c>
      <c r="B2524" s="2" t="s">
        <v>1595</v>
      </c>
      <c r="C2524" s="8" t="s">
        <v>2067</v>
      </c>
      <c r="D2524" s="2">
        <v>2</v>
      </c>
      <c r="E2524" s="8" t="s">
        <v>3176</v>
      </c>
      <c r="F2524" s="2" t="s">
        <v>86</v>
      </c>
      <c r="G2524" s="19" t="s">
        <v>3189</v>
      </c>
      <c r="H2524" s="2" t="s">
        <v>3178</v>
      </c>
      <c r="I2524" s="8" t="s">
        <v>3302</v>
      </c>
      <c r="J2524" s="2"/>
      <c r="K2524" s="2">
        <v>3506</v>
      </c>
      <c r="L2524" s="8" t="s">
        <v>5852</v>
      </c>
      <c r="M2524" s="2">
        <v>52.8</v>
      </c>
      <c r="N2524" s="8" t="s">
        <v>5853</v>
      </c>
      <c r="O2524" s="8" t="str">
        <f t="shared" ref="O2524:O2538" si="239">HYPERLINK("https://seichotoushi-hojo.jp/assets/pdf/koufu_3_4ji/outline_47.pdf","PDFを開く")</f>
        <v>PDFを開く</v>
      </c>
      <c r="P2524" s="8" t="s">
        <v>2072</v>
      </c>
    </row>
    <row r="2525" spans="1:16" ht="33.950000000000003" customHeight="1">
      <c r="A2525" s="5" t="s">
        <v>2066</v>
      </c>
      <c r="B2525" s="5" t="s">
        <v>1595</v>
      </c>
      <c r="C2525" s="9" t="s">
        <v>2067</v>
      </c>
      <c r="D2525" s="5">
        <v>2</v>
      </c>
      <c r="E2525" s="9" t="s">
        <v>3176</v>
      </c>
      <c r="F2525" s="5" t="s">
        <v>86</v>
      </c>
      <c r="G2525" s="19" t="s">
        <v>3189</v>
      </c>
      <c r="H2525" s="5" t="s">
        <v>3178</v>
      </c>
      <c r="I2525" s="9" t="s">
        <v>3305</v>
      </c>
      <c r="J2525" s="5"/>
      <c r="K2525" s="5">
        <v>1253</v>
      </c>
      <c r="L2525" s="9" t="s">
        <v>5854</v>
      </c>
      <c r="M2525" s="5">
        <v>52.8</v>
      </c>
      <c r="N2525" s="9" t="s">
        <v>5853</v>
      </c>
      <c r="O2525" s="9" t="str">
        <f t="shared" si="239"/>
        <v>PDFを開く</v>
      </c>
      <c r="P2525" s="9" t="s">
        <v>2072</v>
      </c>
    </row>
    <row r="2526" spans="1:16" ht="33.950000000000003" customHeight="1">
      <c r="A2526" s="2" t="s">
        <v>2066</v>
      </c>
      <c r="B2526" s="2" t="s">
        <v>1595</v>
      </c>
      <c r="C2526" s="8" t="s">
        <v>2067</v>
      </c>
      <c r="D2526" s="2">
        <v>2</v>
      </c>
      <c r="E2526" s="8" t="s">
        <v>3176</v>
      </c>
      <c r="F2526" s="2" t="s">
        <v>86</v>
      </c>
      <c r="G2526" s="19" t="s">
        <v>3189</v>
      </c>
      <c r="H2526" s="2" t="s">
        <v>3178</v>
      </c>
      <c r="I2526" s="8" t="s">
        <v>3305</v>
      </c>
      <c r="J2526" s="2"/>
      <c r="K2526" s="2">
        <v>10</v>
      </c>
      <c r="L2526" s="8" t="s">
        <v>3623</v>
      </c>
      <c r="M2526" s="2">
        <v>52.8</v>
      </c>
      <c r="N2526" s="8" t="s">
        <v>5853</v>
      </c>
      <c r="O2526" s="8" t="str">
        <f t="shared" si="239"/>
        <v>PDFを開く</v>
      </c>
      <c r="P2526" s="8" t="s">
        <v>2072</v>
      </c>
    </row>
    <row r="2527" spans="1:16" ht="33.950000000000003" customHeight="1">
      <c r="A2527" s="5" t="s">
        <v>2066</v>
      </c>
      <c r="B2527" s="5" t="s">
        <v>1595</v>
      </c>
      <c r="C2527" s="9" t="s">
        <v>2067</v>
      </c>
      <c r="D2527" s="5">
        <v>2</v>
      </c>
      <c r="E2527" s="9" t="s">
        <v>3184</v>
      </c>
      <c r="F2527" s="5" t="s">
        <v>86</v>
      </c>
      <c r="G2527" s="19" t="s">
        <v>3189</v>
      </c>
      <c r="H2527" s="5" t="s">
        <v>3178</v>
      </c>
      <c r="I2527" s="9" t="s">
        <v>3302</v>
      </c>
      <c r="J2527" s="5"/>
      <c r="K2527" s="5">
        <v>1996</v>
      </c>
      <c r="L2527" s="9" t="s">
        <v>5855</v>
      </c>
      <c r="M2527" s="5">
        <v>1</v>
      </c>
      <c r="N2527" s="9" t="s">
        <v>5856</v>
      </c>
      <c r="O2527" s="9" t="str">
        <f t="shared" si="239"/>
        <v>PDFを開く</v>
      </c>
      <c r="P2527" s="9" t="s">
        <v>2072</v>
      </c>
    </row>
    <row r="2528" spans="1:16" ht="33.950000000000003" customHeight="1">
      <c r="A2528" s="2" t="s">
        <v>2066</v>
      </c>
      <c r="B2528" s="2" t="s">
        <v>1595</v>
      </c>
      <c r="C2528" s="8" t="s">
        <v>2067</v>
      </c>
      <c r="D2528" s="2">
        <v>2</v>
      </c>
      <c r="E2528" s="8" t="s">
        <v>3184</v>
      </c>
      <c r="F2528" s="2" t="s">
        <v>86</v>
      </c>
      <c r="G2528" s="19" t="s">
        <v>3189</v>
      </c>
      <c r="H2528" s="2" t="s">
        <v>3178</v>
      </c>
      <c r="I2528" s="8" t="s">
        <v>3305</v>
      </c>
      <c r="J2528" s="2"/>
      <c r="K2528" s="2">
        <v>2343</v>
      </c>
      <c r="L2528" s="8" t="s">
        <v>5857</v>
      </c>
      <c r="M2528" s="2">
        <v>1</v>
      </c>
      <c r="N2528" s="8" t="s">
        <v>5856</v>
      </c>
      <c r="O2528" s="8" t="str">
        <f t="shared" si="239"/>
        <v>PDFを開く</v>
      </c>
      <c r="P2528" s="8" t="s">
        <v>2072</v>
      </c>
    </row>
    <row r="2529" spans="1:16" ht="33.950000000000003" customHeight="1">
      <c r="A2529" s="5" t="s">
        <v>2066</v>
      </c>
      <c r="B2529" s="5" t="s">
        <v>1595</v>
      </c>
      <c r="C2529" s="9" t="s">
        <v>2067</v>
      </c>
      <c r="D2529" s="5">
        <v>2</v>
      </c>
      <c r="E2529" s="9" t="s">
        <v>3184</v>
      </c>
      <c r="F2529" s="5" t="s">
        <v>86</v>
      </c>
      <c r="G2529" s="19" t="s">
        <v>3189</v>
      </c>
      <c r="H2529" s="5" t="s">
        <v>3178</v>
      </c>
      <c r="I2529" s="9" t="s">
        <v>3305</v>
      </c>
      <c r="J2529" s="5"/>
      <c r="K2529" s="5">
        <v>8</v>
      </c>
      <c r="L2529" s="9" t="s">
        <v>4113</v>
      </c>
      <c r="M2529" s="5">
        <v>1</v>
      </c>
      <c r="N2529" s="9" t="s">
        <v>5856</v>
      </c>
      <c r="O2529" s="9" t="str">
        <f t="shared" si="239"/>
        <v>PDFを開く</v>
      </c>
      <c r="P2529" s="9" t="s">
        <v>2072</v>
      </c>
    </row>
    <row r="2530" spans="1:16" ht="33.950000000000003" customHeight="1">
      <c r="A2530" s="2" t="s">
        <v>2066</v>
      </c>
      <c r="B2530" s="2" t="s">
        <v>1595</v>
      </c>
      <c r="C2530" s="8" t="s">
        <v>2067</v>
      </c>
      <c r="D2530" s="2">
        <v>2</v>
      </c>
      <c r="E2530" s="8" t="s">
        <v>3188</v>
      </c>
      <c r="F2530" s="2" t="s">
        <v>86</v>
      </c>
      <c r="G2530" s="19" t="s">
        <v>3189</v>
      </c>
      <c r="H2530" s="2"/>
      <c r="I2530" s="8" t="s">
        <v>3305</v>
      </c>
      <c r="J2530" s="2"/>
      <c r="K2530" s="2">
        <v>3</v>
      </c>
      <c r="L2530" s="8" t="s">
        <v>4833</v>
      </c>
      <c r="M2530" s="2"/>
      <c r="N2530" s="8" t="s">
        <v>5858</v>
      </c>
      <c r="O2530" s="8" t="str">
        <f t="shared" si="239"/>
        <v>PDFを開く</v>
      </c>
      <c r="P2530" s="8" t="s">
        <v>2072</v>
      </c>
    </row>
    <row r="2531" spans="1:16" ht="33.950000000000003" customHeight="1">
      <c r="A2531" s="5" t="s">
        <v>2066</v>
      </c>
      <c r="B2531" s="5" t="s">
        <v>1595</v>
      </c>
      <c r="C2531" s="9" t="s">
        <v>2067</v>
      </c>
      <c r="D2531" s="5">
        <v>2</v>
      </c>
      <c r="E2531" s="9" t="s">
        <v>3191</v>
      </c>
      <c r="F2531" s="5" t="s">
        <v>2513</v>
      </c>
      <c r="G2531" s="5" t="s">
        <v>3177</v>
      </c>
      <c r="H2531" s="5"/>
      <c r="I2531" s="9" t="s">
        <v>3302</v>
      </c>
      <c r="J2531" s="5"/>
      <c r="K2531" s="5">
        <v>21</v>
      </c>
      <c r="L2531" s="9" t="s">
        <v>4223</v>
      </c>
      <c r="M2531" s="5"/>
      <c r="N2531" s="9" t="s">
        <v>5859</v>
      </c>
      <c r="O2531" s="9" t="str">
        <f t="shared" si="239"/>
        <v>PDFを開く</v>
      </c>
      <c r="P2531" s="9" t="s">
        <v>2072</v>
      </c>
    </row>
    <row r="2532" spans="1:16" ht="33.950000000000003" customHeight="1">
      <c r="A2532" s="2" t="s">
        <v>2066</v>
      </c>
      <c r="B2532" s="2" t="s">
        <v>1595</v>
      </c>
      <c r="C2532" s="8" t="s">
        <v>2067</v>
      </c>
      <c r="D2532" s="2">
        <v>2</v>
      </c>
      <c r="E2532" s="8" t="s">
        <v>3191</v>
      </c>
      <c r="F2532" s="2" t="s">
        <v>2513</v>
      </c>
      <c r="G2532" s="2" t="s">
        <v>3177</v>
      </c>
      <c r="H2532" s="2"/>
      <c r="I2532" s="8" t="s">
        <v>3305</v>
      </c>
      <c r="J2532" s="2"/>
      <c r="K2532" s="2">
        <v>27</v>
      </c>
      <c r="L2532" s="8" t="s">
        <v>4318</v>
      </c>
      <c r="M2532" s="2"/>
      <c r="N2532" s="8" t="s">
        <v>5859</v>
      </c>
      <c r="O2532" s="8" t="str">
        <f t="shared" si="239"/>
        <v>PDFを開く</v>
      </c>
      <c r="P2532" s="8" t="s">
        <v>2072</v>
      </c>
    </row>
    <row r="2533" spans="1:16" ht="33.950000000000003" customHeight="1">
      <c r="A2533" s="5" t="s">
        <v>2066</v>
      </c>
      <c r="B2533" s="5" t="s">
        <v>1595</v>
      </c>
      <c r="C2533" s="9" t="s">
        <v>2067</v>
      </c>
      <c r="D2533" s="5">
        <v>2</v>
      </c>
      <c r="E2533" s="9" t="s">
        <v>3176</v>
      </c>
      <c r="F2533" s="5" t="s">
        <v>86</v>
      </c>
      <c r="G2533" s="5" t="s">
        <v>3177</v>
      </c>
      <c r="H2533" s="5"/>
      <c r="I2533" s="9" t="s">
        <v>5351</v>
      </c>
      <c r="J2533" s="5">
        <v>2028</v>
      </c>
      <c r="K2533" s="5">
        <v>3506</v>
      </c>
      <c r="L2533" s="9" t="s">
        <v>5860</v>
      </c>
      <c r="M2533" s="5">
        <v>52.8</v>
      </c>
      <c r="N2533" s="9" t="s">
        <v>5861</v>
      </c>
      <c r="O2533" s="9" t="str">
        <f t="shared" si="239"/>
        <v>PDFを開く</v>
      </c>
      <c r="P2533" s="9" t="s">
        <v>2072</v>
      </c>
    </row>
    <row r="2534" spans="1:16" ht="33.950000000000003" customHeight="1">
      <c r="A2534" s="2" t="s">
        <v>2066</v>
      </c>
      <c r="B2534" s="2" t="s">
        <v>1595</v>
      </c>
      <c r="C2534" s="8" t="s">
        <v>2067</v>
      </c>
      <c r="D2534" s="2">
        <v>2</v>
      </c>
      <c r="E2534" s="8" t="s">
        <v>3176</v>
      </c>
      <c r="F2534" s="2" t="s">
        <v>86</v>
      </c>
      <c r="G2534" s="2" t="s">
        <v>3177</v>
      </c>
      <c r="H2534" s="2"/>
      <c r="I2534" s="8" t="s">
        <v>5353</v>
      </c>
      <c r="J2534" s="2">
        <v>2031</v>
      </c>
      <c r="K2534" s="2">
        <v>12510</v>
      </c>
      <c r="L2534" s="8" t="s">
        <v>5862</v>
      </c>
      <c r="M2534" s="2">
        <v>52.8</v>
      </c>
      <c r="N2534" s="8" t="s">
        <v>5861</v>
      </c>
      <c r="O2534" s="8" t="str">
        <f t="shared" si="239"/>
        <v>PDFを開く</v>
      </c>
      <c r="P2534" s="8" t="s">
        <v>2072</v>
      </c>
    </row>
    <row r="2535" spans="1:16" ht="33.950000000000003" customHeight="1">
      <c r="A2535" s="5" t="s">
        <v>2066</v>
      </c>
      <c r="B2535" s="5" t="s">
        <v>1595</v>
      </c>
      <c r="C2535" s="9" t="s">
        <v>2067</v>
      </c>
      <c r="D2535" s="5">
        <v>2</v>
      </c>
      <c r="E2535" s="9" t="s">
        <v>3184</v>
      </c>
      <c r="F2535" s="5" t="s">
        <v>86</v>
      </c>
      <c r="G2535" s="5" t="s">
        <v>3177</v>
      </c>
      <c r="H2535" s="5"/>
      <c r="I2535" s="9" t="s">
        <v>5351</v>
      </c>
      <c r="J2535" s="5">
        <v>2028</v>
      </c>
      <c r="K2535" s="5">
        <v>1996</v>
      </c>
      <c r="L2535" s="9" t="s">
        <v>5863</v>
      </c>
      <c r="M2535" s="5">
        <v>5.6</v>
      </c>
      <c r="N2535" s="9" t="s">
        <v>5864</v>
      </c>
      <c r="O2535" s="9" t="str">
        <f t="shared" si="239"/>
        <v>PDFを開く</v>
      </c>
      <c r="P2535" s="9" t="s">
        <v>2072</v>
      </c>
    </row>
    <row r="2536" spans="1:16" ht="33.950000000000003" customHeight="1">
      <c r="A2536" s="2" t="s">
        <v>2066</v>
      </c>
      <c r="B2536" s="2" t="s">
        <v>1595</v>
      </c>
      <c r="C2536" s="8" t="s">
        <v>2067</v>
      </c>
      <c r="D2536" s="2">
        <v>2</v>
      </c>
      <c r="E2536" s="8" t="s">
        <v>3184</v>
      </c>
      <c r="F2536" s="2" t="s">
        <v>86</v>
      </c>
      <c r="G2536" s="2" t="s">
        <v>3177</v>
      </c>
      <c r="H2536" s="2"/>
      <c r="I2536" s="8" t="s">
        <v>5353</v>
      </c>
      <c r="J2536" s="2">
        <v>2031</v>
      </c>
      <c r="K2536" s="2">
        <v>2348</v>
      </c>
      <c r="L2536" s="8" t="s">
        <v>5865</v>
      </c>
      <c r="M2536" s="2">
        <v>5.6</v>
      </c>
      <c r="N2536" s="8" t="s">
        <v>5864</v>
      </c>
      <c r="O2536" s="8" t="str">
        <f t="shared" si="239"/>
        <v>PDFを開く</v>
      </c>
      <c r="P2536" s="8" t="s">
        <v>2072</v>
      </c>
    </row>
    <row r="2537" spans="1:16" ht="33.950000000000003" customHeight="1">
      <c r="A2537" s="5" t="s">
        <v>2066</v>
      </c>
      <c r="B2537" s="5" t="s">
        <v>1595</v>
      </c>
      <c r="C2537" s="9" t="s">
        <v>2067</v>
      </c>
      <c r="D2537" s="5">
        <v>2</v>
      </c>
      <c r="E2537" s="9" t="s">
        <v>3191</v>
      </c>
      <c r="F2537" s="5" t="s">
        <v>2513</v>
      </c>
      <c r="G2537" s="5" t="s">
        <v>3177</v>
      </c>
      <c r="H2537" s="5"/>
      <c r="I2537" s="9" t="s">
        <v>5351</v>
      </c>
      <c r="J2537" s="5">
        <v>2028</v>
      </c>
      <c r="K2537" s="5">
        <v>21</v>
      </c>
      <c r="L2537" s="9" t="s">
        <v>4223</v>
      </c>
      <c r="M2537" s="5"/>
      <c r="N2537" s="9" t="s">
        <v>5866</v>
      </c>
      <c r="O2537" s="9" t="str">
        <f t="shared" si="239"/>
        <v>PDFを開く</v>
      </c>
      <c r="P2537" s="9" t="s">
        <v>2072</v>
      </c>
    </row>
    <row r="2538" spans="1:16" ht="33.950000000000003" customHeight="1">
      <c r="A2538" s="2" t="s">
        <v>2066</v>
      </c>
      <c r="B2538" s="2" t="s">
        <v>1595</v>
      </c>
      <c r="C2538" s="8" t="s">
        <v>2067</v>
      </c>
      <c r="D2538" s="2">
        <v>2</v>
      </c>
      <c r="E2538" s="8" t="s">
        <v>3191</v>
      </c>
      <c r="F2538" s="2" t="s">
        <v>2513</v>
      </c>
      <c r="G2538" s="2" t="s">
        <v>3177</v>
      </c>
      <c r="H2538" s="2"/>
      <c r="I2538" s="8" t="s">
        <v>5353</v>
      </c>
      <c r="J2538" s="2">
        <v>2031</v>
      </c>
      <c r="K2538" s="2">
        <v>27</v>
      </c>
      <c r="L2538" s="8" t="s">
        <v>4318</v>
      </c>
      <c r="M2538" s="2"/>
      <c r="N2538" s="8" t="s">
        <v>5866</v>
      </c>
      <c r="O2538" s="8" t="str">
        <f t="shared" si="239"/>
        <v>PDFを開く</v>
      </c>
      <c r="P2538" s="8" t="s">
        <v>2072</v>
      </c>
    </row>
    <row r="2539" spans="1:16" ht="33.950000000000003" customHeight="1">
      <c r="A2539" s="5" t="s">
        <v>2073</v>
      </c>
      <c r="B2539" s="5" t="s">
        <v>1595</v>
      </c>
      <c r="C2539" s="9" t="s">
        <v>2074</v>
      </c>
      <c r="D2539" s="5">
        <v>2</v>
      </c>
      <c r="E2539" s="9" t="s">
        <v>3176</v>
      </c>
      <c r="F2539" s="5" t="s">
        <v>86</v>
      </c>
      <c r="G2539" s="5" t="s">
        <v>3177</v>
      </c>
      <c r="H2539" s="5" t="s">
        <v>3178</v>
      </c>
      <c r="I2539" s="9" t="s">
        <v>3179</v>
      </c>
      <c r="J2539" s="5">
        <v>2026</v>
      </c>
      <c r="K2539" s="5">
        <v>573</v>
      </c>
      <c r="L2539" s="9" t="s">
        <v>5867</v>
      </c>
      <c r="M2539" s="5">
        <v>19.600000000000001</v>
      </c>
      <c r="N2539" s="9" t="s">
        <v>5868</v>
      </c>
      <c r="O2539" s="9" t="str">
        <f t="shared" ref="O2539:O2547" si="240">HYPERLINK("https://seichotoushi-hojo.jp/assets/pdf/koufu_3_4ji/outline_48.pdf","PDFを開く")</f>
        <v>PDFを開く</v>
      </c>
      <c r="P2539" s="9" t="s">
        <v>2080</v>
      </c>
    </row>
    <row r="2540" spans="1:16" ht="33.950000000000003" customHeight="1">
      <c r="A2540" s="2" t="s">
        <v>2073</v>
      </c>
      <c r="B2540" s="2" t="s">
        <v>1595</v>
      </c>
      <c r="C2540" s="8" t="s">
        <v>2074</v>
      </c>
      <c r="D2540" s="2">
        <v>2</v>
      </c>
      <c r="E2540" s="8" t="s">
        <v>3176</v>
      </c>
      <c r="F2540" s="2" t="s">
        <v>86</v>
      </c>
      <c r="G2540" s="2" t="s">
        <v>3177</v>
      </c>
      <c r="H2540" s="2" t="s">
        <v>3178</v>
      </c>
      <c r="I2540" s="8" t="s">
        <v>3182</v>
      </c>
      <c r="J2540" s="2">
        <v>2029</v>
      </c>
      <c r="K2540" s="2">
        <v>982</v>
      </c>
      <c r="L2540" s="8" t="s">
        <v>5869</v>
      </c>
      <c r="M2540" s="2">
        <v>19.600000000000001</v>
      </c>
      <c r="N2540" s="8" t="s">
        <v>5868</v>
      </c>
      <c r="O2540" s="8" t="str">
        <f t="shared" si="240"/>
        <v>PDFを開く</v>
      </c>
      <c r="P2540" s="8" t="s">
        <v>2080</v>
      </c>
    </row>
    <row r="2541" spans="1:16" ht="33.950000000000003" customHeight="1">
      <c r="A2541" s="5" t="s">
        <v>2073</v>
      </c>
      <c r="B2541" s="5" t="s">
        <v>1595</v>
      </c>
      <c r="C2541" s="9" t="s">
        <v>2074</v>
      </c>
      <c r="D2541" s="5">
        <v>2</v>
      </c>
      <c r="E2541" s="9" t="s">
        <v>3184</v>
      </c>
      <c r="F2541" s="5" t="s">
        <v>86</v>
      </c>
      <c r="G2541" s="5" t="s">
        <v>3177</v>
      </c>
      <c r="H2541" s="5" t="s">
        <v>3178</v>
      </c>
      <c r="I2541" s="9" t="s">
        <v>3179</v>
      </c>
      <c r="J2541" s="5">
        <v>2026</v>
      </c>
      <c r="K2541" s="5">
        <v>420</v>
      </c>
      <c r="L2541" s="9" t="s">
        <v>3394</v>
      </c>
      <c r="M2541" s="5">
        <v>6</v>
      </c>
      <c r="N2541" s="9" t="s">
        <v>5870</v>
      </c>
      <c r="O2541" s="9" t="str">
        <f t="shared" si="240"/>
        <v>PDFを開く</v>
      </c>
      <c r="P2541" s="9" t="s">
        <v>2080</v>
      </c>
    </row>
    <row r="2542" spans="1:16" ht="33.950000000000003" customHeight="1">
      <c r="A2542" s="2" t="s">
        <v>2073</v>
      </c>
      <c r="B2542" s="2" t="s">
        <v>1595</v>
      </c>
      <c r="C2542" s="8" t="s">
        <v>2074</v>
      </c>
      <c r="D2542" s="2">
        <v>2</v>
      </c>
      <c r="E2542" s="8" t="s">
        <v>3184</v>
      </c>
      <c r="F2542" s="2" t="s">
        <v>86</v>
      </c>
      <c r="G2542" s="2" t="s">
        <v>3177</v>
      </c>
      <c r="H2542" s="2" t="s">
        <v>3178</v>
      </c>
      <c r="I2542" s="8" t="s">
        <v>3182</v>
      </c>
      <c r="J2542" s="2">
        <v>2029</v>
      </c>
      <c r="K2542" s="2">
        <v>500</v>
      </c>
      <c r="L2542" s="8" t="s">
        <v>4108</v>
      </c>
      <c r="M2542" s="2">
        <v>6</v>
      </c>
      <c r="N2542" s="8" t="s">
        <v>5870</v>
      </c>
      <c r="O2542" s="8" t="str">
        <f t="shared" si="240"/>
        <v>PDFを開く</v>
      </c>
      <c r="P2542" s="8" t="s">
        <v>2080</v>
      </c>
    </row>
    <row r="2543" spans="1:16" ht="33.950000000000003" customHeight="1">
      <c r="A2543" s="5" t="s">
        <v>2073</v>
      </c>
      <c r="B2543" s="5" t="s">
        <v>1595</v>
      </c>
      <c r="C2543" s="9" t="s">
        <v>2074</v>
      </c>
      <c r="D2543" s="5">
        <v>2</v>
      </c>
      <c r="E2543" s="9" t="s">
        <v>3188</v>
      </c>
      <c r="F2543" s="5" t="s">
        <v>86</v>
      </c>
      <c r="G2543" s="19" t="s">
        <v>3189</v>
      </c>
      <c r="H2543" s="5" t="s">
        <v>3178</v>
      </c>
      <c r="I2543" s="9"/>
      <c r="J2543" s="5"/>
      <c r="K2543" s="5"/>
      <c r="L2543" s="9"/>
      <c r="M2543" s="5">
        <v>5</v>
      </c>
      <c r="N2543" s="9" t="s">
        <v>3377</v>
      </c>
      <c r="O2543" s="9" t="str">
        <f t="shared" si="240"/>
        <v>PDFを開く</v>
      </c>
      <c r="P2543" s="9" t="s">
        <v>2080</v>
      </c>
    </row>
    <row r="2544" spans="1:16" ht="33.950000000000003" customHeight="1">
      <c r="A2544" s="2" t="s">
        <v>2073</v>
      </c>
      <c r="B2544" s="2" t="s">
        <v>1595</v>
      </c>
      <c r="C2544" s="8" t="s">
        <v>2074</v>
      </c>
      <c r="D2544" s="2">
        <v>2</v>
      </c>
      <c r="E2544" s="8" t="s">
        <v>3191</v>
      </c>
      <c r="F2544" s="2" t="s">
        <v>2513</v>
      </c>
      <c r="G2544" s="2" t="s">
        <v>3177</v>
      </c>
      <c r="H2544" s="2" t="s">
        <v>3178</v>
      </c>
      <c r="I2544" s="8" t="s">
        <v>3179</v>
      </c>
      <c r="J2544" s="2">
        <v>2026</v>
      </c>
      <c r="K2544" s="2">
        <v>427</v>
      </c>
      <c r="L2544" s="8" t="s">
        <v>5421</v>
      </c>
      <c r="M2544" s="2"/>
      <c r="N2544" s="8" t="s">
        <v>5871</v>
      </c>
      <c r="O2544" s="8" t="str">
        <f t="shared" si="240"/>
        <v>PDFを開く</v>
      </c>
      <c r="P2544" s="8" t="s">
        <v>2080</v>
      </c>
    </row>
    <row r="2545" spans="1:16" ht="33.950000000000003" customHeight="1">
      <c r="A2545" s="5" t="s">
        <v>2073</v>
      </c>
      <c r="B2545" s="5" t="s">
        <v>1595</v>
      </c>
      <c r="C2545" s="9" t="s">
        <v>2074</v>
      </c>
      <c r="D2545" s="5">
        <v>2</v>
      </c>
      <c r="E2545" s="9" t="s">
        <v>3191</v>
      </c>
      <c r="F2545" s="5" t="s">
        <v>2513</v>
      </c>
      <c r="G2545" s="5" t="s">
        <v>3177</v>
      </c>
      <c r="H2545" s="5" t="s">
        <v>3178</v>
      </c>
      <c r="I2545" s="9" t="s">
        <v>3182</v>
      </c>
      <c r="J2545" s="5">
        <v>2029</v>
      </c>
      <c r="K2545" s="5">
        <v>433</v>
      </c>
      <c r="L2545" s="9" t="s">
        <v>3567</v>
      </c>
      <c r="M2545" s="5"/>
      <c r="N2545" s="9" t="s">
        <v>5871</v>
      </c>
      <c r="O2545" s="9" t="str">
        <f t="shared" si="240"/>
        <v>PDFを開く</v>
      </c>
      <c r="P2545" s="9" t="s">
        <v>2080</v>
      </c>
    </row>
    <row r="2546" spans="1:16" ht="33.950000000000003" customHeight="1">
      <c r="A2546" s="2" t="s">
        <v>2073</v>
      </c>
      <c r="B2546" s="2" t="s">
        <v>1595</v>
      </c>
      <c r="C2546" s="8" t="s">
        <v>2074</v>
      </c>
      <c r="D2546" s="2">
        <v>2</v>
      </c>
      <c r="E2546" s="8" t="s">
        <v>3188</v>
      </c>
      <c r="F2546" s="2" t="s">
        <v>86</v>
      </c>
      <c r="G2546" s="2" t="s">
        <v>3177</v>
      </c>
      <c r="H2546" s="2"/>
      <c r="I2546" s="8" t="s">
        <v>5872</v>
      </c>
      <c r="J2546" s="2">
        <v>2026</v>
      </c>
      <c r="K2546" s="2"/>
      <c r="L2546" s="8" t="s">
        <v>3211</v>
      </c>
      <c r="M2546" s="2">
        <v>5</v>
      </c>
      <c r="N2546" s="8" t="s">
        <v>3382</v>
      </c>
      <c r="O2546" s="8" t="str">
        <f t="shared" si="240"/>
        <v>PDFを開く</v>
      </c>
      <c r="P2546" s="8" t="s">
        <v>2080</v>
      </c>
    </row>
    <row r="2547" spans="1:16" ht="33.950000000000003" customHeight="1">
      <c r="A2547" s="5" t="s">
        <v>2073</v>
      </c>
      <c r="B2547" s="5" t="s">
        <v>1595</v>
      </c>
      <c r="C2547" s="9" t="s">
        <v>2074</v>
      </c>
      <c r="D2547" s="5">
        <v>2</v>
      </c>
      <c r="E2547" s="9" t="s">
        <v>3188</v>
      </c>
      <c r="F2547" s="5" t="s">
        <v>86</v>
      </c>
      <c r="G2547" s="5" t="s">
        <v>3177</v>
      </c>
      <c r="H2547" s="5"/>
      <c r="I2547" s="9" t="s">
        <v>5873</v>
      </c>
      <c r="J2547" s="5">
        <v>2029</v>
      </c>
      <c r="K2547" s="5"/>
      <c r="L2547" s="9" t="s">
        <v>3384</v>
      </c>
      <c r="M2547" s="5">
        <v>5</v>
      </c>
      <c r="N2547" s="9" t="s">
        <v>3382</v>
      </c>
      <c r="O2547" s="9" t="str">
        <f t="shared" si="240"/>
        <v>PDFを開く</v>
      </c>
      <c r="P2547" s="9" t="s">
        <v>2080</v>
      </c>
    </row>
    <row r="2548" spans="1:16" ht="33.950000000000003" customHeight="1">
      <c r="A2548" s="2" t="s">
        <v>2081</v>
      </c>
      <c r="B2548" s="2" t="s">
        <v>1595</v>
      </c>
      <c r="C2548" s="8" t="s">
        <v>2082</v>
      </c>
      <c r="D2548" s="2">
        <v>2</v>
      </c>
      <c r="E2548" s="8" t="s">
        <v>3176</v>
      </c>
      <c r="F2548" s="2" t="s">
        <v>86</v>
      </c>
      <c r="G2548" s="2" t="s">
        <v>3177</v>
      </c>
      <c r="H2548" s="2" t="s">
        <v>3178</v>
      </c>
      <c r="I2548" s="8" t="s">
        <v>3259</v>
      </c>
      <c r="J2548" s="2">
        <v>2027</v>
      </c>
      <c r="K2548" s="2">
        <v>955</v>
      </c>
      <c r="L2548" s="8" t="s">
        <v>5874</v>
      </c>
      <c r="M2548" s="2">
        <v>43.9</v>
      </c>
      <c r="N2548" s="8" t="s">
        <v>5875</v>
      </c>
      <c r="O2548" s="8" t="str">
        <f t="shared" ref="O2548:O2556" si="241">HYPERLINK("https://seichotoushi-hojo.jp/assets/pdf/koufu_3_4ji/outline_49.pdf","PDFを開く")</f>
        <v>PDFを開く</v>
      </c>
      <c r="P2548" s="8" t="s">
        <v>2089</v>
      </c>
    </row>
    <row r="2549" spans="1:16" ht="33.950000000000003" customHeight="1">
      <c r="A2549" s="5" t="s">
        <v>2081</v>
      </c>
      <c r="B2549" s="5" t="s">
        <v>1595</v>
      </c>
      <c r="C2549" s="9" t="s">
        <v>2082</v>
      </c>
      <c r="D2549" s="5">
        <v>2</v>
      </c>
      <c r="E2549" s="9" t="s">
        <v>3176</v>
      </c>
      <c r="F2549" s="5" t="s">
        <v>86</v>
      </c>
      <c r="G2549" s="5" t="s">
        <v>3177</v>
      </c>
      <c r="H2549" s="5" t="s">
        <v>3178</v>
      </c>
      <c r="I2549" s="9" t="s">
        <v>3262</v>
      </c>
      <c r="J2549" s="5">
        <v>2030</v>
      </c>
      <c r="K2549" s="5">
        <v>2845</v>
      </c>
      <c r="L2549" s="9" t="s">
        <v>5876</v>
      </c>
      <c r="M2549" s="5">
        <v>43.9</v>
      </c>
      <c r="N2549" s="9" t="s">
        <v>5875</v>
      </c>
      <c r="O2549" s="9" t="str">
        <f t="shared" si="241"/>
        <v>PDFを開く</v>
      </c>
      <c r="P2549" s="9" t="s">
        <v>2089</v>
      </c>
    </row>
    <row r="2550" spans="1:16" ht="33.950000000000003" customHeight="1">
      <c r="A2550" s="2" t="s">
        <v>2081</v>
      </c>
      <c r="B2550" s="2" t="s">
        <v>1595</v>
      </c>
      <c r="C2550" s="8" t="s">
        <v>2082</v>
      </c>
      <c r="D2550" s="2">
        <v>2</v>
      </c>
      <c r="E2550" s="8" t="s">
        <v>3184</v>
      </c>
      <c r="F2550" s="2" t="s">
        <v>86</v>
      </c>
      <c r="G2550" s="2" t="s">
        <v>3177</v>
      </c>
      <c r="H2550" s="2" t="s">
        <v>3178</v>
      </c>
      <c r="I2550" s="8" t="s">
        <v>3259</v>
      </c>
      <c r="J2550" s="2">
        <v>2027</v>
      </c>
      <c r="K2550" s="2">
        <v>488</v>
      </c>
      <c r="L2550" s="8" t="s">
        <v>5606</v>
      </c>
      <c r="M2550" s="2">
        <v>6.7</v>
      </c>
      <c r="N2550" s="8" t="s">
        <v>5877</v>
      </c>
      <c r="O2550" s="8" t="str">
        <f t="shared" si="241"/>
        <v>PDFを開く</v>
      </c>
      <c r="P2550" s="8" t="s">
        <v>2089</v>
      </c>
    </row>
    <row r="2551" spans="1:16" ht="33.950000000000003" customHeight="1">
      <c r="A2551" s="5" t="s">
        <v>2081</v>
      </c>
      <c r="B2551" s="5" t="s">
        <v>1595</v>
      </c>
      <c r="C2551" s="9" t="s">
        <v>2082</v>
      </c>
      <c r="D2551" s="5">
        <v>2</v>
      </c>
      <c r="E2551" s="9" t="s">
        <v>3184</v>
      </c>
      <c r="F2551" s="5" t="s">
        <v>86</v>
      </c>
      <c r="G2551" s="5" t="s">
        <v>3177</v>
      </c>
      <c r="H2551" s="5" t="s">
        <v>3178</v>
      </c>
      <c r="I2551" s="9" t="s">
        <v>3262</v>
      </c>
      <c r="J2551" s="5">
        <v>2030</v>
      </c>
      <c r="K2551" s="5">
        <v>593</v>
      </c>
      <c r="L2551" s="9" t="s">
        <v>5825</v>
      </c>
      <c r="M2551" s="5">
        <v>6.7</v>
      </c>
      <c r="N2551" s="9" t="s">
        <v>5877</v>
      </c>
      <c r="O2551" s="9" t="str">
        <f t="shared" si="241"/>
        <v>PDFを開く</v>
      </c>
      <c r="P2551" s="9" t="s">
        <v>2089</v>
      </c>
    </row>
    <row r="2552" spans="1:16" ht="33.950000000000003" customHeight="1">
      <c r="A2552" s="2" t="s">
        <v>2081</v>
      </c>
      <c r="B2552" s="2" t="s">
        <v>1595</v>
      </c>
      <c r="C2552" s="8" t="s">
        <v>2082</v>
      </c>
      <c r="D2552" s="2">
        <v>2</v>
      </c>
      <c r="E2552" s="8" t="s">
        <v>3188</v>
      </c>
      <c r="F2552" s="2" t="s">
        <v>86</v>
      </c>
      <c r="G2552" s="19" t="s">
        <v>3189</v>
      </c>
      <c r="H2552" s="2" t="s">
        <v>3178</v>
      </c>
      <c r="I2552" s="8"/>
      <c r="J2552" s="2"/>
      <c r="K2552" s="2"/>
      <c r="L2552" s="8"/>
      <c r="M2552" s="2">
        <v>6.7</v>
      </c>
      <c r="N2552" s="8" t="s">
        <v>5878</v>
      </c>
      <c r="O2552" s="8" t="str">
        <f t="shared" si="241"/>
        <v>PDFを開く</v>
      </c>
      <c r="P2552" s="8" t="s">
        <v>2089</v>
      </c>
    </row>
    <row r="2553" spans="1:16" ht="33.950000000000003" customHeight="1">
      <c r="A2553" s="5" t="s">
        <v>2081</v>
      </c>
      <c r="B2553" s="5" t="s">
        <v>1595</v>
      </c>
      <c r="C2553" s="9" t="s">
        <v>2082</v>
      </c>
      <c r="D2553" s="5">
        <v>2</v>
      </c>
      <c r="E2553" s="9" t="s">
        <v>3191</v>
      </c>
      <c r="F2553" s="5" t="s">
        <v>2513</v>
      </c>
      <c r="G2553" s="5" t="s">
        <v>3177</v>
      </c>
      <c r="H2553" s="5" t="s">
        <v>3178</v>
      </c>
      <c r="I2553" s="9" t="s">
        <v>3259</v>
      </c>
      <c r="J2553" s="5">
        <v>2027</v>
      </c>
      <c r="K2553" s="5">
        <v>55</v>
      </c>
      <c r="L2553" s="9" t="s">
        <v>3944</v>
      </c>
      <c r="M2553" s="5"/>
      <c r="N2553" s="9" t="s">
        <v>5879</v>
      </c>
      <c r="O2553" s="9" t="str">
        <f t="shared" si="241"/>
        <v>PDFを開く</v>
      </c>
      <c r="P2553" s="9" t="s">
        <v>2089</v>
      </c>
    </row>
    <row r="2554" spans="1:16" ht="33.950000000000003" customHeight="1">
      <c r="A2554" s="2" t="s">
        <v>2081</v>
      </c>
      <c r="B2554" s="2" t="s">
        <v>1595</v>
      </c>
      <c r="C2554" s="8" t="s">
        <v>2082</v>
      </c>
      <c r="D2554" s="2">
        <v>2</v>
      </c>
      <c r="E2554" s="8" t="s">
        <v>3191</v>
      </c>
      <c r="F2554" s="2" t="s">
        <v>2513</v>
      </c>
      <c r="G2554" s="2" t="s">
        <v>3177</v>
      </c>
      <c r="H2554" s="2" t="s">
        <v>3178</v>
      </c>
      <c r="I2554" s="8" t="s">
        <v>3262</v>
      </c>
      <c r="J2554" s="2">
        <v>2030</v>
      </c>
      <c r="K2554" s="2">
        <v>60</v>
      </c>
      <c r="L2554" s="8" t="s">
        <v>3406</v>
      </c>
      <c r="M2554" s="2"/>
      <c r="N2554" s="8" t="s">
        <v>5879</v>
      </c>
      <c r="O2554" s="8" t="str">
        <f t="shared" si="241"/>
        <v>PDFを開く</v>
      </c>
      <c r="P2554" s="8" t="s">
        <v>2089</v>
      </c>
    </row>
    <row r="2555" spans="1:16" ht="33.950000000000003" customHeight="1">
      <c r="A2555" s="5" t="s">
        <v>2081</v>
      </c>
      <c r="B2555" s="5" t="s">
        <v>1595</v>
      </c>
      <c r="C2555" s="9" t="s">
        <v>2082</v>
      </c>
      <c r="D2555" s="5">
        <v>2</v>
      </c>
      <c r="E2555" s="9" t="s">
        <v>3188</v>
      </c>
      <c r="F2555" s="5" t="s">
        <v>86</v>
      </c>
      <c r="G2555" s="5" t="s">
        <v>3177</v>
      </c>
      <c r="H2555" s="5"/>
      <c r="I2555" s="9" t="s">
        <v>5880</v>
      </c>
      <c r="J2555" s="5">
        <v>2027</v>
      </c>
      <c r="K2555" s="5"/>
      <c r="L2555" s="9" t="s">
        <v>3211</v>
      </c>
      <c r="M2555" s="5">
        <v>6.7</v>
      </c>
      <c r="N2555" s="9" t="s">
        <v>5881</v>
      </c>
      <c r="O2555" s="9" t="str">
        <f t="shared" si="241"/>
        <v>PDFを開く</v>
      </c>
      <c r="P2555" s="9" t="s">
        <v>2089</v>
      </c>
    </row>
    <row r="2556" spans="1:16" ht="33.950000000000003" customHeight="1">
      <c r="A2556" s="2" t="s">
        <v>2081</v>
      </c>
      <c r="B2556" s="2" t="s">
        <v>1595</v>
      </c>
      <c r="C2556" s="8" t="s">
        <v>2082</v>
      </c>
      <c r="D2556" s="2">
        <v>2</v>
      </c>
      <c r="E2556" s="8" t="s">
        <v>3188</v>
      </c>
      <c r="F2556" s="2" t="s">
        <v>86</v>
      </c>
      <c r="G2556" s="2" t="s">
        <v>3177</v>
      </c>
      <c r="H2556" s="2"/>
      <c r="I2556" s="8" t="s">
        <v>5882</v>
      </c>
      <c r="J2556" s="2">
        <v>2030</v>
      </c>
      <c r="K2556" s="2"/>
      <c r="L2556" s="8" t="s">
        <v>5883</v>
      </c>
      <c r="M2556" s="2">
        <v>6.7</v>
      </c>
      <c r="N2556" s="8" t="s">
        <v>5881</v>
      </c>
      <c r="O2556" s="8" t="str">
        <f t="shared" si="241"/>
        <v>PDFを開く</v>
      </c>
      <c r="P2556" s="8" t="s">
        <v>2089</v>
      </c>
    </row>
    <row r="2557" spans="1:16" ht="33.950000000000003" customHeight="1">
      <c r="A2557" s="5" t="s">
        <v>2090</v>
      </c>
      <c r="B2557" s="5" t="s">
        <v>1595</v>
      </c>
      <c r="C2557" s="9" t="s">
        <v>2091</v>
      </c>
      <c r="D2557" s="5">
        <v>2</v>
      </c>
      <c r="E2557" s="9" t="s">
        <v>3176</v>
      </c>
      <c r="F2557" s="5" t="s">
        <v>86</v>
      </c>
      <c r="G2557" s="5" t="s">
        <v>3177</v>
      </c>
      <c r="H2557" s="5" t="s">
        <v>3178</v>
      </c>
      <c r="I2557" s="9" t="s">
        <v>3179</v>
      </c>
      <c r="J2557" s="5">
        <v>2026</v>
      </c>
      <c r="K2557" s="5">
        <v>872</v>
      </c>
      <c r="L2557" s="9" t="s">
        <v>5791</v>
      </c>
      <c r="M2557" s="5">
        <v>57.2</v>
      </c>
      <c r="N2557" s="9" t="s">
        <v>5884</v>
      </c>
      <c r="O2557" s="9" t="str">
        <f t="shared" ref="O2557:O2565" si="242">HYPERLINK("https://seichotoushi-hojo.jp/assets/pdf/koufu_3_4ji/outline_5.pdf","PDFを開く")</f>
        <v>PDFを開く</v>
      </c>
      <c r="P2557" s="9" t="s">
        <v>2097</v>
      </c>
    </row>
    <row r="2558" spans="1:16" ht="33.950000000000003" customHeight="1">
      <c r="A2558" s="2" t="s">
        <v>2090</v>
      </c>
      <c r="B2558" s="2" t="s">
        <v>1595</v>
      </c>
      <c r="C2558" s="8" t="s">
        <v>2091</v>
      </c>
      <c r="D2558" s="2">
        <v>2</v>
      </c>
      <c r="E2558" s="8" t="s">
        <v>3176</v>
      </c>
      <c r="F2558" s="2" t="s">
        <v>86</v>
      </c>
      <c r="G2558" s="2" t="s">
        <v>3177</v>
      </c>
      <c r="H2558" s="2" t="s">
        <v>3178</v>
      </c>
      <c r="I2558" s="8" t="s">
        <v>3182</v>
      </c>
      <c r="J2558" s="2">
        <v>2029</v>
      </c>
      <c r="K2558" s="2">
        <v>3390</v>
      </c>
      <c r="L2558" s="8" t="s">
        <v>5885</v>
      </c>
      <c r="M2558" s="2">
        <v>57.2</v>
      </c>
      <c r="N2558" s="8" t="s">
        <v>5884</v>
      </c>
      <c r="O2558" s="8" t="str">
        <f t="shared" si="242"/>
        <v>PDFを開く</v>
      </c>
      <c r="P2558" s="8" t="s">
        <v>2097</v>
      </c>
    </row>
    <row r="2559" spans="1:16" ht="33.950000000000003" customHeight="1">
      <c r="A2559" s="5" t="s">
        <v>2090</v>
      </c>
      <c r="B2559" s="5" t="s">
        <v>1595</v>
      </c>
      <c r="C2559" s="9" t="s">
        <v>2091</v>
      </c>
      <c r="D2559" s="5">
        <v>2</v>
      </c>
      <c r="E2559" s="9" t="s">
        <v>3184</v>
      </c>
      <c r="F2559" s="5" t="s">
        <v>86</v>
      </c>
      <c r="G2559" s="5" t="s">
        <v>3177</v>
      </c>
      <c r="H2559" s="5" t="s">
        <v>3178</v>
      </c>
      <c r="I2559" s="9" t="s">
        <v>3179</v>
      </c>
      <c r="J2559" s="5">
        <v>2026</v>
      </c>
      <c r="K2559" s="5">
        <v>465</v>
      </c>
      <c r="L2559" s="9" t="s">
        <v>4671</v>
      </c>
      <c r="M2559" s="5">
        <v>6.1</v>
      </c>
      <c r="N2559" s="9" t="s">
        <v>5886</v>
      </c>
      <c r="O2559" s="9" t="str">
        <f t="shared" si="242"/>
        <v>PDFを開く</v>
      </c>
      <c r="P2559" s="9" t="s">
        <v>2097</v>
      </c>
    </row>
    <row r="2560" spans="1:16" ht="33.950000000000003" customHeight="1">
      <c r="A2560" s="2" t="s">
        <v>2090</v>
      </c>
      <c r="B2560" s="2" t="s">
        <v>1595</v>
      </c>
      <c r="C2560" s="8" t="s">
        <v>2091</v>
      </c>
      <c r="D2560" s="2">
        <v>2</v>
      </c>
      <c r="E2560" s="8" t="s">
        <v>3184</v>
      </c>
      <c r="F2560" s="2" t="s">
        <v>86</v>
      </c>
      <c r="G2560" s="2" t="s">
        <v>3177</v>
      </c>
      <c r="H2560" s="2" t="s">
        <v>3178</v>
      </c>
      <c r="I2560" s="8" t="s">
        <v>3182</v>
      </c>
      <c r="J2560" s="2">
        <v>2029</v>
      </c>
      <c r="K2560" s="2">
        <v>555</v>
      </c>
      <c r="L2560" s="8" t="s">
        <v>3649</v>
      </c>
      <c r="M2560" s="2">
        <v>6.1</v>
      </c>
      <c r="N2560" s="8" t="s">
        <v>5886</v>
      </c>
      <c r="O2560" s="8" t="str">
        <f t="shared" si="242"/>
        <v>PDFを開く</v>
      </c>
      <c r="P2560" s="8" t="s">
        <v>2097</v>
      </c>
    </row>
    <row r="2561" spans="1:16" ht="33.950000000000003" customHeight="1">
      <c r="A2561" s="5" t="s">
        <v>2090</v>
      </c>
      <c r="B2561" s="5" t="s">
        <v>1595</v>
      </c>
      <c r="C2561" s="9" t="s">
        <v>2091</v>
      </c>
      <c r="D2561" s="5">
        <v>2</v>
      </c>
      <c r="E2561" s="9" t="s">
        <v>3188</v>
      </c>
      <c r="F2561" s="5" t="s">
        <v>86</v>
      </c>
      <c r="G2561" s="19" t="s">
        <v>3189</v>
      </c>
      <c r="H2561" s="5" t="s">
        <v>3178</v>
      </c>
      <c r="I2561" s="9"/>
      <c r="J2561" s="5"/>
      <c r="K2561" s="5"/>
      <c r="L2561" s="9"/>
      <c r="M2561" s="5">
        <v>6.1</v>
      </c>
      <c r="N2561" s="9" t="s">
        <v>5887</v>
      </c>
      <c r="O2561" s="9" t="str">
        <f t="shared" si="242"/>
        <v>PDFを開く</v>
      </c>
      <c r="P2561" s="9" t="s">
        <v>2097</v>
      </c>
    </row>
    <row r="2562" spans="1:16" ht="33.950000000000003" customHeight="1">
      <c r="A2562" s="2" t="s">
        <v>2090</v>
      </c>
      <c r="B2562" s="2" t="s">
        <v>1595</v>
      </c>
      <c r="C2562" s="8" t="s">
        <v>2091</v>
      </c>
      <c r="D2562" s="2">
        <v>2</v>
      </c>
      <c r="E2562" s="8" t="s">
        <v>3191</v>
      </c>
      <c r="F2562" s="2" t="s">
        <v>2513</v>
      </c>
      <c r="G2562" s="2" t="s">
        <v>3177</v>
      </c>
      <c r="H2562" s="2" t="s">
        <v>3178</v>
      </c>
      <c r="I2562" s="8" t="s">
        <v>3179</v>
      </c>
      <c r="J2562" s="2">
        <v>2026</v>
      </c>
      <c r="K2562" s="2">
        <v>17</v>
      </c>
      <c r="L2562" s="8" t="s">
        <v>3535</v>
      </c>
      <c r="M2562" s="2"/>
      <c r="N2562" s="8" t="s">
        <v>5888</v>
      </c>
      <c r="O2562" s="8" t="str">
        <f t="shared" si="242"/>
        <v>PDFを開く</v>
      </c>
      <c r="P2562" s="8" t="s">
        <v>2097</v>
      </c>
    </row>
    <row r="2563" spans="1:16" ht="33.950000000000003" customHeight="1">
      <c r="A2563" s="5" t="s">
        <v>2090</v>
      </c>
      <c r="B2563" s="5" t="s">
        <v>1595</v>
      </c>
      <c r="C2563" s="9" t="s">
        <v>2091</v>
      </c>
      <c r="D2563" s="5">
        <v>2</v>
      </c>
      <c r="E2563" s="9" t="s">
        <v>3191</v>
      </c>
      <c r="F2563" s="5" t="s">
        <v>2513</v>
      </c>
      <c r="G2563" s="5" t="s">
        <v>3177</v>
      </c>
      <c r="H2563" s="5" t="s">
        <v>3178</v>
      </c>
      <c r="I2563" s="9" t="s">
        <v>3182</v>
      </c>
      <c r="J2563" s="5">
        <v>2029</v>
      </c>
      <c r="K2563" s="5">
        <v>22</v>
      </c>
      <c r="L2563" s="9" t="s">
        <v>4071</v>
      </c>
      <c r="M2563" s="5"/>
      <c r="N2563" s="9" t="s">
        <v>5888</v>
      </c>
      <c r="O2563" s="9" t="str">
        <f t="shared" si="242"/>
        <v>PDFを開く</v>
      </c>
      <c r="P2563" s="9" t="s">
        <v>2097</v>
      </c>
    </row>
    <row r="2564" spans="1:16" ht="33.950000000000003" customHeight="1">
      <c r="A2564" s="2" t="s">
        <v>2090</v>
      </c>
      <c r="B2564" s="2" t="s">
        <v>1595</v>
      </c>
      <c r="C2564" s="8" t="s">
        <v>2091</v>
      </c>
      <c r="D2564" s="2">
        <v>2</v>
      </c>
      <c r="E2564" s="8" t="s">
        <v>3188</v>
      </c>
      <c r="F2564" s="2" t="s">
        <v>86</v>
      </c>
      <c r="G2564" s="2" t="s">
        <v>3177</v>
      </c>
      <c r="H2564" s="2"/>
      <c r="I2564" s="8" t="s">
        <v>5889</v>
      </c>
      <c r="J2564" s="2">
        <v>2026</v>
      </c>
      <c r="K2564" s="2"/>
      <c r="L2564" s="8" t="s">
        <v>3211</v>
      </c>
      <c r="M2564" s="2">
        <v>6.1</v>
      </c>
      <c r="N2564" s="8" t="s">
        <v>5890</v>
      </c>
      <c r="O2564" s="8" t="str">
        <f t="shared" si="242"/>
        <v>PDFを開く</v>
      </c>
      <c r="P2564" s="8" t="s">
        <v>2097</v>
      </c>
    </row>
    <row r="2565" spans="1:16" ht="33.950000000000003" customHeight="1">
      <c r="A2565" s="5" t="s">
        <v>2090</v>
      </c>
      <c r="B2565" s="5" t="s">
        <v>1595</v>
      </c>
      <c r="C2565" s="9" t="s">
        <v>2091</v>
      </c>
      <c r="D2565" s="5">
        <v>2</v>
      </c>
      <c r="E2565" s="9" t="s">
        <v>3188</v>
      </c>
      <c r="F2565" s="5" t="s">
        <v>86</v>
      </c>
      <c r="G2565" s="5" t="s">
        <v>3177</v>
      </c>
      <c r="H2565" s="5"/>
      <c r="I2565" s="9" t="s">
        <v>5891</v>
      </c>
      <c r="J2565" s="5">
        <v>2029</v>
      </c>
      <c r="K2565" s="5"/>
      <c r="L2565" s="9" t="s">
        <v>5716</v>
      </c>
      <c r="M2565" s="5">
        <v>6.1</v>
      </c>
      <c r="N2565" s="9" t="s">
        <v>5890</v>
      </c>
      <c r="O2565" s="9" t="str">
        <f t="shared" si="242"/>
        <v>PDFを開く</v>
      </c>
      <c r="P2565" s="9" t="s">
        <v>2097</v>
      </c>
    </row>
    <row r="2566" spans="1:16" ht="33.950000000000003" customHeight="1">
      <c r="A2566" s="2" t="s">
        <v>2098</v>
      </c>
      <c r="B2566" s="2" t="s">
        <v>1595</v>
      </c>
      <c r="C2566" s="8" t="s">
        <v>2099</v>
      </c>
      <c r="D2566" s="2">
        <v>3</v>
      </c>
      <c r="E2566" s="8" t="s">
        <v>3176</v>
      </c>
      <c r="F2566" s="2" t="s">
        <v>86</v>
      </c>
      <c r="G2566" s="19" t="s">
        <v>3189</v>
      </c>
      <c r="H2566" s="2" t="s">
        <v>3178</v>
      </c>
      <c r="I2566" s="8" t="s">
        <v>3305</v>
      </c>
      <c r="J2566" s="2"/>
      <c r="K2566" s="2">
        <v>2396</v>
      </c>
      <c r="L2566" s="8" t="s">
        <v>5892</v>
      </c>
      <c r="M2566" s="2">
        <v>23</v>
      </c>
      <c r="N2566" s="8" t="s">
        <v>5893</v>
      </c>
      <c r="O2566" s="8" t="str">
        <f t="shared" ref="O2566:O2580" si="243">HYPERLINK("https://seichotoushi-hojo.jp/assets/pdf/koufu_3_4ji/outline_51.pdf","PDFを開く")</f>
        <v>PDFを開く</v>
      </c>
      <c r="P2566" s="8" t="s">
        <v>2104</v>
      </c>
    </row>
    <row r="2567" spans="1:16" ht="33.950000000000003" customHeight="1">
      <c r="A2567" s="5" t="s">
        <v>2098</v>
      </c>
      <c r="B2567" s="5" t="s">
        <v>1595</v>
      </c>
      <c r="C2567" s="9" t="s">
        <v>2099</v>
      </c>
      <c r="D2567" s="5">
        <v>3</v>
      </c>
      <c r="E2567" s="9" t="s">
        <v>3176</v>
      </c>
      <c r="F2567" s="5" t="s">
        <v>86</v>
      </c>
      <c r="G2567" s="19" t="s">
        <v>3189</v>
      </c>
      <c r="H2567" s="5" t="s">
        <v>3178</v>
      </c>
      <c r="I2567" s="9" t="s">
        <v>3305</v>
      </c>
      <c r="J2567" s="5"/>
      <c r="K2567" s="5">
        <v>4</v>
      </c>
      <c r="L2567" s="9" t="s">
        <v>3621</v>
      </c>
      <c r="M2567" s="5">
        <v>23</v>
      </c>
      <c r="N2567" s="9" t="s">
        <v>5893</v>
      </c>
      <c r="O2567" s="9" t="str">
        <f t="shared" si="243"/>
        <v>PDFを開く</v>
      </c>
      <c r="P2567" s="9" t="s">
        <v>2104</v>
      </c>
    </row>
    <row r="2568" spans="1:16" ht="33.950000000000003" customHeight="1">
      <c r="A2568" s="2" t="s">
        <v>2098</v>
      </c>
      <c r="B2568" s="2" t="s">
        <v>1595</v>
      </c>
      <c r="C2568" s="8" t="s">
        <v>2099</v>
      </c>
      <c r="D2568" s="2">
        <v>3</v>
      </c>
      <c r="E2568" s="8" t="s">
        <v>3176</v>
      </c>
      <c r="F2568" s="2" t="s">
        <v>86</v>
      </c>
      <c r="G2568" s="19" t="s">
        <v>3189</v>
      </c>
      <c r="H2568" s="2" t="s">
        <v>3178</v>
      </c>
      <c r="I2568" s="8" t="s">
        <v>3302</v>
      </c>
      <c r="J2568" s="2"/>
      <c r="K2568" s="2">
        <v>1275</v>
      </c>
      <c r="L2568" s="8" t="s">
        <v>4536</v>
      </c>
      <c r="M2568" s="2">
        <v>23</v>
      </c>
      <c r="N2568" s="8" t="s">
        <v>5893</v>
      </c>
      <c r="O2568" s="8" t="str">
        <f t="shared" si="243"/>
        <v>PDFを開く</v>
      </c>
      <c r="P2568" s="8" t="s">
        <v>2104</v>
      </c>
    </row>
    <row r="2569" spans="1:16" ht="33.950000000000003" customHeight="1">
      <c r="A2569" s="5" t="s">
        <v>2098</v>
      </c>
      <c r="B2569" s="5" t="s">
        <v>1595</v>
      </c>
      <c r="C2569" s="9" t="s">
        <v>2099</v>
      </c>
      <c r="D2569" s="5">
        <v>3</v>
      </c>
      <c r="E2569" s="9" t="s">
        <v>3184</v>
      </c>
      <c r="F2569" s="5" t="s">
        <v>86</v>
      </c>
      <c r="G2569" s="19" t="s">
        <v>3189</v>
      </c>
      <c r="H2569" s="5"/>
      <c r="I2569" s="9" t="s">
        <v>3305</v>
      </c>
      <c r="J2569" s="5"/>
      <c r="K2569" s="5">
        <v>748</v>
      </c>
      <c r="L2569" s="9" t="s">
        <v>5894</v>
      </c>
      <c r="M2569" s="5">
        <v>6</v>
      </c>
      <c r="N2569" s="9" t="s">
        <v>5895</v>
      </c>
      <c r="O2569" s="9" t="str">
        <f t="shared" si="243"/>
        <v>PDFを開く</v>
      </c>
      <c r="P2569" s="9" t="s">
        <v>2104</v>
      </c>
    </row>
    <row r="2570" spans="1:16" ht="33.950000000000003" customHeight="1">
      <c r="A2570" s="2" t="s">
        <v>2098</v>
      </c>
      <c r="B2570" s="2" t="s">
        <v>1595</v>
      </c>
      <c r="C2570" s="8" t="s">
        <v>2099</v>
      </c>
      <c r="D2570" s="2">
        <v>3</v>
      </c>
      <c r="E2570" s="8" t="s">
        <v>3184</v>
      </c>
      <c r="F2570" s="2" t="s">
        <v>86</v>
      </c>
      <c r="G2570" s="19" t="s">
        <v>3189</v>
      </c>
      <c r="H2570" s="2"/>
      <c r="I2570" s="8" t="s">
        <v>3305</v>
      </c>
      <c r="J2570" s="2"/>
      <c r="K2570" s="2">
        <v>0</v>
      </c>
      <c r="L2570" s="8" t="s">
        <v>3267</v>
      </c>
      <c r="M2570" s="2">
        <v>6</v>
      </c>
      <c r="N2570" s="8" t="s">
        <v>5895</v>
      </c>
      <c r="O2570" s="8" t="str">
        <f t="shared" si="243"/>
        <v>PDFを開く</v>
      </c>
      <c r="P2570" s="8" t="s">
        <v>2104</v>
      </c>
    </row>
    <row r="2571" spans="1:16" ht="33.950000000000003" customHeight="1">
      <c r="A2571" s="5" t="s">
        <v>2098</v>
      </c>
      <c r="B2571" s="5" t="s">
        <v>1595</v>
      </c>
      <c r="C2571" s="9" t="s">
        <v>2099</v>
      </c>
      <c r="D2571" s="5">
        <v>3</v>
      </c>
      <c r="E2571" s="9" t="s">
        <v>3184</v>
      </c>
      <c r="F2571" s="5" t="s">
        <v>86</v>
      </c>
      <c r="G2571" s="19" t="s">
        <v>3189</v>
      </c>
      <c r="H2571" s="5"/>
      <c r="I2571" s="9" t="s">
        <v>3302</v>
      </c>
      <c r="J2571" s="5"/>
      <c r="K2571" s="5">
        <v>628</v>
      </c>
      <c r="L2571" s="9" t="s">
        <v>5896</v>
      </c>
      <c r="M2571" s="5">
        <v>6</v>
      </c>
      <c r="N2571" s="9" t="s">
        <v>5895</v>
      </c>
      <c r="O2571" s="9" t="str">
        <f t="shared" si="243"/>
        <v>PDFを開く</v>
      </c>
      <c r="P2571" s="9" t="s">
        <v>2104</v>
      </c>
    </row>
    <row r="2572" spans="1:16" ht="33.950000000000003" customHeight="1">
      <c r="A2572" s="2" t="s">
        <v>2098</v>
      </c>
      <c r="B2572" s="2" t="s">
        <v>1595</v>
      </c>
      <c r="C2572" s="8" t="s">
        <v>2099</v>
      </c>
      <c r="D2572" s="2">
        <v>3</v>
      </c>
      <c r="E2572" s="8" t="s">
        <v>3188</v>
      </c>
      <c r="F2572" s="2" t="s">
        <v>86</v>
      </c>
      <c r="G2572" s="19" t="s">
        <v>3189</v>
      </c>
      <c r="H2572" s="2"/>
      <c r="I2572" s="8"/>
      <c r="J2572" s="2"/>
      <c r="K2572" s="2"/>
      <c r="L2572" s="8"/>
      <c r="M2572" s="2">
        <v>5.6</v>
      </c>
      <c r="N2572" s="8" t="s">
        <v>5897</v>
      </c>
      <c r="O2572" s="8" t="str">
        <f t="shared" si="243"/>
        <v>PDFを開く</v>
      </c>
      <c r="P2572" s="8" t="s">
        <v>2104</v>
      </c>
    </row>
    <row r="2573" spans="1:16" ht="33.950000000000003" customHeight="1">
      <c r="A2573" s="5" t="s">
        <v>2098</v>
      </c>
      <c r="B2573" s="5" t="s">
        <v>1595</v>
      </c>
      <c r="C2573" s="9" t="s">
        <v>2099</v>
      </c>
      <c r="D2573" s="5">
        <v>3</v>
      </c>
      <c r="E2573" s="9" t="s">
        <v>3191</v>
      </c>
      <c r="F2573" s="5" t="s">
        <v>2513</v>
      </c>
      <c r="G2573" s="5" t="s">
        <v>3177</v>
      </c>
      <c r="H2573" s="5"/>
      <c r="I2573" s="9" t="s">
        <v>3302</v>
      </c>
      <c r="J2573" s="5"/>
      <c r="K2573" s="5">
        <v>462</v>
      </c>
      <c r="L2573" s="9" t="s">
        <v>5281</v>
      </c>
      <c r="M2573" s="5"/>
      <c r="N2573" s="9" t="s">
        <v>5898</v>
      </c>
      <c r="O2573" s="9" t="str">
        <f t="shared" si="243"/>
        <v>PDFを開く</v>
      </c>
      <c r="P2573" s="9" t="s">
        <v>2104</v>
      </c>
    </row>
    <row r="2574" spans="1:16" ht="33.950000000000003" customHeight="1">
      <c r="A2574" s="2" t="s">
        <v>2098</v>
      </c>
      <c r="B2574" s="2" t="s">
        <v>1595</v>
      </c>
      <c r="C2574" s="8" t="s">
        <v>2099</v>
      </c>
      <c r="D2574" s="2">
        <v>3</v>
      </c>
      <c r="E2574" s="8" t="s">
        <v>3191</v>
      </c>
      <c r="F2574" s="2" t="s">
        <v>2513</v>
      </c>
      <c r="G2574" s="2" t="s">
        <v>3177</v>
      </c>
      <c r="H2574" s="2"/>
      <c r="I2574" s="8" t="s">
        <v>3305</v>
      </c>
      <c r="J2574" s="2"/>
      <c r="K2574" s="2">
        <v>505</v>
      </c>
      <c r="L2574" s="8" t="s">
        <v>3337</v>
      </c>
      <c r="M2574" s="2"/>
      <c r="N2574" s="8" t="s">
        <v>5898</v>
      </c>
      <c r="O2574" s="8" t="str">
        <f t="shared" si="243"/>
        <v>PDFを開く</v>
      </c>
      <c r="P2574" s="8" t="s">
        <v>2104</v>
      </c>
    </row>
    <row r="2575" spans="1:16" ht="33.950000000000003" customHeight="1">
      <c r="A2575" s="5" t="s">
        <v>2098</v>
      </c>
      <c r="B2575" s="5" t="s">
        <v>1595</v>
      </c>
      <c r="C2575" s="9" t="s">
        <v>2099</v>
      </c>
      <c r="D2575" s="5">
        <v>2</v>
      </c>
      <c r="E2575" s="9" t="s">
        <v>3176</v>
      </c>
      <c r="F2575" s="5" t="s">
        <v>86</v>
      </c>
      <c r="G2575" s="5" t="s">
        <v>3177</v>
      </c>
      <c r="H2575" s="5"/>
      <c r="I2575" s="9" t="s">
        <v>3686</v>
      </c>
      <c r="J2575" s="5">
        <v>2027</v>
      </c>
      <c r="K2575" s="5">
        <v>1275</v>
      </c>
      <c r="L2575" s="9" t="s">
        <v>5899</v>
      </c>
      <c r="M2575" s="5">
        <v>23.4</v>
      </c>
      <c r="N2575" s="9" t="s">
        <v>5900</v>
      </c>
      <c r="O2575" s="9" t="str">
        <f t="shared" si="243"/>
        <v>PDFを開く</v>
      </c>
      <c r="P2575" s="9" t="s">
        <v>2104</v>
      </c>
    </row>
    <row r="2576" spans="1:16" ht="33.950000000000003" customHeight="1">
      <c r="A2576" s="2" t="s">
        <v>2098</v>
      </c>
      <c r="B2576" s="2" t="s">
        <v>1595</v>
      </c>
      <c r="C2576" s="8" t="s">
        <v>2099</v>
      </c>
      <c r="D2576" s="2">
        <v>2</v>
      </c>
      <c r="E2576" s="8" t="s">
        <v>3176</v>
      </c>
      <c r="F2576" s="2" t="s">
        <v>86</v>
      </c>
      <c r="G2576" s="2" t="s">
        <v>3177</v>
      </c>
      <c r="H2576" s="2"/>
      <c r="I2576" s="8" t="s">
        <v>3688</v>
      </c>
      <c r="J2576" s="2">
        <v>2030</v>
      </c>
      <c r="K2576" s="2">
        <v>2396</v>
      </c>
      <c r="L2576" s="8" t="s">
        <v>5901</v>
      </c>
      <c r="M2576" s="2">
        <v>23.4</v>
      </c>
      <c r="N2576" s="8" t="s">
        <v>5900</v>
      </c>
      <c r="O2576" s="8" t="str">
        <f t="shared" si="243"/>
        <v>PDFを開く</v>
      </c>
      <c r="P2576" s="8" t="s">
        <v>2104</v>
      </c>
    </row>
    <row r="2577" spans="1:16" ht="33.950000000000003" customHeight="1">
      <c r="A2577" s="5" t="s">
        <v>2098</v>
      </c>
      <c r="B2577" s="5" t="s">
        <v>1595</v>
      </c>
      <c r="C2577" s="9" t="s">
        <v>2099</v>
      </c>
      <c r="D2577" s="5">
        <v>2</v>
      </c>
      <c r="E2577" s="9" t="s">
        <v>3184</v>
      </c>
      <c r="F2577" s="5" t="s">
        <v>86</v>
      </c>
      <c r="G2577" s="5" t="s">
        <v>3177</v>
      </c>
      <c r="H2577" s="5"/>
      <c r="I2577" s="9" t="s">
        <v>3686</v>
      </c>
      <c r="J2577" s="5">
        <v>2027</v>
      </c>
      <c r="K2577" s="5">
        <v>628</v>
      </c>
      <c r="L2577" s="9" t="s">
        <v>5896</v>
      </c>
      <c r="M2577" s="5">
        <v>6</v>
      </c>
      <c r="N2577" s="9" t="s">
        <v>5902</v>
      </c>
      <c r="O2577" s="9" t="str">
        <f t="shared" si="243"/>
        <v>PDFを開く</v>
      </c>
      <c r="P2577" s="9" t="s">
        <v>2104</v>
      </c>
    </row>
    <row r="2578" spans="1:16" ht="33.950000000000003" customHeight="1">
      <c r="A2578" s="2" t="s">
        <v>2098</v>
      </c>
      <c r="B2578" s="2" t="s">
        <v>1595</v>
      </c>
      <c r="C2578" s="8" t="s">
        <v>2099</v>
      </c>
      <c r="D2578" s="2">
        <v>2</v>
      </c>
      <c r="E2578" s="8" t="s">
        <v>3184</v>
      </c>
      <c r="F2578" s="2" t="s">
        <v>86</v>
      </c>
      <c r="G2578" s="2" t="s">
        <v>3177</v>
      </c>
      <c r="H2578" s="2"/>
      <c r="I2578" s="8" t="s">
        <v>3688</v>
      </c>
      <c r="J2578" s="2">
        <v>2030</v>
      </c>
      <c r="K2578" s="2">
        <v>748</v>
      </c>
      <c r="L2578" s="8" t="s">
        <v>5894</v>
      </c>
      <c r="M2578" s="2">
        <v>6</v>
      </c>
      <c r="N2578" s="8" t="s">
        <v>5902</v>
      </c>
      <c r="O2578" s="8" t="str">
        <f t="shared" si="243"/>
        <v>PDFを開く</v>
      </c>
      <c r="P2578" s="8" t="s">
        <v>2104</v>
      </c>
    </row>
    <row r="2579" spans="1:16" ht="33.950000000000003" customHeight="1">
      <c r="A2579" s="5" t="s">
        <v>2098</v>
      </c>
      <c r="B2579" s="5" t="s">
        <v>1595</v>
      </c>
      <c r="C2579" s="9" t="s">
        <v>2099</v>
      </c>
      <c r="D2579" s="5">
        <v>2</v>
      </c>
      <c r="E2579" s="9" t="s">
        <v>3191</v>
      </c>
      <c r="F2579" s="5" t="s">
        <v>2513</v>
      </c>
      <c r="G2579" s="5" t="s">
        <v>3177</v>
      </c>
      <c r="H2579" s="5"/>
      <c r="I2579" s="9" t="s">
        <v>3686</v>
      </c>
      <c r="J2579" s="5">
        <v>2027</v>
      </c>
      <c r="K2579" s="5">
        <v>462</v>
      </c>
      <c r="L2579" s="9" t="s">
        <v>5281</v>
      </c>
      <c r="M2579" s="5"/>
      <c r="N2579" s="9" t="s">
        <v>5903</v>
      </c>
      <c r="O2579" s="9" t="str">
        <f t="shared" si="243"/>
        <v>PDFを開く</v>
      </c>
      <c r="P2579" s="9" t="s">
        <v>2104</v>
      </c>
    </row>
    <row r="2580" spans="1:16" ht="33.950000000000003" customHeight="1">
      <c r="A2580" s="2" t="s">
        <v>2098</v>
      </c>
      <c r="B2580" s="2" t="s">
        <v>1595</v>
      </c>
      <c r="C2580" s="8" t="s">
        <v>2099</v>
      </c>
      <c r="D2580" s="2">
        <v>2</v>
      </c>
      <c r="E2580" s="8" t="s">
        <v>3191</v>
      </c>
      <c r="F2580" s="2" t="s">
        <v>2513</v>
      </c>
      <c r="G2580" s="2" t="s">
        <v>3177</v>
      </c>
      <c r="H2580" s="2"/>
      <c r="I2580" s="8" t="s">
        <v>3688</v>
      </c>
      <c r="J2580" s="2">
        <v>2030</v>
      </c>
      <c r="K2580" s="2">
        <v>505</v>
      </c>
      <c r="L2580" s="8" t="s">
        <v>3337</v>
      </c>
      <c r="M2580" s="2"/>
      <c r="N2580" s="8" t="s">
        <v>5903</v>
      </c>
      <c r="O2580" s="8" t="str">
        <f t="shared" si="243"/>
        <v>PDFを開く</v>
      </c>
      <c r="P2580" s="8" t="s">
        <v>2104</v>
      </c>
    </row>
    <row r="2581" spans="1:16" ht="33.950000000000003" customHeight="1">
      <c r="A2581" s="5" t="s">
        <v>2105</v>
      </c>
      <c r="B2581" s="5" t="s">
        <v>1595</v>
      </c>
      <c r="C2581" s="9" t="s">
        <v>2106</v>
      </c>
      <c r="D2581" s="5">
        <v>2</v>
      </c>
      <c r="E2581" s="9" t="s">
        <v>3176</v>
      </c>
      <c r="F2581" s="5" t="s">
        <v>447</v>
      </c>
      <c r="G2581" s="19" t="s">
        <v>3189</v>
      </c>
      <c r="H2581" s="5" t="s">
        <v>3178</v>
      </c>
      <c r="I2581" s="9" t="s">
        <v>3302</v>
      </c>
      <c r="J2581" s="5"/>
      <c r="K2581" s="5">
        <v>1643813128</v>
      </c>
      <c r="L2581" s="9" t="s">
        <v>5904</v>
      </c>
      <c r="M2581" s="5">
        <v>42.9</v>
      </c>
      <c r="N2581" s="9" t="s">
        <v>5905</v>
      </c>
      <c r="O2581" s="9" t="str">
        <f t="shared" ref="O2581:O2628" si="244">HYPERLINK("https://seichotoushi-hojo.jp/assets/pdf/koufu_3_4ji/outline_52.pdf","PDFを開く")</f>
        <v>PDFを開く</v>
      </c>
      <c r="P2581" s="9" t="s">
        <v>2113</v>
      </c>
    </row>
    <row r="2582" spans="1:16" ht="33.950000000000003" customHeight="1">
      <c r="A2582" s="2" t="s">
        <v>2105</v>
      </c>
      <c r="B2582" s="2" t="s">
        <v>1595</v>
      </c>
      <c r="C2582" s="8" t="s">
        <v>2106</v>
      </c>
      <c r="D2582" s="2">
        <v>2</v>
      </c>
      <c r="E2582" s="8" t="s">
        <v>3176</v>
      </c>
      <c r="F2582" s="2" t="s">
        <v>447</v>
      </c>
      <c r="G2582" s="19" t="s">
        <v>3189</v>
      </c>
      <c r="H2582" s="2" t="s">
        <v>3178</v>
      </c>
      <c r="I2582" s="8" t="s">
        <v>3302</v>
      </c>
      <c r="J2582" s="2"/>
      <c r="K2582" s="2">
        <v>9609</v>
      </c>
      <c r="L2582" s="8" t="s">
        <v>5906</v>
      </c>
      <c r="M2582" s="2">
        <v>42.9</v>
      </c>
      <c r="N2582" s="8" t="s">
        <v>5905</v>
      </c>
      <c r="O2582" s="8" t="str">
        <f t="shared" si="244"/>
        <v>PDFを開く</v>
      </c>
      <c r="P2582" s="8" t="s">
        <v>2113</v>
      </c>
    </row>
    <row r="2583" spans="1:16" ht="33.950000000000003" customHeight="1">
      <c r="A2583" s="5" t="s">
        <v>2105</v>
      </c>
      <c r="B2583" s="5" t="s">
        <v>1595</v>
      </c>
      <c r="C2583" s="9" t="s">
        <v>2106</v>
      </c>
      <c r="D2583" s="5">
        <v>2</v>
      </c>
      <c r="E2583" s="9" t="s">
        <v>3176</v>
      </c>
      <c r="F2583" s="5" t="s">
        <v>447</v>
      </c>
      <c r="G2583" s="19" t="s">
        <v>3189</v>
      </c>
      <c r="H2583" s="5" t="s">
        <v>3178</v>
      </c>
      <c r="I2583" s="9" t="s">
        <v>3302</v>
      </c>
      <c r="J2583" s="5"/>
      <c r="K2583" s="5">
        <v>47918</v>
      </c>
      <c r="L2583" s="9" t="s">
        <v>5907</v>
      </c>
      <c r="M2583" s="5">
        <v>42.9</v>
      </c>
      <c r="N2583" s="9" t="s">
        <v>5905</v>
      </c>
      <c r="O2583" s="9" t="str">
        <f t="shared" si="244"/>
        <v>PDFを開く</v>
      </c>
      <c r="P2583" s="9" t="s">
        <v>2113</v>
      </c>
    </row>
    <row r="2584" spans="1:16" ht="33.950000000000003" customHeight="1">
      <c r="A2584" s="2" t="s">
        <v>2105</v>
      </c>
      <c r="B2584" s="2" t="s">
        <v>1595</v>
      </c>
      <c r="C2584" s="8" t="s">
        <v>2106</v>
      </c>
      <c r="D2584" s="2">
        <v>2</v>
      </c>
      <c r="E2584" s="8" t="s">
        <v>3176</v>
      </c>
      <c r="F2584" s="2" t="s">
        <v>447</v>
      </c>
      <c r="G2584" s="19" t="s">
        <v>3189</v>
      </c>
      <c r="H2584" s="2" t="s">
        <v>3178</v>
      </c>
      <c r="I2584" s="8" t="s">
        <v>3302</v>
      </c>
      <c r="J2584" s="2"/>
      <c r="K2584" s="2">
        <v>16643</v>
      </c>
      <c r="L2584" s="8" t="s">
        <v>5908</v>
      </c>
      <c r="M2584" s="2">
        <v>42.9</v>
      </c>
      <c r="N2584" s="8" t="s">
        <v>5905</v>
      </c>
      <c r="O2584" s="8" t="str">
        <f t="shared" si="244"/>
        <v>PDFを開く</v>
      </c>
      <c r="P2584" s="8" t="s">
        <v>2113</v>
      </c>
    </row>
    <row r="2585" spans="1:16" ht="33.950000000000003" customHeight="1">
      <c r="A2585" s="5" t="s">
        <v>2105</v>
      </c>
      <c r="B2585" s="5" t="s">
        <v>1595</v>
      </c>
      <c r="C2585" s="9" t="s">
        <v>2106</v>
      </c>
      <c r="D2585" s="5">
        <v>2</v>
      </c>
      <c r="E2585" s="9" t="s">
        <v>3176</v>
      </c>
      <c r="F2585" s="5" t="s">
        <v>447</v>
      </c>
      <c r="G2585" s="19" t="s">
        <v>3189</v>
      </c>
      <c r="H2585" s="5" t="s">
        <v>3178</v>
      </c>
      <c r="I2585" s="9" t="s">
        <v>3302</v>
      </c>
      <c r="J2585" s="5"/>
      <c r="K2585" s="5">
        <v>13040</v>
      </c>
      <c r="L2585" s="9" t="s">
        <v>5909</v>
      </c>
      <c r="M2585" s="5">
        <v>42.9</v>
      </c>
      <c r="N2585" s="9" t="s">
        <v>5905</v>
      </c>
      <c r="O2585" s="9" t="str">
        <f t="shared" si="244"/>
        <v>PDFを開く</v>
      </c>
      <c r="P2585" s="9" t="s">
        <v>2113</v>
      </c>
    </row>
    <row r="2586" spans="1:16" ht="33.950000000000003" customHeight="1">
      <c r="A2586" s="2" t="s">
        <v>2105</v>
      </c>
      <c r="B2586" s="2" t="s">
        <v>1595</v>
      </c>
      <c r="C2586" s="8" t="s">
        <v>2106</v>
      </c>
      <c r="D2586" s="2">
        <v>2</v>
      </c>
      <c r="E2586" s="8" t="s">
        <v>3176</v>
      </c>
      <c r="F2586" s="2" t="s">
        <v>447</v>
      </c>
      <c r="G2586" s="19" t="s">
        <v>3189</v>
      </c>
      <c r="H2586" s="2" t="s">
        <v>3178</v>
      </c>
      <c r="I2586" s="8" t="s">
        <v>3305</v>
      </c>
      <c r="J2586" s="2"/>
      <c r="K2586" s="2">
        <v>3516</v>
      </c>
      <c r="L2586" s="8" t="s">
        <v>5910</v>
      </c>
      <c r="M2586" s="2">
        <v>42.9</v>
      </c>
      <c r="N2586" s="8" t="s">
        <v>5905</v>
      </c>
      <c r="O2586" s="8" t="str">
        <f t="shared" si="244"/>
        <v>PDFを開く</v>
      </c>
      <c r="P2586" s="8" t="s">
        <v>2113</v>
      </c>
    </row>
    <row r="2587" spans="1:16" ht="33.950000000000003" customHeight="1">
      <c r="A2587" s="5" t="s">
        <v>2105</v>
      </c>
      <c r="B2587" s="5" t="s">
        <v>1595</v>
      </c>
      <c r="C2587" s="9" t="s">
        <v>2106</v>
      </c>
      <c r="D2587" s="5">
        <v>2</v>
      </c>
      <c r="E2587" s="9" t="s">
        <v>3176</v>
      </c>
      <c r="F2587" s="5" t="s">
        <v>447</v>
      </c>
      <c r="G2587" s="19" t="s">
        <v>3189</v>
      </c>
      <c r="H2587" s="5" t="s">
        <v>3178</v>
      </c>
      <c r="I2587" s="9" t="s">
        <v>3305</v>
      </c>
      <c r="J2587" s="5"/>
      <c r="K2587" s="5">
        <v>110</v>
      </c>
      <c r="L2587" s="9" t="s">
        <v>3968</v>
      </c>
      <c r="M2587" s="5">
        <v>42.9</v>
      </c>
      <c r="N2587" s="9" t="s">
        <v>5905</v>
      </c>
      <c r="O2587" s="9" t="str">
        <f t="shared" si="244"/>
        <v>PDFを開く</v>
      </c>
      <c r="P2587" s="9" t="s">
        <v>2113</v>
      </c>
    </row>
    <row r="2588" spans="1:16" ht="33.950000000000003" customHeight="1">
      <c r="A2588" s="2" t="s">
        <v>2105</v>
      </c>
      <c r="B2588" s="2" t="s">
        <v>1595</v>
      </c>
      <c r="C2588" s="8" t="s">
        <v>2106</v>
      </c>
      <c r="D2588" s="2">
        <v>2</v>
      </c>
      <c r="E2588" s="8" t="s">
        <v>3176</v>
      </c>
      <c r="F2588" s="2" t="s">
        <v>447</v>
      </c>
      <c r="G2588" s="19" t="s">
        <v>3189</v>
      </c>
      <c r="H2588" s="2" t="s">
        <v>3178</v>
      </c>
      <c r="I2588" s="8" t="s">
        <v>3305</v>
      </c>
      <c r="J2588" s="2"/>
      <c r="K2588" s="2">
        <v>6751</v>
      </c>
      <c r="L2588" s="8" t="s">
        <v>5911</v>
      </c>
      <c r="M2588" s="2">
        <v>42.9</v>
      </c>
      <c r="N2588" s="8" t="s">
        <v>5905</v>
      </c>
      <c r="O2588" s="8" t="str">
        <f t="shared" si="244"/>
        <v>PDFを開く</v>
      </c>
      <c r="P2588" s="8" t="s">
        <v>2113</v>
      </c>
    </row>
    <row r="2589" spans="1:16" ht="33.950000000000003" customHeight="1">
      <c r="A2589" s="5" t="s">
        <v>2105</v>
      </c>
      <c r="B2589" s="5" t="s">
        <v>1595</v>
      </c>
      <c r="C2589" s="9" t="s">
        <v>2106</v>
      </c>
      <c r="D2589" s="5">
        <v>2</v>
      </c>
      <c r="E2589" s="9" t="s">
        <v>3176</v>
      </c>
      <c r="F2589" s="5" t="s">
        <v>447</v>
      </c>
      <c r="G2589" s="19" t="s">
        <v>3189</v>
      </c>
      <c r="H2589" s="5" t="s">
        <v>3178</v>
      </c>
      <c r="I2589" s="9" t="s">
        <v>3305</v>
      </c>
      <c r="J2589" s="5"/>
      <c r="K2589" s="5">
        <v>799</v>
      </c>
      <c r="L2589" s="9" t="s">
        <v>3558</v>
      </c>
      <c r="M2589" s="5">
        <v>42.9</v>
      </c>
      <c r="N2589" s="9" t="s">
        <v>5905</v>
      </c>
      <c r="O2589" s="9" t="str">
        <f t="shared" si="244"/>
        <v>PDFを開く</v>
      </c>
      <c r="P2589" s="9" t="s">
        <v>2113</v>
      </c>
    </row>
    <row r="2590" spans="1:16" ht="33.950000000000003" customHeight="1">
      <c r="A2590" s="2" t="s">
        <v>2105</v>
      </c>
      <c r="B2590" s="2" t="s">
        <v>1595</v>
      </c>
      <c r="C2590" s="8" t="s">
        <v>2106</v>
      </c>
      <c r="D2590" s="2">
        <v>2</v>
      </c>
      <c r="E2590" s="8" t="s">
        <v>3176</v>
      </c>
      <c r="F2590" s="2" t="s">
        <v>447</v>
      </c>
      <c r="G2590" s="19" t="s">
        <v>3189</v>
      </c>
      <c r="H2590" s="2" t="s">
        <v>3178</v>
      </c>
      <c r="I2590" s="8" t="s">
        <v>3305</v>
      </c>
      <c r="J2590" s="2"/>
      <c r="K2590" s="2">
        <v>12641</v>
      </c>
      <c r="L2590" s="8" t="s">
        <v>5912</v>
      </c>
      <c r="M2590" s="2">
        <v>42.9</v>
      </c>
      <c r="N2590" s="8" t="s">
        <v>5905</v>
      </c>
      <c r="O2590" s="8" t="str">
        <f t="shared" si="244"/>
        <v>PDFを開く</v>
      </c>
      <c r="P2590" s="8" t="s">
        <v>2113</v>
      </c>
    </row>
    <row r="2591" spans="1:16" ht="33.950000000000003" customHeight="1">
      <c r="A2591" s="5" t="s">
        <v>2105</v>
      </c>
      <c r="B2591" s="5" t="s">
        <v>1595</v>
      </c>
      <c r="C2591" s="9" t="s">
        <v>2106</v>
      </c>
      <c r="D2591" s="5">
        <v>2</v>
      </c>
      <c r="E2591" s="9" t="s">
        <v>3176</v>
      </c>
      <c r="F2591" s="5" t="s">
        <v>447</v>
      </c>
      <c r="G2591" s="19" t="s">
        <v>3189</v>
      </c>
      <c r="H2591" s="5" t="s">
        <v>3178</v>
      </c>
      <c r="I2591" s="9" t="s">
        <v>3305</v>
      </c>
      <c r="J2591" s="5"/>
      <c r="K2591" s="5">
        <v>13092</v>
      </c>
      <c r="L2591" s="9" t="s">
        <v>5913</v>
      </c>
      <c r="M2591" s="5">
        <v>42.9</v>
      </c>
      <c r="N2591" s="9" t="s">
        <v>5905</v>
      </c>
      <c r="O2591" s="9" t="str">
        <f t="shared" si="244"/>
        <v>PDFを開く</v>
      </c>
      <c r="P2591" s="9" t="s">
        <v>2113</v>
      </c>
    </row>
    <row r="2592" spans="1:16" ht="33.950000000000003" customHeight="1">
      <c r="A2592" s="2" t="s">
        <v>2105</v>
      </c>
      <c r="B2592" s="2" t="s">
        <v>1595</v>
      </c>
      <c r="C2592" s="8" t="s">
        <v>2106</v>
      </c>
      <c r="D2592" s="2">
        <v>2</v>
      </c>
      <c r="E2592" s="8" t="s">
        <v>3176</v>
      </c>
      <c r="F2592" s="2" t="s">
        <v>447</v>
      </c>
      <c r="G2592" s="19" t="s">
        <v>3189</v>
      </c>
      <c r="H2592" s="2" t="s">
        <v>3178</v>
      </c>
      <c r="I2592" s="8" t="s">
        <v>3305</v>
      </c>
      <c r="J2592" s="2"/>
      <c r="K2592" s="2">
        <v>26511</v>
      </c>
      <c r="L2592" s="8" t="s">
        <v>5914</v>
      </c>
      <c r="M2592" s="2">
        <v>42.9</v>
      </c>
      <c r="N2592" s="8" t="s">
        <v>5905</v>
      </c>
      <c r="O2592" s="8" t="str">
        <f t="shared" si="244"/>
        <v>PDFを開く</v>
      </c>
      <c r="P2592" s="8" t="s">
        <v>2113</v>
      </c>
    </row>
    <row r="2593" spans="1:16" ht="33.950000000000003" customHeight="1">
      <c r="A2593" s="5" t="s">
        <v>2105</v>
      </c>
      <c r="B2593" s="5" t="s">
        <v>1595</v>
      </c>
      <c r="C2593" s="9" t="s">
        <v>2106</v>
      </c>
      <c r="D2593" s="5">
        <v>2</v>
      </c>
      <c r="E2593" s="9" t="s">
        <v>3176</v>
      </c>
      <c r="F2593" s="5" t="s">
        <v>447</v>
      </c>
      <c r="G2593" s="19" t="s">
        <v>3189</v>
      </c>
      <c r="H2593" s="5" t="s">
        <v>3178</v>
      </c>
      <c r="I2593" s="9" t="s">
        <v>3305</v>
      </c>
      <c r="J2593" s="5"/>
      <c r="K2593" s="5">
        <v>16151</v>
      </c>
      <c r="L2593" s="9" t="s">
        <v>5915</v>
      </c>
      <c r="M2593" s="5">
        <v>42.9</v>
      </c>
      <c r="N2593" s="9" t="s">
        <v>5905</v>
      </c>
      <c r="O2593" s="9" t="str">
        <f t="shared" si="244"/>
        <v>PDFを開く</v>
      </c>
      <c r="P2593" s="9" t="s">
        <v>2113</v>
      </c>
    </row>
    <row r="2594" spans="1:16" ht="33.950000000000003" customHeight="1">
      <c r="A2594" s="2" t="s">
        <v>2105</v>
      </c>
      <c r="B2594" s="2" t="s">
        <v>1595</v>
      </c>
      <c r="C2594" s="8" t="s">
        <v>2106</v>
      </c>
      <c r="D2594" s="2">
        <v>2</v>
      </c>
      <c r="E2594" s="8" t="s">
        <v>3184</v>
      </c>
      <c r="F2594" s="2" t="s">
        <v>447</v>
      </c>
      <c r="G2594" s="19" t="s">
        <v>3189</v>
      </c>
      <c r="H2594" s="2"/>
      <c r="I2594" s="8" t="s">
        <v>3302</v>
      </c>
      <c r="J2594" s="2"/>
      <c r="K2594" s="2">
        <v>4905</v>
      </c>
      <c r="L2594" s="8" t="s">
        <v>5916</v>
      </c>
      <c r="M2594" s="2">
        <v>7</v>
      </c>
      <c r="N2594" s="8" t="s">
        <v>5917</v>
      </c>
      <c r="O2594" s="8" t="str">
        <f t="shared" si="244"/>
        <v>PDFを開く</v>
      </c>
      <c r="P2594" s="8" t="s">
        <v>2113</v>
      </c>
    </row>
    <row r="2595" spans="1:16" ht="33.950000000000003" customHeight="1">
      <c r="A2595" s="5" t="s">
        <v>2105</v>
      </c>
      <c r="B2595" s="5" t="s">
        <v>1595</v>
      </c>
      <c r="C2595" s="9" t="s">
        <v>2106</v>
      </c>
      <c r="D2595" s="5">
        <v>2</v>
      </c>
      <c r="E2595" s="9" t="s">
        <v>3184</v>
      </c>
      <c r="F2595" s="5" t="s">
        <v>447</v>
      </c>
      <c r="G2595" s="19" t="s">
        <v>3189</v>
      </c>
      <c r="H2595" s="5"/>
      <c r="I2595" s="9" t="s">
        <v>3302</v>
      </c>
      <c r="J2595" s="5"/>
      <c r="K2595" s="5">
        <v>4200</v>
      </c>
      <c r="L2595" s="9" t="s">
        <v>5918</v>
      </c>
      <c r="M2595" s="5">
        <v>7</v>
      </c>
      <c r="N2595" s="9" t="s">
        <v>5917</v>
      </c>
      <c r="O2595" s="9" t="str">
        <f t="shared" si="244"/>
        <v>PDFを開く</v>
      </c>
      <c r="P2595" s="9" t="s">
        <v>2113</v>
      </c>
    </row>
    <row r="2596" spans="1:16" ht="33.950000000000003" customHeight="1">
      <c r="A2596" s="2" t="s">
        <v>2105</v>
      </c>
      <c r="B2596" s="2" t="s">
        <v>1595</v>
      </c>
      <c r="C2596" s="8" t="s">
        <v>2106</v>
      </c>
      <c r="D2596" s="2">
        <v>2</v>
      </c>
      <c r="E2596" s="8" t="s">
        <v>3184</v>
      </c>
      <c r="F2596" s="2" t="s">
        <v>447</v>
      </c>
      <c r="G2596" s="19" t="s">
        <v>3189</v>
      </c>
      <c r="H2596" s="2"/>
      <c r="I2596" s="8" t="s">
        <v>3302</v>
      </c>
      <c r="J2596" s="2"/>
      <c r="K2596" s="2">
        <v>4893</v>
      </c>
      <c r="L2596" s="8" t="s">
        <v>5919</v>
      </c>
      <c r="M2596" s="2">
        <v>7</v>
      </c>
      <c r="N2596" s="8" t="s">
        <v>5917</v>
      </c>
      <c r="O2596" s="8" t="str">
        <f t="shared" si="244"/>
        <v>PDFを開く</v>
      </c>
      <c r="P2596" s="8" t="s">
        <v>2113</v>
      </c>
    </row>
    <row r="2597" spans="1:16" ht="33.950000000000003" customHeight="1">
      <c r="A2597" s="5" t="s">
        <v>2105</v>
      </c>
      <c r="B2597" s="5" t="s">
        <v>1595</v>
      </c>
      <c r="C2597" s="9" t="s">
        <v>2106</v>
      </c>
      <c r="D2597" s="5">
        <v>2</v>
      </c>
      <c r="E2597" s="9" t="s">
        <v>3184</v>
      </c>
      <c r="F2597" s="5" t="s">
        <v>447</v>
      </c>
      <c r="G2597" s="19" t="s">
        <v>3189</v>
      </c>
      <c r="H2597" s="5"/>
      <c r="I2597" s="9" t="s">
        <v>3302</v>
      </c>
      <c r="J2597" s="5"/>
      <c r="K2597" s="5">
        <v>6012</v>
      </c>
      <c r="L2597" s="9" t="s">
        <v>5920</v>
      </c>
      <c r="M2597" s="5">
        <v>7</v>
      </c>
      <c r="N2597" s="9" t="s">
        <v>5917</v>
      </c>
      <c r="O2597" s="9" t="str">
        <f t="shared" si="244"/>
        <v>PDFを開く</v>
      </c>
      <c r="P2597" s="9" t="s">
        <v>2113</v>
      </c>
    </row>
    <row r="2598" spans="1:16" ht="33.950000000000003" customHeight="1">
      <c r="A2598" s="2" t="s">
        <v>2105</v>
      </c>
      <c r="B2598" s="2" t="s">
        <v>1595</v>
      </c>
      <c r="C2598" s="8" t="s">
        <v>2106</v>
      </c>
      <c r="D2598" s="2">
        <v>2</v>
      </c>
      <c r="E2598" s="8" t="s">
        <v>3184</v>
      </c>
      <c r="F2598" s="2" t="s">
        <v>447</v>
      </c>
      <c r="G2598" s="19" t="s">
        <v>3189</v>
      </c>
      <c r="H2598" s="2"/>
      <c r="I2598" s="8" t="s">
        <v>3302</v>
      </c>
      <c r="J2598" s="2"/>
      <c r="K2598" s="2">
        <v>5145</v>
      </c>
      <c r="L2598" s="8" t="s">
        <v>5921</v>
      </c>
      <c r="M2598" s="2">
        <v>7</v>
      </c>
      <c r="N2598" s="8" t="s">
        <v>5917</v>
      </c>
      <c r="O2598" s="8" t="str">
        <f t="shared" si="244"/>
        <v>PDFを開く</v>
      </c>
      <c r="P2598" s="8" t="s">
        <v>2113</v>
      </c>
    </row>
    <row r="2599" spans="1:16" ht="33.950000000000003" customHeight="1">
      <c r="A2599" s="5" t="s">
        <v>2105</v>
      </c>
      <c r="B2599" s="5" t="s">
        <v>1595</v>
      </c>
      <c r="C2599" s="9" t="s">
        <v>2106</v>
      </c>
      <c r="D2599" s="5">
        <v>2</v>
      </c>
      <c r="E2599" s="9" t="s">
        <v>3184</v>
      </c>
      <c r="F2599" s="5" t="s">
        <v>447</v>
      </c>
      <c r="G2599" s="19" t="s">
        <v>3189</v>
      </c>
      <c r="H2599" s="5"/>
      <c r="I2599" s="9" t="s">
        <v>3302</v>
      </c>
      <c r="J2599" s="5"/>
      <c r="K2599" s="5">
        <v>5999</v>
      </c>
      <c r="L2599" s="9" t="s">
        <v>5922</v>
      </c>
      <c r="M2599" s="5">
        <v>7</v>
      </c>
      <c r="N2599" s="9" t="s">
        <v>5917</v>
      </c>
      <c r="O2599" s="9" t="str">
        <f t="shared" si="244"/>
        <v>PDFを開く</v>
      </c>
      <c r="P2599" s="9" t="s">
        <v>2113</v>
      </c>
    </row>
    <row r="2600" spans="1:16" ht="33.950000000000003" customHeight="1">
      <c r="A2600" s="2" t="s">
        <v>2105</v>
      </c>
      <c r="B2600" s="2" t="s">
        <v>1595</v>
      </c>
      <c r="C2600" s="8" t="s">
        <v>2106</v>
      </c>
      <c r="D2600" s="2">
        <v>2</v>
      </c>
      <c r="E2600" s="8" t="s">
        <v>3184</v>
      </c>
      <c r="F2600" s="2" t="s">
        <v>447</v>
      </c>
      <c r="G2600" s="19" t="s">
        <v>3189</v>
      </c>
      <c r="H2600" s="2"/>
      <c r="I2600" s="8" t="s">
        <v>3305</v>
      </c>
      <c r="J2600" s="2"/>
      <c r="K2600" s="2">
        <v>4200</v>
      </c>
      <c r="L2600" s="8" t="s">
        <v>5918</v>
      </c>
      <c r="M2600" s="2">
        <v>7</v>
      </c>
      <c r="N2600" s="8" t="s">
        <v>5917</v>
      </c>
      <c r="O2600" s="8" t="str">
        <f t="shared" si="244"/>
        <v>PDFを開く</v>
      </c>
      <c r="P2600" s="8" t="s">
        <v>2113</v>
      </c>
    </row>
    <row r="2601" spans="1:16" ht="33.950000000000003" customHeight="1">
      <c r="A2601" s="5" t="s">
        <v>2105</v>
      </c>
      <c r="B2601" s="5" t="s">
        <v>1595</v>
      </c>
      <c r="C2601" s="9" t="s">
        <v>2106</v>
      </c>
      <c r="D2601" s="5">
        <v>2</v>
      </c>
      <c r="E2601" s="9" t="s">
        <v>3184</v>
      </c>
      <c r="F2601" s="5" t="s">
        <v>447</v>
      </c>
      <c r="G2601" s="19" t="s">
        <v>3189</v>
      </c>
      <c r="H2601" s="5"/>
      <c r="I2601" s="9" t="s">
        <v>3305</v>
      </c>
      <c r="J2601" s="5"/>
      <c r="K2601" s="5">
        <v>4200</v>
      </c>
      <c r="L2601" s="9" t="s">
        <v>5918</v>
      </c>
      <c r="M2601" s="5">
        <v>7</v>
      </c>
      <c r="N2601" s="9" t="s">
        <v>5917</v>
      </c>
      <c r="O2601" s="9" t="str">
        <f t="shared" si="244"/>
        <v>PDFを開く</v>
      </c>
      <c r="P2601" s="9" t="s">
        <v>2113</v>
      </c>
    </row>
    <row r="2602" spans="1:16" ht="33.950000000000003" customHeight="1">
      <c r="A2602" s="2" t="s">
        <v>2105</v>
      </c>
      <c r="B2602" s="2" t="s">
        <v>1595</v>
      </c>
      <c r="C2602" s="8" t="s">
        <v>2106</v>
      </c>
      <c r="D2602" s="2">
        <v>2</v>
      </c>
      <c r="E2602" s="8" t="s">
        <v>3184</v>
      </c>
      <c r="F2602" s="2" t="s">
        <v>447</v>
      </c>
      <c r="G2602" s="19" t="s">
        <v>3189</v>
      </c>
      <c r="H2602" s="2"/>
      <c r="I2602" s="8" t="s">
        <v>3305</v>
      </c>
      <c r="J2602" s="2"/>
      <c r="K2602" s="2">
        <v>4655</v>
      </c>
      <c r="L2602" s="8" t="s">
        <v>5923</v>
      </c>
      <c r="M2602" s="2">
        <v>7</v>
      </c>
      <c r="N2602" s="8" t="s">
        <v>5917</v>
      </c>
      <c r="O2602" s="8" t="str">
        <f t="shared" si="244"/>
        <v>PDFを開く</v>
      </c>
      <c r="P2602" s="8" t="s">
        <v>2113</v>
      </c>
    </row>
    <row r="2603" spans="1:16" ht="33.950000000000003" customHeight="1">
      <c r="A2603" s="5" t="s">
        <v>2105</v>
      </c>
      <c r="B2603" s="5" t="s">
        <v>1595</v>
      </c>
      <c r="C2603" s="9" t="s">
        <v>2106</v>
      </c>
      <c r="D2603" s="5">
        <v>2</v>
      </c>
      <c r="E2603" s="9" t="s">
        <v>3184</v>
      </c>
      <c r="F2603" s="5" t="s">
        <v>447</v>
      </c>
      <c r="G2603" s="19" t="s">
        <v>3189</v>
      </c>
      <c r="H2603" s="5"/>
      <c r="I2603" s="9" t="s">
        <v>3305</v>
      </c>
      <c r="J2603" s="5"/>
      <c r="K2603" s="5">
        <v>4494</v>
      </c>
      <c r="L2603" s="9" t="s">
        <v>5924</v>
      </c>
      <c r="M2603" s="5">
        <v>7</v>
      </c>
      <c r="N2603" s="9" t="s">
        <v>5917</v>
      </c>
      <c r="O2603" s="9" t="str">
        <f t="shared" si="244"/>
        <v>PDFを開く</v>
      </c>
      <c r="P2603" s="9" t="s">
        <v>2113</v>
      </c>
    </row>
    <row r="2604" spans="1:16" ht="33.950000000000003" customHeight="1">
      <c r="A2604" s="2" t="s">
        <v>2105</v>
      </c>
      <c r="B2604" s="2" t="s">
        <v>1595</v>
      </c>
      <c r="C2604" s="8" t="s">
        <v>2106</v>
      </c>
      <c r="D2604" s="2">
        <v>2</v>
      </c>
      <c r="E2604" s="8" t="s">
        <v>3184</v>
      </c>
      <c r="F2604" s="2" t="s">
        <v>447</v>
      </c>
      <c r="G2604" s="19" t="s">
        <v>3189</v>
      </c>
      <c r="H2604" s="2"/>
      <c r="I2604" s="8" t="s">
        <v>3305</v>
      </c>
      <c r="J2604" s="2"/>
      <c r="K2604" s="2">
        <v>5145</v>
      </c>
      <c r="L2604" s="8" t="s">
        <v>5921</v>
      </c>
      <c r="M2604" s="2">
        <v>7</v>
      </c>
      <c r="N2604" s="8" t="s">
        <v>5917</v>
      </c>
      <c r="O2604" s="8" t="str">
        <f t="shared" si="244"/>
        <v>PDFを開く</v>
      </c>
      <c r="P2604" s="8" t="s">
        <v>2113</v>
      </c>
    </row>
    <row r="2605" spans="1:16" ht="33.950000000000003" customHeight="1">
      <c r="A2605" s="5" t="s">
        <v>2105</v>
      </c>
      <c r="B2605" s="5" t="s">
        <v>1595</v>
      </c>
      <c r="C2605" s="9" t="s">
        <v>2106</v>
      </c>
      <c r="D2605" s="5">
        <v>2</v>
      </c>
      <c r="E2605" s="9" t="s">
        <v>3184</v>
      </c>
      <c r="F2605" s="5" t="s">
        <v>447</v>
      </c>
      <c r="G2605" s="19" t="s">
        <v>3189</v>
      </c>
      <c r="H2605" s="5"/>
      <c r="I2605" s="9" t="s">
        <v>3305</v>
      </c>
      <c r="J2605" s="5"/>
      <c r="K2605" s="5">
        <v>5145</v>
      </c>
      <c r="L2605" s="9" t="s">
        <v>5921</v>
      </c>
      <c r="M2605" s="5">
        <v>7</v>
      </c>
      <c r="N2605" s="9" t="s">
        <v>5917</v>
      </c>
      <c r="O2605" s="9" t="str">
        <f t="shared" si="244"/>
        <v>PDFを開く</v>
      </c>
      <c r="P2605" s="9" t="s">
        <v>2113</v>
      </c>
    </row>
    <row r="2606" spans="1:16" ht="33.950000000000003" customHeight="1">
      <c r="A2606" s="2" t="s">
        <v>2105</v>
      </c>
      <c r="B2606" s="2" t="s">
        <v>1595</v>
      </c>
      <c r="C2606" s="8" t="s">
        <v>2106</v>
      </c>
      <c r="D2606" s="2">
        <v>2</v>
      </c>
      <c r="E2606" s="8" t="s">
        <v>3184</v>
      </c>
      <c r="F2606" s="2" t="s">
        <v>447</v>
      </c>
      <c r="G2606" s="19" t="s">
        <v>3189</v>
      </c>
      <c r="H2606" s="2"/>
      <c r="I2606" s="8" t="s">
        <v>3305</v>
      </c>
      <c r="J2606" s="2"/>
      <c r="K2606" s="2">
        <v>5690</v>
      </c>
      <c r="L2606" s="8" t="s">
        <v>5925</v>
      </c>
      <c r="M2606" s="2">
        <v>7</v>
      </c>
      <c r="N2606" s="8" t="s">
        <v>5917</v>
      </c>
      <c r="O2606" s="8" t="str">
        <f t="shared" si="244"/>
        <v>PDFを開く</v>
      </c>
      <c r="P2606" s="8" t="s">
        <v>2113</v>
      </c>
    </row>
    <row r="2607" spans="1:16" ht="33.950000000000003" customHeight="1">
      <c r="A2607" s="5" t="s">
        <v>2105</v>
      </c>
      <c r="B2607" s="5" t="s">
        <v>1595</v>
      </c>
      <c r="C2607" s="9" t="s">
        <v>2106</v>
      </c>
      <c r="D2607" s="5">
        <v>2</v>
      </c>
      <c r="E2607" s="9" t="s">
        <v>3184</v>
      </c>
      <c r="F2607" s="5" t="s">
        <v>447</v>
      </c>
      <c r="G2607" s="19" t="s">
        <v>3189</v>
      </c>
      <c r="H2607" s="5"/>
      <c r="I2607" s="9" t="s">
        <v>3305</v>
      </c>
      <c r="J2607" s="5"/>
      <c r="K2607" s="5">
        <v>5505</v>
      </c>
      <c r="L2607" s="9" t="s">
        <v>5926</v>
      </c>
      <c r="M2607" s="5">
        <v>7</v>
      </c>
      <c r="N2607" s="9" t="s">
        <v>5917</v>
      </c>
      <c r="O2607" s="9" t="str">
        <f t="shared" si="244"/>
        <v>PDFを開く</v>
      </c>
      <c r="P2607" s="9" t="s">
        <v>2113</v>
      </c>
    </row>
    <row r="2608" spans="1:16" ht="33.950000000000003" customHeight="1">
      <c r="A2608" s="2" t="s">
        <v>2105</v>
      </c>
      <c r="B2608" s="2" t="s">
        <v>1595</v>
      </c>
      <c r="C2608" s="8" t="s">
        <v>2106</v>
      </c>
      <c r="D2608" s="2">
        <v>2</v>
      </c>
      <c r="E2608" s="8" t="s">
        <v>3188</v>
      </c>
      <c r="F2608" s="2" t="s">
        <v>447</v>
      </c>
      <c r="G2608" s="19" t="s">
        <v>3189</v>
      </c>
      <c r="H2608" s="2"/>
      <c r="I2608" s="8"/>
      <c r="J2608" s="2"/>
      <c r="K2608" s="2"/>
      <c r="L2608" s="8"/>
      <c r="M2608" s="2">
        <v>5</v>
      </c>
      <c r="N2608" s="8" t="s">
        <v>5927</v>
      </c>
      <c r="O2608" s="8" t="str">
        <f t="shared" si="244"/>
        <v>PDFを開く</v>
      </c>
      <c r="P2608" s="8" t="s">
        <v>2113</v>
      </c>
    </row>
    <row r="2609" spans="1:16" ht="33.950000000000003" customHeight="1">
      <c r="A2609" s="5" t="s">
        <v>2105</v>
      </c>
      <c r="B2609" s="5" t="s">
        <v>1595</v>
      </c>
      <c r="C2609" s="9" t="s">
        <v>2106</v>
      </c>
      <c r="D2609" s="5">
        <v>2</v>
      </c>
      <c r="E2609" s="9" t="s">
        <v>3191</v>
      </c>
      <c r="F2609" s="5" t="s">
        <v>2513</v>
      </c>
      <c r="G2609" s="19" t="s">
        <v>3189</v>
      </c>
      <c r="H2609" s="5"/>
      <c r="I2609" s="9" t="s">
        <v>3302</v>
      </c>
      <c r="J2609" s="5"/>
      <c r="K2609" s="5">
        <v>2</v>
      </c>
      <c r="L2609" s="9" t="s">
        <v>5928</v>
      </c>
      <c r="M2609" s="5"/>
      <c r="N2609" s="9" t="s">
        <v>5929</v>
      </c>
      <c r="O2609" s="9" t="str">
        <f t="shared" si="244"/>
        <v>PDFを開く</v>
      </c>
      <c r="P2609" s="9" t="s">
        <v>2113</v>
      </c>
    </row>
    <row r="2610" spans="1:16" ht="33.950000000000003" customHeight="1">
      <c r="A2610" s="2" t="s">
        <v>2105</v>
      </c>
      <c r="B2610" s="2" t="s">
        <v>1595</v>
      </c>
      <c r="C2610" s="8" t="s">
        <v>2106</v>
      </c>
      <c r="D2610" s="2">
        <v>2</v>
      </c>
      <c r="E2610" s="8" t="s">
        <v>3191</v>
      </c>
      <c r="F2610" s="2" t="s">
        <v>2513</v>
      </c>
      <c r="G2610" s="19" t="s">
        <v>3189</v>
      </c>
      <c r="H2610" s="2"/>
      <c r="I2610" s="8" t="s">
        <v>3302</v>
      </c>
      <c r="J2610" s="2"/>
      <c r="K2610" s="2">
        <v>2.5</v>
      </c>
      <c r="L2610" s="8" t="s">
        <v>5930</v>
      </c>
      <c r="M2610" s="2"/>
      <c r="N2610" s="8" t="s">
        <v>5929</v>
      </c>
      <c r="O2610" s="8" t="str">
        <f t="shared" si="244"/>
        <v>PDFを開く</v>
      </c>
      <c r="P2610" s="8" t="s">
        <v>2113</v>
      </c>
    </row>
    <row r="2611" spans="1:16" ht="33.950000000000003" customHeight="1">
      <c r="A2611" s="5" t="s">
        <v>2105</v>
      </c>
      <c r="B2611" s="5" t="s">
        <v>1595</v>
      </c>
      <c r="C2611" s="9" t="s">
        <v>2106</v>
      </c>
      <c r="D2611" s="5">
        <v>2</v>
      </c>
      <c r="E2611" s="9" t="s">
        <v>3191</v>
      </c>
      <c r="F2611" s="5" t="s">
        <v>2513</v>
      </c>
      <c r="G2611" s="19" t="s">
        <v>3189</v>
      </c>
      <c r="H2611" s="5"/>
      <c r="I2611" s="9" t="s">
        <v>3302</v>
      </c>
      <c r="J2611" s="5"/>
      <c r="K2611" s="5">
        <v>14</v>
      </c>
      <c r="L2611" s="9" t="s">
        <v>5931</v>
      </c>
      <c r="M2611" s="5"/>
      <c r="N2611" s="9" t="s">
        <v>5929</v>
      </c>
      <c r="O2611" s="9" t="str">
        <f t="shared" si="244"/>
        <v>PDFを開く</v>
      </c>
      <c r="P2611" s="9" t="s">
        <v>2113</v>
      </c>
    </row>
    <row r="2612" spans="1:16" ht="33.950000000000003" customHeight="1">
      <c r="A2612" s="2" t="s">
        <v>2105</v>
      </c>
      <c r="B2612" s="2" t="s">
        <v>1595</v>
      </c>
      <c r="C2612" s="8" t="s">
        <v>2106</v>
      </c>
      <c r="D2612" s="2">
        <v>2</v>
      </c>
      <c r="E2612" s="8" t="s">
        <v>3191</v>
      </c>
      <c r="F2612" s="2" t="s">
        <v>2513</v>
      </c>
      <c r="G2612" s="19" t="s">
        <v>3189</v>
      </c>
      <c r="H2612" s="2"/>
      <c r="I2612" s="8" t="s">
        <v>3302</v>
      </c>
      <c r="J2612" s="2"/>
      <c r="K2612" s="2">
        <v>8</v>
      </c>
      <c r="L2612" s="8" t="s">
        <v>5932</v>
      </c>
      <c r="M2612" s="2"/>
      <c r="N2612" s="8" t="s">
        <v>5929</v>
      </c>
      <c r="O2612" s="8" t="str">
        <f t="shared" si="244"/>
        <v>PDFを開く</v>
      </c>
      <c r="P2612" s="8" t="s">
        <v>2113</v>
      </c>
    </row>
    <row r="2613" spans="1:16" ht="33.950000000000003" customHeight="1">
      <c r="A2613" s="5" t="s">
        <v>2105</v>
      </c>
      <c r="B2613" s="5" t="s">
        <v>1595</v>
      </c>
      <c r="C2613" s="9" t="s">
        <v>2106</v>
      </c>
      <c r="D2613" s="5">
        <v>2</v>
      </c>
      <c r="E2613" s="9" t="s">
        <v>3191</v>
      </c>
      <c r="F2613" s="5" t="s">
        <v>2513</v>
      </c>
      <c r="G2613" s="19" t="s">
        <v>3189</v>
      </c>
      <c r="H2613" s="5"/>
      <c r="I2613" s="9" t="s">
        <v>3302</v>
      </c>
      <c r="J2613" s="5"/>
      <c r="K2613" s="5">
        <v>24</v>
      </c>
      <c r="L2613" s="9" t="s">
        <v>5933</v>
      </c>
      <c r="M2613" s="5"/>
      <c r="N2613" s="9" t="s">
        <v>5929</v>
      </c>
      <c r="O2613" s="9" t="str">
        <f t="shared" si="244"/>
        <v>PDFを開く</v>
      </c>
      <c r="P2613" s="9" t="s">
        <v>2113</v>
      </c>
    </row>
    <row r="2614" spans="1:16" ht="33.950000000000003" customHeight="1">
      <c r="A2614" s="2" t="s">
        <v>2105</v>
      </c>
      <c r="B2614" s="2" t="s">
        <v>1595</v>
      </c>
      <c r="C2614" s="8" t="s">
        <v>2106</v>
      </c>
      <c r="D2614" s="2">
        <v>2</v>
      </c>
      <c r="E2614" s="8" t="s">
        <v>3191</v>
      </c>
      <c r="F2614" s="2" t="s">
        <v>2513</v>
      </c>
      <c r="G2614" s="19" t="s">
        <v>3189</v>
      </c>
      <c r="H2614" s="2"/>
      <c r="I2614" s="8" t="s">
        <v>3302</v>
      </c>
      <c r="J2614" s="2"/>
      <c r="K2614" s="2">
        <v>38</v>
      </c>
      <c r="L2614" s="8" t="s">
        <v>5934</v>
      </c>
      <c r="M2614" s="2"/>
      <c r="N2614" s="8" t="s">
        <v>5929</v>
      </c>
      <c r="O2614" s="8" t="str">
        <f t="shared" si="244"/>
        <v>PDFを開く</v>
      </c>
      <c r="P2614" s="8" t="s">
        <v>2113</v>
      </c>
    </row>
    <row r="2615" spans="1:16" ht="33.950000000000003" customHeight="1">
      <c r="A2615" s="5" t="s">
        <v>2105</v>
      </c>
      <c r="B2615" s="5" t="s">
        <v>1595</v>
      </c>
      <c r="C2615" s="9" t="s">
        <v>2106</v>
      </c>
      <c r="D2615" s="5">
        <v>2</v>
      </c>
      <c r="E2615" s="9" t="s">
        <v>3191</v>
      </c>
      <c r="F2615" s="5" t="s">
        <v>2513</v>
      </c>
      <c r="G2615" s="19" t="s">
        <v>3189</v>
      </c>
      <c r="H2615" s="5"/>
      <c r="I2615" s="9" t="s">
        <v>3305</v>
      </c>
      <c r="J2615" s="5"/>
      <c r="K2615" s="5">
        <v>0.3</v>
      </c>
      <c r="L2615" s="9" t="s">
        <v>5935</v>
      </c>
      <c r="M2615" s="5"/>
      <c r="N2615" s="9" t="s">
        <v>5929</v>
      </c>
      <c r="O2615" s="9" t="str">
        <f t="shared" si="244"/>
        <v>PDFを開く</v>
      </c>
      <c r="P2615" s="9" t="s">
        <v>2113</v>
      </c>
    </row>
    <row r="2616" spans="1:16" ht="33.950000000000003" customHeight="1">
      <c r="A2616" s="2" t="s">
        <v>2105</v>
      </c>
      <c r="B2616" s="2" t="s">
        <v>1595</v>
      </c>
      <c r="C2616" s="8" t="s">
        <v>2106</v>
      </c>
      <c r="D2616" s="2">
        <v>2</v>
      </c>
      <c r="E2616" s="8" t="s">
        <v>3191</v>
      </c>
      <c r="F2616" s="2" t="s">
        <v>2513</v>
      </c>
      <c r="G2616" s="19" t="s">
        <v>3189</v>
      </c>
      <c r="H2616" s="2"/>
      <c r="I2616" s="8" t="s">
        <v>3305</v>
      </c>
      <c r="J2616" s="2"/>
      <c r="K2616" s="2">
        <v>5</v>
      </c>
      <c r="L2616" s="8" t="s">
        <v>5936</v>
      </c>
      <c r="M2616" s="2"/>
      <c r="N2616" s="8" t="s">
        <v>5929</v>
      </c>
      <c r="O2616" s="8" t="str">
        <f t="shared" si="244"/>
        <v>PDFを開く</v>
      </c>
      <c r="P2616" s="8" t="s">
        <v>2113</v>
      </c>
    </row>
    <row r="2617" spans="1:16" ht="33.950000000000003" customHeight="1">
      <c r="A2617" s="5" t="s">
        <v>2105</v>
      </c>
      <c r="B2617" s="5" t="s">
        <v>1595</v>
      </c>
      <c r="C2617" s="9" t="s">
        <v>2106</v>
      </c>
      <c r="D2617" s="5">
        <v>2</v>
      </c>
      <c r="E2617" s="9" t="s">
        <v>3191</v>
      </c>
      <c r="F2617" s="5" t="s">
        <v>2513</v>
      </c>
      <c r="G2617" s="19" t="s">
        <v>3189</v>
      </c>
      <c r="H2617" s="5"/>
      <c r="I2617" s="9" t="s">
        <v>3305</v>
      </c>
      <c r="J2617" s="5"/>
      <c r="K2617" s="5">
        <v>9</v>
      </c>
      <c r="L2617" s="9" t="s">
        <v>5937</v>
      </c>
      <c r="M2617" s="5"/>
      <c r="N2617" s="9" t="s">
        <v>5929</v>
      </c>
      <c r="O2617" s="9" t="str">
        <f t="shared" si="244"/>
        <v>PDFを開く</v>
      </c>
      <c r="P2617" s="9" t="s">
        <v>2113</v>
      </c>
    </row>
    <row r="2618" spans="1:16" ht="33.950000000000003" customHeight="1">
      <c r="A2618" s="2" t="s">
        <v>2105</v>
      </c>
      <c r="B2618" s="2" t="s">
        <v>1595</v>
      </c>
      <c r="C2618" s="8" t="s">
        <v>2106</v>
      </c>
      <c r="D2618" s="2">
        <v>2</v>
      </c>
      <c r="E2618" s="8" t="s">
        <v>3191</v>
      </c>
      <c r="F2618" s="2" t="s">
        <v>2513</v>
      </c>
      <c r="G2618" s="19" t="s">
        <v>3189</v>
      </c>
      <c r="H2618" s="2"/>
      <c r="I2618" s="8" t="s">
        <v>3305</v>
      </c>
      <c r="J2618" s="2"/>
      <c r="K2618" s="2">
        <v>32.799999999999997</v>
      </c>
      <c r="L2618" s="8" t="s">
        <v>5938</v>
      </c>
      <c r="M2618" s="2"/>
      <c r="N2618" s="8" t="s">
        <v>5929</v>
      </c>
      <c r="O2618" s="8" t="str">
        <f t="shared" si="244"/>
        <v>PDFを開く</v>
      </c>
      <c r="P2618" s="8" t="s">
        <v>2113</v>
      </c>
    </row>
    <row r="2619" spans="1:16" ht="33.950000000000003" customHeight="1">
      <c r="A2619" s="5" t="s">
        <v>2105</v>
      </c>
      <c r="B2619" s="5" t="s">
        <v>1595</v>
      </c>
      <c r="C2619" s="9" t="s">
        <v>2106</v>
      </c>
      <c r="D2619" s="5">
        <v>2</v>
      </c>
      <c r="E2619" s="9" t="s">
        <v>3191</v>
      </c>
      <c r="F2619" s="5" t="s">
        <v>2513</v>
      </c>
      <c r="G2619" s="19" t="s">
        <v>3189</v>
      </c>
      <c r="H2619" s="5"/>
      <c r="I2619" s="9" t="s">
        <v>3305</v>
      </c>
      <c r="J2619" s="5"/>
      <c r="K2619" s="5">
        <v>11</v>
      </c>
      <c r="L2619" s="9" t="s">
        <v>5939</v>
      </c>
      <c r="M2619" s="5"/>
      <c r="N2619" s="9" t="s">
        <v>5929</v>
      </c>
      <c r="O2619" s="9" t="str">
        <f t="shared" si="244"/>
        <v>PDFを開く</v>
      </c>
      <c r="P2619" s="9" t="s">
        <v>2113</v>
      </c>
    </row>
    <row r="2620" spans="1:16" ht="33.950000000000003" customHeight="1">
      <c r="A2620" s="2" t="s">
        <v>2105</v>
      </c>
      <c r="B2620" s="2" t="s">
        <v>1595</v>
      </c>
      <c r="C2620" s="8" t="s">
        <v>2106</v>
      </c>
      <c r="D2620" s="2">
        <v>2</v>
      </c>
      <c r="E2620" s="8" t="s">
        <v>3191</v>
      </c>
      <c r="F2620" s="2" t="s">
        <v>2513</v>
      </c>
      <c r="G2620" s="19" t="s">
        <v>3189</v>
      </c>
      <c r="H2620" s="2"/>
      <c r="I2620" s="8" t="s">
        <v>3305</v>
      </c>
      <c r="J2620" s="2"/>
      <c r="K2620" s="2">
        <v>11</v>
      </c>
      <c r="L2620" s="8" t="s">
        <v>5939</v>
      </c>
      <c r="M2620" s="2"/>
      <c r="N2620" s="8" t="s">
        <v>5929</v>
      </c>
      <c r="O2620" s="8" t="str">
        <f t="shared" si="244"/>
        <v>PDFを開く</v>
      </c>
      <c r="P2620" s="8" t="s">
        <v>2113</v>
      </c>
    </row>
    <row r="2621" spans="1:16" ht="33.950000000000003" customHeight="1">
      <c r="A2621" s="5" t="s">
        <v>2105</v>
      </c>
      <c r="B2621" s="5" t="s">
        <v>1595</v>
      </c>
      <c r="C2621" s="9" t="s">
        <v>2106</v>
      </c>
      <c r="D2621" s="5">
        <v>2</v>
      </c>
      <c r="E2621" s="9" t="s">
        <v>3191</v>
      </c>
      <c r="F2621" s="5" t="s">
        <v>2513</v>
      </c>
      <c r="G2621" s="19" t="s">
        <v>3189</v>
      </c>
      <c r="H2621" s="5"/>
      <c r="I2621" s="9" t="s">
        <v>3305</v>
      </c>
      <c r="J2621" s="5"/>
      <c r="K2621" s="5">
        <v>98</v>
      </c>
      <c r="L2621" s="9" t="s">
        <v>5940</v>
      </c>
      <c r="M2621" s="5"/>
      <c r="N2621" s="9" t="s">
        <v>5929</v>
      </c>
      <c r="O2621" s="9" t="str">
        <f t="shared" si="244"/>
        <v>PDFを開く</v>
      </c>
      <c r="P2621" s="9" t="s">
        <v>2113</v>
      </c>
    </row>
    <row r="2622" spans="1:16" ht="33.950000000000003" customHeight="1">
      <c r="A2622" s="2" t="s">
        <v>2105</v>
      </c>
      <c r="B2622" s="2" t="s">
        <v>1595</v>
      </c>
      <c r="C2622" s="8" t="s">
        <v>2106</v>
      </c>
      <c r="D2622" s="2">
        <v>2</v>
      </c>
      <c r="E2622" s="8" t="s">
        <v>3191</v>
      </c>
      <c r="F2622" s="2" t="s">
        <v>2513</v>
      </c>
      <c r="G2622" s="19" t="s">
        <v>3189</v>
      </c>
      <c r="H2622" s="2"/>
      <c r="I2622" s="8" t="s">
        <v>3305</v>
      </c>
      <c r="J2622" s="2"/>
      <c r="K2622" s="2">
        <v>6</v>
      </c>
      <c r="L2622" s="8" t="s">
        <v>5941</v>
      </c>
      <c r="M2622" s="2"/>
      <c r="N2622" s="8" t="s">
        <v>5929</v>
      </c>
      <c r="O2622" s="8" t="str">
        <f t="shared" si="244"/>
        <v>PDFを開く</v>
      </c>
      <c r="P2622" s="8" t="s">
        <v>2113</v>
      </c>
    </row>
    <row r="2623" spans="1:16" ht="33.950000000000003" customHeight="1">
      <c r="A2623" s="5" t="s">
        <v>2105</v>
      </c>
      <c r="B2623" s="5" t="s">
        <v>1595</v>
      </c>
      <c r="C2623" s="9" t="s">
        <v>2106</v>
      </c>
      <c r="D2623" s="5">
        <v>2</v>
      </c>
      <c r="E2623" s="9" t="s">
        <v>3176</v>
      </c>
      <c r="F2623" s="5" t="s">
        <v>447</v>
      </c>
      <c r="G2623" s="5" t="s">
        <v>3177</v>
      </c>
      <c r="H2623" s="5"/>
      <c r="I2623" s="9" t="s">
        <v>5942</v>
      </c>
      <c r="J2623" s="5"/>
      <c r="K2623" s="5">
        <v>6751</v>
      </c>
      <c r="L2623" s="9" t="s">
        <v>5943</v>
      </c>
      <c r="M2623" s="5">
        <v>57.8</v>
      </c>
      <c r="N2623" s="9" t="s">
        <v>5944</v>
      </c>
      <c r="O2623" s="9" t="str">
        <f t="shared" si="244"/>
        <v>PDFを開く</v>
      </c>
      <c r="P2623" s="9" t="s">
        <v>2113</v>
      </c>
    </row>
    <row r="2624" spans="1:16" ht="33.950000000000003" customHeight="1">
      <c r="A2624" s="2" t="s">
        <v>2105</v>
      </c>
      <c r="B2624" s="2" t="s">
        <v>1595</v>
      </c>
      <c r="C2624" s="8" t="s">
        <v>2106</v>
      </c>
      <c r="D2624" s="2">
        <v>2</v>
      </c>
      <c r="E2624" s="8" t="s">
        <v>3176</v>
      </c>
      <c r="F2624" s="2" t="s">
        <v>447</v>
      </c>
      <c r="G2624" s="2" t="s">
        <v>3177</v>
      </c>
      <c r="H2624" s="2"/>
      <c r="I2624" s="8" t="s">
        <v>5945</v>
      </c>
      <c r="J2624" s="2"/>
      <c r="K2624" s="2">
        <v>26511</v>
      </c>
      <c r="L2624" s="8" t="s">
        <v>5946</v>
      </c>
      <c r="M2624" s="2">
        <v>57.8</v>
      </c>
      <c r="N2624" s="8" t="s">
        <v>5944</v>
      </c>
      <c r="O2624" s="8" t="str">
        <f t="shared" si="244"/>
        <v>PDFを開く</v>
      </c>
      <c r="P2624" s="8" t="s">
        <v>2113</v>
      </c>
    </row>
    <row r="2625" spans="1:16" ht="33.950000000000003" customHeight="1">
      <c r="A2625" s="5" t="s">
        <v>2105</v>
      </c>
      <c r="B2625" s="5" t="s">
        <v>1595</v>
      </c>
      <c r="C2625" s="9" t="s">
        <v>2106</v>
      </c>
      <c r="D2625" s="5">
        <v>2</v>
      </c>
      <c r="E2625" s="9" t="s">
        <v>3184</v>
      </c>
      <c r="F2625" s="5" t="s">
        <v>447</v>
      </c>
      <c r="G2625" s="5" t="s">
        <v>3177</v>
      </c>
      <c r="H2625" s="5"/>
      <c r="I2625" s="9" t="s">
        <v>5942</v>
      </c>
      <c r="J2625" s="5"/>
      <c r="K2625" s="5">
        <v>4655</v>
      </c>
      <c r="L2625" s="9" t="s">
        <v>5947</v>
      </c>
      <c r="M2625" s="5">
        <v>7</v>
      </c>
      <c r="N2625" s="9" t="s">
        <v>5948</v>
      </c>
      <c r="O2625" s="9" t="str">
        <f t="shared" si="244"/>
        <v>PDFを開く</v>
      </c>
      <c r="P2625" s="9" t="s">
        <v>2113</v>
      </c>
    </row>
    <row r="2626" spans="1:16" ht="33.950000000000003" customHeight="1">
      <c r="A2626" s="2" t="s">
        <v>2105</v>
      </c>
      <c r="B2626" s="2" t="s">
        <v>1595</v>
      </c>
      <c r="C2626" s="8" t="s">
        <v>2106</v>
      </c>
      <c r="D2626" s="2">
        <v>2</v>
      </c>
      <c r="E2626" s="8" t="s">
        <v>3184</v>
      </c>
      <c r="F2626" s="2" t="s">
        <v>447</v>
      </c>
      <c r="G2626" s="2" t="s">
        <v>3177</v>
      </c>
      <c r="H2626" s="2"/>
      <c r="I2626" s="8" t="s">
        <v>5945</v>
      </c>
      <c r="J2626" s="2"/>
      <c r="K2626" s="2">
        <v>5690</v>
      </c>
      <c r="L2626" s="8" t="s">
        <v>5949</v>
      </c>
      <c r="M2626" s="2">
        <v>7</v>
      </c>
      <c r="N2626" s="8" t="s">
        <v>5948</v>
      </c>
      <c r="O2626" s="8" t="str">
        <f t="shared" si="244"/>
        <v>PDFを開く</v>
      </c>
      <c r="P2626" s="8" t="s">
        <v>2113</v>
      </c>
    </row>
    <row r="2627" spans="1:16" ht="33.950000000000003" customHeight="1">
      <c r="A2627" s="5" t="s">
        <v>2105</v>
      </c>
      <c r="B2627" s="5" t="s">
        <v>1595</v>
      </c>
      <c r="C2627" s="9" t="s">
        <v>2106</v>
      </c>
      <c r="D2627" s="5">
        <v>2</v>
      </c>
      <c r="E2627" s="9" t="s">
        <v>3191</v>
      </c>
      <c r="F2627" s="5" t="s">
        <v>2513</v>
      </c>
      <c r="G2627" s="5" t="s">
        <v>3177</v>
      </c>
      <c r="H2627" s="5"/>
      <c r="I2627" s="9" t="s">
        <v>5942</v>
      </c>
      <c r="J2627" s="5"/>
      <c r="K2627" s="5">
        <v>32.799999999999997</v>
      </c>
      <c r="L2627" s="9" t="s">
        <v>5938</v>
      </c>
      <c r="M2627" s="5">
        <v>44</v>
      </c>
      <c r="N2627" s="9" t="s">
        <v>5950</v>
      </c>
      <c r="O2627" s="9" t="str">
        <f t="shared" si="244"/>
        <v>PDFを開く</v>
      </c>
      <c r="P2627" s="9" t="s">
        <v>2113</v>
      </c>
    </row>
    <row r="2628" spans="1:16" ht="33.950000000000003" customHeight="1">
      <c r="A2628" s="2" t="s">
        <v>2105</v>
      </c>
      <c r="B2628" s="2" t="s">
        <v>1595</v>
      </c>
      <c r="C2628" s="8" t="s">
        <v>2106</v>
      </c>
      <c r="D2628" s="2">
        <v>2</v>
      </c>
      <c r="E2628" s="8" t="s">
        <v>3191</v>
      </c>
      <c r="F2628" s="2" t="s">
        <v>2513</v>
      </c>
      <c r="G2628" s="2" t="s">
        <v>3177</v>
      </c>
      <c r="H2628" s="2"/>
      <c r="I2628" s="8" t="s">
        <v>5945</v>
      </c>
      <c r="J2628" s="2"/>
      <c r="K2628" s="2">
        <v>98</v>
      </c>
      <c r="L2628" s="8" t="s">
        <v>5486</v>
      </c>
      <c r="M2628" s="2">
        <v>44</v>
      </c>
      <c r="N2628" s="8" t="s">
        <v>5950</v>
      </c>
      <c r="O2628" s="8" t="str">
        <f t="shared" si="244"/>
        <v>PDFを開く</v>
      </c>
      <c r="P2628" s="8" t="s">
        <v>2113</v>
      </c>
    </row>
    <row r="2629" spans="1:16" ht="33.950000000000003" customHeight="1">
      <c r="A2629" s="5" t="s">
        <v>2114</v>
      </c>
      <c r="B2629" s="5" t="s">
        <v>1595</v>
      </c>
      <c r="C2629" s="9" t="s">
        <v>2115</v>
      </c>
      <c r="D2629" s="5">
        <v>2</v>
      </c>
      <c r="E2629" s="9" t="s">
        <v>3176</v>
      </c>
      <c r="F2629" s="5" t="s">
        <v>86</v>
      </c>
      <c r="G2629" s="19" t="s">
        <v>3494</v>
      </c>
      <c r="H2629" s="5" t="s">
        <v>3178</v>
      </c>
      <c r="I2629" s="9" t="s">
        <v>5951</v>
      </c>
      <c r="J2629" s="5">
        <v>2027</v>
      </c>
      <c r="K2629" s="5">
        <v>1260</v>
      </c>
      <c r="L2629" s="9" t="s">
        <v>5843</v>
      </c>
      <c r="M2629" s="5"/>
      <c r="N2629" s="9" t="s">
        <v>5952</v>
      </c>
      <c r="O2629" s="9" t="str">
        <f t="shared" ref="O2629:O2660" si="245">HYPERLINK("https://seichotoushi-hojo.jp/assets/pdf/koufu_3_4ji/outline_58.pdf","PDFを開く")</f>
        <v>PDFを開く</v>
      </c>
      <c r="P2629" s="9" t="s">
        <v>2122</v>
      </c>
    </row>
    <row r="2630" spans="1:16" ht="33.950000000000003" customHeight="1">
      <c r="A2630" s="2" t="s">
        <v>2114</v>
      </c>
      <c r="B2630" s="2" t="s">
        <v>1595</v>
      </c>
      <c r="C2630" s="8" t="s">
        <v>2115</v>
      </c>
      <c r="D2630" s="2">
        <v>2</v>
      </c>
      <c r="E2630" s="8" t="s">
        <v>3176</v>
      </c>
      <c r="F2630" s="2" t="s">
        <v>86</v>
      </c>
      <c r="G2630" s="19" t="s">
        <v>3494</v>
      </c>
      <c r="H2630" s="2" t="s">
        <v>3178</v>
      </c>
      <c r="I2630" s="8"/>
      <c r="J2630" s="2"/>
      <c r="K2630" s="2">
        <v>696</v>
      </c>
      <c r="L2630" s="8" t="s">
        <v>5770</v>
      </c>
      <c r="M2630" s="2"/>
      <c r="N2630" s="8" t="s">
        <v>5952</v>
      </c>
      <c r="O2630" s="8" t="str">
        <f t="shared" si="245"/>
        <v>PDFを開く</v>
      </c>
      <c r="P2630" s="8" t="s">
        <v>2122</v>
      </c>
    </row>
    <row r="2631" spans="1:16" ht="33.950000000000003" customHeight="1">
      <c r="A2631" s="5" t="s">
        <v>2114</v>
      </c>
      <c r="B2631" s="5" t="s">
        <v>1595</v>
      </c>
      <c r="C2631" s="9" t="s">
        <v>2115</v>
      </c>
      <c r="D2631" s="5">
        <v>2</v>
      </c>
      <c r="E2631" s="9" t="s">
        <v>3176</v>
      </c>
      <c r="F2631" s="5" t="s">
        <v>86</v>
      </c>
      <c r="G2631" s="19" t="s">
        <v>3494</v>
      </c>
      <c r="H2631" s="5" t="s">
        <v>3178</v>
      </c>
      <c r="I2631" s="9" t="s">
        <v>5953</v>
      </c>
      <c r="J2631" s="5">
        <v>2030</v>
      </c>
      <c r="K2631" s="5">
        <v>2011</v>
      </c>
      <c r="L2631" s="9" t="s">
        <v>5954</v>
      </c>
      <c r="M2631" s="5"/>
      <c r="N2631" s="9" t="s">
        <v>5952</v>
      </c>
      <c r="O2631" s="9" t="str">
        <f t="shared" si="245"/>
        <v>PDFを開く</v>
      </c>
      <c r="P2631" s="9" t="s">
        <v>2122</v>
      </c>
    </row>
    <row r="2632" spans="1:16" ht="33.950000000000003" customHeight="1">
      <c r="A2632" s="2" t="s">
        <v>2114</v>
      </c>
      <c r="B2632" s="2" t="s">
        <v>1595</v>
      </c>
      <c r="C2632" s="8" t="s">
        <v>2115</v>
      </c>
      <c r="D2632" s="2">
        <v>2</v>
      </c>
      <c r="E2632" s="8" t="s">
        <v>3176</v>
      </c>
      <c r="F2632" s="2" t="s">
        <v>86</v>
      </c>
      <c r="G2632" s="19" t="s">
        <v>3494</v>
      </c>
      <c r="H2632" s="2" t="s">
        <v>3178</v>
      </c>
      <c r="I2632" s="8"/>
      <c r="J2632" s="2"/>
      <c r="K2632" s="2">
        <v>983</v>
      </c>
      <c r="L2632" s="8" t="s">
        <v>5955</v>
      </c>
      <c r="M2632" s="2"/>
      <c r="N2632" s="8" t="s">
        <v>5952</v>
      </c>
      <c r="O2632" s="8" t="str">
        <f t="shared" si="245"/>
        <v>PDFを開く</v>
      </c>
      <c r="P2632" s="8" t="s">
        <v>2122</v>
      </c>
    </row>
    <row r="2633" spans="1:16" ht="33.950000000000003" customHeight="1">
      <c r="A2633" s="5" t="s">
        <v>2114</v>
      </c>
      <c r="B2633" s="5" t="s">
        <v>1595</v>
      </c>
      <c r="C2633" s="9" t="s">
        <v>2115</v>
      </c>
      <c r="D2633" s="5">
        <v>2</v>
      </c>
      <c r="E2633" s="9" t="s">
        <v>3184</v>
      </c>
      <c r="F2633" s="5" t="s">
        <v>86</v>
      </c>
      <c r="G2633" s="19" t="s">
        <v>3494</v>
      </c>
      <c r="H2633" s="5" t="s">
        <v>3178</v>
      </c>
      <c r="I2633" s="9" t="s">
        <v>5951</v>
      </c>
      <c r="J2633" s="5">
        <v>2027</v>
      </c>
      <c r="K2633" s="5">
        <v>952</v>
      </c>
      <c r="L2633" s="9" t="s">
        <v>5956</v>
      </c>
      <c r="M2633" s="5"/>
      <c r="N2633" s="9" t="s">
        <v>5957</v>
      </c>
      <c r="O2633" s="9" t="str">
        <f t="shared" si="245"/>
        <v>PDFを開く</v>
      </c>
      <c r="P2633" s="9" t="s">
        <v>2122</v>
      </c>
    </row>
    <row r="2634" spans="1:16" ht="33.950000000000003" customHeight="1">
      <c r="A2634" s="2" t="s">
        <v>2114</v>
      </c>
      <c r="B2634" s="2" t="s">
        <v>1595</v>
      </c>
      <c r="C2634" s="8" t="s">
        <v>2115</v>
      </c>
      <c r="D2634" s="2">
        <v>2</v>
      </c>
      <c r="E2634" s="8" t="s">
        <v>3184</v>
      </c>
      <c r="F2634" s="2" t="s">
        <v>86</v>
      </c>
      <c r="G2634" s="19" t="s">
        <v>3494</v>
      </c>
      <c r="H2634" s="2" t="s">
        <v>3178</v>
      </c>
      <c r="I2634" s="8"/>
      <c r="J2634" s="2"/>
      <c r="K2634" s="2">
        <v>944</v>
      </c>
      <c r="L2634" s="8" t="s">
        <v>5958</v>
      </c>
      <c r="M2634" s="2"/>
      <c r="N2634" s="8" t="s">
        <v>5957</v>
      </c>
      <c r="O2634" s="8" t="str">
        <f t="shared" si="245"/>
        <v>PDFを開く</v>
      </c>
      <c r="P2634" s="8" t="s">
        <v>2122</v>
      </c>
    </row>
    <row r="2635" spans="1:16" ht="33.950000000000003" customHeight="1">
      <c r="A2635" s="5" t="s">
        <v>2114</v>
      </c>
      <c r="B2635" s="5" t="s">
        <v>1595</v>
      </c>
      <c r="C2635" s="9" t="s">
        <v>2115</v>
      </c>
      <c r="D2635" s="5">
        <v>2</v>
      </c>
      <c r="E2635" s="9" t="s">
        <v>3184</v>
      </c>
      <c r="F2635" s="5" t="s">
        <v>86</v>
      </c>
      <c r="G2635" s="19" t="s">
        <v>3494</v>
      </c>
      <c r="H2635" s="5" t="s">
        <v>3178</v>
      </c>
      <c r="I2635" s="9"/>
      <c r="J2635" s="5"/>
      <c r="K2635" s="5">
        <v>970</v>
      </c>
      <c r="L2635" s="9" t="s">
        <v>5959</v>
      </c>
      <c r="M2635" s="5"/>
      <c r="N2635" s="9" t="s">
        <v>5957</v>
      </c>
      <c r="O2635" s="9" t="str">
        <f t="shared" si="245"/>
        <v>PDFを開く</v>
      </c>
      <c r="P2635" s="9" t="s">
        <v>2122</v>
      </c>
    </row>
    <row r="2636" spans="1:16" ht="33.950000000000003" customHeight="1">
      <c r="A2636" s="2" t="s">
        <v>2114</v>
      </c>
      <c r="B2636" s="2" t="s">
        <v>1595</v>
      </c>
      <c r="C2636" s="8" t="s">
        <v>2115</v>
      </c>
      <c r="D2636" s="2">
        <v>2</v>
      </c>
      <c r="E2636" s="8" t="s">
        <v>3184</v>
      </c>
      <c r="F2636" s="2" t="s">
        <v>86</v>
      </c>
      <c r="G2636" s="19" t="s">
        <v>3494</v>
      </c>
      <c r="H2636" s="2" t="s">
        <v>3178</v>
      </c>
      <c r="I2636" s="8"/>
      <c r="J2636" s="2"/>
      <c r="K2636" s="2">
        <v>964</v>
      </c>
      <c r="L2636" s="8" t="s">
        <v>5960</v>
      </c>
      <c r="M2636" s="2"/>
      <c r="N2636" s="8" t="s">
        <v>5957</v>
      </c>
      <c r="O2636" s="8" t="str">
        <f t="shared" si="245"/>
        <v>PDFを開く</v>
      </c>
      <c r="P2636" s="8" t="s">
        <v>2122</v>
      </c>
    </row>
    <row r="2637" spans="1:16" ht="33.950000000000003" customHeight="1">
      <c r="A2637" s="5" t="s">
        <v>2114</v>
      </c>
      <c r="B2637" s="5" t="s">
        <v>1595</v>
      </c>
      <c r="C2637" s="9" t="s">
        <v>2115</v>
      </c>
      <c r="D2637" s="5">
        <v>2</v>
      </c>
      <c r="E2637" s="9" t="s">
        <v>3184</v>
      </c>
      <c r="F2637" s="5" t="s">
        <v>86</v>
      </c>
      <c r="G2637" s="19" t="s">
        <v>3494</v>
      </c>
      <c r="H2637" s="5" t="s">
        <v>3178</v>
      </c>
      <c r="I2637" s="9"/>
      <c r="J2637" s="5"/>
      <c r="K2637" s="5">
        <v>925</v>
      </c>
      <c r="L2637" s="9" t="s">
        <v>5005</v>
      </c>
      <c r="M2637" s="5"/>
      <c r="N2637" s="9" t="s">
        <v>5957</v>
      </c>
      <c r="O2637" s="9" t="str">
        <f t="shared" si="245"/>
        <v>PDFを開く</v>
      </c>
      <c r="P2637" s="9" t="s">
        <v>2122</v>
      </c>
    </row>
    <row r="2638" spans="1:16" ht="33.950000000000003" customHeight="1">
      <c r="A2638" s="2" t="s">
        <v>2114</v>
      </c>
      <c r="B2638" s="2" t="s">
        <v>1595</v>
      </c>
      <c r="C2638" s="8" t="s">
        <v>2115</v>
      </c>
      <c r="D2638" s="2">
        <v>2</v>
      </c>
      <c r="E2638" s="8" t="s">
        <v>3184</v>
      </c>
      <c r="F2638" s="2" t="s">
        <v>86</v>
      </c>
      <c r="G2638" s="19" t="s">
        <v>3494</v>
      </c>
      <c r="H2638" s="2" t="s">
        <v>3178</v>
      </c>
      <c r="I2638" s="8"/>
      <c r="J2638" s="2"/>
      <c r="K2638" s="2">
        <v>921</v>
      </c>
      <c r="L2638" s="8" t="s">
        <v>5961</v>
      </c>
      <c r="M2638" s="2"/>
      <c r="N2638" s="8" t="s">
        <v>5957</v>
      </c>
      <c r="O2638" s="8" t="str">
        <f t="shared" si="245"/>
        <v>PDFを開く</v>
      </c>
      <c r="P2638" s="8" t="s">
        <v>2122</v>
      </c>
    </row>
    <row r="2639" spans="1:16" ht="33.950000000000003" customHeight="1">
      <c r="A2639" s="5" t="s">
        <v>2114</v>
      </c>
      <c r="B2639" s="5" t="s">
        <v>1595</v>
      </c>
      <c r="C2639" s="9" t="s">
        <v>2115</v>
      </c>
      <c r="D2639" s="5">
        <v>2</v>
      </c>
      <c r="E2639" s="9" t="s">
        <v>3184</v>
      </c>
      <c r="F2639" s="5" t="s">
        <v>86</v>
      </c>
      <c r="G2639" s="19" t="s">
        <v>3494</v>
      </c>
      <c r="H2639" s="5" t="s">
        <v>3178</v>
      </c>
      <c r="I2639" s="9"/>
      <c r="J2639" s="5"/>
      <c r="K2639" s="5">
        <v>761</v>
      </c>
      <c r="L2639" s="9" t="s">
        <v>5962</v>
      </c>
      <c r="M2639" s="5"/>
      <c r="N2639" s="9" t="s">
        <v>5957</v>
      </c>
      <c r="O2639" s="9" t="str">
        <f t="shared" si="245"/>
        <v>PDFを開く</v>
      </c>
      <c r="P2639" s="9" t="s">
        <v>2122</v>
      </c>
    </row>
    <row r="2640" spans="1:16" ht="33.950000000000003" customHeight="1">
      <c r="A2640" s="2" t="s">
        <v>2114</v>
      </c>
      <c r="B2640" s="2" t="s">
        <v>1595</v>
      </c>
      <c r="C2640" s="8" t="s">
        <v>2115</v>
      </c>
      <c r="D2640" s="2">
        <v>2</v>
      </c>
      <c r="E2640" s="8" t="s">
        <v>3184</v>
      </c>
      <c r="F2640" s="2" t="s">
        <v>86</v>
      </c>
      <c r="G2640" s="19" t="s">
        <v>3494</v>
      </c>
      <c r="H2640" s="2" t="s">
        <v>3178</v>
      </c>
      <c r="I2640" s="8"/>
      <c r="J2640" s="2"/>
      <c r="K2640" s="2">
        <v>604</v>
      </c>
      <c r="L2640" s="8" t="s">
        <v>5963</v>
      </c>
      <c r="M2640" s="2"/>
      <c r="N2640" s="8" t="s">
        <v>5957</v>
      </c>
      <c r="O2640" s="8" t="str">
        <f t="shared" si="245"/>
        <v>PDFを開く</v>
      </c>
      <c r="P2640" s="8" t="s">
        <v>2122</v>
      </c>
    </row>
    <row r="2641" spans="1:16" ht="33.950000000000003" customHeight="1">
      <c r="A2641" s="5" t="s">
        <v>2114</v>
      </c>
      <c r="B2641" s="5" t="s">
        <v>1595</v>
      </c>
      <c r="C2641" s="9" t="s">
        <v>2115</v>
      </c>
      <c r="D2641" s="5">
        <v>2</v>
      </c>
      <c r="E2641" s="9" t="s">
        <v>3184</v>
      </c>
      <c r="F2641" s="5" t="s">
        <v>86</v>
      </c>
      <c r="G2641" s="19" t="s">
        <v>3494</v>
      </c>
      <c r="H2641" s="5" t="s">
        <v>3178</v>
      </c>
      <c r="I2641" s="9" t="s">
        <v>5953</v>
      </c>
      <c r="J2641" s="5">
        <v>2030</v>
      </c>
      <c r="K2641" s="5">
        <v>1101</v>
      </c>
      <c r="L2641" s="9" t="s">
        <v>5964</v>
      </c>
      <c r="M2641" s="5"/>
      <c r="N2641" s="9" t="s">
        <v>5957</v>
      </c>
      <c r="O2641" s="9" t="str">
        <f t="shared" si="245"/>
        <v>PDFを開く</v>
      </c>
      <c r="P2641" s="9" t="s">
        <v>2122</v>
      </c>
    </row>
    <row r="2642" spans="1:16" ht="33.950000000000003" customHeight="1">
      <c r="A2642" s="2" t="s">
        <v>2114</v>
      </c>
      <c r="B2642" s="2" t="s">
        <v>1595</v>
      </c>
      <c r="C2642" s="8" t="s">
        <v>2115</v>
      </c>
      <c r="D2642" s="2">
        <v>2</v>
      </c>
      <c r="E2642" s="8" t="s">
        <v>3184</v>
      </c>
      <c r="F2642" s="2" t="s">
        <v>86</v>
      </c>
      <c r="G2642" s="19" t="s">
        <v>3494</v>
      </c>
      <c r="H2642" s="2" t="s">
        <v>3178</v>
      </c>
      <c r="I2642" s="8"/>
      <c r="J2642" s="2"/>
      <c r="K2642" s="2">
        <v>1093</v>
      </c>
      <c r="L2642" s="8" t="s">
        <v>5965</v>
      </c>
      <c r="M2642" s="2"/>
      <c r="N2642" s="8" t="s">
        <v>5957</v>
      </c>
      <c r="O2642" s="8" t="str">
        <f t="shared" si="245"/>
        <v>PDFを開く</v>
      </c>
      <c r="P2642" s="8" t="s">
        <v>2122</v>
      </c>
    </row>
    <row r="2643" spans="1:16" ht="33.950000000000003" customHeight="1">
      <c r="A2643" s="5" t="s">
        <v>2114</v>
      </c>
      <c r="B2643" s="5" t="s">
        <v>1595</v>
      </c>
      <c r="C2643" s="9" t="s">
        <v>2115</v>
      </c>
      <c r="D2643" s="5">
        <v>2</v>
      </c>
      <c r="E2643" s="9" t="s">
        <v>3184</v>
      </c>
      <c r="F2643" s="5" t="s">
        <v>86</v>
      </c>
      <c r="G2643" s="19" t="s">
        <v>3494</v>
      </c>
      <c r="H2643" s="5" t="s">
        <v>3178</v>
      </c>
      <c r="I2643" s="9"/>
      <c r="J2643" s="5"/>
      <c r="K2643" s="5">
        <v>1123</v>
      </c>
      <c r="L2643" s="9" t="s">
        <v>5966</v>
      </c>
      <c r="M2643" s="5"/>
      <c r="N2643" s="9" t="s">
        <v>5957</v>
      </c>
      <c r="O2643" s="9" t="str">
        <f t="shared" si="245"/>
        <v>PDFを開く</v>
      </c>
      <c r="P2643" s="9" t="s">
        <v>2122</v>
      </c>
    </row>
    <row r="2644" spans="1:16" ht="33.950000000000003" customHeight="1">
      <c r="A2644" s="2" t="s">
        <v>2114</v>
      </c>
      <c r="B2644" s="2" t="s">
        <v>1595</v>
      </c>
      <c r="C2644" s="8" t="s">
        <v>2115</v>
      </c>
      <c r="D2644" s="2">
        <v>2</v>
      </c>
      <c r="E2644" s="8" t="s">
        <v>3184</v>
      </c>
      <c r="F2644" s="2" t="s">
        <v>86</v>
      </c>
      <c r="G2644" s="19" t="s">
        <v>3494</v>
      </c>
      <c r="H2644" s="2" t="s">
        <v>3178</v>
      </c>
      <c r="I2644" s="8"/>
      <c r="J2644" s="2"/>
      <c r="K2644" s="2">
        <v>1116</v>
      </c>
      <c r="L2644" s="8" t="s">
        <v>5967</v>
      </c>
      <c r="M2644" s="2"/>
      <c r="N2644" s="8" t="s">
        <v>5957</v>
      </c>
      <c r="O2644" s="8" t="str">
        <f t="shared" si="245"/>
        <v>PDFを開く</v>
      </c>
      <c r="P2644" s="8" t="s">
        <v>2122</v>
      </c>
    </row>
    <row r="2645" spans="1:16" ht="33.950000000000003" customHeight="1">
      <c r="A2645" s="5" t="s">
        <v>2114</v>
      </c>
      <c r="B2645" s="5" t="s">
        <v>1595</v>
      </c>
      <c r="C2645" s="9" t="s">
        <v>2115</v>
      </c>
      <c r="D2645" s="5">
        <v>2</v>
      </c>
      <c r="E2645" s="9" t="s">
        <v>3184</v>
      </c>
      <c r="F2645" s="5" t="s">
        <v>86</v>
      </c>
      <c r="G2645" s="19" t="s">
        <v>3494</v>
      </c>
      <c r="H2645" s="5" t="s">
        <v>3178</v>
      </c>
      <c r="I2645" s="9"/>
      <c r="J2645" s="5"/>
      <c r="K2645" s="5">
        <v>1071</v>
      </c>
      <c r="L2645" s="9" t="s">
        <v>5968</v>
      </c>
      <c r="M2645" s="5"/>
      <c r="N2645" s="9" t="s">
        <v>5957</v>
      </c>
      <c r="O2645" s="9" t="str">
        <f t="shared" si="245"/>
        <v>PDFを開く</v>
      </c>
      <c r="P2645" s="9" t="s">
        <v>2122</v>
      </c>
    </row>
    <row r="2646" spans="1:16" ht="33.950000000000003" customHeight="1">
      <c r="A2646" s="2" t="s">
        <v>2114</v>
      </c>
      <c r="B2646" s="2" t="s">
        <v>1595</v>
      </c>
      <c r="C2646" s="8" t="s">
        <v>2115</v>
      </c>
      <c r="D2646" s="2">
        <v>2</v>
      </c>
      <c r="E2646" s="8" t="s">
        <v>3184</v>
      </c>
      <c r="F2646" s="2" t="s">
        <v>86</v>
      </c>
      <c r="G2646" s="19" t="s">
        <v>3494</v>
      </c>
      <c r="H2646" s="2" t="s">
        <v>3178</v>
      </c>
      <c r="I2646" s="8"/>
      <c r="J2646" s="2"/>
      <c r="K2646" s="2">
        <v>1066</v>
      </c>
      <c r="L2646" s="8" t="s">
        <v>5969</v>
      </c>
      <c r="M2646" s="2"/>
      <c r="N2646" s="8" t="s">
        <v>5957</v>
      </c>
      <c r="O2646" s="8" t="str">
        <f t="shared" si="245"/>
        <v>PDFを開く</v>
      </c>
      <c r="P2646" s="8" t="s">
        <v>2122</v>
      </c>
    </row>
    <row r="2647" spans="1:16" ht="33.950000000000003" customHeight="1">
      <c r="A2647" s="5" t="s">
        <v>2114</v>
      </c>
      <c r="B2647" s="5" t="s">
        <v>1595</v>
      </c>
      <c r="C2647" s="9" t="s">
        <v>2115</v>
      </c>
      <c r="D2647" s="5">
        <v>2</v>
      </c>
      <c r="E2647" s="9" t="s">
        <v>3184</v>
      </c>
      <c r="F2647" s="5" t="s">
        <v>86</v>
      </c>
      <c r="G2647" s="19" t="s">
        <v>3494</v>
      </c>
      <c r="H2647" s="5" t="s">
        <v>3178</v>
      </c>
      <c r="I2647" s="9"/>
      <c r="J2647" s="5"/>
      <c r="K2647" s="5">
        <v>881</v>
      </c>
      <c r="L2647" s="9" t="s">
        <v>4047</v>
      </c>
      <c r="M2647" s="5"/>
      <c r="N2647" s="9" t="s">
        <v>5957</v>
      </c>
      <c r="O2647" s="9" t="str">
        <f t="shared" si="245"/>
        <v>PDFを開く</v>
      </c>
      <c r="P2647" s="9" t="s">
        <v>2122</v>
      </c>
    </row>
    <row r="2648" spans="1:16" ht="33.950000000000003" customHeight="1">
      <c r="A2648" s="2" t="s">
        <v>2114</v>
      </c>
      <c r="B2648" s="2" t="s">
        <v>1595</v>
      </c>
      <c r="C2648" s="8" t="s">
        <v>2115</v>
      </c>
      <c r="D2648" s="2">
        <v>2</v>
      </c>
      <c r="E2648" s="8" t="s">
        <v>3184</v>
      </c>
      <c r="F2648" s="2" t="s">
        <v>86</v>
      </c>
      <c r="G2648" s="19" t="s">
        <v>3494</v>
      </c>
      <c r="H2648" s="2" t="s">
        <v>3178</v>
      </c>
      <c r="I2648" s="8"/>
      <c r="J2648" s="2"/>
      <c r="K2648" s="2">
        <v>699</v>
      </c>
      <c r="L2648" s="8" t="s">
        <v>5195</v>
      </c>
      <c r="M2648" s="2"/>
      <c r="N2648" s="8" t="s">
        <v>5957</v>
      </c>
      <c r="O2648" s="8" t="str">
        <f t="shared" si="245"/>
        <v>PDFを開く</v>
      </c>
      <c r="P2648" s="8" t="s">
        <v>2122</v>
      </c>
    </row>
    <row r="2649" spans="1:16" ht="33.950000000000003" customHeight="1">
      <c r="A2649" s="5" t="s">
        <v>2114</v>
      </c>
      <c r="B2649" s="5" t="s">
        <v>1595</v>
      </c>
      <c r="C2649" s="9" t="s">
        <v>2115</v>
      </c>
      <c r="D2649" s="5">
        <v>2</v>
      </c>
      <c r="E2649" s="9" t="s">
        <v>3188</v>
      </c>
      <c r="F2649" s="5" t="s">
        <v>86</v>
      </c>
      <c r="G2649" s="19" t="s">
        <v>3494</v>
      </c>
      <c r="H2649" s="5" t="s">
        <v>3178</v>
      </c>
      <c r="I2649" s="9" t="s">
        <v>5951</v>
      </c>
      <c r="J2649" s="5">
        <v>2027</v>
      </c>
      <c r="K2649" s="5">
        <v>5013</v>
      </c>
      <c r="L2649" s="9" t="s">
        <v>5970</v>
      </c>
      <c r="M2649" s="5"/>
      <c r="N2649" s="9" t="s">
        <v>5971</v>
      </c>
      <c r="O2649" s="9" t="str">
        <f t="shared" si="245"/>
        <v>PDFを開く</v>
      </c>
      <c r="P2649" s="9" t="s">
        <v>2122</v>
      </c>
    </row>
    <row r="2650" spans="1:16" ht="33.950000000000003" customHeight="1">
      <c r="A2650" s="2" t="s">
        <v>2114</v>
      </c>
      <c r="B2650" s="2" t="s">
        <v>1595</v>
      </c>
      <c r="C2650" s="8" t="s">
        <v>2115</v>
      </c>
      <c r="D2650" s="2">
        <v>2</v>
      </c>
      <c r="E2650" s="8" t="s">
        <v>3188</v>
      </c>
      <c r="F2650" s="2" t="s">
        <v>86</v>
      </c>
      <c r="G2650" s="19" t="s">
        <v>3494</v>
      </c>
      <c r="H2650" s="2" t="s">
        <v>3178</v>
      </c>
      <c r="I2650" s="8"/>
      <c r="J2650" s="2"/>
      <c r="K2650" s="2">
        <v>5013</v>
      </c>
      <c r="L2650" s="8" t="s">
        <v>5970</v>
      </c>
      <c r="M2650" s="2"/>
      <c r="N2650" s="8" t="s">
        <v>5971</v>
      </c>
      <c r="O2650" s="8" t="str">
        <f t="shared" si="245"/>
        <v>PDFを開く</v>
      </c>
      <c r="P2650" s="8" t="s">
        <v>2122</v>
      </c>
    </row>
    <row r="2651" spans="1:16" ht="33.950000000000003" customHeight="1">
      <c r="A2651" s="5" t="s">
        <v>2114</v>
      </c>
      <c r="B2651" s="5" t="s">
        <v>1595</v>
      </c>
      <c r="C2651" s="9" t="s">
        <v>2115</v>
      </c>
      <c r="D2651" s="5">
        <v>2</v>
      </c>
      <c r="E2651" s="9" t="s">
        <v>3188</v>
      </c>
      <c r="F2651" s="5" t="s">
        <v>86</v>
      </c>
      <c r="G2651" s="19" t="s">
        <v>3494</v>
      </c>
      <c r="H2651" s="5" t="s">
        <v>3178</v>
      </c>
      <c r="I2651" s="9"/>
      <c r="J2651" s="5"/>
      <c r="K2651" s="5">
        <v>2</v>
      </c>
      <c r="L2651" s="9" t="s">
        <v>4153</v>
      </c>
      <c r="M2651" s="5"/>
      <c r="N2651" s="9" t="s">
        <v>5971</v>
      </c>
      <c r="O2651" s="9" t="str">
        <f t="shared" si="245"/>
        <v>PDFを開く</v>
      </c>
      <c r="P2651" s="9" t="s">
        <v>2122</v>
      </c>
    </row>
    <row r="2652" spans="1:16" ht="33.950000000000003" customHeight="1">
      <c r="A2652" s="2" t="s">
        <v>2114</v>
      </c>
      <c r="B2652" s="2" t="s">
        <v>1595</v>
      </c>
      <c r="C2652" s="8" t="s">
        <v>2115</v>
      </c>
      <c r="D2652" s="2">
        <v>2</v>
      </c>
      <c r="E2652" s="8" t="s">
        <v>3188</v>
      </c>
      <c r="F2652" s="2" t="s">
        <v>86</v>
      </c>
      <c r="G2652" s="19" t="s">
        <v>3494</v>
      </c>
      <c r="H2652" s="2" t="s">
        <v>3178</v>
      </c>
      <c r="I2652" s="8" t="s">
        <v>5953</v>
      </c>
      <c r="J2652" s="2">
        <v>2030</v>
      </c>
      <c r="K2652" s="2">
        <v>5803</v>
      </c>
      <c r="L2652" s="8" t="s">
        <v>5972</v>
      </c>
      <c r="M2652" s="2"/>
      <c r="N2652" s="8" t="s">
        <v>5971</v>
      </c>
      <c r="O2652" s="8" t="str">
        <f t="shared" si="245"/>
        <v>PDFを開く</v>
      </c>
      <c r="P2652" s="8" t="s">
        <v>2122</v>
      </c>
    </row>
    <row r="2653" spans="1:16" ht="33.950000000000003" customHeight="1">
      <c r="A2653" s="5" t="s">
        <v>2114</v>
      </c>
      <c r="B2653" s="5" t="s">
        <v>1595</v>
      </c>
      <c r="C2653" s="9" t="s">
        <v>2115</v>
      </c>
      <c r="D2653" s="5">
        <v>2</v>
      </c>
      <c r="E2653" s="9" t="s">
        <v>3188</v>
      </c>
      <c r="F2653" s="5" t="s">
        <v>86</v>
      </c>
      <c r="G2653" s="19" t="s">
        <v>3494</v>
      </c>
      <c r="H2653" s="5" t="s">
        <v>3178</v>
      </c>
      <c r="I2653" s="9"/>
      <c r="J2653" s="5"/>
      <c r="K2653" s="5">
        <v>5803</v>
      </c>
      <c r="L2653" s="9" t="s">
        <v>5972</v>
      </c>
      <c r="M2653" s="5"/>
      <c r="N2653" s="9" t="s">
        <v>5971</v>
      </c>
      <c r="O2653" s="9" t="str">
        <f t="shared" si="245"/>
        <v>PDFを開く</v>
      </c>
      <c r="P2653" s="9" t="s">
        <v>2122</v>
      </c>
    </row>
    <row r="2654" spans="1:16" ht="33.950000000000003" customHeight="1">
      <c r="A2654" s="2" t="s">
        <v>2114</v>
      </c>
      <c r="B2654" s="2" t="s">
        <v>1595</v>
      </c>
      <c r="C2654" s="8" t="s">
        <v>2115</v>
      </c>
      <c r="D2654" s="2">
        <v>2</v>
      </c>
      <c r="E2654" s="8" t="s">
        <v>3188</v>
      </c>
      <c r="F2654" s="2" t="s">
        <v>86</v>
      </c>
      <c r="G2654" s="19" t="s">
        <v>3494</v>
      </c>
      <c r="H2654" s="2" t="s">
        <v>3178</v>
      </c>
      <c r="I2654" s="8"/>
      <c r="J2654" s="2"/>
      <c r="K2654" s="2">
        <v>2</v>
      </c>
      <c r="L2654" s="8" t="s">
        <v>4153</v>
      </c>
      <c r="M2654" s="2"/>
      <c r="N2654" s="8" t="s">
        <v>5971</v>
      </c>
      <c r="O2654" s="8" t="str">
        <f t="shared" si="245"/>
        <v>PDFを開く</v>
      </c>
      <c r="P2654" s="8" t="s">
        <v>2122</v>
      </c>
    </row>
    <row r="2655" spans="1:16" ht="33.950000000000003" customHeight="1">
      <c r="A2655" s="5" t="s">
        <v>2114</v>
      </c>
      <c r="B2655" s="5" t="s">
        <v>1595</v>
      </c>
      <c r="C2655" s="9" t="s">
        <v>2115</v>
      </c>
      <c r="D2655" s="5">
        <v>2</v>
      </c>
      <c r="E2655" s="9" t="s">
        <v>3191</v>
      </c>
      <c r="F2655" s="5" t="s">
        <v>2513</v>
      </c>
      <c r="G2655" s="19" t="s">
        <v>3494</v>
      </c>
      <c r="H2655" s="5" t="s">
        <v>3178</v>
      </c>
      <c r="I2655" s="9" t="s">
        <v>5951</v>
      </c>
      <c r="J2655" s="5">
        <v>2027</v>
      </c>
      <c r="K2655" s="5">
        <v>284</v>
      </c>
      <c r="L2655" s="9" t="s">
        <v>5973</v>
      </c>
      <c r="M2655" s="5"/>
      <c r="N2655" s="9" t="s">
        <v>5974</v>
      </c>
      <c r="O2655" s="9" t="str">
        <f t="shared" si="245"/>
        <v>PDFを開く</v>
      </c>
      <c r="P2655" s="9" t="s">
        <v>2122</v>
      </c>
    </row>
    <row r="2656" spans="1:16" ht="33.950000000000003" customHeight="1">
      <c r="A2656" s="2" t="s">
        <v>2114</v>
      </c>
      <c r="B2656" s="2" t="s">
        <v>1595</v>
      </c>
      <c r="C2656" s="8" t="s">
        <v>2115</v>
      </c>
      <c r="D2656" s="2">
        <v>2</v>
      </c>
      <c r="E2656" s="8" t="s">
        <v>3191</v>
      </c>
      <c r="F2656" s="2" t="s">
        <v>2513</v>
      </c>
      <c r="G2656" s="19" t="s">
        <v>3494</v>
      </c>
      <c r="H2656" s="2" t="s">
        <v>3178</v>
      </c>
      <c r="I2656" s="8"/>
      <c r="J2656" s="2"/>
      <c r="K2656" s="2">
        <v>155</v>
      </c>
      <c r="L2656" s="8" t="s">
        <v>4162</v>
      </c>
      <c r="M2656" s="2"/>
      <c r="N2656" s="8" t="s">
        <v>5974</v>
      </c>
      <c r="O2656" s="8" t="str">
        <f t="shared" si="245"/>
        <v>PDFを開く</v>
      </c>
      <c r="P2656" s="8" t="s">
        <v>2122</v>
      </c>
    </row>
    <row r="2657" spans="1:16" ht="33.950000000000003" customHeight="1">
      <c r="A2657" s="5" t="s">
        <v>2114</v>
      </c>
      <c r="B2657" s="5" t="s">
        <v>1595</v>
      </c>
      <c r="C2657" s="9" t="s">
        <v>2115</v>
      </c>
      <c r="D2657" s="5">
        <v>2</v>
      </c>
      <c r="E2657" s="9" t="s">
        <v>3191</v>
      </c>
      <c r="F2657" s="5" t="s">
        <v>2513</v>
      </c>
      <c r="G2657" s="19" t="s">
        <v>3494</v>
      </c>
      <c r="H2657" s="5" t="s">
        <v>3178</v>
      </c>
      <c r="I2657" s="9"/>
      <c r="J2657" s="5"/>
      <c r="K2657" s="5">
        <v>94</v>
      </c>
      <c r="L2657" s="9" t="s">
        <v>4810</v>
      </c>
      <c r="M2657" s="5"/>
      <c r="N2657" s="9" t="s">
        <v>5974</v>
      </c>
      <c r="O2657" s="9" t="str">
        <f t="shared" si="245"/>
        <v>PDFを開く</v>
      </c>
      <c r="P2657" s="9" t="s">
        <v>2122</v>
      </c>
    </row>
    <row r="2658" spans="1:16" ht="33.950000000000003" customHeight="1">
      <c r="A2658" s="2" t="s">
        <v>2114</v>
      </c>
      <c r="B2658" s="2" t="s">
        <v>1595</v>
      </c>
      <c r="C2658" s="8" t="s">
        <v>2115</v>
      </c>
      <c r="D2658" s="2">
        <v>2</v>
      </c>
      <c r="E2658" s="8" t="s">
        <v>3191</v>
      </c>
      <c r="F2658" s="2" t="s">
        <v>2513</v>
      </c>
      <c r="G2658" s="19" t="s">
        <v>3494</v>
      </c>
      <c r="H2658" s="2" t="s">
        <v>3178</v>
      </c>
      <c r="I2658" s="8"/>
      <c r="J2658" s="2"/>
      <c r="K2658" s="2">
        <v>23</v>
      </c>
      <c r="L2658" s="8" t="s">
        <v>3543</v>
      </c>
      <c r="M2658" s="2"/>
      <c r="N2658" s="8" t="s">
        <v>5974</v>
      </c>
      <c r="O2658" s="8" t="str">
        <f t="shared" si="245"/>
        <v>PDFを開く</v>
      </c>
      <c r="P2658" s="8" t="s">
        <v>2122</v>
      </c>
    </row>
    <row r="2659" spans="1:16" ht="33.950000000000003" customHeight="1">
      <c r="A2659" s="5" t="s">
        <v>2114</v>
      </c>
      <c r="B2659" s="5" t="s">
        <v>1595</v>
      </c>
      <c r="C2659" s="9" t="s">
        <v>2115</v>
      </c>
      <c r="D2659" s="5">
        <v>2</v>
      </c>
      <c r="E2659" s="9" t="s">
        <v>3191</v>
      </c>
      <c r="F2659" s="5" t="s">
        <v>2513</v>
      </c>
      <c r="G2659" s="19" t="s">
        <v>3494</v>
      </c>
      <c r="H2659" s="5" t="s">
        <v>3178</v>
      </c>
      <c r="I2659" s="9"/>
      <c r="J2659" s="5"/>
      <c r="K2659" s="5">
        <v>6</v>
      </c>
      <c r="L2659" s="9" t="s">
        <v>4128</v>
      </c>
      <c r="M2659" s="5"/>
      <c r="N2659" s="9" t="s">
        <v>5974</v>
      </c>
      <c r="O2659" s="9" t="str">
        <f t="shared" si="245"/>
        <v>PDFを開く</v>
      </c>
      <c r="P2659" s="9" t="s">
        <v>2122</v>
      </c>
    </row>
    <row r="2660" spans="1:16" ht="33.950000000000003" customHeight="1">
      <c r="A2660" s="2" t="s">
        <v>2114</v>
      </c>
      <c r="B2660" s="2" t="s">
        <v>1595</v>
      </c>
      <c r="C2660" s="8" t="s">
        <v>2115</v>
      </c>
      <c r="D2660" s="2">
        <v>2</v>
      </c>
      <c r="E2660" s="8" t="s">
        <v>3191</v>
      </c>
      <c r="F2660" s="2" t="s">
        <v>2513</v>
      </c>
      <c r="G2660" s="19" t="s">
        <v>3494</v>
      </c>
      <c r="H2660" s="2" t="s">
        <v>3178</v>
      </c>
      <c r="I2660" s="8"/>
      <c r="J2660" s="2"/>
      <c r="K2660" s="2">
        <v>3</v>
      </c>
      <c r="L2660" s="8" t="s">
        <v>4833</v>
      </c>
      <c r="M2660" s="2"/>
      <c r="N2660" s="8" t="s">
        <v>5974</v>
      </c>
      <c r="O2660" s="8" t="str">
        <f t="shared" si="245"/>
        <v>PDFを開く</v>
      </c>
      <c r="P2660" s="8" t="s">
        <v>2122</v>
      </c>
    </row>
    <row r="2661" spans="1:16" ht="33.950000000000003" customHeight="1">
      <c r="A2661" s="5" t="s">
        <v>2114</v>
      </c>
      <c r="B2661" s="5" t="s">
        <v>1595</v>
      </c>
      <c r="C2661" s="9" t="s">
        <v>2115</v>
      </c>
      <c r="D2661" s="5">
        <v>2</v>
      </c>
      <c r="E2661" s="9" t="s">
        <v>3191</v>
      </c>
      <c r="F2661" s="5" t="s">
        <v>2513</v>
      </c>
      <c r="G2661" s="19" t="s">
        <v>3494</v>
      </c>
      <c r="H2661" s="5" t="s">
        <v>3178</v>
      </c>
      <c r="I2661" s="9"/>
      <c r="J2661" s="5"/>
      <c r="K2661" s="5">
        <v>3</v>
      </c>
      <c r="L2661" s="9" t="s">
        <v>4833</v>
      </c>
      <c r="M2661" s="5"/>
      <c r="N2661" s="9" t="s">
        <v>5974</v>
      </c>
      <c r="O2661" s="9" t="str">
        <f t="shared" ref="O2661:O2678" si="246">HYPERLINK("https://seichotoushi-hojo.jp/assets/pdf/koufu_3_4ji/outline_58.pdf","PDFを開く")</f>
        <v>PDFを開く</v>
      </c>
      <c r="P2661" s="9" t="s">
        <v>2122</v>
      </c>
    </row>
    <row r="2662" spans="1:16" ht="33.950000000000003" customHeight="1">
      <c r="A2662" s="2" t="s">
        <v>2114</v>
      </c>
      <c r="B2662" s="2" t="s">
        <v>1595</v>
      </c>
      <c r="C2662" s="8" t="s">
        <v>2115</v>
      </c>
      <c r="D2662" s="2">
        <v>2</v>
      </c>
      <c r="E2662" s="8" t="s">
        <v>3191</v>
      </c>
      <c r="F2662" s="2" t="s">
        <v>2513</v>
      </c>
      <c r="G2662" s="19" t="s">
        <v>3494</v>
      </c>
      <c r="H2662" s="2" t="s">
        <v>3178</v>
      </c>
      <c r="I2662" s="8"/>
      <c r="J2662" s="2"/>
      <c r="K2662" s="2">
        <v>33</v>
      </c>
      <c r="L2662" s="8" t="s">
        <v>3554</v>
      </c>
      <c r="M2662" s="2"/>
      <c r="N2662" s="8" t="s">
        <v>5974</v>
      </c>
      <c r="O2662" s="8" t="str">
        <f t="shared" si="246"/>
        <v>PDFを開く</v>
      </c>
      <c r="P2662" s="8" t="s">
        <v>2122</v>
      </c>
    </row>
    <row r="2663" spans="1:16" ht="33.950000000000003" customHeight="1">
      <c r="A2663" s="5" t="s">
        <v>2114</v>
      </c>
      <c r="B2663" s="5" t="s">
        <v>1595</v>
      </c>
      <c r="C2663" s="9" t="s">
        <v>2115</v>
      </c>
      <c r="D2663" s="5">
        <v>2</v>
      </c>
      <c r="E2663" s="9" t="s">
        <v>3191</v>
      </c>
      <c r="F2663" s="5" t="s">
        <v>2513</v>
      </c>
      <c r="G2663" s="19" t="s">
        <v>3494</v>
      </c>
      <c r="H2663" s="5" t="s">
        <v>3178</v>
      </c>
      <c r="I2663" s="9" t="s">
        <v>5953</v>
      </c>
      <c r="J2663" s="5">
        <v>2030</v>
      </c>
      <c r="K2663" s="5">
        <v>315</v>
      </c>
      <c r="L2663" s="9" t="s">
        <v>3826</v>
      </c>
      <c r="M2663" s="5"/>
      <c r="N2663" s="9" t="s">
        <v>5974</v>
      </c>
      <c r="O2663" s="9" t="str">
        <f t="shared" si="246"/>
        <v>PDFを開く</v>
      </c>
      <c r="P2663" s="9" t="s">
        <v>2122</v>
      </c>
    </row>
    <row r="2664" spans="1:16" ht="33.950000000000003" customHeight="1">
      <c r="A2664" s="2" t="s">
        <v>2114</v>
      </c>
      <c r="B2664" s="2" t="s">
        <v>1595</v>
      </c>
      <c r="C2664" s="8" t="s">
        <v>2115</v>
      </c>
      <c r="D2664" s="2">
        <v>2</v>
      </c>
      <c r="E2664" s="8" t="s">
        <v>3191</v>
      </c>
      <c r="F2664" s="2" t="s">
        <v>2513</v>
      </c>
      <c r="G2664" s="19" t="s">
        <v>3494</v>
      </c>
      <c r="H2664" s="2" t="s">
        <v>3178</v>
      </c>
      <c r="I2664" s="8"/>
      <c r="J2664" s="2"/>
      <c r="K2664" s="2">
        <v>170</v>
      </c>
      <c r="L2664" s="8" t="s">
        <v>4164</v>
      </c>
      <c r="M2664" s="2"/>
      <c r="N2664" s="8" t="s">
        <v>5974</v>
      </c>
      <c r="O2664" s="8" t="str">
        <f t="shared" si="246"/>
        <v>PDFを開く</v>
      </c>
      <c r="P2664" s="8" t="s">
        <v>2122</v>
      </c>
    </row>
    <row r="2665" spans="1:16" ht="33.950000000000003" customHeight="1">
      <c r="A2665" s="5" t="s">
        <v>2114</v>
      </c>
      <c r="B2665" s="5" t="s">
        <v>1595</v>
      </c>
      <c r="C2665" s="9" t="s">
        <v>2115</v>
      </c>
      <c r="D2665" s="5">
        <v>2</v>
      </c>
      <c r="E2665" s="9" t="s">
        <v>3191</v>
      </c>
      <c r="F2665" s="5" t="s">
        <v>2513</v>
      </c>
      <c r="G2665" s="19" t="s">
        <v>3494</v>
      </c>
      <c r="H2665" s="5" t="s">
        <v>3178</v>
      </c>
      <c r="I2665" s="9"/>
      <c r="J2665" s="5"/>
      <c r="K2665" s="5">
        <v>104</v>
      </c>
      <c r="L2665" s="9" t="s">
        <v>3444</v>
      </c>
      <c r="M2665" s="5"/>
      <c r="N2665" s="9" t="s">
        <v>5974</v>
      </c>
      <c r="O2665" s="9" t="str">
        <f t="shared" si="246"/>
        <v>PDFを開く</v>
      </c>
      <c r="P2665" s="9" t="s">
        <v>2122</v>
      </c>
    </row>
    <row r="2666" spans="1:16" ht="33.950000000000003" customHeight="1">
      <c r="A2666" s="2" t="s">
        <v>2114</v>
      </c>
      <c r="B2666" s="2" t="s">
        <v>1595</v>
      </c>
      <c r="C2666" s="8" t="s">
        <v>2115</v>
      </c>
      <c r="D2666" s="2">
        <v>2</v>
      </c>
      <c r="E2666" s="8" t="s">
        <v>3191</v>
      </c>
      <c r="F2666" s="2" t="s">
        <v>2513</v>
      </c>
      <c r="G2666" s="19" t="s">
        <v>3494</v>
      </c>
      <c r="H2666" s="2" t="s">
        <v>3178</v>
      </c>
      <c r="I2666" s="8"/>
      <c r="J2666" s="2"/>
      <c r="K2666" s="2">
        <v>26</v>
      </c>
      <c r="L2666" s="8" t="s">
        <v>3982</v>
      </c>
      <c r="M2666" s="2"/>
      <c r="N2666" s="8" t="s">
        <v>5974</v>
      </c>
      <c r="O2666" s="8" t="str">
        <f t="shared" si="246"/>
        <v>PDFを開く</v>
      </c>
      <c r="P2666" s="8" t="s">
        <v>2122</v>
      </c>
    </row>
    <row r="2667" spans="1:16" ht="33.950000000000003" customHeight="1">
      <c r="A2667" s="5" t="s">
        <v>2114</v>
      </c>
      <c r="B2667" s="5" t="s">
        <v>1595</v>
      </c>
      <c r="C2667" s="9" t="s">
        <v>2115</v>
      </c>
      <c r="D2667" s="5">
        <v>2</v>
      </c>
      <c r="E2667" s="9" t="s">
        <v>3191</v>
      </c>
      <c r="F2667" s="5" t="s">
        <v>2513</v>
      </c>
      <c r="G2667" s="19" t="s">
        <v>3494</v>
      </c>
      <c r="H2667" s="5" t="s">
        <v>3178</v>
      </c>
      <c r="I2667" s="9"/>
      <c r="J2667" s="5"/>
      <c r="K2667" s="5">
        <v>7</v>
      </c>
      <c r="L2667" s="9" t="s">
        <v>5086</v>
      </c>
      <c r="M2667" s="5"/>
      <c r="N2667" s="9" t="s">
        <v>5974</v>
      </c>
      <c r="O2667" s="9" t="str">
        <f t="shared" si="246"/>
        <v>PDFを開く</v>
      </c>
      <c r="P2667" s="9" t="s">
        <v>2122</v>
      </c>
    </row>
    <row r="2668" spans="1:16" ht="33.950000000000003" customHeight="1">
      <c r="A2668" s="2" t="s">
        <v>2114</v>
      </c>
      <c r="B2668" s="2" t="s">
        <v>1595</v>
      </c>
      <c r="C2668" s="8" t="s">
        <v>2115</v>
      </c>
      <c r="D2668" s="2">
        <v>2</v>
      </c>
      <c r="E2668" s="8" t="s">
        <v>3191</v>
      </c>
      <c r="F2668" s="2" t="s">
        <v>2513</v>
      </c>
      <c r="G2668" s="19" t="s">
        <v>3494</v>
      </c>
      <c r="H2668" s="2" t="s">
        <v>3178</v>
      </c>
      <c r="I2668" s="8"/>
      <c r="J2668" s="2"/>
      <c r="K2668" s="2">
        <v>4</v>
      </c>
      <c r="L2668" s="8" t="s">
        <v>3621</v>
      </c>
      <c r="M2668" s="2"/>
      <c r="N2668" s="8" t="s">
        <v>5974</v>
      </c>
      <c r="O2668" s="8" t="str">
        <f t="shared" si="246"/>
        <v>PDFを開く</v>
      </c>
      <c r="P2668" s="8" t="s">
        <v>2122</v>
      </c>
    </row>
    <row r="2669" spans="1:16" ht="33.950000000000003" customHeight="1">
      <c r="A2669" s="5" t="s">
        <v>2114</v>
      </c>
      <c r="B2669" s="5" t="s">
        <v>1595</v>
      </c>
      <c r="C2669" s="9" t="s">
        <v>2115</v>
      </c>
      <c r="D2669" s="5">
        <v>2</v>
      </c>
      <c r="E2669" s="9" t="s">
        <v>3191</v>
      </c>
      <c r="F2669" s="5" t="s">
        <v>2513</v>
      </c>
      <c r="G2669" s="19" t="s">
        <v>3494</v>
      </c>
      <c r="H2669" s="5" t="s">
        <v>3178</v>
      </c>
      <c r="I2669" s="9"/>
      <c r="J2669" s="5"/>
      <c r="K2669" s="5">
        <v>4</v>
      </c>
      <c r="L2669" s="9" t="s">
        <v>3621</v>
      </c>
      <c r="M2669" s="5"/>
      <c r="N2669" s="9" t="s">
        <v>5974</v>
      </c>
      <c r="O2669" s="9" t="str">
        <f t="shared" si="246"/>
        <v>PDFを開く</v>
      </c>
      <c r="P2669" s="9" t="s">
        <v>2122</v>
      </c>
    </row>
    <row r="2670" spans="1:16" ht="33.950000000000003" customHeight="1">
      <c r="A2670" s="2" t="s">
        <v>2114</v>
      </c>
      <c r="B2670" s="2" t="s">
        <v>1595</v>
      </c>
      <c r="C2670" s="8" t="s">
        <v>2115</v>
      </c>
      <c r="D2670" s="2">
        <v>2</v>
      </c>
      <c r="E2670" s="8" t="s">
        <v>3191</v>
      </c>
      <c r="F2670" s="2" t="s">
        <v>2513</v>
      </c>
      <c r="G2670" s="19" t="s">
        <v>3494</v>
      </c>
      <c r="H2670" s="2" t="s">
        <v>3178</v>
      </c>
      <c r="I2670" s="8"/>
      <c r="J2670" s="2"/>
      <c r="K2670" s="2">
        <v>40</v>
      </c>
      <c r="L2670" s="8" t="s">
        <v>4235</v>
      </c>
      <c r="M2670" s="2"/>
      <c r="N2670" s="8" t="s">
        <v>5974</v>
      </c>
      <c r="O2670" s="8" t="str">
        <f t="shared" si="246"/>
        <v>PDFを開く</v>
      </c>
      <c r="P2670" s="8" t="s">
        <v>2122</v>
      </c>
    </row>
    <row r="2671" spans="1:16" ht="33.950000000000003" customHeight="1">
      <c r="A2671" s="5" t="s">
        <v>2114</v>
      </c>
      <c r="B2671" s="5" t="s">
        <v>1595</v>
      </c>
      <c r="C2671" s="9" t="s">
        <v>2115</v>
      </c>
      <c r="D2671" s="5">
        <v>2</v>
      </c>
      <c r="E2671" s="9" t="s">
        <v>3176</v>
      </c>
      <c r="F2671" s="5" t="s">
        <v>86</v>
      </c>
      <c r="G2671" s="5" t="s">
        <v>3177</v>
      </c>
      <c r="H2671" s="5" t="s">
        <v>3178</v>
      </c>
      <c r="I2671" s="9" t="s">
        <v>5951</v>
      </c>
      <c r="J2671" s="5">
        <v>2027</v>
      </c>
      <c r="K2671" s="5">
        <v>1260</v>
      </c>
      <c r="L2671" s="9" t="s">
        <v>5843</v>
      </c>
      <c r="M2671" s="5"/>
      <c r="N2671" s="9" t="s">
        <v>5952</v>
      </c>
      <c r="O2671" s="9" t="str">
        <f t="shared" si="246"/>
        <v>PDFを開く</v>
      </c>
      <c r="P2671" s="9" t="s">
        <v>2122</v>
      </c>
    </row>
    <row r="2672" spans="1:16" ht="33.950000000000003" customHeight="1">
      <c r="A2672" s="2" t="s">
        <v>2114</v>
      </c>
      <c r="B2672" s="2" t="s">
        <v>1595</v>
      </c>
      <c r="C2672" s="8" t="s">
        <v>2115</v>
      </c>
      <c r="D2672" s="2">
        <v>2</v>
      </c>
      <c r="E2672" s="8" t="s">
        <v>3176</v>
      </c>
      <c r="F2672" s="2" t="s">
        <v>86</v>
      </c>
      <c r="G2672" s="2" t="s">
        <v>3177</v>
      </c>
      <c r="H2672" s="2" t="s">
        <v>3178</v>
      </c>
      <c r="I2672" s="8" t="s">
        <v>5953</v>
      </c>
      <c r="J2672" s="2">
        <v>2030</v>
      </c>
      <c r="K2672" s="2">
        <v>2011</v>
      </c>
      <c r="L2672" s="8" t="s">
        <v>5954</v>
      </c>
      <c r="M2672" s="2"/>
      <c r="N2672" s="8" t="s">
        <v>5952</v>
      </c>
      <c r="O2672" s="8" t="str">
        <f t="shared" si="246"/>
        <v>PDFを開く</v>
      </c>
      <c r="P2672" s="8" t="s">
        <v>2122</v>
      </c>
    </row>
    <row r="2673" spans="1:16" ht="33.950000000000003" customHeight="1">
      <c r="A2673" s="5" t="s">
        <v>2114</v>
      </c>
      <c r="B2673" s="5" t="s">
        <v>1595</v>
      </c>
      <c r="C2673" s="9" t="s">
        <v>2115</v>
      </c>
      <c r="D2673" s="5">
        <v>2</v>
      </c>
      <c r="E2673" s="9" t="s">
        <v>3188</v>
      </c>
      <c r="F2673" s="5" t="s">
        <v>86</v>
      </c>
      <c r="G2673" s="5" t="s">
        <v>3177</v>
      </c>
      <c r="H2673" s="5" t="s">
        <v>3178</v>
      </c>
      <c r="I2673" s="9" t="s">
        <v>5951</v>
      </c>
      <c r="J2673" s="5">
        <v>2027</v>
      </c>
      <c r="K2673" s="5">
        <v>5013</v>
      </c>
      <c r="L2673" s="9" t="s">
        <v>5970</v>
      </c>
      <c r="M2673" s="5"/>
      <c r="N2673" s="9" t="s">
        <v>5971</v>
      </c>
      <c r="O2673" s="9" t="str">
        <f t="shared" si="246"/>
        <v>PDFを開く</v>
      </c>
      <c r="P2673" s="9" t="s">
        <v>2122</v>
      </c>
    </row>
    <row r="2674" spans="1:16" ht="33.950000000000003" customHeight="1">
      <c r="A2674" s="2" t="s">
        <v>2114</v>
      </c>
      <c r="B2674" s="2" t="s">
        <v>1595</v>
      </c>
      <c r="C2674" s="8" t="s">
        <v>2115</v>
      </c>
      <c r="D2674" s="2">
        <v>2</v>
      </c>
      <c r="E2674" s="8" t="s">
        <v>3188</v>
      </c>
      <c r="F2674" s="2" t="s">
        <v>86</v>
      </c>
      <c r="G2674" s="2" t="s">
        <v>3177</v>
      </c>
      <c r="H2674" s="2" t="s">
        <v>3178</v>
      </c>
      <c r="I2674" s="8" t="s">
        <v>5953</v>
      </c>
      <c r="J2674" s="2">
        <v>2030</v>
      </c>
      <c r="K2674" s="2">
        <v>5803</v>
      </c>
      <c r="L2674" s="8" t="s">
        <v>5972</v>
      </c>
      <c r="M2674" s="2"/>
      <c r="N2674" s="8" t="s">
        <v>5971</v>
      </c>
      <c r="O2674" s="8" t="str">
        <f t="shared" si="246"/>
        <v>PDFを開く</v>
      </c>
      <c r="P2674" s="8" t="s">
        <v>2122</v>
      </c>
    </row>
    <row r="2675" spans="1:16" ht="33.950000000000003" customHeight="1">
      <c r="A2675" s="5" t="s">
        <v>2114</v>
      </c>
      <c r="B2675" s="5" t="s">
        <v>1595</v>
      </c>
      <c r="C2675" s="9" t="s">
        <v>2115</v>
      </c>
      <c r="D2675" s="5">
        <v>2</v>
      </c>
      <c r="E2675" s="9" t="s">
        <v>3191</v>
      </c>
      <c r="F2675" s="5" t="s">
        <v>2513</v>
      </c>
      <c r="G2675" s="5" t="s">
        <v>3177</v>
      </c>
      <c r="H2675" s="5" t="s">
        <v>3178</v>
      </c>
      <c r="I2675" s="9" t="s">
        <v>5951</v>
      </c>
      <c r="J2675" s="5">
        <v>2027</v>
      </c>
      <c r="K2675" s="5">
        <v>284</v>
      </c>
      <c r="L2675" s="9" t="s">
        <v>5973</v>
      </c>
      <c r="M2675" s="5"/>
      <c r="N2675" s="9" t="s">
        <v>5974</v>
      </c>
      <c r="O2675" s="9" t="str">
        <f t="shared" si="246"/>
        <v>PDFを開く</v>
      </c>
      <c r="P2675" s="9" t="s">
        <v>2122</v>
      </c>
    </row>
    <row r="2676" spans="1:16" ht="33.950000000000003" customHeight="1">
      <c r="A2676" s="2" t="s">
        <v>2114</v>
      </c>
      <c r="B2676" s="2" t="s">
        <v>1595</v>
      </c>
      <c r="C2676" s="8" t="s">
        <v>2115</v>
      </c>
      <c r="D2676" s="2">
        <v>2</v>
      </c>
      <c r="E2676" s="8" t="s">
        <v>3191</v>
      </c>
      <c r="F2676" s="2" t="s">
        <v>2513</v>
      </c>
      <c r="G2676" s="2" t="s">
        <v>3177</v>
      </c>
      <c r="H2676" s="2" t="s">
        <v>3178</v>
      </c>
      <c r="I2676" s="8" t="s">
        <v>5953</v>
      </c>
      <c r="J2676" s="2">
        <v>2030</v>
      </c>
      <c r="K2676" s="2">
        <v>315</v>
      </c>
      <c r="L2676" s="8" t="s">
        <v>3826</v>
      </c>
      <c r="M2676" s="2"/>
      <c r="N2676" s="8" t="s">
        <v>5974</v>
      </c>
      <c r="O2676" s="8" t="str">
        <f t="shared" si="246"/>
        <v>PDFを開く</v>
      </c>
      <c r="P2676" s="8" t="s">
        <v>2122</v>
      </c>
    </row>
    <row r="2677" spans="1:16" ht="33.950000000000003" customHeight="1">
      <c r="A2677" s="5" t="s">
        <v>2114</v>
      </c>
      <c r="B2677" s="5" t="s">
        <v>1595</v>
      </c>
      <c r="C2677" s="9" t="s">
        <v>2115</v>
      </c>
      <c r="D2677" s="5">
        <v>2</v>
      </c>
      <c r="E2677" s="9" t="s">
        <v>3184</v>
      </c>
      <c r="F2677" s="5" t="s">
        <v>86</v>
      </c>
      <c r="G2677" s="5" t="s">
        <v>3177</v>
      </c>
      <c r="H2677" s="5" t="s">
        <v>3178</v>
      </c>
      <c r="I2677" s="9" t="s">
        <v>5951</v>
      </c>
      <c r="J2677" s="5">
        <v>2027</v>
      </c>
      <c r="K2677" s="5">
        <v>952</v>
      </c>
      <c r="L2677" s="9" t="s">
        <v>5956</v>
      </c>
      <c r="M2677" s="5"/>
      <c r="N2677" s="9" t="s">
        <v>5957</v>
      </c>
      <c r="O2677" s="9" t="str">
        <f t="shared" si="246"/>
        <v>PDFを開く</v>
      </c>
      <c r="P2677" s="9" t="s">
        <v>2122</v>
      </c>
    </row>
    <row r="2678" spans="1:16" ht="33.950000000000003" customHeight="1">
      <c r="A2678" s="2" t="s">
        <v>2114</v>
      </c>
      <c r="B2678" s="2" t="s">
        <v>1595</v>
      </c>
      <c r="C2678" s="8" t="s">
        <v>2115</v>
      </c>
      <c r="D2678" s="2">
        <v>2</v>
      </c>
      <c r="E2678" s="8" t="s">
        <v>3184</v>
      </c>
      <c r="F2678" s="2" t="s">
        <v>86</v>
      </c>
      <c r="G2678" s="2" t="s">
        <v>3177</v>
      </c>
      <c r="H2678" s="2" t="s">
        <v>3178</v>
      </c>
      <c r="I2678" s="8" t="s">
        <v>5953</v>
      </c>
      <c r="J2678" s="2">
        <v>2030</v>
      </c>
      <c r="K2678" s="2">
        <v>1101</v>
      </c>
      <c r="L2678" s="8" t="s">
        <v>5964</v>
      </c>
      <c r="M2678" s="2"/>
      <c r="N2678" s="8" t="s">
        <v>5957</v>
      </c>
      <c r="O2678" s="8" t="str">
        <f t="shared" si="246"/>
        <v>PDFを開く</v>
      </c>
      <c r="P2678" s="8" t="s">
        <v>2122</v>
      </c>
    </row>
    <row r="2679" spans="1:16" ht="33.950000000000003" customHeight="1">
      <c r="A2679" s="5" t="s">
        <v>2123</v>
      </c>
      <c r="B2679" s="5" t="s">
        <v>1595</v>
      </c>
      <c r="C2679" s="9" t="s">
        <v>2124</v>
      </c>
      <c r="D2679" s="5">
        <v>2</v>
      </c>
      <c r="E2679" s="9" t="s">
        <v>3176</v>
      </c>
      <c r="F2679" s="5"/>
      <c r="G2679" s="19" t="s">
        <v>3494</v>
      </c>
      <c r="H2679" s="5" t="s">
        <v>3178</v>
      </c>
      <c r="I2679" s="9" t="s">
        <v>3546</v>
      </c>
      <c r="J2679" s="5">
        <v>2027</v>
      </c>
      <c r="K2679" s="5">
        <v>507</v>
      </c>
      <c r="L2679" s="9" t="s">
        <v>3220</v>
      </c>
      <c r="M2679" s="5"/>
      <c r="N2679" s="9" t="s">
        <v>5975</v>
      </c>
      <c r="O2679" s="9" t="str">
        <f t="shared" ref="O2679:O2697" si="247">HYPERLINK("https://seichotoushi-hojo.jp/assets/pdf/koufu_3_4ji/outline_6.pdf","PDFを開く")</f>
        <v>PDFを開く</v>
      </c>
      <c r="P2679" s="9" t="s">
        <v>2131</v>
      </c>
    </row>
    <row r="2680" spans="1:16" ht="33.950000000000003" customHeight="1">
      <c r="A2680" s="2" t="s">
        <v>2123</v>
      </c>
      <c r="B2680" s="2" t="s">
        <v>1595</v>
      </c>
      <c r="C2680" s="8" t="s">
        <v>2124</v>
      </c>
      <c r="D2680" s="2">
        <v>2</v>
      </c>
      <c r="E2680" s="8" t="s">
        <v>3176</v>
      </c>
      <c r="F2680" s="2"/>
      <c r="G2680" s="19" t="s">
        <v>3494</v>
      </c>
      <c r="H2680" s="2" t="s">
        <v>3178</v>
      </c>
      <c r="I2680" s="8" t="s">
        <v>3645</v>
      </c>
      <c r="J2680" s="2">
        <v>2030</v>
      </c>
      <c r="K2680" s="2">
        <v>2136</v>
      </c>
      <c r="L2680" s="8" t="s">
        <v>5976</v>
      </c>
      <c r="M2680" s="2"/>
      <c r="N2680" s="8" t="s">
        <v>5975</v>
      </c>
      <c r="O2680" s="8" t="str">
        <f t="shared" si="247"/>
        <v>PDFを開く</v>
      </c>
      <c r="P2680" s="8" t="s">
        <v>2131</v>
      </c>
    </row>
    <row r="2681" spans="1:16" ht="33.950000000000003" customHeight="1">
      <c r="A2681" s="5" t="s">
        <v>2123</v>
      </c>
      <c r="B2681" s="5" t="s">
        <v>1595</v>
      </c>
      <c r="C2681" s="9" t="s">
        <v>2124</v>
      </c>
      <c r="D2681" s="5">
        <v>2</v>
      </c>
      <c r="E2681" s="9" t="s">
        <v>3176</v>
      </c>
      <c r="F2681" s="5"/>
      <c r="G2681" s="19" t="s">
        <v>3494</v>
      </c>
      <c r="H2681" s="5" t="s">
        <v>3178</v>
      </c>
      <c r="I2681" s="9" t="s">
        <v>3546</v>
      </c>
      <c r="J2681" s="5">
        <v>2027</v>
      </c>
      <c r="K2681" s="5">
        <v>6132</v>
      </c>
      <c r="L2681" s="9" t="s">
        <v>5977</v>
      </c>
      <c r="M2681" s="5"/>
      <c r="N2681" s="9" t="s">
        <v>5975</v>
      </c>
      <c r="O2681" s="9" t="str">
        <f t="shared" si="247"/>
        <v>PDFを開く</v>
      </c>
      <c r="P2681" s="9" t="s">
        <v>2131</v>
      </c>
    </row>
    <row r="2682" spans="1:16" ht="33.950000000000003" customHeight="1">
      <c r="A2682" s="2" t="s">
        <v>2123</v>
      </c>
      <c r="B2682" s="2" t="s">
        <v>1595</v>
      </c>
      <c r="C2682" s="8" t="s">
        <v>2124</v>
      </c>
      <c r="D2682" s="2">
        <v>2</v>
      </c>
      <c r="E2682" s="8" t="s">
        <v>3176</v>
      </c>
      <c r="F2682" s="2"/>
      <c r="G2682" s="19" t="s">
        <v>3494</v>
      </c>
      <c r="H2682" s="2" t="s">
        <v>3178</v>
      </c>
      <c r="I2682" s="8" t="s">
        <v>3645</v>
      </c>
      <c r="J2682" s="2">
        <v>2030</v>
      </c>
      <c r="K2682" s="2">
        <v>6132</v>
      </c>
      <c r="L2682" s="8" t="s">
        <v>5977</v>
      </c>
      <c r="M2682" s="2"/>
      <c r="N2682" s="8" t="s">
        <v>5975</v>
      </c>
      <c r="O2682" s="8" t="str">
        <f t="shared" si="247"/>
        <v>PDFを開く</v>
      </c>
      <c r="P2682" s="8" t="s">
        <v>2131</v>
      </c>
    </row>
    <row r="2683" spans="1:16" ht="33.950000000000003" customHeight="1">
      <c r="A2683" s="5" t="s">
        <v>2123</v>
      </c>
      <c r="B2683" s="5" t="s">
        <v>1595</v>
      </c>
      <c r="C2683" s="9" t="s">
        <v>2124</v>
      </c>
      <c r="D2683" s="5">
        <v>2</v>
      </c>
      <c r="E2683" s="9" t="s">
        <v>3184</v>
      </c>
      <c r="F2683" s="5"/>
      <c r="G2683" s="19" t="s">
        <v>3494</v>
      </c>
      <c r="H2683" s="5" t="s">
        <v>3178</v>
      </c>
      <c r="I2683" s="9" t="s">
        <v>3546</v>
      </c>
      <c r="J2683" s="5">
        <v>2027</v>
      </c>
      <c r="K2683" s="5">
        <v>334</v>
      </c>
      <c r="L2683" s="9" t="s">
        <v>3678</v>
      </c>
      <c r="M2683" s="5">
        <v>6</v>
      </c>
      <c r="N2683" s="9" t="s">
        <v>5978</v>
      </c>
      <c r="O2683" s="9" t="str">
        <f t="shared" si="247"/>
        <v>PDFを開く</v>
      </c>
      <c r="P2683" s="9" t="s">
        <v>2131</v>
      </c>
    </row>
    <row r="2684" spans="1:16" ht="33.950000000000003" customHeight="1">
      <c r="A2684" s="2" t="s">
        <v>2123</v>
      </c>
      <c r="B2684" s="2" t="s">
        <v>1595</v>
      </c>
      <c r="C2684" s="8" t="s">
        <v>2124</v>
      </c>
      <c r="D2684" s="2">
        <v>2</v>
      </c>
      <c r="E2684" s="8" t="s">
        <v>3184</v>
      </c>
      <c r="F2684" s="2"/>
      <c r="G2684" s="19" t="s">
        <v>3494</v>
      </c>
      <c r="H2684" s="2" t="s">
        <v>3178</v>
      </c>
      <c r="I2684" s="8" t="s">
        <v>3645</v>
      </c>
      <c r="J2684" s="2">
        <v>2030</v>
      </c>
      <c r="K2684" s="2">
        <v>398</v>
      </c>
      <c r="L2684" s="8" t="s">
        <v>5676</v>
      </c>
      <c r="M2684" s="2">
        <v>6</v>
      </c>
      <c r="N2684" s="8" t="s">
        <v>5978</v>
      </c>
      <c r="O2684" s="8" t="str">
        <f t="shared" si="247"/>
        <v>PDFを開く</v>
      </c>
      <c r="P2684" s="8" t="s">
        <v>2131</v>
      </c>
    </row>
    <row r="2685" spans="1:16" ht="33.950000000000003" customHeight="1">
      <c r="A2685" s="5" t="s">
        <v>2123</v>
      </c>
      <c r="B2685" s="5" t="s">
        <v>1595</v>
      </c>
      <c r="C2685" s="9" t="s">
        <v>2124</v>
      </c>
      <c r="D2685" s="5">
        <v>2</v>
      </c>
      <c r="E2685" s="9" t="s">
        <v>3184</v>
      </c>
      <c r="F2685" s="5"/>
      <c r="G2685" s="19" t="s">
        <v>3494</v>
      </c>
      <c r="H2685" s="5" t="s">
        <v>3178</v>
      </c>
      <c r="I2685" s="9" t="s">
        <v>3546</v>
      </c>
      <c r="J2685" s="5">
        <v>2027</v>
      </c>
      <c r="K2685" s="5">
        <v>650</v>
      </c>
      <c r="L2685" s="9" t="s">
        <v>4495</v>
      </c>
      <c r="M2685" s="5">
        <v>6</v>
      </c>
      <c r="N2685" s="9" t="s">
        <v>5978</v>
      </c>
      <c r="O2685" s="9" t="str">
        <f t="shared" si="247"/>
        <v>PDFを開く</v>
      </c>
      <c r="P2685" s="9" t="s">
        <v>2131</v>
      </c>
    </row>
    <row r="2686" spans="1:16" ht="33.950000000000003" customHeight="1">
      <c r="A2686" s="2" t="s">
        <v>2123</v>
      </c>
      <c r="B2686" s="2" t="s">
        <v>1595</v>
      </c>
      <c r="C2686" s="8" t="s">
        <v>2124</v>
      </c>
      <c r="D2686" s="2">
        <v>2</v>
      </c>
      <c r="E2686" s="8" t="s">
        <v>3184</v>
      </c>
      <c r="F2686" s="2"/>
      <c r="G2686" s="19" t="s">
        <v>3494</v>
      </c>
      <c r="H2686" s="2" t="s">
        <v>3178</v>
      </c>
      <c r="I2686" s="8" t="s">
        <v>3645</v>
      </c>
      <c r="J2686" s="2">
        <v>2030</v>
      </c>
      <c r="K2686" s="2">
        <v>774</v>
      </c>
      <c r="L2686" s="8" t="s">
        <v>5979</v>
      </c>
      <c r="M2686" s="2">
        <v>6</v>
      </c>
      <c r="N2686" s="8" t="s">
        <v>5978</v>
      </c>
      <c r="O2686" s="8" t="str">
        <f t="shared" si="247"/>
        <v>PDFを開く</v>
      </c>
      <c r="P2686" s="8" t="s">
        <v>2131</v>
      </c>
    </row>
    <row r="2687" spans="1:16" ht="33.950000000000003" customHeight="1">
      <c r="A2687" s="5" t="s">
        <v>2123</v>
      </c>
      <c r="B2687" s="5" t="s">
        <v>1595</v>
      </c>
      <c r="C2687" s="9" t="s">
        <v>2124</v>
      </c>
      <c r="D2687" s="5">
        <v>2</v>
      </c>
      <c r="E2687" s="9" t="s">
        <v>3188</v>
      </c>
      <c r="F2687" s="5"/>
      <c r="G2687" s="19" t="s">
        <v>3494</v>
      </c>
      <c r="H2687" s="5" t="s">
        <v>3178</v>
      </c>
      <c r="I2687" s="9"/>
      <c r="J2687" s="5"/>
      <c r="K2687" s="5"/>
      <c r="L2687" s="9"/>
      <c r="M2687" s="5">
        <v>6</v>
      </c>
      <c r="N2687" s="9" t="s">
        <v>5980</v>
      </c>
      <c r="O2687" s="9" t="str">
        <f t="shared" si="247"/>
        <v>PDFを開く</v>
      </c>
      <c r="P2687" s="9" t="s">
        <v>2131</v>
      </c>
    </row>
    <row r="2688" spans="1:16" ht="33.950000000000003" customHeight="1">
      <c r="A2688" s="2" t="s">
        <v>2123</v>
      </c>
      <c r="B2688" s="2" t="s">
        <v>1595</v>
      </c>
      <c r="C2688" s="8" t="s">
        <v>2124</v>
      </c>
      <c r="D2688" s="2">
        <v>2</v>
      </c>
      <c r="E2688" s="8" t="s">
        <v>3191</v>
      </c>
      <c r="F2688" s="2" t="s">
        <v>2513</v>
      </c>
      <c r="G2688" s="19" t="s">
        <v>3494</v>
      </c>
      <c r="H2688" s="2" t="s">
        <v>3178</v>
      </c>
      <c r="I2688" s="8" t="s">
        <v>3546</v>
      </c>
      <c r="J2688" s="2">
        <v>2027</v>
      </c>
      <c r="K2688" s="2">
        <v>181</v>
      </c>
      <c r="L2688" s="8" t="s">
        <v>4703</v>
      </c>
      <c r="M2688" s="2"/>
      <c r="N2688" s="8" t="s">
        <v>5981</v>
      </c>
      <c r="O2688" s="8" t="str">
        <f t="shared" si="247"/>
        <v>PDFを開く</v>
      </c>
      <c r="P2688" s="8" t="s">
        <v>2131</v>
      </c>
    </row>
    <row r="2689" spans="1:16" ht="33.950000000000003" customHeight="1">
      <c r="A2689" s="5" t="s">
        <v>2123</v>
      </c>
      <c r="B2689" s="5" t="s">
        <v>1595</v>
      </c>
      <c r="C2689" s="9" t="s">
        <v>2124</v>
      </c>
      <c r="D2689" s="5">
        <v>2</v>
      </c>
      <c r="E2689" s="9" t="s">
        <v>3191</v>
      </c>
      <c r="F2689" s="5" t="s">
        <v>2513</v>
      </c>
      <c r="G2689" s="19" t="s">
        <v>3494</v>
      </c>
      <c r="H2689" s="5" t="s">
        <v>3178</v>
      </c>
      <c r="I2689" s="9" t="s">
        <v>3645</v>
      </c>
      <c r="J2689" s="5">
        <v>2030</v>
      </c>
      <c r="K2689" s="5">
        <v>198</v>
      </c>
      <c r="L2689" s="9" t="s">
        <v>3897</v>
      </c>
      <c r="M2689" s="5"/>
      <c r="N2689" s="9" t="s">
        <v>5981</v>
      </c>
      <c r="O2689" s="9" t="str">
        <f t="shared" si="247"/>
        <v>PDFを開く</v>
      </c>
      <c r="P2689" s="9" t="s">
        <v>2131</v>
      </c>
    </row>
    <row r="2690" spans="1:16" ht="33.950000000000003" customHeight="1">
      <c r="A2690" s="2" t="s">
        <v>2123</v>
      </c>
      <c r="B2690" s="2" t="s">
        <v>1595</v>
      </c>
      <c r="C2690" s="8" t="s">
        <v>2124</v>
      </c>
      <c r="D2690" s="2">
        <v>2</v>
      </c>
      <c r="E2690" s="8" t="s">
        <v>3191</v>
      </c>
      <c r="F2690" s="2" t="s">
        <v>2513</v>
      </c>
      <c r="G2690" s="19" t="s">
        <v>3494</v>
      </c>
      <c r="H2690" s="2" t="s">
        <v>3178</v>
      </c>
      <c r="I2690" s="8" t="s">
        <v>3546</v>
      </c>
      <c r="J2690" s="2">
        <v>2027</v>
      </c>
      <c r="K2690" s="2">
        <v>1</v>
      </c>
      <c r="L2690" s="8" t="s">
        <v>4529</v>
      </c>
      <c r="M2690" s="2"/>
      <c r="N2690" s="8" t="s">
        <v>5981</v>
      </c>
      <c r="O2690" s="8" t="str">
        <f t="shared" si="247"/>
        <v>PDFを開く</v>
      </c>
      <c r="P2690" s="8" t="s">
        <v>2131</v>
      </c>
    </row>
    <row r="2691" spans="1:16" ht="33.950000000000003" customHeight="1">
      <c r="A2691" s="5" t="s">
        <v>2123</v>
      </c>
      <c r="B2691" s="5" t="s">
        <v>1595</v>
      </c>
      <c r="C2691" s="9" t="s">
        <v>2124</v>
      </c>
      <c r="D2691" s="5">
        <v>2</v>
      </c>
      <c r="E2691" s="9" t="s">
        <v>3191</v>
      </c>
      <c r="F2691" s="5" t="s">
        <v>2513</v>
      </c>
      <c r="G2691" s="19" t="s">
        <v>3494</v>
      </c>
      <c r="H2691" s="5" t="s">
        <v>3178</v>
      </c>
      <c r="I2691" s="9" t="s">
        <v>3645</v>
      </c>
      <c r="J2691" s="5">
        <v>2030</v>
      </c>
      <c r="K2691" s="5">
        <v>1</v>
      </c>
      <c r="L2691" s="9" t="s">
        <v>4529</v>
      </c>
      <c r="M2691" s="5"/>
      <c r="N2691" s="9" t="s">
        <v>5981</v>
      </c>
      <c r="O2691" s="9" t="str">
        <f t="shared" si="247"/>
        <v>PDFを開く</v>
      </c>
      <c r="P2691" s="9" t="s">
        <v>2131</v>
      </c>
    </row>
    <row r="2692" spans="1:16" ht="33.950000000000003" customHeight="1">
      <c r="A2692" s="2" t="s">
        <v>2123</v>
      </c>
      <c r="B2692" s="2" t="s">
        <v>1595</v>
      </c>
      <c r="C2692" s="8" t="s">
        <v>2124</v>
      </c>
      <c r="D2692" s="2">
        <v>2</v>
      </c>
      <c r="E2692" s="8" t="s">
        <v>3176</v>
      </c>
      <c r="F2692" s="2" t="s">
        <v>86</v>
      </c>
      <c r="G2692" s="2" t="s">
        <v>3177</v>
      </c>
      <c r="H2692" s="2" t="s">
        <v>3178</v>
      </c>
      <c r="I2692" s="8" t="s">
        <v>3546</v>
      </c>
      <c r="J2692" s="2">
        <v>2027</v>
      </c>
      <c r="K2692" s="2">
        <v>507</v>
      </c>
      <c r="L2692" s="8" t="s">
        <v>3220</v>
      </c>
      <c r="M2692" s="2"/>
      <c r="N2692" s="8" t="s">
        <v>5975</v>
      </c>
      <c r="O2692" s="8" t="str">
        <f t="shared" si="247"/>
        <v>PDFを開く</v>
      </c>
      <c r="P2692" s="8" t="s">
        <v>2131</v>
      </c>
    </row>
    <row r="2693" spans="1:16" ht="33.950000000000003" customHeight="1">
      <c r="A2693" s="5" t="s">
        <v>2123</v>
      </c>
      <c r="B2693" s="5" t="s">
        <v>1595</v>
      </c>
      <c r="C2693" s="9" t="s">
        <v>2124</v>
      </c>
      <c r="D2693" s="5">
        <v>2</v>
      </c>
      <c r="E2693" s="9" t="s">
        <v>3176</v>
      </c>
      <c r="F2693" s="5" t="s">
        <v>86</v>
      </c>
      <c r="G2693" s="5" t="s">
        <v>3177</v>
      </c>
      <c r="H2693" s="5" t="s">
        <v>3178</v>
      </c>
      <c r="I2693" s="9" t="s">
        <v>3645</v>
      </c>
      <c r="J2693" s="5">
        <v>2030</v>
      </c>
      <c r="K2693" s="5">
        <v>2136</v>
      </c>
      <c r="L2693" s="9" t="s">
        <v>5976</v>
      </c>
      <c r="M2693" s="5"/>
      <c r="N2693" s="9" t="s">
        <v>5975</v>
      </c>
      <c r="O2693" s="9" t="str">
        <f t="shared" si="247"/>
        <v>PDFを開く</v>
      </c>
      <c r="P2693" s="9" t="s">
        <v>2131</v>
      </c>
    </row>
    <row r="2694" spans="1:16" ht="33.950000000000003" customHeight="1">
      <c r="A2694" s="2" t="s">
        <v>2123</v>
      </c>
      <c r="B2694" s="2" t="s">
        <v>1595</v>
      </c>
      <c r="C2694" s="8" t="s">
        <v>2124</v>
      </c>
      <c r="D2694" s="2">
        <v>2</v>
      </c>
      <c r="E2694" s="8" t="s">
        <v>3191</v>
      </c>
      <c r="F2694" s="2" t="s">
        <v>2513</v>
      </c>
      <c r="G2694" s="2" t="s">
        <v>3177</v>
      </c>
      <c r="H2694" s="2" t="s">
        <v>3178</v>
      </c>
      <c r="I2694" s="8" t="s">
        <v>3546</v>
      </c>
      <c r="J2694" s="2">
        <v>2027</v>
      </c>
      <c r="K2694" s="2">
        <v>181</v>
      </c>
      <c r="L2694" s="8" t="s">
        <v>4703</v>
      </c>
      <c r="M2694" s="2"/>
      <c r="N2694" s="8" t="s">
        <v>5981</v>
      </c>
      <c r="O2694" s="8" t="str">
        <f t="shared" si="247"/>
        <v>PDFを開く</v>
      </c>
      <c r="P2694" s="8" t="s">
        <v>2131</v>
      </c>
    </row>
    <row r="2695" spans="1:16" ht="33.950000000000003" customHeight="1">
      <c r="A2695" s="5" t="s">
        <v>2123</v>
      </c>
      <c r="B2695" s="5" t="s">
        <v>1595</v>
      </c>
      <c r="C2695" s="9" t="s">
        <v>2124</v>
      </c>
      <c r="D2695" s="5">
        <v>2</v>
      </c>
      <c r="E2695" s="9" t="s">
        <v>3191</v>
      </c>
      <c r="F2695" s="5" t="s">
        <v>2513</v>
      </c>
      <c r="G2695" s="5" t="s">
        <v>3177</v>
      </c>
      <c r="H2695" s="5" t="s">
        <v>3178</v>
      </c>
      <c r="I2695" s="9" t="s">
        <v>3645</v>
      </c>
      <c r="J2695" s="5">
        <v>2030</v>
      </c>
      <c r="K2695" s="5">
        <v>198</v>
      </c>
      <c r="L2695" s="9" t="s">
        <v>3897</v>
      </c>
      <c r="M2695" s="5"/>
      <c r="N2695" s="9" t="s">
        <v>5981</v>
      </c>
      <c r="O2695" s="9" t="str">
        <f t="shared" si="247"/>
        <v>PDFを開く</v>
      </c>
      <c r="P2695" s="9" t="s">
        <v>2131</v>
      </c>
    </row>
    <row r="2696" spans="1:16" ht="33.950000000000003" customHeight="1">
      <c r="A2696" s="2" t="s">
        <v>2123</v>
      </c>
      <c r="B2696" s="2" t="s">
        <v>1595</v>
      </c>
      <c r="C2696" s="8" t="s">
        <v>2124</v>
      </c>
      <c r="D2696" s="2">
        <v>2</v>
      </c>
      <c r="E2696" s="8" t="s">
        <v>3184</v>
      </c>
      <c r="F2696" s="2" t="s">
        <v>86</v>
      </c>
      <c r="G2696" s="2" t="s">
        <v>3177</v>
      </c>
      <c r="H2696" s="2" t="s">
        <v>3178</v>
      </c>
      <c r="I2696" s="8" t="s">
        <v>3546</v>
      </c>
      <c r="J2696" s="2">
        <v>2027</v>
      </c>
      <c r="K2696" s="2">
        <v>334</v>
      </c>
      <c r="L2696" s="8" t="s">
        <v>3678</v>
      </c>
      <c r="M2696" s="2">
        <v>6</v>
      </c>
      <c r="N2696" s="8" t="s">
        <v>5978</v>
      </c>
      <c r="O2696" s="8" t="str">
        <f t="shared" si="247"/>
        <v>PDFを開く</v>
      </c>
      <c r="P2696" s="8" t="s">
        <v>2131</v>
      </c>
    </row>
    <row r="2697" spans="1:16" ht="33.950000000000003" customHeight="1">
      <c r="A2697" s="5" t="s">
        <v>2123</v>
      </c>
      <c r="B2697" s="5" t="s">
        <v>1595</v>
      </c>
      <c r="C2697" s="9" t="s">
        <v>2124</v>
      </c>
      <c r="D2697" s="5">
        <v>2</v>
      </c>
      <c r="E2697" s="9" t="s">
        <v>3184</v>
      </c>
      <c r="F2697" s="5" t="s">
        <v>86</v>
      </c>
      <c r="G2697" s="5" t="s">
        <v>3177</v>
      </c>
      <c r="H2697" s="5" t="s">
        <v>3178</v>
      </c>
      <c r="I2697" s="9" t="s">
        <v>3645</v>
      </c>
      <c r="J2697" s="5">
        <v>2030</v>
      </c>
      <c r="K2697" s="5">
        <v>398</v>
      </c>
      <c r="L2697" s="9" t="s">
        <v>5676</v>
      </c>
      <c r="M2697" s="5">
        <v>6</v>
      </c>
      <c r="N2697" s="9" t="s">
        <v>5978</v>
      </c>
      <c r="O2697" s="9" t="str">
        <f t="shared" si="247"/>
        <v>PDFを開く</v>
      </c>
      <c r="P2697" s="9" t="s">
        <v>2131</v>
      </c>
    </row>
    <row r="2698" spans="1:16" ht="33.950000000000003" customHeight="1">
      <c r="A2698" s="2" t="s">
        <v>2132</v>
      </c>
      <c r="B2698" s="2" t="s">
        <v>1595</v>
      </c>
      <c r="C2698" s="8" t="s">
        <v>2133</v>
      </c>
      <c r="D2698" s="2">
        <v>4</v>
      </c>
      <c r="E2698" s="8" t="s">
        <v>3176</v>
      </c>
      <c r="F2698" s="2" t="s">
        <v>86</v>
      </c>
      <c r="G2698" s="2" t="s">
        <v>3177</v>
      </c>
      <c r="H2698" s="2" t="s">
        <v>3178</v>
      </c>
      <c r="I2698" s="8" t="s">
        <v>5982</v>
      </c>
      <c r="J2698" s="2">
        <v>2027</v>
      </c>
      <c r="K2698" s="2">
        <v>582</v>
      </c>
      <c r="L2698" s="8" t="s">
        <v>4264</v>
      </c>
      <c r="M2698" s="2">
        <v>14.7</v>
      </c>
      <c r="N2698" s="8" t="s">
        <v>5983</v>
      </c>
      <c r="O2698" s="8" t="str">
        <f t="shared" ref="O2698:O2708" si="248">HYPERLINK("https://seichotoushi-hojo.jp/assets/pdf/koufu_3_4ji/outline_60.pdf","PDFを開く")</f>
        <v>PDFを開く</v>
      </c>
      <c r="P2698" s="8" t="s">
        <v>2137</v>
      </c>
    </row>
    <row r="2699" spans="1:16" ht="33.950000000000003" customHeight="1">
      <c r="A2699" s="5" t="s">
        <v>2132</v>
      </c>
      <c r="B2699" s="5" t="s">
        <v>1595</v>
      </c>
      <c r="C2699" s="9" t="s">
        <v>2133</v>
      </c>
      <c r="D2699" s="5">
        <v>4</v>
      </c>
      <c r="E2699" s="9" t="s">
        <v>3176</v>
      </c>
      <c r="F2699" s="5" t="s">
        <v>86</v>
      </c>
      <c r="G2699" s="5" t="s">
        <v>3177</v>
      </c>
      <c r="H2699" s="5" t="s">
        <v>3178</v>
      </c>
      <c r="I2699" s="9" t="s">
        <v>5984</v>
      </c>
      <c r="J2699" s="5">
        <v>2030</v>
      </c>
      <c r="K2699" s="5">
        <v>879</v>
      </c>
      <c r="L2699" s="9" t="s">
        <v>5985</v>
      </c>
      <c r="M2699" s="5">
        <v>14.7</v>
      </c>
      <c r="N2699" s="9" t="s">
        <v>5983</v>
      </c>
      <c r="O2699" s="9" t="str">
        <f t="shared" si="248"/>
        <v>PDFを開く</v>
      </c>
      <c r="P2699" s="9" t="s">
        <v>2137</v>
      </c>
    </row>
    <row r="2700" spans="1:16" ht="33.950000000000003" customHeight="1">
      <c r="A2700" s="2" t="s">
        <v>2132</v>
      </c>
      <c r="B2700" s="2" t="s">
        <v>1595</v>
      </c>
      <c r="C2700" s="8" t="s">
        <v>2133</v>
      </c>
      <c r="D2700" s="2">
        <v>4</v>
      </c>
      <c r="E2700" s="8" t="s">
        <v>3184</v>
      </c>
      <c r="F2700" s="2" t="s">
        <v>86</v>
      </c>
      <c r="G2700" s="2" t="s">
        <v>3177</v>
      </c>
      <c r="H2700" s="2" t="s">
        <v>3178</v>
      </c>
      <c r="I2700" s="8" t="s">
        <v>5982</v>
      </c>
      <c r="J2700" s="2">
        <v>2027</v>
      </c>
      <c r="K2700" s="2">
        <v>380</v>
      </c>
      <c r="L2700" s="8" t="s">
        <v>5226</v>
      </c>
      <c r="M2700" s="2">
        <v>1</v>
      </c>
      <c r="N2700" s="8" t="s">
        <v>5986</v>
      </c>
      <c r="O2700" s="8" t="str">
        <f t="shared" si="248"/>
        <v>PDFを開く</v>
      </c>
      <c r="P2700" s="8" t="s">
        <v>2137</v>
      </c>
    </row>
    <row r="2701" spans="1:16" ht="33.950000000000003" customHeight="1">
      <c r="A2701" s="5" t="s">
        <v>2132</v>
      </c>
      <c r="B2701" s="5" t="s">
        <v>1595</v>
      </c>
      <c r="C2701" s="9" t="s">
        <v>2133</v>
      </c>
      <c r="D2701" s="5">
        <v>4</v>
      </c>
      <c r="E2701" s="9" t="s">
        <v>3184</v>
      </c>
      <c r="F2701" s="5" t="s">
        <v>86</v>
      </c>
      <c r="G2701" s="5" t="s">
        <v>3177</v>
      </c>
      <c r="H2701" s="5" t="s">
        <v>3178</v>
      </c>
      <c r="I2701" s="9" t="s">
        <v>5984</v>
      </c>
      <c r="J2701" s="5">
        <v>2030</v>
      </c>
      <c r="K2701" s="5">
        <v>520</v>
      </c>
      <c r="L2701" s="9" t="s">
        <v>3325</v>
      </c>
      <c r="M2701" s="5">
        <v>1</v>
      </c>
      <c r="N2701" s="9" t="s">
        <v>5986</v>
      </c>
      <c r="O2701" s="9" t="str">
        <f t="shared" si="248"/>
        <v>PDFを開く</v>
      </c>
      <c r="P2701" s="9" t="s">
        <v>2137</v>
      </c>
    </row>
    <row r="2702" spans="1:16" ht="33.950000000000003" customHeight="1">
      <c r="A2702" s="2" t="s">
        <v>2132</v>
      </c>
      <c r="B2702" s="2" t="s">
        <v>1595</v>
      </c>
      <c r="C2702" s="8" t="s">
        <v>2133</v>
      </c>
      <c r="D2702" s="2">
        <v>4</v>
      </c>
      <c r="E2702" s="8" t="s">
        <v>3188</v>
      </c>
      <c r="F2702" s="2" t="s">
        <v>86</v>
      </c>
      <c r="G2702" s="19" t="s">
        <v>3189</v>
      </c>
      <c r="H2702" s="2" t="s">
        <v>3178</v>
      </c>
      <c r="I2702" s="8"/>
      <c r="J2702" s="2"/>
      <c r="K2702" s="2"/>
      <c r="L2702" s="8"/>
      <c r="M2702" s="2">
        <v>4.5</v>
      </c>
      <c r="N2702" s="8" t="s">
        <v>3278</v>
      </c>
      <c r="O2702" s="8" t="str">
        <f t="shared" si="248"/>
        <v>PDFを開く</v>
      </c>
      <c r="P2702" s="8" t="s">
        <v>2137</v>
      </c>
    </row>
    <row r="2703" spans="1:16" ht="33.950000000000003" customHeight="1">
      <c r="A2703" s="5" t="s">
        <v>2132</v>
      </c>
      <c r="B2703" s="5" t="s">
        <v>1595</v>
      </c>
      <c r="C2703" s="9" t="s">
        <v>2133</v>
      </c>
      <c r="D2703" s="5">
        <v>4</v>
      </c>
      <c r="E2703" s="9" t="s">
        <v>3191</v>
      </c>
      <c r="F2703" s="5" t="s">
        <v>2513</v>
      </c>
      <c r="G2703" s="5" t="s">
        <v>3177</v>
      </c>
      <c r="H2703" s="5" t="s">
        <v>3178</v>
      </c>
      <c r="I2703" s="9" t="s">
        <v>5982</v>
      </c>
      <c r="J2703" s="5">
        <v>2027</v>
      </c>
      <c r="K2703" s="5">
        <v>195</v>
      </c>
      <c r="L2703" s="9" t="s">
        <v>4772</v>
      </c>
      <c r="M2703" s="5"/>
      <c r="N2703" s="9" t="s">
        <v>5987</v>
      </c>
      <c r="O2703" s="9" t="str">
        <f t="shared" si="248"/>
        <v>PDFを開く</v>
      </c>
      <c r="P2703" s="9" t="s">
        <v>2137</v>
      </c>
    </row>
    <row r="2704" spans="1:16" ht="33.950000000000003" customHeight="1">
      <c r="A2704" s="2" t="s">
        <v>2132</v>
      </c>
      <c r="B2704" s="2" t="s">
        <v>1595</v>
      </c>
      <c r="C2704" s="8" t="s">
        <v>2133</v>
      </c>
      <c r="D2704" s="2">
        <v>4</v>
      </c>
      <c r="E2704" s="8" t="s">
        <v>3191</v>
      </c>
      <c r="F2704" s="2" t="s">
        <v>2513</v>
      </c>
      <c r="G2704" s="2" t="s">
        <v>3177</v>
      </c>
      <c r="H2704" s="2" t="s">
        <v>3178</v>
      </c>
      <c r="I2704" s="8" t="s">
        <v>5984</v>
      </c>
      <c r="J2704" s="2">
        <v>2030</v>
      </c>
      <c r="K2704" s="2">
        <v>294</v>
      </c>
      <c r="L2704" s="8" t="s">
        <v>3846</v>
      </c>
      <c r="M2704" s="2"/>
      <c r="N2704" s="8" t="s">
        <v>5987</v>
      </c>
      <c r="O2704" s="8" t="str">
        <f t="shared" si="248"/>
        <v>PDFを開く</v>
      </c>
      <c r="P2704" s="8" t="s">
        <v>2137</v>
      </c>
    </row>
    <row r="2705" spans="1:16" ht="33.950000000000003" customHeight="1">
      <c r="A2705" s="5" t="s">
        <v>2132</v>
      </c>
      <c r="B2705" s="5" t="s">
        <v>1595</v>
      </c>
      <c r="C2705" s="9" t="s">
        <v>2133</v>
      </c>
      <c r="D2705" s="5">
        <v>2</v>
      </c>
      <c r="E2705" s="9" t="s">
        <v>3184</v>
      </c>
      <c r="F2705" s="5" t="s">
        <v>86</v>
      </c>
      <c r="G2705" s="5" t="s">
        <v>3177</v>
      </c>
      <c r="H2705" s="5"/>
      <c r="I2705" s="9" t="s">
        <v>3686</v>
      </c>
      <c r="J2705" s="5">
        <v>2027</v>
      </c>
      <c r="K2705" s="5">
        <v>380</v>
      </c>
      <c r="L2705" s="9" t="s">
        <v>5226</v>
      </c>
      <c r="M2705" s="5">
        <v>11.1</v>
      </c>
      <c r="N2705" s="9" t="s">
        <v>5988</v>
      </c>
      <c r="O2705" s="9" t="str">
        <f t="shared" si="248"/>
        <v>PDFを開く</v>
      </c>
      <c r="P2705" s="9" t="s">
        <v>2137</v>
      </c>
    </row>
    <row r="2706" spans="1:16" ht="33.950000000000003" customHeight="1">
      <c r="A2706" s="2" t="s">
        <v>2132</v>
      </c>
      <c r="B2706" s="2" t="s">
        <v>1595</v>
      </c>
      <c r="C2706" s="8" t="s">
        <v>2133</v>
      </c>
      <c r="D2706" s="2">
        <v>2</v>
      </c>
      <c r="E2706" s="8" t="s">
        <v>3184</v>
      </c>
      <c r="F2706" s="2" t="s">
        <v>86</v>
      </c>
      <c r="G2706" s="2" t="s">
        <v>3177</v>
      </c>
      <c r="H2706" s="2"/>
      <c r="I2706" s="8" t="s">
        <v>3688</v>
      </c>
      <c r="J2706" s="2">
        <v>2030</v>
      </c>
      <c r="K2706" s="2">
        <v>520</v>
      </c>
      <c r="L2706" s="8" t="s">
        <v>3325</v>
      </c>
      <c r="M2706" s="2">
        <v>11.1</v>
      </c>
      <c r="N2706" s="8" t="s">
        <v>5988</v>
      </c>
      <c r="O2706" s="8" t="str">
        <f t="shared" si="248"/>
        <v>PDFを開く</v>
      </c>
      <c r="P2706" s="8" t="s">
        <v>2137</v>
      </c>
    </row>
    <row r="2707" spans="1:16" ht="33.950000000000003" customHeight="1">
      <c r="A2707" s="5" t="s">
        <v>2132</v>
      </c>
      <c r="B2707" s="5" t="s">
        <v>1595</v>
      </c>
      <c r="C2707" s="9" t="s">
        <v>2133</v>
      </c>
      <c r="D2707" s="5">
        <v>2</v>
      </c>
      <c r="E2707" s="9" t="s">
        <v>3191</v>
      </c>
      <c r="F2707" s="5" t="s">
        <v>2513</v>
      </c>
      <c r="G2707" s="5" t="s">
        <v>3177</v>
      </c>
      <c r="H2707" s="5"/>
      <c r="I2707" s="9" t="s">
        <v>3686</v>
      </c>
      <c r="J2707" s="5">
        <v>2027</v>
      </c>
      <c r="K2707" s="5">
        <v>195</v>
      </c>
      <c r="L2707" s="9" t="s">
        <v>4772</v>
      </c>
      <c r="M2707" s="5"/>
      <c r="N2707" s="9" t="s">
        <v>5989</v>
      </c>
      <c r="O2707" s="9" t="str">
        <f t="shared" si="248"/>
        <v>PDFを開く</v>
      </c>
      <c r="P2707" s="9" t="s">
        <v>2137</v>
      </c>
    </row>
    <row r="2708" spans="1:16" ht="33.950000000000003" customHeight="1">
      <c r="A2708" s="2" t="s">
        <v>2132</v>
      </c>
      <c r="B2708" s="2" t="s">
        <v>1595</v>
      </c>
      <c r="C2708" s="8" t="s">
        <v>2133</v>
      </c>
      <c r="D2708" s="2">
        <v>2</v>
      </c>
      <c r="E2708" s="8" t="s">
        <v>3191</v>
      </c>
      <c r="F2708" s="2" t="s">
        <v>2513</v>
      </c>
      <c r="G2708" s="2" t="s">
        <v>3177</v>
      </c>
      <c r="H2708" s="2"/>
      <c r="I2708" s="8" t="s">
        <v>3688</v>
      </c>
      <c r="J2708" s="2">
        <v>2030</v>
      </c>
      <c r="K2708" s="2">
        <v>294</v>
      </c>
      <c r="L2708" s="8" t="s">
        <v>3846</v>
      </c>
      <c r="M2708" s="2"/>
      <c r="N2708" s="8" t="s">
        <v>5989</v>
      </c>
      <c r="O2708" s="8" t="str">
        <f t="shared" si="248"/>
        <v>PDFを開く</v>
      </c>
      <c r="P2708" s="8" t="s">
        <v>2137</v>
      </c>
    </row>
    <row r="2709" spans="1:16" ht="33.950000000000003" customHeight="1">
      <c r="A2709" s="5" t="s">
        <v>2138</v>
      </c>
      <c r="B2709" s="5" t="s">
        <v>1595</v>
      </c>
      <c r="C2709" s="9" t="s">
        <v>2139</v>
      </c>
      <c r="D2709" s="5">
        <v>2</v>
      </c>
      <c r="E2709" s="9" t="s">
        <v>3176</v>
      </c>
      <c r="F2709" s="5" t="s">
        <v>86</v>
      </c>
      <c r="G2709" s="19" t="s">
        <v>3189</v>
      </c>
      <c r="H2709" s="5"/>
      <c r="I2709" s="9" t="s">
        <v>3302</v>
      </c>
      <c r="J2709" s="5"/>
      <c r="K2709" s="5">
        <v>3624</v>
      </c>
      <c r="L2709" s="9" t="s">
        <v>5990</v>
      </c>
      <c r="M2709" s="5">
        <v>15.8</v>
      </c>
      <c r="N2709" s="9" t="s">
        <v>5991</v>
      </c>
      <c r="O2709" s="9" t="str">
        <f t="shared" ref="O2709:O2720" si="249">HYPERLINK("https://seichotoushi-hojo.jp/assets/pdf/koufu_3_4ji/outline_61.pdf","PDFを開く")</f>
        <v>PDFを開く</v>
      </c>
      <c r="P2709" s="9" t="s">
        <v>2144</v>
      </c>
    </row>
    <row r="2710" spans="1:16" ht="33.950000000000003" customHeight="1">
      <c r="A2710" s="2" t="s">
        <v>2138</v>
      </c>
      <c r="B2710" s="2" t="s">
        <v>1595</v>
      </c>
      <c r="C2710" s="8" t="s">
        <v>2139</v>
      </c>
      <c r="D2710" s="2">
        <v>2</v>
      </c>
      <c r="E2710" s="8" t="s">
        <v>3176</v>
      </c>
      <c r="F2710" s="2" t="s">
        <v>86</v>
      </c>
      <c r="G2710" s="19" t="s">
        <v>3189</v>
      </c>
      <c r="H2710" s="2"/>
      <c r="I2710" s="8" t="s">
        <v>3302</v>
      </c>
      <c r="J2710" s="2"/>
      <c r="K2710" s="2">
        <v>2333</v>
      </c>
      <c r="L2710" s="8" t="s">
        <v>5992</v>
      </c>
      <c r="M2710" s="2">
        <v>15.8</v>
      </c>
      <c r="N2710" s="8" t="s">
        <v>5991</v>
      </c>
      <c r="O2710" s="8" t="str">
        <f t="shared" si="249"/>
        <v>PDFを開く</v>
      </c>
      <c r="P2710" s="8" t="s">
        <v>2144</v>
      </c>
    </row>
    <row r="2711" spans="1:16" ht="33.950000000000003" customHeight="1">
      <c r="A2711" s="5" t="s">
        <v>2138</v>
      </c>
      <c r="B2711" s="5" t="s">
        <v>1595</v>
      </c>
      <c r="C2711" s="9" t="s">
        <v>2139</v>
      </c>
      <c r="D2711" s="5">
        <v>2</v>
      </c>
      <c r="E2711" s="9" t="s">
        <v>3176</v>
      </c>
      <c r="F2711" s="5" t="s">
        <v>86</v>
      </c>
      <c r="G2711" s="19" t="s">
        <v>3189</v>
      </c>
      <c r="H2711" s="5"/>
      <c r="I2711" s="9" t="s">
        <v>3302</v>
      </c>
      <c r="J2711" s="5"/>
      <c r="K2711" s="5">
        <v>810</v>
      </c>
      <c r="L2711" s="9" t="s">
        <v>3242</v>
      </c>
      <c r="M2711" s="5">
        <v>15.8</v>
      </c>
      <c r="N2711" s="9" t="s">
        <v>5991</v>
      </c>
      <c r="O2711" s="9" t="str">
        <f t="shared" si="249"/>
        <v>PDFを開く</v>
      </c>
      <c r="P2711" s="9" t="s">
        <v>2144</v>
      </c>
    </row>
    <row r="2712" spans="1:16" ht="33.950000000000003" customHeight="1">
      <c r="A2712" s="2" t="s">
        <v>2138</v>
      </c>
      <c r="B2712" s="2" t="s">
        <v>1595</v>
      </c>
      <c r="C2712" s="8" t="s">
        <v>2139</v>
      </c>
      <c r="D2712" s="2">
        <v>2</v>
      </c>
      <c r="E2712" s="8" t="s">
        <v>3176</v>
      </c>
      <c r="F2712" s="2" t="s">
        <v>86</v>
      </c>
      <c r="G2712" s="19" t="s">
        <v>3189</v>
      </c>
      <c r="H2712" s="2"/>
      <c r="I2712" s="8" t="s">
        <v>3302</v>
      </c>
      <c r="J2712" s="2"/>
      <c r="K2712" s="2">
        <v>691</v>
      </c>
      <c r="L2712" s="8" t="s">
        <v>3653</v>
      </c>
      <c r="M2712" s="2">
        <v>15.8</v>
      </c>
      <c r="N2712" s="8" t="s">
        <v>5991</v>
      </c>
      <c r="O2712" s="8" t="str">
        <f t="shared" si="249"/>
        <v>PDFを開く</v>
      </c>
      <c r="P2712" s="8" t="s">
        <v>2144</v>
      </c>
    </row>
    <row r="2713" spans="1:16" ht="33.950000000000003" customHeight="1">
      <c r="A2713" s="5" t="s">
        <v>2138</v>
      </c>
      <c r="B2713" s="5" t="s">
        <v>1595</v>
      </c>
      <c r="C2713" s="9" t="s">
        <v>2139</v>
      </c>
      <c r="D2713" s="5">
        <v>2</v>
      </c>
      <c r="E2713" s="9" t="s">
        <v>3191</v>
      </c>
      <c r="F2713" s="5" t="s">
        <v>2513</v>
      </c>
      <c r="G2713" s="19" t="s">
        <v>3189</v>
      </c>
      <c r="H2713" s="5"/>
      <c r="I2713" s="9" t="s">
        <v>3302</v>
      </c>
      <c r="J2713" s="5"/>
      <c r="K2713" s="5">
        <v>198</v>
      </c>
      <c r="L2713" s="9" t="s">
        <v>3897</v>
      </c>
      <c r="M2713" s="5">
        <v>2.8</v>
      </c>
      <c r="N2713" s="9" t="s">
        <v>5993</v>
      </c>
      <c r="O2713" s="9" t="str">
        <f t="shared" si="249"/>
        <v>PDFを開く</v>
      </c>
      <c r="P2713" s="9" t="s">
        <v>2144</v>
      </c>
    </row>
    <row r="2714" spans="1:16" ht="33.950000000000003" customHeight="1">
      <c r="A2714" s="2" t="s">
        <v>2138</v>
      </c>
      <c r="B2714" s="2" t="s">
        <v>1595</v>
      </c>
      <c r="C2714" s="8" t="s">
        <v>2139</v>
      </c>
      <c r="D2714" s="2">
        <v>2</v>
      </c>
      <c r="E2714" s="8" t="s">
        <v>3191</v>
      </c>
      <c r="F2714" s="2" t="s">
        <v>2513</v>
      </c>
      <c r="G2714" s="19" t="s">
        <v>3189</v>
      </c>
      <c r="H2714" s="2"/>
      <c r="I2714" s="8" t="s">
        <v>3302</v>
      </c>
      <c r="J2714" s="2"/>
      <c r="K2714" s="2">
        <v>182</v>
      </c>
      <c r="L2714" s="8" t="s">
        <v>4420</v>
      </c>
      <c r="M2714" s="2">
        <v>2.8</v>
      </c>
      <c r="N2714" s="8" t="s">
        <v>5993</v>
      </c>
      <c r="O2714" s="8" t="str">
        <f t="shared" si="249"/>
        <v>PDFを開く</v>
      </c>
      <c r="P2714" s="8" t="s">
        <v>2144</v>
      </c>
    </row>
    <row r="2715" spans="1:16" ht="33.950000000000003" customHeight="1">
      <c r="A2715" s="5" t="s">
        <v>2138</v>
      </c>
      <c r="B2715" s="5" t="s">
        <v>1595</v>
      </c>
      <c r="C2715" s="9" t="s">
        <v>2139</v>
      </c>
      <c r="D2715" s="5">
        <v>2</v>
      </c>
      <c r="E2715" s="9" t="s">
        <v>3176</v>
      </c>
      <c r="F2715" s="5" t="s">
        <v>86</v>
      </c>
      <c r="G2715" s="5" t="s">
        <v>3177</v>
      </c>
      <c r="H2715" s="5"/>
      <c r="I2715" s="9" t="s">
        <v>5351</v>
      </c>
      <c r="J2715" s="5">
        <v>2028</v>
      </c>
      <c r="K2715" s="5">
        <v>2333</v>
      </c>
      <c r="L2715" s="9" t="s">
        <v>5994</v>
      </c>
      <c r="M2715" s="5">
        <v>15.8</v>
      </c>
      <c r="N2715" s="9" t="s">
        <v>5995</v>
      </c>
      <c r="O2715" s="9" t="str">
        <f t="shared" si="249"/>
        <v>PDFを開く</v>
      </c>
      <c r="P2715" s="9" t="s">
        <v>2144</v>
      </c>
    </row>
    <row r="2716" spans="1:16" ht="33.950000000000003" customHeight="1">
      <c r="A2716" s="2" t="s">
        <v>2138</v>
      </c>
      <c r="B2716" s="2" t="s">
        <v>1595</v>
      </c>
      <c r="C2716" s="8" t="s">
        <v>2139</v>
      </c>
      <c r="D2716" s="2">
        <v>2</v>
      </c>
      <c r="E2716" s="8" t="s">
        <v>3176</v>
      </c>
      <c r="F2716" s="2" t="s">
        <v>86</v>
      </c>
      <c r="G2716" s="2" t="s">
        <v>3177</v>
      </c>
      <c r="H2716" s="2"/>
      <c r="I2716" s="8" t="s">
        <v>5353</v>
      </c>
      <c r="J2716" s="2">
        <v>2031</v>
      </c>
      <c r="K2716" s="2">
        <v>3624</v>
      </c>
      <c r="L2716" s="8" t="s">
        <v>5996</v>
      </c>
      <c r="M2716" s="2">
        <v>15.8</v>
      </c>
      <c r="N2716" s="8" t="s">
        <v>5995</v>
      </c>
      <c r="O2716" s="8" t="str">
        <f t="shared" si="249"/>
        <v>PDFを開く</v>
      </c>
      <c r="P2716" s="8" t="s">
        <v>2144</v>
      </c>
    </row>
    <row r="2717" spans="1:16" ht="33.950000000000003" customHeight="1">
      <c r="A2717" s="5" t="s">
        <v>2138</v>
      </c>
      <c r="B2717" s="5" t="s">
        <v>1595</v>
      </c>
      <c r="C2717" s="9" t="s">
        <v>2139</v>
      </c>
      <c r="D2717" s="5">
        <v>2</v>
      </c>
      <c r="E2717" s="9" t="s">
        <v>3184</v>
      </c>
      <c r="F2717" s="5" t="s">
        <v>86</v>
      </c>
      <c r="G2717" s="5" t="s">
        <v>3177</v>
      </c>
      <c r="H2717" s="5"/>
      <c r="I2717" s="9" t="s">
        <v>5351</v>
      </c>
      <c r="J2717" s="5">
        <v>2028</v>
      </c>
      <c r="K2717" s="5">
        <v>691</v>
      </c>
      <c r="L2717" s="9" t="s">
        <v>3653</v>
      </c>
      <c r="M2717" s="5">
        <v>5.5</v>
      </c>
      <c r="N2717" s="9" t="s">
        <v>5997</v>
      </c>
      <c r="O2717" s="9" t="str">
        <f t="shared" si="249"/>
        <v>PDFを開く</v>
      </c>
      <c r="P2717" s="9" t="s">
        <v>2144</v>
      </c>
    </row>
    <row r="2718" spans="1:16" ht="33.950000000000003" customHeight="1">
      <c r="A2718" s="2" t="s">
        <v>2138</v>
      </c>
      <c r="B2718" s="2" t="s">
        <v>1595</v>
      </c>
      <c r="C2718" s="8" t="s">
        <v>2139</v>
      </c>
      <c r="D2718" s="2">
        <v>2</v>
      </c>
      <c r="E2718" s="8" t="s">
        <v>3184</v>
      </c>
      <c r="F2718" s="2" t="s">
        <v>86</v>
      </c>
      <c r="G2718" s="2" t="s">
        <v>3177</v>
      </c>
      <c r="H2718" s="2"/>
      <c r="I2718" s="8" t="s">
        <v>5353</v>
      </c>
      <c r="J2718" s="2">
        <v>2031</v>
      </c>
      <c r="K2718" s="2">
        <v>810</v>
      </c>
      <c r="L2718" s="8" t="s">
        <v>3242</v>
      </c>
      <c r="M2718" s="2">
        <v>5.5</v>
      </c>
      <c r="N2718" s="8" t="s">
        <v>5997</v>
      </c>
      <c r="O2718" s="8" t="str">
        <f t="shared" si="249"/>
        <v>PDFを開く</v>
      </c>
      <c r="P2718" s="8" t="s">
        <v>2144</v>
      </c>
    </row>
    <row r="2719" spans="1:16" ht="33.950000000000003" customHeight="1">
      <c r="A2719" s="5" t="s">
        <v>2138</v>
      </c>
      <c r="B2719" s="5" t="s">
        <v>1595</v>
      </c>
      <c r="C2719" s="9" t="s">
        <v>2139</v>
      </c>
      <c r="D2719" s="5">
        <v>2</v>
      </c>
      <c r="E2719" s="9" t="s">
        <v>3191</v>
      </c>
      <c r="F2719" s="5" t="s">
        <v>2513</v>
      </c>
      <c r="G2719" s="5" t="s">
        <v>3177</v>
      </c>
      <c r="H2719" s="5"/>
      <c r="I2719" s="9" t="s">
        <v>5351</v>
      </c>
      <c r="J2719" s="5">
        <v>2028</v>
      </c>
      <c r="K2719" s="5">
        <v>182</v>
      </c>
      <c r="L2719" s="9" t="s">
        <v>4420</v>
      </c>
      <c r="M2719" s="5">
        <v>2.8</v>
      </c>
      <c r="N2719" s="9" t="s">
        <v>5998</v>
      </c>
      <c r="O2719" s="9" t="str">
        <f t="shared" si="249"/>
        <v>PDFを開く</v>
      </c>
      <c r="P2719" s="9" t="s">
        <v>2144</v>
      </c>
    </row>
    <row r="2720" spans="1:16" ht="33.950000000000003" customHeight="1">
      <c r="A2720" s="2" t="s">
        <v>2138</v>
      </c>
      <c r="B2720" s="2" t="s">
        <v>1595</v>
      </c>
      <c r="C2720" s="8" t="s">
        <v>2139</v>
      </c>
      <c r="D2720" s="2">
        <v>2</v>
      </c>
      <c r="E2720" s="8" t="s">
        <v>3191</v>
      </c>
      <c r="F2720" s="2" t="s">
        <v>2513</v>
      </c>
      <c r="G2720" s="2" t="s">
        <v>3177</v>
      </c>
      <c r="H2720" s="2"/>
      <c r="I2720" s="8" t="s">
        <v>5353</v>
      </c>
      <c r="J2720" s="2">
        <v>2031</v>
      </c>
      <c r="K2720" s="2">
        <v>198</v>
      </c>
      <c r="L2720" s="8" t="s">
        <v>3897</v>
      </c>
      <c r="M2720" s="2">
        <v>2.8</v>
      </c>
      <c r="N2720" s="8" t="s">
        <v>5998</v>
      </c>
      <c r="O2720" s="8" t="str">
        <f t="shared" si="249"/>
        <v>PDFを開く</v>
      </c>
      <c r="P2720" s="8" t="s">
        <v>2144</v>
      </c>
    </row>
    <row r="2721" spans="1:16" ht="33.950000000000003" customHeight="1">
      <c r="A2721" s="5" t="s">
        <v>2145</v>
      </c>
      <c r="B2721" s="5" t="s">
        <v>1595</v>
      </c>
      <c r="C2721" s="9" t="s">
        <v>2146</v>
      </c>
      <c r="D2721" s="5">
        <v>2</v>
      </c>
      <c r="E2721" s="9" t="s">
        <v>3176</v>
      </c>
      <c r="F2721" s="5" t="s">
        <v>86</v>
      </c>
      <c r="G2721" s="5" t="s">
        <v>3177</v>
      </c>
      <c r="H2721" s="5" t="s">
        <v>3178</v>
      </c>
      <c r="I2721" s="9" t="s">
        <v>3259</v>
      </c>
      <c r="J2721" s="5">
        <v>2027</v>
      </c>
      <c r="K2721" s="5">
        <v>3144</v>
      </c>
      <c r="L2721" s="9" t="s">
        <v>5999</v>
      </c>
      <c r="M2721" s="5">
        <v>48.5</v>
      </c>
      <c r="N2721" s="9" t="s">
        <v>6000</v>
      </c>
      <c r="O2721" s="9" t="str">
        <f t="shared" ref="O2721:O2727" si="250">HYPERLINK("https://seichotoushi-hojo.jp/assets/pdf/koufu_3_4ji/outline_62.pdf","PDFを開く")</f>
        <v>PDFを開く</v>
      </c>
      <c r="P2721" s="9" t="s">
        <v>2151</v>
      </c>
    </row>
    <row r="2722" spans="1:16" ht="33.950000000000003" customHeight="1">
      <c r="A2722" s="2" t="s">
        <v>2145</v>
      </c>
      <c r="B2722" s="2" t="s">
        <v>1595</v>
      </c>
      <c r="C2722" s="8" t="s">
        <v>2146</v>
      </c>
      <c r="D2722" s="2">
        <v>2</v>
      </c>
      <c r="E2722" s="8" t="s">
        <v>3176</v>
      </c>
      <c r="F2722" s="2" t="s">
        <v>86</v>
      </c>
      <c r="G2722" s="2" t="s">
        <v>3177</v>
      </c>
      <c r="H2722" s="2" t="s">
        <v>3178</v>
      </c>
      <c r="I2722" s="8" t="s">
        <v>3262</v>
      </c>
      <c r="J2722" s="2">
        <v>2030</v>
      </c>
      <c r="K2722" s="2">
        <v>10294</v>
      </c>
      <c r="L2722" s="8" t="s">
        <v>6001</v>
      </c>
      <c r="M2722" s="2">
        <v>48.5</v>
      </c>
      <c r="N2722" s="8" t="s">
        <v>6000</v>
      </c>
      <c r="O2722" s="8" t="str">
        <f t="shared" si="250"/>
        <v>PDFを開く</v>
      </c>
      <c r="P2722" s="8" t="s">
        <v>2151</v>
      </c>
    </row>
    <row r="2723" spans="1:16" ht="33.950000000000003" customHeight="1">
      <c r="A2723" s="5" t="s">
        <v>2145</v>
      </c>
      <c r="B2723" s="5" t="s">
        <v>1595</v>
      </c>
      <c r="C2723" s="9" t="s">
        <v>2146</v>
      </c>
      <c r="D2723" s="5">
        <v>2</v>
      </c>
      <c r="E2723" s="9" t="s">
        <v>3184</v>
      </c>
      <c r="F2723" s="5" t="s">
        <v>86</v>
      </c>
      <c r="G2723" s="5" t="s">
        <v>3177</v>
      </c>
      <c r="H2723" s="5" t="s">
        <v>3178</v>
      </c>
      <c r="I2723" s="9" t="s">
        <v>3259</v>
      </c>
      <c r="J2723" s="5">
        <v>2027</v>
      </c>
      <c r="K2723" s="5">
        <v>497</v>
      </c>
      <c r="L2723" s="9" t="s">
        <v>4055</v>
      </c>
      <c r="M2723" s="5">
        <v>6</v>
      </c>
      <c r="N2723" s="9" t="s">
        <v>6002</v>
      </c>
      <c r="O2723" s="9" t="str">
        <f t="shared" si="250"/>
        <v>PDFを開く</v>
      </c>
      <c r="P2723" s="9" t="s">
        <v>2151</v>
      </c>
    </row>
    <row r="2724" spans="1:16" ht="33.950000000000003" customHeight="1">
      <c r="A2724" s="2" t="s">
        <v>2145</v>
      </c>
      <c r="B2724" s="2" t="s">
        <v>1595</v>
      </c>
      <c r="C2724" s="8" t="s">
        <v>2146</v>
      </c>
      <c r="D2724" s="2">
        <v>2</v>
      </c>
      <c r="E2724" s="8" t="s">
        <v>3184</v>
      </c>
      <c r="F2724" s="2" t="s">
        <v>86</v>
      </c>
      <c r="G2724" s="2" t="s">
        <v>3177</v>
      </c>
      <c r="H2724" s="2" t="s">
        <v>3178</v>
      </c>
      <c r="I2724" s="8" t="s">
        <v>3262</v>
      </c>
      <c r="J2724" s="2">
        <v>2030</v>
      </c>
      <c r="K2724" s="2">
        <v>592</v>
      </c>
      <c r="L2724" s="8" t="s">
        <v>4373</v>
      </c>
      <c r="M2724" s="2">
        <v>6</v>
      </c>
      <c r="N2724" s="8" t="s">
        <v>6002</v>
      </c>
      <c r="O2724" s="8" t="str">
        <f t="shared" si="250"/>
        <v>PDFを開く</v>
      </c>
      <c r="P2724" s="8" t="s">
        <v>2151</v>
      </c>
    </row>
    <row r="2725" spans="1:16" ht="33.950000000000003" customHeight="1">
      <c r="A2725" s="5" t="s">
        <v>2145</v>
      </c>
      <c r="B2725" s="5" t="s">
        <v>1595</v>
      </c>
      <c r="C2725" s="9" t="s">
        <v>2146</v>
      </c>
      <c r="D2725" s="5">
        <v>2</v>
      </c>
      <c r="E2725" s="9" t="s">
        <v>3188</v>
      </c>
      <c r="F2725" s="5" t="s">
        <v>86</v>
      </c>
      <c r="G2725" s="19" t="s">
        <v>3189</v>
      </c>
      <c r="H2725" s="5" t="s">
        <v>3178</v>
      </c>
      <c r="I2725" s="9"/>
      <c r="J2725" s="5"/>
      <c r="K2725" s="5"/>
      <c r="L2725" s="9"/>
      <c r="M2725" s="5">
        <v>6</v>
      </c>
      <c r="N2725" s="9" t="s">
        <v>3930</v>
      </c>
      <c r="O2725" s="9" t="str">
        <f t="shared" si="250"/>
        <v>PDFを開く</v>
      </c>
      <c r="P2725" s="9" t="s">
        <v>2151</v>
      </c>
    </row>
    <row r="2726" spans="1:16" ht="33.950000000000003" customHeight="1">
      <c r="A2726" s="2" t="s">
        <v>2145</v>
      </c>
      <c r="B2726" s="2" t="s">
        <v>1595</v>
      </c>
      <c r="C2726" s="8" t="s">
        <v>2146</v>
      </c>
      <c r="D2726" s="2">
        <v>2</v>
      </c>
      <c r="E2726" s="8" t="s">
        <v>3191</v>
      </c>
      <c r="F2726" s="2" t="s">
        <v>2513</v>
      </c>
      <c r="G2726" s="2" t="s">
        <v>3177</v>
      </c>
      <c r="H2726" s="2" t="s">
        <v>3178</v>
      </c>
      <c r="I2726" s="8" t="s">
        <v>3259</v>
      </c>
      <c r="J2726" s="2">
        <v>2027</v>
      </c>
      <c r="K2726" s="2">
        <v>82</v>
      </c>
      <c r="L2726" s="8" t="s">
        <v>6003</v>
      </c>
      <c r="M2726" s="2"/>
      <c r="N2726" s="8" t="s">
        <v>6004</v>
      </c>
      <c r="O2726" s="8" t="str">
        <f t="shared" si="250"/>
        <v>PDFを開く</v>
      </c>
      <c r="P2726" s="8" t="s">
        <v>2151</v>
      </c>
    </row>
    <row r="2727" spans="1:16" ht="33.950000000000003" customHeight="1">
      <c r="A2727" s="5" t="s">
        <v>2145</v>
      </c>
      <c r="B2727" s="5" t="s">
        <v>1595</v>
      </c>
      <c r="C2727" s="9" t="s">
        <v>2146</v>
      </c>
      <c r="D2727" s="5">
        <v>2</v>
      </c>
      <c r="E2727" s="9" t="s">
        <v>3191</v>
      </c>
      <c r="F2727" s="5" t="s">
        <v>2513</v>
      </c>
      <c r="G2727" s="5" t="s">
        <v>3177</v>
      </c>
      <c r="H2727" s="5" t="s">
        <v>3178</v>
      </c>
      <c r="I2727" s="9" t="s">
        <v>3262</v>
      </c>
      <c r="J2727" s="5">
        <v>2030</v>
      </c>
      <c r="K2727" s="5">
        <v>87</v>
      </c>
      <c r="L2727" s="9" t="s">
        <v>3586</v>
      </c>
      <c r="M2727" s="5"/>
      <c r="N2727" s="9" t="s">
        <v>6004</v>
      </c>
      <c r="O2727" s="9" t="str">
        <f t="shared" si="250"/>
        <v>PDFを開く</v>
      </c>
      <c r="P2727" s="9" t="s">
        <v>2151</v>
      </c>
    </row>
    <row r="2728" spans="1:16" ht="33.950000000000003" customHeight="1">
      <c r="A2728" s="2" t="s">
        <v>2152</v>
      </c>
      <c r="B2728" s="2" t="s">
        <v>1595</v>
      </c>
      <c r="C2728" s="8" t="s">
        <v>2153</v>
      </c>
      <c r="D2728" s="2">
        <v>3</v>
      </c>
      <c r="E2728" s="8" t="s">
        <v>3176</v>
      </c>
      <c r="F2728" s="2" t="s">
        <v>86</v>
      </c>
      <c r="G2728" s="2" t="s">
        <v>3177</v>
      </c>
      <c r="H2728" s="2" t="s">
        <v>3178</v>
      </c>
      <c r="I2728" s="8" t="s">
        <v>3179</v>
      </c>
      <c r="J2728" s="2">
        <v>2026</v>
      </c>
      <c r="K2728" s="2">
        <v>3654</v>
      </c>
      <c r="L2728" s="8" t="s">
        <v>6005</v>
      </c>
      <c r="M2728" s="2">
        <v>21</v>
      </c>
      <c r="N2728" s="8" t="s">
        <v>6006</v>
      </c>
      <c r="O2728" s="8" t="str">
        <f t="shared" ref="O2728:O2736" si="251">HYPERLINK("https://seichotoushi-hojo.jp/assets/pdf/koufu_3_4ji/outline_63.pdf","PDFを開く")</f>
        <v>PDFを開く</v>
      </c>
      <c r="P2728" s="8" t="s">
        <v>2161</v>
      </c>
    </row>
    <row r="2729" spans="1:16" ht="33.950000000000003" customHeight="1">
      <c r="A2729" s="5" t="s">
        <v>2152</v>
      </c>
      <c r="B2729" s="5" t="s">
        <v>1595</v>
      </c>
      <c r="C2729" s="9" t="s">
        <v>2153</v>
      </c>
      <c r="D2729" s="5">
        <v>3</v>
      </c>
      <c r="E2729" s="9" t="s">
        <v>3176</v>
      </c>
      <c r="F2729" s="5" t="s">
        <v>86</v>
      </c>
      <c r="G2729" s="5" t="s">
        <v>3177</v>
      </c>
      <c r="H2729" s="5" t="s">
        <v>3178</v>
      </c>
      <c r="I2729" s="9" t="s">
        <v>3182</v>
      </c>
      <c r="J2729" s="5">
        <v>2029</v>
      </c>
      <c r="K2729" s="5">
        <v>13918</v>
      </c>
      <c r="L2729" s="9" t="s">
        <v>6007</v>
      </c>
      <c r="M2729" s="5">
        <v>21</v>
      </c>
      <c r="N2729" s="9" t="s">
        <v>6006</v>
      </c>
      <c r="O2729" s="9" t="str">
        <f t="shared" si="251"/>
        <v>PDFを開く</v>
      </c>
      <c r="P2729" s="9" t="s">
        <v>2161</v>
      </c>
    </row>
    <row r="2730" spans="1:16" ht="33.950000000000003" customHeight="1">
      <c r="A2730" s="2" t="s">
        <v>2152</v>
      </c>
      <c r="B2730" s="2" t="s">
        <v>1595</v>
      </c>
      <c r="C2730" s="8" t="s">
        <v>2153</v>
      </c>
      <c r="D2730" s="2">
        <v>3</v>
      </c>
      <c r="E2730" s="8" t="s">
        <v>3184</v>
      </c>
      <c r="F2730" s="2" t="s">
        <v>86</v>
      </c>
      <c r="G2730" s="2" t="s">
        <v>3177</v>
      </c>
      <c r="H2730" s="2" t="s">
        <v>3178</v>
      </c>
      <c r="I2730" s="8" t="s">
        <v>3179</v>
      </c>
      <c r="J2730" s="2">
        <v>2026</v>
      </c>
      <c r="K2730" s="2">
        <v>695</v>
      </c>
      <c r="L2730" s="8" t="s">
        <v>4821</v>
      </c>
      <c r="M2730" s="2">
        <v>10</v>
      </c>
      <c r="N2730" s="8" t="s">
        <v>6008</v>
      </c>
      <c r="O2730" s="8" t="str">
        <f t="shared" si="251"/>
        <v>PDFを開く</v>
      </c>
      <c r="P2730" s="8" t="s">
        <v>2161</v>
      </c>
    </row>
    <row r="2731" spans="1:16" ht="33.950000000000003" customHeight="1">
      <c r="A2731" s="5" t="s">
        <v>2152</v>
      </c>
      <c r="B2731" s="5" t="s">
        <v>1595</v>
      </c>
      <c r="C2731" s="9" t="s">
        <v>2153</v>
      </c>
      <c r="D2731" s="5">
        <v>3</v>
      </c>
      <c r="E2731" s="9" t="s">
        <v>3184</v>
      </c>
      <c r="F2731" s="5" t="s">
        <v>86</v>
      </c>
      <c r="G2731" s="5" t="s">
        <v>3177</v>
      </c>
      <c r="H2731" s="5" t="s">
        <v>3178</v>
      </c>
      <c r="I2731" s="9" t="s">
        <v>3182</v>
      </c>
      <c r="J2731" s="5">
        <v>2029</v>
      </c>
      <c r="K2731" s="5">
        <v>925</v>
      </c>
      <c r="L2731" s="9" t="s">
        <v>5005</v>
      </c>
      <c r="M2731" s="5">
        <v>10</v>
      </c>
      <c r="N2731" s="9" t="s">
        <v>6008</v>
      </c>
      <c r="O2731" s="9" t="str">
        <f t="shared" si="251"/>
        <v>PDFを開く</v>
      </c>
      <c r="P2731" s="9" t="s">
        <v>2161</v>
      </c>
    </row>
    <row r="2732" spans="1:16" ht="33.950000000000003" customHeight="1">
      <c r="A2732" s="2" t="s">
        <v>2152</v>
      </c>
      <c r="B2732" s="2" t="s">
        <v>1595</v>
      </c>
      <c r="C2732" s="8" t="s">
        <v>2153</v>
      </c>
      <c r="D2732" s="2">
        <v>3</v>
      </c>
      <c r="E2732" s="8" t="s">
        <v>3188</v>
      </c>
      <c r="F2732" s="2" t="s">
        <v>86</v>
      </c>
      <c r="G2732" s="19" t="s">
        <v>3189</v>
      </c>
      <c r="H2732" s="2" t="s">
        <v>3178</v>
      </c>
      <c r="I2732" s="8"/>
      <c r="J2732" s="2"/>
      <c r="K2732" s="2"/>
      <c r="L2732" s="8"/>
      <c r="M2732" s="2">
        <v>10.1</v>
      </c>
      <c r="N2732" s="8" t="s">
        <v>6009</v>
      </c>
      <c r="O2732" s="8" t="str">
        <f t="shared" si="251"/>
        <v>PDFを開く</v>
      </c>
      <c r="P2732" s="8" t="s">
        <v>2161</v>
      </c>
    </row>
    <row r="2733" spans="1:16" ht="33.950000000000003" customHeight="1">
      <c r="A2733" s="5" t="s">
        <v>2152</v>
      </c>
      <c r="B2733" s="5" t="s">
        <v>1595</v>
      </c>
      <c r="C2733" s="9" t="s">
        <v>2153</v>
      </c>
      <c r="D2733" s="5">
        <v>3</v>
      </c>
      <c r="E2733" s="9" t="s">
        <v>3191</v>
      </c>
      <c r="F2733" s="5" t="s">
        <v>2513</v>
      </c>
      <c r="G2733" s="5" t="s">
        <v>3177</v>
      </c>
      <c r="H2733" s="5" t="s">
        <v>3178</v>
      </c>
      <c r="I2733" s="9" t="s">
        <v>3179</v>
      </c>
      <c r="J2733" s="5">
        <v>2026</v>
      </c>
      <c r="K2733" s="5">
        <v>15</v>
      </c>
      <c r="L2733" s="9" t="s">
        <v>4734</v>
      </c>
      <c r="M2733" s="5"/>
      <c r="N2733" s="9" t="s">
        <v>6010</v>
      </c>
      <c r="O2733" s="9" t="str">
        <f t="shared" si="251"/>
        <v>PDFを開く</v>
      </c>
      <c r="P2733" s="9" t="s">
        <v>2161</v>
      </c>
    </row>
    <row r="2734" spans="1:16" ht="33.950000000000003" customHeight="1">
      <c r="A2734" s="2" t="s">
        <v>2152</v>
      </c>
      <c r="B2734" s="2" t="s">
        <v>1595</v>
      </c>
      <c r="C2734" s="8" t="s">
        <v>2153</v>
      </c>
      <c r="D2734" s="2">
        <v>3</v>
      </c>
      <c r="E2734" s="8" t="s">
        <v>3191</v>
      </c>
      <c r="F2734" s="2" t="s">
        <v>2513</v>
      </c>
      <c r="G2734" s="2" t="s">
        <v>3177</v>
      </c>
      <c r="H2734" s="2" t="s">
        <v>3178</v>
      </c>
      <c r="I2734" s="8" t="s">
        <v>3182</v>
      </c>
      <c r="J2734" s="2">
        <v>2029</v>
      </c>
      <c r="K2734" s="2">
        <v>30</v>
      </c>
      <c r="L2734" s="8" t="s">
        <v>4040</v>
      </c>
      <c r="M2734" s="2"/>
      <c r="N2734" s="8" t="s">
        <v>6010</v>
      </c>
      <c r="O2734" s="8" t="str">
        <f t="shared" si="251"/>
        <v>PDFを開く</v>
      </c>
      <c r="P2734" s="8" t="s">
        <v>2161</v>
      </c>
    </row>
    <row r="2735" spans="1:16" ht="33.950000000000003" customHeight="1">
      <c r="A2735" s="5" t="s">
        <v>2152</v>
      </c>
      <c r="B2735" s="5" t="s">
        <v>1595</v>
      </c>
      <c r="C2735" s="9" t="s">
        <v>2153</v>
      </c>
      <c r="D2735" s="5">
        <v>2</v>
      </c>
      <c r="E2735" s="9" t="s">
        <v>3176</v>
      </c>
      <c r="F2735" s="5" t="s">
        <v>86</v>
      </c>
      <c r="G2735" s="5" t="s">
        <v>3177</v>
      </c>
      <c r="H2735" s="5"/>
      <c r="I2735" s="9" t="s">
        <v>3227</v>
      </c>
      <c r="J2735" s="5">
        <v>2026</v>
      </c>
      <c r="K2735" s="5">
        <v>3654</v>
      </c>
      <c r="L2735" s="9" t="s">
        <v>6011</v>
      </c>
      <c r="M2735" s="5">
        <v>56.2</v>
      </c>
      <c r="N2735" s="9" t="s">
        <v>6012</v>
      </c>
      <c r="O2735" s="9" t="str">
        <f t="shared" si="251"/>
        <v>PDFを開く</v>
      </c>
      <c r="P2735" s="9" t="s">
        <v>2161</v>
      </c>
    </row>
    <row r="2736" spans="1:16" ht="33.950000000000003" customHeight="1">
      <c r="A2736" s="2" t="s">
        <v>2152</v>
      </c>
      <c r="B2736" s="2" t="s">
        <v>1595</v>
      </c>
      <c r="C2736" s="8" t="s">
        <v>2153</v>
      </c>
      <c r="D2736" s="2">
        <v>2</v>
      </c>
      <c r="E2736" s="8" t="s">
        <v>3176</v>
      </c>
      <c r="F2736" s="2" t="s">
        <v>86</v>
      </c>
      <c r="G2736" s="2" t="s">
        <v>3177</v>
      </c>
      <c r="H2736" s="2"/>
      <c r="I2736" s="8" t="s">
        <v>3230</v>
      </c>
      <c r="J2736" s="2">
        <v>2029</v>
      </c>
      <c r="K2736" s="2">
        <v>13918</v>
      </c>
      <c r="L2736" s="8" t="s">
        <v>6013</v>
      </c>
      <c r="M2736" s="2">
        <v>56.2</v>
      </c>
      <c r="N2736" s="8" t="s">
        <v>6012</v>
      </c>
      <c r="O2736" s="8" t="str">
        <f t="shared" si="251"/>
        <v>PDFを開く</v>
      </c>
      <c r="P2736" s="8" t="s">
        <v>2161</v>
      </c>
    </row>
    <row r="2737" spans="1:16" ht="33.950000000000003" customHeight="1">
      <c r="A2737" s="5" t="s">
        <v>2162</v>
      </c>
      <c r="B2737" s="5" t="s">
        <v>1595</v>
      </c>
      <c r="C2737" s="9" t="s">
        <v>2163</v>
      </c>
      <c r="D2737" s="5">
        <v>2</v>
      </c>
      <c r="E2737" s="9" t="s">
        <v>3176</v>
      </c>
      <c r="F2737" s="5" t="s">
        <v>86</v>
      </c>
      <c r="G2737" s="5" t="s">
        <v>3177</v>
      </c>
      <c r="H2737" s="5" t="s">
        <v>3178</v>
      </c>
      <c r="I2737" s="9" t="s">
        <v>3259</v>
      </c>
      <c r="J2737" s="5">
        <v>2027</v>
      </c>
      <c r="K2737" s="5">
        <v>1249</v>
      </c>
      <c r="L2737" s="9" t="s">
        <v>6014</v>
      </c>
      <c r="M2737" s="5">
        <v>14.3</v>
      </c>
      <c r="N2737" s="9" t="s">
        <v>6015</v>
      </c>
      <c r="O2737" s="9" t="str">
        <f t="shared" ref="O2737:O2745" si="252">HYPERLINK("https://seichotoushi-hojo.jp/assets/pdf/koufu_3_4ji/outline_65.pdf","PDFを開く")</f>
        <v>PDFを開く</v>
      </c>
      <c r="P2737" s="9" t="s">
        <v>2167</v>
      </c>
    </row>
    <row r="2738" spans="1:16" ht="33.950000000000003" customHeight="1">
      <c r="A2738" s="2" t="s">
        <v>2162</v>
      </c>
      <c r="B2738" s="2" t="s">
        <v>1595</v>
      </c>
      <c r="C2738" s="8" t="s">
        <v>2163</v>
      </c>
      <c r="D2738" s="2">
        <v>2</v>
      </c>
      <c r="E2738" s="8" t="s">
        <v>3176</v>
      </c>
      <c r="F2738" s="2" t="s">
        <v>86</v>
      </c>
      <c r="G2738" s="2" t="s">
        <v>3177</v>
      </c>
      <c r="H2738" s="2" t="s">
        <v>3178</v>
      </c>
      <c r="I2738" s="8" t="s">
        <v>3262</v>
      </c>
      <c r="J2738" s="2">
        <v>2030</v>
      </c>
      <c r="K2738" s="2">
        <v>1863</v>
      </c>
      <c r="L2738" s="8" t="s">
        <v>6016</v>
      </c>
      <c r="M2738" s="2">
        <v>14.3</v>
      </c>
      <c r="N2738" s="8" t="s">
        <v>6015</v>
      </c>
      <c r="O2738" s="8" t="str">
        <f t="shared" si="252"/>
        <v>PDFを開く</v>
      </c>
      <c r="P2738" s="8" t="s">
        <v>2167</v>
      </c>
    </row>
    <row r="2739" spans="1:16" ht="33.950000000000003" customHeight="1">
      <c r="A2739" s="5" t="s">
        <v>2162</v>
      </c>
      <c r="B2739" s="5" t="s">
        <v>1595</v>
      </c>
      <c r="C2739" s="9" t="s">
        <v>2163</v>
      </c>
      <c r="D2739" s="5">
        <v>2</v>
      </c>
      <c r="E2739" s="9" t="s">
        <v>3184</v>
      </c>
      <c r="F2739" s="5" t="s">
        <v>86</v>
      </c>
      <c r="G2739" s="5" t="s">
        <v>3177</v>
      </c>
      <c r="H2739" s="5" t="s">
        <v>3178</v>
      </c>
      <c r="I2739" s="9" t="s">
        <v>3259</v>
      </c>
      <c r="J2739" s="5">
        <v>2027</v>
      </c>
      <c r="K2739" s="5">
        <v>639</v>
      </c>
      <c r="L2739" s="9" t="s">
        <v>4193</v>
      </c>
      <c r="M2739" s="5">
        <v>5.5</v>
      </c>
      <c r="N2739" s="9" t="s">
        <v>6017</v>
      </c>
      <c r="O2739" s="9" t="str">
        <f t="shared" si="252"/>
        <v>PDFを開く</v>
      </c>
      <c r="P2739" s="9" t="s">
        <v>2167</v>
      </c>
    </row>
    <row r="2740" spans="1:16" ht="33.950000000000003" customHeight="1">
      <c r="A2740" s="2" t="s">
        <v>2162</v>
      </c>
      <c r="B2740" s="2" t="s">
        <v>1595</v>
      </c>
      <c r="C2740" s="8" t="s">
        <v>2163</v>
      </c>
      <c r="D2740" s="2">
        <v>2</v>
      </c>
      <c r="E2740" s="8" t="s">
        <v>3184</v>
      </c>
      <c r="F2740" s="2" t="s">
        <v>86</v>
      </c>
      <c r="G2740" s="2" t="s">
        <v>3177</v>
      </c>
      <c r="H2740" s="2" t="s">
        <v>3178</v>
      </c>
      <c r="I2740" s="8" t="s">
        <v>3262</v>
      </c>
      <c r="J2740" s="2">
        <v>2030</v>
      </c>
      <c r="K2740" s="2">
        <v>751</v>
      </c>
      <c r="L2740" s="8" t="s">
        <v>6018</v>
      </c>
      <c r="M2740" s="2">
        <v>5.5</v>
      </c>
      <c r="N2740" s="8" t="s">
        <v>6017</v>
      </c>
      <c r="O2740" s="8" t="str">
        <f t="shared" si="252"/>
        <v>PDFを開く</v>
      </c>
      <c r="P2740" s="8" t="s">
        <v>2167</v>
      </c>
    </row>
    <row r="2741" spans="1:16" ht="33.950000000000003" customHeight="1">
      <c r="A2741" s="5" t="s">
        <v>2162</v>
      </c>
      <c r="B2741" s="5" t="s">
        <v>1595</v>
      </c>
      <c r="C2741" s="9" t="s">
        <v>2163</v>
      </c>
      <c r="D2741" s="5">
        <v>2</v>
      </c>
      <c r="E2741" s="9" t="s">
        <v>3188</v>
      </c>
      <c r="F2741" s="5" t="s">
        <v>86</v>
      </c>
      <c r="G2741" s="19" t="s">
        <v>3189</v>
      </c>
      <c r="H2741" s="5" t="s">
        <v>3178</v>
      </c>
      <c r="I2741" s="9"/>
      <c r="J2741" s="5"/>
      <c r="K2741" s="5"/>
      <c r="L2741" s="9"/>
      <c r="M2741" s="5">
        <v>4.5</v>
      </c>
      <c r="N2741" s="9" t="s">
        <v>3278</v>
      </c>
      <c r="O2741" s="9" t="str">
        <f t="shared" si="252"/>
        <v>PDFを開く</v>
      </c>
      <c r="P2741" s="9" t="s">
        <v>2167</v>
      </c>
    </row>
    <row r="2742" spans="1:16" ht="33.950000000000003" customHeight="1">
      <c r="A2742" s="2" t="s">
        <v>2162</v>
      </c>
      <c r="B2742" s="2" t="s">
        <v>1595</v>
      </c>
      <c r="C2742" s="8" t="s">
        <v>2163</v>
      </c>
      <c r="D2742" s="2">
        <v>2</v>
      </c>
      <c r="E2742" s="8" t="s">
        <v>3191</v>
      </c>
      <c r="F2742" s="2" t="s">
        <v>2513</v>
      </c>
      <c r="G2742" s="2" t="s">
        <v>3177</v>
      </c>
      <c r="H2742" s="2" t="s">
        <v>3178</v>
      </c>
      <c r="I2742" s="8" t="s">
        <v>3259</v>
      </c>
      <c r="J2742" s="2">
        <v>2027</v>
      </c>
      <c r="K2742" s="2">
        <v>220</v>
      </c>
      <c r="L2742" s="8" t="s">
        <v>3899</v>
      </c>
      <c r="M2742" s="2"/>
      <c r="N2742" s="8" t="s">
        <v>6019</v>
      </c>
      <c r="O2742" s="8" t="str">
        <f t="shared" si="252"/>
        <v>PDFを開く</v>
      </c>
      <c r="P2742" s="8" t="s">
        <v>2167</v>
      </c>
    </row>
    <row r="2743" spans="1:16" ht="33.950000000000003" customHeight="1">
      <c r="A2743" s="5" t="s">
        <v>2162</v>
      </c>
      <c r="B2743" s="5" t="s">
        <v>1595</v>
      </c>
      <c r="C2743" s="9" t="s">
        <v>2163</v>
      </c>
      <c r="D2743" s="5">
        <v>2</v>
      </c>
      <c r="E2743" s="9" t="s">
        <v>3191</v>
      </c>
      <c r="F2743" s="5" t="s">
        <v>2513</v>
      </c>
      <c r="G2743" s="5" t="s">
        <v>3177</v>
      </c>
      <c r="H2743" s="5" t="s">
        <v>3178</v>
      </c>
      <c r="I2743" s="9" t="s">
        <v>3262</v>
      </c>
      <c r="J2743" s="5">
        <v>2030</v>
      </c>
      <c r="K2743" s="5">
        <v>237</v>
      </c>
      <c r="L2743" s="9" t="s">
        <v>3737</v>
      </c>
      <c r="M2743" s="5"/>
      <c r="N2743" s="9" t="s">
        <v>6019</v>
      </c>
      <c r="O2743" s="9" t="str">
        <f t="shared" si="252"/>
        <v>PDFを開く</v>
      </c>
      <c r="P2743" s="9" t="s">
        <v>2167</v>
      </c>
    </row>
    <row r="2744" spans="1:16" ht="33.950000000000003" customHeight="1">
      <c r="A2744" s="2" t="s">
        <v>2162</v>
      </c>
      <c r="B2744" s="2" t="s">
        <v>1595</v>
      </c>
      <c r="C2744" s="8" t="s">
        <v>2163</v>
      </c>
      <c r="D2744" s="2">
        <v>2</v>
      </c>
      <c r="E2744" s="8" t="s">
        <v>3188</v>
      </c>
      <c r="F2744" s="2" t="s">
        <v>86</v>
      </c>
      <c r="G2744" s="2" t="s">
        <v>3177</v>
      </c>
      <c r="H2744" s="2"/>
      <c r="I2744" s="8" t="s">
        <v>6020</v>
      </c>
      <c r="J2744" s="2">
        <v>2027</v>
      </c>
      <c r="K2744" s="2"/>
      <c r="L2744" s="8" t="s">
        <v>3211</v>
      </c>
      <c r="M2744" s="2">
        <v>4.5</v>
      </c>
      <c r="N2744" s="8" t="s">
        <v>3282</v>
      </c>
      <c r="O2744" s="8" t="str">
        <f t="shared" si="252"/>
        <v>PDFを開く</v>
      </c>
      <c r="P2744" s="8" t="s">
        <v>2167</v>
      </c>
    </row>
    <row r="2745" spans="1:16" ht="33.950000000000003" customHeight="1">
      <c r="A2745" s="5" t="s">
        <v>2162</v>
      </c>
      <c r="B2745" s="5" t="s">
        <v>1595</v>
      </c>
      <c r="C2745" s="9" t="s">
        <v>2163</v>
      </c>
      <c r="D2745" s="5">
        <v>2</v>
      </c>
      <c r="E2745" s="9" t="s">
        <v>3188</v>
      </c>
      <c r="F2745" s="5" t="s">
        <v>86</v>
      </c>
      <c r="G2745" s="5" t="s">
        <v>3177</v>
      </c>
      <c r="H2745" s="5"/>
      <c r="I2745" s="9" t="s">
        <v>6021</v>
      </c>
      <c r="J2745" s="5">
        <v>2030</v>
      </c>
      <c r="K2745" s="5"/>
      <c r="L2745" s="9" t="s">
        <v>3284</v>
      </c>
      <c r="M2745" s="5">
        <v>4.5</v>
      </c>
      <c r="N2745" s="9" t="s">
        <v>3282</v>
      </c>
      <c r="O2745" s="9" t="str">
        <f t="shared" si="252"/>
        <v>PDFを開く</v>
      </c>
      <c r="P2745" s="9" t="s">
        <v>2167</v>
      </c>
    </row>
    <row r="2746" spans="1:16" ht="33.950000000000003" customHeight="1">
      <c r="A2746" s="2" t="s">
        <v>2168</v>
      </c>
      <c r="B2746" s="2" t="s">
        <v>1595</v>
      </c>
      <c r="C2746" s="8" t="s">
        <v>2169</v>
      </c>
      <c r="D2746" s="2">
        <v>2</v>
      </c>
      <c r="E2746" s="8" t="s">
        <v>3176</v>
      </c>
      <c r="F2746" s="2" t="s">
        <v>86</v>
      </c>
      <c r="G2746" s="2" t="s">
        <v>3177</v>
      </c>
      <c r="H2746" s="2" t="s">
        <v>3178</v>
      </c>
      <c r="I2746" s="8" t="s">
        <v>3259</v>
      </c>
      <c r="J2746" s="2">
        <v>2027</v>
      </c>
      <c r="K2746" s="2">
        <v>1212</v>
      </c>
      <c r="L2746" s="8" t="s">
        <v>6022</v>
      </c>
      <c r="M2746" s="2">
        <v>28.8</v>
      </c>
      <c r="N2746" s="8" t="s">
        <v>6023</v>
      </c>
      <c r="O2746" s="8" t="str">
        <f t="shared" ref="O2746:O2754" si="253">HYPERLINK("https://seichotoushi-hojo.jp/assets/pdf/koufu_3_4ji/outline_66.pdf","PDFを開く")</f>
        <v>PDFを開く</v>
      </c>
      <c r="P2746" s="8" t="s">
        <v>2176</v>
      </c>
    </row>
    <row r="2747" spans="1:16" ht="33.950000000000003" customHeight="1">
      <c r="A2747" s="5" t="s">
        <v>2168</v>
      </c>
      <c r="B2747" s="5" t="s">
        <v>1595</v>
      </c>
      <c r="C2747" s="9" t="s">
        <v>2169</v>
      </c>
      <c r="D2747" s="5">
        <v>2</v>
      </c>
      <c r="E2747" s="9" t="s">
        <v>3176</v>
      </c>
      <c r="F2747" s="5" t="s">
        <v>86</v>
      </c>
      <c r="G2747" s="5" t="s">
        <v>3177</v>
      </c>
      <c r="H2747" s="5" t="s">
        <v>3178</v>
      </c>
      <c r="I2747" s="9" t="s">
        <v>3262</v>
      </c>
      <c r="J2747" s="5">
        <v>2030</v>
      </c>
      <c r="K2747" s="5">
        <v>2589</v>
      </c>
      <c r="L2747" s="9" t="s">
        <v>6024</v>
      </c>
      <c r="M2747" s="5">
        <v>28.8</v>
      </c>
      <c r="N2747" s="9" t="s">
        <v>6023</v>
      </c>
      <c r="O2747" s="9" t="str">
        <f t="shared" si="253"/>
        <v>PDFを開く</v>
      </c>
      <c r="P2747" s="9" t="s">
        <v>2176</v>
      </c>
    </row>
    <row r="2748" spans="1:16" ht="33.950000000000003" customHeight="1">
      <c r="A2748" s="2" t="s">
        <v>2168</v>
      </c>
      <c r="B2748" s="2" t="s">
        <v>1595</v>
      </c>
      <c r="C2748" s="8" t="s">
        <v>2169</v>
      </c>
      <c r="D2748" s="2">
        <v>2</v>
      </c>
      <c r="E2748" s="8" t="s">
        <v>3184</v>
      </c>
      <c r="F2748" s="2" t="s">
        <v>86</v>
      </c>
      <c r="G2748" s="2" t="s">
        <v>3177</v>
      </c>
      <c r="H2748" s="2" t="s">
        <v>3178</v>
      </c>
      <c r="I2748" s="8" t="s">
        <v>3259</v>
      </c>
      <c r="J2748" s="2">
        <v>2027</v>
      </c>
      <c r="K2748" s="2">
        <v>562</v>
      </c>
      <c r="L2748" s="8" t="s">
        <v>3740</v>
      </c>
      <c r="M2748" s="2">
        <v>6</v>
      </c>
      <c r="N2748" s="8" t="s">
        <v>6025</v>
      </c>
      <c r="O2748" s="8" t="str">
        <f t="shared" si="253"/>
        <v>PDFを開く</v>
      </c>
      <c r="P2748" s="8" t="s">
        <v>2176</v>
      </c>
    </row>
    <row r="2749" spans="1:16" ht="33.950000000000003" customHeight="1">
      <c r="A2749" s="5" t="s">
        <v>2168</v>
      </c>
      <c r="B2749" s="5" t="s">
        <v>1595</v>
      </c>
      <c r="C2749" s="9" t="s">
        <v>2169</v>
      </c>
      <c r="D2749" s="5">
        <v>2</v>
      </c>
      <c r="E2749" s="9" t="s">
        <v>3184</v>
      </c>
      <c r="F2749" s="5" t="s">
        <v>86</v>
      </c>
      <c r="G2749" s="5" t="s">
        <v>3177</v>
      </c>
      <c r="H2749" s="5" t="s">
        <v>3178</v>
      </c>
      <c r="I2749" s="9" t="s">
        <v>3262</v>
      </c>
      <c r="J2749" s="5">
        <v>2030</v>
      </c>
      <c r="K2749" s="5">
        <v>669</v>
      </c>
      <c r="L2749" s="9" t="s">
        <v>5837</v>
      </c>
      <c r="M2749" s="5">
        <v>6</v>
      </c>
      <c r="N2749" s="9" t="s">
        <v>6025</v>
      </c>
      <c r="O2749" s="9" t="str">
        <f t="shared" si="253"/>
        <v>PDFを開く</v>
      </c>
      <c r="P2749" s="9" t="s">
        <v>2176</v>
      </c>
    </row>
    <row r="2750" spans="1:16" ht="33.950000000000003" customHeight="1">
      <c r="A2750" s="2" t="s">
        <v>2168</v>
      </c>
      <c r="B2750" s="2" t="s">
        <v>1595</v>
      </c>
      <c r="C2750" s="8" t="s">
        <v>2169</v>
      </c>
      <c r="D2750" s="2">
        <v>2</v>
      </c>
      <c r="E2750" s="8" t="s">
        <v>3188</v>
      </c>
      <c r="F2750" s="2" t="s">
        <v>86</v>
      </c>
      <c r="G2750" s="19" t="s">
        <v>3189</v>
      </c>
      <c r="H2750" s="2" t="s">
        <v>3178</v>
      </c>
      <c r="I2750" s="8"/>
      <c r="J2750" s="2"/>
      <c r="K2750" s="2"/>
      <c r="L2750" s="8"/>
      <c r="M2750" s="2">
        <v>6</v>
      </c>
      <c r="N2750" s="8" t="s">
        <v>3930</v>
      </c>
      <c r="O2750" s="8" t="str">
        <f t="shared" si="253"/>
        <v>PDFを開く</v>
      </c>
      <c r="P2750" s="8" t="s">
        <v>2176</v>
      </c>
    </row>
    <row r="2751" spans="1:16" ht="33.950000000000003" customHeight="1">
      <c r="A2751" s="5" t="s">
        <v>2168</v>
      </c>
      <c r="B2751" s="5" t="s">
        <v>1595</v>
      </c>
      <c r="C2751" s="9" t="s">
        <v>2169</v>
      </c>
      <c r="D2751" s="5">
        <v>2</v>
      </c>
      <c r="E2751" s="9" t="s">
        <v>3191</v>
      </c>
      <c r="F2751" s="5" t="s">
        <v>2513</v>
      </c>
      <c r="G2751" s="5" t="s">
        <v>3177</v>
      </c>
      <c r="H2751" s="5" t="s">
        <v>3178</v>
      </c>
      <c r="I2751" s="9" t="s">
        <v>3259</v>
      </c>
      <c r="J2751" s="5">
        <v>2027</v>
      </c>
      <c r="K2751" s="5">
        <v>111</v>
      </c>
      <c r="L2751" s="9" t="s">
        <v>3606</v>
      </c>
      <c r="M2751" s="5"/>
      <c r="N2751" s="9" t="s">
        <v>6026</v>
      </c>
      <c r="O2751" s="9" t="str">
        <f t="shared" si="253"/>
        <v>PDFを開く</v>
      </c>
      <c r="P2751" s="9" t="s">
        <v>2176</v>
      </c>
    </row>
    <row r="2752" spans="1:16" ht="33.950000000000003" customHeight="1">
      <c r="A2752" s="2" t="s">
        <v>2168</v>
      </c>
      <c r="B2752" s="2" t="s">
        <v>1595</v>
      </c>
      <c r="C2752" s="8" t="s">
        <v>2169</v>
      </c>
      <c r="D2752" s="2">
        <v>2</v>
      </c>
      <c r="E2752" s="8" t="s">
        <v>3191</v>
      </c>
      <c r="F2752" s="2" t="s">
        <v>2513</v>
      </c>
      <c r="G2752" s="2" t="s">
        <v>3177</v>
      </c>
      <c r="H2752" s="2" t="s">
        <v>3178</v>
      </c>
      <c r="I2752" s="8" t="s">
        <v>3262</v>
      </c>
      <c r="J2752" s="2">
        <v>2030</v>
      </c>
      <c r="K2752" s="2">
        <v>135</v>
      </c>
      <c r="L2752" s="8" t="s">
        <v>4992</v>
      </c>
      <c r="M2752" s="2"/>
      <c r="N2752" s="8" t="s">
        <v>6026</v>
      </c>
      <c r="O2752" s="8" t="str">
        <f t="shared" si="253"/>
        <v>PDFを開く</v>
      </c>
      <c r="P2752" s="8" t="s">
        <v>2176</v>
      </c>
    </row>
    <row r="2753" spans="1:16" ht="33.950000000000003" customHeight="1">
      <c r="A2753" s="5" t="s">
        <v>2168</v>
      </c>
      <c r="B2753" s="5" t="s">
        <v>1595</v>
      </c>
      <c r="C2753" s="9" t="s">
        <v>2169</v>
      </c>
      <c r="D2753" s="5">
        <v>2</v>
      </c>
      <c r="E2753" s="9" t="s">
        <v>3188</v>
      </c>
      <c r="F2753" s="5" t="s">
        <v>86</v>
      </c>
      <c r="G2753" s="5" t="s">
        <v>3177</v>
      </c>
      <c r="H2753" s="5"/>
      <c r="I2753" s="9" t="s">
        <v>6027</v>
      </c>
      <c r="J2753" s="5">
        <v>2027</v>
      </c>
      <c r="K2753" s="5"/>
      <c r="L2753" s="9" t="s">
        <v>3211</v>
      </c>
      <c r="M2753" s="5">
        <v>6</v>
      </c>
      <c r="N2753" s="9" t="s">
        <v>5376</v>
      </c>
      <c r="O2753" s="9" t="str">
        <f t="shared" si="253"/>
        <v>PDFを開く</v>
      </c>
      <c r="P2753" s="9" t="s">
        <v>2176</v>
      </c>
    </row>
    <row r="2754" spans="1:16" ht="33.950000000000003" customHeight="1">
      <c r="A2754" s="2" t="s">
        <v>2168</v>
      </c>
      <c r="B2754" s="2" t="s">
        <v>1595</v>
      </c>
      <c r="C2754" s="8" t="s">
        <v>2169</v>
      </c>
      <c r="D2754" s="2">
        <v>2</v>
      </c>
      <c r="E2754" s="8" t="s">
        <v>3188</v>
      </c>
      <c r="F2754" s="2" t="s">
        <v>86</v>
      </c>
      <c r="G2754" s="2" t="s">
        <v>3177</v>
      </c>
      <c r="H2754" s="2"/>
      <c r="I2754" s="8" t="s">
        <v>6028</v>
      </c>
      <c r="J2754" s="2">
        <v>2030</v>
      </c>
      <c r="K2754" s="2"/>
      <c r="L2754" s="8" t="s">
        <v>5378</v>
      </c>
      <c r="M2754" s="2">
        <v>6</v>
      </c>
      <c r="N2754" s="8" t="s">
        <v>5376</v>
      </c>
      <c r="O2754" s="8" t="str">
        <f t="shared" si="253"/>
        <v>PDFを開く</v>
      </c>
      <c r="P2754" s="8" t="s">
        <v>2176</v>
      </c>
    </row>
    <row r="2755" spans="1:16" ht="33.950000000000003" customHeight="1">
      <c r="A2755" s="5" t="s">
        <v>2177</v>
      </c>
      <c r="B2755" s="5" t="s">
        <v>1595</v>
      </c>
      <c r="C2755" s="9" t="s">
        <v>2178</v>
      </c>
      <c r="D2755" s="5">
        <v>5</v>
      </c>
      <c r="E2755" s="9" t="s">
        <v>3176</v>
      </c>
      <c r="F2755" s="5" t="s">
        <v>86</v>
      </c>
      <c r="G2755" s="5" t="s">
        <v>3177</v>
      </c>
      <c r="H2755" s="5" t="s">
        <v>3178</v>
      </c>
      <c r="I2755" s="9" t="s">
        <v>6029</v>
      </c>
      <c r="J2755" s="5">
        <v>2026</v>
      </c>
      <c r="K2755" s="5">
        <v>699</v>
      </c>
      <c r="L2755" s="9" t="s">
        <v>5195</v>
      </c>
      <c r="M2755" s="5">
        <v>33.200000000000003</v>
      </c>
      <c r="N2755" s="9" t="s">
        <v>6030</v>
      </c>
      <c r="O2755" s="9" t="str">
        <f t="shared" ref="O2755:O2763" si="254">HYPERLINK("https://seichotoushi-hojo.jp/assets/pdf/koufu_3_4ji/outline_67.pdf","PDFを開く")</f>
        <v>PDFを開く</v>
      </c>
      <c r="P2755" s="9" t="s">
        <v>2184</v>
      </c>
    </row>
    <row r="2756" spans="1:16" ht="33.950000000000003" customHeight="1">
      <c r="A2756" s="2" t="s">
        <v>2177</v>
      </c>
      <c r="B2756" s="2" t="s">
        <v>1595</v>
      </c>
      <c r="C2756" s="8" t="s">
        <v>2178</v>
      </c>
      <c r="D2756" s="2">
        <v>5</v>
      </c>
      <c r="E2756" s="8" t="s">
        <v>3176</v>
      </c>
      <c r="F2756" s="2" t="s">
        <v>86</v>
      </c>
      <c r="G2756" s="2" t="s">
        <v>3177</v>
      </c>
      <c r="H2756" s="2" t="s">
        <v>3178</v>
      </c>
      <c r="I2756" s="8" t="s">
        <v>6031</v>
      </c>
      <c r="J2756" s="2">
        <v>2029</v>
      </c>
      <c r="K2756" s="2">
        <v>1653</v>
      </c>
      <c r="L2756" s="8" t="s">
        <v>3655</v>
      </c>
      <c r="M2756" s="2">
        <v>33.200000000000003</v>
      </c>
      <c r="N2756" s="8" t="s">
        <v>6030</v>
      </c>
      <c r="O2756" s="8" t="str">
        <f t="shared" si="254"/>
        <v>PDFを開く</v>
      </c>
      <c r="P2756" s="8" t="s">
        <v>2184</v>
      </c>
    </row>
    <row r="2757" spans="1:16" ht="33.950000000000003" customHeight="1">
      <c r="A2757" s="5" t="s">
        <v>2177</v>
      </c>
      <c r="B2757" s="5" t="s">
        <v>1595</v>
      </c>
      <c r="C2757" s="9" t="s">
        <v>2178</v>
      </c>
      <c r="D2757" s="5">
        <v>5</v>
      </c>
      <c r="E2757" s="9" t="s">
        <v>3184</v>
      </c>
      <c r="F2757" s="5" t="s">
        <v>86</v>
      </c>
      <c r="G2757" s="5" t="s">
        <v>3177</v>
      </c>
      <c r="H2757" s="5" t="s">
        <v>3178</v>
      </c>
      <c r="I2757" s="9" t="s">
        <v>6029</v>
      </c>
      <c r="J2757" s="5">
        <v>2026</v>
      </c>
      <c r="K2757" s="5">
        <v>440</v>
      </c>
      <c r="L2757" s="9" t="s">
        <v>3887</v>
      </c>
      <c r="M2757" s="5">
        <v>5.5</v>
      </c>
      <c r="N2757" s="9" t="s">
        <v>6032</v>
      </c>
      <c r="O2757" s="9" t="str">
        <f t="shared" si="254"/>
        <v>PDFを開く</v>
      </c>
      <c r="P2757" s="9" t="s">
        <v>2184</v>
      </c>
    </row>
    <row r="2758" spans="1:16" ht="33.950000000000003" customHeight="1">
      <c r="A2758" s="2" t="s">
        <v>2177</v>
      </c>
      <c r="B2758" s="2" t="s">
        <v>1595</v>
      </c>
      <c r="C2758" s="8" t="s">
        <v>2178</v>
      </c>
      <c r="D2758" s="2">
        <v>5</v>
      </c>
      <c r="E2758" s="8" t="s">
        <v>3184</v>
      </c>
      <c r="F2758" s="2" t="s">
        <v>86</v>
      </c>
      <c r="G2758" s="2" t="s">
        <v>3177</v>
      </c>
      <c r="H2758" s="2" t="s">
        <v>3178</v>
      </c>
      <c r="I2758" s="8" t="s">
        <v>6031</v>
      </c>
      <c r="J2758" s="2">
        <v>2029</v>
      </c>
      <c r="K2758" s="2">
        <v>516</v>
      </c>
      <c r="L2758" s="8" t="s">
        <v>3505</v>
      </c>
      <c r="M2758" s="2">
        <v>5.5</v>
      </c>
      <c r="N2758" s="8" t="s">
        <v>6032</v>
      </c>
      <c r="O2758" s="8" t="str">
        <f t="shared" si="254"/>
        <v>PDFを開く</v>
      </c>
      <c r="P2758" s="8" t="s">
        <v>2184</v>
      </c>
    </row>
    <row r="2759" spans="1:16" ht="33.950000000000003" customHeight="1">
      <c r="A2759" s="5" t="s">
        <v>2177</v>
      </c>
      <c r="B2759" s="5" t="s">
        <v>1595</v>
      </c>
      <c r="C2759" s="9" t="s">
        <v>2178</v>
      </c>
      <c r="D2759" s="5">
        <v>5</v>
      </c>
      <c r="E2759" s="9" t="s">
        <v>3188</v>
      </c>
      <c r="F2759" s="5" t="s">
        <v>86</v>
      </c>
      <c r="G2759" s="19" t="s">
        <v>3189</v>
      </c>
      <c r="H2759" s="5" t="s">
        <v>3178</v>
      </c>
      <c r="I2759" s="9"/>
      <c r="J2759" s="5"/>
      <c r="K2759" s="5"/>
      <c r="L2759" s="9"/>
      <c r="M2759" s="5">
        <v>5</v>
      </c>
      <c r="N2759" s="9" t="s">
        <v>6033</v>
      </c>
      <c r="O2759" s="9" t="str">
        <f t="shared" si="254"/>
        <v>PDFを開く</v>
      </c>
      <c r="P2759" s="9" t="s">
        <v>2184</v>
      </c>
    </row>
    <row r="2760" spans="1:16" ht="33.950000000000003" customHeight="1">
      <c r="A2760" s="2" t="s">
        <v>2177</v>
      </c>
      <c r="B2760" s="2" t="s">
        <v>1595</v>
      </c>
      <c r="C2760" s="8" t="s">
        <v>2178</v>
      </c>
      <c r="D2760" s="2">
        <v>5</v>
      </c>
      <c r="E2760" s="8" t="s">
        <v>3191</v>
      </c>
      <c r="F2760" s="2" t="s">
        <v>2513</v>
      </c>
      <c r="G2760" s="2" t="s">
        <v>3177</v>
      </c>
      <c r="H2760" s="2" t="s">
        <v>3178</v>
      </c>
      <c r="I2760" s="8" t="s">
        <v>6029</v>
      </c>
      <c r="J2760" s="2">
        <v>2026</v>
      </c>
      <c r="K2760" s="2">
        <v>240</v>
      </c>
      <c r="L2760" s="8" t="s">
        <v>3527</v>
      </c>
      <c r="M2760" s="2"/>
      <c r="N2760" s="8" t="s">
        <v>6034</v>
      </c>
      <c r="O2760" s="8" t="str">
        <f t="shared" si="254"/>
        <v>PDFを開く</v>
      </c>
      <c r="P2760" s="8" t="s">
        <v>2184</v>
      </c>
    </row>
    <row r="2761" spans="1:16" ht="33.950000000000003" customHeight="1">
      <c r="A2761" s="5" t="s">
        <v>2177</v>
      </c>
      <c r="B2761" s="5" t="s">
        <v>1595</v>
      </c>
      <c r="C2761" s="9" t="s">
        <v>2178</v>
      </c>
      <c r="D2761" s="5">
        <v>5</v>
      </c>
      <c r="E2761" s="9" t="s">
        <v>3191</v>
      </c>
      <c r="F2761" s="5" t="s">
        <v>2513</v>
      </c>
      <c r="G2761" s="5" t="s">
        <v>3177</v>
      </c>
      <c r="H2761" s="5" t="s">
        <v>3178</v>
      </c>
      <c r="I2761" s="9" t="s">
        <v>6031</v>
      </c>
      <c r="J2761" s="5">
        <v>2029</v>
      </c>
      <c r="K2761" s="5">
        <v>280</v>
      </c>
      <c r="L2761" s="9" t="s">
        <v>3353</v>
      </c>
      <c r="M2761" s="5"/>
      <c r="N2761" s="9" t="s">
        <v>6034</v>
      </c>
      <c r="O2761" s="9" t="str">
        <f t="shared" si="254"/>
        <v>PDFを開く</v>
      </c>
      <c r="P2761" s="9" t="s">
        <v>2184</v>
      </c>
    </row>
    <row r="2762" spans="1:16" ht="33.950000000000003" customHeight="1">
      <c r="A2762" s="2" t="s">
        <v>2177</v>
      </c>
      <c r="B2762" s="2" t="s">
        <v>1595</v>
      </c>
      <c r="C2762" s="8" t="s">
        <v>2178</v>
      </c>
      <c r="D2762" s="2">
        <v>5</v>
      </c>
      <c r="E2762" s="8" t="s">
        <v>3188</v>
      </c>
      <c r="F2762" s="2" t="s">
        <v>86</v>
      </c>
      <c r="G2762" s="2" t="s">
        <v>3177</v>
      </c>
      <c r="H2762" s="2"/>
      <c r="I2762" s="8" t="s">
        <v>6035</v>
      </c>
      <c r="J2762" s="2">
        <v>2026</v>
      </c>
      <c r="K2762" s="2"/>
      <c r="L2762" s="8" t="s">
        <v>3211</v>
      </c>
      <c r="M2762" s="2">
        <v>5</v>
      </c>
      <c r="N2762" s="8" t="s">
        <v>6036</v>
      </c>
      <c r="O2762" s="8" t="str">
        <f t="shared" si="254"/>
        <v>PDFを開く</v>
      </c>
      <c r="P2762" s="8" t="s">
        <v>2184</v>
      </c>
    </row>
    <row r="2763" spans="1:16" ht="33.950000000000003" customHeight="1">
      <c r="A2763" s="5" t="s">
        <v>2177</v>
      </c>
      <c r="B2763" s="5" t="s">
        <v>1595</v>
      </c>
      <c r="C2763" s="9" t="s">
        <v>2178</v>
      </c>
      <c r="D2763" s="5">
        <v>5</v>
      </c>
      <c r="E2763" s="9" t="s">
        <v>3188</v>
      </c>
      <c r="F2763" s="5" t="s">
        <v>86</v>
      </c>
      <c r="G2763" s="5" t="s">
        <v>3177</v>
      </c>
      <c r="H2763" s="5"/>
      <c r="I2763" s="9" t="s">
        <v>6037</v>
      </c>
      <c r="J2763" s="5">
        <v>2029</v>
      </c>
      <c r="K2763" s="5"/>
      <c r="L2763" s="9" t="s">
        <v>6038</v>
      </c>
      <c r="M2763" s="5">
        <v>5</v>
      </c>
      <c r="N2763" s="9" t="s">
        <v>6036</v>
      </c>
      <c r="O2763" s="9" t="str">
        <f t="shared" si="254"/>
        <v>PDFを開く</v>
      </c>
      <c r="P2763" s="9" t="s">
        <v>2184</v>
      </c>
    </row>
    <row r="2764" spans="1:16" ht="33.950000000000003" customHeight="1">
      <c r="A2764" s="2" t="s">
        <v>2185</v>
      </c>
      <c r="B2764" s="2" t="s">
        <v>1595</v>
      </c>
      <c r="C2764" s="8" t="s">
        <v>2186</v>
      </c>
      <c r="D2764" s="2">
        <v>2</v>
      </c>
      <c r="E2764" s="8" t="s">
        <v>3176</v>
      </c>
      <c r="F2764" s="2" t="s">
        <v>86</v>
      </c>
      <c r="G2764" s="2" t="s">
        <v>3177</v>
      </c>
      <c r="H2764" s="2" t="s">
        <v>3178</v>
      </c>
      <c r="I2764" s="8" t="s">
        <v>3546</v>
      </c>
      <c r="J2764" s="2">
        <v>2027</v>
      </c>
      <c r="K2764" s="2">
        <v>1150</v>
      </c>
      <c r="L2764" s="8" t="s">
        <v>6039</v>
      </c>
      <c r="M2764" s="2">
        <v>23</v>
      </c>
      <c r="N2764" s="8" t="s">
        <v>6040</v>
      </c>
      <c r="O2764" s="8" t="str">
        <f t="shared" ref="O2764:O2771" si="255">HYPERLINK("https://seichotoushi-hojo.jp/assets/pdf/koufu_3_4ji/outline_68.pdf","PDFを開く")</f>
        <v>PDFを開く</v>
      </c>
      <c r="P2764" s="8" t="s">
        <v>2192</v>
      </c>
    </row>
    <row r="2765" spans="1:16" ht="33.950000000000003" customHeight="1">
      <c r="A2765" s="5" t="s">
        <v>2185</v>
      </c>
      <c r="B2765" s="5" t="s">
        <v>1595</v>
      </c>
      <c r="C2765" s="9" t="s">
        <v>2186</v>
      </c>
      <c r="D2765" s="5">
        <v>2</v>
      </c>
      <c r="E2765" s="9" t="s">
        <v>3176</v>
      </c>
      <c r="F2765" s="5" t="s">
        <v>86</v>
      </c>
      <c r="G2765" s="5" t="s">
        <v>3177</v>
      </c>
      <c r="H2765" s="5" t="s">
        <v>3178</v>
      </c>
      <c r="I2765" s="9" t="s">
        <v>3549</v>
      </c>
      <c r="J2765" s="5">
        <v>2030</v>
      </c>
      <c r="K2765" s="5">
        <v>2142</v>
      </c>
      <c r="L2765" s="9" t="s">
        <v>6041</v>
      </c>
      <c r="M2765" s="5">
        <v>23</v>
      </c>
      <c r="N2765" s="9" t="s">
        <v>6040</v>
      </c>
      <c r="O2765" s="9" t="str">
        <f t="shared" si="255"/>
        <v>PDFを開く</v>
      </c>
      <c r="P2765" s="9" t="s">
        <v>2192</v>
      </c>
    </row>
    <row r="2766" spans="1:16" ht="33.950000000000003" customHeight="1">
      <c r="A2766" s="2" t="s">
        <v>2185</v>
      </c>
      <c r="B2766" s="2" t="s">
        <v>1595</v>
      </c>
      <c r="C2766" s="8" t="s">
        <v>2186</v>
      </c>
      <c r="D2766" s="2">
        <v>2</v>
      </c>
      <c r="E2766" s="8" t="s">
        <v>3184</v>
      </c>
      <c r="F2766" s="2" t="s">
        <v>86</v>
      </c>
      <c r="G2766" s="2" t="s">
        <v>3177</v>
      </c>
      <c r="H2766" s="2" t="s">
        <v>3178</v>
      </c>
      <c r="I2766" s="8" t="s">
        <v>3546</v>
      </c>
      <c r="J2766" s="2">
        <v>2027</v>
      </c>
      <c r="K2766" s="2">
        <v>530</v>
      </c>
      <c r="L2766" s="8" t="s">
        <v>3993</v>
      </c>
      <c r="M2766" s="2">
        <v>6.1</v>
      </c>
      <c r="N2766" s="8" t="s">
        <v>6042</v>
      </c>
      <c r="O2766" s="8" t="str">
        <f t="shared" si="255"/>
        <v>PDFを開く</v>
      </c>
      <c r="P2766" s="8" t="s">
        <v>2192</v>
      </c>
    </row>
    <row r="2767" spans="1:16" ht="33.950000000000003" customHeight="1">
      <c r="A2767" s="5" t="s">
        <v>2185</v>
      </c>
      <c r="B2767" s="5" t="s">
        <v>1595</v>
      </c>
      <c r="C2767" s="9" t="s">
        <v>2186</v>
      </c>
      <c r="D2767" s="5">
        <v>2</v>
      </c>
      <c r="E2767" s="9" t="s">
        <v>3184</v>
      </c>
      <c r="F2767" s="5" t="s">
        <v>86</v>
      </c>
      <c r="G2767" s="5" t="s">
        <v>3177</v>
      </c>
      <c r="H2767" s="5" t="s">
        <v>3178</v>
      </c>
      <c r="I2767" s="9" t="s">
        <v>3549</v>
      </c>
      <c r="J2767" s="5">
        <v>2030</v>
      </c>
      <c r="K2767" s="5">
        <v>634</v>
      </c>
      <c r="L2767" s="9" t="s">
        <v>3425</v>
      </c>
      <c r="M2767" s="5">
        <v>6.1</v>
      </c>
      <c r="N2767" s="9" t="s">
        <v>6042</v>
      </c>
      <c r="O2767" s="9" t="str">
        <f t="shared" si="255"/>
        <v>PDFを開く</v>
      </c>
      <c r="P2767" s="9" t="s">
        <v>2192</v>
      </c>
    </row>
    <row r="2768" spans="1:16" ht="33.950000000000003" customHeight="1">
      <c r="A2768" s="2" t="s">
        <v>2185</v>
      </c>
      <c r="B2768" s="2" t="s">
        <v>1595</v>
      </c>
      <c r="C2768" s="8" t="s">
        <v>2186</v>
      </c>
      <c r="D2768" s="2">
        <v>2</v>
      </c>
      <c r="E2768" s="8" t="s">
        <v>3188</v>
      </c>
      <c r="F2768" s="2" t="s">
        <v>86</v>
      </c>
      <c r="G2768" s="2" t="s">
        <v>3177</v>
      </c>
      <c r="H2768" s="2" t="s">
        <v>3178</v>
      </c>
      <c r="I2768" s="8" t="s">
        <v>3546</v>
      </c>
      <c r="J2768" s="2">
        <v>2027</v>
      </c>
      <c r="K2768" s="2">
        <v>1885</v>
      </c>
      <c r="L2768" s="8" t="s">
        <v>6043</v>
      </c>
      <c r="M2768" s="2">
        <v>5</v>
      </c>
      <c r="N2768" s="8" t="s">
        <v>6044</v>
      </c>
      <c r="O2768" s="8" t="str">
        <f t="shared" si="255"/>
        <v>PDFを開く</v>
      </c>
      <c r="P2768" s="8" t="s">
        <v>2192</v>
      </c>
    </row>
    <row r="2769" spans="1:16" ht="33.950000000000003" customHeight="1">
      <c r="A2769" s="5" t="s">
        <v>2185</v>
      </c>
      <c r="B2769" s="5" t="s">
        <v>1595</v>
      </c>
      <c r="C2769" s="9" t="s">
        <v>2186</v>
      </c>
      <c r="D2769" s="5">
        <v>2</v>
      </c>
      <c r="E2769" s="9" t="s">
        <v>3188</v>
      </c>
      <c r="F2769" s="5" t="s">
        <v>86</v>
      </c>
      <c r="G2769" s="5" t="s">
        <v>3177</v>
      </c>
      <c r="H2769" s="5" t="s">
        <v>3178</v>
      </c>
      <c r="I2769" s="9" t="s">
        <v>3549</v>
      </c>
      <c r="J2769" s="5">
        <v>2030</v>
      </c>
      <c r="K2769" s="5">
        <v>2183</v>
      </c>
      <c r="L2769" s="9" t="s">
        <v>6045</v>
      </c>
      <c r="M2769" s="5">
        <v>5</v>
      </c>
      <c r="N2769" s="9" t="s">
        <v>6044</v>
      </c>
      <c r="O2769" s="9" t="str">
        <f t="shared" si="255"/>
        <v>PDFを開く</v>
      </c>
      <c r="P2769" s="9" t="s">
        <v>2192</v>
      </c>
    </row>
    <row r="2770" spans="1:16" ht="33.950000000000003" customHeight="1">
      <c r="A2770" s="2" t="s">
        <v>2185</v>
      </c>
      <c r="B2770" s="2" t="s">
        <v>1595</v>
      </c>
      <c r="C2770" s="8" t="s">
        <v>2186</v>
      </c>
      <c r="D2770" s="2">
        <v>2</v>
      </c>
      <c r="E2770" s="8" t="s">
        <v>3191</v>
      </c>
      <c r="F2770" s="2" t="s">
        <v>2513</v>
      </c>
      <c r="G2770" s="2" t="s">
        <v>3177</v>
      </c>
      <c r="H2770" s="2" t="s">
        <v>3178</v>
      </c>
      <c r="I2770" s="8" t="s">
        <v>3546</v>
      </c>
      <c r="J2770" s="2">
        <v>2027</v>
      </c>
      <c r="K2770" s="2">
        <v>237</v>
      </c>
      <c r="L2770" s="8" t="s">
        <v>3737</v>
      </c>
      <c r="M2770" s="2"/>
      <c r="N2770" s="8" t="s">
        <v>6046</v>
      </c>
      <c r="O2770" s="8" t="str">
        <f t="shared" si="255"/>
        <v>PDFを開く</v>
      </c>
      <c r="P2770" s="8" t="s">
        <v>2192</v>
      </c>
    </row>
    <row r="2771" spans="1:16" ht="33.950000000000003" customHeight="1">
      <c r="A2771" s="5" t="s">
        <v>2185</v>
      </c>
      <c r="B2771" s="5" t="s">
        <v>1595</v>
      </c>
      <c r="C2771" s="9" t="s">
        <v>2186</v>
      </c>
      <c r="D2771" s="5">
        <v>2</v>
      </c>
      <c r="E2771" s="9" t="s">
        <v>3191</v>
      </c>
      <c r="F2771" s="5" t="s">
        <v>2513</v>
      </c>
      <c r="G2771" s="5" t="s">
        <v>3177</v>
      </c>
      <c r="H2771" s="5" t="s">
        <v>3178</v>
      </c>
      <c r="I2771" s="9" t="s">
        <v>3549</v>
      </c>
      <c r="J2771" s="5">
        <v>2030</v>
      </c>
      <c r="K2771" s="5">
        <v>274</v>
      </c>
      <c r="L2771" s="9" t="s">
        <v>3775</v>
      </c>
      <c r="M2771" s="5"/>
      <c r="N2771" s="9" t="s">
        <v>6046</v>
      </c>
      <c r="O2771" s="9" t="str">
        <f t="shared" si="255"/>
        <v>PDFを開く</v>
      </c>
      <c r="P2771" s="9" t="s">
        <v>2192</v>
      </c>
    </row>
    <row r="2772" spans="1:16" ht="33.950000000000003" customHeight="1">
      <c r="A2772" s="2" t="s">
        <v>2193</v>
      </c>
      <c r="B2772" s="2" t="s">
        <v>1595</v>
      </c>
      <c r="C2772" s="8" t="s">
        <v>2194</v>
      </c>
      <c r="D2772" s="2">
        <v>2</v>
      </c>
      <c r="E2772" s="8" t="s">
        <v>3176</v>
      </c>
      <c r="F2772" s="2" t="s">
        <v>86</v>
      </c>
      <c r="G2772" s="2" t="s">
        <v>3177</v>
      </c>
      <c r="H2772" s="2" t="s">
        <v>3178</v>
      </c>
      <c r="I2772" s="8" t="s">
        <v>6047</v>
      </c>
      <c r="J2772" s="2">
        <v>2028</v>
      </c>
      <c r="K2772" s="2">
        <v>1415</v>
      </c>
      <c r="L2772" s="8" t="s">
        <v>3578</v>
      </c>
      <c r="M2772" s="2">
        <v>33.1</v>
      </c>
      <c r="N2772" s="8" t="s">
        <v>6048</v>
      </c>
      <c r="O2772" s="8" t="str">
        <f t="shared" ref="O2772:O2780" si="256">HYPERLINK("https://seichotoushi-hojo.jp/assets/pdf/koufu_3_4ji/outline_69.pdf","PDFを開く")</f>
        <v>PDFを開く</v>
      </c>
      <c r="P2772" s="8" t="s">
        <v>2199</v>
      </c>
    </row>
    <row r="2773" spans="1:16" ht="33.950000000000003" customHeight="1">
      <c r="A2773" s="5" t="s">
        <v>2193</v>
      </c>
      <c r="B2773" s="5" t="s">
        <v>1595</v>
      </c>
      <c r="C2773" s="9" t="s">
        <v>2194</v>
      </c>
      <c r="D2773" s="5">
        <v>2</v>
      </c>
      <c r="E2773" s="9" t="s">
        <v>3176</v>
      </c>
      <c r="F2773" s="5" t="s">
        <v>86</v>
      </c>
      <c r="G2773" s="5" t="s">
        <v>3177</v>
      </c>
      <c r="H2773" s="5" t="s">
        <v>3178</v>
      </c>
      <c r="I2773" s="9" t="s">
        <v>6049</v>
      </c>
      <c r="J2773" s="5">
        <v>2031</v>
      </c>
      <c r="K2773" s="5">
        <v>3340</v>
      </c>
      <c r="L2773" s="9" t="s">
        <v>6050</v>
      </c>
      <c r="M2773" s="5">
        <v>33.1</v>
      </c>
      <c r="N2773" s="9" t="s">
        <v>6048</v>
      </c>
      <c r="O2773" s="9" t="str">
        <f t="shared" si="256"/>
        <v>PDFを開く</v>
      </c>
      <c r="P2773" s="9" t="s">
        <v>2199</v>
      </c>
    </row>
    <row r="2774" spans="1:16" ht="33.950000000000003" customHeight="1">
      <c r="A2774" s="2" t="s">
        <v>2193</v>
      </c>
      <c r="B2774" s="2" t="s">
        <v>1595</v>
      </c>
      <c r="C2774" s="8" t="s">
        <v>2194</v>
      </c>
      <c r="D2774" s="2">
        <v>2</v>
      </c>
      <c r="E2774" s="8" t="s">
        <v>3184</v>
      </c>
      <c r="F2774" s="2" t="s">
        <v>86</v>
      </c>
      <c r="G2774" s="2" t="s">
        <v>3177</v>
      </c>
      <c r="H2774" s="2" t="s">
        <v>3178</v>
      </c>
      <c r="I2774" s="8" t="s">
        <v>6047</v>
      </c>
      <c r="J2774" s="2">
        <v>2028</v>
      </c>
      <c r="K2774" s="2">
        <v>518</v>
      </c>
      <c r="L2774" s="8" t="s">
        <v>3878</v>
      </c>
      <c r="M2774" s="2">
        <v>6.8</v>
      </c>
      <c r="N2774" s="8" t="s">
        <v>6051</v>
      </c>
      <c r="O2774" s="8" t="str">
        <f t="shared" si="256"/>
        <v>PDFを開く</v>
      </c>
      <c r="P2774" s="8" t="s">
        <v>2199</v>
      </c>
    </row>
    <row r="2775" spans="1:16" ht="33.950000000000003" customHeight="1">
      <c r="A2775" s="5" t="s">
        <v>2193</v>
      </c>
      <c r="B2775" s="5" t="s">
        <v>1595</v>
      </c>
      <c r="C2775" s="9" t="s">
        <v>2194</v>
      </c>
      <c r="D2775" s="5">
        <v>2</v>
      </c>
      <c r="E2775" s="9" t="s">
        <v>3184</v>
      </c>
      <c r="F2775" s="5" t="s">
        <v>86</v>
      </c>
      <c r="G2775" s="5" t="s">
        <v>3177</v>
      </c>
      <c r="H2775" s="5" t="s">
        <v>3178</v>
      </c>
      <c r="I2775" s="9" t="s">
        <v>6049</v>
      </c>
      <c r="J2775" s="5">
        <v>2031</v>
      </c>
      <c r="K2775" s="5">
        <v>632</v>
      </c>
      <c r="L2775" s="9" t="s">
        <v>4461</v>
      </c>
      <c r="M2775" s="5">
        <v>6.8</v>
      </c>
      <c r="N2775" s="9" t="s">
        <v>6051</v>
      </c>
      <c r="O2775" s="9" t="str">
        <f t="shared" si="256"/>
        <v>PDFを開く</v>
      </c>
      <c r="P2775" s="9" t="s">
        <v>2199</v>
      </c>
    </row>
    <row r="2776" spans="1:16" ht="33.950000000000003" customHeight="1">
      <c r="A2776" s="2" t="s">
        <v>2193</v>
      </c>
      <c r="B2776" s="2" t="s">
        <v>1595</v>
      </c>
      <c r="C2776" s="8" t="s">
        <v>2194</v>
      </c>
      <c r="D2776" s="2">
        <v>2</v>
      </c>
      <c r="E2776" s="8" t="s">
        <v>3188</v>
      </c>
      <c r="F2776" s="2" t="s">
        <v>86</v>
      </c>
      <c r="G2776" s="19" t="s">
        <v>3189</v>
      </c>
      <c r="H2776" s="2" t="s">
        <v>3178</v>
      </c>
      <c r="I2776" s="8"/>
      <c r="J2776" s="2"/>
      <c r="K2776" s="2"/>
      <c r="L2776" s="8"/>
      <c r="M2776" s="2">
        <v>4.5999999999999996</v>
      </c>
      <c r="N2776" s="8" t="s">
        <v>6052</v>
      </c>
      <c r="O2776" s="8" t="str">
        <f t="shared" si="256"/>
        <v>PDFを開く</v>
      </c>
      <c r="P2776" s="8" t="s">
        <v>2199</v>
      </c>
    </row>
    <row r="2777" spans="1:16" ht="33.950000000000003" customHeight="1">
      <c r="A2777" s="5" t="s">
        <v>2193</v>
      </c>
      <c r="B2777" s="5" t="s">
        <v>1595</v>
      </c>
      <c r="C2777" s="9" t="s">
        <v>2194</v>
      </c>
      <c r="D2777" s="5">
        <v>2</v>
      </c>
      <c r="E2777" s="9" t="s">
        <v>3191</v>
      </c>
      <c r="F2777" s="5" t="s">
        <v>2513</v>
      </c>
      <c r="G2777" s="5" t="s">
        <v>3177</v>
      </c>
      <c r="H2777" s="5" t="s">
        <v>3178</v>
      </c>
      <c r="I2777" s="9" t="s">
        <v>6047</v>
      </c>
      <c r="J2777" s="5">
        <v>2028</v>
      </c>
      <c r="K2777" s="5">
        <v>10</v>
      </c>
      <c r="L2777" s="9" t="s">
        <v>3623</v>
      </c>
      <c r="M2777" s="5"/>
      <c r="N2777" s="9" t="s">
        <v>6053</v>
      </c>
      <c r="O2777" s="9" t="str">
        <f t="shared" si="256"/>
        <v>PDFを開く</v>
      </c>
      <c r="P2777" s="9" t="s">
        <v>2199</v>
      </c>
    </row>
    <row r="2778" spans="1:16" ht="33.950000000000003" customHeight="1">
      <c r="A2778" s="2" t="s">
        <v>2193</v>
      </c>
      <c r="B2778" s="2" t="s">
        <v>1595</v>
      </c>
      <c r="C2778" s="8" t="s">
        <v>2194</v>
      </c>
      <c r="D2778" s="2">
        <v>2</v>
      </c>
      <c r="E2778" s="8" t="s">
        <v>3191</v>
      </c>
      <c r="F2778" s="2" t="s">
        <v>2513</v>
      </c>
      <c r="G2778" s="2" t="s">
        <v>3177</v>
      </c>
      <c r="H2778" s="2" t="s">
        <v>3178</v>
      </c>
      <c r="I2778" s="8" t="s">
        <v>6049</v>
      </c>
      <c r="J2778" s="2">
        <v>2031</v>
      </c>
      <c r="K2778" s="2">
        <v>30</v>
      </c>
      <c r="L2778" s="8" t="s">
        <v>4040</v>
      </c>
      <c r="M2778" s="2"/>
      <c r="N2778" s="8" t="s">
        <v>6053</v>
      </c>
      <c r="O2778" s="8" t="str">
        <f t="shared" si="256"/>
        <v>PDFを開く</v>
      </c>
      <c r="P2778" s="8" t="s">
        <v>2199</v>
      </c>
    </row>
    <row r="2779" spans="1:16" ht="33.950000000000003" customHeight="1">
      <c r="A2779" s="5" t="s">
        <v>2193</v>
      </c>
      <c r="B2779" s="5" t="s">
        <v>1595</v>
      </c>
      <c r="C2779" s="9" t="s">
        <v>2194</v>
      </c>
      <c r="D2779" s="5">
        <v>2</v>
      </c>
      <c r="E2779" s="9" t="s">
        <v>3188</v>
      </c>
      <c r="F2779" s="5" t="s">
        <v>86</v>
      </c>
      <c r="G2779" s="5" t="s">
        <v>3177</v>
      </c>
      <c r="H2779" s="5"/>
      <c r="I2779" s="9" t="s">
        <v>6054</v>
      </c>
      <c r="J2779" s="5">
        <v>2028</v>
      </c>
      <c r="K2779" s="5"/>
      <c r="L2779" s="9" t="s">
        <v>3211</v>
      </c>
      <c r="M2779" s="5">
        <v>4.5999999999999996</v>
      </c>
      <c r="N2779" s="9" t="s">
        <v>6055</v>
      </c>
      <c r="O2779" s="9" t="str">
        <f t="shared" si="256"/>
        <v>PDFを開く</v>
      </c>
      <c r="P2779" s="9" t="s">
        <v>2199</v>
      </c>
    </row>
    <row r="2780" spans="1:16" ht="33.950000000000003" customHeight="1">
      <c r="A2780" s="2" t="s">
        <v>2193</v>
      </c>
      <c r="B2780" s="2" t="s">
        <v>1595</v>
      </c>
      <c r="C2780" s="8" t="s">
        <v>2194</v>
      </c>
      <c r="D2780" s="2">
        <v>2</v>
      </c>
      <c r="E2780" s="8" t="s">
        <v>3188</v>
      </c>
      <c r="F2780" s="2" t="s">
        <v>86</v>
      </c>
      <c r="G2780" s="2" t="s">
        <v>3177</v>
      </c>
      <c r="H2780" s="2"/>
      <c r="I2780" s="8" t="s">
        <v>6056</v>
      </c>
      <c r="J2780" s="2">
        <v>2031</v>
      </c>
      <c r="K2780" s="2"/>
      <c r="L2780" s="8" t="s">
        <v>6057</v>
      </c>
      <c r="M2780" s="2">
        <v>4.5999999999999996</v>
      </c>
      <c r="N2780" s="8" t="s">
        <v>6055</v>
      </c>
      <c r="O2780" s="8" t="str">
        <f t="shared" si="256"/>
        <v>PDFを開く</v>
      </c>
      <c r="P2780" s="8" t="s">
        <v>2199</v>
      </c>
    </row>
    <row r="2781" spans="1:16" ht="33.950000000000003" customHeight="1">
      <c r="A2781" s="5" t="s">
        <v>2200</v>
      </c>
      <c r="B2781" s="5" t="s">
        <v>1595</v>
      </c>
      <c r="C2781" s="9" t="s">
        <v>706</v>
      </c>
      <c r="D2781" s="5">
        <v>2</v>
      </c>
      <c r="E2781" s="9" t="s">
        <v>3176</v>
      </c>
      <c r="F2781" s="5" t="s">
        <v>86</v>
      </c>
      <c r="G2781" s="5" t="s">
        <v>3177</v>
      </c>
      <c r="H2781" s="5" t="s">
        <v>3178</v>
      </c>
      <c r="I2781" s="9" t="s">
        <v>3259</v>
      </c>
      <c r="J2781" s="5">
        <v>2027</v>
      </c>
      <c r="K2781" s="5">
        <v>1597</v>
      </c>
      <c r="L2781" s="9" t="s">
        <v>6058</v>
      </c>
      <c r="M2781" s="5">
        <v>14.7</v>
      </c>
      <c r="N2781" s="9" t="s">
        <v>6059</v>
      </c>
      <c r="O2781" s="9" t="str">
        <f t="shared" ref="O2781:O2789" si="257">HYPERLINK("https://seichotoushi-hojo.jp/assets/pdf/koufu_3_4ji/outline_70.pdf","PDFを開く")</f>
        <v>PDFを開く</v>
      </c>
      <c r="P2781" s="9" t="s">
        <v>2206</v>
      </c>
    </row>
    <row r="2782" spans="1:16" ht="33.950000000000003" customHeight="1">
      <c r="A2782" s="2" t="s">
        <v>2200</v>
      </c>
      <c r="B2782" s="2" t="s">
        <v>1595</v>
      </c>
      <c r="C2782" s="8" t="s">
        <v>706</v>
      </c>
      <c r="D2782" s="2">
        <v>2</v>
      </c>
      <c r="E2782" s="8" t="s">
        <v>3176</v>
      </c>
      <c r="F2782" s="2" t="s">
        <v>86</v>
      </c>
      <c r="G2782" s="2" t="s">
        <v>3177</v>
      </c>
      <c r="H2782" s="2" t="s">
        <v>3178</v>
      </c>
      <c r="I2782" s="8" t="s">
        <v>3262</v>
      </c>
      <c r="J2782" s="2">
        <v>2030</v>
      </c>
      <c r="K2782" s="2">
        <v>2409</v>
      </c>
      <c r="L2782" s="8" t="s">
        <v>6060</v>
      </c>
      <c r="M2782" s="2">
        <v>14.7</v>
      </c>
      <c r="N2782" s="8" t="s">
        <v>6059</v>
      </c>
      <c r="O2782" s="8" t="str">
        <f t="shared" si="257"/>
        <v>PDFを開く</v>
      </c>
      <c r="P2782" s="8" t="s">
        <v>2206</v>
      </c>
    </row>
    <row r="2783" spans="1:16" ht="33.950000000000003" customHeight="1">
      <c r="A2783" s="5" t="s">
        <v>2200</v>
      </c>
      <c r="B2783" s="5" t="s">
        <v>1595</v>
      </c>
      <c r="C2783" s="9" t="s">
        <v>706</v>
      </c>
      <c r="D2783" s="5">
        <v>2</v>
      </c>
      <c r="E2783" s="9" t="s">
        <v>3184</v>
      </c>
      <c r="F2783" s="5" t="s">
        <v>86</v>
      </c>
      <c r="G2783" s="5" t="s">
        <v>3177</v>
      </c>
      <c r="H2783" s="5" t="s">
        <v>3178</v>
      </c>
      <c r="I2783" s="9" t="s">
        <v>3259</v>
      </c>
      <c r="J2783" s="5">
        <v>2027</v>
      </c>
      <c r="K2783" s="5">
        <v>694</v>
      </c>
      <c r="L2783" s="9" t="s">
        <v>4266</v>
      </c>
      <c r="M2783" s="5">
        <v>5.3</v>
      </c>
      <c r="N2783" s="9" t="s">
        <v>6061</v>
      </c>
      <c r="O2783" s="9" t="str">
        <f t="shared" si="257"/>
        <v>PDFを開く</v>
      </c>
      <c r="P2783" s="9" t="s">
        <v>2206</v>
      </c>
    </row>
    <row r="2784" spans="1:16" ht="33.950000000000003" customHeight="1">
      <c r="A2784" s="2" t="s">
        <v>2200</v>
      </c>
      <c r="B2784" s="2" t="s">
        <v>1595</v>
      </c>
      <c r="C2784" s="8" t="s">
        <v>706</v>
      </c>
      <c r="D2784" s="2">
        <v>2</v>
      </c>
      <c r="E2784" s="8" t="s">
        <v>3184</v>
      </c>
      <c r="F2784" s="2" t="s">
        <v>86</v>
      </c>
      <c r="G2784" s="2" t="s">
        <v>3177</v>
      </c>
      <c r="H2784" s="2" t="s">
        <v>3178</v>
      </c>
      <c r="I2784" s="8" t="s">
        <v>3262</v>
      </c>
      <c r="J2784" s="2">
        <v>2030</v>
      </c>
      <c r="K2784" s="2">
        <v>811</v>
      </c>
      <c r="L2784" s="8" t="s">
        <v>4479</v>
      </c>
      <c r="M2784" s="2">
        <v>5.3</v>
      </c>
      <c r="N2784" s="8" t="s">
        <v>6061</v>
      </c>
      <c r="O2784" s="8" t="str">
        <f t="shared" si="257"/>
        <v>PDFを開く</v>
      </c>
      <c r="P2784" s="8" t="s">
        <v>2206</v>
      </c>
    </row>
    <row r="2785" spans="1:16" ht="33.950000000000003" customHeight="1">
      <c r="A2785" s="5" t="s">
        <v>2200</v>
      </c>
      <c r="B2785" s="5" t="s">
        <v>1595</v>
      </c>
      <c r="C2785" s="9" t="s">
        <v>706</v>
      </c>
      <c r="D2785" s="5">
        <v>2</v>
      </c>
      <c r="E2785" s="9" t="s">
        <v>3188</v>
      </c>
      <c r="F2785" s="5" t="s">
        <v>86</v>
      </c>
      <c r="G2785" s="19" t="s">
        <v>3189</v>
      </c>
      <c r="H2785" s="5" t="s">
        <v>3178</v>
      </c>
      <c r="I2785" s="9"/>
      <c r="J2785" s="5"/>
      <c r="K2785" s="5"/>
      <c r="L2785" s="9"/>
      <c r="M2785" s="5">
        <v>5.2</v>
      </c>
      <c r="N2785" s="9" t="s">
        <v>6062</v>
      </c>
      <c r="O2785" s="9" t="str">
        <f t="shared" si="257"/>
        <v>PDFを開く</v>
      </c>
      <c r="P2785" s="9" t="s">
        <v>2206</v>
      </c>
    </row>
    <row r="2786" spans="1:16" ht="33.950000000000003" customHeight="1">
      <c r="A2786" s="2" t="s">
        <v>2200</v>
      </c>
      <c r="B2786" s="2" t="s">
        <v>1595</v>
      </c>
      <c r="C2786" s="8" t="s">
        <v>706</v>
      </c>
      <c r="D2786" s="2">
        <v>2</v>
      </c>
      <c r="E2786" s="8" t="s">
        <v>3191</v>
      </c>
      <c r="F2786" s="2" t="s">
        <v>2513</v>
      </c>
      <c r="G2786" s="2" t="s">
        <v>3177</v>
      </c>
      <c r="H2786" s="2" t="s">
        <v>3178</v>
      </c>
      <c r="I2786" s="8" t="s">
        <v>3259</v>
      </c>
      <c r="J2786" s="2">
        <v>2027</v>
      </c>
      <c r="K2786" s="2">
        <v>126</v>
      </c>
      <c r="L2786" s="8" t="s">
        <v>4885</v>
      </c>
      <c r="M2786" s="2"/>
      <c r="N2786" s="8" t="s">
        <v>6063</v>
      </c>
      <c r="O2786" s="8" t="str">
        <f t="shared" si="257"/>
        <v>PDFを開く</v>
      </c>
      <c r="P2786" s="8" t="s">
        <v>2206</v>
      </c>
    </row>
    <row r="2787" spans="1:16" ht="33.950000000000003" customHeight="1">
      <c r="A2787" s="5" t="s">
        <v>2200</v>
      </c>
      <c r="B2787" s="5" t="s">
        <v>1595</v>
      </c>
      <c r="C2787" s="9" t="s">
        <v>706</v>
      </c>
      <c r="D2787" s="5">
        <v>2</v>
      </c>
      <c r="E2787" s="9" t="s">
        <v>3191</v>
      </c>
      <c r="F2787" s="5" t="s">
        <v>2513</v>
      </c>
      <c r="G2787" s="5" t="s">
        <v>3177</v>
      </c>
      <c r="H2787" s="5" t="s">
        <v>3178</v>
      </c>
      <c r="I2787" s="9" t="s">
        <v>3262</v>
      </c>
      <c r="J2787" s="5">
        <v>2030</v>
      </c>
      <c r="K2787" s="5">
        <v>158</v>
      </c>
      <c r="L2787" s="9" t="s">
        <v>4049</v>
      </c>
      <c r="M2787" s="5"/>
      <c r="N2787" s="9" t="s">
        <v>6063</v>
      </c>
      <c r="O2787" s="9" t="str">
        <f t="shared" si="257"/>
        <v>PDFを開く</v>
      </c>
      <c r="P2787" s="9" t="s">
        <v>2206</v>
      </c>
    </row>
    <row r="2788" spans="1:16" ht="33.950000000000003" customHeight="1">
      <c r="A2788" s="2" t="s">
        <v>2200</v>
      </c>
      <c r="B2788" s="2" t="s">
        <v>1595</v>
      </c>
      <c r="C2788" s="8" t="s">
        <v>706</v>
      </c>
      <c r="D2788" s="2">
        <v>2</v>
      </c>
      <c r="E2788" s="8" t="s">
        <v>3188</v>
      </c>
      <c r="F2788" s="2" t="s">
        <v>86</v>
      </c>
      <c r="G2788" s="2" t="s">
        <v>3177</v>
      </c>
      <c r="H2788" s="2"/>
      <c r="I2788" s="8" t="s">
        <v>6064</v>
      </c>
      <c r="J2788" s="2">
        <v>2027</v>
      </c>
      <c r="K2788" s="2"/>
      <c r="L2788" s="8" t="s">
        <v>3211</v>
      </c>
      <c r="M2788" s="2">
        <v>5.2</v>
      </c>
      <c r="N2788" s="8" t="s">
        <v>6065</v>
      </c>
      <c r="O2788" s="8" t="str">
        <f t="shared" si="257"/>
        <v>PDFを開く</v>
      </c>
      <c r="P2788" s="8" t="s">
        <v>2206</v>
      </c>
    </row>
    <row r="2789" spans="1:16" ht="33.950000000000003" customHeight="1">
      <c r="A2789" s="5" t="s">
        <v>2200</v>
      </c>
      <c r="B2789" s="5" t="s">
        <v>1595</v>
      </c>
      <c r="C2789" s="9" t="s">
        <v>706</v>
      </c>
      <c r="D2789" s="5">
        <v>2</v>
      </c>
      <c r="E2789" s="9" t="s">
        <v>3188</v>
      </c>
      <c r="F2789" s="5" t="s">
        <v>86</v>
      </c>
      <c r="G2789" s="5" t="s">
        <v>3177</v>
      </c>
      <c r="H2789" s="5"/>
      <c r="I2789" s="9" t="s">
        <v>6066</v>
      </c>
      <c r="J2789" s="5">
        <v>2030</v>
      </c>
      <c r="K2789" s="5"/>
      <c r="L2789" s="9" t="s">
        <v>6067</v>
      </c>
      <c r="M2789" s="5">
        <v>5.2</v>
      </c>
      <c r="N2789" s="9" t="s">
        <v>6065</v>
      </c>
      <c r="O2789" s="9" t="str">
        <f t="shared" si="257"/>
        <v>PDFを開く</v>
      </c>
      <c r="P2789" s="9" t="s">
        <v>2206</v>
      </c>
    </row>
    <row r="2790" spans="1:16" ht="33.950000000000003" customHeight="1">
      <c r="A2790" s="2" t="s">
        <v>2207</v>
      </c>
      <c r="B2790" s="2" t="s">
        <v>1595</v>
      </c>
      <c r="C2790" s="8" t="s">
        <v>2208</v>
      </c>
      <c r="D2790" s="2">
        <v>2</v>
      </c>
      <c r="E2790" s="8" t="s">
        <v>3176</v>
      </c>
      <c r="F2790" s="2" t="s">
        <v>86</v>
      </c>
      <c r="G2790" s="2" t="s">
        <v>3177</v>
      </c>
      <c r="H2790" s="2" t="s">
        <v>3178</v>
      </c>
      <c r="I2790" s="8" t="s">
        <v>6068</v>
      </c>
      <c r="J2790" s="2">
        <v>2028</v>
      </c>
      <c r="K2790" s="2">
        <v>552</v>
      </c>
      <c r="L2790" s="8" t="s">
        <v>4191</v>
      </c>
      <c r="M2790" s="2">
        <v>63.7</v>
      </c>
      <c r="N2790" s="8" t="s">
        <v>6069</v>
      </c>
      <c r="O2790" s="8" t="str">
        <f t="shared" ref="O2790:O2798" si="258">HYPERLINK("https://seichotoushi-hojo.jp/assets/pdf/koufu_3_4ji/outline_71.pdf","PDFを開く")</f>
        <v>PDFを開く</v>
      </c>
      <c r="P2790" s="8" t="s">
        <v>2214</v>
      </c>
    </row>
    <row r="2791" spans="1:16" ht="33.950000000000003" customHeight="1">
      <c r="A2791" s="5" t="s">
        <v>2207</v>
      </c>
      <c r="B2791" s="5" t="s">
        <v>1595</v>
      </c>
      <c r="C2791" s="9" t="s">
        <v>2208</v>
      </c>
      <c r="D2791" s="5">
        <v>2</v>
      </c>
      <c r="E2791" s="9" t="s">
        <v>3176</v>
      </c>
      <c r="F2791" s="5" t="s">
        <v>86</v>
      </c>
      <c r="G2791" s="5" t="s">
        <v>3177</v>
      </c>
      <c r="H2791" s="5" t="s">
        <v>3178</v>
      </c>
      <c r="I2791" s="9" t="s">
        <v>6070</v>
      </c>
      <c r="J2791" s="5">
        <v>2031</v>
      </c>
      <c r="K2791" s="5">
        <v>2422</v>
      </c>
      <c r="L2791" s="9" t="s">
        <v>6071</v>
      </c>
      <c r="M2791" s="5">
        <v>63.7</v>
      </c>
      <c r="N2791" s="9" t="s">
        <v>6069</v>
      </c>
      <c r="O2791" s="9" t="str">
        <f t="shared" si="258"/>
        <v>PDFを開く</v>
      </c>
      <c r="P2791" s="9" t="s">
        <v>2214</v>
      </c>
    </row>
    <row r="2792" spans="1:16" ht="33.950000000000003" customHeight="1">
      <c r="A2792" s="2" t="s">
        <v>2207</v>
      </c>
      <c r="B2792" s="2" t="s">
        <v>1595</v>
      </c>
      <c r="C2792" s="8" t="s">
        <v>2208</v>
      </c>
      <c r="D2792" s="2">
        <v>2</v>
      </c>
      <c r="E2792" s="8" t="s">
        <v>3184</v>
      </c>
      <c r="F2792" s="2" t="s">
        <v>86</v>
      </c>
      <c r="G2792" s="2" t="s">
        <v>3177</v>
      </c>
      <c r="H2792" s="2" t="s">
        <v>3178</v>
      </c>
      <c r="I2792" s="8" t="s">
        <v>6068</v>
      </c>
      <c r="J2792" s="2">
        <v>2028</v>
      </c>
      <c r="K2792" s="2">
        <v>458</v>
      </c>
      <c r="L2792" s="8" t="s">
        <v>6072</v>
      </c>
      <c r="M2792" s="2">
        <v>7.5</v>
      </c>
      <c r="N2792" s="8" t="s">
        <v>6073</v>
      </c>
      <c r="O2792" s="8" t="str">
        <f t="shared" si="258"/>
        <v>PDFを開く</v>
      </c>
      <c r="P2792" s="8" t="s">
        <v>2214</v>
      </c>
    </row>
    <row r="2793" spans="1:16" ht="33.950000000000003" customHeight="1">
      <c r="A2793" s="5" t="s">
        <v>2207</v>
      </c>
      <c r="B2793" s="5" t="s">
        <v>1595</v>
      </c>
      <c r="C2793" s="9" t="s">
        <v>2208</v>
      </c>
      <c r="D2793" s="5">
        <v>2</v>
      </c>
      <c r="E2793" s="9" t="s">
        <v>3184</v>
      </c>
      <c r="F2793" s="5" t="s">
        <v>86</v>
      </c>
      <c r="G2793" s="5" t="s">
        <v>3177</v>
      </c>
      <c r="H2793" s="5" t="s">
        <v>3178</v>
      </c>
      <c r="I2793" s="9" t="s">
        <v>6070</v>
      </c>
      <c r="J2793" s="5">
        <v>2031</v>
      </c>
      <c r="K2793" s="5">
        <v>569</v>
      </c>
      <c r="L2793" s="9" t="s">
        <v>3667</v>
      </c>
      <c r="M2793" s="5">
        <v>7.5</v>
      </c>
      <c r="N2793" s="9" t="s">
        <v>6073</v>
      </c>
      <c r="O2793" s="9" t="str">
        <f t="shared" si="258"/>
        <v>PDFを開く</v>
      </c>
      <c r="P2793" s="9" t="s">
        <v>2214</v>
      </c>
    </row>
    <row r="2794" spans="1:16" ht="33.950000000000003" customHeight="1">
      <c r="A2794" s="2" t="s">
        <v>2207</v>
      </c>
      <c r="B2794" s="2" t="s">
        <v>1595</v>
      </c>
      <c r="C2794" s="8" t="s">
        <v>2208</v>
      </c>
      <c r="D2794" s="2">
        <v>2</v>
      </c>
      <c r="E2794" s="8" t="s">
        <v>3188</v>
      </c>
      <c r="F2794" s="2" t="s">
        <v>86</v>
      </c>
      <c r="G2794" s="19" t="s">
        <v>3189</v>
      </c>
      <c r="H2794" s="2" t="s">
        <v>3178</v>
      </c>
      <c r="I2794" s="8"/>
      <c r="J2794" s="2"/>
      <c r="K2794" s="2"/>
      <c r="L2794" s="8"/>
      <c r="M2794" s="2">
        <v>7.5</v>
      </c>
      <c r="N2794" s="8" t="s">
        <v>6074</v>
      </c>
      <c r="O2794" s="8" t="str">
        <f t="shared" si="258"/>
        <v>PDFを開く</v>
      </c>
      <c r="P2794" s="8" t="s">
        <v>2214</v>
      </c>
    </row>
    <row r="2795" spans="1:16" ht="33.950000000000003" customHeight="1">
      <c r="A2795" s="5" t="s">
        <v>2207</v>
      </c>
      <c r="B2795" s="5" t="s">
        <v>1595</v>
      </c>
      <c r="C2795" s="9" t="s">
        <v>2208</v>
      </c>
      <c r="D2795" s="5">
        <v>2</v>
      </c>
      <c r="E2795" s="9" t="s">
        <v>3191</v>
      </c>
      <c r="F2795" s="5" t="s">
        <v>2513</v>
      </c>
      <c r="G2795" s="5" t="s">
        <v>3177</v>
      </c>
      <c r="H2795" s="5" t="s">
        <v>3178</v>
      </c>
      <c r="I2795" s="9" t="s">
        <v>6068</v>
      </c>
      <c r="J2795" s="5">
        <v>2028</v>
      </c>
      <c r="K2795" s="5">
        <v>110</v>
      </c>
      <c r="L2795" s="9" t="s">
        <v>3968</v>
      </c>
      <c r="M2795" s="5"/>
      <c r="N2795" s="9" t="s">
        <v>6075</v>
      </c>
      <c r="O2795" s="9" t="str">
        <f t="shared" si="258"/>
        <v>PDFを開く</v>
      </c>
      <c r="P2795" s="9" t="s">
        <v>2214</v>
      </c>
    </row>
    <row r="2796" spans="1:16" ht="33.950000000000003" customHeight="1">
      <c r="A2796" s="2" t="s">
        <v>2207</v>
      </c>
      <c r="B2796" s="2" t="s">
        <v>1595</v>
      </c>
      <c r="C2796" s="8" t="s">
        <v>2208</v>
      </c>
      <c r="D2796" s="2">
        <v>2</v>
      </c>
      <c r="E2796" s="8" t="s">
        <v>3191</v>
      </c>
      <c r="F2796" s="2" t="s">
        <v>2513</v>
      </c>
      <c r="G2796" s="2" t="s">
        <v>3177</v>
      </c>
      <c r="H2796" s="2" t="s">
        <v>3178</v>
      </c>
      <c r="I2796" s="8" t="s">
        <v>6070</v>
      </c>
      <c r="J2796" s="2">
        <v>2031</v>
      </c>
      <c r="K2796" s="2">
        <v>140</v>
      </c>
      <c r="L2796" s="8" t="s">
        <v>5062</v>
      </c>
      <c r="M2796" s="2"/>
      <c r="N2796" s="8" t="s">
        <v>6075</v>
      </c>
      <c r="O2796" s="8" t="str">
        <f t="shared" si="258"/>
        <v>PDFを開く</v>
      </c>
      <c r="P2796" s="8" t="s">
        <v>2214</v>
      </c>
    </row>
    <row r="2797" spans="1:16" ht="33.950000000000003" customHeight="1">
      <c r="A2797" s="5" t="s">
        <v>2207</v>
      </c>
      <c r="B2797" s="5" t="s">
        <v>1595</v>
      </c>
      <c r="C2797" s="9" t="s">
        <v>2208</v>
      </c>
      <c r="D2797" s="5">
        <v>2</v>
      </c>
      <c r="E2797" s="9" t="s">
        <v>3188</v>
      </c>
      <c r="F2797" s="5" t="s">
        <v>86</v>
      </c>
      <c r="G2797" s="5" t="s">
        <v>3177</v>
      </c>
      <c r="H2797" s="5"/>
      <c r="I2797" s="9" t="s">
        <v>6076</v>
      </c>
      <c r="J2797" s="5">
        <v>2028</v>
      </c>
      <c r="K2797" s="5"/>
      <c r="L2797" s="9" t="s">
        <v>6077</v>
      </c>
      <c r="M2797" s="5">
        <v>7.5</v>
      </c>
      <c r="N2797" s="9" t="s">
        <v>6078</v>
      </c>
      <c r="O2797" s="9" t="str">
        <f t="shared" si="258"/>
        <v>PDFを開く</v>
      </c>
      <c r="P2797" s="9" t="s">
        <v>2214</v>
      </c>
    </row>
    <row r="2798" spans="1:16" ht="33.950000000000003" customHeight="1">
      <c r="A2798" s="2" t="s">
        <v>2207</v>
      </c>
      <c r="B2798" s="2" t="s">
        <v>1595</v>
      </c>
      <c r="C2798" s="8" t="s">
        <v>2208</v>
      </c>
      <c r="D2798" s="2">
        <v>2</v>
      </c>
      <c r="E2798" s="8" t="s">
        <v>3188</v>
      </c>
      <c r="F2798" s="2" t="s">
        <v>86</v>
      </c>
      <c r="G2798" s="2" t="s">
        <v>3177</v>
      </c>
      <c r="H2798" s="2"/>
      <c r="I2798" s="8" t="s">
        <v>6079</v>
      </c>
      <c r="J2798" s="2">
        <v>2031</v>
      </c>
      <c r="K2798" s="2"/>
      <c r="L2798" s="8" t="s">
        <v>6080</v>
      </c>
      <c r="M2798" s="2">
        <v>7.5</v>
      </c>
      <c r="N2798" s="8" t="s">
        <v>6078</v>
      </c>
      <c r="O2798" s="8" t="str">
        <f t="shared" si="258"/>
        <v>PDFを開く</v>
      </c>
      <c r="P2798" s="8" t="s">
        <v>2214</v>
      </c>
    </row>
    <row r="2799" spans="1:16" ht="33.950000000000003" customHeight="1">
      <c r="A2799" s="5" t="s">
        <v>2215</v>
      </c>
      <c r="B2799" s="5" t="s">
        <v>1595</v>
      </c>
      <c r="C2799" s="9" t="s">
        <v>2216</v>
      </c>
      <c r="D2799" s="5">
        <v>2</v>
      </c>
      <c r="E2799" s="9" t="s">
        <v>3176</v>
      </c>
      <c r="F2799" s="5" t="s">
        <v>86</v>
      </c>
      <c r="G2799" s="5" t="s">
        <v>3177</v>
      </c>
      <c r="H2799" s="5" t="s">
        <v>3178</v>
      </c>
      <c r="I2799" s="9" t="s">
        <v>3179</v>
      </c>
      <c r="J2799" s="5">
        <v>2026</v>
      </c>
      <c r="K2799" s="5">
        <v>695</v>
      </c>
      <c r="L2799" s="9" t="s">
        <v>4821</v>
      </c>
      <c r="M2799" s="5">
        <v>28.1</v>
      </c>
      <c r="N2799" s="9" t="s">
        <v>6081</v>
      </c>
      <c r="O2799" s="9" t="str">
        <f t="shared" ref="O2799:O2811" si="259">HYPERLINK("https://seichotoushi-hojo.jp/assets/pdf/koufu_3_4ji/outline_72.pdf","PDFを開く")</f>
        <v>PDFを開く</v>
      </c>
      <c r="P2799" s="9" t="s">
        <v>2221</v>
      </c>
    </row>
    <row r="2800" spans="1:16" ht="33.950000000000003" customHeight="1">
      <c r="A2800" s="2" t="s">
        <v>2215</v>
      </c>
      <c r="B2800" s="2" t="s">
        <v>1595</v>
      </c>
      <c r="C2800" s="8" t="s">
        <v>2216</v>
      </c>
      <c r="D2800" s="2">
        <v>2</v>
      </c>
      <c r="E2800" s="8" t="s">
        <v>3176</v>
      </c>
      <c r="F2800" s="2" t="s">
        <v>86</v>
      </c>
      <c r="G2800" s="2" t="s">
        <v>3177</v>
      </c>
      <c r="H2800" s="2" t="s">
        <v>3178</v>
      </c>
      <c r="I2800" s="8" t="s">
        <v>3182</v>
      </c>
      <c r="J2800" s="2">
        <v>2029</v>
      </c>
      <c r="K2800" s="2">
        <v>1461</v>
      </c>
      <c r="L2800" s="8" t="s">
        <v>6082</v>
      </c>
      <c r="M2800" s="2">
        <v>28.1</v>
      </c>
      <c r="N2800" s="8" t="s">
        <v>6081</v>
      </c>
      <c r="O2800" s="8" t="str">
        <f t="shared" si="259"/>
        <v>PDFを開く</v>
      </c>
      <c r="P2800" s="8" t="s">
        <v>2221</v>
      </c>
    </row>
    <row r="2801" spans="1:16" ht="33.950000000000003" customHeight="1">
      <c r="A2801" s="5" t="s">
        <v>2215</v>
      </c>
      <c r="B2801" s="5" t="s">
        <v>1595</v>
      </c>
      <c r="C2801" s="9" t="s">
        <v>2216</v>
      </c>
      <c r="D2801" s="5">
        <v>2</v>
      </c>
      <c r="E2801" s="9" t="s">
        <v>3184</v>
      </c>
      <c r="F2801" s="5" t="s">
        <v>86</v>
      </c>
      <c r="G2801" s="19" t="s">
        <v>3494</v>
      </c>
      <c r="H2801" s="5" t="s">
        <v>3178</v>
      </c>
      <c r="I2801" s="9" t="s">
        <v>3179</v>
      </c>
      <c r="J2801" s="5">
        <v>2026</v>
      </c>
      <c r="K2801" s="5">
        <v>475</v>
      </c>
      <c r="L2801" s="9" t="s">
        <v>5687</v>
      </c>
      <c r="M2801" s="5"/>
      <c r="N2801" s="9" t="s">
        <v>6083</v>
      </c>
      <c r="O2801" s="9" t="str">
        <f t="shared" si="259"/>
        <v>PDFを開く</v>
      </c>
      <c r="P2801" s="9" t="s">
        <v>2221</v>
      </c>
    </row>
    <row r="2802" spans="1:16" ht="33.950000000000003" customHeight="1">
      <c r="A2802" s="2" t="s">
        <v>2215</v>
      </c>
      <c r="B2802" s="2" t="s">
        <v>1595</v>
      </c>
      <c r="C2802" s="8" t="s">
        <v>2216</v>
      </c>
      <c r="D2802" s="2">
        <v>2</v>
      </c>
      <c r="E2802" s="8" t="s">
        <v>3184</v>
      </c>
      <c r="F2802" s="2" t="s">
        <v>86</v>
      </c>
      <c r="G2802" s="19" t="s">
        <v>3494</v>
      </c>
      <c r="H2802" s="2" t="s">
        <v>3178</v>
      </c>
      <c r="I2802" s="8" t="s">
        <v>3182</v>
      </c>
      <c r="J2802" s="2">
        <v>2029</v>
      </c>
      <c r="K2802" s="2">
        <v>548</v>
      </c>
      <c r="L2802" s="8" t="s">
        <v>5110</v>
      </c>
      <c r="M2802" s="2"/>
      <c r="N2802" s="8" t="s">
        <v>6083</v>
      </c>
      <c r="O2802" s="8" t="str">
        <f t="shared" si="259"/>
        <v>PDFを開く</v>
      </c>
      <c r="P2802" s="8" t="s">
        <v>2221</v>
      </c>
    </row>
    <row r="2803" spans="1:16" ht="33.950000000000003" customHeight="1">
      <c r="A2803" s="5" t="s">
        <v>2215</v>
      </c>
      <c r="B2803" s="5" t="s">
        <v>1595</v>
      </c>
      <c r="C2803" s="9" t="s">
        <v>2216</v>
      </c>
      <c r="D2803" s="5">
        <v>2</v>
      </c>
      <c r="E2803" s="9" t="s">
        <v>3184</v>
      </c>
      <c r="F2803" s="5" t="s">
        <v>86</v>
      </c>
      <c r="G2803" s="19" t="s">
        <v>3494</v>
      </c>
      <c r="H2803" s="5" t="s">
        <v>3178</v>
      </c>
      <c r="I2803" s="9"/>
      <c r="J2803" s="5"/>
      <c r="K2803" s="5">
        <v>548</v>
      </c>
      <c r="L2803" s="9" t="s">
        <v>5110</v>
      </c>
      <c r="M2803" s="5"/>
      <c r="N2803" s="9" t="s">
        <v>6083</v>
      </c>
      <c r="O2803" s="9" t="str">
        <f t="shared" si="259"/>
        <v>PDFを開く</v>
      </c>
      <c r="P2803" s="9" t="s">
        <v>2221</v>
      </c>
    </row>
    <row r="2804" spans="1:16" ht="33.950000000000003" customHeight="1">
      <c r="A2804" s="2" t="s">
        <v>2215</v>
      </c>
      <c r="B2804" s="2" t="s">
        <v>1595</v>
      </c>
      <c r="C2804" s="8" t="s">
        <v>2216</v>
      </c>
      <c r="D2804" s="2">
        <v>2</v>
      </c>
      <c r="E2804" s="8" t="s">
        <v>3184</v>
      </c>
      <c r="F2804" s="2" t="s">
        <v>86</v>
      </c>
      <c r="G2804" s="19" t="s">
        <v>3494</v>
      </c>
      <c r="H2804" s="2" t="s">
        <v>3178</v>
      </c>
      <c r="I2804" s="8"/>
      <c r="J2804" s="2"/>
      <c r="K2804" s="2">
        <v>4.9000000000000004</v>
      </c>
      <c r="L2804" s="8" t="s">
        <v>6084</v>
      </c>
      <c r="M2804" s="2"/>
      <c r="N2804" s="8" t="s">
        <v>6083</v>
      </c>
      <c r="O2804" s="8" t="str">
        <f t="shared" si="259"/>
        <v>PDFを開く</v>
      </c>
      <c r="P2804" s="8" t="s">
        <v>2221</v>
      </c>
    </row>
    <row r="2805" spans="1:16" ht="33.950000000000003" customHeight="1">
      <c r="A2805" s="5" t="s">
        <v>2215</v>
      </c>
      <c r="B2805" s="5" t="s">
        <v>1595</v>
      </c>
      <c r="C2805" s="9" t="s">
        <v>2216</v>
      </c>
      <c r="D2805" s="5">
        <v>2</v>
      </c>
      <c r="E2805" s="9" t="s">
        <v>3188</v>
      </c>
      <c r="F2805" s="5" t="s">
        <v>86</v>
      </c>
      <c r="G2805" s="19" t="s">
        <v>3494</v>
      </c>
      <c r="H2805" s="5" t="s">
        <v>3178</v>
      </c>
      <c r="I2805" s="9"/>
      <c r="J2805" s="5"/>
      <c r="K2805" s="5">
        <v>4.8</v>
      </c>
      <c r="L2805" s="9" t="s">
        <v>6085</v>
      </c>
      <c r="M2805" s="5"/>
      <c r="N2805" s="9" t="s">
        <v>6086</v>
      </c>
      <c r="O2805" s="9" t="str">
        <f t="shared" si="259"/>
        <v>PDFを開く</v>
      </c>
      <c r="P2805" s="9" t="s">
        <v>2221</v>
      </c>
    </row>
    <row r="2806" spans="1:16" ht="33.950000000000003" customHeight="1">
      <c r="A2806" s="2" t="s">
        <v>2215</v>
      </c>
      <c r="B2806" s="2" t="s">
        <v>1595</v>
      </c>
      <c r="C2806" s="8" t="s">
        <v>2216</v>
      </c>
      <c r="D2806" s="2">
        <v>2</v>
      </c>
      <c r="E2806" s="8" t="s">
        <v>3191</v>
      </c>
      <c r="F2806" s="2" t="s">
        <v>2513</v>
      </c>
      <c r="G2806" s="2" t="s">
        <v>3177</v>
      </c>
      <c r="H2806" s="2" t="s">
        <v>3178</v>
      </c>
      <c r="I2806" s="8" t="s">
        <v>3179</v>
      </c>
      <c r="J2806" s="2">
        <v>2026</v>
      </c>
      <c r="K2806" s="2">
        <v>59</v>
      </c>
      <c r="L2806" s="8" t="s">
        <v>4020</v>
      </c>
      <c r="M2806" s="2"/>
      <c r="N2806" s="8" t="s">
        <v>6087</v>
      </c>
      <c r="O2806" s="8" t="str">
        <f t="shared" si="259"/>
        <v>PDFを開く</v>
      </c>
      <c r="P2806" s="8" t="s">
        <v>2221</v>
      </c>
    </row>
    <row r="2807" spans="1:16" ht="33.950000000000003" customHeight="1">
      <c r="A2807" s="5" t="s">
        <v>2215</v>
      </c>
      <c r="B2807" s="5" t="s">
        <v>1595</v>
      </c>
      <c r="C2807" s="9" t="s">
        <v>2216</v>
      </c>
      <c r="D2807" s="5">
        <v>2</v>
      </c>
      <c r="E2807" s="9" t="s">
        <v>3191</v>
      </c>
      <c r="F2807" s="5" t="s">
        <v>2513</v>
      </c>
      <c r="G2807" s="5" t="s">
        <v>3177</v>
      </c>
      <c r="H2807" s="5" t="s">
        <v>3178</v>
      </c>
      <c r="I2807" s="9" t="s">
        <v>3182</v>
      </c>
      <c r="J2807" s="5">
        <v>2029</v>
      </c>
      <c r="K2807" s="5">
        <v>80</v>
      </c>
      <c r="L2807" s="9" t="s">
        <v>3252</v>
      </c>
      <c r="M2807" s="5"/>
      <c r="N2807" s="9" t="s">
        <v>6087</v>
      </c>
      <c r="O2807" s="9" t="str">
        <f t="shared" si="259"/>
        <v>PDFを開く</v>
      </c>
      <c r="P2807" s="9" t="s">
        <v>2221</v>
      </c>
    </row>
    <row r="2808" spans="1:16" ht="33.950000000000003" customHeight="1">
      <c r="A2808" s="2" t="s">
        <v>2215</v>
      </c>
      <c r="B2808" s="2" t="s">
        <v>1595</v>
      </c>
      <c r="C2808" s="8" t="s">
        <v>2216</v>
      </c>
      <c r="D2808" s="2">
        <v>2</v>
      </c>
      <c r="E2808" s="8" t="s">
        <v>3188</v>
      </c>
      <c r="F2808" s="2" t="s">
        <v>86</v>
      </c>
      <c r="G2808" s="2" t="s">
        <v>3177</v>
      </c>
      <c r="H2808" s="2"/>
      <c r="I2808" s="8" t="s">
        <v>6088</v>
      </c>
      <c r="J2808" s="2">
        <v>2026</v>
      </c>
      <c r="K2808" s="2"/>
      <c r="L2808" s="8" t="s">
        <v>3211</v>
      </c>
      <c r="M2808" s="2">
        <v>4.8</v>
      </c>
      <c r="N2808" s="8" t="s">
        <v>6089</v>
      </c>
      <c r="O2808" s="8" t="str">
        <f t="shared" si="259"/>
        <v>PDFを開く</v>
      </c>
      <c r="P2808" s="8" t="s">
        <v>2221</v>
      </c>
    </row>
    <row r="2809" spans="1:16" ht="33.950000000000003" customHeight="1">
      <c r="A2809" s="5" t="s">
        <v>2215</v>
      </c>
      <c r="B2809" s="5" t="s">
        <v>1595</v>
      </c>
      <c r="C2809" s="9" t="s">
        <v>2216</v>
      </c>
      <c r="D2809" s="5">
        <v>2</v>
      </c>
      <c r="E2809" s="9" t="s">
        <v>3188</v>
      </c>
      <c r="F2809" s="5" t="s">
        <v>86</v>
      </c>
      <c r="G2809" s="5" t="s">
        <v>3177</v>
      </c>
      <c r="H2809" s="5"/>
      <c r="I2809" s="9" t="s">
        <v>6090</v>
      </c>
      <c r="J2809" s="5">
        <v>2029</v>
      </c>
      <c r="K2809" s="5"/>
      <c r="L2809" s="9" t="s">
        <v>6091</v>
      </c>
      <c r="M2809" s="5">
        <v>4.8</v>
      </c>
      <c r="N2809" s="9" t="s">
        <v>6089</v>
      </c>
      <c r="O2809" s="9" t="str">
        <f t="shared" si="259"/>
        <v>PDFを開く</v>
      </c>
      <c r="P2809" s="9" t="s">
        <v>2221</v>
      </c>
    </row>
    <row r="2810" spans="1:16" ht="33.950000000000003" customHeight="1">
      <c r="A2810" s="2" t="s">
        <v>2215</v>
      </c>
      <c r="B2810" s="2" t="s">
        <v>1595</v>
      </c>
      <c r="C2810" s="8" t="s">
        <v>2216</v>
      </c>
      <c r="D2810" s="2">
        <v>2</v>
      </c>
      <c r="E2810" s="8" t="s">
        <v>3184</v>
      </c>
      <c r="F2810" s="2" t="s">
        <v>86</v>
      </c>
      <c r="G2810" s="2" t="s">
        <v>3177</v>
      </c>
      <c r="H2810" s="2" t="s">
        <v>3178</v>
      </c>
      <c r="I2810" s="8" t="s">
        <v>3179</v>
      </c>
      <c r="J2810" s="2">
        <v>2026</v>
      </c>
      <c r="K2810" s="2">
        <v>475</v>
      </c>
      <c r="L2810" s="8" t="s">
        <v>5687</v>
      </c>
      <c r="M2810" s="2"/>
      <c r="N2810" s="8" t="s">
        <v>6083</v>
      </c>
      <c r="O2810" s="8" t="str">
        <f t="shared" si="259"/>
        <v>PDFを開く</v>
      </c>
      <c r="P2810" s="8" t="s">
        <v>2221</v>
      </c>
    </row>
    <row r="2811" spans="1:16" ht="33.950000000000003" customHeight="1">
      <c r="A2811" s="5" t="s">
        <v>2215</v>
      </c>
      <c r="B2811" s="5" t="s">
        <v>1595</v>
      </c>
      <c r="C2811" s="9" t="s">
        <v>2216</v>
      </c>
      <c r="D2811" s="5">
        <v>2</v>
      </c>
      <c r="E2811" s="9" t="s">
        <v>3184</v>
      </c>
      <c r="F2811" s="5" t="s">
        <v>86</v>
      </c>
      <c r="G2811" s="5" t="s">
        <v>3177</v>
      </c>
      <c r="H2811" s="5" t="s">
        <v>3178</v>
      </c>
      <c r="I2811" s="9" t="s">
        <v>3182</v>
      </c>
      <c r="J2811" s="5">
        <v>2029</v>
      </c>
      <c r="K2811" s="5">
        <v>548</v>
      </c>
      <c r="L2811" s="9" t="s">
        <v>5110</v>
      </c>
      <c r="M2811" s="5"/>
      <c r="N2811" s="9" t="s">
        <v>6083</v>
      </c>
      <c r="O2811" s="9" t="str">
        <f t="shared" si="259"/>
        <v>PDFを開く</v>
      </c>
      <c r="P2811" s="9" t="s">
        <v>2221</v>
      </c>
    </row>
    <row r="2812" spans="1:16" ht="33.950000000000003" customHeight="1">
      <c r="A2812" s="2" t="s">
        <v>2222</v>
      </c>
      <c r="B2812" s="2" t="s">
        <v>1595</v>
      </c>
      <c r="C2812" s="8" t="s">
        <v>2223</v>
      </c>
      <c r="D2812" s="2">
        <v>3</v>
      </c>
      <c r="E2812" s="8" t="s">
        <v>3176</v>
      </c>
      <c r="F2812" s="2" t="s">
        <v>86</v>
      </c>
      <c r="G2812" s="2" t="s">
        <v>3177</v>
      </c>
      <c r="H2812" s="2" t="s">
        <v>3178</v>
      </c>
      <c r="I2812" s="8" t="s">
        <v>5367</v>
      </c>
      <c r="J2812" s="2">
        <v>2028</v>
      </c>
      <c r="K2812" s="2">
        <v>539</v>
      </c>
      <c r="L2812" s="8" t="s">
        <v>4084</v>
      </c>
      <c r="M2812" s="2">
        <v>9.8000000000000007</v>
      </c>
      <c r="N2812" s="8" t="s">
        <v>6092</v>
      </c>
      <c r="O2812" s="8" t="str">
        <f t="shared" ref="O2812:O2818" si="260">HYPERLINK("https://seichotoushi-hojo.jp/assets/pdf/koufu_3_4ji/outline_73.pdf","PDFを開く")</f>
        <v>PDFを開く</v>
      </c>
      <c r="P2812" s="8" t="s">
        <v>2227</v>
      </c>
    </row>
    <row r="2813" spans="1:16" ht="33.950000000000003" customHeight="1">
      <c r="A2813" s="5" t="s">
        <v>2222</v>
      </c>
      <c r="B2813" s="5" t="s">
        <v>1595</v>
      </c>
      <c r="C2813" s="9" t="s">
        <v>2223</v>
      </c>
      <c r="D2813" s="5">
        <v>3</v>
      </c>
      <c r="E2813" s="9" t="s">
        <v>3176</v>
      </c>
      <c r="F2813" s="5" t="s">
        <v>86</v>
      </c>
      <c r="G2813" s="5" t="s">
        <v>3177</v>
      </c>
      <c r="H2813" s="5" t="s">
        <v>3178</v>
      </c>
      <c r="I2813" s="9" t="s">
        <v>5370</v>
      </c>
      <c r="J2813" s="5">
        <v>2031</v>
      </c>
      <c r="K2813" s="5">
        <v>713</v>
      </c>
      <c r="L2813" s="9" t="s">
        <v>4862</v>
      </c>
      <c r="M2813" s="5">
        <v>9.8000000000000007</v>
      </c>
      <c r="N2813" s="9" t="s">
        <v>6092</v>
      </c>
      <c r="O2813" s="9" t="str">
        <f t="shared" si="260"/>
        <v>PDFを開く</v>
      </c>
      <c r="P2813" s="9" t="s">
        <v>2227</v>
      </c>
    </row>
    <row r="2814" spans="1:16" ht="33.950000000000003" customHeight="1">
      <c r="A2814" s="2" t="s">
        <v>2222</v>
      </c>
      <c r="B2814" s="2" t="s">
        <v>1595</v>
      </c>
      <c r="C2814" s="8" t="s">
        <v>2223</v>
      </c>
      <c r="D2814" s="2">
        <v>3</v>
      </c>
      <c r="E2814" s="8" t="s">
        <v>3184</v>
      </c>
      <c r="F2814" s="2" t="s">
        <v>86</v>
      </c>
      <c r="G2814" s="2" t="s">
        <v>3177</v>
      </c>
      <c r="H2814" s="2" t="s">
        <v>3178</v>
      </c>
      <c r="I2814" s="8" t="s">
        <v>5367</v>
      </c>
      <c r="J2814" s="2">
        <v>2028</v>
      </c>
      <c r="K2814" s="2">
        <v>339</v>
      </c>
      <c r="L2814" s="8" t="s">
        <v>5672</v>
      </c>
      <c r="M2814" s="2">
        <v>8.9</v>
      </c>
      <c r="N2814" s="8" t="s">
        <v>6093</v>
      </c>
      <c r="O2814" s="8" t="str">
        <f t="shared" si="260"/>
        <v>PDFを開く</v>
      </c>
      <c r="P2814" s="8" t="s">
        <v>2227</v>
      </c>
    </row>
    <row r="2815" spans="1:16" ht="33.950000000000003" customHeight="1">
      <c r="A2815" s="5" t="s">
        <v>2222</v>
      </c>
      <c r="B2815" s="5" t="s">
        <v>1595</v>
      </c>
      <c r="C2815" s="9" t="s">
        <v>2223</v>
      </c>
      <c r="D2815" s="5">
        <v>3</v>
      </c>
      <c r="E2815" s="9" t="s">
        <v>3184</v>
      </c>
      <c r="F2815" s="5" t="s">
        <v>86</v>
      </c>
      <c r="G2815" s="5" t="s">
        <v>3177</v>
      </c>
      <c r="H2815" s="5" t="s">
        <v>3178</v>
      </c>
      <c r="I2815" s="9" t="s">
        <v>5370</v>
      </c>
      <c r="J2815" s="5">
        <v>2031</v>
      </c>
      <c r="K2815" s="5">
        <v>437</v>
      </c>
      <c r="L2815" s="9" t="s">
        <v>5728</v>
      </c>
      <c r="M2815" s="5">
        <v>8.9</v>
      </c>
      <c r="N2815" s="9" t="s">
        <v>6093</v>
      </c>
      <c r="O2815" s="9" t="str">
        <f t="shared" si="260"/>
        <v>PDFを開く</v>
      </c>
      <c r="P2815" s="9" t="s">
        <v>2227</v>
      </c>
    </row>
    <row r="2816" spans="1:16" ht="33.950000000000003" customHeight="1">
      <c r="A2816" s="2" t="s">
        <v>2222</v>
      </c>
      <c r="B2816" s="2" t="s">
        <v>1595</v>
      </c>
      <c r="C2816" s="8" t="s">
        <v>2223</v>
      </c>
      <c r="D2816" s="2">
        <v>3</v>
      </c>
      <c r="E2816" s="8" t="s">
        <v>3188</v>
      </c>
      <c r="F2816" s="2" t="s">
        <v>86</v>
      </c>
      <c r="G2816" s="19" t="s">
        <v>3189</v>
      </c>
      <c r="H2816" s="2" t="s">
        <v>3178</v>
      </c>
      <c r="I2816" s="8"/>
      <c r="J2816" s="2"/>
      <c r="K2816" s="2"/>
      <c r="L2816" s="8"/>
      <c r="M2816" s="2">
        <v>7</v>
      </c>
      <c r="N2816" s="8" t="s">
        <v>5324</v>
      </c>
      <c r="O2816" s="8" t="str">
        <f t="shared" si="260"/>
        <v>PDFを開く</v>
      </c>
      <c r="P2816" s="8" t="s">
        <v>2227</v>
      </c>
    </row>
    <row r="2817" spans="1:16" ht="33.950000000000003" customHeight="1">
      <c r="A2817" s="5" t="s">
        <v>2222</v>
      </c>
      <c r="B2817" s="5" t="s">
        <v>1595</v>
      </c>
      <c r="C2817" s="9" t="s">
        <v>2223</v>
      </c>
      <c r="D2817" s="5">
        <v>3</v>
      </c>
      <c r="E2817" s="9" t="s">
        <v>3191</v>
      </c>
      <c r="F2817" s="5" t="s">
        <v>2513</v>
      </c>
      <c r="G2817" s="5" t="s">
        <v>3177</v>
      </c>
      <c r="H2817" s="5" t="s">
        <v>3178</v>
      </c>
      <c r="I2817" s="9" t="s">
        <v>5367</v>
      </c>
      <c r="J2817" s="5">
        <v>2028</v>
      </c>
      <c r="K2817" s="5">
        <v>490</v>
      </c>
      <c r="L2817" s="9" t="s">
        <v>3396</v>
      </c>
      <c r="M2817" s="5"/>
      <c r="N2817" s="9" t="s">
        <v>6094</v>
      </c>
      <c r="O2817" s="9" t="str">
        <f t="shared" si="260"/>
        <v>PDFを開く</v>
      </c>
      <c r="P2817" s="9" t="s">
        <v>2227</v>
      </c>
    </row>
    <row r="2818" spans="1:16" ht="33.950000000000003" customHeight="1">
      <c r="A2818" s="2" t="s">
        <v>2222</v>
      </c>
      <c r="B2818" s="2" t="s">
        <v>1595</v>
      </c>
      <c r="C2818" s="8" t="s">
        <v>2223</v>
      </c>
      <c r="D2818" s="2">
        <v>3</v>
      </c>
      <c r="E2818" s="8" t="s">
        <v>3191</v>
      </c>
      <c r="F2818" s="2" t="s">
        <v>2513</v>
      </c>
      <c r="G2818" s="2" t="s">
        <v>3177</v>
      </c>
      <c r="H2818" s="2" t="s">
        <v>3178</v>
      </c>
      <c r="I2818" s="8" t="s">
        <v>5370</v>
      </c>
      <c r="J2818" s="2">
        <v>2031</v>
      </c>
      <c r="K2818" s="2">
        <v>674</v>
      </c>
      <c r="L2818" s="8" t="s">
        <v>6095</v>
      </c>
      <c r="M2818" s="2"/>
      <c r="N2818" s="8" t="s">
        <v>6094</v>
      </c>
      <c r="O2818" s="8" t="str">
        <f t="shared" si="260"/>
        <v>PDFを開く</v>
      </c>
      <c r="P2818" s="8" t="s">
        <v>2227</v>
      </c>
    </row>
    <row r="2819" spans="1:16" ht="33.950000000000003" customHeight="1">
      <c r="A2819" s="5" t="s">
        <v>2228</v>
      </c>
      <c r="B2819" s="5" t="s">
        <v>1595</v>
      </c>
      <c r="C2819" s="9" t="s">
        <v>2229</v>
      </c>
      <c r="D2819" s="5">
        <v>3</v>
      </c>
      <c r="E2819" s="9" t="s">
        <v>3176</v>
      </c>
      <c r="F2819" s="5" t="s">
        <v>86</v>
      </c>
      <c r="G2819" s="5" t="s">
        <v>3177</v>
      </c>
      <c r="H2819" s="5" t="s">
        <v>3178</v>
      </c>
      <c r="I2819" s="9" t="s">
        <v>3259</v>
      </c>
      <c r="J2819" s="5">
        <v>2027</v>
      </c>
      <c r="K2819" s="5">
        <v>822</v>
      </c>
      <c r="L2819" s="9" t="s">
        <v>6096</v>
      </c>
      <c r="M2819" s="5">
        <v>24.5</v>
      </c>
      <c r="N2819" s="9" t="s">
        <v>6097</v>
      </c>
      <c r="O2819" s="9" t="str">
        <f t="shared" ref="O2819:O2826" si="261">HYPERLINK("https://seichotoushi-hojo.jp/assets/pdf/koufu_3_4ji/outline_74.pdf","PDFを開く")</f>
        <v>PDFを開く</v>
      </c>
      <c r="P2819" s="9" t="s">
        <v>2236</v>
      </c>
    </row>
    <row r="2820" spans="1:16" ht="33.950000000000003" customHeight="1">
      <c r="A2820" s="2" t="s">
        <v>2228</v>
      </c>
      <c r="B2820" s="2" t="s">
        <v>1595</v>
      </c>
      <c r="C2820" s="8" t="s">
        <v>2229</v>
      </c>
      <c r="D2820" s="2">
        <v>3</v>
      </c>
      <c r="E2820" s="8" t="s">
        <v>3176</v>
      </c>
      <c r="F2820" s="2" t="s">
        <v>86</v>
      </c>
      <c r="G2820" s="2" t="s">
        <v>3177</v>
      </c>
      <c r="H2820" s="2" t="s">
        <v>3178</v>
      </c>
      <c r="I2820" s="8" t="s">
        <v>3262</v>
      </c>
      <c r="J2820" s="2">
        <v>2030</v>
      </c>
      <c r="K2820" s="2">
        <v>1587</v>
      </c>
      <c r="L2820" s="8" t="s">
        <v>4494</v>
      </c>
      <c r="M2820" s="2">
        <v>24.5</v>
      </c>
      <c r="N2820" s="8" t="s">
        <v>6097</v>
      </c>
      <c r="O2820" s="8" t="str">
        <f t="shared" si="261"/>
        <v>PDFを開く</v>
      </c>
      <c r="P2820" s="8" t="s">
        <v>2236</v>
      </c>
    </row>
    <row r="2821" spans="1:16" ht="33.950000000000003" customHeight="1">
      <c r="A2821" s="5" t="s">
        <v>2228</v>
      </c>
      <c r="B2821" s="5" t="s">
        <v>1595</v>
      </c>
      <c r="C2821" s="9" t="s">
        <v>2229</v>
      </c>
      <c r="D2821" s="5">
        <v>3</v>
      </c>
      <c r="E2821" s="9" t="s">
        <v>3184</v>
      </c>
      <c r="F2821" s="5" t="s">
        <v>86</v>
      </c>
      <c r="G2821" s="5" t="s">
        <v>3177</v>
      </c>
      <c r="H2821" s="5" t="s">
        <v>3178</v>
      </c>
      <c r="I2821" s="9" t="s">
        <v>3259</v>
      </c>
      <c r="J2821" s="5">
        <v>2027</v>
      </c>
      <c r="K2821" s="5">
        <v>386</v>
      </c>
      <c r="L2821" s="9" t="s">
        <v>5747</v>
      </c>
      <c r="M2821" s="5">
        <v>6</v>
      </c>
      <c r="N2821" s="9" t="s">
        <v>6098</v>
      </c>
      <c r="O2821" s="9" t="str">
        <f t="shared" si="261"/>
        <v>PDFを開く</v>
      </c>
      <c r="P2821" s="9" t="s">
        <v>2236</v>
      </c>
    </row>
    <row r="2822" spans="1:16" ht="33.950000000000003" customHeight="1">
      <c r="A2822" s="2" t="s">
        <v>2228</v>
      </c>
      <c r="B2822" s="2" t="s">
        <v>1595</v>
      </c>
      <c r="C2822" s="8" t="s">
        <v>2229</v>
      </c>
      <c r="D2822" s="2">
        <v>3</v>
      </c>
      <c r="E2822" s="8" t="s">
        <v>3184</v>
      </c>
      <c r="F2822" s="2" t="s">
        <v>86</v>
      </c>
      <c r="G2822" s="2" t="s">
        <v>3177</v>
      </c>
      <c r="H2822" s="2" t="s">
        <v>3178</v>
      </c>
      <c r="I2822" s="8" t="s">
        <v>3262</v>
      </c>
      <c r="J2822" s="2">
        <v>2030</v>
      </c>
      <c r="K2822" s="2">
        <v>470</v>
      </c>
      <c r="L2822" s="8" t="s">
        <v>3768</v>
      </c>
      <c r="M2822" s="2">
        <v>6</v>
      </c>
      <c r="N2822" s="8" t="s">
        <v>6098</v>
      </c>
      <c r="O2822" s="8" t="str">
        <f t="shared" si="261"/>
        <v>PDFを開く</v>
      </c>
      <c r="P2822" s="8" t="s">
        <v>2236</v>
      </c>
    </row>
    <row r="2823" spans="1:16" ht="33.950000000000003" customHeight="1">
      <c r="A2823" s="5" t="s">
        <v>2228</v>
      </c>
      <c r="B2823" s="5" t="s">
        <v>1595</v>
      </c>
      <c r="C2823" s="9" t="s">
        <v>2229</v>
      </c>
      <c r="D2823" s="5">
        <v>3</v>
      </c>
      <c r="E2823" s="9" t="s">
        <v>3188</v>
      </c>
      <c r="F2823" s="5" t="s">
        <v>86</v>
      </c>
      <c r="G2823" s="5" t="s">
        <v>3177</v>
      </c>
      <c r="H2823" s="5" t="s">
        <v>3178</v>
      </c>
      <c r="I2823" s="9" t="s">
        <v>3259</v>
      </c>
      <c r="J2823" s="5">
        <v>2027</v>
      </c>
      <c r="K2823" s="5">
        <v>1603</v>
      </c>
      <c r="L2823" s="9" t="s">
        <v>6099</v>
      </c>
      <c r="M2823" s="5">
        <v>4.5</v>
      </c>
      <c r="N2823" s="9" t="s">
        <v>6100</v>
      </c>
      <c r="O2823" s="9" t="str">
        <f t="shared" si="261"/>
        <v>PDFを開く</v>
      </c>
      <c r="P2823" s="9" t="s">
        <v>2236</v>
      </c>
    </row>
    <row r="2824" spans="1:16" ht="33.950000000000003" customHeight="1">
      <c r="A2824" s="2" t="s">
        <v>2228</v>
      </c>
      <c r="B2824" s="2" t="s">
        <v>1595</v>
      </c>
      <c r="C2824" s="8" t="s">
        <v>2229</v>
      </c>
      <c r="D2824" s="2">
        <v>3</v>
      </c>
      <c r="E2824" s="8" t="s">
        <v>3188</v>
      </c>
      <c r="F2824" s="2" t="s">
        <v>86</v>
      </c>
      <c r="G2824" s="2" t="s">
        <v>3177</v>
      </c>
      <c r="H2824" s="2" t="s">
        <v>3178</v>
      </c>
      <c r="I2824" s="8" t="s">
        <v>3262</v>
      </c>
      <c r="J2824" s="2">
        <v>2030</v>
      </c>
      <c r="K2824" s="2">
        <v>1829</v>
      </c>
      <c r="L2824" s="8" t="s">
        <v>6101</v>
      </c>
      <c r="M2824" s="2">
        <v>4.5</v>
      </c>
      <c r="N2824" s="8" t="s">
        <v>6100</v>
      </c>
      <c r="O2824" s="8" t="str">
        <f t="shared" si="261"/>
        <v>PDFを開く</v>
      </c>
      <c r="P2824" s="8" t="s">
        <v>2236</v>
      </c>
    </row>
    <row r="2825" spans="1:16" ht="33.950000000000003" customHeight="1">
      <c r="A2825" s="5" t="s">
        <v>2228</v>
      </c>
      <c r="B2825" s="5" t="s">
        <v>1595</v>
      </c>
      <c r="C2825" s="9" t="s">
        <v>2229</v>
      </c>
      <c r="D2825" s="5">
        <v>3</v>
      </c>
      <c r="E2825" s="9" t="s">
        <v>3191</v>
      </c>
      <c r="F2825" s="5" t="s">
        <v>2513</v>
      </c>
      <c r="G2825" s="5" t="s">
        <v>3177</v>
      </c>
      <c r="H2825" s="5" t="s">
        <v>3178</v>
      </c>
      <c r="I2825" s="9" t="s">
        <v>3259</v>
      </c>
      <c r="J2825" s="5">
        <v>2027</v>
      </c>
      <c r="K2825" s="5">
        <v>324</v>
      </c>
      <c r="L2825" s="9" t="s">
        <v>3530</v>
      </c>
      <c r="M2825" s="5"/>
      <c r="N2825" s="9" t="s">
        <v>6102</v>
      </c>
      <c r="O2825" s="9" t="str">
        <f t="shared" si="261"/>
        <v>PDFを開く</v>
      </c>
      <c r="P2825" s="9" t="s">
        <v>2236</v>
      </c>
    </row>
    <row r="2826" spans="1:16" ht="33.950000000000003" customHeight="1">
      <c r="A2826" s="2" t="s">
        <v>2228</v>
      </c>
      <c r="B2826" s="2" t="s">
        <v>1595</v>
      </c>
      <c r="C2826" s="8" t="s">
        <v>2229</v>
      </c>
      <c r="D2826" s="2">
        <v>3</v>
      </c>
      <c r="E2826" s="8" t="s">
        <v>3191</v>
      </c>
      <c r="F2826" s="2" t="s">
        <v>2513</v>
      </c>
      <c r="G2826" s="2" t="s">
        <v>3177</v>
      </c>
      <c r="H2826" s="2" t="s">
        <v>3178</v>
      </c>
      <c r="I2826" s="8" t="s">
        <v>3262</v>
      </c>
      <c r="J2826" s="2">
        <v>2030</v>
      </c>
      <c r="K2826" s="2">
        <v>355</v>
      </c>
      <c r="L2826" s="8" t="s">
        <v>5762</v>
      </c>
      <c r="M2826" s="2"/>
      <c r="N2826" s="8" t="s">
        <v>6102</v>
      </c>
      <c r="O2826" s="8" t="str">
        <f t="shared" si="261"/>
        <v>PDFを開く</v>
      </c>
      <c r="P2826" s="8" t="s">
        <v>2236</v>
      </c>
    </row>
    <row r="2827" spans="1:16" ht="33.950000000000003" customHeight="1">
      <c r="A2827" s="5" t="s">
        <v>2237</v>
      </c>
      <c r="B2827" s="5" t="s">
        <v>1595</v>
      </c>
      <c r="C2827" s="9" t="s">
        <v>2238</v>
      </c>
      <c r="D2827" s="5">
        <v>2</v>
      </c>
      <c r="E2827" s="9" t="s">
        <v>3176</v>
      </c>
      <c r="F2827" s="5" t="s">
        <v>86</v>
      </c>
      <c r="G2827" s="5" t="s">
        <v>3177</v>
      </c>
      <c r="H2827" s="5" t="s">
        <v>3178</v>
      </c>
      <c r="I2827" s="9" t="s">
        <v>6103</v>
      </c>
      <c r="J2827" s="5">
        <v>2027</v>
      </c>
      <c r="K2827" s="5">
        <v>1401</v>
      </c>
      <c r="L2827" s="9" t="s">
        <v>6104</v>
      </c>
      <c r="M2827" s="5">
        <v>30</v>
      </c>
      <c r="N2827" s="9" t="s">
        <v>6105</v>
      </c>
      <c r="O2827" s="9" t="str">
        <f t="shared" ref="O2827:O2833" si="262">HYPERLINK("https://seichotoushi-hojo.jp/assets/pdf/koufu_3_4ji/outline_77.pdf","PDFを開く")</f>
        <v>PDFを開く</v>
      </c>
      <c r="P2827" s="9" t="s">
        <v>2244</v>
      </c>
    </row>
    <row r="2828" spans="1:16" ht="33.950000000000003" customHeight="1">
      <c r="A2828" s="2" t="s">
        <v>2237</v>
      </c>
      <c r="B2828" s="2" t="s">
        <v>1595</v>
      </c>
      <c r="C2828" s="8" t="s">
        <v>2238</v>
      </c>
      <c r="D2828" s="2">
        <v>2</v>
      </c>
      <c r="E2828" s="8" t="s">
        <v>3176</v>
      </c>
      <c r="F2828" s="2" t="s">
        <v>86</v>
      </c>
      <c r="G2828" s="2" t="s">
        <v>3177</v>
      </c>
      <c r="H2828" s="2" t="s">
        <v>3178</v>
      </c>
      <c r="I2828" s="8" t="s">
        <v>3711</v>
      </c>
      <c r="J2828" s="2">
        <v>2030</v>
      </c>
      <c r="K2828" s="2">
        <v>3079</v>
      </c>
      <c r="L2828" s="8" t="s">
        <v>6106</v>
      </c>
      <c r="M2828" s="2">
        <v>30</v>
      </c>
      <c r="N2828" s="8" t="s">
        <v>6105</v>
      </c>
      <c r="O2828" s="8" t="str">
        <f t="shared" si="262"/>
        <v>PDFを開く</v>
      </c>
      <c r="P2828" s="8" t="s">
        <v>2244</v>
      </c>
    </row>
    <row r="2829" spans="1:16" ht="33.950000000000003" customHeight="1">
      <c r="A2829" s="5" t="s">
        <v>2237</v>
      </c>
      <c r="B2829" s="5" t="s">
        <v>1595</v>
      </c>
      <c r="C2829" s="9" t="s">
        <v>2238</v>
      </c>
      <c r="D2829" s="5">
        <v>2</v>
      </c>
      <c r="E2829" s="9" t="s">
        <v>3184</v>
      </c>
      <c r="F2829" s="5" t="s">
        <v>86</v>
      </c>
      <c r="G2829" s="5" t="s">
        <v>3177</v>
      </c>
      <c r="H2829" s="5" t="s">
        <v>3178</v>
      </c>
      <c r="I2829" s="9" t="s">
        <v>6103</v>
      </c>
      <c r="J2829" s="5">
        <v>2027</v>
      </c>
      <c r="K2829" s="5">
        <v>350</v>
      </c>
      <c r="L2829" s="9" t="s">
        <v>5224</v>
      </c>
      <c r="M2829" s="5">
        <v>6.8</v>
      </c>
      <c r="N2829" s="9" t="s">
        <v>6107</v>
      </c>
      <c r="O2829" s="9" t="str">
        <f t="shared" si="262"/>
        <v>PDFを開く</v>
      </c>
      <c r="P2829" s="9" t="s">
        <v>2244</v>
      </c>
    </row>
    <row r="2830" spans="1:16" ht="33.950000000000003" customHeight="1">
      <c r="A2830" s="2" t="s">
        <v>2237</v>
      </c>
      <c r="B2830" s="2" t="s">
        <v>1595</v>
      </c>
      <c r="C2830" s="8" t="s">
        <v>2238</v>
      </c>
      <c r="D2830" s="2">
        <v>2</v>
      </c>
      <c r="E2830" s="8" t="s">
        <v>3184</v>
      </c>
      <c r="F2830" s="2" t="s">
        <v>86</v>
      </c>
      <c r="G2830" s="2" t="s">
        <v>3177</v>
      </c>
      <c r="H2830" s="2" t="s">
        <v>3178</v>
      </c>
      <c r="I2830" s="8" t="s">
        <v>3711</v>
      </c>
      <c r="J2830" s="2">
        <v>2030</v>
      </c>
      <c r="K2830" s="2">
        <v>426</v>
      </c>
      <c r="L2830" s="8" t="s">
        <v>6108</v>
      </c>
      <c r="M2830" s="2">
        <v>6.8</v>
      </c>
      <c r="N2830" s="8" t="s">
        <v>6107</v>
      </c>
      <c r="O2830" s="8" t="str">
        <f t="shared" si="262"/>
        <v>PDFを開く</v>
      </c>
      <c r="P2830" s="8" t="s">
        <v>2244</v>
      </c>
    </row>
    <row r="2831" spans="1:16" ht="33.950000000000003" customHeight="1">
      <c r="A2831" s="5" t="s">
        <v>2237</v>
      </c>
      <c r="B2831" s="5" t="s">
        <v>1595</v>
      </c>
      <c r="C2831" s="9" t="s">
        <v>2238</v>
      </c>
      <c r="D2831" s="5">
        <v>2</v>
      </c>
      <c r="E2831" s="9" t="s">
        <v>3188</v>
      </c>
      <c r="F2831" s="5" t="s">
        <v>86</v>
      </c>
      <c r="G2831" s="19" t="s">
        <v>3189</v>
      </c>
      <c r="H2831" s="5" t="s">
        <v>3178</v>
      </c>
      <c r="I2831" s="9"/>
      <c r="J2831" s="5"/>
      <c r="K2831" s="5"/>
      <c r="L2831" s="9"/>
      <c r="M2831" s="5"/>
      <c r="N2831" s="9" t="s">
        <v>3488</v>
      </c>
      <c r="O2831" s="9" t="str">
        <f t="shared" si="262"/>
        <v>PDFを開く</v>
      </c>
      <c r="P2831" s="9" t="s">
        <v>2244</v>
      </c>
    </row>
    <row r="2832" spans="1:16" ht="33.950000000000003" customHeight="1">
      <c r="A2832" s="2" t="s">
        <v>2237</v>
      </c>
      <c r="B2832" s="2" t="s">
        <v>1595</v>
      </c>
      <c r="C2832" s="8" t="s">
        <v>2238</v>
      </c>
      <c r="D2832" s="2">
        <v>2</v>
      </c>
      <c r="E2832" s="8" t="s">
        <v>3191</v>
      </c>
      <c r="F2832" s="2" t="s">
        <v>2513</v>
      </c>
      <c r="G2832" s="2" t="s">
        <v>3177</v>
      </c>
      <c r="H2832" s="2" t="s">
        <v>3178</v>
      </c>
      <c r="I2832" s="8" t="s">
        <v>6103</v>
      </c>
      <c r="J2832" s="2">
        <v>2027</v>
      </c>
      <c r="K2832" s="2">
        <v>115</v>
      </c>
      <c r="L2832" s="8" t="s">
        <v>4458</v>
      </c>
      <c r="M2832" s="2"/>
      <c r="N2832" s="8" t="s">
        <v>6109</v>
      </c>
      <c r="O2832" s="8" t="str">
        <f t="shared" si="262"/>
        <v>PDFを開く</v>
      </c>
      <c r="P2832" s="8" t="s">
        <v>2244</v>
      </c>
    </row>
    <row r="2833" spans="1:16" ht="33.950000000000003" customHeight="1">
      <c r="A2833" s="5" t="s">
        <v>2237</v>
      </c>
      <c r="B2833" s="5" t="s">
        <v>1595</v>
      </c>
      <c r="C2833" s="9" t="s">
        <v>2238</v>
      </c>
      <c r="D2833" s="5">
        <v>2</v>
      </c>
      <c r="E2833" s="9" t="s">
        <v>3191</v>
      </c>
      <c r="F2833" s="5" t="s">
        <v>2513</v>
      </c>
      <c r="G2833" s="5" t="s">
        <v>3177</v>
      </c>
      <c r="H2833" s="5" t="s">
        <v>3178</v>
      </c>
      <c r="I2833" s="9" t="s">
        <v>3711</v>
      </c>
      <c r="J2833" s="5">
        <v>2030</v>
      </c>
      <c r="K2833" s="5">
        <v>203</v>
      </c>
      <c r="L2833" s="9" t="s">
        <v>6110</v>
      </c>
      <c r="M2833" s="5"/>
      <c r="N2833" s="9" t="s">
        <v>6109</v>
      </c>
      <c r="O2833" s="9" t="str">
        <f t="shared" si="262"/>
        <v>PDFを開く</v>
      </c>
      <c r="P2833" s="9" t="s">
        <v>2244</v>
      </c>
    </row>
    <row r="2834" spans="1:16" ht="33.950000000000003" customHeight="1">
      <c r="A2834" s="2" t="s">
        <v>2245</v>
      </c>
      <c r="B2834" s="2" t="s">
        <v>1595</v>
      </c>
      <c r="C2834" s="8" t="s">
        <v>2246</v>
      </c>
      <c r="D2834" s="2">
        <v>2</v>
      </c>
      <c r="E2834" s="8" t="s">
        <v>3176</v>
      </c>
      <c r="F2834" s="2" t="s">
        <v>86</v>
      </c>
      <c r="G2834" s="2" t="s">
        <v>3177</v>
      </c>
      <c r="H2834" s="2" t="s">
        <v>3178</v>
      </c>
      <c r="I2834" s="8" t="s">
        <v>3179</v>
      </c>
      <c r="J2834" s="2">
        <v>2026</v>
      </c>
      <c r="K2834" s="2">
        <v>1548</v>
      </c>
      <c r="L2834" s="8" t="s">
        <v>6111</v>
      </c>
      <c r="M2834" s="2">
        <v>24</v>
      </c>
      <c r="N2834" s="8" t="s">
        <v>6112</v>
      </c>
      <c r="O2834" s="8" t="str">
        <f t="shared" ref="O2834:O2840" si="263">HYPERLINK("https://seichotoushi-hojo.jp/assets/pdf/koufu_3_4ji/outline_78.pdf","PDFを開く")</f>
        <v>PDFを開く</v>
      </c>
      <c r="P2834" s="8" t="s">
        <v>2251</v>
      </c>
    </row>
    <row r="2835" spans="1:16" ht="33.950000000000003" customHeight="1">
      <c r="A2835" s="5" t="s">
        <v>2245</v>
      </c>
      <c r="B2835" s="5" t="s">
        <v>1595</v>
      </c>
      <c r="C2835" s="9" t="s">
        <v>2246</v>
      </c>
      <c r="D2835" s="5">
        <v>2</v>
      </c>
      <c r="E2835" s="9" t="s">
        <v>3176</v>
      </c>
      <c r="F2835" s="5" t="s">
        <v>86</v>
      </c>
      <c r="G2835" s="5" t="s">
        <v>3177</v>
      </c>
      <c r="H2835" s="5" t="s">
        <v>3178</v>
      </c>
      <c r="I2835" s="9" t="s">
        <v>3182</v>
      </c>
      <c r="J2835" s="5">
        <v>2029</v>
      </c>
      <c r="K2835" s="5">
        <v>2949</v>
      </c>
      <c r="L2835" s="9" t="s">
        <v>6113</v>
      </c>
      <c r="M2835" s="5">
        <v>24</v>
      </c>
      <c r="N2835" s="9" t="s">
        <v>6112</v>
      </c>
      <c r="O2835" s="9" t="str">
        <f t="shared" si="263"/>
        <v>PDFを開く</v>
      </c>
      <c r="P2835" s="9" t="s">
        <v>2251</v>
      </c>
    </row>
    <row r="2836" spans="1:16" ht="33.950000000000003" customHeight="1">
      <c r="A2836" s="2" t="s">
        <v>2245</v>
      </c>
      <c r="B2836" s="2" t="s">
        <v>1595</v>
      </c>
      <c r="C2836" s="8" t="s">
        <v>2246</v>
      </c>
      <c r="D2836" s="2">
        <v>2</v>
      </c>
      <c r="E2836" s="8" t="s">
        <v>3184</v>
      </c>
      <c r="F2836" s="2" t="s">
        <v>86</v>
      </c>
      <c r="G2836" s="2" t="s">
        <v>3177</v>
      </c>
      <c r="H2836" s="2" t="s">
        <v>3178</v>
      </c>
      <c r="I2836" s="8" t="s">
        <v>3179</v>
      </c>
      <c r="J2836" s="2">
        <v>2026</v>
      </c>
      <c r="K2836" s="2">
        <v>456</v>
      </c>
      <c r="L2836" s="8" t="s">
        <v>3477</v>
      </c>
      <c r="M2836" s="2">
        <v>7</v>
      </c>
      <c r="N2836" s="8" t="s">
        <v>6114</v>
      </c>
      <c r="O2836" s="8" t="str">
        <f t="shared" si="263"/>
        <v>PDFを開く</v>
      </c>
      <c r="P2836" s="8" t="s">
        <v>2251</v>
      </c>
    </row>
    <row r="2837" spans="1:16" ht="33.950000000000003" customHeight="1">
      <c r="A2837" s="5" t="s">
        <v>2245</v>
      </c>
      <c r="B2837" s="5" t="s">
        <v>1595</v>
      </c>
      <c r="C2837" s="9" t="s">
        <v>2246</v>
      </c>
      <c r="D2837" s="5">
        <v>2</v>
      </c>
      <c r="E2837" s="9" t="s">
        <v>3184</v>
      </c>
      <c r="F2837" s="5" t="s">
        <v>86</v>
      </c>
      <c r="G2837" s="5" t="s">
        <v>3177</v>
      </c>
      <c r="H2837" s="5" t="s">
        <v>3178</v>
      </c>
      <c r="I2837" s="9" t="s">
        <v>3182</v>
      </c>
      <c r="J2837" s="5">
        <v>2029</v>
      </c>
      <c r="K2837" s="5">
        <v>559</v>
      </c>
      <c r="L2837" s="9" t="s">
        <v>5433</v>
      </c>
      <c r="M2837" s="5">
        <v>7</v>
      </c>
      <c r="N2837" s="9" t="s">
        <v>6114</v>
      </c>
      <c r="O2837" s="9" t="str">
        <f t="shared" si="263"/>
        <v>PDFを開く</v>
      </c>
      <c r="P2837" s="9" t="s">
        <v>2251</v>
      </c>
    </row>
    <row r="2838" spans="1:16" ht="33.950000000000003" customHeight="1">
      <c r="A2838" s="2" t="s">
        <v>2245</v>
      </c>
      <c r="B2838" s="2" t="s">
        <v>1595</v>
      </c>
      <c r="C2838" s="8" t="s">
        <v>2246</v>
      </c>
      <c r="D2838" s="2">
        <v>2</v>
      </c>
      <c r="E2838" s="8" t="s">
        <v>3188</v>
      </c>
      <c r="F2838" s="2" t="s">
        <v>86</v>
      </c>
      <c r="G2838" s="19" t="s">
        <v>3189</v>
      </c>
      <c r="H2838" s="2" t="s">
        <v>3178</v>
      </c>
      <c r="I2838" s="8"/>
      <c r="J2838" s="2"/>
      <c r="K2838" s="2"/>
      <c r="L2838" s="8"/>
      <c r="M2838" s="2"/>
      <c r="N2838" s="8" t="s">
        <v>3488</v>
      </c>
      <c r="O2838" s="8" t="str">
        <f t="shared" si="263"/>
        <v>PDFを開く</v>
      </c>
      <c r="P2838" s="8" t="s">
        <v>2251</v>
      </c>
    </row>
    <row r="2839" spans="1:16" ht="33.950000000000003" customHeight="1">
      <c r="A2839" s="5" t="s">
        <v>2245</v>
      </c>
      <c r="B2839" s="5" t="s">
        <v>1595</v>
      </c>
      <c r="C2839" s="9" t="s">
        <v>2246</v>
      </c>
      <c r="D2839" s="5">
        <v>2</v>
      </c>
      <c r="E2839" s="9" t="s">
        <v>3191</v>
      </c>
      <c r="F2839" s="5" t="s">
        <v>2513</v>
      </c>
      <c r="G2839" s="5" t="s">
        <v>3177</v>
      </c>
      <c r="H2839" s="5" t="s">
        <v>3178</v>
      </c>
      <c r="I2839" s="9" t="s">
        <v>3179</v>
      </c>
      <c r="J2839" s="5">
        <v>2026</v>
      </c>
      <c r="K2839" s="5">
        <v>108</v>
      </c>
      <c r="L2839" s="9" t="s">
        <v>5518</v>
      </c>
      <c r="M2839" s="5"/>
      <c r="N2839" s="9" t="s">
        <v>6115</v>
      </c>
      <c r="O2839" s="9" t="str">
        <f t="shared" si="263"/>
        <v>PDFを開く</v>
      </c>
      <c r="P2839" s="9" t="s">
        <v>2251</v>
      </c>
    </row>
    <row r="2840" spans="1:16" ht="33.950000000000003" customHeight="1">
      <c r="A2840" s="2" t="s">
        <v>2245</v>
      </c>
      <c r="B2840" s="2" t="s">
        <v>1595</v>
      </c>
      <c r="C2840" s="8" t="s">
        <v>2246</v>
      </c>
      <c r="D2840" s="2">
        <v>2</v>
      </c>
      <c r="E2840" s="8" t="s">
        <v>3191</v>
      </c>
      <c r="F2840" s="2" t="s">
        <v>2513</v>
      </c>
      <c r="G2840" s="2" t="s">
        <v>3177</v>
      </c>
      <c r="H2840" s="2" t="s">
        <v>3178</v>
      </c>
      <c r="I2840" s="8" t="s">
        <v>3182</v>
      </c>
      <c r="J2840" s="2">
        <v>2029</v>
      </c>
      <c r="K2840" s="2">
        <v>131</v>
      </c>
      <c r="L2840" s="8" t="s">
        <v>6116</v>
      </c>
      <c r="M2840" s="2"/>
      <c r="N2840" s="8" t="s">
        <v>6115</v>
      </c>
      <c r="O2840" s="8" t="str">
        <f t="shared" si="263"/>
        <v>PDFを開く</v>
      </c>
      <c r="P2840" s="8" t="s">
        <v>2251</v>
      </c>
    </row>
    <row r="2841" spans="1:16" ht="33.950000000000003" customHeight="1">
      <c r="A2841" s="5" t="s">
        <v>2252</v>
      </c>
      <c r="B2841" s="5" t="s">
        <v>1595</v>
      </c>
      <c r="C2841" s="9" t="s">
        <v>2253</v>
      </c>
      <c r="D2841" s="5">
        <v>2</v>
      </c>
      <c r="E2841" s="9" t="s">
        <v>3176</v>
      </c>
      <c r="F2841" s="5" t="s">
        <v>86</v>
      </c>
      <c r="G2841" s="5" t="s">
        <v>3177</v>
      </c>
      <c r="H2841" s="5" t="s">
        <v>3178</v>
      </c>
      <c r="I2841" s="9" t="s">
        <v>3179</v>
      </c>
      <c r="J2841" s="5">
        <v>2026</v>
      </c>
      <c r="K2841" s="5">
        <v>560</v>
      </c>
      <c r="L2841" s="9" t="s">
        <v>3637</v>
      </c>
      <c r="M2841" s="5">
        <v>23.5</v>
      </c>
      <c r="N2841" s="9" t="s">
        <v>6117</v>
      </c>
      <c r="O2841" s="9" t="str">
        <f t="shared" ref="O2841:O2849" si="264">HYPERLINK("https://seichotoushi-hojo.jp/assets/pdf/koufu_3_4ji/outline_79.pdf","PDFを開く")</f>
        <v>PDFを開く</v>
      </c>
      <c r="P2841" s="9" t="s">
        <v>2258</v>
      </c>
    </row>
    <row r="2842" spans="1:16" ht="33.950000000000003" customHeight="1">
      <c r="A2842" s="2" t="s">
        <v>2252</v>
      </c>
      <c r="B2842" s="2" t="s">
        <v>1595</v>
      </c>
      <c r="C2842" s="8" t="s">
        <v>2253</v>
      </c>
      <c r="D2842" s="2">
        <v>2</v>
      </c>
      <c r="E2842" s="8" t="s">
        <v>3176</v>
      </c>
      <c r="F2842" s="2" t="s">
        <v>86</v>
      </c>
      <c r="G2842" s="2" t="s">
        <v>3177</v>
      </c>
      <c r="H2842" s="2" t="s">
        <v>3178</v>
      </c>
      <c r="I2842" s="8" t="s">
        <v>3182</v>
      </c>
      <c r="J2842" s="2">
        <v>2029</v>
      </c>
      <c r="K2842" s="2">
        <v>1055</v>
      </c>
      <c r="L2842" s="8" t="s">
        <v>6118</v>
      </c>
      <c r="M2842" s="2">
        <v>23.5</v>
      </c>
      <c r="N2842" s="8" t="s">
        <v>6117</v>
      </c>
      <c r="O2842" s="8" t="str">
        <f t="shared" si="264"/>
        <v>PDFを開く</v>
      </c>
      <c r="P2842" s="8" t="s">
        <v>2258</v>
      </c>
    </row>
    <row r="2843" spans="1:16" ht="33.950000000000003" customHeight="1">
      <c r="A2843" s="5" t="s">
        <v>2252</v>
      </c>
      <c r="B2843" s="5" t="s">
        <v>1595</v>
      </c>
      <c r="C2843" s="9" t="s">
        <v>2253</v>
      </c>
      <c r="D2843" s="5">
        <v>2</v>
      </c>
      <c r="E2843" s="9" t="s">
        <v>3184</v>
      </c>
      <c r="F2843" s="5" t="s">
        <v>86</v>
      </c>
      <c r="G2843" s="5" t="s">
        <v>3177</v>
      </c>
      <c r="H2843" s="5" t="s">
        <v>3178</v>
      </c>
      <c r="I2843" s="9" t="s">
        <v>3179</v>
      </c>
      <c r="J2843" s="5">
        <v>2026</v>
      </c>
      <c r="K2843" s="5">
        <v>379</v>
      </c>
      <c r="L2843" s="9" t="s">
        <v>4030</v>
      </c>
      <c r="M2843" s="5">
        <v>8</v>
      </c>
      <c r="N2843" s="9" t="s">
        <v>6119</v>
      </c>
      <c r="O2843" s="9" t="str">
        <f t="shared" si="264"/>
        <v>PDFを開く</v>
      </c>
      <c r="P2843" s="9" t="s">
        <v>2258</v>
      </c>
    </row>
    <row r="2844" spans="1:16" ht="33.950000000000003" customHeight="1">
      <c r="A2844" s="2" t="s">
        <v>2252</v>
      </c>
      <c r="B2844" s="2" t="s">
        <v>1595</v>
      </c>
      <c r="C2844" s="8" t="s">
        <v>2253</v>
      </c>
      <c r="D2844" s="2">
        <v>2</v>
      </c>
      <c r="E2844" s="8" t="s">
        <v>3184</v>
      </c>
      <c r="F2844" s="2" t="s">
        <v>86</v>
      </c>
      <c r="G2844" s="2" t="s">
        <v>3177</v>
      </c>
      <c r="H2844" s="2" t="s">
        <v>3178</v>
      </c>
      <c r="I2844" s="8" t="s">
        <v>3182</v>
      </c>
      <c r="J2844" s="2">
        <v>2029</v>
      </c>
      <c r="K2844" s="2">
        <v>478</v>
      </c>
      <c r="L2844" s="8" t="s">
        <v>4755</v>
      </c>
      <c r="M2844" s="2">
        <v>8</v>
      </c>
      <c r="N2844" s="8" t="s">
        <v>6119</v>
      </c>
      <c r="O2844" s="8" t="str">
        <f t="shared" si="264"/>
        <v>PDFを開く</v>
      </c>
      <c r="P2844" s="8" t="s">
        <v>2258</v>
      </c>
    </row>
    <row r="2845" spans="1:16" ht="33.950000000000003" customHeight="1">
      <c r="A2845" s="5" t="s">
        <v>2252</v>
      </c>
      <c r="B2845" s="5" t="s">
        <v>1595</v>
      </c>
      <c r="C2845" s="9" t="s">
        <v>2253</v>
      </c>
      <c r="D2845" s="5">
        <v>2</v>
      </c>
      <c r="E2845" s="9" t="s">
        <v>3188</v>
      </c>
      <c r="F2845" s="5" t="s">
        <v>86</v>
      </c>
      <c r="G2845" s="19" t="s">
        <v>3189</v>
      </c>
      <c r="H2845" s="5" t="s">
        <v>3178</v>
      </c>
      <c r="I2845" s="9"/>
      <c r="J2845" s="5"/>
      <c r="K2845" s="5"/>
      <c r="L2845" s="9"/>
      <c r="M2845" s="5">
        <v>8</v>
      </c>
      <c r="N2845" s="9" t="s">
        <v>6120</v>
      </c>
      <c r="O2845" s="9" t="str">
        <f t="shared" si="264"/>
        <v>PDFを開く</v>
      </c>
      <c r="P2845" s="9" t="s">
        <v>2258</v>
      </c>
    </row>
    <row r="2846" spans="1:16" ht="33.950000000000003" customHeight="1">
      <c r="A2846" s="2" t="s">
        <v>2252</v>
      </c>
      <c r="B2846" s="2" t="s">
        <v>1595</v>
      </c>
      <c r="C2846" s="8" t="s">
        <v>2253</v>
      </c>
      <c r="D2846" s="2">
        <v>2</v>
      </c>
      <c r="E2846" s="8" t="s">
        <v>3191</v>
      </c>
      <c r="F2846" s="2" t="s">
        <v>2513</v>
      </c>
      <c r="G2846" s="2" t="s">
        <v>3177</v>
      </c>
      <c r="H2846" s="2" t="s">
        <v>3178</v>
      </c>
      <c r="I2846" s="8" t="s">
        <v>3179</v>
      </c>
      <c r="J2846" s="2">
        <v>2026</v>
      </c>
      <c r="K2846" s="2">
        <v>563</v>
      </c>
      <c r="L2846" s="8" t="s">
        <v>3553</v>
      </c>
      <c r="M2846" s="2"/>
      <c r="N2846" s="8" t="s">
        <v>6121</v>
      </c>
      <c r="O2846" s="8" t="str">
        <f t="shared" si="264"/>
        <v>PDFを開く</v>
      </c>
      <c r="P2846" s="8" t="s">
        <v>2258</v>
      </c>
    </row>
    <row r="2847" spans="1:16" ht="33.950000000000003" customHeight="1">
      <c r="A2847" s="5" t="s">
        <v>2252</v>
      </c>
      <c r="B2847" s="5" t="s">
        <v>1595</v>
      </c>
      <c r="C2847" s="9" t="s">
        <v>2253</v>
      </c>
      <c r="D2847" s="5">
        <v>2</v>
      </c>
      <c r="E2847" s="9" t="s">
        <v>3191</v>
      </c>
      <c r="F2847" s="5" t="s">
        <v>2513</v>
      </c>
      <c r="G2847" s="5" t="s">
        <v>3177</v>
      </c>
      <c r="H2847" s="5" t="s">
        <v>3178</v>
      </c>
      <c r="I2847" s="9" t="s">
        <v>3182</v>
      </c>
      <c r="J2847" s="5">
        <v>2029</v>
      </c>
      <c r="K2847" s="5">
        <v>610</v>
      </c>
      <c r="L2847" s="9" t="s">
        <v>4348</v>
      </c>
      <c r="M2847" s="5"/>
      <c r="N2847" s="9" t="s">
        <v>6121</v>
      </c>
      <c r="O2847" s="9" t="str">
        <f t="shared" si="264"/>
        <v>PDFを開く</v>
      </c>
      <c r="P2847" s="9" t="s">
        <v>2258</v>
      </c>
    </row>
    <row r="2848" spans="1:16" ht="33.950000000000003" customHeight="1">
      <c r="A2848" s="2" t="s">
        <v>2252</v>
      </c>
      <c r="B2848" s="2" t="s">
        <v>1595</v>
      </c>
      <c r="C2848" s="8" t="s">
        <v>2253</v>
      </c>
      <c r="D2848" s="2">
        <v>2</v>
      </c>
      <c r="E2848" s="8" t="s">
        <v>3188</v>
      </c>
      <c r="F2848" s="2" t="s">
        <v>86</v>
      </c>
      <c r="G2848" s="2" t="s">
        <v>3177</v>
      </c>
      <c r="H2848" s="2"/>
      <c r="I2848" s="8" t="s">
        <v>6122</v>
      </c>
      <c r="J2848" s="2">
        <v>2026</v>
      </c>
      <c r="K2848" s="2"/>
      <c r="L2848" s="8" t="s">
        <v>3211</v>
      </c>
      <c r="M2848" s="2">
        <v>8</v>
      </c>
      <c r="N2848" s="8" t="s">
        <v>6123</v>
      </c>
      <c r="O2848" s="8" t="str">
        <f t="shared" si="264"/>
        <v>PDFを開く</v>
      </c>
      <c r="P2848" s="8" t="s">
        <v>2258</v>
      </c>
    </row>
    <row r="2849" spans="1:16" ht="33.950000000000003" customHeight="1">
      <c r="A2849" s="5" t="s">
        <v>2252</v>
      </c>
      <c r="B2849" s="5" t="s">
        <v>1595</v>
      </c>
      <c r="C2849" s="9" t="s">
        <v>2253</v>
      </c>
      <c r="D2849" s="5">
        <v>2</v>
      </c>
      <c r="E2849" s="9" t="s">
        <v>3188</v>
      </c>
      <c r="F2849" s="5" t="s">
        <v>86</v>
      </c>
      <c r="G2849" s="5" t="s">
        <v>3177</v>
      </c>
      <c r="H2849" s="5"/>
      <c r="I2849" s="9" t="s">
        <v>6124</v>
      </c>
      <c r="J2849" s="5">
        <v>2029</v>
      </c>
      <c r="K2849" s="5"/>
      <c r="L2849" s="9" t="s">
        <v>6125</v>
      </c>
      <c r="M2849" s="5">
        <v>8</v>
      </c>
      <c r="N2849" s="9" t="s">
        <v>6123</v>
      </c>
      <c r="O2849" s="9" t="str">
        <f t="shared" si="264"/>
        <v>PDFを開く</v>
      </c>
      <c r="P2849" s="9" t="s">
        <v>2258</v>
      </c>
    </row>
    <row r="2850" spans="1:16" ht="33.950000000000003" customHeight="1">
      <c r="A2850" s="2" t="s">
        <v>2259</v>
      </c>
      <c r="B2850" s="2" t="s">
        <v>1595</v>
      </c>
      <c r="C2850" s="8" t="s">
        <v>2260</v>
      </c>
      <c r="D2850" s="2">
        <v>2</v>
      </c>
      <c r="E2850" s="8" t="s">
        <v>3176</v>
      </c>
      <c r="F2850" s="2" t="s">
        <v>86</v>
      </c>
      <c r="G2850" s="2" t="s">
        <v>3177</v>
      </c>
      <c r="H2850" s="2" t="s">
        <v>3178</v>
      </c>
      <c r="I2850" s="8" t="s">
        <v>3259</v>
      </c>
      <c r="J2850" s="2">
        <v>2027</v>
      </c>
      <c r="K2850" s="2">
        <v>1655</v>
      </c>
      <c r="L2850" s="8" t="s">
        <v>6126</v>
      </c>
      <c r="M2850" s="2">
        <v>25.3</v>
      </c>
      <c r="N2850" s="8" t="s">
        <v>6127</v>
      </c>
      <c r="O2850" s="8" t="str">
        <f t="shared" ref="O2850:O2856" si="265">HYPERLINK("https://seichotoushi-hojo.jp/assets/pdf/koufu_3_4ji/outline_8.pdf","PDFを開く")</f>
        <v>PDFを開く</v>
      </c>
      <c r="P2850" s="8" t="s">
        <v>2265</v>
      </c>
    </row>
    <row r="2851" spans="1:16" ht="33.950000000000003" customHeight="1">
      <c r="A2851" s="5" t="s">
        <v>2259</v>
      </c>
      <c r="B2851" s="5" t="s">
        <v>1595</v>
      </c>
      <c r="C2851" s="9" t="s">
        <v>2260</v>
      </c>
      <c r="D2851" s="5">
        <v>2</v>
      </c>
      <c r="E2851" s="9" t="s">
        <v>3176</v>
      </c>
      <c r="F2851" s="5" t="s">
        <v>86</v>
      </c>
      <c r="G2851" s="5" t="s">
        <v>3177</v>
      </c>
      <c r="H2851" s="5" t="s">
        <v>3178</v>
      </c>
      <c r="I2851" s="9" t="s">
        <v>3262</v>
      </c>
      <c r="J2851" s="5">
        <v>2030</v>
      </c>
      <c r="K2851" s="5">
        <v>3256</v>
      </c>
      <c r="L2851" s="9" t="s">
        <v>6128</v>
      </c>
      <c r="M2851" s="5">
        <v>25.3</v>
      </c>
      <c r="N2851" s="9" t="s">
        <v>6127</v>
      </c>
      <c r="O2851" s="9" t="str">
        <f t="shared" si="265"/>
        <v>PDFを開く</v>
      </c>
      <c r="P2851" s="9" t="s">
        <v>2265</v>
      </c>
    </row>
    <row r="2852" spans="1:16" ht="33.950000000000003" customHeight="1">
      <c r="A2852" s="2" t="s">
        <v>2259</v>
      </c>
      <c r="B2852" s="2" t="s">
        <v>1595</v>
      </c>
      <c r="C2852" s="8" t="s">
        <v>2260</v>
      </c>
      <c r="D2852" s="2">
        <v>2</v>
      </c>
      <c r="E2852" s="8" t="s">
        <v>3184</v>
      </c>
      <c r="F2852" s="2" t="s">
        <v>86</v>
      </c>
      <c r="G2852" s="2" t="s">
        <v>3177</v>
      </c>
      <c r="H2852" s="2" t="s">
        <v>3178</v>
      </c>
      <c r="I2852" s="8" t="s">
        <v>3259</v>
      </c>
      <c r="J2852" s="2">
        <v>2027</v>
      </c>
      <c r="K2852" s="2">
        <v>760</v>
      </c>
      <c r="L2852" s="8" t="s">
        <v>6129</v>
      </c>
      <c r="M2852" s="2">
        <v>8</v>
      </c>
      <c r="N2852" s="8" t="s">
        <v>6130</v>
      </c>
      <c r="O2852" s="8" t="str">
        <f t="shared" si="265"/>
        <v>PDFを開く</v>
      </c>
      <c r="P2852" s="8" t="s">
        <v>2265</v>
      </c>
    </row>
    <row r="2853" spans="1:16" ht="33.950000000000003" customHeight="1">
      <c r="A2853" s="5" t="s">
        <v>2259</v>
      </c>
      <c r="B2853" s="5" t="s">
        <v>1595</v>
      </c>
      <c r="C2853" s="9" t="s">
        <v>2260</v>
      </c>
      <c r="D2853" s="5">
        <v>2</v>
      </c>
      <c r="E2853" s="9" t="s">
        <v>3184</v>
      </c>
      <c r="F2853" s="5" t="s">
        <v>86</v>
      </c>
      <c r="G2853" s="5" t="s">
        <v>3177</v>
      </c>
      <c r="H2853" s="5" t="s">
        <v>3178</v>
      </c>
      <c r="I2853" s="9" t="s">
        <v>3262</v>
      </c>
      <c r="J2853" s="5">
        <v>2030</v>
      </c>
      <c r="K2853" s="5">
        <v>957</v>
      </c>
      <c r="L2853" s="9" t="s">
        <v>6131</v>
      </c>
      <c r="M2853" s="5">
        <v>8</v>
      </c>
      <c r="N2853" s="9" t="s">
        <v>6130</v>
      </c>
      <c r="O2853" s="9" t="str">
        <f t="shared" si="265"/>
        <v>PDFを開く</v>
      </c>
      <c r="P2853" s="9" t="s">
        <v>2265</v>
      </c>
    </row>
    <row r="2854" spans="1:16" ht="33.950000000000003" customHeight="1">
      <c r="A2854" s="2" t="s">
        <v>2259</v>
      </c>
      <c r="B2854" s="2" t="s">
        <v>1595</v>
      </c>
      <c r="C2854" s="8" t="s">
        <v>2260</v>
      </c>
      <c r="D2854" s="2">
        <v>2</v>
      </c>
      <c r="E2854" s="8" t="s">
        <v>3188</v>
      </c>
      <c r="F2854" s="2" t="s">
        <v>86</v>
      </c>
      <c r="G2854" s="19" t="s">
        <v>3189</v>
      </c>
      <c r="H2854" s="2" t="s">
        <v>3178</v>
      </c>
      <c r="I2854" s="8"/>
      <c r="J2854" s="2"/>
      <c r="K2854" s="2"/>
      <c r="L2854" s="8"/>
      <c r="M2854" s="2">
        <v>6</v>
      </c>
      <c r="N2854" s="8" t="s">
        <v>3930</v>
      </c>
      <c r="O2854" s="8" t="str">
        <f t="shared" si="265"/>
        <v>PDFを開く</v>
      </c>
      <c r="P2854" s="8" t="s">
        <v>2265</v>
      </c>
    </row>
    <row r="2855" spans="1:16" ht="33.950000000000003" customHeight="1">
      <c r="A2855" s="5" t="s">
        <v>2259</v>
      </c>
      <c r="B2855" s="5" t="s">
        <v>1595</v>
      </c>
      <c r="C2855" s="9" t="s">
        <v>2260</v>
      </c>
      <c r="D2855" s="5">
        <v>2</v>
      </c>
      <c r="E2855" s="9" t="s">
        <v>3191</v>
      </c>
      <c r="F2855" s="5" t="s">
        <v>2513</v>
      </c>
      <c r="G2855" s="5" t="s">
        <v>3177</v>
      </c>
      <c r="H2855" s="5" t="s">
        <v>3178</v>
      </c>
      <c r="I2855" s="9" t="s">
        <v>3259</v>
      </c>
      <c r="J2855" s="5">
        <v>2027</v>
      </c>
      <c r="K2855" s="5">
        <v>324</v>
      </c>
      <c r="L2855" s="9" t="s">
        <v>3530</v>
      </c>
      <c r="M2855" s="5"/>
      <c r="N2855" s="9" t="s">
        <v>6132</v>
      </c>
      <c r="O2855" s="9" t="str">
        <f t="shared" si="265"/>
        <v>PDFを開く</v>
      </c>
      <c r="P2855" s="9" t="s">
        <v>2265</v>
      </c>
    </row>
    <row r="2856" spans="1:16" ht="33.950000000000003" customHeight="1">
      <c r="A2856" s="2" t="s">
        <v>2259</v>
      </c>
      <c r="B2856" s="2" t="s">
        <v>1595</v>
      </c>
      <c r="C2856" s="8" t="s">
        <v>2260</v>
      </c>
      <c r="D2856" s="2">
        <v>2</v>
      </c>
      <c r="E2856" s="8" t="s">
        <v>3191</v>
      </c>
      <c r="F2856" s="2" t="s">
        <v>2513</v>
      </c>
      <c r="G2856" s="2" t="s">
        <v>3177</v>
      </c>
      <c r="H2856" s="2" t="s">
        <v>3178</v>
      </c>
      <c r="I2856" s="8" t="s">
        <v>3262</v>
      </c>
      <c r="J2856" s="2">
        <v>2030</v>
      </c>
      <c r="K2856" s="2">
        <v>350</v>
      </c>
      <c r="L2856" s="8" t="s">
        <v>5224</v>
      </c>
      <c r="M2856" s="2"/>
      <c r="N2856" s="8" t="s">
        <v>6132</v>
      </c>
      <c r="O2856" s="8" t="str">
        <f t="shared" si="265"/>
        <v>PDFを開く</v>
      </c>
      <c r="P2856" s="8" t="s">
        <v>2265</v>
      </c>
    </row>
    <row r="2857" spans="1:16" ht="33.950000000000003" customHeight="1">
      <c r="A2857" s="5" t="s">
        <v>2266</v>
      </c>
      <c r="B2857" s="5" t="s">
        <v>1595</v>
      </c>
      <c r="C2857" s="9" t="s">
        <v>2267</v>
      </c>
      <c r="D2857" s="5">
        <v>2</v>
      </c>
      <c r="E2857" s="9" t="s">
        <v>3176</v>
      </c>
      <c r="F2857" s="5" t="s">
        <v>86</v>
      </c>
      <c r="G2857" s="5" t="s">
        <v>3177</v>
      </c>
      <c r="H2857" s="5" t="s">
        <v>3178</v>
      </c>
      <c r="I2857" s="9" t="s">
        <v>3179</v>
      </c>
      <c r="J2857" s="5">
        <v>2026</v>
      </c>
      <c r="K2857" s="5">
        <v>1408</v>
      </c>
      <c r="L2857" s="9" t="s">
        <v>6133</v>
      </c>
      <c r="M2857" s="5">
        <v>25.8</v>
      </c>
      <c r="N2857" s="9" t="s">
        <v>6134</v>
      </c>
      <c r="O2857" s="9" t="str">
        <f t="shared" ref="O2857:O2863" si="266">HYPERLINK("https://seichotoushi-hojo.jp/assets/pdf/koufu_3_4ji/outline_80.pdf","PDFを開く")</f>
        <v>PDFを開く</v>
      </c>
      <c r="P2857" s="9" t="s">
        <v>2273</v>
      </c>
    </row>
    <row r="2858" spans="1:16" ht="33.950000000000003" customHeight="1">
      <c r="A2858" s="2" t="s">
        <v>2266</v>
      </c>
      <c r="B2858" s="2" t="s">
        <v>1595</v>
      </c>
      <c r="C2858" s="8" t="s">
        <v>2267</v>
      </c>
      <c r="D2858" s="2">
        <v>2</v>
      </c>
      <c r="E2858" s="8" t="s">
        <v>3176</v>
      </c>
      <c r="F2858" s="2" t="s">
        <v>86</v>
      </c>
      <c r="G2858" s="2" t="s">
        <v>3177</v>
      </c>
      <c r="H2858" s="2" t="s">
        <v>3178</v>
      </c>
      <c r="I2858" s="8" t="s">
        <v>3182</v>
      </c>
      <c r="J2858" s="2">
        <v>2029</v>
      </c>
      <c r="K2858" s="2">
        <v>2803</v>
      </c>
      <c r="L2858" s="8" t="s">
        <v>6135</v>
      </c>
      <c r="M2858" s="2">
        <v>25.8</v>
      </c>
      <c r="N2858" s="8" t="s">
        <v>6134</v>
      </c>
      <c r="O2858" s="8" t="str">
        <f t="shared" si="266"/>
        <v>PDFを開く</v>
      </c>
      <c r="P2858" s="8" t="s">
        <v>2273</v>
      </c>
    </row>
    <row r="2859" spans="1:16" ht="33.950000000000003" customHeight="1">
      <c r="A2859" s="5" t="s">
        <v>2266</v>
      </c>
      <c r="B2859" s="5" t="s">
        <v>1595</v>
      </c>
      <c r="C2859" s="9" t="s">
        <v>2267</v>
      </c>
      <c r="D2859" s="5">
        <v>2</v>
      </c>
      <c r="E2859" s="9" t="s">
        <v>3184</v>
      </c>
      <c r="F2859" s="5" t="s">
        <v>86</v>
      </c>
      <c r="G2859" s="5" t="s">
        <v>3177</v>
      </c>
      <c r="H2859" s="5" t="s">
        <v>3178</v>
      </c>
      <c r="I2859" s="9" t="s">
        <v>3179</v>
      </c>
      <c r="J2859" s="5">
        <v>2026</v>
      </c>
      <c r="K2859" s="5">
        <v>465</v>
      </c>
      <c r="L2859" s="9" t="s">
        <v>4671</v>
      </c>
      <c r="M2859" s="5">
        <v>7</v>
      </c>
      <c r="N2859" s="9" t="s">
        <v>6136</v>
      </c>
      <c r="O2859" s="9" t="str">
        <f t="shared" si="266"/>
        <v>PDFを開く</v>
      </c>
      <c r="P2859" s="9" t="s">
        <v>2273</v>
      </c>
    </row>
    <row r="2860" spans="1:16" ht="33.950000000000003" customHeight="1">
      <c r="A2860" s="2" t="s">
        <v>2266</v>
      </c>
      <c r="B2860" s="2" t="s">
        <v>1595</v>
      </c>
      <c r="C2860" s="8" t="s">
        <v>2267</v>
      </c>
      <c r="D2860" s="2">
        <v>2</v>
      </c>
      <c r="E2860" s="8" t="s">
        <v>3184</v>
      </c>
      <c r="F2860" s="2" t="s">
        <v>86</v>
      </c>
      <c r="G2860" s="2" t="s">
        <v>3177</v>
      </c>
      <c r="H2860" s="2" t="s">
        <v>3178</v>
      </c>
      <c r="I2860" s="8" t="s">
        <v>3182</v>
      </c>
      <c r="J2860" s="2">
        <v>2029</v>
      </c>
      <c r="K2860" s="2">
        <v>570</v>
      </c>
      <c r="L2860" s="8" t="s">
        <v>4778</v>
      </c>
      <c r="M2860" s="2">
        <v>7</v>
      </c>
      <c r="N2860" s="8" t="s">
        <v>6136</v>
      </c>
      <c r="O2860" s="8" t="str">
        <f t="shared" si="266"/>
        <v>PDFを開く</v>
      </c>
      <c r="P2860" s="8" t="s">
        <v>2273</v>
      </c>
    </row>
    <row r="2861" spans="1:16" ht="33.950000000000003" customHeight="1">
      <c r="A2861" s="5" t="s">
        <v>2266</v>
      </c>
      <c r="B2861" s="5" t="s">
        <v>1595</v>
      </c>
      <c r="C2861" s="9" t="s">
        <v>2267</v>
      </c>
      <c r="D2861" s="5">
        <v>2</v>
      </c>
      <c r="E2861" s="9" t="s">
        <v>3188</v>
      </c>
      <c r="F2861" s="5" t="s">
        <v>86</v>
      </c>
      <c r="G2861" s="19" t="s">
        <v>3189</v>
      </c>
      <c r="H2861" s="5" t="s">
        <v>3178</v>
      </c>
      <c r="I2861" s="9"/>
      <c r="J2861" s="5"/>
      <c r="K2861" s="5"/>
      <c r="L2861" s="9"/>
      <c r="M2861" s="5">
        <v>5</v>
      </c>
      <c r="N2861" s="9" t="s">
        <v>3377</v>
      </c>
      <c r="O2861" s="9" t="str">
        <f t="shared" si="266"/>
        <v>PDFを開く</v>
      </c>
      <c r="P2861" s="9" t="s">
        <v>2273</v>
      </c>
    </row>
    <row r="2862" spans="1:16" ht="33.950000000000003" customHeight="1">
      <c r="A2862" s="2" t="s">
        <v>2266</v>
      </c>
      <c r="B2862" s="2" t="s">
        <v>1595</v>
      </c>
      <c r="C2862" s="8" t="s">
        <v>2267</v>
      </c>
      <c r="D2862" s="2">
        <v>2</v>
      </c>
      <c r="E2862" s="8" t="s">
        <v>3191</v>
      </c>
      <c r="F2862" s="2" t="s">
        <v>2513</v>
      </c>
      <c r="G2862" s="2" t="s">
        <v>3177</v>
      </c>
      <c r="H2862" s="2" t="s">
        <v>3178</v>
      </c>
      <c r="I2862" s="8" t="s">
        <v>3179</v>
      </c>
      <c r="J2862" s="2">
        <v>2026</v>
      </c>
      <c r="K2862" s="2">
        <v>110</v>
      </c>
      <c r="L2862" s="8" t="s">
        <v>3968</v>
      </c>
      <c r="M2862" s="2"/>
      <c r="N2862" s="8" t="s">
        <v>6137</v>
      </c>
      <c r="O2862" s="8" t="str">
        <f t="shared" si="266"/>
        <v>PDFを開く</v>
      </c>
      <c r="P2862" s="8" t="s">
        <v>2273</v>
      </c>
    </row>
    <row r="2863" spans="1:16" ht="33.950000000000003" customHeight="1">
      <c r="A2863" s="5" t="s">
        <v>2266</v>
      </c>
      <c r="B2863" s="5" t="s">
        <v>1595</v>
      </c>
      <c r="C2863" s="9" t="s">
        <v>2267</v>
      </c>
      <c r="D2863" s="5">
        <v>2</v>
      </c>
      <c r="E2863" s="9" t="s">
        <v>3191</v>
      </c>
      <c r="F2863" s="5" t="s">
        <v>2513</v>
      </c>
      <c r="G2863" s="5" t="s">
        <v>3177</v>
      </c>
      <c r="H2863" s="5" t="s">
        <v>3178</v>
      </c>
      <c r="I2863" s="9" t="s">
        <v>3182</v>
      </c>
      <c r="J2863" s="5">
        <v>2029</v>
      </c>
      <c r="K2863" s="5">
        <v>150</v>
      </c>
      <c r="L2863" s="9" t="s">
        <v>4088</v>
      </c>
      <c r="M2863" s="5"/>
      <c r="N2863" s="9" t="s">
        <v>6137</v>
      </c>
      <c r="O2863" s="9" t="str">
        <f t="shared" si="266"/>
        <v>PDFを開く</v>
      </c>
      <c r="P2863" s="9" t="s">
        <v>2273</v>
      </c>
    </row>
    <row r="2864" spans="1:16" ht="33.950000000000003" customHeight="1">
      <c r="A2864" s="2" t="s">
        <v>2274</v>
      </c>
      <c r="B2864" s="2" t="s">
        <v>1595</v>
      </c>
      <c r="C2864" s="8" t="s">
        <v>2275</v>
      </c>
      <c r="D2864" s="2">
        <v>2</v>
      </c>
      <c r="E2864" s="8" t="s">
        <v>3176</v>
      </c>
      <c r="F2864" s="2" t="s">
        <v>86</v>
      </c>
      <c r="G2864" s="2" t="s">
        <v>3177</v>
      </c>
      <c r="H2864" s="2" t="s">
        <v>3178</v>
      </c>
      <c r="I2864" s="8" t="s">
        <v>3259</v>
      </c>
      <c r="J2864" s="2">
        <v>2027</v>
      </c>
      <c r="K2864" s="2">
        <v>1617</v>
      </c>
      <c r="L2864" s="8" t="s">
        <v>6138</v>
      </c>
      <c r="M2864" s="2">
        <v>6.8</v>
      </c>
      <c r="N2864" s="8" t="s">
        <v>6139</v>
      </c>
      <c r="O2864" s="8" t="str">
        <f t="shared" ref="O2864:O2870" si="267">HYPERLINK("https://seichotoushi-hojo.jp/assets/pdf/koufu_3_4ji/outline_81.pdf","PDFを開く")</f>
        <v>PDFを開く</v>
      </c>
      <c r="P2864" s="8" t="s">
        <v>2282</v>
      </c>
    </row>
    <row r="2865" spans="1:16" ht="33.950000000000003" customHeight="1">
      <c r="A2865" s="5" t="s">
        <v>2274</v>
      </c>
      <c r="B2865" s="5" t="s">
        <v>1595</v>
      </c>
      <c r="C2865" s="9" t="s">
        <v>2275</v>
      </c>
      <c r="D2865" s="5">
        <v>2</v>
      </c>
      <c r="E2865" s="9" t="s">
        <v>3176</v>
      </c>
      <c r="F2865" s="5" t="s">
        <v>86</v>
      </c>
      <c r="G2865" s="5" t="s">
        <v>3177</v>
      </c>
      <c r="H2865" s="5" t="s">
        <v>3178</v>
      </c>
      <c r="I2865" s="9" t="s">
        <v>3262</v>
      </c>
      <c r="J2865" s="5">
        <v>2030</v>
      </c>
      <c r="K2865" s="5">
        <v>1969</v>
      </c>
      <c r="L2865" s="9" t="s">
        <v>6140</v>
      </c>
      <c r="M2865" s="5">
        <v>6.8</v>
      </c>
      <c r="N2865" s="9" t="s">
        <v>6139</v>
      </c>
      <c r="O2865" s="9" t="str">
        <f t="shared" si="267"/>
        <v>PDFを開く</v>
      </c>
      <c r="P2865" s="9" t="s">
        <v>2282</v>
      </c>
    </row>
    <row r="2866" spans="1:16" ht="33.950000000000003" customHeight="1">
      <c r="A2866" s="2" t="s">
        <v>2274</v>
      </c>
      <c r="B2866" s="2" t="s">
        <v>1595</v>
      </c>
      <c r="C2866" s="8" t="s">
        <v>2275</v>
      </c>
      <c r="D2866" s="2">
        <v>2</v>
      </c>
      <c r="E2866" s="8" t="s">
        <v>3184</v>
      </c>
      <c r="F2866" s="2" t="s">
        <v>86</v>
      </c>
      <c r="G2866" s="2" t="s">
        <v>3177</v>
      </c>
      <c r="H2866" s="2" t="s">
        <v>3178</v>
      </c>
      <c r="I2866" s="8" t="s">
        <v>3259</v>
      </c>
      <c r="J2866" s="2">
        <v>2027</v>
      </c>
      <c r="K2866" s="2">
        <v>510</v>
      </c>
      <c r="L2866" s="8" t="s">
        <v>4659</v>
      </c>
      <c r="M2866" s="2">
        <v>5.8</v>
      </c>
      <c r="N2866" s="8" t="s">
        <v>6141</v>
      </c>
      <c r="O2866" s="8" t="str">
        <f t="shared" si="267"/>
        <v>PDFを開く</v>
      </c>
      <c r="P2866" s="8" t="s">
        <v>2282</v>
      </c>
    </row>
    <row r="2867" spans="1:16" ht="33.950000000000003" customHeight="1">
      <c r="A2867" s="5" t="s">
        <v>2274</v>
      </c>
      <c r="B2867" s="5" t="s">
        <v>1595</v>
      </c>
      <c r="C2867" s="9" t="s">
        <v>2275</v>
      </c>
      <c r="D2867" s="5">
        <v>2</v>
      </c>
      <c r="E2867" s="9" t="s">
        <v>3184</v>
      </c>
      <c r="F2867" s="5" t="s">
        <v>86</v>
      </c>
      <c r="G2867" s="5" t="s">
        <v>3177</v>
      </c>
      <c r="H2867" s="5" t="s">
        <v>3178</v>
      </c>
      <c r="I2867" s="9" t="s">
        <v>3262</v>
      </c>
      <c r="J2867" s="5">
        <v>2030</v>
      </c>
      <c r="K2867" s="5">
        <v>604</v>
      </c>
      <c r="L2867" s="9" t="s">
        <v>5963</v>
      </c>
      <c r="M2867" s="5">
        <v>5.8</v>
      </c>
      <c r="N2867" s="9" t="s">
        <v>6141</v>
      </c>
      <c r="O2867" s="9" t="str">
        <f t="shared" si="267"/>
        <v>PDFを開く</v>
      </c>
      <c r="P2867" s="9" t="s">
        <v>2282</v>
      </c>
    </row>
    <row r="2868" spans="1:16" ht="33.950000000000003" customHeight="1">
      <c r="A2868" s="2" t="s">
        <v>2274</v>
      </c>
      <c r="B2868" s="2" t="s">
        <v>1595</v>
      </c>
      <c r="C2868" s="8" t="s">
        <v>2275</v>
      </c>
      <c r="D2868" s="2">
        <v>2</v>
      </c>
      <c r="E2868" s="8" t="s">
        <v>3188</v>
      </c>
      <c r="F2868" s="2" t="s">
        <v>86</v>
      </c>
      <c r="G2868" s="19" t="s">
        <v>3189</v>
      </c>
      <c r="H2868" s="2" t="s">
        <v>3178</v>
      </c>
      <c r="I2868" s="8"/>
      <c r="J2868" s="2"/>
      <c r="K2868" s="2"/>
      <c r="L2868" s="8"/>
      <c r="M2868" s="2"/>
      <c r="N2868" s="8" t="s">
        <v>3742</v>
      </c>
      <c r="O2868" s="8" t="str">
        <f t="shared" si="267"/>
        <v>PDFを開く</v>
      </c>
      <c r="P2868" s="8" t="s">
        <v>2282</v>
      </c>
    </row>
    <row r="2869" spans="1:16" ht="33.950000000000003" customHeight="1">
      <c r="A2869" s="5" t="s">
        <v>2274</v>
      </c>
      <c r="B2869" s="5" t="s">
        <v>1595</v>
      </c>
      <c r="C2869" s="9" t="s">
        <v>2275</v>
      </c>
      <c r="D2869" s="5">
        <v>2</v>
      </c>
      <c r="E2869" s="9" t="s">
        <v>3191</v>
      </c>
      <c r="F2869" s="5" t="s">
        <v>2513</v>
      </c>
      <c r="G2869" s="5" t="s">
        <v>3177</v>
      </c>
      <c r="H2869" s="5" t="s">
        <v>3178</v>
      </c>
      <c r="I2869" s="9" t="s">
        <v>3259</v>
      </c>
      <c r="J2869" s="5">
        <v>2027</v>
      </c>
      <c r="K2869" s="5">
        <v>640</v>
      </c>
      <c r="L2869" s="9" t="s">
        <v>3374</v>
      </c>
      <c r="M2869" s="5"/>
      <c r="N2869" s="9" t="s">
        <v>6142</v>
      </c>
      <c r="O2869" s="9" t="str">
        <f t="shared" si="267"/>
        <v>PDFを開く</v>
      </c>
      <c r="P2869" s="9" t="s">
        <v>2282</v>
      </c>
    </row>
    <row r="2870" spans="1:16" ht="33.950000000000003" customHeight="1">
      <c r="A2870" s="2" t="s">
        <v>2274</v>
      </c>
      <c r="B2870" s="2" t="s">
        <v>1595</v>
      </c>
      <c r="C2870" s="8" t="s">
        <v>2275</v>
      </c>
      <c r="D2870" s="2">
        <v>2</v>
      </c>
      <c r="E2870" s="8" t="s">
        <v>3191</v>
      </c>
      <c r="F2870" s="2" t="s">
        <v>2513</v>
      </c>
      <c r="G2870" s="2" t="s">
        <v>3177</v>
      </c>
      <c r="H2870" s="2" t="s">
        <v>3178</v>
      </c>
      <c r="I2870" s="8" t="s">
        <v>3262</v>
      </c>
      <c r="J2870" s="2">
        <v>2030</v>
      </c>
      <c r="K2870" s="2">
        <v>670</v>
      </c>
      <c r="L2870" s="8" t="s">
        <v>5153</v>
      </c>
      <c r="M2870" s="2"/>
      <c r="N2870" s="8" t="s">
        <v>6142</v>
      </c>
      <c r="O2870" s="8" t="str">
        <f t="shared" si="267"/>
        <v>PDFを開く</v>
      </c>
      <c r="P2870" s="8" t="s">
        <v>2282</v>
      </c>
    </row>
    <row r="2871" spans="1:16" ht="33.950000000000003" customHeight="1">
      <c r="A2871" s="5" t="s">
        <v>2283</v>
      </c>
      <c r="B2871" s="5" t="s">
        <v>1595</v>
      </c>
      <c r="C2871" s="9" t="s">
        <v>2284</v>
      </c>
      <c r="D2871" s="5">
        <v>2</v>
      </c>
      <c r="E2871" s="9" t="s">
        <v>3176</v>
      </c>
      <c r="F2871" s="5" t="s">
        <v>86</v>
      </c>
      <c r="G2871" s="5" t="s">
        <v>3177</v>
      </c>
      <c r="H2871" s="5"/>
      <c r="I2871" s="9" t="s">
        <v>5261</v>
      </c>
      <c r="J2871" s="5">
        <v>2030</v>
      </c>
      <c r="K2871" s="5">
        <v>4384</v>
      </c>
      <c r="L2871" s="9" t="s">
        <v>6143</v>
      </c>
      <c r="M2871" s="5">
        <v>30.8</v>
      </c>
      <c r="N2871" s="9" t="s">
        <v>6144</v>
      </c>
      <c r="O2871" s="9" t="str">
        <f t="shared" ref="O2871:O2877" si="268">HYPERLINK("https://seichotoushi-hojo.jp/assets/pdf/koufu_3_4ji/outline_82.pdf","PDFを開く")</f>
        <v>PDFを開く</v>
      </c>
      <c r="P2871" s="9" t="s">
        <v>2290</v>
      </c>
    </row>
    <row r="2872" spans="1:16" ht="33.950000000000003" customHeight="1">
      <c r="A2872" s="2" t="s">
        <v>2283</v>
      </c>
      <c r="B2872" s="2" t="s">
        <v>1595</v>
      </c>
      <c r="C2872" s="8" t="s">
        <v>2284</v>
      </c>
      <c r="D2872" s="2">
        <v>2</v>
      </c>
      <c r="E2872" s="8" t="s">
        <v>3176</v>
      </c>
      <c r="F2872" s="2" t="s">
        <v>86</v>
      </c>
      <c r="G2872" s="2" t="s">
        <v>3177</v>
      </c>
      <c r="H2872" s="2"/>
      <c r="I2872" s="8" t="s">
        <v>5265</v>
      </c>
      <c r="J2872" s="2">
        <v>2027</v>
      </c>
      <c r="K2872" s="2">
        <v>1957</v>
      </c>
      <c r="L2872" s="8" t="s">
        <v>5018</v>
      </c>
      <c r="M2872" s="2">
        <v>30.8</v>
      </c>
      <c r="N2872" s="8" t="s">
        <v>6144</v>
      </c>
      <c r="O2872" s="8" t="str">
        <f t="shared" si="268"/>
        <v>PDFを開く</v>
      </c>
      <c r="P2872" s="8" t="s">
        <v>2290</v>
      </c>
    </row>
    <row r="2873" spans="1:16" ht="33.950000000000003" customHeight="1">
      <c r="A2873" s="5" t="s">
        <v>2283</v>
      </c>
      <c r="B2873" s="5" t="s">
        <v>1595</v>
      </c>
      <c r="C2873" s="9" t="s">
        <v>2284</v>
      </c>
      <c r="D2873" s="5">
        <v>2</v>
      </c>
      <c r="E2873" s="9" t="s">
        <v>3184</v>
      </c>
      <c r="F2873" s="5" t="s">
        <v>86</v>
      </c>
      <c r="G2873" s="5" t="s">
        <v>3177</v>
      </c>
      <c r="H2873" s="5"/>
      <c r="I2873" s="9" t="s">
        <v>5261</v>
      </c>
      <c r="J2873" s="5">
        <v>2030</v>
      </c>
      <c r="K2873" s="5">
        <v>721</v>
      </c>
      <c r="L2873" s="9" t="s">
        <v>4477</v>
      </c>
      <c r="M2873" s="5">
        <v>7</v>
      </c>
      <c r="N2873" s="9" t="s">
        <v>6145</v>
      </c>
      <c r="O2873" s="9" t="str">
        <f t="shared" si="268"/>
        <v>PDFを開く</v>
      </c>
      <c r="P2873" s="9" t="s">
        <v>2290</v>
      </c>
    </row>
    <row r="2874" spans="1:16" ht="33.950000000000003" customHeight="1">
      <c r="A2874" s="2" t="s">
        <v>2283</v>
      </c>
      <c r="B2874" s="2" t="s">
        <v>1595</v>
      </c>
      <c r="C2874" s="8" t="s">
        <v>2284</v>
      </c>
      <c r="D2874" s="2">
        <v>2</v>
      </c>
      <c r="E2874" s="8" t="s">
        <v>3184</v>
      </c>
      <c r="F2874" s="2" t="s">
        <v>86</v>
      </c>
      <c r="G2874" s="2" t="s">
        <v>3177</v>
      </c>
      <c r="H2874" s="2"/>
      <c r="I2874" s="8" t="s">
        <v>5265</v>
      </c>
      <c r="J2874" s="2">
        <v>2027</v>
      </c>
      <c r="K2874" s="2">
        <v>588</v>
      </c>
      <c r="L2874" s="8" t="s">
        <v>3351</v>
      </c>
      <c r="M2874" s="2">
        <v>7</v>
      </c>
      <c r="N2874" s="8" t="s">
        <v>6145</v>
      </c>
      <c r="O2874" s="8" t="str">
        <f t="shared" si="268"/>
        <v>PDFを開く</v>
      </c>
      <c r="P2874" s="8" t="s">
        <v>2290</v>
      </c>
    </row>
    <row r="2875" spans="1:16" ht="33.950000000000003" customHeight="1">
      <c r="A2875" s="5" t="s">
        <v>2283</v>
      </c>
      <c r="B2875" s="5" t="s">
        <v>1595</v>
      </c>
      <c r="C2875" s="9" t="s">
        <v>2284</v>
      </c>
      <c r="D2875" s="5">
        <v>2</v>
      </c>
      <c r="E2875" s="9" t="s">
        <v>3188</v>
      </c>
      <c r="F2875" s="5" t="s">
        <v>86</v>
      </c>
      <c r="G2875" s="19" t="s">
        <v>3189</v>
      </c>
      <c r="H2875" s="5"/>
      <c r="I2875" s="9"/>
      <c r="J2875" s="5"/>
      <c r="K2875" s="5"/>
      <c r="L2875" s="9"/>
      <c r="M2875" s="5">
        <v>8.4</v>
      </c>
      <c r="N2875" s="9" t="s">
        <v>6146</v>
      </c>
      <c r="O2875" s="9" t="str">
        <f t="shared" si="268"/>
        <v>PDFを開く</v>
      </c>
      <c r="P2875" s="9" t="s">
        <v>2290</v>
      </c>
    </row>
    <row r="2876" spans="1:16" ht="33.950000000000003" customHeight="1">
      <c r="A2876" s="2" t="s">
        <v>2283</v>
      </c>
      <c r="B2876" s="2" t="s">
        <v>1595</v>
      </c>
      <c r="C2876" s="8" t="s">
        <v>2284</v>
      </c>
      <c r="D2876" s="2">
        <v>2</v>
      </c>
      <c r="E2876" s="8" t="s">
        <v>3191</v>
      </c>
      <c r="F2876" s="2" t="s">
        <v>2513</v>
      </c>
      <c r="G2876" s="2" t="s">
        <v>3177</v>
      </c>
      <c r="H2876" s="2"/>
      <c r="I2876" s="8" t="s">
        <v>5265</v>
      </c>
      <c r="J2876" s="2">
        <v>2027</v>
      </c>
      <c r="K2876" s="2">
        <v>318</v>
      </c>
      <c r="L2876" s="8" t="s">
        <v>5170</v>
      </c>
      <c r="M2876" s="2"/>
      <c r="N2876" s="8" t="s">
        <v>6147</v>
      </c>
      <c r="O2876" s="8" t="str">
        <f t="shared" si="268"/>
        <v>PDFを開く</v>
      </c>
      <c r="P2876" s="8" t="s">
        <v>2290</v>
      </c>
    </row>
    <row r="2877" spans="1:16" ht="33.950000000000003" customHeight="1">
      <c r="A2877" s="5" t="s">
        <v>2283</v>
      </c>
      <c r="B2877" s="5" t="s">
        <v>1595</v>
      </c>
      <c r="C2877" s="9" t="s">
        <v>2284</v>
      </c>
      <c r="D2877" s="5">
        <v>2</v>
      </c>
      <c r="E2877" s="9" t="s">
        <v>3191</v>
      </c>
      <c r="F2877" s="5" t="s">
        <v>2513</v>
      </c>
      <c r="G2877" s="5" t="s">
        <v>3177</v>
      </c>
      <c r="H2877" s="5"/>
      <c r="I2877" s="9" t="s">
        <v>5261</v>
      </c>
      <c r="J2877" s="5">
        <v>2030</v>
      </c>
      <c r="K2877" s="5">
        <v>328</v>
      </c>
      <c r="L2877" s="9" t="s">
        <v>6148</v>
      </c>
      <c r="M2877" s="5"/>
      <c r="N2877" s="9" t="s">
        <v>6147</v>
      </c>
      <c r="O2877" s="9" t="str">
        <f t="shared" si="268"/>
        <v>PDFを開く</v>
      </c>
      <c r="P2877" s="9" t="s">
        <v>2290</v>
      </c>
    </row>
    <row r="2878" spans="1:16" ht="33.950000000000003" customHeight="1">
      <c r="A2878" s="2" t="s">
        <v>2291</v>
      </c>
      <c r="B2878" s="2" t="s">
        <v>1595</v>
      </c>
      <c r="C2878" s="8" t="s">
        <v>2292</v>
      </c>
      <c r="D2878" s="2">
        <v>3</v>
      </c>
      <c r="E2878" s="8" t="s">
        <v>3176</v>
      </c>
      <c r="F2878" s="2"/>
      <c r="G2878" s="19" t="s">
        <v>3189</v>
      </c>
      <c r="H2878" s="2"/>
      <c r="I2878" s="8"/>
      <c r="J2878" s="2"/>
      <c r="K2878" s="2"/>
      <c r="L2878" s="8"/>
      <c r="M2878" s="2"/>
      <c r="N2878" s="8" t="s">
        <v>6149</v>
      </c>
      <c r="O2878" s="8" t="str">
        <f t="shared" ref="O2878:O2886" si="269">HYPERLINK("https://seichotoushi-hojo.jp/assets/pdf/koufu_3_4ji/outline_83.pdf","PDFを開く")</f>
        <v>PDFを開く</v>
      </c>
      <c r="P2878" s="8" t="s">
        <v>2297</v>
      </c>
    </row>
    <row r="2879" spans="1:16" ht="33.950000000000003" customHeight="1">
      <c r="A2879" s="5" t="s">
        <v>2291</v>
      </c>
      <c r="B2879" s="5" t="s">
        <v>1595</v>
      </c>
      <c r="C2879" s="9" t="s">
        <v>2292</v>
      </c>
      <c r="D2879" s="5">
        <v>4</v>
      </c>
      <c r="E2879" s="9" t="s">
        <v>3176</v>
      </c>
      <c r="F2879" s="5" t="s">
        <v>86</v>
      </c>
      <c r="G2879" s="5" t="s">
        <v>3177</v>
      </c>
      <c r="H2879" s="5" t="s">
        <v>3178</v>
      </c>
      <c r="I2879" s="9" t="s">
        <v>3259</v>
      </c>
      <c r="J2879" s="5">
        <v>2027</v>
      </c>
      <c r="K2879" s="5">
        <v>1082</v>
      </c>
      <c r="L2879" s="9" t="s">
        <v>6150</v>
      </c>
      <c r="M2879" s="5">
        <v>19</v>
      </c>
      <c r="N2879" s="9" t="s">
        <v>6151</v>
      </c>
      <c r="O2879" s="9" t="str">
        <f t="shared" si="269"/>
        <v>PDFを開く</v>
      </c>
      <c r="P2879" s="9" t="s">
        <v>2297</v>
      </c>
    </row>
    <row r="2880" spans="1:16" ht="33.950000000000003" customHeight="1">
      <c r="A2880" s="2" t="s">
        <v>2291</v>
      </c>
      <c r="B2880" s="2" t="s">
        <v>1595</v>
      </c>
      <c r="C2880" s="8" t="s">
        <v>2292</v>
      </c>
      <c r="D2880" s="2">
        <v>4</v>
      </c>
      <c r="E2880" s="8" t="s">
        <v>3176</v>
      </c>
      <c r="F2880" s="2" t="s">
        <v>86</v>
      </c>
      <c r="G2880" s="2" t="s">
        <v>3177</v>
      </c>
      <c r="H2880" s="2" t="s">
        <v>3178</v>
      </c>
      <c r="I2880" s="8" t="s">
        <v>3262</v>
      </c>
      <c r="J2880" s="2">
        <v>2030</v>
      </c>
      <c r="K2880" s="2">
        <v>1825</v>
      </c>
      <c r="L2880" s="8" t="s">
        <v>6152</v>
      </c>
      <c r="M2880" s="2">
        <v>19</v>
      </c>
      <c r="N2880" s="8" t="s">
        <v>6151</v>
      </c>
      <c r="O2880" s="8" t="str">
        <f t="shared" si="269"/>
        <v>PDFを開く</v>
      </c>
      <c r="P2880" s="8" t="s">
        <v>2297</v>
      </c>
    </row>
    <row r="2881" spans="1:16" ht="33.950000000000003" customHeight="1">
      <c r="A2881" s="5" t="s">
        <v>2291</v>
      </c>
      <c r="B2881" s="5" t="s">
        <v>1595</v>
      </c>
      <c r="C2881" s="9" t="s">
        <v>2292</v>
      </c>
      <c r="D2881" s="5">
        <v>4</v>
      </c>
      <c r="E2881" s="9" t="s">
        <v>3184</v>
      </c>
      <c r="F2881" s="5" t="s">
        <v>86</v>
      </c>
      <c r="G2881" s="5" t="s">
        <v>3177</v>
      </c>
      <c r="H2881" s="5" t="s">
        <v>3178</v>
      </c>
      <c r="I2881" s="9" t="s">
        <v>3259</v>
      </c>
      <c r="J2881" s="5">
        <v>2027</v>
      </c>
      <c r="K2881" s="5">
        <v>599</v>
      </c>
      <c r="L2881" s="9" t="s">
        <v>5330</v>
      </c>
      <c r="M2881" s="5">
        <v>6</v>
      </c>
      <c r="N2881" s="9" t="s">
        <v>6153</v>
      </c>
      <c r="O2881" s="9" t="str">
        <f t="shared" si="269"/>
        <v>PDFを開く</v>
      </c>
      <c r="P2881" s="9" t="s">
        <v>2297</v>
      </c>
    </row>
    <row r="2882" spans="1:16" ht="33.950000000000003" customHeight="1">
      <c r="A2882" s="2" t="s">
        <v>2291</v>
      </c>
      <c r="B2882" s="2" t="s">
        <v>1595</v>
      </c>
      <c r="C2882" s="8" t="s">
        <v>2292</v>
      </c>
      <c r="D2882" s="2">
        <v>4</v>
      </c>
      <c r="E2882" s="8" t="s">
        <v>3184</v>
      </c>
      <c r="F2882" s="2" t="s">
        <v>86</v>
      </c>
      <c r="G2882" s="2" t="s">
        <v>3177</v>
      </c>
      <c r="H2882" s="2" t="s">
        <v>3178</v>
      </c>
      <c r="I2882" s="8" t="s">
        <v>3262</v>
      </c>
      <c r="J2882" s="2">
        <v>2030</v>
      </c>
      <c r="K2882" s="2">
        <v>713</v>
      </c>
      <c r="L2882" s="8" t="s">
        <v>4862</v>
      </c>
      <c r="M2882" s="2">
        <v>6</v>
      </c>
      <c r="N2882" s="8" t="s">
        <v>6153</v>
      </c>
      <c r="O2882" s="8" t="str">
        <f t="shared" si="269"/>
        <v>PDFを開く</v>
      </c>
      <c r="P2882" s="8" t="s">
        <v>2297</v>
      </c>
    </row>
    <row r="2883" spans="1:16" ht="33.950000000000003" customHeight="1">
      <c r="A2883" s="5" t="s">
        <v>2291</v>
      </c>
      <c r="B2883" s="5" t="s">
        <v>1595</v>
      </c>
      <c r="C2883" s="9" t="s">
        <v>2292</v>
      </c>
      <c r="D2883" s="5">
        <v>4</v>
      </c>
      <c r="E2883" s="9" t="s">
        <v>3188</v>
      </c>
      <c r="F2883" s="5" t="s">
        <v>86</v>
      </c>
      <c r="G2883" s="5" t="s">
        <v>3177</v>
      </c>
      <c r="H2883" s="5" t="s">
        <v>3178</v>
      </c>
      <c r="I2883" s="9" t="s">
        <v>3259</v>
      </c>
      <c r="J2883" s="5">
        <v>2027</v>
      </c>
      <c r="K2883" s="5">
        <v>719</v>
      </c>
      <c r="L2883" s="9" t="s">
        <v>5478</v>
      </c>
      <c r="M2883" s="5">
        <v>5</v>
      </c>
      <c r="N2883" s="9" t="s">
        <v>6154</v>
      </c>
      <c r="O2883" s="9" t="str">
        <f t="shared" si="269"/>
        <v>PDFを開く</v>
      </c>
      <c r="P2883" s="9" t="s">
        <v>2297</v>
      </c>
    </row>
    <row r="2884" spans="1:16" ht="33.950000000000003" customHeight="1">
      <c r="A2884" s="2" t="s">
        <v>2291</v>
      </c>
      <c r="B2884" s="2" t="s">
        <v>1595</v>
      </c>
      <c r="C2884" s="8" t="s">
        <v>2292</v>
      </c>
      <c r="D2884" s="2">
        <v>4</v>
      </c>
      <c r="E2884" s="8" t="s">
        <v>3188</v>
      </c>
      <c r="F2884" s="2" t="s">
        <v>86</v>
      </c>
      <c r="G2884" s="2" t="s">
        <v>3177</v>
      </c>
      <c r="H2884" s="2" t="s">
        <v>3178</v>
      </c>
      <c r="I2884" s="8" t="s">
        <v>3262</v>
      </c>
      <c r="J2884" s="2">
        <v>2030</v>
      </c>
      <c r="K2884" s="2">
        <v>832</v>
      </c>
      <c r="L2884" s="8" t="s">
        <v>4149</v>
      </c>
      <c r="M2884" s="2">
        <v>5</v>
      </c>
      <c r="N2884" s="8" t="s">
        <v>6154</v>
      </c>
      <c r="O2884" s="8" t="str">
        <f t="shared" si="269"/>
        <v>PDFを開く</v>
      </c>
      <c r="P2884" s="8" t="s">
        <v>2297</v>
      </c>
    </row>
    <row r="2885" spans="1:16" ht="33.950000000000003" customHeight="1">
      <c r="A2885" s="5" t="s">
        <v>2291</v>
      </c>
      <c r="B2885" s="5" t="s">
        <v>1595</v>
      </c>
      <c r="C2885" s="9" t="s">
        <v>2292</v>
      </c>
      <c r="D2885" s="5">
        <v>4</v>
      </c>
      <c r="E2885" s="9" t="s">
        <v>3191</v>
      </c>
      <c r="F2885" s="5" t="s">
        <v>2513</v>
      </c>
      <c r="G2885" s="5" t="s">
        <v>3177</v>
      </c>
      <c r="H2885" s="5" t="s">
        <v>3178</v>
      </c>
      <c r="I2885" s="9" t="s">
        <v>3259</v>
      </c>
      <c r="J2885" s="5">
        <v>2027</v>
      </c>
      <c r="K2885" s="5">
        <v>86</v>
      </c>
      <c r="L2885" s="9" t="s">
        <v>6155</v>
      </c>
      <c r="M2885" s="5">
        <v>9.1999999999999993</v>
      </c>
      <c r="N2885" s="9" t="s">
        <v>6156</v>
      </c>
      <c r="O2885" s="9" t="str">
        <f t="shared" si="269"/>
        <v>PDFを開く</v>
      </c>
      <c r="P2885" s="9" t="s">
        <v>2297</v>
      </c>
    </row>
    <row r="2886" spans="1:16" ht="33.950000000000003" customHeight="1">
      <c r="A2886" s="2" t="s">
        <v>2291</v>
      </c>
      <c r="B2886" s="2" t="s">
        <v>1595</v>
      </c>
      <c r="C2886" s="8" t="s">
        <v>2292</v>
      </c>
      <c r="D2886" s="2">
        <v>4</v>
      </c>
      <c r="E2886" s="8" t="s">
        <v>3191</v>
      </c>
      <c r="F2886" s="2" t="s">
        <v>2513</v>
      </c>
      <c r="G2886" s="2" t="s">
        <v>3177</v>
      </c>
      <c r="H2886" s="2" t="s">
        <v>3178</v>
      </c>
      <c r="I2886" s="8" t="s">
        <v>3262</v>
      </c>
      <c r="J2886" s="2">
        <v>2030</v>
      </c>
      <c r="K2886" s="2">
        <v>112</v>
      </c>
      <c r="L2886" s="8" t="s">
        <v>3598</v>
      </c>
      <c r="M2886" s="2">
        <v>9.1999999999999993</v>
      </c>
      <c r="N2886" s="8" t="s">
        <v>6156</v>
      </c>
      <c r="O2886" s="8" t="str">
        <f t="shared" si="269"/>
        <v>PDFを開く</v>
      </c>
      <c r="P2886" s="8" t="s">
        <v>2297</v>
      </c>
    </row>
    <row r="2887" spans="1:16" ht="33.950000000000003" customHeight="1">
      <c r="A2887" s="5" t="s">
        <v>2298</v>
      </c>
      <c r="B2887" s="5" t="s">
        <v>1595</v>
      </c>
      <c r="C2887" s="9" t="s">
        <v>2299</v>
      </c>
      <c r="D2887" s="5">
        <v>3</v>
      </c>
      <c r="E2887" s="9" t="s">
        <v>3176</v>
      </c>
      <c r="F2887" s="5" t="s">
        <v>86</v>
      </c>
      <c r="G2887" s="5" t="s">
        <v>3177</v>
      </c>
      <c r="H2887" s="5" t="s">
        <v>3178</v>
      </c>
      <c r="I2887" s="9" t="s">
        <v>5367</v>
      </c>
      <c r="J2887" s="5">
        <v>2028</v>
      </c>
      <c r="K2887" s="5">
        <v>3829</v>
      </c>
      <c r="L2887" s="9" t="s">
        <v>6157</v>
      </c>
      <c r="M2887" s="5">
        <v>0.3</v>
      </c>
      <c r="N2887" s="9" t="s">
        <v>6158</v>
      </c>
      <c r="O2887" s="9" t="str">
        <f t="shared" ref="O2887:O2894" si="270">HYPERLINK("https://seichotoushi-hojo.jp/assets/pdf/koufu_3_4ji/outline_84.pdf","PDFを開く")</f>
        <v>PDFを開く</v>
      </c>
      <c r="P2887" s="9" t="s">
        <v>2304</v>
      </c>
    </row>
    <row r="2888" spans="1:16" ht="33.950000000000003" customHeight="1">
      <c r="A2888" s="2" t="s">
        <v>2298</v>
      </c>
      <c r="B2888" s="2" t="s">
        <v>1595</v>
      </c>
      <c r="C2888" s="8" t="s">
        <v>2299</v>
      </c>
      <c r="D2888" s="2">
        <v>3</v>
      </c>
      <c r="E2888" s="8" t="s">
        <v>3176</v>
      </c>
      <c r="F2888" s="2" t="s">
        <v>86</v>
      </c>
      <c r="G2888" s="2" t="s">
        <v>3177</v>
      </c>
      <c r="H2888" s="2" t="s">
        <v>3178</v>
      </c>
      <c r="I2888" s="8" t="s">
        <v>5370</v>
      </c>
      <c r="J2888" s="2">
        <v>2031</v>
      </c>
      <c r="K2888" s="2">
        <v>3863</v>
      </c>
      <c r="L2888" s="8" t="s">
        <v>6159</v>
      </c>
      <c r="M2888" s="2">
        <v>0.3</v>
      </c>
      <c r="N2888" s="8" t="s">
        <v>6158</v>
      </c>
      <c r="O2888" s="8" t="str">
        <f t="shared" si="270"/>
        <v>PDFを開く</v>
      </c>
      <c r="P2888" s="8" t="s">
        <v>2304</v>
      </c>
    </row>
    <row r="2889" spans="1:16" ht="33.950000000000003" customHeight="1">
      <c r="A2889" s="5" t="s">
        <v>2298</v>
      </c>
      <c r="B2889" s="5" t="s">
        <v>1595</v>
      </c>
      <c r="C2889" s="9" t="s">
        <v>2299</v>
      </c>
      <c r="D2889" s="5">
        <v>3</v>
      </c>
      <c r="E2889" s="9" t="s">
        <v>3184</v>
      </c>
      <c r="F2889" s="5" t="s">
        <v>86</v>
      </c>
      <c r="G2889" s="5" t="s">
        <v>3177</v>
      </c>
      <c r="H2889" s="5" t="s">
        <v>3178</v>
      </c>
      <c r="I2889" s="9" t="s">
        <v>5367</v>
      </c>
      <c r="J2889" s="5">
        <v>2028</v>
      </c>
      <c r="K2889" s="5">
        <v>1233</v>
      </c>
      <c r="L2889" s="9" t="s">
        <v>6160</v>
      </c>
      <c r="M2889" s="5">
        <v>7.6</v>
      </c>
      <c r="N2889" s="9" t="s">
        <v>6161</v>
      </c>
      <c r="O2889" s="9" t="str">
        <f t="shared" si="270"/>
        <v>PDFを開く</v>
      </c>
      <c r="P2889" s="9" t="s">
        <v>2304</v>
      </c>
    </row>
    <row r="2890" spans="1:16" ht="33.950000000000003" customHeight="1">
      <c r="A2890" s="2" t="s">
        <v>2298</v>
      </c>
      <c r="B2890" s="2" t="s">
        <v>1595</v>
      </c>
      <c r="C2890" s="8" t="s">
        <v>2299</v>
      </c>
      <c r="D2890" s="2">
        <v>3</v>
      </c>
      <c r="E2890" s="8" t="s">
        <v>3184</v>
      </c>
      <c r="F2890" s="2" t="s">
        <v>86</v>
      </c>
      <c r="G2890" s="2" t="s">
        <v>3177</v>
      </c>
      <c r="H2890" s="2" t="s">
        <v>3178</v>
      </c>
      <c r="I2890" s="8" t="s">
        <v>5370</v>
      </c>
      <c r="J2890" s="2">
        <v>2031</v>
      </c>
      <c r="K2890" s="2">
        <v>1536</v>
      </c>
      <c r="L2890" s="8" t="s">
        <v>6162</v>
      </c>
      <c r="M2890" s="2">
        <v>7.6</v>
      </c>
      <c r="N2890" s="8" t="s">
        <v>6161</v>
      </c>
      <c r="O2890" s="8" t="str">
        <f t="shared" si="270"/>
        <v>PDFを開く</v>
      </c>
      <c r="P2890" s="8" t="s">
        <v>2304</v>
      </c>
    </row>
    <row r="2891" spans="1:16" ht="33.950000000000003" customHeight="1">
      <c r="A2891" s="5" t="s">
        <v>2298</v>
      </c>
      <c r="B2891" s="5" t="s">
        <v>1595</v>
      </c>
      <c r="C2891" s="9" t="s">
        <v>2299</v>
      </c>
      <c r="D2891" s="5">
        <v>3</v>
      </c>
      <c r="E2891" s="9" t="s">
        <v>3188</v>
      </c>
      <c r="F2891" s="5" t="s">
        <v>86</v>
      </c>
      <c r="G2891" s="5" t="s">
        <v>3177</v>
      </c>
      <c r="H2891" s="5" t="s">
        <v>3178</v>
      </c>
      <c r="I2891" s="9" t="s">
        <v>5367</v>
      </c>
      <c r="J2891" s="5">
        <v>2028</v>
      </c>
      <c r="K2891" s="5">
        <v>1172</v>
      </c>
      <c r="L2891" s="9" t="s">
        <v>5187</v>
      </c>
      <c r="M2891" s="5">
        <v>7.1</v>
      </c>
      <c r="N2891" s="9" t="s">
        <v>6163</v>
      </c>
      <c r="O2891" s="9" t="str">
        <f t="shared" si="270"/>
        <v>PDFを開く</v>
      </c>
      <c r="P2891" s="9" t="s">
        <v>2304</v>
      </c>
    </row>
    <row r="2892" spans="1:16" ht="33.950000000000003" customHeight="1">
      <c r="A2892" s="2" t="s">
        <v>2298</v>
      </c>
      <c r="B2892" s="2" t="s">
        <v>1595</v>
      </c>
      <c r="C2892" s="8" t="s">
        <v>2299</v>
      </c>
      <c r="D2892" s="2">
        <v>3</v>
      </c>
      <c r="E2892" s="8" t="s">
        <v>3188</v>
      </c>
      <c r="F2892" s="2" t="s">
        <v>86</v>
      </c>
      <c r="G2892" s="2" t="s">
        <v>3177</v>
      </c>
      <c r="H2892" s="2" t="s">
        <v>3178</v>
      </c>
      <c r="I2892" s="8" t="s">
        <v>5370</v>
      </c>
      <c r="J2892" s="2">
        <v>2031</v>
      </c>
      <c r="K2892" s="2">
        <v>1442</v>
      </c>
      <c r="L2892" s="8" t="s">
        <v>6164</v>
      </c>
      <c r="M2892" s="2">
        <v>7.1</v>
      </c>
      <c r="N2892" s="8" t="s">
        <v>6163</v>
      </c>
      <c r="O2892" s="8" t="str">
        <f t="shared" si="270"/>
        <v>PDFを開く</v>
      </c>
      <c r="P2892" s="8" t="s">
        <v>2304</v>
      </c>
    </row>
    <row r="2893" spans="1:16" ht="33.950000000000003" customHeight="1">
      <c r="A2893" s="5" t="s">
        <v>2298</v>
      </c>
      <c r="B2893" s="5" t="s">
        <v>1595</v>
      </c>
      <c r="C2893" s="9" t="s">
        <v>2299</v>
      </c>
      <c r="D2893" s="5">
        <v>3</v>
      </c>
      <c r="E2893" s="9" t="s">
        <v>3191</v>
      </c>
      <c r="F2893" s="5" t="s">
        <v>2513</v>
      </c>
      <c r="G2893" s="5" t="s">
        <v>3177</v>
      </c>
      <c r="H2893" s="5" t="s">
        <v>3178</v>
      </c>
      <c r="I2893" s="9" t="s">
        <v>5367</v>
      </c>
      <c r="J2893" s="5">
        <v>2028</v>
      </c>
      <c r="K2893" s="5">
        <v>135</v>
      </c>
      <c r="L2893" s="9" t="s">
        <v>4992</v>
      </c>
      <c r="M2893" s="5"/>
      <c r="N2893" s="9" t="s">
        <v>6165</v>
      </c>
      <c r="O2893" s="9" t="str">
        <f t="shared" si="270"/>
        <v>PDFを開く</v>
      </c>
      <c r="P2893" s="9" t="s">
        <v>2304</v>
      </c>
    </row>
    <row r="2894" spans="1:16" ht="33.950000000000003" customHeight="1">
      <c r="A2894" s="2" t="s">
        <v>2298</v>
      </c>
      <c r="B2894" s="2" t="s">
        <v>1595</v>
      </c>
      <c r="C2894" s="8" t="s">
        <v>2299</v>
      </c>
      <c r="D2894" s="2">
        <v>3</v>
      </c>
      <c r="E2894" s="8" t="s">
        <v>3191</v>
      </c>
      <c r="F2894" s="2" t="s">
        <v>2513</v>
      </c>
      <c r="G2894" s="2" t="s">
        <v>3177</v>
      </c>
      <c r="H2894" s="2" t="s">
        <v>3178</v>
      </c>
      <c r="I2894" s="8" t="s">
        <v>5370</v>
      </c>
      <c r="J2894" s="2">
        <v>2031</v>
      </c>
      <c r="K2894" s="2">
        <v>155</v>
      </c>
      <c r="L2894" s="8" t="s">
        <v>4162</v>
      </c>
      <c r="M2894" s="2"/>
      <c r="N2894" s="8" t="s">
        <v>6165</v>
      </c>
      <c r="O2894" s="8" t="str">
        <f t="shared" si="270"/>
        <v>PDFを開く</v>
      </c>
      <c r="P2894" s="8" t="s">
        <v>2304</v>
      </c>
    </row>
    <row r="2895" spans="1:16" ht="33.950000000000003" customHeight="1">
      <c r="A2895" s="5" t="s">
        <v>2305</v>
      </c>
      <c r="B2895" s="5" t="s">
        <v>1595</v>
      </c>
      <c r="C2895" s="9" t="s">
        <v>2306</v>
      </c>
      <c r="D2895" s="5">
        <v>2</v>
      </c>
      <c r="E2895" s="9" t="s">
        <v>3176</v>
      </c>
      <c r="F2895" s="5" t="s">
        <v>86</v>
      </c>
      <c r="G2895" s="5" t="s">
        <v>3177</v>
      </c>
      <c r="H2895" s="5"/>
      <c r="I2895" s="9" t="s">
        <v>6166</v>
      </c>
      <c r="J2895" s="5">
        <v>2027</v>
      </c>
      <c r="K2895" s="5">
        <v>577</v>
      </c>
      <c r="L2895" s="9" t="s">
        <v>3674</v>
      </c>
      <c r="M2895" s="5"/>
      <c r="N2895" s="9" t="s">
        <v>6167</v>
      </c>
      <c r="O2895" s="9" t="str">
        <f t="shared" ref="O2895:O2913" si="271">HYPERLINK("https://seichotoushi-hojo.jp/assets/pdf/koufu_3_4ji/outline_85.pdf","PDFを開く")</f>
        <v>PDFを開く</v>
      </c>
      <c r="P2895" s="9" t="s">
        <v>2312</v>
      </c>
    </row>
    <row r="2896" spans="1:16" ht="33.950000000000003" customHeight="1">
      <c r="A2896" s="2" t="s">
        <v>2305</v>
      </c>
      <c r="B2896" s="2" t="s">
        <v>1595</v>
      </c>
      <c r="C2896" s="8" t="s">
        <v>2306</v>
      </c>
      <c r="D2896" s="2">
        <v>2</v>
      </c>
      <c r="E2896" s="8" t="s">
        <v>3176</v>
      </c>
      <c r="F2896" s="2" t="s">
        <v>86</v>
      </c>
      <c r="G2896" s="2" t="s">
        <v>3177</v>
      </c>
      <c r="H2896" s="2"/>
      <c r="I2896" s="8" t="s">
        <v>6168</v>
      </c>
      <c r="J2896" s="2">
        <v>2030</v>
      </c>
      <c r="K2896" s="2">
        <v>947</v>
      </c>
      <c r="L2896" s="8" t="s">
        <v>6169</v>
      </c>
      <c r="M2896" s="2"/>
      <c r="N2896" s="8" t="s">
        <v>6167</v>
      </c>
      <c r="O2896" s="8" t="str">
        <f t="shared" si="271"/>
        <v>PDFを開く</v>
      </c>
      <c r="P2896" s="8" t="s">
        <v>2312</v>
      </c>
    </row>
    <row r="2897" spans="1:16" ht="33.950000000000003" customHeight="1">
      <c r="A2897" s="5" t="s">
        <v>2305</v>
      </c>
      <c r="B2897" s="5" t="s">
        <v>1595</v>
      </c>
      <c r="C2897" s="9" t="s">
        <v>2306</v>
      </c>
      <c r="D2897" s="5">
        <v>2</v>
      </c>
      <c r="E2897" s="9" t="s">
        <v>3184</v>
      </c>
      <c r="F2897" s="5" t="s">
        <v>86</v>
      </c>
      <c r="G2897" s="19" t="s">
        <v>3494</v>
      </c>
      <c r="H2897" s="5" t="s">
        <v>3178</v>
      </c>
      <c r="I2897" s="9" t="s">
        <v>6166</v>
      </c>
      <c r="J2897" s="5">
        <v>2027</v>
      </c>
      <c r="K2897" s="5">
        <v>349</v>
      </c>
      <c r="L2897" s="9" t="s">
        <v>5494</v>
      </c>
      <c r="M2897" s="5"/>
      <c r="N2897" s="9" t="s">
        <v>6170</v>
      </c>
      <c r="O2897" s="9" t="str">
        <f t="shared" si="271"/>
        <v>PDFを開く</v>
      </c>
      <c r="P2897" s="9" t="s">
        <v>2312</v>
      </c>
    </row>
    <row r="2898" spans="1:16" ht="33.950000000000003" customHeight="1">
      <c r="A2898" s="2" t="s">
        <v>2305</v>
      </c>
      <c r="B2898" s="2" t="s">
        <v>1595</v>
      </c>
      <c r="C2898" s="8" t="s">
        <v>2306</v>
      </c>
      <c r="D2898" s="2">
        <v>2</v>
      </c>
      <c r="E2898" s="8" t="s">
        <v>3184</v>
      </c>
      <c r="F2898" s="2" t="s">
        <v>86</v>
      </c>
      <c r="G2898" s="19" t="s">
        <v>3494</v>
      </c>
      <c r="H2898" s="2" t="s">
        <v>3178</v>
      </c>
      <c r="I2898" s="8"/>
      <c r="J2898" s="2"/>
      <c r="K2898" s="2">
        <v>336</v>
      </c>
      <c r="L2898" s="8" t="s">
        <v>3203</v>
      </c>
      <c r="M2898" s="2"/>
      <c r="N2898" s="8" t="s">
        <v>6170</v>
      </c>
      <c r="O2898" s="8" t="str">
        <f t="shared" si="271"/>
        <v>PDFを開く</v>
      </c>
      <c r="P2898" s="8" t="s">
        <v>2312</v>
      </c>
    </row>
    <row r="2899" spans="1:16" ht="33.950000000000003" customHeight="1">
      <c r="A2899" s="5" t="s">
        <v>2305</v>
      </c>
      <c r="B2899" s="5" t="s">
        <v>1595</v>
      </c>
      <c r="C2899" s="9" t="s">
        <v>2306</v>
      </c>
      <c r="D2899" s="5">
        <v>2</v>
      </c>
      <c r="E2899" s="9" t="s">
        <v>3184</v>
      </c>
      <c r="F2899" s="5" t="s">
        <v>86</v>
      </c>
      <c r="G2899" s="19" t="s">
        <v>3494</v>
      </c>
      <c r="H2899" s="5" t="s">
        <v>3178</v>
      </c>
      <c r="I2899" s="9"/>
      <c r="J2899" s="5"/>
      <c r="K2899" s="5">
        <v>375</v>
      </c>
      <c r="L2899" s="9" t="s">
        <v>6171</v>
      </c>
      <c r="M2899" s="5"/>
      <c r="N2899" s="9" t="s">
        <v>6170</v>
      </c>
      <c r="O2899" s="9" t="str">
        <f t="shared" si="271"/>
        <v>PDFを開く</v>
      </c>
      <c r="P2899" s="9" t="s">
        <v>2312</v>
      </c>
    </row>
    <row r="2900" spans="1:16" ht="33.950000000000003" customHeight="1">
      <c r="A2900" s="2" t="s">
        <v>2305</v>
      </c>
      <c r="B2900" s="2" t="s">
        <v>1595</v>
      </c>
      <c r="C2900" s="8" t="s">
        <v>2306</v>
      </c>
      <c r="D2900" s="2">
        <v>2</v>
      </c>
      <c r="E2900" s="8" t="s">
        <v>3184</v>
      </c>
      <c r="F2900" s="2" t="s">
        <v>86</v>
      </c>
      <c r="G2900" s="19" t="s">
        <v>3494</v>
      </c>
      <c r="H2900" s="2" t="s">
        <v>3178</v>
      </c>
      <c r="I2900" s="8" t="s">
        <v>6168</v>
      </c>
      <c r="J2900" s="2">
        <v>2030</v>
      </c>
      <c r="K2900" s="2">
        <v>433</v>
      </c>
      <c r="L2900" s="8" t="s">
        <v>3567</v>
      </c>
      <c r="M2900" s="2"/>
      <c r="N2900" s="8" t="s">
        <v>6170</v>
      </c>
      <c r="O2900" s="8" t="str">
        <f t="shared" si="271"/>
        <v>PDFを開く</v>
      </c>
      <c r="P2900" s="8" t="s">
        <v>2312</v>
      </c>
    </row>
    <row r="2901" spans="1:16" ht="33.950000000000003" customHeight="1">
      <c r="A2901" s="5" t="s">
        <v>2305</v>
      </c>
      <c r="B2901" s="5" t="s">
        <v>1595</v>
      </c>
      <c r="C2901" s="9" t="s">
        <v>2306</v>
      </c>
      <c r="D2901" s="5">
        <v>2</v>
      </c>
      <c r="E2901" s="9" t="s">
        <v>3184</v>
      </c>
      <c r="F2901" s="5" t="s">
        <v>86</v>
      </c>
      <c r="G2901" s="19" t="s">
        <v>3494</v>
      </c>
      <c r="H2901" s="5" t="s">
        <v>3178</v>
      </c>
      <c r="I2901" s="9"/>
      <c r="J2901" s="5"/>
      <c r="K2901" s="5">
        <v>393</v>
      </c>
      <c r="L2901" s="9" t="s">
        <v>3874</v>
      </c>
      <c r="M2901" s="5"/>
      <c r="N2901" s="9" t="s">
        <v>6170</v>
      </c>
      <c r="O2901" s="9" t="str">
        <f t="shared" si="271"/>
        <v>PDFを開く</v>
      </c>
      <c r="P2901" s="9" t="s">
        <v>2312</v>
      </c>
    </row>
    <row r="2902" spans="1:16" ht="33.950000000000003" customHeight="1">
      <c r="A2902" s="2" t="s">
        <v>2305</v>
      </c>
      <c r="B2902" s="2" t="s">
        <v>1595</v>
      </c>
      <c r="C2902" s="8" t="s">
        <v>2306</v>
      </c>
      <c r="D2902" s="2">
        <v>2</v>
      </c>
      <c r="E2902" s="8" t="s">
        <v>3184</v>
      </c>
      <c r="F2902" s="2" t="s">
        <v>86</v>
      </c>
      <c r="G2902" s="19" t="s">
        <v>3494</v>
      </c>
      <c r="H2902" s="2" t="s">
        <v>3178</v>
      </c>
      <c r="I2902" s="8"/>
      <c r="J2902" s="2"/>
      <c r="K2902" s="2">
        <v>454</v>
      </c>
      <c r="L2902" s="8" t="s">
        <v>4161</v>
      </c>
      <c r="M2902" s="2"/>
      <c r="N2902" s="8" t="s">
        <v>6170</v>
      </c>
      <c r="O2902" s="8" t="str">
        <f t="shared" si="271"/>
        <v>PDFを開く</v>
      </c>
      <c r="P2902" s="8" t="s">
        <v>2312</v>
      </c>
    </row>
    <row r="2903" spans="1:16" ht="33.950000000000003" customHeight="1">
      <c r="A2903" s="5" t="s">
        <v>2305</v>
      </c>
      <c r="B2903" s="5" t="s">
        <v>1595</v>
      </c>
      <c r="C2903" s="9" t="s">
        <v>2306</v>
      </c>
      <c r="D2903" s="5">
        <v>2</v>
      </c>
      <c r="E2903" s="9" t="s">
        <v>3188</v>
      </c>
      <c r="F2903" s="5"/>
      <c r="G2903" s="19" t="s">
        <v>3494</v>
      </c>
      <c r="H2903" s="5"/>
      <c r="I2903" s="9"/>
      <c r="J2903" s="5"/>
      <c r="K2903" s="5"/>
      <c r="L2903" s="9"/>
      <c r="M2903" s="5"/>
      <c r="N2903" s="9" t="s">
        <v>6172</v>
      </c>
      <c r="O2903" s="9" t="str">
        <f t="shared" si="271"/>
        <v>PDFを開く</v>
      </c>
      <c r="P2903" s="9" t="s">
        <v>2312</v>
      </c>
    </row>
    <row r="2904" spans="1:16" ht="33.950000000000003" customHeight="1">
      <c r="A2904" s="2" t="s">
        <v>2305</v>
      </c>
      <c r="B2904" s="2" t="s">
        <v>1595</v>
      </c>
      <c r="C2904" s="8" t="s">
        <v>2306</v>
      </c>
      <c r="D2904" s="2">
        <v>2</v>
      </c>
      <c r="E2904" s="8" t="s">
        <v>3191</v>
      </c>
      <c r="F2904" s="2" t="s">
        <v>2513</v>
      </c>
      <c r="G2904" s="19" t="s">
        <v>3494</v>
      </c>
      <c r="H2904" s="2" t="s">
        <v>3178</v>
      </c>
      <c r="I2904" s="8" t="s">
        <v>6166</v>
      </c>
      <c r="J2904" s="2">
        <v>2027</v>
      </c>
      <c r="K2904" s="2">
        <v>77</v>
      </c>
      <c r="L2904" s="8" t="s">
        <v>4073</v>
      </c>
      <c r="M2904" s="2"/>
      <c r="N2904" s="8" t="s">
        <v>6173</v>
      </c>
      <c r="O2904" s="8" t="str">
        <f t="shared" si="271"/>
        <v>PDFを開く</v>
      </c>
      <c r="P2904" s="8" t="s">
        <v>2312</v>
      </c>
    </row>
    <row r="2905" spans="1:16" ht="33.950000000000003" customHeight="1">
      <c r="A2905" s="5" t="s">
        <v>2305</v>
      </c>
      <c r="B2905" s="5" t="s">
        <v>1595</v>
      </c>
      <c r="C2905" s="9" t="s">
        <v>2306</v>
      </c>
      <c r="D2905" s="5">
        <v>2</v>
      </c>
      <c r="E2905" s="9" t="s">
        <v>3191</v>
      </c>
      <c r="F2905" s="5" t="s">
        <v>2513</v>
      </c>
      <c r="G2905" s="19" t="s">
        <v>3494</v>
      </c>
      <c r="H2905" s="5" t="s">
        <v>3178</v>
      </c>
      <c r="I2905" s="9"/>
      <c r="J2905" s="5"/>
      <c r="K2905" s="5">
        <v>88</v>
      </c>
      <c r="L2905" s="9" t="s">
        <v>5395</v>
      </c>
      <c r="M2905" s="5"/>
      <c r="N2905" s="9" t="s">
        <v>6173</v>
      </c>
      <c r="O2905" s="9" t="str">
        <f t="shared" si="271"/>
        <v>PDFを開く</v>
      </c>
      <c r="P2905" s="9" t="s">
        <v>2312</v>
      </c>
    </row>
    <row r="2906" spans="1:16" ht="33.950000000000003" customHeight="1">
      <c r="A2906" s="2" t="s">
        <v>2305</v>
      </c>
      <c r="B2906" s="2" t="s">
        <v>1595</v>
      </c>
      <c r="C2906" s="8" t="s">
        <v>2306</v>
      </c>
      <c r="D2906" s="2">
        <v>2</v>
      </c>
      <c r="E2906" s="8" t="s">
        <v>3191</v>
      </c>
      <c r="F2906" s="2" t="s">
        <v>2513</v>
      </c>
      <c r="G2906" s="19" t="s">
        <v>3494</v>
      </c>
      <c r="H2906" s="2" t="s">
        <v>3178</v>
      </c>
      <c r="I2906" s="8"/>
      <c r="J2906" s="2"/>
      <c r="K2906" s="2">
        <v>46</v>
      </c>
      <c r="L2906" s="8" t="s">
        <v>3884</v>
      </c>
      <c r="M2906" s="2"/>
      <c r="N2906" s="8" t="s">
        <v>6173</v>
      </c>
      <c r="O2906" s="8" t="str">
        <f t="shared" si="271"/>
        <v>PDFを開く</v>
      </c>
      <c r="P2906" s="8" t="s">
        <v>2312</v>
      </c>
    </row>
    <row r="2907" spans="1:16" ht="33.950000000000003" customHeight="1">
      <c r="A2907" s="5" t="s">
        <v>2305</v>
      </c>
      <c r="B2907" s="5" t="s">
        <v>1595</v>
      </c>
      <c r="C2907" s="9" t="s">
        <v>2306</v>
      </c>
      <c r="D2907" s="5">
        <v>2</v>
      </c>
      <c r="E2907" s="9" t="s">
        <v>3191</v>
      </c>
      <c r="F2907" s="5" t="s">
        <v>2513</v>
      </c>
      <c r="G2907" s="19" t="s">
        <v>3494</v>
      </c>
      <c r="H2907" s="5" t="s">
        <v>3178</v>
      </c>
      <c r="I2907" s="9" t="s">
        <v>6168</v>
      </c>
      <c r="J2907" s="5">
        <v>2030</v>
      </c>
      <c r="K2907" s="5">
        <v>125</v>
      </c>
      <c r="L2907" s="9" t="s">
        <v>4467</v>
      </c>
      <c r="M2907" s="5"/>
      <c r="N2907" s="9" t="s">
        <v>6173</v>
      </c>
      <c r="O2907" s="9" t="str">
        <f t="shared" si="271"/>
        <v>PDFを開く</v>
      </c>
      <c r="P2907" s="9" t="s">
        <v>2312</v>
      </c>
    </row>
    <row r="2908" spans="1:16" ht="33.950000000000003" customHeight="1">
      <c r="A2908" s="2" t="s">
        <v>2305</v>
      </c>
      <c r="B2908" s="2" t="s">
        <v>1595</v>
      </c>
      <c r="C2908" s="8" t="s">
        <v>2306</v>
      </c>
      <c r="D2908" s="2">
        <v>2</v>
      </c>
      <c r="E2908" s="8" t="s">
        <v>3191</v>
      </c>
      <c r="F2908" s="2" t="s">
        <v>2513</v>
      </c>
      <c r="G2908" s="19" t="s">
        <v>3494</v>
      </c>
      <c r="H2908" s="2" t="s">
        <v>3178</v>
      </c>
      <c r="I2908" s="8"/>
      <c r="J2908" s="2"/>
      <c r="K2908" s="2">
        <v>88</v>
      </c>
      <c r="L2908" s="8" t="s">
        <v>5395</v>
      </c>
      <c r="M2908" s="2"/>
      <c r="N2908" s="8" t="s">
        <v>6173</v>
      </c>
      <c r="O2908" s="8" t="str">
        <f t="shared" si="271"/>
        <v>PDFを開く</v>
      </c>
      <c r="P2908" s="8" t="s">
        <v>2312</v>
      </c>
    </row>
    <row r="2909" spans="1:16" ht="33.950000000000003" customHeight="1">
      <c r="A2909" s="5" t="s">
        <v>2305</v>
      </c>
      <c r="B2909" s="5" t="s">
        <v>1595</v>
      </c>
      <c r="C2909" s="9" t="s">
        <v>2306</v>
      </c>
      <c r="D2909" s="5">
        <v>2</v>
      </c>
      <c r="E2909" s="9" t="s">
        <v>3191</v>
      </c>
      <c r="F2909" s="5" t="s">
        <v>2513</v>
      </c>
      <c r="G2909" s="19" t="s">
        <v>3494</v>
      </c>
      <c r="H2909" s="5" t="s">
        <v>3178</v>
      </c>
      <c r="I2909" s="9"/>
      <c r="J2909" s="5"/>
      <c r="K2909" s="5">
        <v>64</v>
      </c>
      <c r="L2909" s="9" t="s">
        <v>4237</v>
      </c>
      <c r="M2909" s="5"/>
      <c r="N2909" s="9" t="s">
        <v>6173</v>
      </c>
      <c r="O2909" s="9" t="str">
        <f t="shared" si="271"/>
        <v>PDFを開く</v>
      </c>
      <c r="P2909" s="9" t="s">
        <v>2312</v>
      </c>
    </row>
    <row r="2910" spans="1:16" ht="33.950000000000003" customHeight="1">
      <c r="A2910" s="2" t="s">
        <v>2305</v>
      </c>
      <c r="B2910" s="2" t="s">
        <v>1595</v>
      </c>
      <c r="C2910" s="8" t="s">
        <v>2306</v>
      </c>
      <c r="D2910" s="2">
        <v>2</v>
      </c>
      <c r="E2910" s="8" t="s">
        <v>3191</v>
      </c>
      <c r="F2910" s="2" t="s">
        <v>2513</v>
      </c>
      <c r="G2910" s="2" t="s">
        <v>3177</v>
      </c>
      <c r="H2910" s="2" t="s">
        <v>3178</v>
      </c>
      <c r="I2910" s="8" t="s">
        <v>6166</v>
      </c>
      <c r="J2910" s="2">
        <v>2027</v>
      </c>
      <c r="K2910" s="2">
        <v>77</v>
      </c>
      <c r="L2910" s="8" t="s">
        <v>4073</v>
      </c>
      <c r="M2910" s="2"/>
      <c r="N2910" s="8" t="s">
        <v>6173</v>
      </c>
      <c r="O2910" s="8" t="str">
        <f t="shared" si="271"/>
        <v>PDFを開く</v>
      </c>
      <c r="P2910" s="8" t="s">
        <v>2312</v>
      </c>
    </row>
    <row r="2911" spans="1:16" ht="33.950000000000003" customHeight="1">
      <c r="A2911" s="5" t="s">
        <v>2305</v>
      </c>
      <c r="B2911" s="5" t="s">
        <v>1595</v>
      </c>
      <c r="C2911" s="9" t="s">
        <v>2306</v>
      </c>
      <c r="D2911" s="5">
        <v>2</v>
      </c>
      <c r="E2911" s="9" t="s">
        <v>3191</v>
      </c>
      <c r="F2911" s="5" t="s">
        <v>2513</v>
      </c>
      <c r="G2911" s="5" t="s">
        <v>3177</v>
      </c>
      <c r="H2911" s="5" t="s">
        <v>3178</v>
      </c>
      <c r="I2911" s="9" t="s">
        <v>6168</v>
      </c>
      <c r="J2911" s="5">
        <v>2030</v>
      </c>
      <c r="K2911" s="5">
        <v>125</v>
      </c>
      <c r="L2911" s="9" t="s">
        <v>4467</v>
      </c>
      <c r="M2911" s="5"/>
      <c r="N2911" s="9" t="s">
        <v>6173</v>
      </c>
      <c r="O2911" s="9" t="str">
        <f t="shared" si="271"/>
        <v>PDFを開く</v>
      </c>
      <c r="P2911" s="9" t="s">
        <v>2312</v>
      </c>
    </row>
    <row r="2912" spans="1:16" ht="33.950000000000003" customHeight="1">
      <c r="A2912" s="2" t="s">
        <v>2305</v>
      </c>
      <c r="B2912" s="2" t="s">
        <v>1595</v>
      </c>
      <c r="C2912" s="8" t="s">
        <v>2306</v>
      </c>
      <c r="D2912" s="2">
        <v>2</v>
      </c>
      <c r="E2912" s="8" t="s">
        <v>3184</v>
      </c>
      <c r="F2912" s="2" t="s">
        <v>86</v>
      </c>
      <c r="G2912" s="2" t="s">
        <v>3177</v>
      </c>
      <c r="H2912" s="2" t="s">
        <v>3178</v>
      </c>
      <c r="I2912" s="8" t="s">
        <v>6166</v>
      </c>
      <c r="J2912" s="2">
        <v>2027</v>
      </c>
      <c r="K2912" s="2">
        <v>349</v>
      </c>
      <c r="L2912" s="8" t="s">
        <v>5494</v>
      </c>
      <c r="M2912" s="2"/>
      <c r="N2912" s="8" t="s">
        <v>6170</v>
      </c>
      <c r="O2912" s="8" t="str">
        <f t="shared" si="271"/>
        <v>PDFを開く</v>
      </c>
      <c r="P2912" s="8" t="s">
        <v>2312</v>
      </c>
    </row>
    <row r="2913" spans="1:16" ht="33.950000000000003" customHeight="1">
      <c r="A2913" s="5" t="s">
        <v>2305</v>
      </c>
      <c r="B2913" s="5" t="s">
        <v>1595</v>
      </c>
      <c r="C2913" s="9" t="s">
        <v>2306</v>
      </c>
      <c r="D2913" s="5">
        <v>2</v>
      </c>
      <c r="E2913" s="9" t="s">
        <v>3184</v>
      </c>
      <c r="F2913" s="5" t="s">
        <v>86</v>
      </c>
      <c r="G2913" s="5" t="s">
        <v>3177</v>
      </c>
      <c r="H2913" s="5" t="s">
        <v>3178</v>
      </c>
      <c r="I2913" s="9" t="s">
        <v>6168</v>
      </c>
      <c r="J2913" s="5">
        <v>2030</v>
      </c>
      <c r="K2913" s="5">
        <v>433</v>
      </c>
      <c r="L2913" s="9" t="s">
        <v>3567</v>
      </c>
      <c r="M2913" s="5"/>
      <c r="N2913" s="9" t="s">
        <v>6170</v>
      </c>
      <c r="O2913" s="9" t="str">
        <f t="shared" si="271"/>
        <v>PDFを開く</v>
      </c>
      <c r="P2913" s="9" t="s">
        <v>2312</v>
      </c>
    </row>
    <row r="2914" spans="1:16" ht="33.950000000000003" customHeight="1">
      <c r="A2914" s="2" t="s">
        <v>2313</v>
      </c>
      <c r="B2914" s="2" t="s">
        <v>1595</v>
      </c>
      <c r="C2914" s="8" t="s">
        <v>2314</v>
      </c>
      <c r="D2914" s="2">
        <v>2</v>
      </c>
      <c r="E2914" s="8" t="s">
        <v>3176</v>
      </c>
      <c r="F2914" s="2" t="s">
        <v>86</v>
      </c>
      <c r="G2914" s="2" t="s">
        <v>3177</v>
      </c>
      <c r="H2914" s="2" t="s">
        <v>3178</v>
      </c>
      <c r="I2914" s="8" t="s">
        <v>3259</v>
      </c>
      <c r="J2914" s="2">
        <v>2027</v>
      </c>
      <c r="K2914" s="2">
        <v>5828</v>
      </c>
      <c r="L2914" s="8" t="s">
        <v>6174</v>
      </c>
      <c r="M2914" s="2">
        <v>19.100000000000001</v>
      </c>
      <c r="N2914" s="8" t="s">
        <v>6175</v>
      </c>
      <c r="O2914" s="8" t="str">
        <f t="shared" ref="O2914:O2920" si="272">HYPERLINK("https://seichotoushi-hojo.jp/assets/pdf/koufu_3_4ji/outline_86.pdf","PDFを開く")</f>
        <v>PDFを開く</v>
      </c>
      <c r="P2914" s="8" t="s">
        <v>2319</v>
      </c>
    </row>
    <row r="2915" spans="1:16" ht="33.950000000000003" customHeight="1">
      <c r="A2915" s="5" t="s">
        <v>2313</v>
      </c>
      <c r="B2915" s="5" t="s">
        <v>1595</v>
      </c>
      <c r="C2915" s="9" t="s">
        <v>2314</v>
      </c>
      <c r="D2915" s="5">
        <v>2</v>
      </c>
      <c r="E2915" s="9" t="s">
        <v>3176</v>
      </c>
      <c r="F2915" s="5" t="s">
        <v>86</v>
      </c>
      <c r="G2915" s="5" t="s">
        <v>3177</v>
      </c>
      <c r="H2915" s="5" t="s">
        <v>3178</v>
      </c>
      <c r="I2915" s="9" t="s">
        <v>3262</v>
      </c>
      <c r="J2915" s="5">
        <v>2030</v>
      </c>
      <c r="K2915" s="5">
        <v>9849</v>
      </c>
      <c r="L2915" s="9" t="s">
        <v>6176</v>
      </c>
      <c r="M2915" s="5">
        <v>19.100000000000001</v>
      </c>
      <c r="N2915" s="9" t="s">
        <v>6175</v>
      </c>
      <c r="O2915" s="9" t="str">
        <f t="shared" si="272"/>
        <v>PDFを開く</v>
      </c>
      <c r="P2915" s="9" t="s">
        <v>2319</v>
      </c>
    </row>
    <row r="2916" spans="1:16" ht="33.950000000000003" customHeight="1">
      <c r="A2916" s="2" t="s">
        <v>2313</v>
      </c>
      <c r="B2916" s="2" t="s">
        <v>1595</v>
      </c>
      <c r="C2916" s="8" t="s">
        <v>2314</v>
      </c>
      <c r="D2916" s="2">
        <v>2</v>
      </c>
      <c r="E2916" s="8" t="s">
        <v>3184</v>
      </c>
      <c r="F2916" s="2" t="s">
        <v>86</v>
      </c>
      <c r="G2916" s="2" t="s">
        <v>3177</v>
      </c>
      <c r="H2916" s="2" t="s">
        <v>3178</v>
      </c>
      <c r="I2916" s="8" t="s">
        <v>3259</v>
      </c>
      <c r="J2916" s="2">
        <v>2027</v>
      </c>
      <c r="K2916" s="2">
        <v>866</v>
      </c>
      <c r="L2916" s="8" t="s">
        <v>6177</v>
      </c>
      <c r="M2916" s="2">
        <v>7.5</v>
      </c>
      <c r="N2916" s="8" t="s">
        <v>6178</v>
      </c>
      <c r="O2916" s="8" t="str">
        <f t="shared" si="272"/>
        <v>PDFを開く</v>
      </c>
      <c r="P2916" s="8" t="s">
        <v>2319</v>
      </c>
    </row>
    <row r="2917" spans="1:16" ht="33.950000000000003" customHeight="1">
      <c r="A2917" s="5" t="s">
        <v>2313</v>
      </c>
      <c r="B2917" s="5" t="s">
        <v>1595</v>
      </c>
      <c r="C2917" s="9" t="s">
        <v>2314</v>
      </c>
      <c r="D2917" s="5">
        <v>2</v>
      </c>
      <c r="E2917" s="9" t="s">
        <v>3184</v>
      </c>
      <c r="F2917" s="5" t="s">
        <v>86</v>
      </c>
      <c r="G2917" s="5" t="s">
        <v>3177</v>
      </c>
      <c r="H2917" s="5" t="s">
        <v>3178</v>
      </c>
      <c r="I2917" s="9" t="s">
        <v>3262</v>
      </c>
      <c r="J2917" s="5">
        <v>2030</v>
      </c>
      <c r="K2917" s="5">
        <v>1076</v>
      </c>
      <c r="L2917" s="9" t="s">
        <v>5389</v>
      </c>
      <c r="M2917" s="5">
        <v>7.5</v>
      </c>
      <c r="N2917" s="9" t="s">
        <v>6178</v>
      </c>
      <c r="O2917" s="9" t="str">
        <f t="shared" si="272"/>
        <v>PDFを開く</v>
      </c>
      <c r="P2917" s="9" t="s">
        <v>2319</v>
      </c>
    </row>
    <row r="2918" spans="1:16" ht="33.950000000000003" customHeight="1">
      <c r="A2918" s="2" t="s">
        <v>2313</v>
      </c>
      <c r="B2918" s="2" t="s">
        <v>1595</v>
      </c>
      <c r="C2918" s="8" t="s">
        <v>2314</v>
      </c>
      <c r="D2918" s="2">
        <v>2</v>
      </c>
      <c r="E2918" s="8" t="s">
        <v>3188</v>
      </c>
      <c r="F2918" s="2" t="s">
        <v>86</v>
      </c>
      <c r="G2918" s="19" t="s">
        <v>3189</v>
      </c>
      <c r="H2918" s="2" t="s">
        <v>3178</v>
      </c>
      <c r="I2918" s="8"/>
      <c r="J2918" s="2"/>
      <c r="K2918" s="2"/>
      <c r="L2918" s="8"/>
      <c r="M2918" s="2">
        <v>6</v>
      </c>
      <c r="N2918" s="8" t="s">
        <v>3930</v>
      </c>
      <c r="O2918" s="8" t="str">
        <f t="shared" si="272"/>
        <v>PDFを開く</v>
      </c>
      <c r="P2918" s="8" t="s">
        <v>2319</v>
      </c>
    </row>
    <row r="2919" spans="1:16" ht="33.950000000000003" customHeight="1">
      <c r="A2919" s="5" t="s">
        <v>2313</v>
      </c>
      <c r="B2919" s="5" t="s">
        <v>1595</v>
      </c>
      <c r="C2919" s="9" t="s">
        <v>2314</v>
      </c>
      <c r="D2919" s="5">
        <v>2</v>
      </c>
      <c r="E2919" s="9" t="s">
        <v>3191</v>
      </c>
      <c r="F2919" s="5" t="s">
        <v>2513</v>
      </c>
      <c r="G2919" s="5" t="s">
        <v>3177</v>
      </c>
      <c r="H2919" s="5" t="s">
        <v>3178</v>
      </c>
      <c r="I2919" s="9" t="s">
        <v>3259</v>
      </c>
      <c r="J2919" s="5">
        <v>2027</v>
      </c>
      <c r="K2919" s="5">
        <v>219</v>
      </c>
      <c r="L2919" s="9" t="s">
        <v>6179</v>
      </c>
      <c r="M2919" s="5"/>
      <c r="N2919" s="9" t="s">
        <v>6180</v>
      </c>
      <c r="O2919" s="9" t="str">
        <f t="shared" si="272"/>
        <v>PDFを開く</v>
      </c>
      <c r="P2919" s="9" t="s">
        <v>2319</v>
      </c>
    </row>
    <row r="2920" spans="1:16" ht="33.950000000000003" customHeight="1">
      <c r="A2920" s="2" t="s">
        <v>2313</v>
      </c>
      <c r="B2920" s="2" t="s">
        <v>1595</v>
      </c>
      <c r="C2920" s="8" t="s">
        <v>2314</v>
      </c>
      <c r="D2920" s="2">
        <v>2</v>
      </c>
      <c r="E2920" s="8" t="s">
        <v>3191</v>
      </c>
      <c r="F2920" s="2" t="s">
        <v>2513</v>
      </c>
      <c r="G2920" s="2" t="s">
        <v>3177</v>
      </c>
      <c r="H2920" s="2" t="s">
        <v>3178</v>
      </c>
      <c r="I2920" s="8" t="s">
        <v>3262</v>
      </c>
      <c r="J2920" s="2">
        <v>2030</v>
      </c>
      <c r="K2920" s="2">
        <v>230</v>
      </c>
      <c r="L2920" s="8" t="s">
        <v>4898</v>
      </c>
      <c r="M2920" s="2"/>
      <c r="N2920" s="8" t="s">
        <v>6180</v>
      </c>
      <c r="O2920" s="8" t="str">
        <f t="shared" si="272"/>
        <v>PDFを開く</v>
      </c>
      <c r="P2920" s="8" t="s">
        <v>2319</v>
      </c>
    </row>
    <row r="2921" spans="1:16" ht="33.950000000000003" customHeight="1">
      <c r="A2921" s="5" t="s">
        <v>2320</v>
      </c>
      <c r="B2921" s="5" t="s">
        <v>1595</v>
      </c>
      <c r="C2921" s="9" t="s">
        <v>2321</v>
      </c>
      <c r="D2921" s="5">
        <v>2</v>
      </c>
      <c r="E2921" s="9" t="s">
        <v>3176</v>
      </c>
      <c r="F2921" s="5" t="s">
        <v>86</v>
      </c>
      <c r="G2921" s="5" t="s">
        <v>3177</v>
      </c>
      <c r="H2921" s="5" t="s">
        <v>3178</v>
      </c>
      <c r="I2921" s="9" t="s">
        <v>6181</v>
      </c>
      <c r="J2921" s="5">
        <v>2027</v>
      </c>
      <c r="K2921" s="5">
        <v>2662</v>
      </c>
      <c r="L2921" s="9" t="s">
        <v>6182</v>
      </c>
      <c r="M2921" s="5">
        <v>28.9</v>
      </c>
      <c r="N2921" s="9" t="s">
        <v>6183</v>
      </c>
      <c r="O2921" s="9" t="str">
        <f t="shared" ref="O2921:O2929" si="273">HYPERLINK("https://seichotoushi-hojo.jp/assets/pdf/koufu_3_4ji/outline_87.pdf","PDFを開く")</f>
        <v>PDFを開く</v>
      </c>
      <c r="P2921" s="9" t="s">
        <v>2327</v>
      </c>
    </row>
    <row r="2922" spans="1:16" ht="33.950000000000003" customHeight="1">
      <c r="A2922" s="2" t="s">
        <v>2320</v>
      </c>
      <c r="B2922" s="2" t="s">
        <v>1595</v>
      </c>
      <c r="C2922" s="8" t="s">
        <v>2321</v>
      </c>
      <c r="D2922" s="2">
        <v>2</v>
      </c>
      <c r="E2922" s="8" t="s">
        <v>3176</v>
      </c>
      <c r="F2922" s="2" t="s">
        <v>86</v>
      </c>
      <c r="G2922" s="2" t="s">
        <v>3177</v>
      </c>
      <c r="H2922" s="2" t="s">
        <v>3178</v>
      </c>
      <c r="I2922" s="8" t="s">
        <v>6184</v>
      </c>
      <c r="J2922" s="2">
        <v>2030</v>
      </c>
      <c r="K2922" s="2">
        <v>5699</v>
      </c>
      <c r="L2922" s="8" t="s">
        <v>6185</v>
      </c>
      <c r="M2922" s="2">
        <v>28.9</v>
      </c>
      <c r="N2922" s="8" t="s">
        <v>6183</v>
      </c>
      <c r="O2922" s="8" t="str">
        <f t="shared" si="273"/>
        <v>PDFを開く</v>
      </c>
      <c r="P2922" s="8" t="s">
        <v>2327</v>
      </c>
    </row>
    <row r="2923" spans="1:16" ht="33.950000000000003" customHeight="1">
      <c r="A2923" s="5" t="s">
        <v>2320</v>
      </c>
      <c r="B2923" s="5" t="s">
        <v>1595</v>
      </c>
      <c r="C2923" s="9" t="s">
        <v>2321</v>
      </c>
      <c r="D2923" s="5">
        <v>2</v>
      </c>
      <c r="E2923" s="9" t="s">
        <v>3184</v>
      </c>
      <c r="F2923" s="5" t="s">
        <v>86</v>
      </c>
      <c r="G2923" s="5" t="s">
        <v>3177</v>
      </c>
      <c r="H2923" s="5" t="s">
        <v>3178</v>
      </c>
      <c r="I2923" s="9" t="s">
        <v>6181</v>
      </c>
      <c r="J2923" s="5">
        <v>2027</v>
      </c>
      <c r="K2923" s="5">
        <v>398</v>
      </c>
      <c r="L2923" s="9" t="s">
        <v>5676</v>
      </c>
      <c r="M2923" s="5">
        <v>6</v>
      </c>
      <c r="N2923" s="9" t="s">
        <v>6186</v>
      </c>
      <c r="O2923" s="9" t="str">
        <f t="shared" si="273"/>
        <v>PDFを開く</v>
      </c>
      <c r="P2923" s="9" t="s">
        <v>2327</v>
      </c>
    </row>
    <row r="2924" spans="1:16" ht="33.950000000000003" customHeight="1">
      <c r="A2924" s="2" t="s">
        <v>2320</v>
      </c>
      <c r="B2924" s="2" t="s">
        <v>1595</v>
      </c>
      <c r="C2924" s="8" t="s">
        <v>2321</v>
      </c>
      <c r="D2924" s="2">
        <v>2</v>
      </c>
      <c r="E2924" s="8" t="s">
        <v>3184</v>
      </c>
      <c r="F2924" s="2" t="s">
        <v>86</v>
      </c>
      <c r="G2924" s="2" t="s">
        <v>3177</v>
      </c>
      <c r="H2924" s="2" t="s">
        <v>3178</v>
      </c>
      <c r="I2924" s="8" t="s">
        <v>6184</v>
      </c>
      <c r="J2924" s="2">
        <v>2030</v>
      </c>
      <c r="K2924" s="2">
        <v>473</v>
      </c>
      <c r="L2924" s="8" t="s">
        <v>4221</v>
      </c>
      <c r="M2924" s="2">
        <v>6</v>
      </c>
      <c r="N2924" s="8" t="s">
        <v>6186</v>
      </c>
      <c r="O2924" s="8" t="str">
        <f t="shared" si="273"/>
        <v>PDFを開く</v>
      </c>
      <c r="P2924" s="8" t="s">
        <v>2327</v>
      </c>
    </row>
    <row r="2925" spans="1:16" ht="33.950000000000003" customHeight="1">
      <c r="A2925" s="5" t="s">
        <v>2320</v>
      </c>
      <c r="B2925" s="5" t="s">
        <v>1595</v>
      </c>
      <c r="C2925" s="9" t="s">
        <v>2321</v>
      </c>
      <c r="D2925" s="5">
        <v>2</v>
      </c>
      <c r="E2925" s="9" t="s">
        <v>3188</v>
      </c>
      <c r="F2925" s="5" t="s">
        <v>86</v>
      </c>
      <c r="G2925" s="19" t="s">
        <v>3189</v>
      </c>
      <c r="H2925" s="5" t="s">
        <v>3178</v>
      </c>
      <c r="I2925" s="9"/>
      <c r="J2925" s="5"/>
      <c r="K2925" s="5"/>
      <c r="L2925" s="9"/>
      <c r="M2925" s="5">
        <v>5</v>
      </c>
      <c r="N2925" s="9" t="s">
        <v>3377</v>
      </c>
      <c r="O2925" s="9" t="str">
        <f t="shared" si="273"/>
        <v>PDFを開く</v>
      </c>
      <c r="P2925" s="9" t="s">
        <v>2327</v>
      </c>
    </row>
    <row r="2926" spans="1:16" ht="33.950000000000003" customHeight="1">
      <c r="A2926" s="2" t="s">
        <v>2320</v>
      </c>
      <c r="B2926" s="2" t="s">
        <v>1595</v>
      </c>
      <c r="C2926" s="8" t="s">
        <v>2321</v>
      </c>
      <c r="D2926" s="2">
        <v>2</v>
      </c>
      <c r="E2926" s="8" t="s">
        <v>3191</v>
      </c>
      <c r="F2926" s="2" t="s">
        <v>2513</v>
      </c>
      <c r="G2926" s="2" t="s">
        <v>3177</v>
      </c>
      <c r="H2926" s="2" t="s">
        <v>3178</v>
      </c>
      <c r="I2926" s="8" t="s">
        <v>6181</v>
      </c>
      <c r="J2926" s="2">
        <v>2027</v>
      </c>
      <c r="K2926" s="2">
        <v>40</v>
      </c>
      <c r="L2926" s="8" t="s">
        <v>4235</v>
      </c>
      <c r="M2926" s="2"/>
      <c r="N2926" s="8" t="s">
        <v>6187</v>
      </c>
      <c r="O2926" s="8" t="str">
        <f t="shared" si="273"/>
        <v>PDFを開く</v>
      </c>
      <c r="P2926" s="8" t="s">
        <v>2327</v>
      </c>
    </row>
    <row r="2927" spans="1:16" ht="33.950000000000003" customHeight="1">
      <c r="A2927" s="5" t="s">
        <v>2320</v>
      </c>
      <c r="B2927" s="5" t="s">
        <v>1595</v>
      </c>
      <c r="C2927" s="9" t="s">
        <v>2321</v>
      </c>
      <c r="D2927" s="5">
        <v>2</v>
      </c>
      <c r="E2927" s="9" t="s">
        <v>3191</v>
      </c>
      <c r="F2927" s="5" t="s">
        <v>2513</v>
      </c>
      <c r="G2927" s="5" t="s">
        <v>3177</v>
      </c>
      <c r="H2927" s="5" t="s">
        <v>3178</v>
      </c>
      <c r="I2927" s="9" t="s">
        <v>6184</v>
      </c>
      <c r="J2927" s="5">
        <v>2030</v>
      </c>
      <c r="K2927" s="5">
        <v>49</v>
      </c>
      <c r="L2927" s="9" t="s">
        <v>6188</v>
      </c>
      <c r="M2927" s="5"/>
      <c r="N2927" s="9" t="s">
        <v>6187</v>
      </c>
      <c r="O2927" s="9" t="str">
        <f t="shared" si="273"/>
        <v>PDFを開く</v>
      </c>
      <c r="P2927" s="9" t="s">
        <v>2327</v>
      </c>
    </row>
    <row r="2928" spans="1:16" ht="33.950000000000003" customHeight="1">
      <c r="A2928" s="2" t="s">
        <v>2320</v>
      </c>
      <c r="B2928" s="2" t="s">
        <v>1595</v>
      </c>
      <c r="C2928" s="8" t="s">
        <v>2321</v>
      </c>
      <c r="D2928" s="2">
        <v>2</v>
      </c>
      <c r="E2928" s="8" t="s">
        <v>3188</v>
      </c>
      <c r="F2928" s="2" t="s">
        <v>86</v>
      </c>
      <c r="G2928" s="2" t="s">
        <v>3177</v>
      </c>
      <c r="H2928" s="2"/>
      <c r="I2928" s="8" t="s">
        <v>6189</v>
      </c>
      <c r="J2928" s="2">
        <v>2027</v>
      </c>
      <c r="K2928" s="2"/>
      <c r="L2928" s="8" t="s">
        <v>3211</v>
      </c>
      <c r="M2928" s="2">
        <v>5</v>
      </c>
      <c r="N2928" s="8" t="s">
        <v>3382</v>
      </c>
      <c r="O2928" s="8" t="str">
        <f t="shared" si="273"/>
        <v>PDFを開く</v>
      </c>
      <c r="P2928" s="8" t="s">
        <v>2327</v>
      </c>
    </row>
    <row r="2929" spans="1:16" ht="33.950000000000003" customHeight="1">
      <c r="A2929" s="5" t="s">
        <v>2320</v>
      </c>
      <c r="B2929" s="5" t="s">
        <v>1595</v>
      </c>
      <c r="C2929" s="9" t="s">
        <v>2321</v>
      </c>
      <c r="D2929" s="5">
        <v>2</v>
      </c>
      <c r="E2929" s="9" t="s">
        <v>3188</v>
      </c>
      <c r="F2929" s="5" t="s">
        <v>86</v>
      </c>
      <c r="G2929" s="5" t="s">
        <v>3177</v>
      </c>
      <c r="H2929" s="5"/>
      <c r="I2929" s="9" t="s">
        <v>6190</v>
      </c>
      <c r="J2929" s="5">
        <v>2030</v>
      </c>
      <c r="K2929" s="5"/>
      <c r="L2929" s="9" t="s">
        <v>3384</v>
      </c>
      <c r="M2929" s="5">
        <v>5</v>
      </c>
      <c r="N2929" s="9" t="s">
        <v>3382</v>
      </c>
      <c r="O2929" s="9" t="str">
        <f t="shared" si="273"/>
        <v>PDFを開く</v>
      </c>
      <c r="P2929" s="9" t="s">
        <v>2327</v>
      </c>
    </row>
    <row r="2930" spans="1:16" ht="33.950000000000003" customHeight="1">
      <c r="A2930" s="2" t="s">
        <v>2328</v>
      </c>
      <c r="B2930" s="2" t="s">
        <v>1595</v>
      </c>
      <c r="C2930" s="8" t="s">
        <v>2329</v>
      </c>
      <c r="D2930" s="2">
        <v>2</v>
      </c>
      <c r="E2930" s="8" t="s">
        <v>3176</v>
      </c>
      <c r="F2930" s="2" t="s">
        <v>86</v>
      </c>
      <c r="G2930" s="2" t="s">
        <v>3177</v>
      </c>
      <c r="H2930" s="2" t="s">
        <v>3178</v>
      </c>
      <c r="I2930" s="8" t="s">
        <v>6191</v>
      </c>
      <c r="J2930" s="2">
        <v>2027</v>
      </c>
      <c r="K2930" s="2">
        <v>447</v>
      </c>
      <c r="L2930" s="8" t="s">
        <v>6192</v>
      </c>
      <c r="M2930" s="2">
        <v>30.4</v>
      </c>
      <c r="N2930" s="8" t="s">
        <v>6193</v>
      </c>
      <c r="O2930" s="8" t="str">
        <f t="shared" ref="O2930:O2938" si="274">HYPERLINK("https://seichotoushi-hojo.jp/assets/pdf/koufu_3_4ji/outline_88.pdf","PDFを開く")</f>
        <v>PDFを開く</v>
      </c>
      <c r="P2930" s="8" t="s">
        <v>2335</v>
      </c>
    </row>
    <row r="2931" spans="1:16" ht="33.950000000000003" customHeight="1">
      <c r="A2931" s="5" t="s">
        <v>2328</v>
      </c>
      <c r="B2931" s="5" t="s">
        <v>1595</v>
      </c>
      <c r="C2931" s="9" t="s">
        <v>2329</v>
      </c>
      <c r="D2931" s="5">
        <v>2</v>
      </c>
      <c r="E2931" s="9" t="s">
        <v>3176</v>
      </c>
      <c r="F2931" s="5" t="s">
        <v>86</v>
      </c>
      <c r="G2931" s="5" t="s">
        <v>3177</v>
      </c>
      <c r="H2931" s="5" t="s">
        <v>3178</v>
      </c>
      <c r="I2931" s="9" t="s">
        <v>6194</v>
      </c>
      <c r="J2931" s="5">
        <v>2030</v>
      </c>
      <c r="K2931" s="5">
        <v>991</v>
      </c>
      <c r="L2931" s="9" t="s">
        <v>4669</v>
      </c>
      <c r="M2931" s="5">
        <v>30.4</v>
      </c>
      <c r="N2931" s="9" t="s">
        <v>6193</v>
      </c>
      <c r="O2931" s="9" t="str">
        <f t="shared" si="274"/>
        <v>PDFを開く</v>
      </c>
      <c r="P2931" s="9" t="s">
        <v>2335</v>
      </c>
    </row>
    <row r="2932" spans="1:16" ht="33.950000000000003" customHeight="1">
      <c r="A2932" s="2" t="s">
        <v>2328</v>
      </c>
      <c r="B2932" s="2" t="s">
        <v>1595</v>
      </c>
      <c r="C2932" s="8" t="s">
        <v>2329</v>
      </c>
      <c r="D2932" s="2">
        <v>2</v>
      </c>
      <c r="E2932" s="8" t="s">
        <v>3184</v>
      </c>
      <c r="F2932" s="2" t="s">
        <v>86</v>
      </c>
      <c r="G2932" s="2" t="s">
        <v>3177</v>
      </c>
      <c r="H2932" s="2" t="s">
        <v>3178</v>
      </c>
      <c r="I2932" s="8" t="s">
        <v>6191</v>
      </c>
      <c r="J2932" s="2">
        <v>2027</v>
      </c>
      <c r="K2932" s="2">
        <v>320</v>
      </c>
      <c r="L2932" s="8" t="s">
        <v>6195</v>
      </c>
      <c r="M2932" s="2">
        <v>5.6</v>
      </c>
      <c r="N2932" s="8" t="s">
        <v>6196</v>
      </c>
      <c r="O2932" s="8" t="str">
        <f t="shared" si="274"/>
        <v>PDFを開く</v>
      </c>
      <c r="P2932" s="8" t="s">
        <v>2335</v>
      </c>
    </row>
    <row r="2933" spans="1:16" ht="33.950000000000003" customHeight="1">
      <c r="A2933" s="5" t="s">
        <v>2328</v>
      </c>
      <c r="B2933" s="5" t="s">
        <v>1595</v>
      </c>
      <c r="C2933" s="9" t="s">
        <v>2329</v>
      </c>
      <c r="D2933" s="5">
        <v>2</v>
      </c>
      <c r="E2933" s="9" t="s">
        <v>3184</v>
      </c>
      <c r="F2933" s="5" t="s">
        <v>86</v>
      </c>
      <c r="G2933" s="5" t="s">
        <v>3177</v>
      </c>
      <c r="H2933" s="5" t="s">
        <v>3178</v>
      </c>
      <c r="I2933" s="9" t="s">
        <v>6194</v>
      </c>
      <c r="J2933" s="5">
        <v>2030</v>
      </c>
      <c r="K2933" s="5">
        <v>377</v>
      </c>
      <c r="L2933" s="9" t="s">
        <v>5279</v>
      </c>
      <c r="M2933" s="5">
        <v>5.6</v>
      </c>
      <c r="N2933" s="9" t="s">
        <v>6196</v>
      </c>
      <c r="O2933" s="9" t="str">
        <f t="shared" si="274"/>
        <v>PDFを開く</v>
      </c>
      <c r="P2933" s="9" t="s">
        <v>2335</v>
      </c>
    </row>
    <row r="2934" spans="1:16" ht="33.950000000000003" customHeight="1">
      <c r="A2934" s="2" t="s">
        <v>2328</v>
      </c>
      <c r="B2934" s="2" t="s">
        <v>1595</v>
      </c>
      <c r="C2934" s="8" t="s">
        <v>2329</v>
      </c>
      <c r="D2934" s="2">
        <v>2</v>
      </c>
      <c r="E2934" s="8" t="s">
        <v>3188</v>
      </c>
      <c r="F2934" s="2" t="s">
        <v>86</v>
      </c>
      <c r="G2934" s="19" t="s">
        <v>3189</v>
      </c>
      <c r="H2934" s="2" t="s">
        <v>3178</v>
      </c>
      <c r="I2934" s="8"/>
      <c r="J2934" s="2"/>
      <c r="K2934" s="2"/>
      <c r="L2934" s="8"/>
      <c r="M2934" s="2">
        <v>5</v>
      </c>
      <c r="N2934" s="8" t="s">
        <v>3377</v>
      </c>
      <c r="O2934" s="8" t="str">
        <f t="shared" si="274"/>
        <v>PDFを開く</v>
      </c>
      <c r="P2934" s="8" t="s">
        <v>2335</v>
      </c>
    </row>
    <row r="2935" spans="1:16" ht="33.950000000000003" customHeight="1">
      <c r="A2935" s="5" t="s">
        <v>2328</v>
      </c>
      <c r="B2935" s="5" t="s">
        <v>1595</v>
      </c>
      <c r="C2935" s="9" t="s">
        <v>2329</v>
      </c>
      <c r="D2935" s="5">
        <v>2</v>
      </c>
      <c r="E2935" s="9" t="s">
        <v>3191</v>
      </c>
      <c r="F2935" s="5" t="s">
        <v>2513</v>
      </c>
      <c r="G2935" s="5" t="s">
        <v>3177</v>
      </c>
      <c r="H2935" s="5" t="s">
        <v>3178</v>
      </c>
      <c r="I2935" s="9" t="s">
        <v>6191</v>
      </c>
      <c r="J2935" s="5">
        <v>2027</v>
      </c>
      <c r="K2935" s="5">
        <v>159</v>
      </c>
      <c r="L2935" s="9" t="s">
        <v>6197</v>
      </c>
      <c r="M2935" s="5"/>
      <c r="N2935" s="9" t="s">
        <v>6198</v>
      </c>
      <c r="O2935" s="9" t="str">
        <f t="shared" si="274"/>
        <v>PDFを開く</v>
      </c>
      <c r="P2935" s="9" t="s">
        <v>2335</v>
      </c>
    </row>
    <row r="2936" spans="1:16" ht="33.950000000000003" customHeight="1">
      <c r="A2936" s="2" t="s">
        <v>2328</v>
      </c>
      <c r="B2936" s="2" t="s">
        <v>1595</v>
      </c>
      <c r="C2936" s="8" t="s">
        <v>2329</v>
      </c>
      <c r="D2936" s="2">
        <v>2</v>
      </c>
      <c r="E2936" s="8" t="s">
        <v>3191</v>
      </c>
      <c r="F2936" s="2" t="s">
        <v>2513</v>
      </c>
      <c r="G2936" s="2" t="s">
        <v>3177</v>
      </c>
      <c r="H2936" s="2" t="s">
        <v>3178</v>
      </c>
      <c r="I2936" s="8" t="s">
        <v>6194</v>
      </c>
      <c r="J2936" s="2">
        <v>2030</v>
      </c>
      <c r="K2936" s="2">
        <v>253</v>
      </c>
      <c r="L2936" s="8" t="s">
        <v>6199</v>
      </c>
      <c r="M2936" s="2"/>
      <c r="N2936" s="8" t="s">
        <v>6198</v>
      </c>
      <c r="O2936" s="8" t="str">
        <f t="shared" si="274"/>
        <v>PDFを開く</v>
      </c>
      <c r="P2936" s="8" t="s">
        <v>2335</v>
      </c>
    </row>
    <row r="2937" spans="1:16" ht="33.950000000000003" customHeight="1">
      <c r="A2937" s="5" t="s">
        <v>2328</v>
      </c>
      <c r="B2937" s="5" t="s">
        <v>1595</v>
      </c>
      <c r="C2937" s="9" t="s">
        <v>2329</v>
      </c>
      <c r="D2937" s="5">
        <v>2</v>
      </c>
      <c r="E2937" s="9" t="s">
        <v>3188</v>
      </c>
      <c r="F2937" s="5" t="s">
        <v>86</v>
      </c>
      <c r="G2937" s="5" t="s">
        <v>3177</v>
      </c>
      <c r="H2937" s="5"/>
      <c r="I2937" s="9" t="s">
        <v>6200</v>
      </c>
      <c r="J2937" s="5">
        <v>2027</v>
      </c>
      <c r="K2937" s="5"/>
      <c r="L2937" s="9" t="s">
        <v>3211</v>
      </c>
      <c r="M2937" s="5">
        <v>5</v>
      </c>
      <c r="N2937" s="9" t="s">
        <v>3382</v>
      </c>
      <c r="O2937" s="9" t="str">
        <f t="shared" si="274"/>
        <v>PDFを開く</v>
      </c>
      <c r="P2937" s="9" t="s">
        <v>2335</v>
      </c>
    </row>
    <row r="2938" spans="1:16" ht="33.950000000000003" customHeight="1">
      <c r="A2938" s="2" t="s">
        <v>2328</v>
      </c>
      <c r="B2938" s="2" t="s">
        <v>1595</v>
      </c>
      <c r="C2938" s="8" t="s">
        <v>2329</v>
      </c>
      <c r="D2938" s="2">
        <v>2</v>
      </c>
      <c r="E2938" s="8" t="s">
        <v>3188</v>
      </c>
      <c r="F2938" s="2" t="s">
        <v>86</v>
      </c>
      <c r="G2938" s="2" t="s">
        <v>3177</v>
      </c>
      <c r="H2938" s="2"/>
      <c r="I2938" s="8" t="s">
        <v>6201</v>
      </c>
      <c r="J2938" s="2">
        <v>2030</v>
      </c>
      <c r="K2938" s="2"/>
      <c r="L2938" s="8" t="s">
        <v>3384</v>
      </c>
      <c r="M2938" s="2">
        <v>5</v>
      </c>
      <c r="N2938" s="8" t="s">
        <v>3382</v>
      </c>
      <c r="O2938" s="8" t="str">
        <f t="shared" si="274"/>
        <v>PDFを開く</v>
      </c>
      <c r="P2938" s="8" t="s">
        <v>2335</v>
      </c>
    </row>
    <row r="2939" spans="1:16" ht="33.950000000000003" customHeight="1">
      <c r="A2939" s="5" t="s">
        <v>2336</v>
      </c>
      <c r="B2939" s="5" t="s">
        <v>1595</v>
      </c>
      <c r="C2939" s="9" t="s">
        <v>2337</v>
      </c>
      <c r="D2939" s="5">
        <v>2</v>
      </c>
      <c r="E2939" s="9" t="s">
        <v>3176</v>
      </c>
      <c r="F2939" s="5" t="s">
        <v>86</v>
      </c>
      <c r="G2939" s="5" t="s">
        <v>3177</v>
      </c>
      <c r="H2939" s="5" t="s">
        <v>3178</v>
      </c>
      <c r="I2939" s="9" t="s">
        <v>3259</v>
      </c>
      <c r="J2939" s="5">
        <v>2027</v>
      </c>
      <c r="K2939" s="5">
        <v>1332</v>
      </c>
      <c r="L2939" s="9" t="s">
        <v>3992</v>
      </c>
      <c r="M2939" s="5">
        <v>30.1</v>
      </c>
      <c r="N2939" s="9" t="s">
        <v>6202</v>
      </c>
      <c r="O2939" s="9" t="str">
        <f t="shared" ref="O2939:O2945" si="275">HYPERLINK("https://seichotoushi-hojo.jp/assets/pdf/koufu_3_4ji/outline_89.pdf","PDFを開く")</f>
        <v>PDFを開く</v>
      </c>
      <c r="P2939" s="9" t="s">
        <v>2344</v>
      </c>
    </row>
    <row r="2940" spans="1:16" ht="33.950000000000003" customHeight="1">
      <c r="A2940" s="2" t="s">
        <v>2336</v>
      </c>
      <c r="B2940" s="2" t="s">
        <v>1595</v>
      </c>
      <c r="C2940" s="8" t="s">
        <v>2337</v>
      </c>
      <c r="D2940" s="2">
        <v>2</v>
      </c>
      <c r="E2940" s="8" t="s">
        <v>3176</v>
      </c>
      <c r="F2940" s="2" t="s">
        <v>86</v>
      </c>
      <c r="G2940" s="2" t="s">
        <v>3177</v>
      </c>
      <c r="H2940" s="2" t="s">
        <v>3178</v>
      </c>
      <c r="I2940" s="8" t="s">
        <v>3262</v>
      </c>
      <c r="J2940" s="2">
        <v>2030</v>
      </c>
      <c r="K2940" s="2">
        <v>2935</v>
      </c>
      <c r="L2940" s="8" t="s">
        <v>6203</v>
      </c>
      <c r="M2940" s="2">
        <v>30.1</v>
      </c>
      <c r="N2940" s="8" t="s">
        <v>6202</v>
      </c>
      <c r="O2940" s="8" t="str">
        <f t="shared" si="275"/>
        <v>PDFを開く</v>
      </c>
      <c r="P2940" s="8" t="s">
        <v>2344</v>
      </c>
    </row>
    <row r="2941" spans="1:16" ht="33.950000000000003" customHeight="1">
      <c r="A2941" s="5" t="s">
        <v>2336</v>
      </c>
      <c r="B2941" s="5" t="s">
        <v>1595</v>
      </c>
      <c r="C2941" s="9" t="s">
        <v>2337</v>
      </c>
      <c r="D2941" s="5">
        <v>2</v>
      </c>
      <c r="E2941" s="9" t="s">
        <v>3184</v>
      </c>
      <c r="F2941" s="5" t="s">
        <v>86</v>
      </c>
      <c r="G2941" s="5" t="s">
        <v>3177</v>
      </c>
      <c r="H2941" s="5" t="s">
        <v>3178</v>
      </c>
      <c r="I2941" s="9" t="s">
        <v>3259</v>
      </c>
      <c r="J2941" s="5">
        <v>2027</v>
      </c>
      <c r="K2941" s="5">
        <v>437</v>
      </c>
      <c r="L2941" s="9" t="s">
        <v>5728</v>
      </c>
      <c r="M2941" s="5">
        <v>8</v>
      </c>
      <c r="N2941" s="9" t="s">
        <v>6204</v>
      </c>
      <c r="O2941" s="9" t="str">
        <f t="shared" si="275"/>
        <v>PDFを開く</v>
      </c>
      <c r="P2941" s="9" t="s">
        <v>2344</v>
      </c>
    </row>
    <row r="2942" spans="1:16" ht="33.950000000000003" customHeight="1">
      <c r="A2942" s="2" t="s">
        <v>2336</v>
      </c>
      <c r="B2942" s="2" t="s">
        <v>1595</v>
      </c>
      <c r="C2942" s="8" t="s">
        <v>2337</v>
      </c>
      <c r="D2942" s="2">
        <v>2</v>
      </c>
      <c r="E2942" s="8" t="s">
        <v>3184</v>
      </c>
      <c r="F2942" s="2" t="s">
        <v>86</v>
      </c>
      <c r="G2942" s="2" t="s">
        <v>3177</v>
      </c>
      <c r="H2942" s="2" t="s">
        <v>3178</v>
      </c>
      <c r="I2942" s="8" t="s">
        <v>3262</v>
      </c>
      <c r="J2942" s="2">
        <v>2030</v>
      </c>
      <c r="K2942" s="2">
        <v>551</v>
      </c>
      <c r="L2942" s="8" t="s">
        <v>3266</v>
      </c>
      <c r="M2942" s="2">
        <v>8</v>
      </c>
      <c r="N2942" s="8" t="s">
        <v>6204</v>
      </c>
      <c r="O2942" s="8" t="str">
        <f t="shared" si="275"/>
        <v>PDFを開く</v>
      </c>
      <c r="P2942" s="8" t="s">
        <v>2344</v>
      </c>
    </row>
    <row r="2943" spans="1:16" ht="33.950000000000003" customHeight="1">
      <c r="A2943" s="5" t="s">
        <v>2336</v>
      </c>
      <c r="B2943" s="5" t="s">
        <v>1595</v>
      </c>
      <c r="C2943" s="9" t="s">
        <v>2337</v>
      </c>
      <c r="D2943" s="5">
        <v>2</v>
      </c>
      <c r="E2943" s="9" t="s">
        <v>3188</v>
      </c>
      <c r="F2943" s="5" t="s">
        <v>86</v>
      </c>
      <c r="G2943" s="19" t="s">
        <v>3189</v>
      </c>
      <c r="H2943" s="5" t="s">
        <v>3178</v>
      </c>
      <c r="I2943" s="9"/>
      <c r="J2943" s="5"/>
      <c r="K2943" s="5"/>
      <c r="L2943" s="9"/>
      <c r="M2943" s="5"/>
      <c r="N2943" s="9" t="s">
        <v>3488</v>
      </c>
      <c r="O2943" s="9" t="str">
        <f t="shared" si="275"/>
        <v>PDFを開く</v>
      </c>
      <c r="P2943" s="9" t="s">
        <v>2344</v>
      </c>
    </row>
    <row r="2944" spans="1:16" ht="33.950000000000003" customHeight="1">
      <c r="A2944" s="2" t="s">
        <v>2336</v>
      </c>
      <c r="B2944" s="2" t="s">
        <v>1595</v>
      </c>
      <c r="C2944" s="8" t="s">
        <v>2337</v>
      </c>
      <c r="D2944" s="2">
        <v>2</v>
      </c>
      <c r="E2944" s="8" t="s">
        <v>3191</v>
      </c>
      <c r="F2944" s="2" t="s">
        <v>2513</v>
      </c>
      <c r="G2944" s="2" t="s">
        <v>3177</v>
      </c>
      <c r="H2944" s="2" t="s">
        <v>3178</v>
      </c>
      <c r="I2944" s="8" t="s">
        <v>3259</v>
      </c>
      <c r="J2944" s="2">
        <v>2027</v>
      </c>
      <c r="K2944" s="2">
        <v>304</v>
      </c>
      <c r="L2944" s="8" t="s">
        <v>6205</v>
      </c>
      <c r="M2944" s="2"/>
      <c r="N2944" s="8" t="s">
        <v>6206</v>
      </c>
      <c r="O2944" s="8" t="str">
        <f t="shared" si="275"/>
        <v>PDFを開く</v>
      </c>
      <c r="P2944" s="8" t="s">
        <v>2344</v>
      </c>
    </row>
    <row r="2945" spans="1:16" ht="33.950000000000003" customHeight="1">
      <c r="A2945" s="5" t="s">
        <v>2336</v>
      </c>
      <c r="B2945" s="5" t="s">
        <v>1595</v>
      </c>
      <c r="C2945" s="9" t="s">
        <v>2337</v>
      </c>
      <c r="D2945" s="5">
        <v>2</v>
      </c>
      <c r="E2945" s="9" t="s">
        <v>3191</v>
      </c>
      <c r="F2945" s="5" t="s">
        <v>2513</v>
      </c>
      <c r="G2945" s="5" t="s">
        <v>3177</v>
      </c>
      <c r="H2945" s="5" t="s">
        <v>3178</v>
      </c>
      <c r="I2945" s="9" t="s">
        <v>3262</v>
      </c>
      <c r="J2945" s="5">
        <v>2030</v>
      </c>
      <c r="K2945" s="5">
        <v>321</v>
      </c>
      <c r="L2945" s="9" t="s">
        <v>6207</v>
      </c>
      <c r="M2945" s="5"/>
      <c r="N2945" s="9" t="s">
        <v>6206</v>
      </c>
      <c r="O2945" s="9" t="str">
        <f t="shared" si="275"/>
        <v>PDFを開く</v>
      </c>
      <c r="P2945" s="9" t="s">
        <v>2344</v>
      </c>
    </row>
    <row r="2946" spans="1:16" ht="33.950000000000003" customHeight="1">
      <c r="A2946" s="2" t="s">
        <v>2345</v>
      </c>
      <c r="B2946" s="2" t="s">
        <v>1595</v>
      </c>
      <c r="C2946" s="8" t="s">
        <v>2346</v>
      </c>
      <c r="D2946" s="2">
        <v>3</v>
      </c>
      <c r="E2946" s="8" t="s">
        <v>3176</v>
      </c>
      <c r="F2946" s="2" t="s">
        <v>86</v>
      </c>
      <c r="G2946" s="19" t="s">
        <v>3494</v>
      </c>
      <c r="H2946" s="2" t="s">
        <v>3178</v>
      </c>
      <c r="I2946" s="8" t="s">
        <v>6068</v>
      </c>
      <c r="J2946" s="2">
        <v>2028</v>
      </c>
      <c r="K2946" s="2">
        <v>1095</v>
      </c>
      <c r="L2946" s="8" t="s">
        <v>3618</v>
      </c>
      <c r="M2946" s="2">
        <v>20.100000000000001</v>
      </c>
      <c r="N2946" s="8" t="s">
        <v>6208</v>
      </c>
      <c r="O2946" s="8" t="str">
        <f t="shared" ref="O2946:O2969" si="276">HYPERLINK("https://seichotoushi-hojo.jp/assets/pdf/koufu_3_4ji/outline_9.pdf","PDFを開く")</f>
        <v>PDFを開く</v>
      </c>
      <c r="P2946" s="8" t="s">
        <v>2352</v>
      </c>
    </row>
    <row r="2947" spans="1:16" ht="33.950000000000003" customHeight="1">
      <c r="A2947" s="5" t="s">
        <v>2345</v>
      </c>
      <c r="B2947" s="5" t="s">
        <v>1595</v>
      </c>
      <c r="C2947" s="9" t="s">
        <v>2346</v>
      </c>
      <c r="D2947" s="5">
        <v>3</v>
      </c>
      <c r="E2947" s="9" t="s">
        <v>3176</v>
      </c>
      <c r="F2947" s="5" t="s">
        <v>86</v>
      </c>
      <c r="G2947" s="19" t="s">
        <v>3494</v>
      </c>
      <c r="H2947" s="5" t="s">
        <v>3178</v>
      </c>
      <c r="I2947" s="9" t="s">
        <v>6070</v>
      </c>
      <c r="J2947" s="5">
        <v>2031</v>
      </c>
      <c r="K2947" s="5">
        <v>1898</v>
      </c>
      <c r="L2947" s="9" t="s">
        <v>6209</v>
      </c>
      <c r="M2947" s="5">
        <v>20.100000000000001</v>
      </c>
      <c r="N2947" s="9" t="s">
        <v>6208</v>
      </c>
      <c r="O2947" s="9" t="str">
        <f t="shared" si="276"/>
        <v>PDFを開く</v>
      </c>
      <c r="P2947" s="9" t="s">
        <v>2352</v>
      </c>
    </row>
    <row r="2948" spans="1:16" ht="33.950000000000003" customHeight="1">
      <c r="A2948" s="2" t="s">
        <v>2345</v>
      </c>
      <c r="B2948" s="2" t="s">
        <v>1595</v>
      </c>
      <c r="C2948" s="8" t="s">
        <v>2346</v>
      </c>
      <c r="D2948" s="2">
        <v>3</v>
      </c>
      <c r="E2948" s="8" t="s">
        <v>3184</v>
      </c>
      <c r="F2948" s="2" t="s">
        <v>86</v>
      </c>
      <c r="G2948" s="19" t="s">
        <v>3494</v>
      </c>
      <c r="H2948" s="2" t="s">
        <v>3178</v>
      </c>
      <c r="I2948" s="8" t="s">
        <v>6068</v>
      </c>
      <c r="J2948" s="2">
        <v>2028</v>
      </c>
      <c r="K2948" s="2">
        <v>655</v>
      </c>
      <c r="L2948" s="8" t="s">
        <v>3639</v>
      </c>
      <c r="M2948" s="2">
        <v>5.5</v>
      </c>
      <c r="N2948" s="8" t="s">
        <v>6210</v>
      </c>
      <c r="O2948" s="8" t="str">
        <f t="shared" si="276"/>
        <v>PDFを開く</v>
      </c>
      <c r="P2948" s="8" t="s">
        <v>2352</v>
      </c>
    </row>
    <row r="2949" spans="1:16" ht="33.950000000000003" customHeight="1">
      <c r="A2949" s="5" t="s">
        <v>2345</v>
      </c>
      <c r="B2949" s="5" t="s">
        <v>1595</v>
      </c>
      <c r="C2949" s="9" t="s">
        <v>2346</v>
      </c>
      <c r="D2949" s="5">
        <v>3</v>
      </c>
      <c r="E2949" s="9" t="s">
        <v>3184</v>
      </c>
      <c r="F2949" s="5" t="s">
        <v>86</v>
      </c>
      <c r="G2949" s="19" t="s">
        <v>3494</v>
      </c>
      <c r="H2949" s="5" t="s">
        <v>3178</v>
      </c>
      <c r="I2949" s="9" t="s">
        <v>6070</v>
      </c>
      <c r="J2949" s="5">
        <v>2031</v>
      </c>
      <c r="K2949" s="5">
        <v>769</v>
      </c>
      <c r="L2949" s="9" t="s">
        <v>6211</v>
      </c>
      <c r="M2949" s="5">
        <v>5.5</v>
      </c>
      <c r="N2949" s="9" t="s">
        <v>6210</v>
      </c>
      <c r="O2949" s="9" t="str">
        <f t="shared" si="276"/>
        <v>PDFを開く</v>
      </c>
      <c r="P2949" s="9" t="s">
        <v>2352</v>
      </c>
    </row>
    <row r="2950" spans="1:16" ht="33.950000000000003" customHeight="1">
      <c r="A2950" s="2" t="s">
        <v>2345</v>
      </c>
      <c r="B2950" s="2" t="s">
        <v>1595</v>
      </c>
      <c r="C2950" s="8" t="s">
        <v>2346</v>
      </c>
      <c r="D2950" s="2">
        <v>3</v>
      </c>
      <c r="E2950" s="8" t="s">
        <v>3188</v>
      </c>
      <c r="F2950" s="2" t="s">
        <v>86</v>
      </c>
      <c r="G2950" s="19" t="s">
        <v>3494</v>
      </c>
      <c r="H2950" s="2" t="s">
        <v>3178</v>
      </c>
      <c r="I2950" s="8" t="s">
        <v>6068</v>
      </c>
      <c r="J2950" s="2">
        <v>2028</v>
      </c>
      <c r="K2950" s="2">
        <v>2436</v>
      </c>
      <c r="L2950" s="8" t="s">
        <v>6212</v>
      </c>
      <c r="M2950" s="2">
        <v>5</v>
      </c>
      <c r="N2950" s="8" t="s">
        <v>6213</v>
      </c>
      <c r="O2950" s="8" t="str">
        <f t="shared" si="276"/>
        <v>PDFを開く</v>
      </c>
      <c r="P2950" s="8" t="s">
        <v>2352</v>
      </c>
    </row>
    <row r="2951" spans="1:16" ht="33.950000000000003" customHeight="1">
      <c r="A2951" s="5" t="s">
        <v>2345</v>
      </c>
      <c r="B2951" s="5" t="s">
        <v>1595</v>
      </c>
      <c r="C2951" s="9" t="s">
        <v>2346</v>
      </c>
      <c r="D2951" s="5">
        <v>3</v>
      </c>
      <c r="E2951" s="9" t="s">
        <v>3188</v>
      </c>
      <c r="F2951" s="5" t="s">
        <v>86</v>
      </c>
      <c r="G2951" s="19" t="s">
        <v>3494</v>
      </c>
      <c r="H2951" s="5" t="s">
        <v>3178</v>
      </c>
      <c r="I2951" s="9" t="s">
        <v>6070</v>
      </c>
      <c r="J2951" s="5">
        <v>2031</v>
      </c>
      <c r="K2951" s="5">
        <v>2820</v>
      </c>
      <c r="L2951" s="9" t="s">
        <v>6214</v>
      </c>
      <c r="M2951" s="5">
        <v>5</v>
      </c>
      <c r="N2951" s="9" t="s">
        <v>6213</v>
      </c>
      <c r="O2951" s="9" t="str">
        <f t="shared" si="276"/>
        <v>PDFを開く</v>
      </c>
      <c r="P2951" s="9" t="s">
        <v>2352</v>
      </c>
    </row>
    <row r="2952" spans="1:16" ht="33.950000000000003" customHeight="1">
      <c r="A2952" s="2" t="s">
        <v>2345</v>
      </c>
      <c r="B2952" s="2" t="s">
        <v>1595</v>
      </c>
      <c r="C2952" s="8" t="s">
        <v>2346</v>
      </c>
      <c r="D2952" s="2">
        <v>3</v>
      </c>
      <c r="E2952" s="8" t="s">
        <v>3191</v>
      </c>
      <c r="F2952" s="2" t="s">
        <v>2513</v>
      </c>
      <c r="G2952" s="19" t="s">
        <v>3494</v>
      </c>
      <c r="H2952" s="2" t="s">
        <v>3178</v>
      </c>
      <c r="I2952" s="8" t="s">
        <v>6068</v>
      </c>
      <c r="J2952" s="2">
        <v>2028</v>
      </c>
      <c r="K2952" s="2">
        <v>282</v>
      </c>
      <c r="L2952" s="8" t="s">
        <v>6215</v>
      </c>
      <c r="M2952" s="2"/>
      <c r="N2952" s="8" t="s">
        <v>6216</v>
      </c>
      <c r="O2952" s="8" t="str">
        <f t="shared" si="276"/>
        <v>PDFを開く</v>
      </c>
      <c r="P2952" s="8" t="s">
        <v>2352</v>
      </c>
    </row>
    <row r="2953" spans="1:16" ht="33.950000000000003" customHeight="1">
      <c r="A2953" s="5" t="s">
        <v>2345</v>
      </c>
      <c r="B2953" s="5" t="s">
        <v>1595</v>
      </c>
      <c r="C2953" s="9" t="s">
        <v>2346</v>
      </c>
      <c r="D2953" s="5">
        <v>3</v>
      </c>
      <c r="E2953" s="9" t="s">
        <v>3191</v>
      </c>
      <c r="F2953" s="5" t="s">
        <v>2513</v>
      </c>
      <c r="G2953" s="19" t="s">
        <v>3494</v>
      </c>
      <c r="H2953" s="5" t="s">
        <v>3178</v>
      </c>
      <c r="I2953" s="9" t="s">
        <v>6070</v>
      </c>
      <c r="J2953" s="5">
        <v>2031</v>
      </c>
      <c r="K2953" s="5">
        <v>349</v>
      </c>
      <c r="L2953" s="9" t="s">
        <v>5494</v>
      </c>
      <c r="M2953" s="5"/>
      <c r="N2953" s="9" t="s">
        <v>6216</v>
      </c>
      <c r="O2953" s="9" t="str">
        <f t="shared" si="276"/>
        <v>PDFを開く</v>
      </c>
      <c r="P2953" s="9" t="s">
        <v>2352</v>
      </c>
    </row>
    <row r="2954" spans="1:16" ht="33.950000000000003" customHeight="1">
      <c r="A2954" s="2" t="s">
        <v>2345</v>
      </c>
      <c r="B2954" s="2" t="s">
        <v>1595</v>
      </c>
      <c r="C2954" s="8" t="s">
        <v>2346</v>
      </c>
      <c r="D2954" s="2">
        <v>3</v>
      </c>
      <c r="E2954" s="8" t="s">
        <v>3176</v>
      </c>
      <c r="F2954" s="2" t="s">
        <v>86</v>
      </c>
      <c r="G2954" s="19" t="s">
        <v>3494</v>
      </c>
      <c r="H2954" s="2" t="s">
        <v>3178</v>
      </c>
      <c r="I2954" s="8" t="s">
        <v>6068</v>
      </c>
      <c r="J2954" s="2">
        <v>2028</v>
      </c>
      <c r="K2954" s="2">
        <v>1568</v>
      </c>
      <c r="L2954" s="8" t="s">
        <v>6217</v>
      </c>
      <c r="M2954" s="2">
        <v>14.5</v>
      </c>
      <c r="N2954" s="8" t="s">
        <v>6218</v>
      </c>
      <c r="O2954" s="8" t="str">
        <f t="shared" si="276"/>
        <v>PDFを開く</v>
      </c>
      <c r="P2954" s="8" t="s">
        <v>2352</v>
      </c>
    </row>
    <row r="2955" spans="1:16" ht="33.950000000000003" customHeight="1">
      <c r="A2955" s="5" t="s">
        <v>2345</v>
      </c>
      <c r="B2955" s="5" t="s">
        <v>1595</v>
      </c>
      <c r="C2955" s="9" t="s">
        <v>2346</v>
      </c>
      <c r="D2955" s="5">
        <v>3</v>
      </c>
      <c r="E2955" s="9" t="s">
        <v>3176</v>
      </c>
      <c r="F2955" s="5" t="s">
        <v>86</v>
      </c>
      <c r="G2955" s="19" t="s">
        <v>3494</v>
      </c>
      <c r="H2955" s="5" t="s">
        <v>3178</v>
      </c>
      <c r="I2955" s="9" t="s">
        <v>6070</v>
      </c>
      <c r="J2955" s="5">
        <v>2031</v>
      </c>
      <c r="K2955" s="5">
        <v>2355</v>
      </c>
      <c r="L2955" s="9" t="s">
        <v>6219</v>
      </c>
      <c r="M2955" s="5">
        <v>14.5</v>
      </c>
      <c r="N2955" s="9" t="s">
        <v>6218</v>
      </c>
      <c r="O2955" s="9" t="str">
        <f t="shared" si="276"/>
        <v>PDFを開く</v>
      </c>
      <c r="P2955" s="9" t="s">
        <v>2352</v>
      </c>
    </row>
    <row r="2956" spans="1:16" ht="33.950000000000003" customHeight="1">
      <c r="A2956" s="2" t="s">
        <v>2345</v>
      </c>
      <c r="B2956" s="2" t="s">
        <v>1595</v>
      </c>
      <c r="C2956" s="8" t="s">
        <v>2346</v>
      </c>
      <c r="D2956" s="2">
        <v>3</v>
      </c>
      <c r="E2956" s="8" t="s">
        <v>3184</v>
      </c>
      <c r="F2956" s="2" t="s">
        <v>86</v>
      </c>
      <c r="G2956" s="19" t="s">
        <v>3494</v>
      </c>
      <c r="H2956" s="2" t="s">
        <v>3178</v>
      </c>
      <c r="I2956" s="8" t="s">
        <v>6068</v>
      </c>
      <c r="J2956" s="2">
        <v>2028</v>
      </c>
      <c r="K2956" s="2">
        <v>751</v>
      </c>
      <c r="L2956" s="8" t="s">
        <v>6018</v>
      </c>
      <c r="M2956" s="2">
        <v>5.5</v>
      </c>
      <c r="N2956" s="8" t="s">
        <v>6220</v>
      </c>
      <c r="O2956" s="8" t="str">
        <f t="shared" si="276"/>
        <v>PDFを開く</v>
      </c>
      <c r="P2956" s="8" t="s">
        <v>2352</v>
      </c>
    </row>
    <row r="2957" spans="1:16" ht="33.950000000000003" customHeight="1">
      <c r="A2957" s="5" t="s">
        <v>2345</v>
      </c>
      <c r="B2957" s="5" t="s">
        <v>1595</v>
      </c>
      <c r="C2957" s="9" t="s">
        <v>2346</v>
      </c>
      <c r="D2957" s="5">
        <v>3</v>
      </c>
      <c r="E2957" s="9" t="s">
        <v>3184</v>
      </c>
      <c r="F2957" s="5" t="s">
        <v>86</v>
      </c>
      <c r="G2957" s="19" t="s">
        <v>3494</v>
      </c>
      <c r="H2957" s="5" t="s">
        <v>3178</v>
      </c>
      <c r="I2957" s="9" t="s">
        <v>6070</v>
      </c>
      <c r="J2957" s="5">
        <v>2031</v>
      </c>
      <c r="K2957" s="5">
        <v>881</v>
      </c>
      <c r="L2957" s="9" t="s">
        <v>4047</v>
      </c>
      <c r="M2957" s="5">
        <v>5.5</v>
      </c>
      <c r="N2957" s="9" t="s">
        <v>6220</v>
      </c>
      <c r="O2957" s="9" t="str">
        <f t="shared" si="276"/>
        <v>PDFを開く</v>
      </c>
      <c r="P2957" s="9" t="s">
        <v>2352</v>
      </c>
    </row>
    <row r="2958" spans="1:16" ht="33.950000000000003" customHeight="1">
      <c r="A2958" s="2" t="s">
        <v>2345</v>
      </c>
      <c r="B2958" s="2" t="s">
        <v>1595</v>
      </c>
      <c r="C2958" s="8" t="s">
        <v>2346</v>
      </c>
      <c r="D2958" s="2">
        <v>3</v>
      </c>
      <c r="E2958" s="8" t="s">
        <v>3188</v>
      </c>
      <c r="F2958" s="2" t="s">
        <v>86</v>
      </c>
      <c r="G2958" s="19" t="s">
        <v>3494</v>
      </c>
      <c r="H2958" s="2" t="s">
        <v>3178</v>
      </c>
      <c r="I2958" s="8" t="s">
        <v>6068</v>
      </c>
      <c r="J2958" s="2">
        <v>2028</v>
      </c>
      <c r="K2958" s="2">
        <v>680</v>
      </c>
      <c r="L2958" s="8" t="s">
        <v>4977</v>
      </c>
      <c r="M2958" s="2">
        <v>5</v>
      </c>
      <c r="N2958" s="8" t="s">
        <v>6221</v>
      </c>
      <c r="O2958" s="8" t="str">
        <f t="shared" si="276"/>
        <v>PDFを開く</v>
      </c>
      <c r="P2958" s="8" t="s">
        <v>2352</v>
      </c>
    </row>
    <row r="2959" spans="1:16" ht="33.950000000000003" customHeight="1">
      <c r="A2959" s="5" t="s">
        <v>2345</v>
      </c>
      <c r="B2959" s="5" t="s">
        <v>1595</v>
      </c>
      <c r="C2959" s="9" t="s">
        <v>2346</v>
      </c>
      <c r="D2959" s="5">
        <v>3</v>
      </c>
      <c r="E2959" s="9" t="s">
        <v>3188</v>
      </c>
      <c r="F2959" s="5" t="s">
        <v>86</v>
      </c>
      <c r="G2959" s="19" t="s">
        <v>3494</v>
      </c>
      <c r="H2959" s="5" t="s">
        <v>3178</v>
      </c>
      <c r="I2959" s="9" t="s">
        <v>6070</v>
      </c>
      <c r="J2959" s="5">
        <v>2031</v>
      </c>
      <c r="K2959" s="5">
        <v>787</v>
      </c>
      <c r="L2959" s="9" t="s">
        <v>6222</v>
      </c>
      <c r="M2959" s="5">
        <v>5</v>
      </c>
      <c r="N2959" s="9" t="s">
        <v>6221</v>
      </c>
      <c r="O2959" s="9" t="str">
        <f t="shared" si="276"/>
        <v>PDFを開く</v>
      </c>
      <c r="P2959" s="9" t="s">
        <v>2352</v>
      </c>
    </row>
    <row r="2960" spans="1:16" ht="33.950000000000003" customHeight="1">
      <c r="A2960" s="2" t="s">
        <v>2345</v>
      </c>
      <c r="B2960" s="2" t="s">
        <v>1595</v>
      </c>
      <c r="C2960" s="8" t="s">
        <v>2346</v>
      </c>
      <c r="D2960" s="2">
        <v>3</v>
      </c>
      <c r="E2960" s="8" t="s">
        <v>3191</v>
      </c>
      <c r="F2960" s="2" t="s">
        <v>2513</v>
      </c>
      <c r="G2960" s="19" t="s">
        <v>3494</v>
      </c>
      <c r="H2960" s="2" t="s">
        <v>3178</v>
      </c>
      <c r="I2960" s="8" t="s">
        <v>6068</v>
      </c>
      <c r="J2960" s="2">
        <v>2028</v>
      </c>
      <c r="K2960" s="2">
        <v>13</v>
      </c>
      <c r="L2960" s="8" t="s">
        <v>5632</v>
      </c>
      <c r="M2960" s="2"/>
      <c r="N2960" s="8" t="s">
        <v>6223</v>
      </c>
      <c r="O2960" s="8" t="str">
        <f t="shared" si="276"/>
        <v>PDFを開く</v>
      </c>
      <c r="P2960" s="8" t="s">
        <v>2352</v>
      </c>
    </row>
    <row r="2961" spans="1:16" ht="33.950000000000003" customHeight="1">
      <c r="A2961" s="5" t="s">
        <v>2345</v>
      </c>
      <c r="B2961" s="5" t="s">
        <v>1595</v>
      </c>
      <c r="C2961" s="9" t="s">
        <v>2346</v>
      </c>
      <c r="D2961" s="5">
        <v>3</v>
      </c>
      <c r="E2961" s="9" t="s">
        <v>3191</v>
      </c>
      <c r="F2961" s="5" t="s">
        <v>2513</v>
      </c>
      <c r="G2961" s="19" t="s">
        <v>3494</v>
      </c>
      <c r="H2961" s="5" t="s">
        <v>3178</v>
      </c>
      <c r="I2961" s="9" t="s">
        <v>6070</v>
      </c>
      <c r="J2961" s="5">
        <v>2031</v>
      </c>
      <c r="K2961" s="5">
        <v>18</v>
      </c>
      <c r="L2961" s="9" t="s">
        <v>3659</v>
      </c>
      <c r="M2961" s="5"/>
      <c r="N2961" s="9" t="s">
        <v>6223</v>
      </c>
      <c r="O2961" s="9" t="str">
        <f t="shared" si="276"/>
        <v>PDFを開く</v>
      </c>
      <c r="P2961" s="9" t="s">
        <v>2352</v>
      </c>
    </row>
    <row r="2962" spans="1:16" ht="33.950000000000003" customHeight="1">
      <c r="A2962" s="2" t="s">
        <v>2345</v>
      </c>
      <c r="B2962" s="2" t="s">
        <v>1595</v>
      </c>
      <c r="C2962" s="8" t="s">
        <v>2346</v>
      </c>
      <c r="D2962" s="2">
        <v>3</v>
      </c>
      <c r="E2962" s="8" t="s">
        <v>3176</v>
      </c>
      <c r="F2962" s="2" t="s">
        <v>86</v>
      </c>
      <c r="G2962" s="2" t="s">
        <v>3177</v>
      </c>
      <c r="H2962" s="2" t="s">
        <v>3178</v>
      </c>
      <c r="I2962" s="8" t="s">
        <v>6068</v>
      </c>
      <c r="J2962" s="2">
        <v>2028</v>
      </c>
      <c r="K2962" s="2">
        <v>1095</v>
      </c>
      <c r="L2962" s="8" t="s">
        <v>3618</v>
      </c>
      <c r="M2962" s="2">
        <v>20.100000000000001</v>
      </c>
      <c r="N2962" s="8" t="s">
        <v>6208</v>
      </c>
      <c r="O2962" s="8" t="str">
        <f t="shared" si="276"/>
        <v>PDFを開く</v>
      </c>
      <c r="P2962" s="8" t="s">
        <v>2352</v>
      </c>
    </row>
    <row r="2963" spans="1:16" ht="33.950000000000003" customHeight="1">
      <c r="A2963" s="5" t="s">
        <v>2345</v>
      </c>
      <c r="B2963" s="5" t="s">
        <v>1595</v>
      </c>
      <c r="C2963" s="9" t="s">
        <v>2346</v>
      </c>
      <c r="D2963" s="5">
        <v>3</v>
      </c>
      <c r="E2963" s="9" t="s">
        <v>3176</v>
      </c>
      <c r="F2963" s="5" t="s">
        <v>86</v>
      </c>
      <c r="G2963" s="5" t="s">
        <v>3177</v>
      </c>
      <c r="H2963" s="5" t="s">
        <v>3178</v>
      </c>
      <c r="I2963" s="9" t="s">
        <v>6070</v>
      </c>
      <c r="J2963" s="5">
        <v>2031</v>
      </c>
      <c r="K2963" s="5">
        <v>1898</v>
      </c>
      <c r="L2963" s="9" t="s">
        <v>6209</v>
      </c>
      <c r="M2963" s="5">
        <v>20.100000000000001</v>
      </c>
      <c r="N2963" s="9" t="s">
        <v>6208</v>
      </c>
      <c r="O2963" s="9" t="str">
        <f t="shared" si="276"/>
        <v>PDFを開く</v>
      </c>
      <c r="P2963" s="9" t="s">
        <v>2352</v>
      </c>
    </row>
    <row r="2964" spans="1:16" ht="33.950000000000003" customHeight="1">
      <c r="A2964" s="2" t="s">
        <v>2345</v>
      </c>
      <c r="B2964" s="2" t="s">
        <v>1595</v>
      </c>
      <c r="C2964" s="8" t="s">
        <v>2346</v>
      </c>
      <c r="D2964" s="2">
        <v>3</v>
      </c>
      <c r="E2964" s="8" t="s">
        <v>3188</v>
      </c>
      <c r="F2964" s="2" t="s">
        <v>86</v>
      </c>
      <c r="G2964" s="2" t="s">
        <v>3177</v>
      </c>
      <c r="H2964" s="2" t="s">
        <v>3178</v>
      </c>
      <c r="I2964" s="8" t="s">
        <v>6068</v>
      </c>
      <c r="J2964" s="2">
        <v>2028</v>
      </c>
      <c r="K2964" s="2">
        <v>2436</v>
      </c>
      <c r="L2964" s="8" t="s">
        <v>6212</v>
      </c>
      <c r="M2964" s="2">
        <v>5</v>
      </c>
      <c r="N2964" s="8" t="s">
        <v>6213</v>
      </c>
      <c r="O2964" s="8" t="str">
        <f t="shared" si="276"/>
        <v>PDFを開く</v>
      </c>
      <c r="P2964" s="8" t="s">
        <v>2352</v>
      </c>
    </row>
    <row r="2965" spans="1:16" ht="33.950000000000003" customHeight="1">
      <c r="A2965" s="5" t="s">
        <v>2345</v>
      </c>
      <c r="B2965" s="5" t="s">
        <v>1595</v>
      </c>
      <c r="C2965" s="9" t="s">
        <v>2346</v>
      </c>
      <c r="D2965" s="5">
        <v>3</v>
      </c>
      <c r="E2965" s="9" t="s">
        <v>3188</v>
      </c>
      <c r="F2965" s="5" t="s">
        <v>86</v>
      </c>
      <c r="G2965" s="5" t="s">
        <v>3177</v>
      </c>
      <c r="H2965" s="5" t="s">
        <v>3178</v>
      </c>
      <c r="I2965" s="9" t="s">
        <v>6070</v>
      </c>
      <c r="J2965" s="5">
        <v>2031</v>
      </c>
      <c r="K2965" s="5">
        <v>2820</v>
      </c>
      <c r="L2965" s="9" t="s">
        <v>6214</v>
      </c>
      <c r="M2965" s="5">
        <v>5</v>
      </c>
      <c r="N2965" s="9" t="s">
        <v>6213</v>
      </c>
      <c r="O2965" s="9" t="str">
        <f t="shared" si="276"/>
        <v>PDFを開く</v>
      </c>
      <c r="P2965" s="9" t="s">
        <v>2352</v>
      </c>
    </row>
    <row r="2966" spans="1:16" ht="33.950000000000003" customHeight="1">
      <c r="A2966" s="2" t="s">
        <v>2345</v>
      </c>
      <c r="B2966" s="2" t="s">
        <v>1595</v>
      </c>
      <c r="C2966" s="8" t="s">
        <v>2346</v>
      </c>
      <c r="D2966" s="2">
        <v>3</v>
      </c>
      <c r="E2966" s="8" t="s">
        <v>3191</v>
      </c>
      <c r="F2966" s="2" t="s">
        <v>2513</v>
      </c>
      <c r="G2966" s="2" t="s">
        <v>3177</v>
      </c>
      <c r="H2966" s="2" t="s">
        <v>3178</v>
      </c>
      <c r="I2966" s="8" t="s">
        <v>6068</v>
      </c>
      <c r="J2966" s="2">
        <v>2028</v>
      </c>
      <c r="K2966" s="2">
        <v>282</v>
      </c>
      <c r="L2966" s="8" t="s">
        <v>6215</v>
      </c>
      <c r="M2966" s="2"/>
      <c r="N2966" s="8" t="s">
        <v>6216</v>
      </c>
      <c r="O2966" s="8" t="str">
        <f t="shared" si="276"/>
        <v>PDFを開く</v>
      </c>
      <c r="P2966" s="8" t="s">
        <v>2352</v>
      </c>
    </row>
    <row r="2967" spans="1:16" ht="33.950000000000003" customHeight="1">
      <c r="A2967" s="5" t="s">
        <v>2345</v>
      </c>
      <c r="B2967" s="5" t="s">
        <v>1595</v>
      </c>
      <c r="C2967" s="9" t="s">
        <v>2346</v>
      </c>
      <c r="D2967" s="5">
        <v>3</v>
      </c>
      <c r="E2967" s="9" t="s">
        <v>3191</v>
      </c>
      <c r="F2967" s="5" t="s">
        <v>2513</v>
      </c>
      <c r="G2967" s="5" t="s">
        <v>3177</v>
      </c>
      <c r="H2967" s="5" t="s">
        <v>3178</v>
      </c>
      <c r="I2967" s="9" t="s">
        <v>6070</v>
      </c>
      <c r="J2967" s="5">
        <v>2031</v>
      </c>
      <c r="K2967" s="5">
        <v>349</v>
      </c>
      <c r="L2967" s="9" t="s">
        <v>5494</v>
      </c>
      <c r="M2967" s="5"/>
      <c r="N2967" s="9" t="s">
        <v>6216</v>
      </c>
      <c r="O2967" s="9" t="str">
        <f t="shared" si="276"/>
        <v>PDFを開く</v>
      </c>
      <c r="P2967" s="9" t="s">
        <v>2352</v>
      </c>
    </row>
    <row r="2968" spans="1:16" ht="33.950000000000003" customHeight="1">
      <c r="A2968" s="2" t="s">
        <v>2345</v>
      </c>
      <c r="B2968" s="2" t="s">
        <v>1595</v>
      </c>
      <c r="C2968" s="8" t="s">
        <v>2346</v>
      </c>
      <c r="D2968" s="2">
        <v>3</v>
      </c>
      <c r="E2968" s="8" t="s">
        <v>3184</v>
      </c>
      <c r="F2968" s="2" t="s">
        <v>86</v>
      </c>
      <c r="G2968" s="2" t="s">
        <v>3177</v>
      </c>
      <c r="H2968" s="2" t="s">
        <v>3178</v>
      </c>
      <c r="I2968" s="8" t="s">
        <v>6068</v>
      </c>
      <c r="J2968" s="2">
        <v>2028</v>
      </c>
      <c r="K2968" s="2">
        <v>655</v>
      </c>
      <c r="L2968" s="8" t="s">
        <v>3639</v>
      </c>
      <c r="M2968" s="2">
        <v>5.5</v>
      </c>
      <c r="N2968" s="8" t="s">
        <v>6210</v>
      </c>
      <c r="O2968" s="8" t="str">
        <f t="shared" si="276"/>
        <v>PDFを開く</v>
      </c>
      <c r="P2968" s="8" t="s">
        <v>2352</v>
      </c>
    </row>
    <row r="2969" spans="1:16" ht="33.950000000000003" customHeight="1">
      <c r="A2969" s="5" t="s">
        <v>2345</v>
      </c>
      <c r="B2969" s="5" t="s">
        <v>1595</v>
      </c>
      <c r="C2969" s="9" t="s">
        <v>2346</v>
      </c>
      <c r="D2969" s="5">
        <v>3</v>
      </c>
      <c r="E2969" s="9" t="s">
        <v>3184</v>
      </c>
      <c r="F2969" s="5" t="s">
        <v>86</v>
      </c>
      <c r="G2969" s="5" t="s">
        <v>3177</v>
      </c>
      <c r="H2969" s="5" t="s">
        <v>3178</v>
      </c>
      <c r="I2969" s="9" t="s">
        <v>6070</v>
      </c>
      <c r="J2969" s="5">
        <v>2031</v>
      </c>
      <c r="K2969" s="5">
        <v>769</v>
      </c>
      <c r="L2969" s="9" t="s">
        <v>6211</v>
      </c>
      <c r="M2969" s="5">
        <v>5.5</v>
      </c>
      <c r="N2969" s="9" t="s">
        <v>6210</v>
      </c>
      <c r="O2969" s="9" t="str">
        <f t="shared" si="276"/>
        <v>PDFを開く</v>
      </c>
      <c r="P2969" s="9" t="s">
        <v>2352</v>
      </c>
    </row>
    <row r="2970" spans="1:16" ht="33.950000000000003" customHeight="1">
      <c r="A2970" s="2" t="s">
        <v>2353</v>
      </c>
      <c r="B2970" s="2" t="s">
        <v>1595</v>
      </c>
      <c r="C2970" s="8" t="s">
        <v>2354</v>
      </c>
      <c r="D2970" s="2">
        <v>2</v>
      </c>
      <c r="E2970" s="8" t="s">
        <v>3176</v>
      </c>
      <c r="F2970" s="2" t="s">
        <v>86</v>
      </c>
      <c r="G2970" s="2" t="s">
        <v>3177</v>
      </c>
      <c r="H2970" s="2" t="s">
        <v>3178</v>
      </c>
      <c r="I2970" s="8" t="s">
        <v>6224</v>
      </c>
      <c r="J2970" s="2">
        <v>2028</v>
      </c>
      <c r="K2970" s="2">
        <v>3128</v>
      </c>
      <c r="L2970" s="8" t="s">
        <v>6225</v>
      </c>
      <c r="M2970" s="2">
        <v>5</v>
      </c>
      <c r="N2970" s="8" t="s">
        <v>6226</v>
      </c>
      <c r="O2970" s="8" t="str">
        <f t="shared" ref="O2970:O2984" si="277">HYPERLINK("https://seichotoushi-hojo.jp/assets/pdf/koufu_3_4ji/outline_90.pdf","PDFを開く")</f>
        <v>PDFを開く</v>
      </c>
      <c r="P2970" s="8" t="s">
        <v>2361</v>
      </c>
    </row>
    <row r="2971" spans="1:16" ht="33.950000000000003" customHeight="1">
      <c r="A2971" s="5" t="s">
        <v>2353</v>
      </c>
      <c r="B2971" s="5" t="s">
        <v>1595</v>
      </c>
      <c r="C2971" s="9" t="s">
        <v>2354</v>
      </c>
      <c r="D2971" s="5">
        <v>2</v>
      </c>
      <c r="E2971" s="9" t="s">
        <v>3176</v>
      </c>
      <c r="F2971" s="5" t="s">
        <v>86</v>
      </c>
      <c r="G2971" s="5" t="s">
        <v>3177</v>
      </c>
      <c r="H2971" s="5" t="s">
        <v>3178</v>
      </c>
      <c r="I2971" s="9" t="s">
        <v>6227</v>
      </c>
      <c r="J2971" s="5">
        <v>2031</v>
      </c>
      <c r="K2971" s="5">
        <v>570</v>
      </c>
      <c r="L2971" s="9" t="s">
        <v>6228</v>
      </c>
      <c r="M2971" s="5">
        <v>5</v>
      </c>
      <c r="N2971" s="9" t="s">
        <v>6226</v>
      </c>
      <c r="O2971" s="9" t="str">
        <f t="shared" si="277"/>
        <v>PDFを開く</v>
      </c>
      <c r="P2971" s="9" t="s">
        <v>2361</v>
      </c>
    </row>
    <row r="2972" spans="1:16" ht="33.950000000000003" customHeight="1">
      <c r="A2972" s="2" t="s">
        <v>2353</v>
      </c>
      <c r="B2972" s="2" t="s">
        <v>1595</v>
      </c>
      <c r="C2972" s="8" t="s">
        <v>2354</v>
      </c>
      <c r="D2972" s="2">
        <v>2</v>
      </c>
      <c r="E2972" s="8" t="s">
        <v>3184</v>
      </c>
      <c r="F2972" s="2" t="s">
        <v>86</v>
      </c>
      <c r="G2972" s="2" t="s">
        <v>3177</v>
      </c>
      <c r="H2972" s="2"/>
      <c r="I2972" s="8" t="s">
        <v>6224</v>
      </c>
      <c r="J2972" s="2">
        <v>2028</v>
      </c>
      <c r="K2972" s="2">
        <v>302</v>
      </c>
      <c r="L2972" s="8" t="s">
        <v>6229</v>
      </c>
      <c r="M2972" s="2">
        <v>7.4</v>
      </c>
      <c r="N2972" s="8" t="s">
        <v>6230</v>
      </c>
      <c r="O2972" s="8" t="str">
        <f t="shared" si="277"/>
        <v>PDFを開く</v>
      </c>
      <c r="P2972" s="8" t="s">
        <v>2361</v>
      </c>
    </row>
    <row r="2973" spans="1:16" ht="33.950000000000003" customHeight="1">
      <c r="A2973" s="5" t="s">
        <v>2353</v>
      </c>
      <c r="B2973" s="5" t="s">
        <v>1595</v>
      </c>
      <c r="C2973" s="9" t="s">
        <v>2354</v>
      </c>
      <c r="D2973" s="5">
        <v>2</v>
      </c>
      <c r="E2973" s="9" t="s">
        <v>3184</v>
      </c>
      <c r="F2973" s="5" t="s">
        <v>86</v>
      </c>
      <c r="G2973" s="5" t="s">
        <v>3177</v>
      </c>
      <c r="H2973" s="5"/>
      <c r="I2973" s="9" t="s">
        <v>6227</v>
      </c>
      <c r="J2973" s="5">
        <v>2031</v>
      </c>
      <c r="K2973" s="5">
        <v>374</v>
      </c>
      <c r="L2973" s="9" t="s">
        <v>4731</v>
      </c>
      <c r="M2973" s="5">
        <v>7.4</v>
      </c>
      <c r="N2973" s="9" t="s">
        <v>6230</v>
      </c>
      <c r="O2973" s="9" t="str">
        <f t="shared" si="277"/>
        <v>PDFを開く</v>
      </c>
      <c r="P2973" s="9" t="s">
        <v>2361</v>
      </c>
    </row>
    <row r="2974" spans="1:16" ht="33.950000000000003" customHeight="1">
      <c r="A2974" s="2" t="s">
        <v>2353</v>
      </c>
      <c r="B2974" s="2" t="s">
        <v>1595</v>
      </c>
      <c r="C2974" s="8" t="s">
        <v>2354</v>
      </c>
      <c r="D2974" s="2">
        <v>2</v>
      </c>
      <c r="E2974" s="8" t="s">
        <v>3188</v>
      </c>
      <c r="F2974" s="2" t="s">
        <v>86</v>
      </c>
      <c r="G2974" s="19" t="s">
        <v>3189</v>
      </c>
      <c r="H2974" s="2" t="s">
        <v>3178</v>
      </c>
      <c r="I2974" s="8"/>
      <c r="J2974" s="2"/>
      <c r="K2974" s="2"/>
      <c r="L2974" s="8"/>
      <c r="M2974" s="2">
        <v>15</v>
      </c>
      <c r="N2974" s="8" t="s">
        <v>6231</v>
      </c>
      <c r="O2974" s="8" t="str">
        <f t="shared" si="277"/>
        <v>PDFを開く</v>
      </c>
      <c r="P2974" s="8" t="s">
        <v>2361</v>
      </c>
    </row>
    <row r="2975" spans="1:16" ht="33.950000000000003" customHeight="1">
      <c r="A2975" s="5" t="s">
        <v>2353</v>
      </c>
      <c r="B2975" s="5" t="s">
        <v>1595</v>
      </c>
      <c r="C2975" s="9" t="s">
        <v>2354</v>
      </c>
      <c r="D2975" s="5">
        <v>2</v>
      </c>
      <c r="E2975" s="9" t="s">
        <v>3191</v>
      </c>
      <c r="F2975" s="5" t="s">
        <v>2513</v>
      </c>
      <c r="G2975" s="5" t="s">
        <v>3177</v>
      </c>
      <c r="H2975" s="5"/>
      <c r="I2975" s="9" t="s">
        <v>6224</v>
      </c>
      <c r="J2975" s="5">
        <v>2028</v>
      </c>
      <c r="K2975" s="5">
        <v>25</v>
      </c>
      <c r="L2975" s="9" t="s">
        <v>3885</v>
      </c>
      <c r="M2975" s="5"/>
      <c r="N2975" s="9" t="s">
        <v>6232</v>
      </c>
      <c r="O2975" s="9" t="str">
        <f t="shared" si="277"/>
        <v>PDFを開く</v>
      </c>
      <c r="P2975" s="9" t="s">
        <v>2361</v>
      </c>
    </row>
    <row r="2976" spans="1:16" ht="33.950000000000003" customHeight="1">
      <c r="A2976" s="2" t="s">
        <v>2353</v>
      </c>
      <c r="B2976" s="2" t="s">
        <v>1595</v>
      </c>
      <c r="C2976" s="8" t="s">
        <v>2354</v>
      </c>
      <c r="D2976" s="2">
        <v>2</v>
      </c>
      <c r="E2976" s="8" t="s">
        <v>3191</v>
      </c>
      <c r="F2976" s="2" t="s">
        <v>2513</v>
      </c>
      <c r="G2976" s="2" t="s">
        <v>3177</v>
      </c>
      <c r="H2976" s="2"/>
      <c r="I2976" s="8" t="s">
        <v>6227</v>
      </c>
      <c r="J2976" s="2">
        <v>2031</v>
      </c>
      <c r="K2976" s="2">
        <v>95</v>
      </c>
      <c r="L2976" s="8" t="s">
        <v>3313</v>
      </c>
      <c r="M2976" s="2"/>
      <c r="N2976" s="8" t="s">
        <v>6232</v>
      </c>
      <c r="O2976" s="8" t="str">
        <f t="shared" si="277"/>
        <v>PDFを開く</v>
      </c>
      <c r="P2976" s="8" t="s">
        <v>2361</v>
      </c>
    </row>
    <row r="2977" spans="1:16" ht="33.950000000000003" customHeight="1">
      <c r="A2977" s="5" t="s">
        <v>2353</v>
      </c>
      <c r="B2977" s="5" t="s">
        <v>1595</v>
      </c>
      <c r="C2977" s="9" t="s">
        <v>2354</v>
      </c>
      <c r="D2977" s="5">
        <v>2</v>
      </c>
      <c r="E2977" s="9" t="s">
        <v>3176</v>
      </c>
      <c r="F2977" s="5" t="s">
        <v>86</v>
      </c>
      <c r="G2977" s="5" t="s">
        <v>3177</v>
      </c>
      <c r="H2977" s="5"/>
      <c r="I2977" s="9" t="s">
        <v>5351</v>
      </c>
      <c r="J2977" s="5">
        <v>2028</v>
      </c>
      <c r="K2977" s="5">
        <v>3128</v>
      </c>
      <c r="L2977" s="9" t="s">
        <v>6233</v>
      </c>
      <c r="M2977" s="5">
        <v>22.2</v>
      </c>
      <c r="N2977" s="9" t="s">
        <v>6234</v>
      </c>
      <c r="O2977" s="9" t="str">
        <f t="shared" si="277"/>
        <v>PDFを開く</v>
      </c>
      <c r="P2977" s="9" t="s">
        <v>2361</v>
      </c>
    </row>
    <row r="2978" spans="1:16" ht="33.950000000000003" customHeight="1">
      <c r="A2978" s="2" t="s">
        <v>2353</v>
      </c>
      <c r="B2978" s="2" t="s">
        <v>1595</v>
      </c>
      <c r="C2978" s="8" t="s">
        <v>2354</v>
      </c>
      <c r="D2978" s="2">
        <v>2</v>
      </c>
      <c r="E2978" s="8" t="s">
        <v>3176</v>
      </c>
      <c r="F2978" s="2" t="s">
        <v>86</v>
      </c>
      <c r="G2978" s="2" t="s">
        <v>3177</v>
      </c>
      <c r="H2978" s="2"/>
      <c r="I2978" s="8" t="s">
        <v>5353</v>
      </c>
      <c r="J2978" s="2">
        <v>2031</v>
      </c>
      <c r="K2978" s="2">
        <v>5705</v>
      </c>
      <c r="L2978" s="8" t="s">
        <v>6235</v>
      </c>
      <c r="M2978" s="2">
        <v>22.2</v>
      </c>
      <c r="N2978" s="8" t="s">
        <v>6234</v>
      </c>
      <c r="O2978" s="8" t="str">
        <f t="shared" si="277"/>
        <v>PDFを開く</v>
      </c>
      <c r="P2978" s="8" t="s">
        <v>2361</v>
      </c>
    </row>
    <row r="2979" spans="1:16" ht="33.950000000000003" customHeight="1">
      <c r="A2979" s="5" t="s">
        <v>2353</v>
      </c>
      <c r="B2979" s="5" t="s">
        <v>1595</v>
      </c>
      <c r="C2979" s="9" t="s">
        <v>2354</v>
      </c>
      <c r="D2979" s="5">
        <v>2</v>
      </c>
      <c r="E2979" s="9" t="s">
        <v>3184</v>
      </c>
      <c r="F2979" s="5" t="s">
        <v>86</v>
      </c>
      <c r="G2979" s="5" t="s">
        <v>3177</v>
      </c>
      <c r="H2979" s="5"/>
      <c r="I2979" s="9" t="s">
        <v>5351</v>
      </c>
      <c r="J2979" s="5">
        <v>2028</v>
      </c>
      <c r="K2979" s="5">
        <v>302</v>
      </c>
      <c r="L2979" s="9" t="s">
        <v>6229</v>
      </c>
      <c r="M2979" s="5">
        <v>7.4</v>
      </c>
      <c r="N2979" s="9" t="s">
        <v>6236</v>
      </c>
      <c r="O2979" s="9" t="str">
        <f t="shared" si="277"/>
        <v>PDFを開く</v>
      </c>
      <c r="P2979" s="9" t="s">
        <v>2361</v>
      </c>
    </row>
    <row r="2980" spans="1:16" ht="33.950000000000003" customHeight="1">
      <c r="A2980" s="2" t="s">
        <v>2353</v>
      </c>
      <c r="B2980" s="2" t="s">
        <v>1595</v>
      </c>
      <c r="C2980" s="8" t="s">
        <v>2354</v>
      </c>
      <c r="D2980" s="2">
        <v>2</v>
      </c>
      <c r="E2980" s="8" t="s">
        <v>3184</v>
      </c>
      <c r="F2980" s="2" t="s">
        <v>86</v>
      </c>
      <c r="G2980" s="2" t="s">
        <v>3177</v>
      </c>
      <c r="H2980" s="2"/>
      <c r="I2980" s="8" t="s">
        <v>5353</v>
      </c>
      <c r="J2980" s="2">
        <v>2031</v>
      </c>
      <c r="K2980" s="2">
        <v>374</v>
      </c>
      <c r="L2980" s="8" t="s">
        <v>4731</v>
      </c>
      <c r="M2980" s="2">
        <v>7.4</v>
      </c>
      <c r="N2980" s="8" t="s">
        <v>6236</v>
      </c>
      <c r="O2980" s="8" t="str">
        <f t="shared" si="277"/>
        <v>PDFを開く</v>
      </c>
      <c r="P2980" s="8" t="s">
        <v>2361</v>
      </c>
    </row>
    <row r="2981" spans="1:16" ht="33.950000000000003" customHeight="1">
      <c r="A2981" s="5" t="s">
        <v>2353</v>
      </c>
      <c r="B2981" s="5" t="s">
        <v>1595</v>
      </c>
      <c r="C2981" s="9" t="s">
        <v>2354</v>
      </c>
      <c r="D2981" s="5">
        <v>2</v>
      </c>
      <c r="E2981" s="9" t="s">
        <v>3191</v>
      </c>
      <c r="F2981" s="5" t="s">
        <v>2513</v>
      </c>
      <c r="G2981" s="5" t="s">
        <v>3177</v>
      </c>
      <c r="H2981" s="5"/>
      <c r="I2981" s="9" t="s">
        <v>5351</v>
      </c>
      <c r="J2981" s="5">
        <v>2028</v>
      </c>
      <c r="K2981" s="5">
        <v>25</v>
      </c>
      <c r="L2981" s="9" t="s">
        <v>3885</v>
      </c>
      <c r="M2981" s="5"/>
      <c r="N2981" s="9" t="s">
        <v>6237</v>
      </c>
      <c r="O2981" s="9" t="str">
        <f t="shared" si="277"/>
        <v>PDFを開く</v>
      </c>
      <c r="P2981" s="9" t="s">
        <v>2361</v>
      </c>
    </row>
    <row r="2982" spans="1:16" ht="33.950000000000003" customHeight="1">
      <c r="A2982" s="2" t="s">
        <v>2353</v>
      </c>
      <c r="B2982" s="2" t="s">
        <v>1595</v>
      </c>
      <c r="C2982" s="8" t="s">
        <v>2354</v>
      </c>
      <c r="D2982" s="2">
        <v>2</v>
      </c>
      <c r="E2982" s="8" t="s">
        <v>3191</v>
      </c>
      <c r="F2982" s="2" t="s">
        <v>2513</v>
      </c>
      <c r="G2982" s="2" t="s">
        <v>3177</v>
      </c>
      <c r="H2982" s="2"/>
      <c r="I2982" s="8" t="s">
        <v>5353</v>
      </c>
      <c r="J2982" s="2">
        <v>2031</v>
      </c>
      <c r="K2982" s="2">
        <v>95</v>
      </c>
      <c r="L2982" s="8" t="s">
        <v>3313</v>
      </c>
      <c r="M2982" s="2"/>
      <c r="N2982" s="8" t="s">
        <v>6237</v>
      </c>
      <c r="O2982" s="8" t="str">
        <f t="shared" si="277"/>
        <v>PDFを開く</v>
      </c>
      <c r="P2982" s="8" t="s">
        <v>2361</v>
      </c>
    </row>
    <row r="2983" spans="1:16" ht="33.950000000000003" customHeight="1">
      <c r="A2983" s="5" t="s">
        <v>2353</v>
      </c>
      <c r="B2983" s="5" t="s">
        <v>1595</v>
      </c>
      <c r="C2983" s="9" t="s">
        <v>2354</v>
      </c>
      <c r="D2983" s="5">
        <v>2</v>
      </c>
      <c r="E2983" s="9" t="s">
        <v>3188</v>
      </c>
      <c r="F2983" s="5" t="s">
        <v>86</v>
      </c>
      <c r="G2983" s="5" t="s">
        <v>3177</v>
      </c>
      <c r="H2983" s="5"/>
      <c r="I2983" s="9" t="s">
        <v>6238</v>
      </c>
      <c r="J2983" s="5">
        <v>2028</v>
      </c>
      <c r="K2983" s="5"/>
      <c r="L2983" s="9" t="s">
        <v>3211</v>
      </c>
      <c r="M2983" s="5">
        <v>15</v>
      </c>
      <c r="N2983" s="9" t="s">
        <v>6239</v>
      </c>
      <c r="O2983" s="9" t="str">
        <f t="shared" si="277"/>
        <v>PDFを開く</v>
      </c>
      <c r="P2983" s="9" t="s">
        <v>2361</v>
      </c>
    </row>
    <row r="2984" spans="1:16" ht="33.950000000000003" customHeight="1">
      <c r="A2984" s="2" t="s">
        <v>2353</v>
      </c>
      <c r="B2984" s="2" t="s">
        <v>1595</v>
      </c>
      <c r="C2984" s="8" t="s">
        <v>2354</v>
      </c>
      <c r="D2984" s="2">
        <v>2</v>
      </c>
      <c r="E2984" s="8" t="s">
        <v>3188</v>
      </c>
      <c r="F2984" s="2" t="s">
        <v>86</v>
      </c>
      <c r="G2984" s="2" t="s">
        <v>3177</v>
      </c>
      <c r="H2984" s="2"/>
      <c r="I2984" s="8" t="s">
        <v>6240</v>
      </c>
      <c r="J2984" s="2">
        <v>2031</v>
      </c>
      <c r="K2984" s="2"/>
      <c r="L2984" s="8" t="s">
        <v>6241</v>
      </c>
      <c r="M2984" s="2">
        <v>15</v>
      </c>
      <c r="N2984" s="8" t="s">
        <v>6239</v>
      </c>
      <c r="O2984" s="8" t="str">
        <f t="shared" si="277"/>
        <v>PDFを開く</v>
      </c>
      <c r="P2984" s="8" t="s">
        <v>2361</v>
      </c>
    </row>
    <row r="2985" spans="1:16" ht="33.950000000000003" customHeight="1">
      <c r="A2985" s="5" t="s">
        <v>2362</v>
      </c>
      <c r="B2985" s="5" t="s">
        <v>1595</v>
      </c>
      <c r="C2985" s="9" t="s">
        <v>2363</v>
      </c>
      <c r="D2985" s="5">
        <v>2</v>
      </c>
      <c r="E2985" s="9" t="s">
        <v>3176</v>
      </c>
      <c r="F2985" s="5" t="s">
        <v>86</v>
      </c>
      <c r="G2985" s="19" t="s">
        <v>3494</v>
      </c>
      <c r="H2985" s="5" t="s">
        <v>3178</v>
      </c>
      <c r="I2985" s="9" t="s">
        <v>6242</v>
      </c>
      <c r="J2985" s="5">
        <v>2028</v>
      </c>
      <c r="K2985" s="5">
        <v>1154</v>
      </c>
      <c r="L2985" s="9" t="s">
        <v>3656</v>
      </c>
      <c r="M2985" s="5">
        <v>17.899999999999999</v>
      </c>
      <c r="N2985" s="9" t="s">
        <v>6243</v>
      </c>
      <c r="O2985" s="9" t="str">
        <f t="shared" ref="O2985:O3005" si="278">HYPERLINK("https://seichotoushi-hojo.jp/assets/pdf/koufu_3_4ji/outline_91.pdf","PDFを開く")</f>
        <v>PDFを開く</v>
      </c>
      <c r="P2985" s="9" t="s">
        <v>2371</v>
      </c>
    </row>
    <row r="2986" spans="1:16" ht="33.950000000000003" customHeight="1">
      <c r="A2986" s="2" t="s">
        <v>2362</v>
      </c>
      <c r="B2986" s="2" t="s">
        <v>1595</v>
      </c>
      <c r="C2986" s="8" t="s">
        <v>2363</v>
      </c>
      <c r="D2986" s="2">
        <v>2</v>
      </c>
      <c r="E2986" s="8" t="s">
        <v>3176</v>
      </c>
      <c r="F2986" s="2" t="s">
        <v>86</v>
      </c>
      <c r="G2986" s="19" t="s">
        <v>3494</v>
      </c>
      <c r="H2986" s="2" t="s">
        <v>3178</v>
      </c>
      <c r="I2986" s="8" t="s">
        <v>6070</v>
      </c>
      <c r="J2986" s="2">
        <v>2031</v>
      </c>
      <c r="K2986" s="2">
        <v>1891</v>
      </c>
      <c r="L2986" s="8" t="s">
        <v>6244</v>
      </c>
      <c r="M2986" s="2">
        <v>17.899999999999999</v>
      </c>
      <c r="N2986" s="8" t="s">
        <v>6243</v>
      </c>
      <c r="O2986" s="8" t="str">
        <f t="shared" si="278"/>
        <v>PDFを開く</v>
      </c>
      <c r="P2986" s="8" t="s">
        <v>2371</v>
      </c>
    </row>
    <row r="2987" spans="1:16" ht="33.950000000000003" customHeight="1">
      <c r="A2987" s="5" t="s">
        <v>2362</v>
      </c>
      <c r="B2987" s="5" t="s">
        <v>1595</v>
      </c>
      <c r="C2987" s="9" t="s">
        <v>2363</v>
      </c>
      <c r="D2987" s="5">
        <v>2</v>
      </c>
      <c r="E2987" s="9" t="s">
        <v>3176</v>
      </c>
      <c r="F2987" s="5" t="s">
        <v>86</v>
      </c>
      <c r="G2987" s="19" t="s">
        <v>3494</v>
      </c>
      <c r="H2987" s="5" t="s">
        <v>3178</v>
      </c>
      <c r="I2987" s="9" t="s">
        <v>6242</v>
      </c>
      <c r="J2987" s="5">
        <v>2028</v>
      </c>
      <c r="K2987" s="5">
        <v>7500</v>
      </c>
      <c r="L2987" s="9" t="s">
        <v>6245</v>
      </c>
      <c r="M2987" s="5">
        <v>17.899999999999999</v>
      </c>
      <c r="N2987" s="9" t="s">
        <v>6243</v>
      </c>
      <c r="O2987" s="9" t="str">
        <f t="shared" si="278"/>
        <v>PDFを開く</v>
      </c>
      <c r="P2987" s="9" t="s">
        <v>2371</v>
      </c>
    </row>
    <row r="2988" spans="1:16" ht="33.950000000000003" customHeight="1">
      <c r="A2988" s="2" t="s">
        <v>2362</v>
      </c>
      <c r="B2988" s="2" t="s">
        <v>1595</v>
      </c>
      <c r="C2988" s="8" t="s">
        <v>2363</v>
      </c>
      <c r="D2988" s="2">
        <v>2</v>
      </c>
      <c r="E2988" s="8" t="s">
        <v>3176</v>
      </c>
      <c r="F2988" s="2" t="s">
        <v>86</v>
      </c>
      <c r="G2988" s="19" t="s">
        <v>3494</v>
      </c>
      <c r="H2988" s="2" t="s">
        <v>3178</v>
      </c>
      <c r="I2988" s="8" t="s">
        <v>6070</v>
      </c>
      <c r="J2988" s="2">
        <v>2031</v>
      </c>
      <c r="K2988" s="2">
        <v>14400</v>
      </c>
      <c r="L2988" s="8" t="s">
        <v>6246</v>
      </c>
      <c r="M2988" s="2">
        <v>17.899999999999999</v>
      </c>
      <c r="N2988" s="8" t="s">
        <v>6243</v>
      </c>
      <c r="O2988" s="8" t="str">
        <f t="shared" si="278"/>
        <v>PDFを開く</v>
      </c>
      <c r="P2988" s="8" t="s">
        <v>2371</v>
      </c>
    </row>
    <row r="2989" spans="1:16" ht="33.950000000000003" customHeight="1">
      <c r="A2989" s="5" t="s">
        <v>2362</v>
      </c>
      <c r="B2989" s="5" t="s">
        <v>1595</v>
      </c>
      <c r="C2989" s="9" t="s">
        <v>2363</v>
      </c>
      <c r="D2989" s="5">
        <v>2</v>
      </c>
      <c r="E2989" s="9" t="s">
        <v>3184</v>
      </c>
      <c r="F2989" s="5" t="s">
        <v>86</v>
      </c>
      <c r="G2989" s="19" t="s">
        <v>3494</v>
      </c>
      <c r="H2989" s="5" t="s">
        <v>3178</v>
      </c>
      <c r="I2989" s="9" t="s">
        <v>6242</v>
      </c>
      <c r="J2989" s="5">
        <v>2028</v>
      </c>
      <c r="K2989" s="5">
        <v>605</v>
      </c>
      <c r="L2989" s="9" t="s">
        <v>5379</v>
      </c>
      <c r="M2989" s="5">
        <v>5.5</v>
      </c>
      <c r="N2989" s="9" t="s">
        <v>6247</v>
      </c>
      <c r="O2989" s="9" t="str">
        <f t="shared" si="278"/>
        <v>PDFを開く</v>
      </c>
      <c r="P2989" s="9" t="s">
        <v>2371</v>
      </c>
    </row>
    <row r="2990" spans="1:16" ht="33.950000000000003" customHeight="1">
      <c r="A2990" s="2" t="s">
        <v>2362</v>
      </c>
      <c r="B2990" s="2" t="s">
        <v>1595</v>
      </c>
      <c r="C2990" s="8" t="s">
        <v>2363</v>
      </c>
      <c r="D2990" s="2">
        <v>2</v>
      </c>
      <c r="E2990" s="8" t="s">
        <v>3184</v>
      </c>
      <c r="F2990" s="2" t="s">
        <v>86</v>
      </c>
      <c r="G2990" s="19" t="s">
        <v>3494</v>
      </c>
      <c r="H2990" s="2" t="s">
        <v>3178</v>
      </c>
      <c r="I2990" s="8" t="s">
        <v>6070</v>
      </c>
      <c r="J2990" s="2">
        <v>2031</v>
      </c>
      <c r="K2990" s="2">
        <v>711</v>
      </c>
      <c r="L2990" s="8" t="s">
        <v>6248</v>
      </c>
      <c r="M2990" s="2">
        <v>5.5</v>
      </c>
      <c r="N2990" s="8" t="s">
        <v>6247</v>
      </c>
      <c r="O2990" s="8" t="str">
        <f t="shared" si="278"/>
        <v>PDFを開く</v>
      </c>
      <c r="P2990" s="8" t="s">
        <v>2371</v>
      </c>
    </row>
    <row r="2991" spans="1:16" ht="33.950000000000003" customHeight="1">
      <c r="A2991" s="5" t="s">
        <v>2362</v>
      </c>
      <c r="B2991" s="5" t="s">
        <v>1595</v>
      </c>
      <c r="C2991" s="9" t="s">
        <v>2363</v>
      </c>
      <c r="D2991" s="5">
        <v>2</v>
      </c>
      <c r="E2991" s="9" t="s">
        <v>3184</v>
      </c>
      <c r="F2991" s="5" t="s">
        <v>86</v>
      </c>
      <c r="G2991" s="19" t="s">
        <v>3494</v>
      </c>
      <c r="H2991" s="5" t="s">
        <v>3178</v>
      </c>
      <c r="I2991" s="9" t="s">
        <v>6242</v>
      </c>
      <c r="J2991" s="5">
        <v>2028</v>
      </c>
      <c r="K2991" s="5">
        <v>605</v>
      </c>
      <c r="L2991" s="9" t="s">
        <v>5379</v>
      </c>
      <c r="M2991" s="5">
        <v>5.5</v>
      </c>
      <c r="N2991" s="9" t="s">
        <v>6247</v>
      </c>
      <c r="O2991" s="9" t="str">
        <f t="shared" si="278"/>
        <v>PDFを開く</v>
      </c>
      <c r="P2991" s="9" t="s">
        <v>2371</v>
      </c>
    </row>
    <row r="2992" spans="1:16" ht="33.950000000000003" customHeight="1">
      <c r="A2992" s="2" t="s">
        <v>2362</v>
      </c>
      <c r="B2992" s="2" t="s">
        <v>1595</v>
      </c>
      <c r="C2992" s="8" t="s">
        <v>2363</v>
      </c>
      <c r="D2992" s="2">
        <v>2</v>
      </c>
      <c r="E2992" s="8" t="s">
        <v>3184</v>
      </c>
      <c r="F2992" s="2" t="s">
        <v>86</v>
      </c>
      <c r="G2992" s="19" t="s">
        <v>3494</v>
      </c>
      <c r="H2992" s="2" t="s">
        <v>3178</v>
      </c>
      <c r="I2992" s="8" t="s">
        <v>6070</v>
      </c>
      <c r="J2992" s="2">
        <v>2031</v>
      </c>
      <c r="K2992" s="2">
        <v>711</v>
      </c>
      <c r="L2992" s="8" t="s">
        <v>6248</v>
      </c>
      <c r="M2992" s="2">
        <v>5.5</v>
      </c>
      <c r="N2992" s="8" t="s">
        <v>6247</v>
      </c>
      <c r="O2992" s="8" t="str">
        <f t="shared" si="278"/>
        <v>PDFを開く</v>
      </c>
      <c r="P2992" s="8" t="s">
        <v>2371</v>
      </c>
    </row>
    <row r="2993" spans="1:16" ht="33.950000000000003" customHeight="1">
      <c r="A2993" s="5" t="s">
        <v>2362</v>
      </c>
      <c r="B2993" s="5" t="s">
        <v>1595</v>
      </c>
      <c r="C2993" s="9" t="s">
        <v>2363</v>
      </c>
      <c r="D2993" s="5">
        <v>2</v>
      </c>
      <c r="E2993" s="9" t="s">
        <v>3188</v>
      </c>
      <c r="F2993" s="5" t="s">
        <v>86</v>
      </c>
      <c r="G2993" s="19" t="s">
        <v>3494</v>
      </c>
      <c r="H2993" s="5" t="s">
        <v>3178</v>
      </c>
      <c r="I2993" s="9"/>
      <c r="J2993" s="5"/>
      <c r="K2993" s="5"/>
      <c r="L2993" s="9"/>
      <c r="M2993" s="5">
        <v>5.5</v>
      </c>
      <c r="N2993" s="9" t="s">
        <v>6249</v>
      </c>
      <c r="O2993" s="9" t="str">
        <f t="shared" si="278"/>
        <v>PDFを開く</v>
      </c>
      <c r="P2993" s="9" t="s">
        <v>2371</v>
      </c>
    </row>
    <row r="2994" spans="1:16" ht="33.950000000000003" customHeight="1">
      <c r="A2994" s="2" t="s">
        <v>2362</v>
      </c>
      <c r="B2994" s="2" t="s">
        <v>1595</v>
      </c>
      <c r="C2994" s="8" t="s">
        <v>2363</v>
      </c>
      <c r="D2994" s="2">
        <v>2</v>
      </c>
      <c r="E2994" s="8" t="s">
        <v>3191</v>
      </c>
      <c r="F2994" s="2" t="s">
        <v>2513</v>
      </c>
      <c r="G2994" s="19" t="s">
        <v>3494</v>
      </c>
      <c r="H2994" s="2" t="s">
        <v>3178</v>
      </c>
      <c r="I2994" s="8" t="s">
        <v>6242</v>
      </c>
      <c r="J2994" s="2">
        <v>2028</v>
      </c>
      <c r="K2994" s="2">
        <v>230</v>
      </c>
      <c r="L2994" s="8" t="s">
        <v>4898</v>
      </c>
      <c r="M2994" s="2"/>
      <c r="N2994" s="8" t="s">
        <v>6250</v>
      </c>
      <c r="O2994" s="8" t="str">
        <f t="shared" si="278"/>
        <v>PDFを開く</v>
      </c>
      <c r="P2994" s="8" t="s">
        <v>2371</v>
      </c>
    </row>
    <row r="2995" spans="1:16" ht="33.950000000000003" customHeight="1">
      <c r="A2995" s="5" t="s">
        <v>2362</v>
      </c>
      <c r="B2995" s="5" t="s">
        <v>1595</v>
      </c>
      <c r="C2995" s="9" t="s">
        <v>2363</v>
      </c>
      <c r="D2995" s="5">
        <v>2</v>
      </c>
      <c r="E2995" s="9" t="s">
        <v>3191</v>
      </c>
      <c r="F2995" s="5" t="s">
        <v>2513</v>
      </c>
      <c r="G2995" s="19" t="s">
        <v>3494</v>
      </c>
      <c r="H2995" s="5" t="s">
        <v>3178</v>
      </c>
      <c r="I2995" s="9" t="s">
        <v>6070</v>
      </c>
      <c r="J2995" s="5">
        <v>2031</v>
      </c>
      <c r="K2995" s="5">
        <v>239</v>
      </c>
      <c r="L2995" s="9" t="s">
        <v>6251</v>
      </c>
      <c r="M2995" s="5"/>
      <c r="N2995" s="9" t="s">
        <v>6250</v>
      </c>
      <c r="O2995" s="9" t="str">
        <f t="shared" si="278"/>
        <v>PDFを開く</v>
      </c>
      <c r="P2995" s="9" t="s">
        <v>2371</v>
      </c>
    </row>
    <row r="2996" spans="1:16" ht="33.950000000000003" customHeight="1">
      <c r="A2996" s="2" t="s">
        <v>2362</v>
      </c>
      <c r="B2996" s="2" t="s">
        <v>1595</v>
      </c>
      <c r="C2996" s="8" t="s">
        <v>2363</v>
      </c>
      <c r="D2996" s="2">
        <v>2</v>
      </c>
      <c r="E2996" s="8" t="s">
        <v>3191</v>
      </c>
      <c r="F2996" s="2" t="s">
        <v>2513</v>
      </c>
      <c r="G2996" s="19" t="s">
        <v>3494</v>
      </c>
      <c r="H2996" s="2" t="s">
        <v>3178</v>
      </c>
      <c r="I2996" s="8" t="s">
        <v>6242</v>
      </c>
      <c r="J2996" s="2">
        <v>2028</v>
      </c>
      <c r="K2996" s="2">
        <v>1</v>
      </c>
      <c r="L2996" s="8" t="s">
        <v>4529</v>
      </c>
      <c r="M2996" s="2"/>
      <c r="N2996" s="8" t="s">
        <v>6250</v>
      </c>
      <c r="O2996" s="8" t="str">
        <f t="shared" si="278"/>
        <v>PDFを開く</v>
      </c>
      <c r="P2996" s="8" t="s">
        <v>2371</v>
      </c>
    </row>
    <row r="2997" spans="1:16" ht="33.950000000000003" customHeight="1">
      <c r="A2997" s="5" t="s">
        <v>2362</v>
      </c>
      <c r="B2997" s="5" t="s">
        <v>1595</v>
      </c>
      <c r="C2997" s="9" t="s">
        <v>2363</v>
      </c>
      <c r="D2997" s="5">
        <v>2</v>
      </c>
      <c r="E2997" s="9" t="s">
        <v>3191</v>
      </c>
      <c r="F2997" s="5" t="s">
        <v>2513</v>
      </c>
      <c r="G2997" s="19" t="s">
        <v>3494</v>
      </c>
      <c r="H2997" s="5" t="s">
        <v>3178</v>
      </c>
      <c r="I2997" s="9" t="s">
        <v>6070</v>
      </c>
      <c r="J2997" s="5">
        <v>2031</v>
      </c>
      <c r="K2997" s="5">
        <v>1</v>
      </c>
      <c r="L2997" s="9" t="s">
        <v>4529</v>
      </c>
      <c r="M2997" s="5"/>
      <c r="N2997" s="9" t="s">
        <v>6250</v>
      </c>
      <c r="O2997" s="9" t="str">
        <f t="shared" si="278"/>
        <v>PDFを開く</v>
      </c>
      <c r="P2997" s="9" t="s">
        <v>2371</v>
      </c>
    </row>
    <row r="2998" spans="1:16" ht="33.950000000000003" customHeight="1">
      <c r="A2998" s="2" t="s">
        <v>2362</v>
      </c>
      <c r="B2998" s="2" t="s">
        <v>1595</v>
      </c>
      <c r="C2998" s="8" t="s">
        <v>2363</v>
      </c>
      <c r="D2998" s="2">
        <v>2</v>
      </c>
      <c r="E2998" s="8" t="s">
        <v>3188</v>
      </c>
      <c r="F2998" s="2" t="s">
        <v>86</v>
      </c>
      <c r="G2998" s="2" t="s">
        <v>3177</v>
      </c>
      <c r="H2998" s="2"/>
      <c r="I2998" s="8" t="s">
        <v>6252</v>
      </c>
      <c r="J2998" s="2">
        <v>2028</v>
      </c>
      <c r="K2998" s="2"/>
      <c r="L2998" s="8" t="s">
        <v>3211</v>
      </c>
      <c r="M2998" s="2">
        <v>5.5</v>
      </c>
      <c r="N2998" s="8" t="s">
        <v>6253</v>
      </c>
      <c r="O2998" s="8" t="str">
        <f t="shared" si="278"/>
        <v>PDFを開く</v>
      </c>
      <c r="P2998" s="8" t="s">
        <v>2371</v>
      </c>
    </row>
    <row r="2999" spans="1:16" ht="33.950000000000003" customHeight="1">
      <c r="A2999" s="5" t="s">
        <v>2362</v>
      </c>
      <c r="B2999" s="5" t="s">
        <v>1595</v>
      </c>
      <c r="C2999" s="9" t="s">
        <v>2363</v>
      </c>
      <c r="D2999" s="5">
        <v>2</v>
      </c>
      <c r="E2999" s="9" t="s">
        <v>3188</v>
      </c>
      <c r="F2999" s="5" t="s">
        <v>86</v>
      </c>
      <c r="G2999" s="5" t="s">
        <v>3177</v>
      </c>
      <c r="H2999" s="5"/>
      <c r="I2999" s="9" t="s">
        <v>6254</v>
      </c>
      <c r="J2999" s="5">
        <v>2031</v>
      </c>
      <c r="K2999" s="5"/>
      <c r="L2999" s="9" t="s">
        <v>5499</v>
      </c>
      <c r="M2999" s="5">
        <v>5.5</v>
      </c>
      <c r="N2999" s="9" t="s">
        <v>6253</v>
      </c>
      <c r="O2999" s="9" t="str">
        <f t="shared" si="278"/>
        <v>PDFを開く</v>
      </c>
      <c r="P2999" s="9" t="s">
        <v>2371</v>
      </c>
    </row>
    <row r="3000" spans="1:16" ht="33.950000000000003" customHeight="1">
      <c r="A3000" s="2" t="s">
        <v>2362</v>
      </c>
      <c r="B3000" s="2" t="s">
        <v>1595</v>
      </c>
      <c r="C3000" s="8" t="s">
        <v>2363</v>
      </c>
      <c r="D3000" s="2">
        <v>2</v>
      </c>
      <c r="E3000" s="8" t="s">
        <v>3176</v>
      </c>
      <c r="F3000" s="2" t="s">
        <v>86</v>
      </c>
      <c r="G3000" s="2" t="s">
        <v>3177</v>
      </c>
      <c r="H3000" s="2" t="s">
        <v>3178</v>
      </c>
      <c r="I3000" s="8" t="s">
        <v>6242</v>
      </c>
      <c r="J3000" s="2">
        <v>2028</v>
      </c>
      <c r="K3000" s="2">
        <v>1154</v>
      </c>
      <c r="L3000" s="8" t="s">
        <v>3656</v>
      </c>
      <c r="M3000" s="2">
        <v>17.899999999999999</v>
      </c>
      <c r="N3000" s="8" t="s">
        <v>6243</v>
      </c>
      <c r="O3000" s="8" t="str">
        <f t="shared" si="278"/>
        <v>PDFを開く</v>
      </c>
      <c r="P3000" s="8" t="s">
        <v>2371</v>
      </c>
    </row>
    <row r="3001" spans="1:16" ht="33.950000000000003" customHeight="1">
      <c r="A3001" s="5" t="s">
        <v>2362</v>
      </c>
      <c r="B3001" s="5" t="s">
        <v>1595</v>
      </c>
      <c r="C3001" s="9" t="s">
        <v>2363</v>
      </c>
      <c r="D3001" s="5">
        <v>2</v>
      </c>
      <c r="E3001" s="9" t="s">
        <v>3176</v>
      </c>
      <c r="F3001" s="5" t="s">
        <v>86</v>
      </c>
      <c r="G3001" s="5" t="s">
        <v>3177</v>
      </c>
      <c r="H3001" s="5" t="s">
        <v>3178</v>
      </c>
      <c r="I3001" s="9" t="s">
        <v>6070</v>
      </c>
      <c r="J3001" s="5">
        <v>2031</v>
      </c>
      <c r="K3001" s="5">
        <v>1891</v>
      </c>
      <c r="L3001" s="9" t="s">
        <v>6244</v>
      </c>
      <c r="M3001" s="5">
        <v>17.899999999999999</v>
      </c>
      <c r="N3001" s="9" t="s">
        <v>6243</v>
      </c>
      <c r="O3001" s="9" t="str">
        <f t="shared" si="278"/>
        <v>PDFを開く</v>
      </c>
      <c r="P3001" s="9" t="s">
        <v>2371</v>
      </c>
    </row>
    <row r="3002" spans="1:16" ht="33.950000000000003" customHeight="1">
      <c r="A3002" s="2" t="s">
        <v>2362</v>
      </c>
      <c r="B3002" s="2" t="s">
        <v>1595</v>
      </c>
      <c r="C3002" s="8" t="s">
        <v>2363</v>
      </c>
      <c r="D3002" s="2">
        <v>2</v>
      </c>
      <c r="E3002" s="8" t="s">
        <v>3191</v>
      </c>
      <c r="F3002" s="2" t="s">
        <v>2513</v>
      </c>
      <c r="G3002" s="2" t="s">
        <v>3177</v>
      </c>
      <c r="H3002" s="2" t="s">
        <v>3178</v>
      </c>
      <c r="I3002" s="8" t="s">
        <v>6242</v>
      </c>
      <c r="J3002" s="2">
        <v>2028</v>
      </c>
      <c r="K3002" s="2">
        <v>230</v>
      </c>
      <c r="L3002" s="8" t="s">
        <v>4898</v>
      </c>
      <c r="M3002" s="2"/>
      <c r="N3002" s="8" t="s">
        <v>6250</v>
      </c>
      <c r="O3002" s="8" t="str">
        <f t="shared" si="278"/>
        <v>PDFを開く</v>
      </c>
      <c r="P3002" s="8" t="s">
        <v>2371</v>
      </c>
    </row>
    <row r="3003" spans="1:16" ht="33.950000000000003" customHeight="1">
      <c r="A3003" s="5" t="s">
        <v>2362</v>
      </c>
      <c r="B3003" s="5" t="s">
        <v>1595</v>
      </c>
      <c r="C3003" s="9" t="s">
        <v>2363</v>
      </c>
      <c r="D3003" s="5">
        <v>2</v>
      </c>
      <c r="E3003" s="9" t="s">
        <v>3191</v>
      </c>
      <c r="F3003" s="5" t="s">
        <v>2513</v>
      </c>
      <c r="G3003" s="5" t="s">
        <v>3177</v>
      </c>
      <c r="H3003" s="5" t="s">
        <v>3178</v>
      </c>
      <c r="I3003" s="9" t="s">
        <v>6070</v>
      </c>
      <c r="J3003" s="5">
        <v>2031</v>
      </c>
      <c r="K3003" s="5">
        <v>239</v>
      </c>
      <c r="L3003" s="9" t="s">
        <v>6251</v>
      </c>
      <c r="M3003" s="5"/>
      <c r="N3003" s="9" t="s">
        <v>6250</v>
      </c>
      <c r="O3003" s="9" t="str">
        <f t="shared" si="278"/>
        <v>PDFを開く</v>
      </c>
      <c r="P3003" s="9" t="s">
        <v>2371</v>
      </c>
    </row>
    <row r="3004" spans="1:16" ht="33.950000000000003" customHeight="1">
      <c r="A3004" s="2" t="s">
        <v>2362</v>
      </c>
      <c r="B3004" s="2" t="s">
        <v>1595</v>
      </c>
      <c r="C3004" s="8" t="s">
        <v>2363</v>
      </c>
      <c r="D3004" s="2">
        <v>2</v>
      </c>
      <c r="E3004" s="8" t="s">
        <v>3184</v>
      </c>
      <c r="F3004" s="2" t="s">
        <v>86</v>
      </c>
      <c r="G3004" s="2" t="s">
        <v>3177</v>
      </c>
      <c r="H3004" s="2" t="s">
        <v>3178</v>
      </c>
      <c r="I3004" s="8" t="s">
        <v>6242</v>
      </c>
      <c r="J3004" s="2">
        <v>2028</v>
      </c>
      <c r="K3004" s="2">
        <v>605</v>
      </c>
      <c r="L3004" s="8" t="s">
        <v>5379</v>
      </c>
      <c r="M3004" s="2">
        <v>5.5</v>
      </c>
      <c r="N3004" s="8" t="s">
        <v>6247</v>
      </c>
      <c r="O3004" s="8" t="str">
        <f t="shared" si="278"/>
        <v>PDFを開く</v>
      </c>
      <c r="P3004" s="8" t="s">
        <v>2371</v>
      </c>
    </row>
    <row r="3005" spans="1:16" ht="33.950000000000003" customHeight="1">
      <c r="A3005" s="5" t="s">
        <v>2362</v>
      </c>
      <c r="B3005" s="5" t="s">
        <v>1595</v>
      </c>
      <c r="C3005" s="9" t="s">
        <v>2363</v>
      </c>
      <c r="D3005" s="5">
        <v>2</v>
      </c>
      <c r="E3005" s="9" t="s">
        <v>3184</v>
      </c>
      <c r="F3005" s="5" t="s">
        <v>86</v>
      </c>
      <c r="G3005" s="5" t="s">
        <v>3177</v>
      </c>
      <c r="H3005" s="5" t="s">
        <v>3178</v>
      </c>
      <c r="I3005" s="9" t="s">
        <v>6070</v>
      </c>
      <c r="J3005" s="5">
        <v>2031</v>
      </c>
      <c r="K3005" s="5">
        <v>711</v>
      </c>
      <c r="L3005" s="9" t="s">
        <v>6248</v>
      </c>
      <c r="M3005" s="5">
        <v>5.5</v>
      </c>
      <c r="N3005" s="9" t="s">
        <v>6247</v>
      </c>
      <c r="O3005" s="9" t="str">
        <f t="shared" si="278"/>
        <v>PDFを開く</v>
      </c>
      <c r="P3005" s="9" t="s">
        <v>2371</v>
      </c>
    </row>
    <row r="3006" spans="1:16" ht="33.950000000000003" customHeight="1">
      <c r="A3006" s="2" t="s">
        <v>2372</v>
      </c>
      <c r="B3006" s="2" t="s">
        <v>1595</v>
      </c>
      <c r="C3006" s="8" t="s">
        <v>2373</v>
      </c>
      <c r="D3006" s="2">
        <v>2</v>
      </c>
      <c r="E3006" s="8" t="s">
        <v>3176</v>
      </c>
      <c r="F3006" s="2" t="s">
        <v>86</v>
      </c>
      <c r="G3006" s="2" t="s">
        <v>3177</v>
      </c>
      <c r="H3006" s="2" t="s">
        <v>3178</v>
      </c>
      <c r="I3006" s="8" t="s">
        <v>3259</v>
      </c>
      <c r="J3006" s="2">
        <v>2027</v>
      </c>
      <c r="K3006" s="2">
        <v>1728</v>
      </c>
      <c r="L3006" s="8" t="s">
        <v>6255</v>
      </c>
      <c r="M3006" s="2">
        <v>1.8</v>
      </c>
      <c r="N3006" s="8" t="s">
        <v>6256</v>
      </c>
      <c r="O3006" s="8" t="str">
        <f t="shared" ref="O3006:O3012" si="279">HYPERLINK("https://seichotoushi-hojo.jp/assets/pdf/koufu_3_4ji/outline_93.pdf","PDFを開く")</f>
        <v>PDFを開く</v>
      </c>
      <c r="P3006" s="8" t="s">
        <v>2379</v>
      </c>
    </row>
    <row r="3007" spans="1:16" ht="33.950000000000003" customHeight="1">
      <c r="A3007" s="5" t="s">
        <v>2372</v>
      </c>
      <c r="B3007" s="5" t="s">
        <v>1595</v>
      </c>
      <c r="C3007" s="9" t="s">
        <v>2373</v>
      </c>
      <c r="D3007" s="5">
        <v>2</v>
      </c>
      <c r="E3007" s="9" t="s">
        <v>3176</v>
      </c>
      <c r="F3007" s="5" t="s">
        <v>86</v>
      </c>
      <c r="G3007" s="5" t="s">
        <v>3177</v>
      </c>
      <c r="H3007" s="5" t="s">
        <v>3178</v>
      </c>
      <c r="I3007" s="9" t="s">
        <v>3262</v>
      </c>
      <c r="J3007" s="5">
        <v>2030</v>
      </c>
      <c r="K3007" s="5">
        <v>1822</v>
      </c>
      <c r="L3007" s="9" t="s">
        <v>6257</v>
      </c>
      <c r="M3007" s="5">
        <v>1.8</v>
      </c>
      <c r="N3007" s="9" t="s">
        <v>6256</v>
      </c>
      <c r="O3007" s="9" t="str">
        <f t="shared" si="279"/>
        <v>PDFを開く</v>
      </c>
      <c r="P3007" s="9" t="s">
        <v>2379</v>
      </c>
    </row>
    <row r="3008" spans="1:16" ht="33.950000000000003" customHeight="1">
      <c r="A3008" s="2" t="s">
        <v>2372</v>
      </c>
      <c r="B3008" s="2" t="s">
        <v>1595</v>
      </c>
      <c r="C3008" s="8" t="s">
        <v>2373</v>
      </c>
      <c r="D3008" s="2">
        <v>2</v>
      </c>
      <c r="E3008" s="8" t="s">
        <v>3184</v>
      </c>
      <c r="F3008" s="2" t="s">
        <v>86</v>
      </c>
      <c r="G3008" s="2" t="s">
        <v>3177</v>
      </c>
      <c r="H3008" s="2" t="s">
        <v>3178</v>
      </c>
      <c r="I3008" s="8" t="s">
        <v>3259</v>
      </c>
      <c r="J3008" s="2">
        <v>2027</v>
      </c>
      <c r="K3008" s="2">
        <v>580</v>
      </c>
      <c r="L3008" s="8" t="s">
        <v>4057</v>
      </c>
      <c r="M3008" s="2">
        <v>5.5</v>
      </c>
      <c r="N3008" s="8" t="s">
        <v>6258</v>
      </c>
      <c r="O3008" s="8" t="str">
        <f t="shared" si="279"/>
        <v>PDFを開く</v>
      </c>
      <c r="P3008" s="8" t="s">
        <v>2379</v>
      </c>
    </row>
    <row r="3009" spans="1:16" ht="33.950000000000003" customHeight="1">
      <c r="A3009" s="5" t="s">
        <v>2372</v>
      </c>
      <c r="B3009" s="5" t="s">
        <v>1595</v>
      </c>
      <c r="C3009" s="9" t="s">
        <v>2373</v>
      </c>
      <c r="D3009" s="5">
        <v>2</v>
      </c>
      <c r="E3009" s="9" t="s">
        <v>3184</v>
      </c>
      <c r="F3009" s="5" t="s">
        <v>86</v>
      </c>
      <c r="G3009" s="5" t="s">
        <v>3177</v>
      </c>
      <c r="H3009" s="5" t="s">
        <v>3178</v>
      </c>
      <c r="I3009" s="9" t="s">
        <v>3262</v>
      </c>
      <c r="J3009" s="5">
        <v>2030</v>
      </c>
      <c r="K3009" s="5">
        <v>680</v>
      </c>
      <c r="L3009" s="9" t="s">
        <v>4977</v>
      </c>
      <c r="M3009" s="5">
        <v>5.5</v>
      </c>
      <c r="N3009" s="9" t="s">
        <v>6258</v>
      </c>
      <c r="O3009" s="9" t="str">
        <f t="shared" si="279"/>
        <v>PDFを開く</v>
      </c>
      <c r="P3009" s="9" t="s">
        <v>2379</v>
      </c>
    </row>
    <row r="3010" spans="1:16" ht="33.950000000000003" customHeight="1">
      <c r="A3010" s="2" t="s">
        <v>2372</v>
      </c>
      <c r="B3010" s="2" t="s">
        <v>1595</v>
      </c>
      <c r="C3010" s="8" t="s">
        <v>2373</v>
      </c>
      <c r="D3010" s="2">
        <v>2</v>
      </c>
      <c r="E3010" s="8" t="s">
        <v>3188</v>
      </c>
      <c r="F3010" s="2" t="s">
        <v>86</v>
      </c>
      <c r="G3010" s="19" t="s">
        <v>3189</v>
      </c>
      <c r="H3010" s="2" t="s">
        <v>3178</v>
      </c>
      <c r="I3010" s="8"/>
      <c r="J3010" s="2"/>
      <c r="K3010" s="2"/>
      <c r="L3010" s="8"/>
      <c r="M3010" s="2">
        <v>5</v>
      </c>
      <c r="N3010" s="8" t="s">
        <v>3377</v>
      </c>
      <c r="O3010" s="8" t="str">
        <f t="shared" si="279"/>
        <v>PDFを開く</v>
      </c>
      <c r="P3010" s="8" t="s">
        <v>2379</v>
      </c>
    </row>
    <row r="3011" spans="1:16" ht="33.950000000000003" customHeight="1">
      <c r="A3011" s="5" t="s">
        <v>2372</v>
      </c>
      <c r="B3011" s="5" t="s">
        <v>1595</v>
      </c>
      <c r="C3011" s="9" t="s">
        <v>2373</v>
      </c>
      <c r="D3011" s="5">
        <v>2</v>
      </c>
      <c r="E3011" s="9" t="s">
        <v>3191</v>
      </c>
      <c r="F3011" s="5" t="s">
        <v>2513</v>
      </c>
      <c r="G3011" s="5" t="s">
        <v>3177</v>
      </c>
      <c r="H3011" s="5" t="s">
        <v>3178</v>
      </c>
      <c r="I3011" s="9" t="s">
        <v>3259</v>
      </c>
      <c r="J3011" s="5">
        <v>2027</v>
      </c>
      <c r="K3011" s="5">
        <v>258</v>
      </c>
      <c r="L3011" s="9" t="s">
        <v>6259</v>
      </c>
      <c r="M3011" s="5"/>
      <c r="N3011" s="9" t="s">
        <v>6260</v>
      </c>
      <c r="O3011" s="9" t="str">
        <f t="shared" si="279"/>
        <v>PDFを開く</v>
      </c>
      <c r="P3011" s="9" t="s">
        <v>2379</v>
      </c>
    </row>
    <row r="3012" spans="1:16" ht="33.950000000000003" customHeight="1">
      <c r="A3012" s="2" t="s">
        <v>2372</v>
      </c>
      <c r="B3012" s="2" t="s">
        <v>1595</v>
      </c>
      <c r="C3012" s="8" t="s">
        <v>2373</v>
      </c>
      <c r="D3012" s="2">
        <v>2</v>
      </c>
      <c r="E3012" s="8" t="s">
        <v>3191</v>
      </c>
      <c r="F3012" s="2" t="s">
        <v>2513</v>
      </c>
      <c r="G3012" s="2" t="s">
        <v>3177</v>
      </c>
      <c r="H3012" s="2" t="s">
        <v>3178</v>
      </c>
      <c r="I3012" s="8" t="s">
        <v>3262</v>
      </c>
      <c r="J3012" s="2">
        <v>2030</v>
      </c>
      <c r="K3012" s="2">
        <v>742</v>
      </c>
      <c r="L3012" s="8" t="s">
        <v>4366</v>
      </c>
      <c r="M3012" s="2"/>
      <c r="N3012" s="8" t="s">
        <v>6260</v>
      </c>
      <c r="O3012" s="8" t="str">
        <f t="shared" si="279"/>
        <v>PDFを開く</v>
      </c>
      <c r="P3012" s="8" t="s">
        <v>2379</v>
      </c>
    </row>
    <row r="3013" spans="1:16" ht="33.950000000000003" customHeight="1">
      <c r="A3013" s="5" t="s">
        <v>2380</v>
      </c>
      <c r="B3013" s="5" t="s">
        <v>1595</v>
      </c>
      <c r="C3013" s="9" t="s">
        <v>2381</v>
      </c>
      <c r="D3013" s="5">
        <v>2</v>
      </c>
      <c r="E3013" s="9" t="s">
        <v>3176</v>
      </c>
      <c r="F3013" s="5" t="s">
        <v>86</v>
      </c>
      <c r="G3013" s="5" t="s">
        <v>3177</v>
      </c>
      <c r="H3013" s="5" t="s">
        <v>3178</v>
      </c>
      <c r="I3013" s="9" t="s">
        <v>3259</v>
      </c>
      <c r="J3013" s="5">
        <v>2027</v>
      </c>
      <c r="K3013" s="5">
        <v>606</v>
      </c>
      <c r="L3013" s="9" t="s">
        <v>6261</v>
      </c>
      <c r="M3013" s="5">
        <v>21.6</v>
      </c>
      <c r="N3013" s="9" t="s">
        <v>6262</v>
      </c>
      <c r="O3013" s="9" t="str">
        <f t="shared" ref="O3013:O3021" si="280">HYPERLINK("https://seichotoushi-hojo.jp/assets/pdf/koufu_3_4ji/outline_94.pdf","PDFを開く")</f>
        <v>PDFを開く</v>
      </c>
      <c r="P3013" s="9" t="s">
        <v>2388</v>
      </c>
    </row>
    <row r="3014" spans="1:16" ht="33.950000000000003" customHeight="1">
      <c r="A3014" s="2" t="s">
        <v>2380</v>
      </c>
      <c r="B3014" s="2" t="s">
        <v>1595</v>
      </c>
      <c r="C3014" s="8" t="s">
        <v>2381</v>
      </c>
      <c r="D3014" s="2">
        <v>2</v>
      </c>
      <c r="E3014" s="8" t="s">
        <v>3176</v>
      </c>
      <c r="F3014" s="2" t="s">
        <v>86</v>
      </c>
      <c r="G3014" s="2" t="s">
        <v>3177</v>
      </c>
      <c r="H3014" s="2" t="s">
        <v>3178</v>
      </c>
      <c r="I3014" s="8" t="s">
        <v>3262</v>
      </c>
      <c r="J3014" s="2">
        <v>2030</v>
      </c>
      <c r="K3014" s="2">
        <v>1090</v>
      </c>
      <c r="L3014" s="8" t="s">
        <v>6263</v>
      </c>
      <c r="M3014" s="2">
        <v>21.6</v>
      </c>
      <c r="N3014" s="8" t="s">
        <v>6262</v>
      </c>
      <c r="O3014" s="8" t="str">
        <f t="shared" si="280"/>
        <v>PDFを開く</v>
      </c>
      <c r="P3014" s="8" t="s">
        <v>2388</v>
      </c>
    </row>
    <row r="3015" spans="1:16" ht="33.950000000000003" customHeight="1">
      <c r="A3015" s="5" t="s">
        <v>2380</v>
      </c>
      <c r="B3015" s="5" t="s">
        <v>1595</v>
      </c>
      <c r="C3015" s="9" t="s">
        <v>2381</v>
      </c>
      <c r="D3015" s="5">
        <v>2</v>
      </c>
      <c r="E3015" s="9" t="s">
        <v>3184</v>
      </c>
      <c r="F3015" s="5" t="s">
        <v>86</v>
      </c>
      <c r="G3015" s="5" t="s">
        <v>3177</v>
      </c>
      <c r="H3015" s="5" t="s">
        <v>3178</v>
      </c>
      <c r="I3015" s="9" t="s">
        <v>3259</v>
      </c>
      <c r="J3015" s="5">
        <v>2027</v>
      </c>
      <c r="K3015" s="5">
        <v>500</v>
      </c>
      <c r="L3015" s="9" t="s">
        <v>4108</v>
      </c>
      <c r="M3015" s="5">
        <v>6.2</v>
      </c>
      <c r="N3015" s="9" t="s">
        <v>6264</v>
      </c>
      <c r="O3015" s="9" t="str">
        <f t="shared" si="280"/>
        <v>PDFを開く</v>
      </c>
      <c r="P3015" s="9" t="s">
        <v>2388</v>
      </c>
    </row>
    <row r="3016" spans="1:16" ht="33.950000000000003" customHeight="1">
      <c r="A3016" s="2" t="s">
        <v>2380</v>
      </c>
      <c r="B3016" s="2" t="s">
        <v>1595</v>
      </c>
      <c r="C3016" s="8" t="s">
        <v>2381</v>
      </c>
      <c r="D3016" s="2">
        <v>2</v>
      </c>
      <c r="E3016" s="8" t="s">
        <v>3184</v>
      </c>
      <c r="F3016" s="2" t="s">
        <v>86</v>
      </c>
      <c r="G3016" s="2" t="s">
        <v>3177</v>
      </c>
      <c r="H3016" s="2" t="s">
        <v>3178</v>
      </c>
      <c r="I3016" s="8" t="s">
        <v>3262</v>
      </c>
      <c r="J3016" s="2">
        <v>2030</v>
      </c>
      <c r="K3016" s="2">
        <v>598</v>
      </c>
      <c r="L3016" s="8" t="s">
        <v>6265</v>
      </c>
      <c r="M3016" s="2">
        <v>6.2</v>
      </c>
      <c r="N3016" s="8" t="s">
        <v>6264</v>
      </c>
      <c r="O3016" s="8" t="str">
        <f t="shared" si="280"/>
        <v>PDFを開く</v>
      </c>
      <c r="P3016" s="8" t="s">
        <v>2388</v>
      </c>
    </row>
    <row r="3017" spans="1:16" ht="33.950000000000003" customHeight="1">
      <c r="A3017" s="5" t="s">
        <v>2380</v>
      </c>
      <c r="B3017" s="5" t="s">
        <v>1595</v>
      </c>
      <c r="C3017" s="9" t="s">
        <v>2381</v>
      </c>
      <c r="D3017" s="5">
        <v>2</v>
      </c>
      <c r="E3017" s="9" t="s">
        <v>3188</v>
      </c>
      <c r="F3017" s="5" t="s">
        <v>86</v>
      </c>
      <c r="G3017" s="19" t="s">
        <v>3189</v>
      </c>
      <c r="H3017" s="5" t="s">
        <v>3178</v>
      </c>
      <c r="I3017" s="9"/>
      <c r="J3017" s="5"/>
      <c r="K3017" s="5"/>
      <c r="L3017" s="9"/>
      <c r="M3017" s="5">
        <v>4.5</v>
      </c>
      <c r="N3017" s="9" t="s">
        <v>3278</v>
      </c>
      <c r="O3017" s="9" t="str">
        <f t="shared" si="280"/>
        <v>PDFを開く</v>
      </c>
      <c r="P3017" s="9" t="s">
        <v>2388</v>
      </c>
    </row>
    <row r="3018" spans="1:16" ht="33.950000000000003" customHeight="1">
      <c r="A3018" s="2" t="s">
        <v>2380</v>
      </c>
      <c r="B3018" s="2" t="s">
        <v>1595</v>
      </c>
      <c r="C3018" s="8" t="s">
        <v>2381</v>
      </c>
      <c r="D3018" s="2">
        <v>2</v>
      </c>
      <c r="E3018" s="8" t="s">
        <v>3191</v>
      </c>
      <c r="F3018" s="2" t="s">
        <v>2513</v>
      </c>
      <c r="G3018" s="2" t="s">
        <v>3177</v>
      </c>
      <c r="H3018" s="2" t="s">
        <v>3178</v>
      </c>
      <c r="I3018" s="8" t="s">
        <v>3259</v>
      </c>
      <c r="J3018" s="2">
        <v>2027</v>
      </c>
      <c r="K3018" s="2">
        <v>176</v>
      </c>
      <c r="L3018" s="8" t="s">
        <v>5301</v>
      </c>
      <c r="M3018" s="2"/>
      <c r="N3018" s="8" t="s">
        <v>6266</v>
      </c>
      <c r="O3018" s="8" t="str">
        <f t="shared" si="280"/>
        <v>PDFを開く</v>
      </c>
      <c r="P3018" s="8" t="s">
        <v>2388</v>
      </c>
    </row>
    <row r="3019" spans="1:16" ht="33.950000000000003" customHeight="1">
      <c r="A3019" s="5" t="s">
        <v>2380</v>
      </c>
      <c r="B3019" s="5" t="s">
        <v>1595</v>
      </c>
      <c r="C3019" s="9" t="s">
        <v>2381</v>
      </c>
      <c r="D3019" s="5">
        <v>2</v>
      </c>
      <c r="E3019" s="9" t="s">
        <v>3191</v>
      </c>
      <c r="F3019" s="5" t="s">
        <v>2513</v>
      </c>
      <c r="G3019" s="5" t="s">
        <v>3177</v>
      </c>
      <c r="H3019" s="5" t="s">
        <v>3178</v>
      </c>
      <c r="I3019" s="9" t="s">
        <v>3262</v>
      </c>
      <c r="J3019" s="5">
        <v>2030</v>
      </c>
      <c r="K3019" s="5">
        <v>256</v>
      </c>
      <c r="L3019" s="9" t="s">
        <v>3850</v>
      </c>
      <c r="M3019" s="5"/>
      <c r="N3019" s="9" t="s">
        <v>6266</v>
      </c>
      <c r="O3019" s="9" t="str">
        <f t="shared" si="280"/>
        <v>PDFを開く</v>
      </c>
      <c r="P3019" s="9" t="s">
        <v>2388</v>
      </c>
    </row>
    <row r="3020" spans="1:16" ht="33.950000000000003" customHeight="1">
      <c r="A3020" s="2" t="s">
        <v>2380</v>
      </c>
      <c r="B3020" s="2" t="s">
        <v>1595</v>
      </c>
      <c r="C3020" s="8" t="s">
        <v>2381</v>
      </c>
      <c r="D3020" s="2">
        <v>2</v>
      </c>
      <c r="E3020" s="8" t="s">
        <v>3188</v>
      </c>
      <c r="F3020" s="2" t="s">
        <v>86</v>
      </c>
      <c r="G3020" s="2" t="s">
        <v>3177</v>
      </c>
      <c r="H3020" s="2"/>
      <c r="I3020" s="8" t="s">
        <v>6267</v>
      </c>
      <c r="J3020" s="2">
        <v>2027</v>
      </c>
      <c r="K3020" s="2"/>
      <c r="L3020" s="8" t="s">
        <v>3211</v>
      </c>
      <c r="M3020" s="2">
        <v>4.5</v>
      </c>
      <c r="N3020" s="8" t="s">
        <v>3282</v>
      </c>
      <c r="O3020" s="8" t="str">
        <f t="shared" si="280"/>
        <v>PDFを開く</v>
      </c>
      <c r="P3020" s="8" t="s">
        <v>2388</v>
      </c>
    </row>
    <row r="3021" spans="1:16" ht="33.950000000000003" customHeight="1">
      <c r="A3021" s="5" t="s">
        <v>2380</v>
      </c>
      <c r="B3021" s="5" t="s">
        <v>1595</v>
      </c>
      <c r="C3021" s="9" t="s">
        <v>2381</v>
      </c>
      <c r="D3021" s="5">
        <v>2</v>
      </c>
      <c r="E3021" s="9" t="s">
        <v>3188</v>
      </c>
      <c r="F3021" s="5" t="s">
        <v>86</v>
      </c>
      <c r="G3021" s="5" t="s">
        <v>3177</v>
      </c>
      <c r="H3021" s="5"/>
      <c r="I3021" s="9" t="s">
        <v>6268</v>
      </c>
      <c r="J3021" s="5">
        <v>2030</v>
      </c>
      <c r="K3021" s="5"/>
      <c r="L3021" s="9" t="s">
        <v>3284</v>
      </c>
      <c r="M3021" s="5">
        <v>4.5</v>
      </c>
      <c r="N3021" s="9" t="s">
        <v>3282</v>
      </c>
      <c r="O3021" s="9" t="str">
        <f t="shared" si="280"/>
        <v>PDFを開く</v>
      </c>
      <c r="P3021" s="9" t="s">
        <v>2388</v>
      </c>
    </row>
    <row r="3022" spans="1:16" ht="33.950000000000003" customHeight="1">
      <c r="A3022" s="2" t="s">
        <v>2389</v>
      </c>
      <c r="B3022" s="2" t="s">
        <v>1595</v>
      </c>
      <c r="C3022" s="8" t="s">
        <v>2390</v>
      </c>
      <c r="D3022" s="2">
        <v>2</v>
      </c>
      <c r="E3022" s="8" t="s">
        <v>3176</v>
      </c>
      <c r="F3022" s="2" t="s">
        <v>86</v>
      </c>
      <c r="G3022" s="2" t="s">
        <v>3177</v>
      </c>
      <c r="H3022" s="2" t="s">
        <v>3178</v>
      </c>
      <c r="I3022" s="8" t="s">
        <v>6269</v>
      </c>
      <c r="J3022" s="2">
        <v>2028</v>
      </c>
      <c r="K3022" s="2">
        <v>871</v>
      </c>
      <c r="L3022" s="8" t="s">
        <v>5640</v>
      </c>
      <c r="M3022" s="2">
        <v>21.1</v>
      </c>
      <c r="N3022" s="8" t="s">
        <v>6270</v>
      </c>
      <c r="O3022" s="8" t="str">
        <f t="shared" ref="O3022:O3030" si="281">HYPERLINK("https://seichotoushi-hojo.jp/assets/pdf/koufu_3_4ji/outline_95.pdf","PDFを開く")</f>
        <v>PDFを開く</v>
      </c>
      <c r="P3022" s="8" t="s">
        <v>2395</v>
      </c>
    </row>
    <row r="3023" spans="1:16" ht="33.950000000000003" customHeight="1">
      <c r="A3023" s="5" t="s">
        <v>2389</v>
      </c>
      <c r="B3023" s="5" t="s">
        <v>1595</v>
      </c>
      <c r="C3023" s="9" t="s">
        <v>2390</v>
      </c>
      <c r="D3023" s="5">
        <v>2</v>
      </c>
      <c r="E3023" s="9" t="s">
        <v>3176</v>
      </c>
      <c r="F3023" s="5" t="s">
        <v>86</v>
      </c>
      <c r="G3023" s="5" t="s">
        <v>3177</v>
      </c>
      <c r="H3023" s="5" t="s">
        <v>3178</v>
      </c>
      <c r="I3023" s="9" t="s">
        <v>6271</v>
      </c>
      <c r="J3023" s="5">
        <v>2031</v>
      </c>
      <c r="K3023" s="5">
        <v>1546</v>
      </c>
      <c r="L3023" s="9" t="s">
        <v>6272</v>
      </c>
      <c r="M3023" s="5">
        <v>21.1</v>
      </c>
      <c r="N3023" s="9" t="s">
        <v>6270</v>
      </c>
      <c r="O3023" s="9" t="str">
        <f t="shared" si="281"/>
        <v>PDFを開く</v>
      </c>
      <c r="P3023" s="9" t="s">
        <v>2395</v>
      </c>
    </row>
    <row r="3024" spans="1:16" ht="33.950000000000003" customHeight="1">
      <c r="A3024" s="2" t="s">
        <v>2389</v>
      </c>
      <c r="B3024" s="2" t="s">
        <v>1595</v>
      </c>
      <c r="C3024" s="8" t="s">
        <v>2390</v>
      </c>
      <c r="D3024" s="2">
        <v>2</v>
      </c>
      <c r="E3024" s="8" t="s">
        <v>3184</v>
      </c>
      <c r="F3024" s="2" t="s">
        <v>86</v>
      </c>
      <c r="G3024" s="2" t="s">
        <v>3177</v>
      </c>
      <c r="H3024" s="2" t="s">
        <v>3178</v>
      </c>
      <c r="I3024" s="8" t="s">
        <v>6269</v>
      </c>
      <c r="J3024" s="2">
        <v>2028</v>
      </c>
      <c r="K3024" s="2">
        <v>457</v>
      </c>
      <c r="L3024" s="8" t="s">
        <v>3497</v>
      </c>
      <c r="M3024" s="2">
        <v>7</v>
      </c>
      <c r="N3024" s="8" t="s">
        <v>6273</v>
      </c>
      <c r="O3024" s="8" t="str">
        <f t="shared" si="281"/>
        <v>PDFを開く</v>
      </c>
      <c r="P3024" s="8" t="s">
        <v>2395</v>
      </c>
    </row>
    <row r="3025" spans="1:16" ht="33.950000000000003" customHeight="1">
      <c r="A3025" s="5" t="s">
        <v>2389</v>
      </c>
      <c r="B3025" s="5" t="s">
        <v>1595</v>
      </c>
      <c r="C3025" s="9" t="s">
        <v>2390</v>
      </c>
      <c r="D3025" s="5">
        <v>2</v>
      </c>
      <c r="E3025" s="9" t="s">
        <v>3184</v>
      </c>
      <c r="F3025" s="5" t="s">
        <v>86</v>
      </c>
      <c r="G3025" s="5" t="s">
        <v>3177</v>
      </c>
      <c r="H3025" s="5" t="s">
        <v>3178</v>
      </c>
      <c r="I3025" s="9" t="s">
        <v>6271</v>
      </c>
      <c r="J3025" s="5">
        <v>2031</v>
      </c>
      <c r="K3025" s="5">
        <v>560</v>
      </c>
      <c r="L3025" s="9" t="s">
        <v>3637</v>
      </c>
      <c r="M3025" s="5">
        <v>7</v>
      </c>
      <c r="N3025" s="9" t="s">
        <v>6273</v>
      </c>
      <c r="O3025" s="9" t="str">
        <f t="shared" si="281"/>
        <v>PDFを開く</v>
      </c>
      <c r="P3025" s="9" t="s">
        <v>2395</v>
      </c>
    </row>
    <row r="3026" spans="1:16" ht="33.950000000000003" customHeight="1">
      <c r="A3026" s="2" t="s">
        <v>2389</v>
      </c>
      <c r="B3026" s="2" t="s">
        <v>1595</v>
      </c>
      <c r="C3026" s="8" t="s">
        <v>2390</v>
      </c>
      <c r="D3026" s="2">
        <v>2</v>
      </c>
      <c r="E3026" s="8" t="s">
        <v>3188</v>
      </c>
      <c r="F3026" s="2" t="s">
        <v>86</v>
      </c>
      <c r="G3026" s="19" t="s">
        <v>3189</v>
      </c>
      <c r="H3026" s="2" t="s">
        <v>3178</v>
      </c>
      <c r="I3026" s="8"/>
      <c r="J3026" s="2"/>
      <c r="K3026" s="2"/>
      <c r="L3026" s="8"/>
      <c r="M3026" s="2">
        <v>5</v>
      </c>
      <c r="N3026" s="8" t="s">
        <v>3377</v>
      </c>
      <c r="O3026" s="8" t="str">
        <f t="shared" si="281"/>
        <v>PDFを開く</v>
      </c>
      <c r="P3026" s="8" t="s">
        <v>2395</v>
      </c>
    </row>
    <row r="3027" spans="1:16" ht="33.950000000000003" customHeight="1">
      <c r="A3027" s="5" t="s">
        <v>2389</v>
      </c>
      <c r="B3027" s="5" t="s">
        <v>1595</v>
      </c>
      <c r="C3027" s="9" t="s">
        <v>2390</v>
      </c>
      <c r="D3027" s="5">
        <v>2</v>
      </c>
      <c r="E3027" s="9" t="s">
        <v>3191</v>
      </c>
      <c r="F3027" s="5" t="s">
        <v>2513</v>
      </c>
      <c r="G3027" s="5" t="s">
        <v>3177</v>
      </c>
      <c r="H3027" s="5" t="s">
        <v>3178</v>
      </c>
      <c r="I3027" s="9" t="s">
        <v>6269</v>
      </c>
      <c r="J3027" s="5">
        <v>2028</v>
      </c>
      <c r="K3027" s="5">
        <v>92</v>
      </c>
      <c r="L3027" s="9" t="s">
        <v>6274</v>
      </c>
      <c r="M3027" s="5"/>
      <c r="N3027" s="9" t="s">
        <v>6275</v>
      </c>
      <c r="O3027" s="9" t="str">
        <f t="shared" si="281"/>
        <v>PDFを開く</v>
      </c>
      <c r="P3027" s="9" t="s">
        <v>2395</v>
      </c>
    </row>
    <row r="3028" spans="1:16" ht="33.950000000000003" customHeight="1">
      <c r="A3028" s="2" t="s">
        <v>2389</v>
      </c>
      <c r="B3028" s="2" t="s">
        <v>1595</v>
      </c>
      <c r="C3028" s="8" t="s">
        <v>2390</v>
      </c>
      <c r="D3028" s="2">
        <v>2</v>
      </c>
      <c r="E3028" s="8" t="s">
        <v>3191</v>
      </c>
      <c r="F3028" s="2" t="s">
        <v>2513</v>
      </c>
      <c r="G3028" s="2" t="s">
        <v>3177</v>
      </c>
      <c r="H3028" s="2" t="s">
        <v>3178</v>
      </c>
      <c r="I3028" s="8" t="s">
        <v>6271</v>
      </c>
      <c r="J3028" s="2">
        <v>2031</v>
      </c>
      <c r="K3028" s="2">
        <v>110</v>
      </c>
      <c r="L3028" s="8" t="s">
        <v>3968</v>
      </c>
      <c r="M3028" s="2"/>
      <c r="N3028" s="8" t="s">
        <v>6275</v>
      </c>
      <c r="O3028" s="8" t="str">
        <f t="shared" si="281"/>
        <v>PDFを開く</v>
      </c>
      <c r="P3028" s="8" t="s">
        <v>2395</v>
      </c>
    </row>
    <row r="3029" spans="1:16" ht="33.950000000000003" customHeight="1">
      <c r="A3029" s="5" t="s">
        <v>2389</v>
      </c>
      <c r="B3029" s="5" t="s">
        <v>1595</v>
      </c>
      <c r="C3029" s="9" t="s">
        <v>2390</v>
      </c>
      <c r="D3029" s="5">
        <v>2</v>
      </c>
      <c r="E3029" s="9" t="s">
        <v>3188</v>
      </c>
      <c r="F3029" s="5" t="s">
        <v>86</v>
      </c>
      <c r="G3029" s="5" t="s">
        <v>3177</v>
      </c>
      <c r="H3029" s="5"/>
      <c r="I3029" s="9" t="s">
        <v>6276</v>
      </c>
      <c r="J3029" s="5">
        <v>2028</v>
      </c>
      <c r="K3029" s="5"/>
      <c r="L3029" s="9" t="s">
        <v>3211</v>
      </c>
      <c r="M3029" s="5">
        <v>5</v>
      </c>
      <c r="N3029" s="9" t="s">
        <v>3382</v>
      </c>
      <c r="O3029" s="9" t="str">
        <f t="shared" si="281"/>
        <v>PDFを開く</v>
      </c>
      <c r="P3029" s="9" t="s">
        <v>2395</v>
      </c>
    </row>
    <row r="3030" spans="1:16" ht="33.950000000000003" customHeight="1">
      <c r="A3030" s="2" t="s">
        <v>2389</v>
      </c>
      <c r="B3030" s="2" t="s">
        <v>1595</v>
      </c>
      <c r="C3030" s="8" t="s">
        <v>2390</v>
      </c>
      <c r="D3030" s="2">
        <v>2</v>
      </c>
      <c r="E3030" s="8" t="s">
        <v>3188</v>
      </c>
      <c r="F3030" s="2" t="s">
        <v>86</v>
      </c>
      <c r="G3030" s="2" t="s">
        <v>3177</v>
      </c>
      <c r="H3030" s="2"/>
      <c r="I3030" s="8" t="s">
        <v>6277</v>
      </c>
      <c r="J3030" s="2">
        <v>2031</v>
      </c>
      <c r="K3030" s="2"/>
      <c r="L3030" s="8" t="s">
        <v>3384</v>
      </c>
      <c r="M3030" s="2">
        <v>5</v>
      </c>
      <c r="N3030" s="8" t="s">
        <v>3382</v>
      </c>
      <c r="O3030" s="8" t="str">
        <f t="shared" si="281"/>
        <v>PDFを開く</v>
      </c>
      <c r="P3030" s="8" t="s">
        <v>2395</v>
      </c>
    </row>
    <row r="3031" spans="1:16" ht="33.950000000000003" customHeight="1">
      <c r="A3031" s="5" t="s">
        <v>2396</v>
      </c>
      <c r="B3031" s="5" t="s">
        <v>1595</v>
      </c>
      <c r="C3031" s="9" t="s">
        <v>2397</v>
      </c>
      <c r="D3031" s="5">
        <v>2</v>
      </c>
      <c r="E3031" s="9" t="s">
        <v>3176</v>
      </c>
      <c r="F3031" s="5" t="s">
        <v>86</v>
      </c>
      <c r="G3031" s="5" t="s">
        <v>3177</v>
      </c>
      <c r="H3031" s="5" t="s">
        <v>3178</v>
      </c>
      <c r="I3031" s="9" t="s">
        <v>6278</v>
      </c>
      <c r="J3031" s="5">
        <v>2026</v>
      </c>
      <c r="K3031" s="5">
        <v>658</v>
      </c>
      <c r="L3031" s="9" t="s">
        <v>5287</v>
      </c>
      <c r="M3031" s="5">
        <v>69.5</v>
      </c>
      <c r="N3031" s="9" t="s">
        <v>6279</v>
      </c>
      <c r="O3031" s="9" t="str">
        <f t="shared" ref="O3031:O3039" si="282">HYPERLINK("https://seichotoushi-hojo.jp/assets/pdf/koufu_3_4ji/outline_96.pdf","PDFを開く")</f>
        <v>PDFを開く</v>
      </c>
      <c r="P3031" s="9" t="s">
        <v>2403</v>
      </c>
    </row>
    <row r="3032" spans="1:16" ht="33.950000000000003" customHeight="1">
      <c r="A3032" s="2" t="s">
        <v>2396</v>
      </c>
      <c r="B3032" s="2" t="s">
        <v>1595</v>
      </c>
      <c r="C3032" s="8" t="s">
        <v>2397</v>
      </c>
      <c r="D3032" s="2">
        <v>2</v>
      </c>
      <c r="E3032" s="8" t="s">
        <v>3176</v>
      </c>
      <c r="F3032" s="2" t="s">
        <v>86</v>
      </c>
      <c r="G3032" s="2" t="s">
        <v>3177</v>
      </c>
      <c r="H3032" s="2" t="s">
        <v>3178</v>
      </c>
      <c r="I3032" s="8" t="s">
        <v>6280</v>
      </c>
      <c r="J3032" s="2">
        <v>2029</v>
      </c>
      <c r="K3032" s="2">
        <v>3206</v>
      </c>
      <c r="L3032" s="8" t="s">
        <v>6281</v>
      </c>
      <c r="M3032" s="2">
        <v>69.5</v>
      </c>
      <c r="N3032" s="8" t="s">
        <v>6279</v>
      </c>
      <c r="O3032" s="8" t="str">
        <f t="shared" si="282"/>
        <v>PDFを開く</v>
      </c>
      <c r="P3032" s="8" t="s">
        <v>2403</v>
      </c>
    </row>
    <row r="3033" spans="1:16" ht="33.950000000000003" customHeight="1">
      <c r="A3033" s="5" t="s">
        <v>2396</v>
      </c>
      <c r="B3033" s="5" t="s">
        <v>1595</v>
      </c>
      <c r="C3033" s="9" t="s">
        <v>2397</v>
      </c>
      <c r="D3033" s="5">
        <v>2</v>
      </c>
      <c r="E3033" s="9" t="s">
        <v>3184</v>
      </c>
      <c r="F3033" s="5" t="s">
        <v>86</v>
      </c>
      <c r="G3033" s="5" t="s">
        <v>3177</v>
      </c>
      <c r="H3033" s="5" t="s">
        <v>3178</v>
      </c>
      <c r="I3033" s="9" t="s">
        <v>6278</v>
      </c>
      <c r="J3033" s="5">
        <v>2026</v>
      </c>
      <c r="K3033" s="5">
        <v>480</v>
      </c>
      <c r="L3033" s="9" t="s">
        <v>6282</v>
      </c>
      <c r="M3033" s="5">
        <v>8.1</v>
      </c>
      <c r="N3033" s="9" t="s">
        <v>6283</v>
      </c>
      <c r="O3033" s="9" t="str">
        <f t="shared" si="282"/>
        <v>PDFを開く</v>
      </c>
      <c r="P3033" s="9" t="s">
        <v>2403</v>
      </c>
    </row>
    <row r="3034" spans="1:16" ht="33.950000000000003" customHeight="1">
      <c r="A3034" s="2" t="s">
        <v>2396</v>
      </c>
      <c r="B3034" s="2" t="s">
        <v>1595</v>
      </c>
      <c r="C3034" s="8" t="s">
        <v>2397</v>
      </c>
      <c r="D3034" s="2">
        <v>2</v>
      </c>
      <c r="E3034" s="8" t="s">
        <v>3184</v>
      </c>
      <c r="F3034" s="2" t="s">
        <v>86</v>
      </c>
      <c r="G3034" s="2" t="s">
        <v>3177</v>
      </c>
      <c r="H3034" s="2" t="s">
        <v>3178</v>
      </c>
      <c r="I3034" s="8" t="s">
        <v>6280</v>
      </c>
      <c r="J3034" s="2">
        <v>2029</v>
      </c>
      <c r="K3034" s="2">
        <v>607</v>
      </c>
      <c r="L3034" s="8" t="s">
        <v>6284</v>
      </c>
      <c r="M3034" s="2">
        <v>8.1</v>
      </c>
      <c r="N3034" s="8" t="s">
        <v>6283</v>
      </c>
      <c r="O3034" s="8" t="str">
        <f t="shared" si="282"/>
        <v>PDFを開く</v>
      </c>
      <c r="P3034" s="8" t="s">
        <v>2403</v>
      </c>
    </row>
    <row r="3035" spans="1:16" ht="33.950000000000003" customHeight="1">
      <c r="A3035" s="5" t="s">
        <v>2396</v>
      </c>
      <c r="B3035" s="5" t="s">
        <v>1595</v>
      </c>
      <c r="C3035" s="9" t="s">
        <v>2397</v>
      </c>
      <c r="D3035" s="5">
        <v>2</v>
      </c>
      <c r="E3035" s="9" t="s">
        <v>3188</v>
      </c>
      <c r="F3035" s="5" t="s">
        <v>86</v>
      </c>
      <c r="G3035" s="19" t="s">
        <v>3189</v>
      </c>
      <c r="H3035" s="5" t="s">
        <v>3178</v>
      </c>
      <c r="I3035" s="9"/>
      <c r="J3035" s="5"/>
      <c r="K3035" s="5"/>
      <c r="L3035" s="9"/>
      <c r="M3035" s="5">
        <v>14.5</v>
      </c>
      <c r="N3035" s="9" t="s">
        <v>6285</v>
      </c>
      <c r="O3035" s="9" t="str">
        <f t="shared" si="282"/>
        <v>PDFを開く</v>
      </c>
      <c r="P3035" s="9" t="s">
        <v>2403</v>
      </c>
    </row>
    <row r="3036" spans="1:16" ht="33.950000000000003" customHeight="1">
      <c r="A3036" s="2" t="s">
        <v>2396</v>
      </c>
      <c r="B3036" s="2" t="s">
        <v>1595</v>
      </c>
      <c r="C3036" s="8" t="s">
        <v>2397</v>
      </c>
      <c r="D3036" s="2">
        <v>2</v>
      </c>
      <c r="E3036" s="8" t="s">
        <v>3191</v>
      </c>
      <c r="F3036" s="2" t="s">
        <v>2513</v>
      </c>
      <c r="G3036" s="2" t="s">
        <v>3177</v>
      </c>
      <c r="H3036" s="2" t="s">
        <v>3178</v>
      </c>
      <c r="I3036" s="8" t="s">
        <v>6278</v>
      </c>
      <c r="J3036" s="2">
        <v>2026</v>
      </c>
      <c r="K3036" s="2">
        <v>0.4</v>
      </c>
      <c r="L3036" s="8" t="s">
        <v>6286</v>
      </c>
      <c r="M3036" s="2"/>
      <c r="N3036" s="8" t="s">
        <v>6287</v>
      </c>
      <c r="O3036" s="8" t="str">
        <f t="shared" si="282"/>
        <v>PDFを開く</v>
      </c>
      <c r="P3036" s="8" t="s">
        <v>2403</v>
      </c>
    </row>
    <row r="3037" spans="1:16" ht="33.950000000000003" customHeight="1">
      <c r="A3037" s="5" t="s">
        <v>2396</v>
      </c>
      <c r="B3037" s="5" t="s">
        <v>1595</v>
      </c>
      <c r="C3037" s="9" t="s">
        <v>2397</v>
      </c>
      <c r="D3037" s="5">
        <v>2</v>
      </c>
      <c r="E3037" s="9" t="s">
        <v>3191</v>
      </c>
      <c r="F3037" s="5" t="s">
        <v>2513</v>
      </c>
      <c r="G3037" s="5" t="s">
        <v>3177</v>
      </c>
      <c r="H3037" s="5" t="s">
        <v>3178</v>
      </c>
      <c r="I3037" s="9" t="s">
        <v>6280</v>
      </c>
      <c r="J3037" s="5">
        <v>2029</v>
      </c>
      <c r="K3037" s="5">
        <v>21</v>
      </c>
      <c r="L3037" s="9" t="s">
        <v>4223</v>
      </c>
      <c r="M3037" s="5"/>
      <c r="N3037" s="9" t="s">
        <v>6287</v>
      </c>
      <c r="O3037" s="9" t="str">
        <f t="shared" si="282"/>
        <v>PDFを開く</v>
      </c>
      <c r="P3037" s="9" t="s">
        <v>2403</v>
      </c>
    </row>
    <row r="3038" spans="1:16" ht="33.950000000000003" customHeight="1">
      <c r="A3038" s="2" t="s">
        <v>2396</v>
      </c>
      <c r="B3038" s="2" t="s">
        <v>1595</v>
      </c>
      <c r="C3038" s="8" t="s">
        <v>2397</v>
      </c>
      <c r="D3038" s="2">
        <v>2</v>
      </c>
      <c r="E3038" s="8" t="s">
        <v>3188</v>
      </c>
      <c r="F3038" s="2" t="s">
        <v>86</v>
      </c>
      <c r="G3038" s="2" t="s">
        <v>3177</v>
      </c>
      <c r="H3038" s="2"/>
      <c r="I3038" s="8" t="s">
        <v>6288</v>
      </c>
      <c r="J3038" s="2">
        <v>2026</v>
      </c>
      <c r="K3038" s="2"/>
      <c r="L3038" s="8" t="s">
        <v>3211</v>
      </c>
      <c r="M3038" s="2">
        <v>14.5</v>
      </c>
      <c r="N3038" s="8" t="s">
        <v>6289</v>
      </c>
      <c r="O3038" s="8" t="str">
        <f t="shared" si="282"/>
        <v>PDFを開く</v>
      </c>
      <c r="P3038" s="8" t="s">
        <v>2403</v>
      </c>
    </row>
    <row r="3039" spans="1:16" ht="33.950000000000003" customHeight="1">
      <c r="A3039" s="5" t="s">
        <v>2396</v>
      </c>
      <c r="B3039" s="5" t="s">
        <v>1595</v>
      </c>
      <c r="C3039" s="9" t="s">
        <v>2397</v>
      </c>
      <c r="D3039" s="5">
        <v>2</v>
      </c>
      <c r="E3039" s="9" t="s">
        <v>3188</v>
      </c>
      <c r="F3039" s="5" t="s">
        <v>86</v>
      </c>
      <c r="G3039" s="5" t="s">
        <v>3177</v>
      </c>
      <c r="H3039" s="5"/>
      <c r="I3039" s="9" t="s">
        <v>6290</v>
      </c>
      <c r="J3039" s="5">
        <v>2029</v>
      </c>
      <c r="K3039" s="5"/>
      <c r="L3039" s="9" t="s">
        <v>6291</v>
      </c>
      <c r="M3039" s="5">
        <v>14.5</v>
      </c>
      <c r="N3039" s="9" t="s">
        <v>6289</v>
      </c>
      <c r="O3039" s="9" t="str">
        <f t="shared" si="282"/>
        <v>PDFを開く</v>
      </c>
      <c r="P3039" s="9" t="s">
        <v>2403</v>
      </c>
    </row>
    <row r="3040" spans="1:16" ht="33.950000000000003" customHeight="1">
      <c r="A3040" s="2" t="s">
        <v>2404</v>
      </c>
      <c r="B3040" s="2" t="s">
        <v>1595</v>
      </c>
      <c r="C3040" s="8" t="s">
        <v>2405</v>
      </c>
      <c r="D3040" s="2">
        <v>2</v>
      </c>
      <c r="E3040" s="8" t="s">
        <v>3176</v>
      </c>
      <c r="F3040" s="2" t="s">
        <v>86</v>
      </c>
      <c r="G3040" s="2" t="s">
        <v>3177</v>
      </c>
      <c r="H3040" s="2" t="s">
        <v>3178</v>
      </c>
      <c r="I3040" s="8" t="s">
        <v>3259</v>
      </c>
      <c r="J3040" s="2">
        <v>2027</v>
      </c>
      <c r="K3040" s="2">
        <v>1265</v>
      </c>
      <c r="L3040" s="8" t="s">
        <v>6292</v>
      </c>
      <c r="M3040" s="2">
        <v>34.799999999999997</v>
      </c>
      <c r="N3040" s="8" t="s">
        <v>6293</v>
      </c>
      <c r="O3040" s="8" t="str">
        <f t="shared" ref="O3040:O3048" si="283">HYPERLINK("https://seichotoushi-hojo.jp/assets/pdf/koufu_3_4ji/outline_97.pdf","PDFを開く")</f>
        <v>PDFを開く</v>
      </c>
      <c r="P3040" s="8" t="s">
        <v>2411</v>
      </c>
    </row>
    <row r="3041" spans="1:16" ht="33.950000000000003" customHeight="1">
      <c r="A3041" s="5" t="s">
        <v>2404</v>
      </c>
      <c r="B3041" s="5" t="s">
        <v>1595</v>
      </c>
      <c r="C3041" s="9" t="s">
        <v>2405</v>
      </c>
      <c r="D3041" s="5">
        <v>2</v>
      </c>
      <c r="E3041" s="9" t="s">
        <v>3176</v>
      </c>
      <c r="F3041" s="5" t="s">
        <v>86</v>
      </c>
      <c r="G3041" s="5" t="s">
        <v>3177</v>
      </c>
      <c r="H3041" s="5" t="s">
        <v>3178</v>
      </c>
      <c r="I3041" s="9" t="s">
        <v>3262</v>
      </c>
      <c r="J3041" s="5">
        <v>2030</v>
      </c>
      <c r="K3041" s="5">
        <v>3099</v>
      </c>
      <c r="L3041" s="9" t="s">
        <v>5514</v>
      </c>
      <c r="M3041" s="5">
        <v>34.799999999999997</v>
      </c>
      <c r="N3041" s="9" t="s">
        <v>6293</v>
      </c>
      <c r="O3041" s="9" t="str">
        <f t="shared" si="283"/>
        <v>PDFを開く</v>
      </c>
      <c r="P3041" s="9" t="s">
        <v>2411</v>
      </c>
    </row>
    <row r="3042" spans="1:16" ht="33.950000000000003" customHeight="1">
      <c r="A3042" s="2" t="s">
        <v>2404</v>
      </c>
      <c r="B3042" s="2" t="s">
        <v>1595</v>
      </c>
      <c r="C3042" s="8" t="s">
        <v>2405</v>
      </c>
      <c r="D3042" s="2">
        <v>2</v>
      </c>
      <c r="E3042" s="8" t="s">
        <v>3184</v>
      </c>
      <c r="F3042" s="2" t="s">
        <v>86</v>
      </c>
      <c r="G3042" s="2" t="s">
        <v>3177</v>
      </c>
      <c r="H3042" s="2" t="s">
        <v>3178</v>
      </c>
      <c r="I3042" s="8" t="s">
        <v>3259</v>
      </c>
      <c r="J3042" s="2">
        <v>2027</v>
      </c>
      <c r="K3042" s="2">
        <v>617</v>
      </c>
      <c r="L3042" s="8" t="s">
        <v>4962</v>
      </c>
      <c r="M3042" s="2">
        <v>5.6</v>
      </c>
      <c r="N3042" s="8" t="s">
        <v>6294</v>
      </c>
      <c r="O3042" s="8" t="str">
        <f t="shared" si="283"/>
        <v>PDFを開く</v>
      </c>
      <c r="P3042" s="8" t="s">
        <v>2411</v>
      </c>
    </row>
    <row r="3043" spans="1:16" ht="33.950000000000003" customHeight="1">
      <c r="A3043" s="5" t="s">
        <v>2404</v>
      </c>
      <c r="B3043" s="5" t="s">
        <v>1595</v>
      </c>
      <c r="C3043" s="9" t="s">
        <v>2405</v>
      </c>
      <c r="D3043" s="5">
        <v>2</v>
      </c>
      <c r="E3043" s="9" t="s">
        <v>3184</v>
      </c>
      <c r="F3043" s="5" t="s">
        <v>86</v>
      </c>
      <c r="G3043" s="5" t="s">
        <v>3177</v>
      </c>
      <c r="H3043" s="5" t="s">
        <v>3178</v>
      </c>
      <c r="I3043" s="9" t="s">
        <v>3262</v>
      </c>
      <c r="J3043" s="5">
        <v>2030</v>
      </c>
      <c r="K3043" s="5">
        <v>727</v>
      </c>
      <c r="L3043" s="9" t="s">
        <v>3911</v>
      </c>
      <c r="M3043" s="5">
        <v>5.6</v>
      </c>
      <c r="N3043" s="9" t="s">
        <v>6294</v>
      </c>
      <c r="O3043" s="9" t="str">
        <f t="shared" si="283"/>
        <v>PDFを開く</v>
      </c>
      <c r="P3043" s="9" t="s">
        <v>2411</v>
      </c>
    </row>
    <row r="3044" spans="1:16" ht="33.950000000000003" customHeight="1">
      <c r="A3044" s="2" t="s">
        <v>2404</v>
      </c>
      <c r="B3044" s="2" t="s">
        <v>1595</v>
      </c>
      <c r="C3044" s="8" t="s">
        <v>2405</v>
      </c>
      <c r="D3044" s="2">
        <v>2</v>
      </c>
      <c r="E3044" s="8" t="s">
        <v>3188</v>
      </c>
      <c r="F3044" s="2" t="s">
        <v>86</v>
      </c>
      <c r="G3044" s="19" t="s">
        <v>3189</v>
      </c>
      <c r="H3044" s="2" t="s">
        <v>3178</v>
      </c>
      <c r="I3044" s="8"/>
      <c r="J3044" s="2"/>
      <c r="K3044" s="2"/>
      <c r="L3044" s="8"/>
      <c r="M3044" s="2">
        <v>5</v>
      </c>
      <c r="N3044" s="8" t="s">
        <v>3377</v>
      </c>
      <c r="O3044" s="8" t="str">
        <f t="shared" si="283"/>
        <v>PDFを開く</v>
      </c>
      <c r="P3044" s="8" t="s">
        <v>2411</v>
      </c>
    </row>
    <row r="3045" spans="1:16" ht="33.950000000000003" customHeight="1">
      <c r="A3045" s="5" t="s">
        <v>2404</v>
      </c>
      <c r="B3045" s="5" t="s">
        <v>1595</v>
      </c>
      <c r="C3045" s="9" t="s">
        <v>2405</v>
      </c>
      <c r="D3045" s="5">
        <v>2</v>
      </c>
      <c r="E3045" s="9" t="s">
        <v>3191</v>
      </c>
      <c r="F3045" s="5" t="s">
        <v>2513</v>
      </c>
      <c r="G3045" s="5" t="s">
        <v>3177</v>
      </c>
      <c r="H3045" s="5" t="s">
        <v>3178</v>
      </c>
      <c r="I3045" s="9" t="s">
        <v>3259</v>
      </c>
      <c r="J3045" s="5">
        <v>2027</v>
      </c>
      <c r="K3045" s="5">
        <v>86</v>
      </c>
      <c r="L3045" s="9" t="s">
        <v>6155</v>
      </c>
      <c r="M3045" s="5"/>
      <c r="N3045" s="9" t="s">
        <v>6295</v>
      </c>
      <c r="O3045" s="9" t="str">
        <f t="shared" si="283"/>
        <v>PDFを開く</v>
      </c>
      <c r="P3045" s="9" t="s">
        <v>2411</v>
      </c>
    </row>
    <row r="3046" spans="1:16" ht="33.950000000000003" customHeight="1">
      <c r="A3046" s="2" t="s">
        <v>2404</v>
      </c>
      <c r="B3046" s="2" t="s">
        <v>1595</v>
      </c>
      <c r="C3046" s="8" t="s">
        <v>2405</v>
      </c>
      <c r="D3046" s="2">
        <v>2</v>
      </c>
      <c r="E3046" s="8" t="s">
        <v>3191</v>
      </c>
      <c r="F3046" s="2" t="s">
        <v>2513</v>
      </c>
      <c r="G3046" s="2" t="s">
        <v>3177</v>
      </c>
      <c r="H3046" s="2" t="s">
        <v>3178</v>
      </c>
      <c r="I3046" s="8" t="s">
        <v>3262</v>
      </c>
      <c r="J3046" s="2">
        <v>2030</v>
      </c>
      <c r="K3046" s="2">
        <v>120</v>
      </c>
      <c r="L3046" s="8" t="s">
        <v>4080</v>
      </c>
      <c r="M3046" s="2"/>
      <c r="N3046" s="8" t="s">
        <v>6295</v>
      </c>
      <c r="O3046" s="8" t="str">
        <f t="shared" si="283"/>
        <v>PDFを開く</v>
      </c>
      <c r="P3046" s="8" t="s">
        <v>2411</v>
      </c>
    </row>
    <row r="3047" spans="1:16" ht="33.950000000000003" customHeight="1">
      <c r="A3047" s="5" t="s">
        <v>2404</v>
      </c>
      <c r="B3047" s="5" t="s">
        <v>1595</v>
      </c>
      <c r="C3047" s="9" t="s">
        <v>2405</v>
      </c>
      <c r="D3047" s="5">
        <v>2</v>
      </c>
      <c r="E3047" s="9" t="s">
        <v>3188</v>
      </c>
      <c r="F3047" s="5" t="s">
        <v>86</v>
      </c>
      <c r="G3047" s="5" t="s">
        <v>3177</v>
      </c>
      <c r="H3047" s="5"/>
      <c r="I3047" s="9" t="s">
        <v>6296</v>
      </c>
      <c r="J3047" s="5">
        <v>2027</v>
      </c>
      <c r="K3047" s="5"/>
      <c r="L3047" s="9" t="s">
        <v>3211</v>
      </c>
      <c r="M3047" s="5">
        <v>5</v>
      </c>
      <c r="N3047" s="9" t="s">
        <v>3382</v>
      </c>
      <c r="O3047" s="9" t="str">
        <f t="shared" si="283"/>
        <v>PDFを開く</v>
      </c>
      <c r="P3047" s="9" t="s">
        <v>2411</v>
      </c>
    </row>
    <row r="3048" spans="1:16" ht="33.950000000000003" customHeight="1">
      <c r="A3048" s="2" t="s">
        <v>2404</v>
      </c>
      <c r="B3048" s="2" t="s">
        <v>1595</v>
      </c>
      <c r="C3048" s="8" t="s">
        <v>2405</v>
      </c>
      <c r="D3048" s="2">
        <v>2</v>
      </c>
      <c r="E3048" s="8" t="s">
        <v>3188</v>
      </c>
      <c r="F3048" s="2" t="s">
        <v>86</v>
      </c>
      <c r="G3048" s="2" t="s">
        <v>3177</v>
      </c>
      <c r="H3048" s="2"/>
      <c r="I3048" s="8" t="s">
        <v>6297</v>
      </c>
      <c r="J3048" s="2">
        <v>2030</v>
      </c>
      <c r="K3048" s="2"/>
      <c r="L3048" s="8" t="s">
        <v>3384</v>
      </c>
      <c r="M3048" s="2">
        <v>5</v>
      </c>
      <c r="N3048" s="8" t="s">
        <v>3382</v>
      </c>
      <c r="O3048" s="8" t="str">
        <f t="shared" si="283"/>
        <v>PDFを開く</v>
      </c>
      <c r="P3048" s="8" t="s">
        <v>2411</v>
      </c>
    </row>
    <row r="3049" spans="1:16" ht="33.950000000000003" customHeight="1">
      <c r="A3049" s="5" t="s">
        <v>2412</v>
      </c>
      <c r="B3049" s="5" t="s">
        <v>1595</v>
      </c>
      <c r="C3049" s="9" t="s">
        <v>2413</v>
      </c>
      <c r="D3049" s="5">
        <v>2</v>
      </c>
      <c r="E3049" s="9" t="s">
        <v>3176</v>
      </c>
      <c r="F3049" s="5" t="s">
        <v>86</v>
      </c>
      <c r="G3049" s="5" t="s">
        <v>3177</v>
      </c>
      <c r="H3049" s="5"/>
      <c r="I3049" s="9" t="s">
        <v>3507</v>
      </c>
      <c r="J3049" s="5">
        <v>2029</v>
      </c>
      <c r="K3049" s="5">
        <v>1281</v>
      </c>
      <c r="L3049" s="9" t="s">
        <v>5669</v>
      </c>
      <c r="M3049" s="5">
        <v>14.1</v>
      </c>
      <c r="N3049" s="9" t="s">
        <v>6298</v>
      </c>
      <c r="O3049" s="9" t="str">
        <f t="shared" ref="O3049:O3055" si="284">HYPERLINK("https://seichotoushi-hojo.jp/assets/pdf/koufu_3_4ji/outline_98.pdf","PDFを開く")</f>
        <v>PDFを開く</v>
      </c>
      <c r="P3049" s="9" t="s">
        <v>2419</v>
      </c>
    </row>
    <row r="3050" spans="1:16" ht="33.950000000000003" customHeight="1">
      <c r="A3050" s="2" t="s">
        <v>2412</v>
      </c>
      <c r="B3050" s="2" t="s">
        <v>1595</v>
      </c>
      <c r="C3050" s="8" t="s">
        <v>2413</v>
      </c>
      <c r="D3050" s="2">
        <v>2</v>
      </c>
      <c r="E3050" s="8" t="s">
        <v>3176</v>
      </c>
      <c r="F3050" s="2" t="s">
        <v>86</v>
      </c>
      <c r="G3050" s="2" t="s">
        <v>3177</v>
      </c>
      <c r="H3050" s="2"/>
      <c r="I3050" s="8" t="s">
        <v>3504</v>
      </c>
      <c r="J3050" s="2">
        <v>2026</v>
      </c>
      <c r="K3050" s="2">
        <v>862</v>
      </c>
      <c r="L3050" s="8" t="s">
        <v>3180</v>
      </c>
      <c r="M3050" s="2">
        <v>14.1</v>
      </c>
      <c r="N3050" s="8" t="s">
        <v>6298</v>
      </c>
      <c r="O3050" s="8" t="str">
        <f t="shared" si="284"/>
        <v>PDFを開く</v>
      </c>
      <c r="P3050" s="8" t="s">
        <v>2419</v>
      </c>
    </row>
    <row r="3051" spans="1:16" ht="33.950000000000003" customHeight="1">
      <c r="A3051" s="5" t="s">
        <v>2412</v>
      </c>
      <c r="B3051" s="5" t="s">
        <v>1595</v>
      </c>
      <c r="C3051" s="9" t="s">
        <v>2413</v>
      </c>
      <c r="D3051" s="5">
        <v>2</v>
      </c>
      <c r="E3051" s="9" t="s">
        <v>3184</v>
      </c>
      <c r="F3051" s="5" t="s">
        <v>86</v>
      </c>
      <c r="G3051" s="5" t="s">
        <v>3177</v>
      </c>
      <c r="H3051" s="5"/>
      <c r="I3051" s="9" t="s">
        <v>3507</v>
      </c>
      <c r="J3051" s="5">
        <v>2029</v>
      </c>
      <c r="K3051" s="5">
        <v>663</v>
      </c>
      <c r="L3051" s="9" t="s">
        <v>3471</v>
      </c>
      <c r="M3051" s="5">
        <v>5.5</v>
      </c>
      <c r="N3051" s="9" t="s">
        <v>6299</v>
      </c>
      <c r="O3051" s="9" t="str">
        <f t="shared" si="284"/>
        <v>PDFを開く</v>
      </c>
      <c r="P3051" s="9" t="s">
        <v>2419</v>
      </c>
    </row>
    <row r="3052" spans="1:16" ht="33.950000000000003" customHeight="1">
      <c r="A3052" s="2" t="s">
        <v>2412</v>
      </c>
      <c r="B3052" s="2" t="s">
        <v>1595</v>
      </c>
      <c r="C3052" s="8" t="s">
        <v>2413</v>
      </c>
      <c r="D3052" s="2">
        <v>2</v>
      </c>
      <c r="E3052" s="8" t="s">
        <v>3184</v>
      </c>
      <c r="F3052" s="2" t="s">
        <v>86</v>
      </c>
      <c r="G3052" s="2" t="s">
        <v>3177</v>
      </c>
      <c r="H3052" s="2"/>
      <c r="I3052" s="8" t="s">
        <v>3504</v>
      </c>
      <c r="J3052" s="2">
        <v>2026</v>
      </c>
      <c r="K3052" s="2">
        <v>565</v>
      </c>
      <c r="L3052" s="8" t="s">
        <v>6300</v>
      </c>
      <c r="M3052" s="2">
        <v>5.5</v>
      </c>
      <c r="N3052" s="8" t="s">
        <v>6299</v>
      </c>
      <c r="O3052" s="8" t="str">
        <f t="shared" si="284"/>
        <v>PDFを開く</v>
      </c>
      <c r="P3052" s="8" t="s">
        <v>2419</v>
      </c>
    </row>
    <row r="3053" spans="1:16" ht="33.950000000000003" customHeight="1">
      <c r="A3053" s="5" t="s">
        <v>2412</v>
      </c>
      <c r="B3053" s="5" t="s">
        <v>1595</v>
      </c>
      <c r="C3053" s="9" t="s">
        <v>2413</v>
      </c>
      <c r="D3053" s="5">
        <v>2</v>
      </c>
      <c r="E3053" s="9" t="s">
        <v>3188</v>
      </c>
      <c r="F3053" s="5" t="s">
        <v>86</v>
      </c>
      <c r="G3053" s="19" t="s">
        <v>3189</v>
      </c>
      <c r="H3053" s="5"/>
      <c r="I3053" s="9"/>
      <c r="J3053" s="5"/>
      <c r="K3053" s="5"/>
      <c r="L3053" s="9"/>
      <c r="M3053" s="5">
        <v>5</v>
      </c>
      <c r="N3053" s="9" t="s">
        <v>6301</v>
      </c>
      <c r="O3053" s="9" t="str">
        <f t="shared" si="284"/>
        <v>PDFを開く</v>
      </c>
      <c r="P3053" s="9" t="s">
        <v>2419</v>
      </c>
    </row>
    <row r="3054" spans="1:16" ht="33.950000000000003" customHeight="1">
      <c r="A3054" s="2" t="s">
        <v>2412</v>
      </c>
      <c r="B3054" s="2" t="s">
        <v>1595</v>
      </c>
      <c r="C3054" s="8" t="s">
        <v>2413</v>
      </c>
      <c r="D3054" s="2">
        <v>2</v>
      </c>
      <c r="E3054" s="8" t="s">
        <v>3191</v>
      </c>
      <c r="F3054" s="2" t="s">
        <v>2513</v>
      </c>
      <c r="G3054" s="2" t="s">
        <v>3177</v>
      </c>
      <c r="H3054" s="2"/>
      <c r="I3054" s="8" t="s">
        <v>3504</v>
      </c>
      <c r="J3054" s="2">
        <v>2026</v>
      </c>
      <c r="K3054" s="2">
        <v>753</v>
      </c>
      <c r="L3054" s="8" t="s">
        <v>3829</v>
      </c>
      <c r="M3054" s="2"/>
      <c r="N3054" s="8" t="s">
        <v>6302</v>
      </c>
      <c r="O3054" s="8" t="str">
        <f t="shared" si="284"/>
        <v>PDFを開く</v>
      </c>
      <c r="P3054" s="8" t="s">
        <v>2419</v>
      </c>
    </row>
    <row r="3055" spans="1:16" ht="33.950000000000003" customHeight="1">
      <c r="A3055" s="5" t="s">
        <v>2412</v>
      </c>
      <c r="B3055" s="5" t="s">
        <v>1595</v>
      </c>
      <c r="C3055" s="9" t="s">
        <v>2413</v>
      </c>
      <c r="D3055" s="5">
        <v>2</v>
      </c>
      <c r="E3055" s="9" t="s">
        <v>3191</v>
      </c>
      <c r="F3055" s="5" t="s">
        <v>2513</v>
      </c>
      <c r="G3055" s="5" t="s">
        <v>3177</v>
      </c>
      <c r="H3055" s="5"/>
      <c r="I3055" s="9" t="s">
        <v>3507</v>
      </c>
      <c r="J3055" s="5">
        <v>2029</v>
      </c>
      <c r="K3055" s="5">
        <v>780</v>
      </c>
      <c r="L3055" s="9" t="s">
        <v>4208</v>
      </c>
      <c r="M3055" s="5"/>
      <c r="N3055" s="9" t="s">
        <v>6302</v>
      </c>
      <c r="O3055" s="9" t="str">
        <f t="shared" si="284"/>
        <v>PDFを開く</v>
      </c>
      <c r="P3055" s="9" t="s">
        <v>2419</v>
      </c>
    </row>
    <row r="3056" spans="1:16" ht="33.950000000000003" customHeight="1">
      <c r="A3056" s="2" t="s">
        <v>2420</v>
      </c>
      <c r="B3056" s="2" t="s">
        <v>1595</v>
      </c>
      <c r="C3056" s="8" t="s">
        <v>2421</v>
      </c>
      <c r="D3056" s="2">
        <v>4</v>
      </c>
      <c r="E3056" s="8" t="s">
        <v>3176</v>
      </c>
      <c r="F3056" s="2" t="s">
        <v>86</v>
      </c>
      <c r="G3056" s="19" t="s">
        <v>3189</v>
      </c>
      <c r="H3056" s="2"/>
      <c r="I3056" s="8" t="s">
        <v>3686</v>
      </c>
      <c r="J3056" s="2">
        <v>2027</v>
      </c>
      <c r="K3056" s="2">
        <v>1261</v>
      </c>
      <c r="L3056" s="8" t="s">
        <v>6303</v>
      </c>
      <c r="M3056" s="2">
        <v>3.1</v>
      </c>
      <c r="N3056" s="8" t="s">
        <v>6304</v>
      </c>
      <c r="O3056" s="8" t="str">
        <f t="shared" ref="O3056:O3089" si="285">HYPERLINK("https://seichotoushi-hojo.jp/assets/pdf/koufu_3_4ji/outline_99.pdf","PDFを開く")</f>
        <v>PDFを開く</v>
      </c>
      <c r="P3056" s="8" t="s">
        <v>2427</v>
      </c>
    </row>
    <row r="3057" spans="1:16" ht="33.950000000000003" customHeight="1">
      <c r="A3057" s="5" t="s">
        <v>2420</v>
      </c>
      <c r="B3057" s="5" t="s">
        <v>1595</v>
      </c>
      <c r="C3057" s="9" t="s">
        <v>2421</v>
      </c>
      <c r="D3057" s="5">
        <v>4</v>
      </c>
      <c r="E3057" s="9" t="s">
        <v>3176</v>
      </c>
      <c r="F3057" s="5" t="s">
        <v>86</v>
      </c>
      <c r="G3057" s="19" t="s">
        <v>3189</v>
      </c>
      <c r="H3057" s="5"/>
      <c r="I3057" s="9" t="s">
        <v>3686</v>
      </c>
      <c r="J3057" s="5">
        <v>2027</v>
      </c>
      <c r="K3057" s="5">
        <v>884</v>
      </c>
      <c r="L3057" s="9" t="s">
        <v>5766</v>
      </c>
      <c r="M3057" s="5">
        <v>3.1</v>
      </c>
      <c r="N3057" s="9" t="s">
        <v>6304</v>
      </c>
      <c r="O3057" s="9" t="str">
        <f t="shared" si="285"/>
        <v>PDFを開く</v>
      </c>
      <c r="P3057" s="9" t="s">
        <v>2427</v>
      </c>
    </row>
    <row r="3058" spans="1:16" ht="33.950000000000003" customHeight="1">
      <c r="A3058" s="2" t="s">
        <v>2420</v>
      </c>
      <c r="B3058" s="2" t="s">
        <v>1595</v>
      </c>
      <c r="C3058" s="8" t="s">
        <v>2421</v>
      </c>
      <c r="D3058" s="2">
        <v>4</v>
      </c>
      <c r="E3058" s="8" t="s">
        <v>3176</v>
      </c>
      <c r="F3058" s="2" t="s">
        <v>86</v>
      </c>
      <c r="G3058" s="19" t="s">
        <v>3189</v>
      </c>
      <c r="H3058" s="2"/>
      <c r="I3058" s="8" t="s">
        <v>3686</v>
      </c>
      <c r="J3058" s="2">
        <v>2027</v>
      </c>
      <c r="K3058" s="2">
        <v>2</v>
      </c>
      <c r="L3058" s="8" t="s">
        <v>4153</v>
      </c>
      <c r="M3058" s="2">
        <v>3.1</v>
      </c>
      <c r="N3058" s="8" t="s">
        <v>6304</v>
      </c>
      <c r="O3058" s="8" t="str">
        <f t="shared" si="285"/>
        <v>PDFを開く</v>
      </c>
      <c r="P3058" s="8" t="s">
        <v>2427</v>
      </c>
    </row>
    <row r="3059" spans="1:16" ht="33.950000000000003" customHeight="1">
      <c r="A3059" s="5" t="s">
        <v>2420</v>
      </c>
      <c r="B3059" s="5" t="s">
        <v>1595</v>
      </c>
      <c r="C3059" s="9" t="s">
        <v>2421</v>
      </c>
      <c r="D3059" s="5">
        <v>4</v>
      </c>
      <c r="E3059" s="9" t="s">
        <v>3176</v>
      </c>
      <c r="F3059" s="5" t="s">
        <v>86</v>
      </c>
      <c r="G3059" s="19" t="s">
        <v>3189</v>
      </c>
      <c r="H3059" s="5"/>
      <c r="I3059" s="9" t="s">
        <v>3686</v>
      </c>
      <c r="J3059" s="5">
        <v>2027</v>
      </c>
      <c r="K3059" s="5">
        <v>953</v>
      </c>
      <c r="L3059" s="9" t="s">
        <v>6305</v>
      </c>
      <c r="M3059" s="5">
        <v>3.1</v>
      </c>
      <c r="N3059" s="9" t="s">
        <v>6304</v>
      </c>
      <c r="O3059" s="9" t="str">
        <f t="shared" si="285"/>
        <v>PDFを開く</v>
      </c>
      <c r="P3059" s="9" t="s">
        <v>2427</v>
      </c>
    </row>
    <row r="3060" spans="1:16" ht="33.950000000000003" customHeight="1">
      <c r="A3060" s="2" t="s">
        <v>2420</v>
      </c>
      <c r="B3060" s="2" t="s">
        <v>1595</v>
      </c>
      <c r="C3060" s="8" t="s">
        <v>2421</v>
      </c>
      <c r="D3060" s="2">
        <v>4</v>
      </c>
      <c r="E3060" s="8" t="s">
        <v>3176</v>
      </c>
      <c r="F3060" s="2" t="s">
        <v>86</v>
      </c>
      <c r="G3060" s="19" t="s">
        <v>3189</v>
      </c>
      <c r="H3060" s="2"/>
      <c r="I3060" s="8" t="s">
        <v>3686</v>
      </c>
      <c r="J3060" s="2">
        <v>2027</v>
      </c>
      <c r="K3060" s="2">
        <v>523</v>
      </c>
      <c r="L3060" s="8" t="s">
        <v>4304</v>
      </c>
      <c r="M3060" s="2">
        <v>3.1</v>
      </c>
      <c r="N3060" s="8" t="s">
        <v>6304</v>
      </c>
      <c r="O3060" s="8" t="str">
        <f t="shared" si="285"/>
        <v>PDFを開く</v>
      </c>
      <c r="P3060" s="8" t="s">
        <v>2427</v>
      </c>
    </row>
    <row r="3061" spans="1:16" ht="33.950000000000003" customHeight="1">
      <c r="A3061" s="5" t="s">
        <v>2420</v>
      </c>
      <c r="B3061" s="5" t="s">
        <v>1595</v>
      </c>
      <c r="C3061" s="9" t="s">
        <v>2421</v>
      </c>
      <c r="D3061" s="5">
        <v>4</v>
      </c>
      <c r="E3061" s="9" t="s">
        <v>3176</v>
      </c>
      <c r="F3061" s="5" t="s">
        <v>86</v>
      </c>
      <c r="G3061" s="19" t="s">
        <v>3189</v>
      </c>
      <c r="H3061" s="5"/>
      <c r="I3061" s="9" t="s">
        <v>5474</v>
      </c>
      <c r="J3061" s="5">
        <v>2030</v>
      </c>
      <c r="K3061" s="5">
        <v>1383</v>
      </c>
      <c r="L3061" s="9" t="s">
        <v>6306</v>
      </c>
      <c r="M3061" s="5">
        <v>3.1</v>
      </c>
      <c r="N3061" s="9" t="s">
        <v>6304</v>
      </c>
      <c r="O3061" s="9" t="str">
        <f t="shared" si="285"/>
        <v>PDFを開く</v>
      </c>
      <c r="P3061" s="9" t="s">
        <v>2427</v>
      </c>
    </row>
    <row r="3062" spans="1:16" ht="33.950000000000003" customHeight="1">
      <c r="A3062" s="2" t="s">
        <v>2420</v>
      </c>
      <c r="B3062" s="2" t="s">
        <v>1595</v>
      </c>
      <c r="C3062" s="8" t="s">
        <v>2421</v>
      </c>
      <c r="D3062" s="2">
        <v>4</v>
      </c>
      <c r="E3062" s="8" t="s">
        <v>3176</v>
      </c>
      <c r="F3062" s="2" t="s">
        <v>86</v>
      </c>
      <c r="G3062" s="19" t="s">
        <v>3189</v>
      </c>
      <c r="H3062" s="2"/>
      <c r="I3062" s="8" t="s">
        <v>5474</v>
      </c>
      <c r="J3062" s="2">
        <v>2030</v>
      </c>
      <c r="K3062" s="2">
        <v>1194</v>
      </c>
      <c r="L3062" s="8" t="s">
        <v>4768</v>
      </c>
      <c r="M3062" s="2">
        <v>3.1</v>
      </c>
      <c r="N3062" s="8" t="s">
        <v>6304</v>
      </c>
      <c r="O3062" s="8" t="str">
        <f t="shared" si="285"/>
        <v>PDFを開く</v>
      </c>
      <c r="P3062" s="8" t="s">
        <v>2427</v>
      </c>
    </row>
    <row r="3063" spans="1:16" ht="33.950000000000003" customHeight="1">
      <c r="A3063" s="5" t="s">
        <v>2420</v>
      </c>
      <c r="B3063" s="5" t="s">
        <v>1595</v>
      </c>
      <c r="C3063" s="9" t="s">
        <v>2421</v>
      </c>
      <c r="D3063" s="5">
        <v>4</v>
      </c>
      <c r="E3063" s="9" t="s">
        <v>3176</v>
      </c>
      <c r="F3063" s="5" t="s">
        <v>86</v>
      </c>
      <c r="G3063" s="19" t="s">
        <v>3189</v>
      </c>
      <c r="H3063" s="5"/>
      <c r="I3063" s="9" t="s">
        <v>5474</v>
      </c>
      <c r="J3063" s="5">
        <v>2030</v>
      </c>
      <c r="K3063" s="5">
        <v>1229</v>
      </c>
      <c r="L3063" s="9" t="s">
        <v>4029</v>
      </c>
      <c r="M3063" s="5">
        <v>3.1</v>
      </c>
      <c r="N3063" s="9" t="s">
        <v>6304</v>
      </c>
      <c r="O3063" s="9" t="str">
        <f t="shared" si="285"/>
        <v>PDFを開く</v>
      </c>
      <c r="P3063" s="9" t="s">
        <v>2427</v>
      </c>
    </row>
    <row r="3064" spans="1:16" ht="33.950000000000003" customHeight="1">
      <c r="A3064" s="2" t="s">
        <v>2420</v>
      </c>
      <c r="B3064" s="2" t="s">
        <v>1595</v>
      </c>
      <c r="C3064" s="8" t="s">
        <v>2421</v>
      </c>
      <c r="D3064" s="2">
        <v>4</v>
      </c>
      <c r="E3064" s="8" t="s">
        <v>3176</v>
      </c>
      <c r="F3064" s="2" t="s">
        <v>86</v>
      </c>
      <c r="G3064" s="19" t="s">
        <v>3189</v>
      </c>
      <c r="H3064" s="2"/>
      <c r="I3064" s="8" t="s">
        <v>5474</v>
      </c>
      <c r="J3064" s="2">
        <v>2030</v>
      </c>
      <c r="K3064" s="2">
        <v>606</v>
      </c>
      <c r="L3064" s="8" t="s">
        <v>6261</v>
      </c>
      <c r="M3064" s="2">
        <v>3.1</v>
      </c>
      <c r="N3064" s="8" t="s">
        <v>6304</v>
      </c>
      <c r="O3064" s="8" t="str">
        <f t="shared" si="285"/>
        <v>PDFを開く</v>
      </c>
      <c r="P3064" s="8" t="s">
        <v>2427</v>
      </c>
    </row>
    <row r="3065" spans="1:16" ht="33.950000000000003" customHeight="1">
      <c r="A3065" s="5" t="s">
        <v>2420</v>
      </c>
      <c r="B3065" s="5" t="s">
        <v>1595</v>
      </c>
      <c r="C3065" s="9" t="s">
        <v>2421</v>
      </c>
      <c r="D3065" s="5">
        <v>4</v>
      </c>
      <c r="E3065" s="9" t="s">
        <v>3184</v>
      </c>
      <c r="F3065" s="5" t="s">
        <v>86</v>
      </c>
      <c r="G3065" s="19" t="s">
        <v>3189</v>
      </c>
      <c r="H3065" s="5"/>
      <c r="I3065" s="9" t="s">
        <v>3686</v>
      </c>
      <c r="J3065" s="5">
        <v>2027</v>
      </c>
      <c r="K3065" s="5">
        <v>339</v>
      </c>
      <c r="L3065" s="9" t="s">
        <v>5672</v>
      </c>
      <c r="M3065" s="5">
        <v>5</v>
      </c>
      <c r="N3065" s="9" t="s">
        <v>6307</v>
      </c>
      <c r="O3065" s="9" t="str">
        <f t="shared" si="285"/>
        <v>PDFを開く</v>
      </c>
      <c r="P3065" s="9" t="s">
        <v>2427</v>
      </c>
    </row>
    <row r="3066" spans="1:16" ht="33.950000000000003" customHeight="1">
      <c r="A3066" s="2" t="s">
        <v>2420</v>
      </c>
      <c r="B3066" s="2" t="s">
        <v>1595</v>
      </c>
      <c r="C3066" s="8" t="s">
        <v>2421</v>
      </c>
      <c r="D3066" s="2">
        <v>4</v>
      </c>
      <c r="E3066" s="8" t="s">
        <v>3184</v>
      </c>
      <c r="F3066" s="2" t="s">
        <v>86</v>
      </c>
      <c r="G3066" s="19" t="s">
        <v>3189</v>
      </c>
      <c r="H3066" s="2"/>
      <c r="I3066" s="8" t="s">
        <v>3686</v>
      </c>
      <c r="J3066" s="2">
        <v>2027</v>
      </c>
      <c r="K3066" s="2">
        <v>345</v>
      </c>
      <c r="L3066" s="8" t="s">
        <v>4985</v>
      </c>
      <c r="M3066" s="2">
        <v>5</v>
      </c>
      <c r="N3066" s="8" t="s">
        <v>6307</v>
      </c>
      <c r="O3066" s="8" t="str">
        <f t="shared" si="285"/>
        <v>PDFを開く</v>
      </c>
      <c r="P3066" s="8" t="s">
        <v>2427</v>
      </c>
    </row>
    <row r="3067" spans="1:16" ht="33.950000000000003" customHeight="1">
      <c r="A3067" s="5" t="s">
        <v>2420</v>
      </c>
      <c r="B3067" s="5" t="s">
        <v>1595</v>
      </c>
      <c r="C3067" s="9" t="s">
        <v>2421</v>
      </c>
      <c r="D3067" s="5">
        <v>4</v>
      </c>
      <c r="E3067" s="9" t="s">
        <v>3184</v>
      </c>
      <c r="F3067" s="5" t="s">
        <v>86</v>
      </c>
      <c r="G3067" s="19" t="s">
        <v>3189</v>
      </c>
      <c r="H3067" s="5"/>
      <c r="I3067" s="9" t="s">
        <v>3686</v>
      </c>
      <c r="J3067" s="5">
        <v>2027</v>
      </c>
      <c r="K3067" s="5">
        <v>2</v>
      </c>
      <c r="L3067" s="9" t="s">
        <v>4153</v>
      </c>
      <c r="M3067" s="5">
        <v>5</v>
      </c>
      <c r="N3067" s="9" t="s">
        <v>6307</v>
      </c>
      <c r="O3067" s="9" t="str">
        <f t="shared" si="285"/>
        <v>PDFを開く</v>
      </c>
      <c r="P3067" s="9" t="s">
        <v>2427</v>
      </c>
    </row>
    <row r="3068" spans="1:16" ht="33.950000000000003" customHeight="1">
      <c r="A3068" s="2" t="s">
        <v>2420</v>
      </c>
      <c r="B3068" s="2" t="s">
        <v>1595</v>
      </c>
      <c r="C3068" s="8" t="s">
        <v>2421</v>
      </c>
      <c r="D3068" s="2">
        <v>4</v>
      </c>
      <c r="E3068" s="8" t="s">
        <v>3184</v>
      </c>
      <c r="F3068" s="2" t="s">
        <v>86</v>
      </c>
      <c r="G3068" s="19" t="s">
        <v>3189</v>
      </c>
      <c r="H3068" s="2"/>
      <c r="I3068" s="8" t="s">
        <v>3686</v>
      </c>
      <c r="J3068" s="2">
        <v>2027</v>
      </c>
      <c r="K3068" s="2">
        <v>373</v>
      </c>
      <c r="L3068" s="8" t="s">
        <v>3962</v>
      </c>
      <c r="M3068" s="2">
        <v>5</v>
      </c>
      <c r="N3068" s="8" t="s">
        <v>6307</v>
      </c>
      <c r="O3068" s="8" t="str">
        <f t="shared" si="285"/>
        <v>PDFを開く</v>
      </c>
      <c r="P3068" s="8" t="s">
        <v>2427</v>
      </c>
    </row>
    <row r="3069" spans="1:16" ht="33.950000000000003" customHeight="1">
      <c r="A3069" s="5" t="s">
        <v>2420</v>
      </c>
      <c r="B3069" s="5" t="s">
        <v>1595</v>
      </c>
      <c r="C3069" s="9" t="s">
        <v>2421</v>
      </c>
      <c r="D3069" s="5">
        <v>4</v>
      </c>
      <c r="E3069" s="9" t="s">
        <v>3184</v>
      </c>
      <c r="F3069" s="5" t="s">
        <v>86</v>
      </c>
      <c r="G3069" s="19" t="s">
        <v>3189</v>
      </c>
      <c r="H3069" s="5"/>
      <c r="I3069" s="9" t="s">
        <v>5474</v>
      </c>
      <c r="J3069" s="5">
        <v>2030</v>
      </c>
      <c r="K3069" s="5">
        <v>392</v>
      </c>
      <c r="L3069" s="9" t="s">
        <v>5172</v>
      </c>
      <c r="M3069" s="5">
        <v>5</v>
      </c>
      <c r="N3069" s="9" t="s">
        <v>6307</v>
      </c>
      <c r="O3069" s="9" t="str">
        <f t="shared" si="285"/>
        <v>PDFを開く</v>
      </c>
      <c r="P3069" s="9" t="s">
        <v>2427</v>
      </c>
    </row>
    <row r="3070" spans="1:16" ht="33.950000000000003" customHeight="1">
      <c r="A3070" s="2" t="s">
        <v>2420</v>
      </c>
      <c r="B3070" s="2" t="s">
        <v>1595</v>
      </c>
      <c r="C3070" s="8" t="s">
        <v>2421</v>
      </c>
      <c r="D3070" s="2">
        <v>4</v>
      </c>
      <c r="E3070" s="8" t="s">
        <v>3184</v>
      </c>
      <c r="F3070" s="2" t="s">
        <v>86</v>
      </c>
      <c r="G3070" s="19" t="s">
        <v>3189</v>
      </c>
      <c r="H3070" s="2"/>
      <c r="I3070" s="8" t="s">
        <v>5474</v>
      </c>
      <c r="J3070" s="2">
        <v>2030</v>
      </c>
      <c r="K3070" s="2">
        <v>400</v>
      </c>
      <c r="L3070" s="8" t="s">
        <v>3400</v>
      </c>
      <c r="M3070" s="2">
        <v>5</v>
      </c>
      <c r="N3070" s="8" t="s">
        <v>6307</v>
      </c>
      <c r="O3070" s="8" t="str">
        <f t="shared" si="285"/>
        <v>PDFを開く</v>
      </c>
      <c r="P3070" s="8" t="s">
        <v>2427</v>
      </c>
    </row>
    <row r="3071" spans="1:16" ht="33.950000000000003" customHeight="1">
      <c r="A3071" s="5" t="s">
        <v>2420</v>
      </c>
      <c r="B3071" s="5" t="s">
        <v>1595</v>
      </c>
      <c r="C3071" s="9" t="s">
        <v>2421</v>
      </c>
      <c r="D3071" s="5">
        <v>4</v>
      </c>
      <c r="E3071" s="9" t="s">
        <v>3184</v>
      </c>
      <c r="F3071" s="5" t="s">
        <v>86</v>
      </c>
      <c r="G3071" s="19" t="s">
        <v>3189</v>
      </c>
      <c r="H3071" s="5"/>
      <c r="I3071" s="9" t="s">
        <v>5474</v>
      </c>
      <c r="J3071" s="5">
        <v>2030</v>
      </c>
      <c r="K3071" s="5">
        <v>433</v>
      </c>
      <c r="L3071" s="9" t="s">
        <v>3567</v>
      </c>
      <c r="M3071" s="5">
        <v>5</v>
      </c>
      <c r="N3071" s="9" t="s">
        <v>6307</v>
      </c>
      <c r="O3071" s="9" t="str">
        <f t="shared" si="285"/>
        <v>PDFを開く</v>
      </c>
      <c r="P3071" s="9" t="s">
        <v>2427</v>
      </c>
    </row>
    <row r="3072" spans="1:16" ht="33.950000000000003" customHeight="1">
      <c r="A3072" s="2" t="s">
        <v>2420</v>
      </c>
      <c r="B3072" s="2" t="s">
        <v>1595</v>
      </c>
      <c r="C3072" s="8" t="s">
        <v>2421</v>
      </c>
      <c r="D3072" s="2">
        <v>4</v>
      </c>
      <c r="E3072" s="8" t="s">
        <v>3188</v>
      </c>
      <c r="F3072" s="2" t="s">
        <v>86</v>
      </c>
      <c r="G3072" s="19" t="s">
        <v>3189</v>
      </c>
      <c r="H3072" s="2"/>
      <c r="I3072" s="8" t="s">
        <v>3686</v>
      </c>
      <c r="J3072" s="2">
        <v>2027</v>
      </c>
      <c r="K3072" s="2">
        <v>2</v>
      </c>
      <c r="L3072" s="8" t="s">
        <v>4153</v>
      </c>
      <c r="M3072" s="2">
        <v>10.1</v>
      </c>
      <c r="N3072" s="8" t="s">
        <v>6308</v>
      </c>
      <c r="O3072" s="8" t="str">
        <f t="shared" si="285"/>
        <v>PDFを開く</v>
      </c>
      <c r="P3072" s="8" t="s">
        <v>2427</v>
      </c>
    </row>
    <row r="3073" spans="1:16" ht="33.950000000000003" customHeight="1">
      <c r="A3073" s="5" t="s">
        <v>2420</v>
      </c>
      <c r="B3073" s="5" t="s">
        <v>1595</v>
      </c>
      <c r="C3073" s="9" t="s">
        <v>2421</v>
      </c>
      <c r="D3073" s="5">
        <v>4</v>
      </c>
      <c r="E3073" s="9" t="s">
        <v>3188</v>
      </c>
      <c r="F3073" s="5" t="s">
        <v>86</v>
      </c>
      <c r="G3073" s="19" t="s">
        <v>3189</v>
      </c>
      <c r="H3073" s="5"/>
      <c r="I3073" s="9" t="s">
        <v>3686</v>
      </c>
      <c r="J3073" s="5">
        <v>2027</v>
      </c>
      <c r="K3073" s="5">
        <v>84</v>
      </c>
      <c r="L3073" s="9" t="s">
        <v>4872</v>
      </c>
      <c r="M3073" s="5">
        <v>10.1</v>
      </c>
      <c r="N3073" s="9" t="s">
        <v>6308</v>
      </c>
      <c r="O3073" s="9" t="str">
        <f t="shared" si="285"/>
        <v>PDFを開く</v>
      </c>
      <c r="P3073" s="9" t="s">
        <v>2427</v>
      </c>
    </row>
    <row r="3074" spans="1:16" ht="33.950000000000003" customHeight="1">
      <c r="A3074" s="2" t="s">
        <v>2420</v>
      </c>
      <c r="B3074" s="2" t="s">
        <v>1595</v>
      </c>
      <c r="C3074" s="8" t="s">
        <v>2421</v>
      </c>
      <c r="D3074" s="2">
        <v>4</v>
      </c>
      <c r="E3074" s="8" t="s">
        <v>3188</v>
      </c>
      <c r="F3074" s="2" t="s">
        <v>86</v>
      </c>
      <c r="G3074" s="19" t="s">
        <v>3189</v>
      </c>
      <c r="H3074" s="2"/>
      <c r="I3074" s="8" t="s">
        <v>5474</v>
      </c>
      <c r="J3074" s="2">
        <v>2030</v>
      </c>
      <c r="K3074" s="2">
        <v>112</v>
      </c>
      <c r="L3074" s="8" t="s">
        <v>3598</v>
      </c>
      <c r="M3074" s="2">
        <v>10.1</v>
      </c>
      <c r="N3074" s="8" t="s">
        <v>6308</v>
      </c>
      <c r="O3074" s="8" t="str">
        <f t="shared" si="285"/>
        <v>PDFを開く</v>
      </c>
      <c r="P3074" s="8" t="s">
        <v>2427</v>
      </c>
    </row>
    <row r="3075" spans="1:16" ht="33.950000000000003" customHeight="1">
      <c r="A3075" s="5" t="s">
        <v>2420</v>
      </c>
      <c r="B3075" s="5" t="s">
        <v>1595</v>
      </c>
      <c r="C3075" s="9" t="s">
        <v>2421</v>
      </c>
      <c r="D3075" s="5">
        <v>4</v>
      </c>
      <c r="E3075" s="9" t="s">
        <v>3191</v>
      </c>
      <c r="F3075" s="5" t="s">
        <v>2513</v>
      </c>
      <c r="G3075" s="19" t="s">
        <v>3189</v>
      </c>
      <c r="H3075" s="5"/>
      <c r="I3075" s="9" t="s">
        <v>3686</v>
      </c>
      <c r="J3075" s="5">
        <v>2027</v>
      </c>
      <c r="K3075" s="5">
        <v>303</v>
      </c>
      <c r="L3075" s="9" t="s">
        <v>6309</v>
      </c>
      <c r="M3075" s="5">
        <v>9.9</v>
      </c>
      <c r="N3075" s="9" t="s">
        <v>6310</v>
      </c>
      <c r="O3075" s="9" t="str">
        <f t="shared" si="285"/>
        <v>PDFを開く</v>
      </c>
      <c r="P3075" s="9" t="s">
        <v>2427</v>
      </c>
    </row>
    <row r="3076" spans="1:16" ht="33.950000000000003" customHeight="1">
      <c r="A3076" s="2" t="s">
        <v>2420</v>
      </c>
      <c r="B3076" s="2" t="s">
        <v>1595</v>
      </c>
      <c r="C3076" s="8" t="s">
        <v>2421</v>
      </c>
      <c r="D3076" s="2">
        <v>4</v>
      </c>
      <c r="E3076" s="8" t="s">
        <v>3191</v>
      </c>
      <c r="F3076" s="2" t="s">
        <v>2513</v>
      </c>
      <c r="G3076" s="19" t="s">
        <v>3189</v>
      </c>
      <c r="H3076" s="2"/>
      <c r="I3076" s="8" t="s">
        <v>3686</v>
      </c>
      <c r="J3076" s="2">
        <v>2027</v>
      </c>
      <c r="K3076" s="2">
        <v>74</v>
      </c>
      <c r="L3076" s="8" t="s">
        <v>5305</v>
      </c>
      <c r="M3076" s="2">
        <v>9.9</v>
      </c>
      <c r="N3076" s="8" t="s">
        <v>6310</v>
      </c>
      <c r="O3076" s="8" t="str">
        <f t="shared" si="285"/>
        <v>PDFを開く</v>
      </c>
      <c r="P3076" s="8" t="s">
        <v>2427</v>
      </c>
    </row>
    <row r="3077" spans="1:16" ht="33.950000000000003" customHeight="1">
      <c r="A3077" s="5" t="s">
        <v>2420</v>
      </c>
      <c r="B3077" s="5" t="s">
        <v>1595</v>
      </c>
      <c r="C3077" s="9" t="s">
        <v>2421</v>
      </c>
      <c r="D3077" s="5">
        <v>4</v>
      </c>
      <c r="E3077" s="9" t="s">
        <v>3191</v>
      </c>
      <c r="F3077" s="5" t="s">
        <v>2513</v>
      </c>
      <c r="G3077" s="19" t="s">
        <v>3189</v>
      </c>
      <c r="H3077" s="5"/>
      <c r="I3077" s="9" t="s">
        <v>3686</v>
      </c>
      <c r="J3077" s="5">
        <v>2027</v>
      </c>
      <c r="K3077" s="5">
        <v>2</v>
      </c>
      <c r="L3077" s="9" t="s">
        <v>4153</v>
      </c>
      <c r="M3077" s="5">
        <v>9.9</v>
      </c>
      <c r="N3077" s="9" t="s">
        <v>6310</v>
      </c>
      <c r="O3077" s="9" t="str">
        <f t="shared" si="285"/>
        <v>PDFを開く</v>
      </c>
      <c r="P3077" s="9" t="s">
        <v>2427</v>
      </c>
    </row>
    <row r="3078" spans="1:16" ht="33.950000000000003" customHeight="1">
      <c r="A3078" s="2" t="s">
        <v>2420</v>
      </c>
      <c r="B3078" s="2" t="s">
        <v>1595</v>
      </c>
      <c r="C3078" s="8" t="s">
        <v>2421</v>
      </c>
      <c r="D3078" s="2">
        <v>4</v>
      </c>
      <c r="E3078" s="8" t="s">
        <v>3191</v>
      </c>
      <c r="F3078" s="2" t="s">
        <v>2513</v>
      </c>
      <c r="G3078" s="19" t="s">
        <v>3189</v>
      </c>
      <c r="H3078" s="2"/>
      <c r="I3078" s="8" t="s">
        <v>3686</v>
      </c>
      <c r="J3078" s="2">
        <v>2027</v>
      </c>
      <c r="K3078" s="2">
        <v>461</v>
      </c>
      <c r="L3078" s="8" t="s">
        <v>6311</v>
      </c>
      <c r="M3078" s="2">
        <v>9.9</v>
      </c>
      <c r="N3078" s="8" t="s">
        <v>6310</v>
      </c>
      <c r="O3078" s="8" t="str">
        <f t="shared" si="285"/>
        <v>PDFを開く</v>
      </c>
      <c r="P3078" s="8" t="s">
        <v>2427</v>
      </c>
    </row>
    <row r="3079" spans="1:16" ht="33.950000000000003" customHeight="1">
      <c r="A3079" s="5" t="s">
        <v>2420</v>
      </c>
      <c r="B3079" s="5" t="s">
        <v>1595</v>
      </c>
      <c r="C3079" s="9" t="s">
        <v>2421</v>
      </c>
      <c r="D3079" s="5">
        <v>4</v>
      </c>
      <c r="E3079" s="9" t="s">
        <v>3191</v>
      </c>
      <c r="F3079" s="5" t="s">
        <v>2513</v>
      </c>
      <c r="G3079" s="19" t="s">
        <v>3189</v>
      </c>
      <c r="H3079" s="5"/>
      <c r="I3079" s="9" t="s">
        <v>5474</v>
      </c>
      <c r="J3079" s="5">
        <v>2030</v>
      </c>
      <c r="K3079" s="5">
        <v>402</v>
      </c>
      <c r="L3079" s="9" t="s">
        <v>4107</v>
      </c>
      <c r="M3079" s="5">
        <v>9.9</v>
      </c>
      <c r="N3079" s="9" t="s">
        <v>6310</v>
      </c>
      <c r="O3079" s="9" t="str">
        <f t="shared" si="285"/>
        <v>PDFを開く</v>
      </c>
      <c r="P3079" s="9" t="s">
        <v>2427</v>
      </c>
    </row>
    <row r="3080" spans="1:16" ht="33.950000000000003" customHeight="1">
      <c r="A3080" s="2" t="s">
        <v>2420</v>
      </c>
      <c r="B3080" s="2" t="s">
        <v>1595</v>
      </c>
      <c r="C3080" s="8" t="s">
        <v>2421</v>
      </c>
      <c r="D3080" s="2">
        <v>4</v>
      </c>
      <c r="E3080" s="8" t="s">
        <v>3191</v>
      </c>
      <c r="F3080" s="2" t="s">
        <v>2513</v>
      </c>
      <c r="G3080" s="19" t="s">
        <v>3189</v>
      </c>
      <c r="H3080" s="2"/>
      <c r="I3080" s="8" t="s">
        <v>5474</v>
      </c>
      <c r="J3080" s="2">
        <v>2030</v>
      </c>
      <c r="K3080" s="2">
        <v>87</v>
      </c>
      <c r="L3080" s="8" t="s">
        <v>3586</v>
      </c>
      <c r="M3080" s="2">
        <v>9.9</v>
      </c>
      <c r="N3080" s="8" t="s">
        <v>6310</v>
      </c>
      <c r="O3080" s="8" t="str">
        <f t="shared" si="285"/>
        <v>PDFを開く</v>
      </c>
      <c r="P3080" s="8" t="s">
        <v>2427</v>
      </c>
    </row>
    <row r="3081" spans="1:16" ht="33.950000000000003" customHeight="1">
      <c r="A3081" s="5" t="s">
        <v>2420</v>
      </c>
      <c r="B3081" s="5" t="s">
        <v>1595</v>
      </c>
      <c r="C3081" s="9" t="s">
        <v>2421</v>
      </c>
      <c r="D3081" s="5">
        <v>4</v>
      </c>
      <c r="E3081" s="9" t="s">
        <v>3191</v>
      </c>
      <c r="F3081" s="5" t="s">
        <v>2513</v>
      </c>
      <c r="G3081" s="19" t="s">
        <v>3189</v>
      </c>
      <c r="H3081" s="5"/>
      <c r="I3081" s="9" t="s">
        <v>5474</v>
      </c>
      <c r="J3081" s="5">
        <v>2030</v>
      </c>
      <c r="K3081" s="5">
        <v>601</v>
      </c>
      <c r="L3081" s="9" t="s">
        <v>3339</v>
      </c>
      <c r="M3081" s="5">
        <v>9.9</v>
      </c>
      <c r="N3081" s="9" t="s">
        <v>6310</v>
      </c>
      <c r="O3081" s="9" t="str">
        <f t="shared" si="285"/>
        <v>PDFを開く</v>
      </c>
      <c r="P3081" s="9" t="s">
        <v>2427</v>
      </c>
    </row>
    <row r="3082" spans="1:16" ht="33.950000000000003" customHeight="1">
      <c r="A3082" s="2" t="s">
        <v>2420</v>
      </c>
      <c r="B3082" s="2" t="s">
        <v>1595</v>
      </c>
      <c r="C3082" s="8" t="s">
        <v>2421</v>
      </c>
      <c r="D3082" s="2">
        <v>2</v>
      </c>
      <c r="E3082" s="8" t="s">
        <v>3176</v>
      </c>
      <c r="F3082" s="2" t="s">
        <v>86</v>
      </c>
      <c r="G3082" s="2" t="s">
        <v>3177</v>
      </c>
      <c r="H3082" s="2"/>
      <c r="I3082" s="8" t="s">
        <v>3686</v>
      </c>
      <c r="J3082" s="2">
        <v>2027</v>
      </c>
      <c r="K3082" s="2">
        <v>1261</v>
      </c>
      <c r="L3082" s="8" t="s">
        <v>6312</v>
      </c>
      <c r="M3082" s="2">
        <v>3.1</v>
      </c>
      <c r="N3082" s="8" t="s">
        <v>6313</v>
      </c>
      <c r="O3082" s="8" t="str">
        <f t="shared" si="285"/>
        <v>PDFを開く</v>
      </c>
      <c r="P3082" s="8" t="s">
        <v>2427</v>
      </c>
    </row>
    <row r="3083" spans="1:16" ht="33.950000000000003" customHeight="1">
      <c r="A3083" s="5" t="s">
        <v>2420</v>
      </c>
      <c r="B3083" s="5" t="s">
        <v>1595</v>
      </c>
      <c r="C3083" s="9" t="s">
        <v>2421</v>
      </c>
      <c r="D3083" s="5">
        <v>2</v>
      </c>
      <c r="E3083" s="9" t="s">
        <v>3176</v>
      </c>
      <c r="F3083" s="5" t="s">
        <v>86</v>
      </c>
      <c r="G3083" s="5" t="s">
        <v>3177</v>
      </c>
      <c r="H3083" s="5"/>
      <c r="I3083" s="9" t="s">
        <v>3688</v>
      </c>
      <c r="J3083" s="5">
        <v>2030</v>
      </c>
      <c r="K3083" s="5">
        <v>1383</v>
      </c>
      <c r="L3083" s="9" t="s">
        <v>6314</v>
      </c>
      <c r="M3083" s="5">
        <v>3.1</v>
      </c>
      <c r="N3083" s="9" t="s">
        <v>6313</v>
      </c>
      <c r="O3083" s="9" t="str">
        <f t="shared" si="285"/>
        <v>PDFを開く</v>
      </c>
      <c r="P3083" s="9" t="s">
        <v>2427</v>
      </c>
    </row>
    <row r="3084" spans="1:16" ht="33.950000000000003" customHeight="1">
      <c r="A3084" s="2" t="s">
        <v>2420</v>
      </c>
      <c r="B3084" s="2" t="s">
        <v>1595</v>
      </c>
      <c r="C3084" s="8" t="s">
        <v>2421</v>
      </c>
      <c r="D3084" s="2">
        <v>2</v>
      </c>
      <c r="E3084" s="8" t="s">
        <v>3184</v>
      </c>
      <c r="F3084" s="2" t="s">
        <v>86</v>
      </c>
      <c r="G3084" s="2" t="s">
        <v>3177</v>
      </c>
      <c r="H3084" s="2"/>
      <c r="I3084" s="8" t="s">
        <v>3686</v>
      </c>
      <c r="J3084" s="2">
        <v>2027</v>
      </c>
      <c r="K3084" s="2">
        <v>523</v>
      </c>
      <c r="L3084" s="8" t="s">
        <v>4304</v>
      </c>
      <c r="M3084" s="2">
        <v>5</v>
      </c>
      <c r="N3084" s="8" t="s">
        <v>6315</v>
      </c>
      <c r="O3084" s="8" t="str">
        <f t="shared" si="285"/>
        <v>PDFを開く</v>
      </c>
      <c r="P3084" s="8" t="s">
        <v>2427</v>
      </c>
    </row>
    <row r="3085" spans="1:16" ht="33.950000000000003" customHeight="1">
      <c r="A3085" s="5" t="s">
        <v>2420</v>
      </c>
      <c r="B3085" s="5" t="s">
        <v>1595</v>
      </c>
      <c r="C3085" s="9" t="s">
        <v>2421</v>
      </c>
      <c r="D3085" s="5">
        <v>2</v>
      </c>
      <c r="E3085" s="9" t="s">
        <v>3184</v>
      </c>
      <c r="F3085" s="5" t="s">
        <v>86</v>
      </c>
      <c r="G3085" s="5" t="s">
        <v>3177</v>
      </c>
      <c r="H3085" s="5"/>
      <c r="I3085" s="9" t="s">
        <v>3688</v>
      </c>
      <c r="J3085" s="5">
        <v>2030</v>
      </c>
      <c r="K3085" s="5">
        <v>606</v>
      </c>
      <c r="L3085" s="9" t="s">
        <v>6261</v>
      </c>
      <c r="M3085" s="5">
        <v>5</v>
      </c>
      <c r="N3085" s="9" t="s">
        <v>6315</v>
      </c>
      <c r="O3085" s="9" t="str">
        <f t="shared" si="285"/>
        <v>PDFを開く</v>
      </c>
      <c r="P3085" s="9" t="s">
        <v>2427</v>
      </c>
    </row>
    <row r="3086" spans="1:16" ht="33.950000000000003" customHeight="1">
      <c r="A3086" s="2" t="s">
        <v>2420</v>
      </c>
      <c r="B3086" s="2" t="s">
        <v>1595</v>
      </c>
      <c r="C3086" s="8" t="s">
        <v>2421</v>
      </c>
      <c r="D3086" s="2">
        <v>2</v>
      </c>
      <c r="E3086" s="8" t="s">
        <v>3188</v>
      </c>
      <c r="F3086" s="2" t="s">
        <v>86</v>
      </c>
      <c r="G3086" s="2" t="s">
        <v>3177</v>
      </c>
      <c r="H3086" s="2"/>
      <c r="I3086" s="8" t="s">
        <v>3686</v>
      </c>
      <c r="J3086" s="2">
        <v>2027</v>
      </c>
      <c r="K3086" s="2"/>
      <c r="L3086" s="8" t="s">
        <v>6316</v>
      </c>
      <c r="M3086" s="2"/>
      <c r="N3086" s="8" t="s">
        <v>6317</v>
      </c>
      <c r="O3086" s="8" t="str">
        <f t="shared" si="285"/>
        <v>PDFを開く</v>
      </c>
      <c r="P3086" s="8" t="s">
        <v>2427</v>
      </c>
    </row>
    <row r="3087" spans="1:16" ht="33.950000000000003" customHeight="1">
      <c r="A3087" s="5" t="s">
        <v>2420</v>
      </c>
      <c r="B3087" s="5" t="s">
        <v>1595</v>
      </c>
      <c r="C3087" s="9" t="s">
        <v>2421</v>
      </c>
      <c r="D3087" s="5">
        <v>2</v>
      </c>
      <c r="E3087" s="9" t="s">
        <v>3188</v>
      </c>
      <c r="F3087" s="5" t="s">
        <v>86</v>
      </c>
      <c r="G3087" s="5" t="s">
        <v>3177</v>
      </c>
      <c r="H3087" s="5"/>
      <c r="I3087" s="9" t="s">
        <v>3688</v>
      </c>
      <c r="J3087" s="5">
        <v>2030</v>
      </c>
      <c r="K3087" s="5"/>
      <c r="L3087" s="9" t="s">
        <v>6316</v>
      </c>
      <c r="M3087" s="5"/>
      <c r="N3087" s="9" t="s">
        <v>6317</v>
      </c>
      <c r="O3087" s="9" t="str">
        <f t="shared" si="285"/>
        <v>PDFを開く</v>
      </c>
      <c r="P3087" s="9" t="s">
        <v>2427</v>
      </c>
    </row>
    <row r="3088" spans="1:16" ht="33.950000000000003" customHeight="1">
      <c r="A3088" s="2" t="s">
        <v>2420</v>
      </c>
      <c r="B3088" s="2" t="s">
        <v>1595</v>
      </c>
      <c r="C3088" s="8" t="s">
        <v>2421</v>
      </c>
      <c r="D3088" s="2">
        <v>2</v>
      </c>
      <c r="E3088" s="8" t="s">
        <v>3191</v>
      </c>
      <c r="F3088" s="2" t="s">
        <v>2513</v>
      </c>
      <c r="G3088" s="2" t="s">
        <v>3177</v>
      </c>
      <c r="H3088" s="2"/>
      <c r="I3088" s="8" t="s">
        <v>3686</v>
      </c>
      <c r="J3088" s="2">
        <v>2027</v>
      </c>
      <c r="K3088" s="2">
        <v>84</v>
      </c>
      <c r="L3088" s="8" t="s">
        <v>4872</v>
      </c>
      <c r="M3088" s="2">
        <v>10.1</v>
      </c>
      <c r="N3088" s="8" t="s">
        <v>6318</v>
      </c>
      <c r="O3088" s="8" t="str">
        <f t="shared" si="285"/>
        <v>PDFを開く</v>
      </c>
      <c r="P3088" s="8" t="s">
        <v>2427</v>
      </c>
    </row>
    <row r="3089" spans="1:16" ht="33.950000000000003" customHeight="1">
      <c r="A3089" s="5" t="s">
        <v>2420</v>
      </c>
      <c r="B3089" s="5" t="s">
        <v>1595</v>
      </c>
      <c r="C3089" s="9" t="s">
        <v>2421</v>
      </c>
      <c r="D3089" s="5">
        <v>2</v>
      </c>
      <c r="E3089" s="9" t="s">
        <v>3191</v>
      </c>
      <c r="F3089" s="5" t="s">
        <v>2513</v>
      </c>
      <c r="G3089" s="5" t="s">
        <v>3177</v>
      </c>
      <c r="H3089" s="5"/>
      <c r="I3089" s="9" t="s">
        <v>3688</v>
      </c>
      <c r="J3089" s="5">
        <v>2030</v>
      </c>
      <c r="K3089" s="5">
        <v>112</v>
      </c>
      <c r="L3089" s="9" t="s">
        <v>3598</v>
      </c>
      <c r="M3089" s="5">
        <v>10.1</v>
      </c>
      <c r="N3089" s="9" t="s">
        <v>6318</v>
      </c>
      <c r="O3089" s="9" t="str">
        <f t="shared" si="285"/>
        <v>PDFを開く</v>
      </c>
      <c r="P3089" s="9" t="s">
        <v>2427</v>
      </c>
    </row>
    <row r="3090" spans="1:16" ht="33.950000000000003" customHeight="1">
      <c r="A3090" s="2" t="s">
        <v>2429</v>
      </c>
      <c r="B3090" s="2" t="s">
        <v>2430</v>
      </c>
      <c r="C3090" s="8" t="s">
        <v>2431</v>
      </c>
      <c r="D3090" s="2">
        <v>2</v>
      </c>
      <c r="E3090" s="8" t="s">
        <v>3176</v>
      </c>
      <c r="F3090" s="2" t="s">
        <v>447</v>
      </c>
      <c r="G3090" s="2" t="s">
        <v>3177</v>
      </c>
      <c r="H3090" s="2" t="s">
        <v>3178</v>
      </c>
      <c r="I3090" s="8" t="s">
        <v>6319</v>
      </c>
      <c r="J3090" s="2">
        <v>2028</v>
      </c>
      <c r="K3090" s="2">
        <v>15513</v>
      </c>
      <c r="L3090" s="8" t="s">
        <v>6320</v>
      </c>
      <c r="M3090" s="2">
        <v>24.3</v>
      </c>
      <c r="N3090" s="8" t="s">
        <v>6321</v>
      </c>
      <c r="O3090" s="8" t="str">
        <f t="shared" ref="O3090:O3098" si="286">HYPERLINK("https://seichotoushi-hojo.jp/assets/pdf/koufu_3_4ji/outline_113.pdf","PDFを開く")</f>
        <v>PDFを開く</v>
      </c>
      <c r="P3090" s="8" t="s">
        <v>2436</v>
      </c>
    </row>
    <row r="3091" spans="1:16" ht="33.950000000000003" customHeight="1">
      <c r="A3091" s="5" t="s">
        <v>2429</v>
      </c>
      <c r="B3091" s="5" t="s">
        <v>2430</v>
      </c>
      <c r="C3091" s="9" t="s">
        <v>2431</v>
      </c>
      <c r="D3091" s="5">
        <v>2</v>
      </c>
      <c r="E3091" s="9" t="s">
        <v>3176</v>
      </c>
      <c r="F3091" s="5" t="s">
        <v>447</v>
      </c>
      <c r="G3091" s="5" t="s">
        <v>3177</v>
      </c>
      <c r="H3091" s="5" t="s">
        <v>3178</v>
      </c>
      <c r="I3091" s="9" t="s">
        <v>6322</v>
      </c>
      <c r="J3091" s="5">
        <v>2031</v>
      </c>
      <c r="K3091" s="5">
        <v>29768</v>
      </c>
      <c r="L3091" s="9" t="s">
        <v>6323</v>
      </c>
      <c r="M3091" s="5">
        <v>24.3</v>
      </c>
      <c r="N3091" s="9" t="s">
        <v>6321</v>
      </c>
      <c r="O3091" s="9" t="str">
        <f t="shared" si="286"/>
        <v>PDFを開く</v>
      </c>
      <c r="P3091" s="9" t="s">
        <v>2436</v>
      </c>
    </row>
    <row r="3092" spans="1:16" ht="33.950000000000003" customHeight="1">
      <c r="A3092" s="2" t="s">
        <v>2429</v>
      </c>
      <c r="B3092" s="2" t="s">
        <v>2430</v>
      </c>
      <c r="C3092" s="8" t="s">
        <v>2431</v>
      </c>
      <c r="D3092" s="2">
        <v>2</v>
      </c>
      <c r="E3092" s="8" t="s">
        <v>3184</v>
      </c>
      <c r="F3092" s="2" t="s">
        <v>447</v>
      </c>
      <c r="G3092" s="2" t="s">
        <v>3177</v>
      </c>
      <c r="H3092" s="2" t="s">
        <v>3178</v>
      </c>
      <c r="I3092" s="8" t="s">
        <v>6319</v>
      </c>
      <c r="J3092" s="2">
        <v>2028</v>
      </c>
      <c r="K3092" s="2">
        <v>3813</v>
      </c>
      <c r="L3092" s="8" t="s">
        <v>6324</v>
      </c>
      <c r="M3092" s="2">
        <v>6.5</v>
      </c>
      <c r="N3092" s="8" t="s">
        <v>6325</v>
      </c>
      <c r="O3092" s="8" t="str">
        <f t="shared" si="286"/>
        <v>PDFを開く</v>
      </c>
      <c r="P3092" s="8" t="s">
        <v>2436</v>
      </c>
    </row>
    <row r="3093" spans="1:16" ht="33.950000000000003" customHeight="1">
      <c r="A3093" s="5" t="s">
        <v>2429</v>
      </c>
      <c r="B3093" s="5" t="s">
        <v>2430</v>
      </c>
      <c r="C3093" s="9" t="s">
        <v>2431</v>
      </c>
      <c r="D3093" s="5">
        <v>2</v>
      </c>
      <c r="E3093" s="9" t="s">
        <v>3184</v>
      </c>
      <c r="F3093" s="5" t="s">
        <v>447</v>
      </c>
      <c r="G3093" s="5" t="s">
        <v>3177</v>
      </c>
      <c r="H3093" s="5" t="s">
        <v>3178</v>
      </c>
      <c r="I3093" s="9" t="s">
        <v>6322</v>
      </c>
      <c r="J3093" s="5">
        <v>2031</v>
      </c>
      <c r="K3093" s="5">
        <v>4606</v>
      </c>
      <c r="L3093" s="9" t="s">
        <v>6326</v>
      </c>
      <c r="M3093" s="5">
        <v>6.5</v>
      </c>
      <c r="N3093" s="9" t="s">
        <v>6325</v>
      </c>
      <c r="O3093" s="9" t="str">
        <f t="shared" si="286"/>
        <v>PDFを開く</v>
      </c>
      <c r="P3093" s="9" t="s">
        <v>2436</v>
      </c>
    </row>
    <row r="3094" spans="1:16" ht="33.950000000000003" customHeight="1">
      <c r="A3094" s="2" t="s">
        <v>2429</v>
      </c>
      <c r="B3094" s="2" t="s">
        <v>2430</v>
      </c>
      <c r="C3094" s="8" t="s">
        <v>2431</v>
      </c>
      <c r="D3094" s="2">
        <v>2</v>
      </c>
      <c r="E3094" s="8" t="s">
        <v>3188</v>
      </c>
      <c r="F3094" s="2" t="s">
        <v>447</v>
      </c>
      <c r="G3094" s="19" t="s">
        <v>3189</v>
      </c>
      <c r="H3094" s="2" t="s">
        <v>3178</v>
      </c>
      <c r="I3094" s="8"/>
      <c r="J3094" s="2"/>
      <c r="K3094" s="2"/>
      <c r="L3094" s="8"/>
      <c r="M3094" s="2">
        <v>6.5</v>
      </c>
      <c r="N3094" s="8" t="s">
        <v>6327</v>
      </c>
      <c r="O3094" s="8" t="str">
        <f t="shared" si="286"/>
        <v>PDFを開く</v>
      </c>
      <c r="P3094" s="8" t="s">
        <v>2436</v>
      </c>
    </row>
    <row r="3095" spans="1:16" ht="33.950000000000003" customHeight="1">
      <c r="A3095" s="5" t="s">
        <v>2429</v>
      </c>
      <c r="B3095" s="5" t="s">
        <v>2430</v>
      </c>
      <c r="C3095" s="9" t="s">
        <v>2431</v>
      </c>
      <c r="D3095" s="5">
        <v>2</v>
      </c>
      <c r="E3095" s="9" t="s">
        <v>3191</v>
      </c>
      <c r="F3095" s="5" t="s">
        <v>2513</v>
      </c>
      <c r="G3095" s="5" t="s">
        <v>3177</v>
      </c>
      <c r="H3095" s="5" t="s">
        <v>3178</v>
      </c>
      <c r="I3095" s="9" t="s">
        <v>6319</v>
      </c>
      <c r="J3095" s="5">
        <v>2028</v>
      </c>
      <c r="K3095" s="5">
        <v>55</v>
      </c>
      <c r="L3095" s="9" t="s">
        <v>3944</v>
      </c>
      <c r="M3095" s="5"/>
      <c r="N3095" s="9" t="s">
        <v>6328</v>
      </c>
      <c r="O3095" s="9" t="str">
        <f t="shared" si="286"/>
        <v>PDFを開く</v>
      </c>
      <c r="P3095" s="9" t="s">
        <v>2436</v>
      </c>
    </row>
    <row r="3096" spans="1:16" ht="33.950000000000003" customHeight="1">
      <c r="A3096" s="2" t="s">
        <v>2429</v>
      </c>
      <c r="B3096" s="2" t="s">
        <v>2430</v>
      </c>
      <c r="C3096" s="8" t="s">
        <v>2431</v>
      </c>
      <c r="D3096" s="2">
        <v>2</v>
      </c>
      <c r="E3096" s="8" t="s">
        <v>3191</v>
      </c>
      <c r="F3096" s="2" t="s">
        <v>2513</v>
      </c>
      <c r="G3096" s="2" t="s">
        <v>3177</v>
      </c>
      <c r="H3096" s="2" t="s">
        <v>3178</v>
      </c>
      <c r="I3096" s="8" t="s">
        <v>6322</v>
      </c>
      <c r="J3096" s="2">
        <v>2031</v>
      </c>
      <c r="K3096" s="2">
        <v>75</v>
      </c>
      <c r="L3096" s="8" t="s">
        <v>4098</v>
      </c>
      <c r="M3096" s="2"/>
      <c r="N3096" s="8" t="s">
        <v>6328</v>
      </c>
      <c r="O3096" s="8" t="str">
        <f t="shared" si="286"/>
        <v>PDFを開く</v>
      </c>
      <c r="P3096" s="8" t="s">
        <v>2436</v>
      </c>
    </row>
    <row r="3097" spans="1:16" ht="33.950000000000003" customHeight="1">
      <c r="A3097" s="5" t="s">
        <v>2429</v>
      </c>
      <c r="B3097" s="5" t="s">
        <v>2430</v>
      </c>
      <c r="C3097" s="9" t="s">
        <v>2431</v>
      </c>
      <c r="D3097" s="5">
        <v>2</v>
      </c>
      <c r="E3097" s="9" t="s">
        <v>3188</v>
      </c>
      <c r="F3097" s="5" t="s">
        <v>447</v>
      </c>
      <c r="G3097" s="5" t="s">
        <v>3177</v>
      </c>
      <c r="H3097" s="5"/>
      <c r="I3097" s="9" t="s">
        <v>6329</v>
      </c>
      <c r="J3097" s="5">
        <v>2028</v>
      </c>
      <c r="K3097" s="5"/>
      <c r="L3097" s="9" t="s">
        <v>3211</v>
      </c>
      <c r="M3097" s="5">
        <v>6.5</v>
      </c>
      <c r="N3097" s="9" t="s">
        <v>6330</v>
      </c>
      <c r="O3097" s="9" t="str">
        <f t="shared" si="286"/>
        <v>PDFを開く</v>
      </c>
      <c r="P3097" s="9" t="s">
        <v>2436</v>
      </c>
    </row>
    <row r="3098" spans="1:16" ht="33.950000000000003" customHeight="1">
      <c r="A3098" s="2" t="s">
        <v>2429</v>
      </c>
      <c r="B3098" s="2" t="s">
        <v>2430</v>
      </c>
      <c r="C3098" s="8" t="s">
        <v>2431</v>
      </c>
      <c r="D3098" s="2">
        <v>2</v>
      </c>
      <c r="E3098" s="8" t="s">
        <v>3188</v>
      </c>
      <c r="F3098" s="2" t="s">
        <v>447</v>
      </c>
      <c r="G3098" s="2" t="s">
        <v>3177</v>
      </c>
      <c r="H3098" s="2"/>
      <c r="I3098" s="8" t="s">
        <v>6331</v>
      </c>
      <c r="J3098" s="2">
        <v>2031</v>
      </c>
      <c r="K3098" s="2"/>
      <c r="L3098" s="8" t="s">
        <v>5447</v>
      </c>
      <c r="M3098" s="2">
        <v>6.5</v>
      </c>
      <c r="N3098" s="8" t="s">
        <v>6330</v>
      </c>
      <c r="O3098" s="8" t="str">
        <f t="shared" si="286"/>
        <v>PDFを開く</v>
      </c>
      <c r="P3098" s="8" t="s">
        <v>2436</v>
      </c>
    </row>
    <row r="3099" spans="1:16" ht="33.950000000000003" customHeight="1">
      <c r="A3099" s="5" t="s">
        <v>2437</v>
      </c>
      <c r="B3099" s="5" t="s">
        <v>2430</v>
      </c>
      <c r="C3099" s="9" t="s">
        <v>2438</v>
      </c>
      <c r="D3099" s="5">
        <v>2</v>
      </c>
      <c r="E3099" s="9" t="s">
        <v>3176</v>
      </c>
      <c r="F3099" s="5" t="s">
        <v>447</v>
      </c>
      <c r="G3099" s="5" t="s">
        <v>3177</v>
      </c>
      <c r="H3099" s="5" t="s">
        <v>3178</v>
      </c>
      <c r="I3099" s="9" t="s">
        <v>3302</v>
      </c>
      <c r="J3099" s="5"/>
      <c r="K3099" s="5">
        <v>11310</v>
      </c>
      <c r="L3099" s="9" t="s">
        <v>6332</v>
      </c>
      <c r="M3099" s="5">
        <v>9.8000000000000007</v>
      </c>
      <c r="N3099" s="9" t="s">
        <v>6333</v>
      </c>
      <c r="O3099" s="9" t="str">
        <f t="shared" ref="O3099:O3107" si="287">HYPERLINK("https://seichotoushi-hojo.jp/assets/pdf/koufu_3_4ji/outline_115.pdf","PDFを開く")</f>
        <v>PDFを開く</v>
      </c>
      <c r="P3099" s="9" t="s">
        <v>2443</v>
      </c>
    </row>
    <row r="3100" spans="1:16" ht="33.950000000000003" customHeight="1">
      <c r="A3100" s="2" t="s">
        <v>2437</v>
      </c>
      <c r="B3100" s="2" t="s">
        <v>2430</v>
      </c>
      <c r="C3100" s="8" t="s">
        <v>2438</v>
      </c>
      <c r="D3100" s="2">
        <v>2</v>
      </c>
      <c r="E3100" s="8" t="s">
        <v>3176</v>
      </c>
      <c r="F3100" s="2" t="s">
        <v>447</v>
      </c>
      <c r="G3100" s="2" t="s">
        <v>3177</v>
      </c>
      <c r="H3100" s="2" t="s">
        <v>3178</v>
      </c>
      <c r="I3100" s="8" t="s">
        <v>3305</v>
      </c>
      <c r="J3100" s="2"/>
      <c r="K3100" s="2">
        <v>14984</v>
      </c>
      <c r="L3100" s="8" t="s">
        <v>6334</v>
      </c>
      <c r="M3100" s="2">
        <v>9.8000000000000007</v>
      </c>
      <c r="N3100" s="8" t="s">
        <v>6333</v>
      </c>
      <c r="O3100" s="8" t="str">
        <f t="shared" si="287"/>
        <v>PDFを開く</v>
      </c>
      <c r="P3100" s="8" t="s">
        <v>2443</v>
      </c>
    </row>
    <row r="3101" spans="1:16" ht="33.950000000000003" customHeight="1">
      <c r="A3101" s="5" t="s">
        <v>2437</v>
      </c>
      <c r="B3101" s="5" t="s">
        <v>2430</v>
      </c>
      <c r="C3101" s="9" t="s">
        <v>2438</v>
      </c>
      <c r="D3101" s="5">
        <v>2</v>
      </c>
      <c r="E3101" s="9" t="s">
        <v>3184</v>
      </c>
      <c r="F3101" s="5" t="s">
        <v>447</v>
      </c>
      <c r="G3101" s="5" t="s">
        <v>3177</v>
      </c>
      <c r="H3101" s="5" t="s">
        <v>3178</v>
      </c>
      <c r="I3101" s="9" t="s">
        <v>3302</v>
      </c>
      <c r="J3101" s="5"/>
      <c r="K3101" s="5">
        <v>6042</v>
      </c>
      <c r="L3101" s="9" t="s">
        <v>6335</v>
      </c>
      <c r="M3101" s="5">
        <v>9.1</v>
      </c>
      <c r="N3101" s="9" t="s">
        <v>6336</v>
      </c>
      <c r="O3101" s="9" t="str">
        <f t="shared" si="287"/>
        <v>PDFを開く</v>
      </c>
      <c r="P3101" s="9" t="s">
        <v>2443</v>
      </c>
    </row>
    <row r="3102" spans="1:16" ht="33.950000000000003" customHeight="1">
      <c r="A3102" s="2" t="s">
        <v>2437</v>
      </c>
      <c r="B3102" s="2" t="s">
        <v>2430</v>
      </c>
      <c r="C3102" s="8" t="s">
        <v>2438</v>
      </c>
      <c r="D3102" s="2">
        <v>2</v>
      </c>
      <c r="E3102" s="8" t="s">
        <v>3184</v>
      </c>
      <c r="F3102" s="2" t="s">
        <v>447</v>
      </c>
      <c r="G3102" s="2" t="s">
        <v>3177</v>
      </c>
      <c r="H3102" s="2" t="s">
        <v>3178</v>
      </c>
      <c r="I3102" s="8" t="s">
        <v>3305</v>
      </c>
      <c r="J3102" s="2"/>
      <c r="K3102" s="2">
        <v>7847</v>
      </c>
      <c r="L3102" s="8" t="s">
        <v>6337</v>
      </c>
      <c r="M3102" s="2">
        <v>9.1</v>
      </c>
      <c r="N3102" s="8" t="s">
        <v>6336</v>
      </c>
      <c r="O3102" s="8" t="str">
        <f t="shared" si="287"/>
        <v>PDFを開く</v>
      </c>
      <c r="P3102" s="8" t="s">
        <v>2443</v>
      </c>
    </row>
    <row r="3103" spans="1:16" ht="33.950000000000003" customHeight="1">
      <c r="A3103" s="5" t="s">
        <v>2437</v>
      </c>
      <c r="B3103" s="5" t="s">
        <v>2430</v>
      </c>
      <c r="C3103" s="9" t="s">
        <v>2438</v>
      </c>
      <c r="D3103" s="5">
        <v>2</v>
      </c>
      <c r="E3103" s="9" t="s">
        <v>3188</v>
      </c>
      <c r="F3103" s="5" t="s">
        <v>447</v>
      </c>
      <c r="G3103" s="19" t="s">
        <v>3189</v>
      </c>
      <c r="H3103" s="5"/>
      <c r="I3103" s="9"/>
      <c r="J3103" s="5"/>
      <c r="K3103" s="5"/>
      <c r="L3103" s="9"/>
      <c r="M3103" s="5">
        <v>4.5</v>
      </c>
      <c r="N3103" s="9" t="s">
        <v>6338</v>
      </c>
      <c r="O3103" s="9" t="str">
        <f t="shared" si="287"/>
        <v>PDFを開く</v>
      </c>
      <c r="P3103" s="9" t="s">
        <v>2443</v>
      </c>
    </row>
    <row r="3104" spans="1:16" ht="33.950000000000003" customHeight="1">
      <c r="A3104" s="2" t="s">
        <v>2437</v>
      </c>
      <c r="B3104" s="2" t="s">
        <v>2430</v>
      </c>
      <c r="C3104" s="8" t="s">
        <v>2438</v>
      </c>
      <c r="D3104" s="2">
        <v>2</v>
      </c>
      <c r="E3104" s="8" t="s">
        <v>3191</v>
      </c>
      <c r="F3104" s="2" t="s">
        <v>2513</v>
      </c>
      <c r="G3104" s="2" t="s">
        <v>3177</v>
      </c>
      <c r="H3104" s="2"/>
      <c r="I3104" s="8" t="s">
        <v>3302</v>
      </c>
      <c r="J3104" s="2"/>
      <c r="K3104" s="2">
        <v>159</v>
      </c>
      <c r="L3104" s="8" t="s">
        <v>6197</v>
      </c>
      <c r="M3104" s="2"/>
      <c r="N3104" s="8" t="s">
        <v>6339</v>
      </c>
      <c r="O3104" s="8" t="str">
        <f t="shared" si="287"/>
        <v>PDFを開く</v>
      </c>
      <c r="P3104" s="8" t="s">
        <v>2443</v>
      </c>
    </row>
    <row r="3105" spans="1:16" ht="33.950000000000003" customHeight="1">
      <c r="A3105" s="5" t="s">
        <v>2437</v>
      </c>
      <c r="B3105" s="5" t="s">
        <v>2430</v>
      </c>
      <c r="C3105" s="9" t="s">
        <v>2438</v>
      </c>
      <c r="D3105" s="5">
        <v>2</v>
      </c>
      <c r="E3105" s="9" t="s">
        <v>3191</v>
      </c>
      <c r="F3105" s="5" t="s">
        <v>2513</v>
      </c>
      <c r="G3105" s="5" t="s">
        <v>3177</v>
      </c>
      <c r="H3105" s="5"/>
      <c r="I3105" s="9" t="s">
        <v>3305</v>
      </c>
      <c r="J3105" s="5"/>
      <c r="K3105" s="5">
        <v>164</v>
      </c>
      <c r="L3105" s="9" t="s">
        <v>4590</v>
      </c>
      <c r="M3105" s="5"/>
      <c r="N3105" s="9" t="s">
        <v>6339</v>
      </c>
      <c r="O3105" s="9" t="str">
        <f t="shared" si="287"/>
        <v>PDFを開く</v>
      </c>
      <c r="P3105" s="9" t="s">
        <v>2443</v>
      </c>
    </row>
    <row r="3106" spans="1:16" ht="33.950000000000003" customHeight="1">
      <c r="A3106" s="2" t="s">
        <v>2437</v>
      </c>
      <c r="B3106" s="2" t="s">
        <v>2430</v>
      </c>
      <c r="C3106" s="8" t="s">
        <v>2438</v>
      </c>
      <c r="D3106" s="2">
        <v>2</v>
      </c>
      <c r="E3106" s="8" t="s">
        <v>3188</v>
      </c>
      <c r="F3106" s="2" t="s">
        <v>447</v>
      </c>
      <c r="G3106" s="2" t="s">
        <v>3177</v>
      </c>
      <c r="H3106" s="2"/>
      <c r="I3106" s="8" t="s">
        <v>6340</v>
      </c>
      <c r="J3106" s="2"/>
      <c r="K3106" s="2"/>
      <c r="L3106" s="8" t="s">
        <v>3211</v>
      </c>
      <c r="M3106" s="2">
        <v>4.5</v>
      </c>
      <c r="N3106" s="8" t="s">
        <v>6341</v>
      </c>
      <c r="O3106" s="8" t="str">
        <f t="shared" si="287"/>
        <v>PDFを開く</v>
      </c>
      <c r="P3106" s="8" t="s">
        <v>2443</v>
      </c>
    </row>
    <row r="3107" spans="1:16" ht="33.950000000000003" customHeight="1">
      <c r="A3107" s="5" t="s">
        <v>2437</v>
      </c>
      <c r="B3107" s="5" t="s">
        <v>2430</v>
      </c>
      <c r="C3107" s="9" t="s">
        <v>2438</v>
      </c>
      <c r="D3107" s="5">
        <v>2</v>
      </c>
      <c r="E3107" s="9" t="s">
        <v>3188</v>
      </c>
      <c r="F3107" s="5" t="s">
        <v>447</v>
      </c>
      <c r="G3107" s="5" t="s">
        <v>3177</v>
      </c>
      <c r="H3107" s="5"/>
      <c r="I3107" s="9" t="s">
        <v>6342</v>
      </c>
      <c r="J3107" s="5"/>
      <c r="K3107" s="5"/>
      <c r="L3107" s="9" t="s">
        <v>3284</v>
      </c>
      <c r="M3107" s="5">
        <v>4.5</v>
      </c>
      <c r="N3107" s="9" t="s">
        <v>6341</v>
      </c>
      <c r="O3107" s="9" t="str">
        <f t="shared" si="287"/>
        <v>PDFを開く</v>
      </c>
      <c r="P3107" s="9" t="s">
        <v>2443</v>
      </c>
    </row>
    <row r="3108" spans="1:16" ht="33.950000000000003" customHeight="1">
      <c r="A3108" s="2" t="s">
        <v>2444</v>
      </c>
      <c r="B3108" s="2" t="s">
        <v>2430</v>
      </c>
      <c r="C3108" s="8" t="s">
        <v>2445</v>
      </c>
      <c r="D3108" s="2">
        <v>2</v>
      </c>
      <c r="E3108" s="8" t="s">
        <v>3176</v>
      </c>
      <c r="F3108" s="2" t="s">
        <v>447</v>
      </c>
      <c r="G3108" s="19" t="s">
        <v>3189</v>
      </c>
      <c r="H3108" s="2"/>
      <c r="I3108" s="8" t="s">
        <v>3305</v>
      </c>
      <c r="J3108" s="2"/>
      <c r="K3108" s="2">
        <v>41836</v>
      </c>
      <c r="L3108" s="8" t="s">
        <v>6343</v>
      </c>
      <c r="M3108" s="2"/>
      <c r="N3108" s="8" t="s">
        <v>6344</v>
      </c>
      <c r="O3108" s="8" t="str">
        <f t="shared" ref="O3108:O3124" si="288">HYPERLINK("https://seichotoushi-hojo.jp/assets/pdf/koufu_3_4ji/outline_116.pdf","PDFを開く")</f>
        <v>PDFを開く</v>
      </c>
      <c r="P3108" s="8" t="s">
        <v>2450</v>
      </c>
    </row>
    <row r="3109" spans="1:16" ht="33.950000000000003" customHeight="1">
      <c r="A3109" s="5" t="s">
        <v>2444</v>
      </c>
      <c r="B3109" s="5" t="s">
        <v>2430</v>
      </c>
      <c r="C3109" s="9" t="s">
        <v>2445</v>
      </c>
      <c r="D3109" s="5">
        <v>2</v>
      </c>
      <c r="E3109" s="9" t="s">
        <v>3176</v>
      </c>
      <c r="F3109" s="5" t="s">
        <v>447</v>
      </c>
      <c r="G3109" s="19" t="s">
        <v>3189</v>
      </c>
      <c r="H3109" s="5"/>
      <c r="I3109" s="9" t="s">
        <v>3305</v>
      </c>
      <c r="J3109" s="5"/>
      <c r="K3109" s="5">
        <v>10.3</v>
      </c>
      <c r="L3109" s="9" t="s">
        <v>6345</v>
      </c>
      <c r="M3109" s="5"/>
      <c r="N3109" s="9" t="s">
        <v>6344</v>
      </c>
      <c r="O3109" s="9" t="str">
        <f t="shared" si="288"/>
        <v>PDFを開く</v>
      </c>
      <c r="P3109" s="9" t="s">
        <v>2450</v>
      </c>
    </row>
    <row r="3110" spans="1:16" ht="33.950000000000003" customHeight="1">
      <c r="A3110" s="2" t="s">
        <v>2444</v>
      </c>
      <c r="B3110" s="2" t="s">
        <v>2430</v>
      </c>
      <c r="C3110" s="8" t="s">
        <v>2445</v>
      </c>
      <c r="D3110" s="2">
        <v>2</v>
      </c>
      <c r="E3110" s="8" t="s">
        <v>3176</v>
      </c>
      <c r="F3110" s="2" t="s">
        <v>447</v>
      </c>
      <c r="G3110" s="19" t="s">
        <v>3189</v>
      </c>
      <c r="H3110" s="2"/>
      <c r="I3110" s="8" t="s">
        <v>3302</v>
      </c>
      <c r="J3110" s="2"/>
      <c r="K3110" s="2">
        <v>31158</v>
      </c>
      <c r="L3110" s="8" t="s">
        <v>6346</v>
      </c>
      <c r="M3110" s="2"/>
      <c r="N3110" s="8" t="s">
        <v>6344</v>
      </c>
      <c r="O3110" s="8" t="str">
        <f t="shared" si="288"/>
        <v>PDFを開く</v>
      </c>
      <c r="P3110" s="8" t="s">
        <v>2450</v>
      </c>
    </row>
    <row r="3111" spans="1:16" ht="33.950000000000003" customHeight="1">
      <c r="A3111" s="5" t="s">
        <v>2444</v>
      </c>
      <c r="B3111" s="5" t="s">
        <v>2430</v>
      </c>
      <c r="C3111" s="9" t="s">
        <v>2445</v>
      </c>
      <c r="D3111" s="5">
        <v>2</v>
      </c>
      <c r="E3111" s="9" t="s">
        <v>3184</v>
      </c>
      <c r="F3111" s="5" t="s">
        <v>447</v>
      </c>
      <c r="G3111" s="5" t="s">
        <v>3177</v>
      </c>
      <c r="H3111" s="5" t="s">
        <v>3178</v>
      </c>
      <c r="I3111" s="9" t="s">
        <v>3302</v>
      </c>
      <c r="J3111" s="5"/>
      <c r="K3111" s="5">
        <v>4808</v>
      </c>
      <c r="L3111" s="9" t="s">
        <v>6347</v>
      </c>
      <c r="M3111" s="5">
        <v>7.1</v>
      </c>
      <c r="N3111" s="9" t="s">
        <v>6348</v>
      </c>
      <c r="O3111" s="9" t="str">
        <f t="shared" si="288"/>
        <v>PDFを開く</v>
      </c>
      <c r="P3111" s="9" t="s">
        <v>2450</v>
      </c>
    </row>
    <row r="3112" spans="1:16" ht="33.950000000000003" customHeight="1">
      <c r="A3112" s="2" t="s">
        <v>2444</v>
      </c>
      <c r="B3112" s="2" t="s">
        <v>2430</v>
      </c>
      <c r="C3112" s="8" t="s">
        <v>2445</v>
      </c>
      <c r="D3112" s="2">
        <v>2</v>
      </c>
      <c r="E3112" s="8" t="s">
        <v>3184</v>
      </c>
      <c r="F3112" s="2" t="s">
        <v>447</v>
      </c>
      <c r="G3112" s="2" t="s">
        <v>3177</v>
      </c>
      <c r="H3112" s="2" t="s">
        <v>3178</v>
      </c>
      <c r="I3112" s="8" t="s">
        <v>3305</v>
      </c>
      <c r="J3112" s="2"/>
      <c r="K3112" s="2">
        <v>5906</v>
      </c>
      <c r="L3112" s="8" t="s">
        <v>6349</v>
      </c>
      <c r="M3112" s="2">
        <v>7.1</v>
      </c>
      <c r="N3112" s="8" t="s">
        <v>6348</v>
      </c>
      <c r="O3112" s="8" t="str">
        <f t="shared" si="288"/>
        <v>PDFを開く</v>
      </c>
      <c r="P3112" s="8" t="s">
        <v>2450</v>
      </c>
    </row>
    <row r="3113" spans="1:16" ht="33.950000000000003" customHeight="1">
      <c r="A3113" s="5" t="s">
        <v>2444</v>
      </c>
      <c r="B3113" s="5" t="s">
        <v>2430</v>
      </c>
      <c r="C3113" s="9" t="s">
        <v>2445</v>
      </c>
      <c r="D3113" s="5">
        <v>2</v>
      </c>
      <c r="E3113" s="9" t="s">
        <v>3188</v>
      </c>
      <c r="F3113" s="5" t="s">
        <v>447</v>
      </c>
      <c r="G3113" s="5" t="s">
        <v>3177</v>
      </c>
      <c r="H3113" s="5" t="s">
        <v>3178</v>
      </c>
      <c r="I3113" s="9" t="s">
        <v>3302</v>
      </c>
      <c r="J3113" s="5"/>
      <c r="K3113" s="5">
        <v>12515</v>
      </c>
      <c r="L3113" s="9" t="s">
        <v>6350</v>
      </c>
      <c r="M3113" s="5">
        <v>5.3</v>
      </c>
      <c r="N3113" s="9" t="s">
        <v>6351</v>
      </c>
      <c r="O3113" s="9" t="str">
        <f t="shared" si="288"/>
        <v>PDFを開く</v>
      </c>
      <c r="P3113" s="9" t="s">
        <v>2450</v>
      </c>
    </row>
    <row r="3114" spans="1:16" ht="33.950000000000003" customHeight="1">
      <c r="A3114" s="2" t="s">
        <v>2444</v>
      </c>
      <c r="B3114" s="2" t="s">
        <v>2430</v>
      </c>
      <c r="C3114" s="8" t="s">
        <v>2445</v>
      </c>
      <c r="D3114" s="2">
        <v>2</v>
      </c>
      <c r="E3114" s="8" t="s">
        <v>3188</v>
      </c>
      <c r="F3114" s="2" t="s">
        <v>447</v>
      </c>
      <c r="G3114" s="2" t="s">
        <v>3177</v>
      </c>
      <c r="H3114" s="2" t="s">
        <v>3178</v>
      </c>
      <c r="I3114" s="8" t="s">
        <v>3305</v>
      </c>
      <c r="J3114" s="2"/>
      <c r="K3114" s="2">
        <v>14613</v>
      </c>
      <c r="L3114" s="8" t="s">
        <v>6352</v>
      </c>
      <c r="M3114" s="2">
        <v>5.3</v>
      </c>
      <c r="N3114" s="8" t="s">
        <v>6351</v>
      </c>
      <c r="O3114" s="8" t="str">
        <f t="shared" si="288"/>
        <v>PDFを開く</v>
      </c>
      <c r="P3114" s="8" t="s">
        <v>2450</v>
      </c>
    </row>
    <row r="3115" spans="1:16" ht="33.950000000000003" customHeight="1">
      <c r="A3115" s="5" t="s">
        <v>2444</v>
      </c>
      <c r="B3115" s="5" t="s">
        <v>2430</v>
      </c>
      <c r="C3115" s="9" t="s">
        <v>2445</v>
      </c>
      <c r="D3115" s="5">
        <v>2</v>
      </c>
      <c r="E3115" s="9" t="s">
        <v>3191</v>
      </c>
      <c r="F3115" s="5" t="s">
        <v>2513</v>
      </c>
      <c r="G3115" s="5" t="s">
        <v>3177</v>
      </c>
      <c r="H3115" s="5"/>
      <c r="I3115" s="9" t="s">
        <v>3302</v>
      </c>
      <c r="J3115" s="5"/>
      <c r="K3115" s="5">
        <v>50</v>
      </c>
      <c r="L3115" s="9" t="s">
        <v>3271</v>
      </c>
      <c r="M3115" s="5"/>
      <c r="N3115" s="9" t="s">
        <v>6353</v>
      </c>
      <c r="O3115" s="9" t="str">
        <f t="shared" si="288"/>
        <v>PDFを開く</v>
      </c>
      <c r="P3115" s="9" t="s">
        <v>2450</v>
      </c>
    </row>
    <row r="3116" spans="1:16" ht="33.950000000000003" customHeight="1">
      <c r="A3116" s="2" t="s">
        <v>2444</v>
      </c>
      <c r="B3116" s="2" t="s">
        <v>2430</v>
      </c>
      <c r="C3116" s="8" t="s">
        <v>2445</v>
      </c>
      <c r="D3116" s="2">
        <v>2</v>
      </c>
      <c r="E3116" s="8" t="s">
        <v>3191</v>
      </c>
      <c r="F3116" s="2" t="s">
        <v>2513</v>
      </c>
      <c r="G3116" s="2" t="s">
        <v>3177</v>
      </c>
      <c r="H3116" s="2"/>
      <c r="I3116" s="8" t="s">
        <v>3305</v>
      </c>
      <c r="J3116" s="2"/>
      <c r="K3116" s="2">
        <v>56</v>
      </c>
      <c r="L3116" s="8" t="s">
        <v>4835</v>
      </c>
      <c r="M3116" s="2"/>
      <c r="N3116" s="8" t="s">
        <v>6353</v>
      </c>
      <c r="O3116" s="8" t="str">
        <f t="shared" si="288"/>
        <v>PDFを開く</v>
      </c>
      <c r="P3116" s="8" t="s">
        <v>2450</v>
      </c>
    </row>
    <row r="3117" spans="1:16" ht="33.950000000000003" customHeight="1">
      <c r="A3117" s="5" t="s">
        <v>2444</v>
      </c>
      <c r="B3117" s="5" t="s">
        <v>2430</v>
      </c>
      <c r="C3117" s="9" t="s">
        <v>2445</v>
      </c>
      <c r="D3117" s="5">
        <v>2</v>
      </c>
      <c r="E3117" s="9" t="s">
        <v>3176</v>
      </c>
      <c r="F3117" s="5" t="s">
        <v>86</v>
      </c>
      <c r="G3117" s="5" t="s">
        <v>3177</v>
      </c>
      <c r="H3117" s="5"/>
      <c r="I3117" s="9" t="s">
        <v>5942</v>
      </c>
      <c r="J3117" s="5"/>
      <c r="K3117" s="5">
        <v>31158</v>
      </c>
      <c r="L3117" s="9" t="s">
        <v>6354</v>
      </c>
      <c r="M3117" s="5">
        <v>10.3</v>
      </c>
      <c r="N3117" s="9" t="s">
        <v>6355</v>
      </c>
      <c r="O3117" s="9" t="str">
        <f t="shared" si="288"/>
        <v>PDFを開く</v>
      </c>
      <c r="P3117" s="9" t="s">
        <v>2450</v>
      </c>
    </row>
    <row r="3118" spans="1:16" ht="33.950000000000003" customHeight="1">
      <c r="A3118" s="2" t="s">
        <v>2444</v>
      </c>
      <c r="B3118" s="2" t="s">
        <v>2430</v>
      </c>
      <c r="C3118" s="8" t="s">
        <v>2445</v>
      </c>
      <c r="D3118" s="2">
        <v>2</v>
      </c>
      <c r="E3118" s="8" t="s">
        <v>3176</v>
      </c>
      <c r="F3118" s="2" t="s">
        <v>86</v>
      </c>
      <c r="G3118" s="2" t="s">
        <v>3177</v>
      </c>
      <c r="H3118" s="2"/>
      <c r="I3118" s="8" t="s">
        <v>5945</v>
      </c>
      <c r="J3118" s="2"/>
      <c r="K3118" s="2">
        <v>41836</v>
      </c>
      <c r="L3118" s="8" t="s">
        <v>6356</v>
      </c>
      <c r="M3118" s="2">
        <v>10.3</v>
      </c>
      <c r="N3118" s="8" t="s">
        <v>6355</v>
      </c>
      <c r="O3118" s="8" t="str">
        <f t="shared" si="288"/>
        <v>PDFを開く</v>
      </c>
      <c r="P3118" s="8" t="s">
        <v>2450</v>
      </c>
    </row>
    <row r="3119" spans="1:16" ht="33.950000000000003" customHeight="1">
      <c r="A3119" s="5" t="s">
        <v>2444</v>
      </c>
      <c r="B3119" s="5" t="s">
        <v>2430</v>
      </c>
      <c r="C3119" s="9" t="s">
        <v>2445</v>
      </c>
      <c r="D3119" s="5">
        <v>2</v>
      </c>
      <c r="E3119" s="9" t="s">
        <v>3184</v>
      </c>
      <c r="F3119" s="5" t="s">
        <v>86</v>
      </c>
      <c r="G3119" s="5" t="s">
        <v>3177</v>
      </c>
      <c r="H3119" s="5"/>
      <c r="I3119" s="9" t="s">
        <v>5942</v>
      </c>
      <c r="J3119" s="5"/>
      <c r="K3119" s="5">
        <v>4808</v>
      </c>
      <c r="L3119" s="9" t="s">
        <v>6357</v>
      </c>
      <c r="M3119" s="5">
        <v>7.1</v>
      </c>
      <c r="N3119" s="9" t="s">
        <v>6358</v>
      </c>
      <c r="O3119" s="9" t="str">
        <f t="shared" si="288"/>
        <v>PDFを開く</v>
      </c>
      <c r="P3119" s="9" t="s">
        <v>2450</v>
      </c>
    </row>
    <row r="3120" spans="1:16" ht="33.950000000000003" customHeight="1">
      <c r="A3120" s="2" t="s">
        <v>2444</v>
      </c>
      <c r="B3120" s="2" t="s">
        <v>2430</v>
      </c>
      <c r="C3120" s="8" t="s">
        <v>2445</v>
      </c>
      <c r="D3120" s="2">
        <v>2</v>
      </c>
      <c r="E3120" s="8" t="s">
        <v>3184</v>
      </c>
      <c r="F3120" s="2" t="s">
        <v>86</v>
      </c>
      <c r="G3120" s="2" t="s">
        <v>3177</v>
      </c>
      <c r="H3120" s="2"/>
      <c r="I3120" s="8" t="s">
        <v>5945</v>
      </c>
      <c r="J3120" s="2"/>
      <c r="K3120" s="2">
        <v>5906</v>
      </c>
      <c r="L3120" s="8" t="s">
        <v>6349</v>
      </c>
      <c r="M3120" s="2">
        <v>7.1</v>
      </c>
      <c r="N3120" s="8" t="s">
        <v>6358</v>
      </c>
      <c r="O3120" s="8" t="str">
        <f t="shared" si="288"/>
        <v>PDFを開く</v>
      </c>
      <c r="P3120" s="8" t="s">
        <v>2450</v>
      </c>
    </row>
    <row r="3121" spans="1:16" ht="33.950000000000003" customHeight="1">
      <c r="A3121" s="5" t="s">
        <v>2444</v>
      </c>
      <c r="B3121" s="5" t="s">
        <v>2430</v>
      </c>
      <c r="C3121" s="9" t="s">
        <v>2445</v>
      </c>
      <c r="D3121" s="5">
        <v>2</v>
      </c>
      <c r="E3121" s="9" t="s">
        <v>3188</v>
      </c>
      <c r="F3121" s="5" t="s">
        <v>86</v>
      </c>
      <c r="G3121" s="5" t="s">
        <v>3177</v>
      </c>
      <c r="H3121" s="5"/>
      <c r="I3121" s="9" t="s">
        <v>5942</v>
      </c>
      <c r="J3121" s="5"/>
      <c r="K3121" s="5">
        <v>12515</v>
      </c>
      <c r="L3121" s="9" t="s">
        <v>6359</v>
      </c>
      <c r="M3121" s="5">
        <v>5.3</v>
      </c>
      <c r="N3121" s="9" t="s">
        <v>6360</v>
      </c>
      <c r="O3121" s="9" t="str">
        <f t="shared" si="288"/>
        <v>PDFを開く</v>
      </c>
      <c r="P3121" s="9" t="s">
        <v>2450</v>
      </c>
    </row>
    <row r="3122" spans="1:16" ht="33.950000000000003" customHeight="1">
      <c r="A3122" s="2" t="s">
        <v>2444</v>
      </c>
      <c r="B3122" s="2" t="s">
        <v>2430</v>
      </c>
      <c r="C3122" s="8" t="s">
        <v>2445</v>
      </c>
      <c r="D3122" s="2">
        <v>2</v>
      </c>
      <c r="E3122" s="8" t="s">
        <v>3188</v>
      </c>
      <c r="F3122" s="2" t="s">
        <v>86</v>
      </c>
      <c r="G3122" s="2" t="s">
        <v>3177</v>
      </c>
      <c r="H3122" s="2"/>
      <c r="I3122" s="8" t="s">
        <v>5945</v>
      </c>
      <c r="J3122" s="2"/>
      <c r="K3122" s="2">
        <v>14613</v>
      </c>
      <c r="L3122" s="8" t="s">
        <v>6361</v>
      </c>
      <c r="M3122" s="2">
        <v>5.3</v>
      </c>
      <c r="N3122" s="8" t="s">
        <v>6360</v>
      </c>
      <c r="O3122" s="8" t="str">
        <f t="shared" si="288"/>
        <v>PDFを開く</v>
      </c>
      <c r="P3122" s="8" t="s">
        <v>2450</v>
      </c>
    </row>
    <row r="3123" spans="1:16" ht="33.950000000000003" customHeight="1">
      <c r="A3123" s="5" t="s">
        <v>2444</v>
      </c>
      <c r="B3123" s="5" t="s">
        <v>2430</v>
      </c>
      <c r="C3123" s="9" t="s">
        <v>2445</v>
      </c>
      <c r="D3123" s="5">
        <v>2</v>
      </c>
      <c r="E3123" s="9" t="s">
        <v>3191</v>
      </c>
      <c r="F3123" s="5" t="s">
        <v>2513</v>
      </c>
      <c r="G3123" s="5" t="s">
        <v>3177</v>
      </c>
      <c r="H3123" s="5"/>
      <c r="I3123" s="9" t="s">
        <v>5942</v>
      </c>
      <c r="J3123" s="5"/>
      <c r="K3123" s="5">
        <v>50</v>
      </c>
      <c r="L3123" s="9" t="s">
        <v>3271</v>
      </c>
      <c r="M3123" s="5"/>
      <c r="N3123" s="9" t="s">
        <v>6362</v>
      </c>
      <c r="O3123" s="9" t="str">
        <f t="shared" si="288"/>
        <v>PDFを開く</v>
      </c>
      <c r="P3123" s="9" t="s">
        <v>2450</v>
      </c>
    </row>
    <row r="3124" spans="1:16" ht="33.950000000000003" customHeight="1">
      <c r="A3124" s="2" t="s">
        <v>2444</v>
      </c>
      <c r="B3124" s="2" t="s">
        <v>2430</v>
      </c>
      <c r="C3124" s="8" t="s">
        <v>2445</v>
      </c>
      <c r="D3124" s="2">
        <v>2</v>
      </c>
      <c r="E3124" s="8" t="s">
        <v>3191</v>
      </c>
      <c r="F3124" s="2" t="s">
        <v>2513</v>
      </c>
      <c r="G3124" s="2" t="s">
        <v>3177</v>
      </c>
      <c r="H3124" s="2"/>
      <c r="I3124" s="8" t="s">
        <v>5945</v>
      </c>
      <c r="J3124" s="2"/>
      <c r="K3124" s="2">
        <v>56</v>
      </c>
      <c r="L3124" s="8" t="s">
        <v>4835</v>
      </c>
      <c r="M3124" s="2"/>
      <c r="N3124" s="8" t="s">
        <v>6362</v>
      </c>
      <c r="O3124" s="8" t="str">
        <f t="shared" si="288"/>
        <v>PDFを開く</v>
      </c>
      <c r="P3124" s="8" t="s">
        <v>2450</v>
      </c>
    </row>
    <row r="3125" spans="1:16" ht="33.950000000000003" customHeight="1">
      <c r="A3125" s="5" t="s">
        <v>2451</v>
      </c>
      <c r="B3125" s="5" t="s">
        <v>2430</v>
      </c>
      <c r="C3125" s="9" t="s">
        <v>2452</v>
      </c>
      <c r="D3125" s="5">
        <v>2</v>
      </c>
      <c r="E3125" s="9" t="s">
        <v>3176</v>
      </c>
      <c r="F3125" s="5" t="s">
        <v>447</v>
      </c>
      <c r="G3125" s="5" t="s">
        <v>3177</v>
      </c>
      <c r="H3125" s="5"/>
      <c r="I3125" s="9" t="s">
        <v>3302</v>
      </c>
      <c r="J3125" s="5"/>
      <c r="K3125" s="5">
        <v>18038</v>
      </c>
      <c r="L3125" s="9" t="s">
        <v>6363</v>
      </c>
      <c r="M3125" s="5">
        <v>35</v>
      </c>
      <c r="N3125" s="9" t="s">
        <v>6364</v>
      </c>
      <c r="O3125" s="9" t="str">
        <f t="shared" ref="O3125:O3133" si="289">HYPERLINK("https://seichotoushi-hojo.jp/assets/pdf/koufu_3_4ji/outline_117.pdf","PDFを開く")</f>
        <v>PDFを開く</v>
      </c>
      <c r="P3125" s="9" t="s">
        <v>2458</v>
      </c>
    </row>
    <row r="3126" spans="1:16" ht="33.950000000000003" customHeight="1">
      <c r="A3126" s="2" t="s">
        <v>2451</v>
      </c>
      <c r="B3126" s="2" t="s">
        <v>2430</v>
      </c>
      <c r="C3126" s="8" t="s">
        <v>2452</v>
      </c>
      <c r="D3126" s="2">
        <v>2</v>
      </c>
      <c r="E3126" s="8" t="s">
        <v>3176</v>
      </c>
      <c r="F3126" s="2" t="s">
        <v>447</v>
      </c>
      <c r="G3126" s="2" t="s">
        <v>3177</v>
      </c>
      <c r="H3126" s="2"/>
      <c r="I3126" s="8" t="s">
        <v>3305</v>
      </c>
      <c r="J3126" s="2"/>
      <c r="K3126" s="2">
        <v>44423</v>
      </c>
      <c r="L3126" s="8" t="s">
        <v>6365</v>
      </c>
      <c r="M3126" s="2">
        <v>35</v>
      </c>
      <c r="N3126" s="8" t="s">
        <v>6364</v>
      </c>
      <c r="O3126" s="8" t="str">
        <f t="shared" si="289"/>
        <v>PDFを開く</v>
      </c>
      <c r="P3126" s="8" t="s">
        <v>2458</v>
      </c>
    </row>
    <row r="3127" spans="1:16" ht="33.950000000000003" customHeight="1">
      <c r="A3127" s="5" t="s">
        <v>2451</v>
      </c>
      <c r="B3127" s="5" t="s">
        <v>2430</v>
      </c>
      <c r="C3127" s="9" t="s">
        <v>2452</v>
      </c>
      <c r="D3127" s="5">
        <v>2</v>
      </c>
      <c r="E3127" s="9" t="s">
        <v>3184</v>
      </c>
      <c r="F3127" s="5" t="s">
        <v>447</v>
      </c>
      <c r="G3127" s="5" t="s">
        <v>3177</v>
      </c>
      <c r="H3127" s="5"/>
      <c r="I3127" s="9" t="s">
        <v>3302</v>
      </c>
      <c r="J3127" s="5"/>
      <c r="K3127" s="5">
        <v>5967</v>
      </c>
      <c r="L3127" s="9" t="s">
        <v>6366</v>
      </c>
      <c r="M3127" s="5">
        <v>9.1</v>
      </c>
      <c r="N3127" s="9" t="s">
        <v>6367</v>
      </c>
      <c r="O3127" s="9" t="str">
        <f t="shared" si="289"/>
        <v>PDFを開く</v>
      </c>
      <c r="P3127" s="9" t="s">
        <v>2458</v>
      </c>
    </row>
    <row r="3128" spans="1:16" ht="33.950000000000003" customHeight="1">
      <c r="A3128" s="2" t="s">
        <v>2451</v>
      </c>
      <c r="B3128" s="2" t="s">
        <v>2430</v>
      </c>
      <c r="C3128" s="8" t="s">
        <v>2452</v>
      </c>
      <c r="D3128" s="2">
        <v>2</v>
      </c>
      <c r="E3128" s="8" t="s">
        <v>3184</v>
      </c>
      <c r="F3128" s="2" t="s">
        <v>447</v>
      </c>
      <c r="G3128" s="2" t="s">
        <v>3177</v>
      </c>
      <c r="H3128" s="2"/>
      <c r="I3128" s="8" t="s">
        <v>3305</v>
      </c>
      <c r="J3128" s="2"/>
      <c r="K3128" s="2">
        <v>7758</v>
      </c>
      <c r="L3128" s="8" t="s">
        <v>6368</v>
      </c>
      <c r="M3128" s="2">
        <v>9.1</v>
      </c>
      <c r="N3128" s="8" t="s">
        <v>6367</v>
      </c>
      <c r="O3128" s="8" t="str">
        <f t="shared" si="289"/>
        <v>PDFを開く</v>
      </c>
      <c r="P3128" s="8" t="s">
        <v>2458</v>
      </c>
    </row>
    <row r="3129" spans="1:16" ht="33.950000000000003" customHeight="1">
      <c r="A3129" s="5" t="s">
        <v>2451</v>
      </c>
      <c r="B3129" s="5" t="s">
        <v>2430</v>
      </c>
      <c r="C3129" s="9" t="s">
        <v>2452</v>
      </c>
      <c r="D3129" s="5">
        <v>2</v>
      </c>
      <c r="E3129" s="9" t="s">
        <v>3188</v>
      </c>
      <c r="F3129" s="5" t="s">
        <v>447</v>
      </c>
      <c r="G3129" s="19" t="s">
        <v>3189</v>
      </c>
      <c r="H3129" s="5"/>
      <c r="I3129" s="9"/>
      <c r="J3129" s="5"/>
      <c r="K3129" s="5"/>
      <c r="L3129" s="9"/>
      <c r="M3129" s="5">
        <v>7</v>
      </c>
      <c r="N3129" s="9" t="s">
        <v>6369</v>
      </c>
      <c r="O3129" s="9" t="str">
        <f t="shared" si="289"/>
        <v>PDFを開く</v>
      </c>
      <c r="P3129" s="9" t="s">
        <v>2458</v>
      </c>
    </row>
    <row r="3130" spans="1:16" ht="33.950000000000003" customHeight="1">
      <c r="A3130" s="2" t="s">
        <v>2451</v>
      </c>
      <c r="B3130" s="2" t="s">
        <v>2430</v>
      </c>
      <c r="C3130" s="8" t="s">
        <v>2452</v>
      </c>
      <c r="D3130" s="2">
        <v>2</v>
      </c>
      <c r="E3130" s="8" t="s">
        <v>3191</v>
      </c>
      <c r="F3130" s="2" t="s">
        <v>2513</v>
      </c>
      <c r="G3130" s="2" t="s">
        <v>3177</v>
      </c>
      <c r="H3130" s="2" t="s">
        <v>3178</v>
      </c>
      <c r="I3130" s="8" t="s">
        <v>3302</v>
      </c>
      <c r="J3130" s="2"/>
      <c r="K3130" s="2">
        <v>60</v>
      </c>
      <c r="L3130" s="8" t="s">
        <v>3406</v>
      </c>
      <c r="M3130" s="2"/>
      <c r="N3130" s="8" t="s">
        <v>6370</v>
      </c>
      <c r="O3130" s="8" t="str">
        <f t="shared" si="289"/>
        <v>PDFを開く</v>
      </c>
      <c r="P3130" s="8" t="s">
        <v>2458</v>
      </c>
    </row>
    <row r="3131" spans="1:16" ht="33.950000000000003" customHeight="1">
      <c r="A3131" s="5" t="s">
        <v>2451</v>
      </c>
      <c r="B3131" s="5" t="s">
        <v>2430</v>
      </c>
      <c r="C3131" s="9" t="s">
        <v>2452</v>
      </c>
      <c r="D3131" s="5">
        <v>2</v>
      </c>
      <c r="E3131" s="9" t="s">
        <v>3191</v>
      </c>
      <c r="F3131" s="5" t="s">
        <v>2513</v>
      </c>
      <c r="G3131" s="5" t="s">
        <v>3177</v>
      </c>
      <c r="H3131" s="5" t="s">
        <v>3178</v>
      </c>
      <c r="I3131" s="9" t="s">
        <v>3305</v>
      </c>
      <c r="J3131" s="5"/>
      <c r="K3131" s="5">
        <v>76</v>
      </c>
      <c r="L3131" s="9" t="s">
        <v>3631</v>
      </c>
      <c r="M3131" s="5"/>
      <c r="N3131" s="9" t="s">
        <v>6370</v>
      </c>
      <c r="O3131" s="9" t="str">
        <f t="shared" si="289"/>
        <v>PDFを開く</v>
      </c>
      <c r="P3131" s="9" t="s">
        <v>2458</v>
      </c>
    </row>
    <row r="3132" spans="1:16" ht="33.950000000000003" customHeight="1">
      <c r="A3132" s="2" t="s">
        <v>2451</v>
      </c>
      <c r="B3132" s="2" t="s">
        <v>2430</v>
      </c>
      <c r="C3132" s="8" t="s">
        <v>2452</v>
      </c>
      <c r="D3132" s="2">
        <v>2</v>
      </c>
      <c r="E3132" s="8" t="s">
        <v>3188</v>
      </c>
      <c r="F3132" s="2" t="s">
        <v>447</v>
      </c>
      <c r="G3132" s="2" t="s">
        <v>3177</v>
      </c>
      <c r="H3132" s="2"/>
      <c r="I3132" s="8" t="s">
        <v>6371</v>
      </c>
      <c r="J3132" s="2"/>
      <c r="K3132" s="2"/>
      <c r="L3132" s="8" t="s">
        <v>3211</v>
      </c>
      <c r="M3132" s="2">
        <v>7</v>
      </c>
      <c r="N3132" s="8" t="s">
        <v>6372</v>
      </c>
      <c r="O3132" s="8" t="str">
        <f t="shared" si="289"/>
        <v>PDFを開く</v>
      </c>
      <c r="P3132" s="8" t="s">
        <v>2458</v>
      </c>
    </row>
    <row r="3133" spans="1:16" ht="33.950000000000003" customHeight="1">
      <c r="A3133" s="5" t="s">
        <v>2451</v>
      </c>
      <c r="B3133" s="5" t="s">
        <v>2430</v>
      </c>
      <c r="C3133" s="9" t="s">
        <v>2452</v>
      </c>
      <c r="D3133" s="5">
        <v>2</v>
      </c>
      <c r="E3133" s="9" t="s">
        <v>3188</v>
      </c>
      <c r="F3133" s="5" t="s">
        <v>447</v>
      </c>
      <c r="G3133" s="5" t="s">
        <v>3177</v>
      </c>
      <c r="H3133" s="5"/>
      <c r="I3133" s="9" t="s">
        <v>6373</v>
      </c>
      <c r="J3133" s="5"/>
      <c r="K3133" s="5"/>
      <c r="L3133" s="9" t="s">
        <v>6374</v>
      </c>
      <c r="M3133" s="5">
        <v>7</v>
      </c>
      <c r="N3133" s="9" t="s">
        <v>6372</v>
      </c>
      <c r="O3133" s="9" t="str">
        <f t="shared" si="289"/>
        <v>PDFを開く</v>
      </c>
      <c r="P3133" s="9" t="s">
        <v>2458</v>
      </c>
    </row>
    <row r="3134" spans="1:16" ht="33.950000000000003" customHeight="1">
      <c r="A3134" s="2" t="s">
        <v>2459</v>
      </c>
      <c r="B3134" s="2" t="s">
        <v>2430</v>
      </c>
      <c r="C3134" s="8" t="s">
        <v>2460</v>
      </c>
      <c r="D3134" s="2">
        <v>2</v>
      </c>
      <c r="E3134" s="8" t="s">
        <v>3176</v>
      </c>
      <c r="F3134" s="2" t="s">
        <v>447</v>
      </c>
      <c r="G3134" s="2" t="s">
        <v>3177</v>
      </c>
      <c r="H3134" s="2"/>
      <c r="I3134" s="8" t="s">
        <v>3302</v>
      </c>
      <c r="J3134" s="2"/>
      <c r="K3134" s="2">
        <v>14658</v>
      </c>
      <c r="L3134" s="8" t="s">
        <v>6375</v>
      </c>
      <c r="M3134" s="2">
        <v>24.9</v>
      </c>
      <c r="N3134" s="8" t="s">
        <v>6376</v>
      </c>
      <c r="O3134" s="8" t="str">
        <f t="shared" ref="O3134:O3142" si="290">HYPERLINK("https://seichotoushi-hojo.jp/assets/pdf/koufu_3_4ji/outline_118.pdf","PDFを開く")</f>
        <v>PDFを開く</v>
      </c>
      <c r="P3134" s="8" t="s">
        <v>2466</v>
      </c>
    </row>
    <row r="3135" spans="1:16" ht="33.950000000000003" customHeight="1">
      <c r="A3135" s="5" t="s">
        <v>2459</v>
      </c>
      <c r="B3135" s="5" t="s">
        <v>2430</v>
      </c>
      <c r="C3135" s="9" t="s">
        <v>2460</v>
      </c>
      <c r="D3135" s="5">
        <v>2</v>
      </c>
      <c r="E3135" s="9" t="s">
        <v>3176</v>
      </c>
      <c r="F3135" s="5" t="s">
        <v>447</v>
      </c>
      <c r="G3135" s="5" t="s">
        <v>3177</v>
      </c>
      <c r="H3135" s="5"/>
      <c r="I3135" s="9" t="s">
        <v>3305</v>
      </c>
      <c r="J3135" s="5"/>
      <c r="K3135" s="5">
        <v>28579</v>
      </c>
      <c r="L3135" s="9" t="s">
        <v>6377</v>
      </c>
      <c r="M3135" s="5">
        <v>24.9</v>
      </c>
      <c r="N3135" s="9" t="s">
        <v>6376</v>
      </c>
      <c r="O3135" s="9" t="str">
        <f t="shared" si="290"/>
        <v>PDFを開く</v>
      </c>
      <c r="P3135" s="9" t="s">
        <v>2466</v>
      </c>
    </row>
    <row r="3136" spans="1:16" ht="33.950000000000003" customHeight="1">
      <c r="A3136" s="2" t="s">
        <v>2459</v>
      </c>
      <c r="B3136" s="2" t="s">
        <v>2430</v>
      </c>
      <c r="C3136" s="8" t="s">
        <v>2460</v>
      </c>
      <c r="D3136" s="2">
        <v>2</v>
      </c>
      <c r="E3136" s="8" t="s">
        <v>3184</v>
      </c>
      <c r="F3136" s="2" t="s">
        <v>447</v>
      </c>
      <c r="G3136" s="2" t="s">
        <v>3177</v>
      </c>
      <c r="H3136" s="2"/>
      <c r="I3136" s="8" t="s">
        <v>3302</v>
      </c>
      <c r="J3136" s="2"/>
      <c r="K3136" s="2">
        <v>5313</v>
      </c>
      <c r="L3136" s="8" t="s">
        <v>6378</v>
      </c>
      <c r="M3136" s="2">
        <v>6.5</v>
      </c>
      <c r="N3136" s="8" t="s">
        <v>6379</v>
      </c>
      <c r="O3136" s="8" t="str">
        <f t="shared" si="290"/>
        <v>PDFを開く</v>
      </c>
      <c r="P3136" s="8" t="s">
        <v>2466</v>
      </c>
    </row>
    <row r="3137" spans="1:16" ht="33.950000000000003" customHeight="1">
      <c r="A3137" s="5" t="s">
        <v>2459</v>
      </c>
      <c r="B3137" s="5" t="s">
        <v>2430</v>
      </c>
      <c r="C3137" s="9" t="s">
        <v>2460</v>
      </c>
      <c r="D3137" s="5">
        <v>2</v>
      </c>
      <c r="E3137" s="9" t="s">
        <v>3184</v>
      </c>
      <c r="F3137" s="5" t="s">
        <v>447</v>
      </c>
      <c r="G3137" s="5" t="s">
        <v>3177</v>
      </c>
      <c r="H3137" s="5"/>
      <c r="I3137" s="9" t="s">
        <v>3305</v>
      </c>
      <c r="J3137" s="5"/>
      <c r="K3137" s="5">
        <v>6418</v>
      </c>
      <c r="L3137" s="9" t="s">
        <v>6380</v>
      </c>
      <c r="M3137" s="5">
        <v>6.5</v>
      </c>
      <c r="N3137" s="9" t="s">
        <v>6379</v>
      </c>
      <c r="O3137" s="9" t="str">
        <f t="shared" si="290"/>
        <v>PDFを開く</v>
      </c>
      <c r="P3137" s="9" t="s">
        <v>2466</v>
      </c>
    </row>
    <row r="3138" spans="1:16" ht="33.950000000000003" customHeight="1">
      <c r="A3138" s="2" t="s">
        <v>2459</v>
      </c>
      <c r="B3138" s="2" t="s">
        <v>2430</v>
      </c>
      <c r="C3138" s="8" t="s">
        <v>2460</v>
      </c>
      <c r="D3138" s="2">
        <v>2</v>
      </c>
      <c r="E3138" s="8" t="s">
        <v>3188</v>
      </c>
      <c r="F3138" s="2" t="s">
        <v>447</v>
      </c>
      <c r="G3138" s="19" t="s">
        <v>3189</v>
      </c>
      <c r="H3138" s="2"/>
      <c r="I3138" s="8"/>
      <c r="J3138" s="2"/>
      <c r="K3138" s="2"/>
      <c r="L3138" s="8"/>
      <c r="M3138" s="2">
        <v>5</v>
      </c>
      <c r="N3138" s="8" t="s">
        <v>6381</v>
      </c>
      <c r="O3138" s="8" t="str">
        <f t="shared" si="290"/>
        <v>PDFを開く</v>
      </c>
      <c r="P3138" s="8" t="s">
        <v>2466</v>
      </c>
    </row>
    <row r="3139" spans="1:16" ht="33.950000000000003" customHeight="1">
      <c r="A3139" s="5" t="s">
        <v>2459</v>
      </c>
      <c r="B3139" s="5" t="s">
        <v>2430</v>
      </c>
      <c r="C3139" s="9" t="s">
        <v>2460</v>
      </c>
      <c r="D3139" s="5">
        <v>2</v>
      </c>
      <c r="E3139" s="9" t="s">
        <v>3191</v>
      </c>
      <c r="F3139" s="5" t="s">
        <v>2513</v>
      </c>
      <c r="G3139" s="5" t="s">
        <v>3177</v>
      </c>
      <c r="H3139" s="5"/>
      <c r="I3139" s="9" t="s">
        <v>3302</v>
      </c>
      <c r="J3139" s="5"/>
      <c r="K3139" s="5">
        <v>176</v>
      </c>
      <c r="L3139" s="9" t="s">
        <v>5301</v>
      </c>
      <c r="M3139" s="5"/>
      <c r="N3139" s="9" t="s">
        <v>6382</v>
      </c>
      <c r="O3139" s="9" t="str">
        <f t="shared" si="290"/>
        <v>PDFを開く</v>
      </c>
      <c r="P3139" s="9" t="s">
        <v>2466</v>
      </c>
    </row>
    <row r="3140" spans="1:16" ht="33.950000000000003" customHeight="1">
      <c r="A3140" s="2" t="s">
        <v>2459</v>
      </c>
      <c r="B3140" s="2" t="s">
        <v>2430</v>
      </c>
      <c r="C3140" s="8" t="s">
        <v>2460</v>
      </c>
      <c r="D3140" s="2">
        <v>2</v>
      </c>
      <c r="E3140" s="8" t="s">
        <v>3191</v>
      </c>
      <c r="F3140" s="2" t="s">
        <v>2513</v>
      </c>
      <c r="G3140" s="2" t="s">
        <v>3177</v>
      </c>
      <c r="H3140" s="2"/>
      <c r="I3140" s="8" t="s">
        <v>3305</v>
      </c>
      <c r="J3140" s="2"/>
      <c r="K3140" s="2">
        <v>214</v>
      </c>
      <c r="L3140" s="8" t="s">
        <v>4453</v>
      </c>
      <c r="M3140" s="2"/>
      <c r="N3140" s="8" t="s">
        <v>6382</v>
      </c>
      <c r="O3140" s="8" t="str">
        <f t="shared" si="290"/>
        <v>PDFを開く</v>
      </c>
      <c r="P3140" s="8" t="s">
        <v>2466</v>
      </c>
    </row>
    <row r="3141" spans="1:16" ht="33.950000000000003" customHeight="1">
      <c r="A3141" s="5" t="s">
        <v>2459</v>
      </c>
      <c r="B3141" s="5" t="s">
        <v>2430</v>
      </c>
      <c r="C3141" s="9" t="s">
        <v>2460</v>
      </c>
      <c r="D3141" s="5">
        <v>2</v>
      </c>
      <c r="E3141" s="9" t="s">
        <v>3188</v>
      </c>
      <c r="F3141" s="5" t="s">
        <v>447</v>
      </c>
      <c r="G3141" s="5" t="s">
        <v>3177</v>
      </c>
      <c r="H3141" s="5"/>
      <c r="I3141" s="9" t="s">
        <v>6383</v>
      </c>
      <c r="J3141" s="5"/>
      <c r="K3141" s="5"/>
      <c r="L3141" s="9" t="s">
        <v>3211</v>
      </c>
      <c r="M3141" s="5">
        <v>5</v>
      </c>
      <c r="N3141" s="9" t="s">
        <v>6384</v>
      </c>
      <c r="O3141" s="9" t="str">
        <f t="shared" si="290"/>
        <v>PDFを開く</v>
      </c>
      <c r="P3141" s="9" t="s">
        <v>2466</v>
      </c>
    </row>
    <row r="3142" spans="1:16" ht="33.950000000000003" customHeight="1">
      <c r="A3142" s="2" t="s">
        <v>2459</v>
      </c>
      <c r="B3142" s="2" t="s">
        <v>2430</v>
      </c>
      <c r="C3142" s="8" t="s">
        <v>2460</v>
      </c>
      <c r="D3142" s="2">
        <v>2</v>
      </c>
      <c r="E3142" s="8" t="s">
        <v>3188</v>
      </c>
      <c r="F3142" s="2" t="s">
        <v>447</v>
      </c>
      <c r="G3142" s="2" t="s">
        <v>3177</v>
      </c>
      <c r="H3142" s="2"/>
      <c r="I3142" s="8" t="s">
        <v>6385</v>
      </c>
      <c r="J3142" s="2"/>
      <c r="K3142" s="2"/>
      <c r="L3142" s="8" t="s">
        <v>3384</v>
      </c>
      <c r="M3142" s="2">
        <v>5</v>
      </c>
      <c r="N3142" s="8" t="s">
        <v>6384</v>
      </c>
      <c r="O3142" s="8" t="str">
        <f t="shared" si="290"/>
        <v>PDFを開く</v>
      </c>
      <c r="P3142" s="8" t="s">
        <v>2466</v>
      </c>
    </row>
    <row r="3143" spans="1:16" ht="33.950000000000003" customHeight="1">
      <c r="A3143" s="5" t="s">
        <v>2467</v>
      </c>
      <c r="B3143" s="5" t="s">
        <v>2430</v>
      </c>
      <c r="C3143" s="9" t="s">
        <v>2468</v>
      </c>
      <c r="D3143" s="5">
        <v>2</v>
      </c>
      <c r="E3143" s="9" t="s">
        <v>3176</v>
      </c>
      <c r="F3143" s="5" t="s">
        <v>447</v>
      </c>
      <c r="G3143" s="5" t="s">
        <v>3177</v>
      </c>
      <c r="H3143" s="5"/>
      <c r="I3143" s="9" t="s">
        <v>3302</v>
      </c>
      <c r="J3143" s="5"/>
      <c r="K3143" s="5">
        <v>5511</v>
      </c>
      <c r="L3143" s="9" t="s">
        <v>6386</v>
      </c>
      <c r="M3143" s="5">
        <v>35.700000000000003</v>
      </c>
      <c r="N3143" s="9" t="s">
        <v>6387</v>
      </c>
      <c r="O3143" s="9" t="str">
        <f t="shared" ref="O3143:O3149" si="291">HYPERLINK("https://seichotoushi-hojo.jp/assets/pdf/koufu_3_4ji/outline_119.pdf","PDFを開く")</f>
        <v>PDFを開く</v>
      </c>
      <c r="P3143" s="9" t="s">
        <v>2474</v>
      </c>
    </row>
    <row r="3144" spans="1:16" ht="33.950000000000003" customHeight="1">
      <c r="A3144" s="2" t="s">
        <v>2467</v>
      </c>
      <c r="B3144" s="2" t="s">
        <v>2430</v>
      </c>
      <c r="C3144" s="8" t="s">
        <v>2468</v>
      </c>
      <c r="D3144" s="2">
        <v>2</v>
      </c>
      <c r="E3144" s="8" t="s">
        <v>3176</v>
      </c>
      <c r="F3144" s="2" t="s">
        <v>447</v>
      </c>
      <c r="G3144" s="2" t="s">
        <v>3177</v>
      </c>
      <c r="H3144" s="2"/>
      <c r="I3144" s="8" t="s">
        <v>3305</v>
      </c>
      <c r="J3144" s="2"/>
      <c r="K3144" s="2">
        <v>13782</v>
      </c>
      <c r="L3144" s="8" t="s">
        <v>6388</v>
      </c>
      <c r="M3144" s="2">
        <v>35.700000000000003</v>
      </c>
      <c r="N3144" s="8" t="s">
        <v>6387</v>
      </c>
      <c r="O3144" s="8" t="str">
        <f t="shared" si="291"/>
        <v>PDFを開く</v>
      </c>
      <c r="P3144" s="8" t="s">
        <v>2474</v>
      </c>
    </row>
    <row r="3145" spans="1:16" ht="33.950000000000003" customHeight="1">
      <c r="A3145" s="5" t="s">
        <v>2467</v>
      </c>
      <c r="B3145" s="5" t="s">
        <v>2430</v>
      </c>
      <c r="C3145" s="9" t="s">
        <v>2468</v>
      </c>
      <c r="D3145" s="5">
        <v>2</v>
      </c>
      <c r="E3145" s="9" t="s">
        <v>3184</v>
      </c>
      <c r="F3145" s="5" t="s">
        <v>447</v>
      </c>
      <c r="G3145" s="5" t="s">
        <v>3177</v>
      </c>
      <c r="H3145" s="5"/>
      <c r="I3145" s="9" t="s">
        <v>3302</v>
      </c>
      <c r="J3145" s="5"/>
      <c r="K3145" s="5">
        <v>4848</v>
      </c>
      <c r="L3145" s="9" t="s">
        <v>6389</v>
      </c>
      <c r="M3145" s="5">
        <v>7</v>
      </c>
      <c r="N3145" s="9" t="s">
        <v>6390</v>
      </c>
      <c r="O3145" s="9" t="str">
        <f t="shared" si="291"/>
        <v>PDFを開く</v>
      </c>
      <c r="P3145" s="9" t="s">
        <v>2474</v>
      </c>
    </row>
    <row r="3146" spans="1:16" ht="33.950000000000003" customHeight="1">
      <c r="A3146" s="2" t="s">
        <v>2467</v>
      </c>
      <c r="B3146" s="2" t="s">
        <v>2430</v>
      </c>
      <c r="C3146" s="8" t="s">
        <v>2468</v>
      </c>
      <c r="D3146" s="2">
        <v>2</v>
      </c>
      <c r="E3146" s="8" t="s">
        <v>3184</v>
      </c>
      <c r="F3146" s="2" t="s">
        <v>447</v>
      </c>
      <c r="G3146" s="2" t="s">
        <v>3177</v>
      </c>
      <c r="H3146" s="2"/>
      <c r="I3146" s="8" t="s">
        <v>3305</v>
      </c>
      <c r="J3146" s="2"/>
      <c r="K3146" s="2">
        <v>5938</v>
      </c>
      <c r="L3146" s="8" t="s">
        <v>6391</v>
      </c>
      <c r="M3146" s="2">
        <v>7</v>
      </c>
      <c r="N3146" s="8" t="s">
        <v>6390</v>
      </c>
      <c r="O3146" s="8" t="str">
        <f t="shared" si="291"/>
        <v>PDFを開く</v>
      </c>
      <c r="P3146" s="8" t="s">
        <v>2474</v>
      </c>
    </row>
    <row r="3147" spans="1:16" ht="33.950000000000003" customHeight="1">
      <c r="A3147" s="5" t="s">
        <v>2467</v>
      </c>
      <c r="B3147" s="5" t="s">
        <v>2430</v>
      </c>
      <c r="C3147" s="9" t="s">
        <v>2468</v>
      </c>
      <c r="D3147" s="5">
        <v>2</v>
      </c>
      <c r="E3147" s="9" t="s">
        <v>3188</v>
      </c>
      <c r="F3147" s="5" t="s">
        <v>447</v>
      </c>
      <c r="G3147" s="19" t="s">
        <v>3189</v>
      </c>
      <c r="H3147" s="5"/>
      <c r="I3147" s="9"/>
      <c r="J3147" s="5"/>
      <c r="K3147" s="5"/>
      <c r="L3147" s="9"/>
      <c r="M3147" s="5"/>
      <c r="N3147" s="9" t="s">
        <v>6392</v>
      </c>
      <c r="O3147" s="9" t="str">
        <f t="shared" si="291"/>
        <v>PDFを開く</v>
      </c>
      <c r="P3147" s="9" t="s">
        <v>2474</v>
      </c>
    </row>
    <row r="3148" spans="1:16" ht="33.950000000000003" customHeight="1">
      <c r="A3148" s="2" t="s">
        <v>2467</v>
      </c>
      <c r="B3148" s="2" t="s">
        <v>2430</v>
      </c>
      <c r="C3148" s="8" t="s">
        <v>2468</v>
      </c>
      <c r="D3148" s="2">
        <v>2</v>
      </c>
      <c r="E3148" s="8" t="s">
        <v>3191</v>
      </c>
      <c r="F3148" s="2" t="s">
        <v>2513</v>
      </c>
      <c r="G3148" s="2" t="s">
        <v>3177</v>
      </c>
      <c r="H3148" s="2"/>
      <c r="I3148" s="8" t="s">
        <v>3302</v>
      </c>
      <c r="J3148" s="2"/>
      <c r="K3148" s="2">
        <v>67</v>
      </c>
      <c r="L3148" s="8" t="s">
        <v>3786</v>
      </c>
      <c r="M3148" s="2"/>
      <c r="N3148" s="8" t="s">
        <v>6393</v>
      </c>
      <c r="O3148" s="8" t="str">
        <f t="shared" si="291"/>
        <v>PDFを開く</v>
      </c>
      <c r="P3148" s="8" t="s">
        <v>2474</v>
      </c>
    </row>
    <row r="3149" spans="1:16" ht="33.950000000000003" customHeight="1">
      <c r="A3149" s="5" t="s">
        <v>2467</v>
      </c>
      <c r="B3149" s="5" t="s">
        <v>2430</v>
      </c>
      <c r="C3149" s="9" t="s">
        <v>2468</v>
      </c>
      <c r="D3149" s="5">
        <v>2</v>
      </c>
      <c r="E3149" s="9" t="s">
        <v>3191</v>
      </c>
      <c r="F3149" s="5" t="s">
        <v>2513</v>
      </c>
      <c r="G3149" s="5" t="s">
        <v>3177</v>
      </c>
      <c r="H3149" s="5"/>
      <c r="I3149" s="9" t="s">
        <v>3305</v>
      </c>
      <c r="J3149" s="5"/>
      <c r="K3149" s="5">
        <v>103</v>
      </c>
      <c r="L3149" s="9" t="s">
        <v>5190</v>
      </c>
      <c r="M3149" s="5"/>
      <c r="N3149" s="9" t="s">
        <v>6393</v>
      </c>
      <c r="O3149" s="9" t="str">
        <f t="shared" si="291"/>
        <v>PDFを開く</v>
      </c>
      <c r="P3149" s="9" t="s">
        <v>2474</v>
      </c>
    </row>
    <row r="3150" spans="1:16" ht="33.950000000000003" customHeight="1">
      <c r="A3150" s="2" t="s">
        <v>2475</v>
      </c>
      <c r="B3150" s="2" t="s">
        <v>2430</v>
      </c>
      <c r="C3150" s="8" t="s">
        <v>2476</v>
      </c>
      <c r="D3150" s="2">
        <v>2</v>
      </c>
      <c r="E3150" s="8" t="s">
        <v>3176</v>
      </c>
      <c r="F3150" s="2" t="s">
        <v>447</v>
      </c>
      <c r="G3150" s="2" t="s">
        <v>3177</v>
      </c>
      <c r="H3150" s="2"/>
      <c r="I3150" s="8" t="s">
        <v>3302</v>
      </c>
      <c r="J3150" s="2"/>
      <c r="K3150" s="2">
        <v>9727</v>
      </c>
      <c r="L3150" s="8" t="s">
        <v>6394</v>
      </c>
      <c r="M3150" s="2">
        <v>68.599999999999994</v>
      </c>
      <c r="N3150" s="8" t="s">
        <v>6395</v>
      </c>
      <c r="O3150" s="8" t="str">
        <f t="shared" ref="O3150:O3156" si="292">HYPERLINK("https://seichotoushi-hojo.jp/assets/pdf/koufu_3_4ji/outline_120.pdf","PDFを開く")</f>
        <v>PDFを開く</v>
      </c>
      <c r="P3150" s="8" t="s">
        <v>2482</v>
      </c>
    </row>
    <row r="3151" spans="1:16" ht="33.950000000000003" customHeight="1">
      <c r="A3151" s="5" t="s">
        <v>2475</v>
      </c>
      <c r="B3151" s="5" t="s">
        <v>2430</v>
      </c>
      <c r="C3151" s="9" t="s">
        <v>2476</v>
      </c>
      <c r="D3151" s="5">
        <v>2</v>
      </c>
      <c r="E3151" s="9" t="s">
        <v>3176</v>
      </c>
      <c r="F3151" s="5" t="s">
        <v>447</v>
      </c>
      <c r="G3151" s="5" t="s">
        <v>3177</v>
      </c>
      <c r="H3151" s="5"/>
      <c r="I3151" s="9" t="s">
        <v>3305</v>
      </c>
      <c r="J3151" s="5"/>
      <c r="K3151" s="5">
        <v>46613</v>
      </c>
      <c r="L3151" s="9" t="s">
        <v>6396</v>
      </c>
      <c r="M3151" s="5">
        <v>68.599999999999994</v>
      </c>
      <c r="N3151" s="9" t="s">
        <v>6395</v>
      </c>
      <c r="O3151" s="9" t="str">
        <f t="shared" si="292"/>
        <v>PDFを開く</v>
      </c>
      <c r="P3151" s="9" t="s">
        <v>2482</v>
      </c>
    </row>
    <row r="3152" spans="1:16" ht="33.950000000000003" customHeight="1">
      <c r="A3152" s="2" t="s">
        <v>2475</v>
      </c>
      <c r="B3152" s="2" t="s">
        <v>2430</v>
      </c>
      <c r="C3152" s="8" t="s">
        <v>2476</v>
      </c>
      <c r="D3152" s="2">
        <v>2</v>
      </c>
      <c r="E3152" s="8" t="s">
        <v>3184</v>
      </c>
      <c r="F3152" s="2" t="s">
        <v>447</v>
      </c>
      <c r="G3152" s="2" t="s">
        <v>3177</v>
      </c>
      <c r="H3152" s="2"/>
      <c r="I3152" s="8" t="s">
        <v>3302</v>
      </c>
      <c r="J3152" s="2"/>
      <c r="K3152" s="2">
        <v>3818</v>
      </c>
      <c r="L3152" s="8" t="s">
        <v>6397</v>
      </c>
      <c r="M3152" s="2">
        <v>9</v>
      </c>
      <c r="N3152" s="8" t="s">
        <v>6398</v>
      </c>
      <c r="O3152" s="8" t="str">
        <f t="shared" si="292"/>
        <v>PDFを開く</v>
      </c>
      <c r="P3152" s="8" t="s">
        <v>2482</v>
      </c>
    </row>
    <row r="3153" spans="1:16" ht="33.950000000000003" customHeight="1">
      <c r="A3153" s="5" t="s">
        <v>2475</v>
      </c>
      <c r="B3153" s="5" t="s">
        <v>2430</v>
      </c>
      <c r="C3153" s="9" t="s">
        <v>2476</v>
      </c>
      <c r="D3153" s="5">
        <v>2</v>
      </c>
      <c r="E3153" s="9" t="s">
        <v>3184</v>
      </c>
      <c r="F3153" s="5" t="s">
        <v>447</v>
      </c>
      <c r="G3153" s="5" t="s">
        <v>3177</v>
      </c>
      <c r="H3153" s="5"/>
      <c r="I3153" s="9" t="s">
        <v>3305</v>
      </c>
      <c r="J3153" s="5"/>
      <c r="K3153" s="5">
        <v>4944</v>
      </c>
      <c r="L3153" s="9" t="s">
        <v>6399</v>
      </c>
      <c r="M3153" s="5">
        <v>9</v>
      </c>
      <c r="N3153" s="9" t="s">
        <v>6398</v>
      </c>
      <c r="O3153" s="9" t="str">
        <f t="shared" si="292"/>
        <v>PDFを開く</v>
      </c>
      <c r="P3153" s="9" t="s">
        <v>2482</v>
      </c>
    </row>
    <row r="3154" spans="1:16" ht="33.950000000000003" customHeight="1">
      <c r="A3154" s="2" t="s">
        <v>2475</v>
      </c>
      <c r="B3154" s="2" t="s">
        <v>2430</v>
      </c>
      <c r="C3154" s="8" t="s">
        <v>2476</v>
      </c>
      <c r="D3154" s="2">
        <v>2</v>
      </c>
      <c r="E3154" s="8" t="s">
        <v>3188</v>
      </c>
      <c r="F3154" s="2" t="s">
        <v>447</v>
      </c>
      <c r="G3154" s="19" t="s">
        <v>3189</v>
      </c>
      <c r="H3154" s="2"/>
      <c r="I3154" s="8"/>
      <c r="J3154" s="2"/>
      <c r="K3154" s="2"/>
      <c r="L3154" s="8"/>
      <c r="M3154" s="2"/>
      <c r="N3154" s="8" t="s">
        <v>6400</v>
      </c>
      <c r="O3154" s="8" t="str">
        <f t="shared" si="292"/>
        <v>PDFを開く</v>
      </c>
      <c r="P3154" s="8" t="s">
        <v>2482</v>
      </c>
    </row>
    <row r="3155" spans="1:16" ht="33.950000000000003" customHeight="1">
      <c r="A3155" s="5" t="s">
        <v>2475</v>
      </c>
      <c r="B3155" s="5" t="s">
        <v>2430</v>
      </c>
      <c r="C3155" s="9" t="s">
        <v>2476</v>
      </c>
      <c r="D3155" s="5">
        <v>2</v>
      </c>
      <c r="E3155" s="9" t="s">
        <v>3191</v>
      </c>
      <c r="F3155" s="5" t="s">
        <v>2513</v>
      </c>
      <c r="G3155" s="5" t="s">
        <v>3177</v>
      </c>
      <c r="H3155" s="5"/>
      <c r="I3155" s="9" t="s">
        <v>3302</v>
      </c>
      <c r="J3155" s="5"/>
      <c r="K3155" s="5">
        <v>11</v>
      </c>
      <c r="L3155" s="9" t="s">
        <v>6401</v>
      </c>
      <c r="M3155" s="5"/>
      <c r="N3155" s="9" t="s">
        <v>6402</v>
      </c>
      <c r="O3155" s="9" t="str">
        <f t="shared" si="292"/>
        <v>PDFを開く</v>
      </c>
      <c r="P3155" s="9" t="s">
        <v>2482</v>
      </c>
    </row>
    <row r="3156" spans="1:16" ht="33.950000000000003" customHeight="1">
      <c r="A3156" s="2" t="s">
        <v>2475</v>
      </c>
      <c r="B3156" s="2" t="s">
        <v>2430</v>
      </c>
      <c r="C3156" s="8" t="s">
        <v>2476</v>
      </c>
      <c r="D3156" s="2">
        <v>2</v>
      </c>
      <c r="E3156" s="8" t="s">
        <v>3191</v>
      </c>
      <c r="F3156" s="2" t="s">
        <v>2513</v>
      </c>
      <c r="G3156" s="2" t="s">
        <v>3177</v>
      </c>
      <c r="H3156" s="2"/>
      <c r="I3156" s="8" t="s">
        <v>3305</v>
      </c>
      <c r="J3156" s="2"/>
      <c r="K3156" s="2">
        <v>39</v>
      </c>
      <c r="L3156" s="8" t="s">
        <v>6403</v>
      </c>
      <c r="M3156" s="2"/>
      <c r="N3156" s="8" t="s">
        <v>6402</v>
      </c>
      <c r="O3156" s="8" t="str">
        <f t="shared" si="292"/>
        <v>PDFを開く</v>
      </c>
      <c r="P3156" s="8" t="s">
        <v>2482</v>
      </c>
    </row>
    <row r="3157" spans="1:16" ht="33.950000000000003" customHeight="1">
      <c r="A3157" s="5" t="s">
        <v>2483</v>
      </c>
      <c r="B3157" s="5" t="s">
        <v>2430</v>
      </c>
      <c r="C3157" s="9" t="s">
        <v>2484</v>
      </c>
      <c r="D3157" s="5">
        <v>2</v>
      </c>
      <c r="E3157" s="9" t="s">
        <v>3176</v>
      </c>
      <c r="F3157" s="5" t="s">
        <v>447</v>
      </c>
      <c r="G3157" s="5" t="s">
        <v>3177</v>
      </c>
      <c r="H3157" s="5" t="s">
        <v>3178</v>
      </c>
      <c r="I3157" s="9" t="s">
        <v>3302</v>
      </c>
      <c r="J3157" s="5"/>
      <c r="K3157" s="5">
        <v>6886</v>
      </c>
      <c r="L3157" s="9" t="s">
        <v>6404</v>
      </c>
      <c r="M3157" s="5">
        <v>27.4</v>
      </c>
      <c r="N3157" s="9" t="s">
        <v>6405</v>
      </c>
      <c r="O3157" s="9" t="str">
        <f t="shared" ref="O3157:O3165" si="293">HYPERLINK("https://seichotoushi-hojo.jp/assets/pdf/koufu_3_4ji/outline_121.pdf","PDFを開く")</f>
        <v>PDFを開く</v>
      </c>
      <c r="P3157" s="9" t="s">
        <v>2490</v>
      </c>
    </row>
    <row r="3158" spans="1:16" ht="33.950000000000003" customHeight="1">
      <c r="A3158" s="2" t="s">
        <v>2483</v>
      </c>
      <c r="B3158" s="2" t="s">
        <v>2430</v>
      </c>
      <c r="C3158" s="8" t="s">
        <v>2484</v>
      </c>
      <c r="D3158" s="2">
        <v>2</v>
      </c>
      <c r="E3158" s="8" t="s">
        <v>3176</v>
      </c>
      <c r="F3158" s="2" t="s">
        <v>447</v>
      </c>
      <c r="G3158" s="2" t="s">
        <v>3177</v>
      </c>
      <c r="H3158" s="2" t="s">
        <v>3178</v>
      </c>
      <c r="I3158" s="8" t="s">
        <v>3305</v>
      </c>
      <c r="J3158" s="2"/>
      <c r="K3158" s="2">
        <v>14227</v>
      </c>
      <c r="L3158" s="8" t="s">
        <v>6406</v>
      </c>
      <c r="M3158" s="2">
        <v>27.4</v>
      </c>
      <c r="N3158" s="8" t="s">
        <v>6405</v>
      </c>
      <c r="O3158" s="8" t="str">
        <f t="shared" si="293"/>
        <v>PDFを開く</v>
      </c>
      <c r="P3158" s="8" t="s">
        <v>2490</v>
      </c>
    </row>
    <row r="3159" spans="1:16" ht="33.950000000000003" customHeight="1">
      <c r="A3159" s="5" t="s">
        <v>2483</v>
      </c>
      <c r="B3159" s="5" t="s">
        <v>2430</v>
      </c>
      <c r="C3159" s="9" t="s">
        <v>2484</v>
      </c>
      <c r="D3159" s="5">
        <v>2</v>
      </c>
      <c r="E3159" s="9" t="s">
        <v>3184</v>
      </c>
      <c r="F3159" s="5" t="s">
        <v>447</v>
      </c>
      <c r="G3159" s="5" t="s">
        <v>3177</v>
      </c>
      <c r="H3159" s="5"/>
      <c r="I3159" s="9" t="s">
        <v>3302</v>
      </c>
      <c r="J3159" s="5"/>
      <c r="K3159" s="5">
        <v>3670</v>
      </c>
      <c r="L3159" s="9" t="s">
        <v>6407</v>
      </c>
      <c r="M3159" s="5">
        <v>6.5</v>
      </c>
      <c r="N3159" s="9" t="s">
        <v>6408</v>
      </c>
      <c r="O3159" s="9" t="str">
        <f t="shared" si="293"/>
        <v>PDFを開く</v>
      </c>
      <c r="P3159" s="9" t="s">
        <v>2490</v>
      </c>
    </row>
    <row r="3160" spans="1:16" ht="33.950000000000003" customHeight="1">
      <c r="A3160" s="2" t="s">
        <v>2483</v>
      </c>
      <c r="B3160" s="2" t="s">
        <v>2430</v>
      </c>
      <c r="C3160" s="8" t="s">
        <v>2484</v>
      </c>
      <c r="D3160" s="2">
        <v>2</v>
      </c>
      <c r="E3160" s="8" t="s">
        <v>3184</v>
      </c>
      <c r="F3160" s="2" t="s">
        <v>447</v>
      </c>
      <c r="G3160" s="2" t="s">
        <v>3177</v>
      </c>
      <c r="H3160" s="2"/>
      <c r="I3160" s="8" t="s">
        <v>3305</v>
      </c>
      <c r="J3160" s="2"/>
      <c r="K3160" s="2">
        <v>4433</v>
      </c>
      <c r="L3160" s="8" t="s">
        <v>6409</v>
      </c>
      <c r="M3160" s="2">
        <v>6.5</v>
      </c>
      <c r="N3160" s="8" t="s">
        <v>6408</v>
      </c>
      <c r="O3160" s="8" t="str">
        <f t="shared" si="293"/>
        <v>PDFを開く</v>
      </c>
      <c r="P3160" s="8" t="s">
        <v>2490</v>
      </c>
    </row>
    <row r="3161" spans="1:16" ht="33.950000000000003" customHeight="1">
      <c r="A3161" s="5" t="s">
        <v>2483</v>
      </c>
      <c r="B3161" s="5" t="s">
        <v>2430</v>
      </c>
      <c r="C3161" s="9" t="s">
        <v>2484</v>
      </c>
      <c r="D3161" s="5">
        <v>2</v>
      </c>
      <c r="E3161" s="9" t="s">
        <v>3188</v>
      </c>
      <c r="F3161" s="5" t="s">
        <v>447</v>
      </c>
      <c r="G3161" s="19" t="s">
        <v>3189</v>
      </c>
      <c r="H3161" s="5"/>
      <c r="I3161" s="9"/>
      <c r="J3161" s="5"/>
      <c r="K3161" s="5"/>
      <c r="L3161" s="9"/>
      <c r="M3161" s="5">
        <v>6.5</v>
      </c>
      <c r="N3161" s="9" t="s">
        <v>6410</v>
      </c>
      <c r="O3161" s="9" t="str">
        <f t="shared" si="293"/>
        <v>PDFを開く</v>
      </c>
      <c r="P3161" s="9" t="s">
        <v>2490</v>
      </c>
    </row>
    <row r="3162" spans="1:16" ht="33.950000000000003" customHeight="1">
      <c r="A3162" s="2" t="s">
        <v>2483</v>
      </c>
      <c r="B3162" s="2" t="s">
        <v>2430</v>
      </c>
      <c r="C3162" s="8" t="s">
        <v>2484</v>
      </c>
      <c r="D3162" s="2">
        <v>2</v>
      </c>
      <c r="E3162" s="8" t="s">
        <v>3191</v>
      </c>
      <c r="F3162" s="2" t="s">
        <v>2513</v>
      </c>
      <c r="G3162" s="2" t="s">
        <v>3177</v>
      </c>
      <c r="H3162" s="2"/>
      <c r="I3162" s="8" t="s">
        <v>3302</v>
      </c>
      <c r="J3162" s="2"/>
      <c r="K3162" s="2">
        <v>105</v>
      </c>
      <c r="L3162" s="8" t="s">
        <v>3861</v>
      </c>
      <c r="M3162" s="2"/>
      <c r="N3162" s="8" t="s">
        <v>6411</v>
      </c>
      <c r="O3162" s="8" t="str">
        <f t="shared" si="293"/>
        <v>PDFを開く</v>
      </c>
      <c r="P3162" s="8" t="s">
        <v>2490</v>
      </c>
    </row>
    <row r="3163" spans="1:16" ht="33.950000000000003" customHeight="1">
      <c r="A3163" s="5" t="s">
        <v>2483</v>
      </c>
      <c r="B3163" s="5" t="s">
        <v>2430</v>
      </c>
      <c r="C3163" s="9" t="s">
        <v>2484</v>
      </c>
      <c r="D3163" s="5">
        <v>2</v>
      </c>
      <c r="E3163" s="9" t="s">
        <v>3191</v>
      </c>
      <c r="F3163" s="5" t="s">
        <v>2513</v>
      </c>
      <c r="G3163" s="5" t="s">
        <v>3177</v>
      </c>
      <c r="H3163" s="5"/>
      <c r="I3163" s="9" t="s">
        <v>3305</v>
      </c>
      <c r="J3163" s="5"/>
      <c r="K3163" s="5">
        <v>120</v>
      </c>
      <c r="L3163" s="9" t="s">
        <v>4080</v>
      </c>
      <c r="M3163" s="5"/>
      <c r="N3163" s="9" t="s">
        <v>6411</v>
      </c>
      <c r="O3163" s="9" t="str">
        <f t="shared" si="293"/>
        <v>PDFを開く</v>
      </c>
      <c r="P3163" s="9" t="s">
        <v>2490</v>
      </c>
    </row>
    <row r="3164" spans="1:16" ht="33.950000000000003" customHeight="1">
      <c r="A3164" s="2" t="s">
        <v>2483</v>
      </c>
      <c r="B3164" s="2" t="s">
        <v>2430</v>
      </c>
      <c r="C3164" s="8" t="s">
        <v>2484</v>
      </c>
      <c r="D3164" s="2">
        <v>2</v>
      </c>
      <c r="E3164" s="8" t="s">
        <v>3188</v>
      </c>
      <c r="F3164" s="2" t="s">
        <v>447</v>
      </c>
      <c r="G3164" s="2" t="s">
        <v>3177</v>
      </c>
      <c r="H3164" s="2"/>
      <c r="I3164" s="8" t="s">
        <v>6412</v>
      </c>
      <c r="J3164" s="2"/>
      <c r="K3164" s="2"/>
      <c r="L3164" s="8" t="s">
        <v>3211</v>
      </c>
      <c r="M3164" s="2">
        <v>6.5</v>
      </c>
      <c r="N3164" s="8" t="s">
        <v>6413</v>
      </c>
      <c r="O3164" s="8" t="str">
        <f t="shared" si="293"/>
        <v>PDFを開く</v>
      </c>
      <c r="P3164" s="8" t="s">
        <v>2490</v>
      </c>
    </row>
    <row r="3165" spans="1:16" ht="33.950000000000003" customHeight="1">
      <c r="A3165" s="5" t="s">
        <v>2483</v>
      </c>
      <c r="B3165" s="5" t="s">
        <v>2430</v>
      </c>
      <c r="C3165" s="9" t="s">
        <v>2484</v>
      </c>
      <c r="D3165" s="5">
        <v>2</v>
      </c>
      <c r="E3165" s="9" t="s">
        <v>3188</v>
      </c>
      <c r="F3165" s="5" t="s">
        <v>447</v>
      </c>
      <c r="G3165" s="5" t="s">
        <v>3177</v>
      </c>
      <c r="H3165" s="5"/>
      <c r="I3165" s="9" t="s">
        <v>6414</v>
      </c>
      <c r="J3165" s="5"/>
      <c r="K3165" s="5"/>
      <c r="L3165" s="9" t="s">
        <v>6415</v>
      </c>
      <c r="M3165" s="5">
        <v>6.5</v>
      </c>
      <c r="N3165" s="9" t="s">
        <v>6413</v>
      </c>
      <c r="O3165" s="9" t="str">
        <f t="shared" si="293"/>
        <v>PDFを開く</v>
      </c>
      <c r="P3165" s="9" t="s">
        <v>2490</v>
      </c>
    </row>
    <row r="3166" spans="1:16" ht="33.950000000000003" customHeight="1">
      <c r="A3166" s="2" t="s">
        <v>2491</v>
      </c>
      <c r="B3166" s="2" t="s">
        <v>2430</v>
      </c>
      <c r="C3166" s="8" t="s">
        <v>2492</v>
      </c>
      <c r="D3166" s="2">
        <v>2</v>
      </c>
      <c r="E3166" s="8" t="s">
        <v>3176</v>
      </c>
      <c r="F3166" s="2" t="s">
        <v>447</v>
      </c>
      <c r="G3166" s="2" t="s">
        <v>3177</v>
      </c>
      <c r="H3166" s="2" t="s">
        <v>3178</v>
      </c>
      <c r="I3166" s="8" t="s">
        <v>3546</v>
      </c>
      <c r="J3166" s="2">
        <v>2027</v>
      </c>
      <c r="K3166" s="2">
        <v>7397</v>
      </c>
      <c r="L3166" s="8" t="s">
        <v>6416</v>
      </c>
      <c r="M3166" s="2">
        <v>26.3</v>
      </c>
      <c r="N3166" s="8" t="s">
        <v>6417</v>
      </c>
      <c r="O3166" s="8" t="str">
        <f t="shared" ref="O3166:O3174" si="294">HYPERLINK("https://seichotoushi-hojo.jp/assets/pdf/koufu_3_4ji/outline_122.pdf","PDFを開く")</f>
        <v>PDFを開く</v>
      </c>
      <c r="P3166" s="8" t="s">
        <v>2498</v>
      </c>
    </row>
    <row r="3167" spans="1:16" ht="33.950000000000003" customHeight="1">
      <c r="A3167" s="5" t="s">
        <v>2491</v>
      </c>
      <c r="B3167" s="5" t="s">
        <v>2430</v>
      </c>
      <c r="C3167" s="9" t="s">
        <v>2492</v>
      </c>
      <c r="D3167" s="5">
        <v>2</v>
      </c>
      <c r="E3167" s="9" t="s">
        <v>3176</v>
      </c>
      <c r="F3167" s="5" t="s">
        <v>447</v>
      </c>
      <c r="G3167" s="5" t="s">
        <v>3177</v>
      </c>
      <c r="H3167" s="5" t="s">
        <v>3178</v>
      </c>
      <c r="I3167" s="9" t="s">
        <v>6418</v>
      </c>
      <c r="J3167" s="5">
        <v>2030</v>
      </c>
      <c r="K3167" s="5">
        <v>14899</v>
      </c>
      <c r="L3167" s="9" t="s">
        <v>6419</v>
      </c>
      <c r="M3167" s="5">
        <v>26.3</v>
      </c>
      <c r="N3167" s="9" t="s">
        <v>6417</v>
      </c>
      <c r="O3167" s="9" t="str">
        <f t="shared" si="294"/>
        <v>PDFを開く</v>
      </c>
      <c r="P3167" s="9" t="s">
        <v>2498</v>
      </c>
    </row>
    <row r="3168" spans="1:16" ht="33.950000000000003" customHeight="1">
      <c r="A3168" s="2" t="s">
        <v>2491</v>
      </c>
      <c r="B3168" s="2" t="s">
        <v>2430</v>
      </c>
      <c r="C3168" s="8" t="s">
        <v>2492</v>
      </c>
      <c r="D3168" s="2">
        <v>2</v>
      </c>
      <c r="E3168" s="8" t="s">
        <v>3184</v>
      </c>
      <c r="F3168" s="2" t="s">
        <v>447</v>
      </c>
      <c r="G3168" s="2" t="s">
        <v>3177</v>
      </c>
      <c r="H3168" s="2" t="s">
        <v>3178</v>
      </c>
      <c r="I3168" s="8" t="s">
        <v>3546</v>
      </c>
      <c r="J3168" s="2">
        <v>2027</v>
      </c>
      <c r="K3168" s="2">
        <v>4704</v>
      </c>
      <c r="L3168" s="8" t="s">
        <v>6420</v>
      </c>
      <c r="M3168" s="2">
        <v>6.6</v>
      </c>
      <c r="N3168" s="8" t="s">
        <v>6421</v>
      </c>
      <c r="O3168" s="8" t="str">
        <f t="shared" si="294"/>
        <v>PDFを開く</v>
      </c>
      <c r="P3168" s="8" t="s">
        <v>2498</v>
      </c>
    </row>
    <row r="3169" spans="1:16" ht="33.950000000000003" customHeight="1">
      <c r="A3169" s="5" t="s">
        <v>2491</v>
      </c>
      <c r="B3169" s="5" t="s">
        <v>2430</v>
      </c>
      <c r="C3169" s="9" t="s">
        <v>2492</v>
      </c>
      <c r="D3169" s="5">
        <v>2</v>
      </c>
      <c r="E3169" s="9" t="s">
        <v>3184</v>
      </c>
      <c r="F3169" s="5" t="s">
        <v>447</v>
      </c>
      <c r="G3169" s="5" t="s">
        <v>3177</v>
      </c>
      <c r="H3169" s="5" t="s">
        <v>3178</v>
      </c>
      <c r="I3169" s="9" t="s">
        <v>6418</v>
      </c>
      <c r="J3169" s="5">
        <v>2030</v>
      </c>
      <c r="K3169" s="5">
        <v>5699</v>
      </c>
      <c r="L3169" s="9" t="s">
        <v>6185</v>
      </c>
      <c r="M3169" s="5">
        <v>6.6</v>
      </c>
      <c r="N3169" s="9" t="s">
        <v>6421</v>
      </c>
      <c r="O3169" s="9" t="str">
        <f t="shared" si="294"/>
        <v>PDFを開く</v>
      </c>
      <c r="P3169" s="9" t="s">
        <v>2498</v>
      </c>
    </row>
    <row r="3170" spans="1:16" ht="33.950000000000003" customHeight="1">
      <c r="A3170" s="2" t="s">
        <v>2491</v>
      </c>
      <c r="B3170" s="2" t="s">
        <v>2430</v>
      </c>
      <c r="C3170" s="8" t="s">
        <v>2492</v>
      </c>
      <c r="D3170" s="2">
        <v>2</v>
      </c>
      <c r="E3170" s="8" t="s">
        <v>3188</v>
      </c>
      <c r="F3170" s="2" t="s">
        <v>447</v>
      </c>
      <c r="G3170" s="19" t="s">
        <v>3189</v>
      </c>
      <c r="H3170" s="2" t="s">
        <v>3178</v>
      </c>
      <c r="I3170" s="8"/>
      <c r="J3170" s="2"/>
      <c r="K3170" s="2"/>
      <c r="L3170" s="8"/>
      <c r="M3170" s="2">
        <v>6.6</v>
      </c>
      <c r="N3170" s="8" t="s">
        <v>6422</v>
      </c>
      <c r="O3170" s="8" t="str">
        <f t="shared" si="294"/>
        <v>PDFを開く</v>
      </c>
      <c r="P3170" s="8" t="s">
        <v>2498</v>
      </c>
    </row>
    <row r="3171" spans="1:16" ht="33.950000000000003" customHeight="1">
      <c r="A3171" s="5" t="s">
        <v>2491</v>
      </c>
      <c r="B3171" s="5" t="s">
        <v>2430</v>
      </c>
      <c r="C3171" s="9" t="s">
        <v>2492</v>
      </c>
      <c r="D3171" s="5">
        <v>2</v>
      </c>
      <c r="E3171" s="9" t="s">
        <v>3191</v>
      </c>
      <c r="F3171" s="5" t="s">
        <v>2513</v>
      </c>
      <c r="G3171" s="5" t="s">
        <v>3177</v>
      </c>
      <c r="H3171" s="5" t="s">
        <v>3178</v>
      </c>
      <c r="I3171" s="9" t="s">
        <v>3546</v>
      </c>
      <c r="J3171" s="5">
        <v>2027</v>
      </c>
      <c r="K3171" s="5">
        <v>106</v>
      </c>
      <c r="L3171" s="9" t="s">
        <v>5054</v>
      </c>
      <c r="M3171" s="5"/>
      <c r="N3171" s="9" t="s">
        <v>6423</v>
      </c>
      <c r="O3171" s="9" t="str">
        <f t="shared" si="294"/>
        <v>PDFを開く</v>
      </c>
      <c r="P3171" s="9" t="s">
        <v>2498</v>
      </c>
    </row>
    <row r="3172" spans="1:16" ht="33.950000000000003" customHeight="1">
      <c r="A3172" s="2" t="s">
        <v>2491</v>
      </c>
      <c r="B3172" s="2" t="s">
        <v>2430</v>
      </c>
      <c r="C3172" s="8" t="s">
        <v>2492</v>
      </c>
      <c r="D3172" s="2">
        <v>2</v>
      </c>
      <c r="E3172" s="8" t="s">
        <v>3191</v>
      </c>
      <c r="F3172" s="2" t="s">
        <v>2513</v>
      </c>
      <c r="G3172" s="2" t="s">
        <v>3177</v>
      </c>
      <c r="H3172" s="2" t="s">
        <v>3178</v>
      </c>
      <c r="I3172" s="8" t="s">
        <v>6418</v>
      </c>
      <c r="J3172" s="2">
        <v>2030</v>
      </c>
      <c r="K3172" s="2">
        <v>112</v>
      </c>
      <c r="L3172" s="8" t="s">
        <v>3598</v>
      </c>
      <c r="M3172" s="2"/>
      <c r="N3172" s="8" t="s">
        <v>6423</v>
      </c>
      <c r="O3172" s="8" t="str">
        <f t="shared" si="294"/>
        <v>PDFを開く</v>
      </c>
      <c r="P3172" s="8" t="s">
        <v>2498</v>
      </c>
    </row>
    <row r="3173" spans="1:16" ht="33.950000000000003" customHeight="1">
      <c r="A3173" s="5" t="s">
        <v>2491</v>
      </c>
      <c r="B3173" s="5" t="s">
        <v>2430</v>
      </c>
      <c r="C3173" s="9" t="s">
        <v>2492</v>
      </c>
      <c r="D3173" s="5">
        <v>2</v>
      </c>
      <c r="E3173" s="9" t="s">
        <v>3188</v>
      </c>
      <c r="F3173" s="5" t="s">
        <v>447</v>
      </c>
      <c r="G3173" s="5" t="s">
        <v>3177</v>
      </c>
      <c r="H3173" s="5"/>
      <c r="I3173" s="9" t="s">
        <v>6424</v>
      </c>
      <c r="J3173" s="5">
        <v>2027</v>
      </c>
      <c r="K3173" s="5"/>
      <c r="L3173" s="9" t="s">
        <v>3211</v>
      </c>
      <c r="M3173" s="5">
        <v>6.6</v>
      </c>
      <c r="N3173" s="9" t="s">
        <v>6425</v>
      </c>
      <c r="O3173" s="9" t="str">
        <f t="shared" si="294"/>
        <v>PDFを開く</v>
      </c>
      <c r="P3173" s="9" t="s">
        <v>2498</v>
      </c>
    </row>
    <row r="3174" spans="1:16" ht="33.950000000000003" customHeight="1">
      <c r="A3174" s="2" t="s">
        <v>2491</v>
      </c>
      <c r="B3174" s="2" t="s">
        <v>2430</v>
      </c>
      <c r="C3174" s="8" t="s">
        <v>2492</v>
      </c>
      <c r="D3174" s="2">
        <v>2</v>
      </c>
      <c r="E3174" s="8" t="s">
        <v>3188</v>
      </c>
      <c r="F3174" s="2" t="s">
        <v>447</v>
      </c>
      <c r="G3174" s="2" t="s">
        <v>3177</v>
      </c>
      <c r="H3174" s="2"/>
      <c r="I3174" s="8" t="s">
        <v>6426</v>
      </c>
      <c r="J3174" s="2">
        <v>2030</v>
      </c>
      <c r="K3174" s="2"/>
      <c r="L3174" s="8" t="s">
        <v>6427</v>
      </c>
      <c r="M3174" s="2">
        <v>6.6</v>
      </c>
      <c r="N3174" s="8" t="s">
        <v>6425</v>
      </c>
      <c r="O3174" s="8" t="str">
        <f t="shared" si="294"/>
        <v>PDFを開く</v>
      </c>
      <c r="P3174" s="8" t="s">
        <v>2498</v>
      </c>
    </row>
    <row r="3175" spans="1:16" ht="33.950000000000003" customHeight="1">
      <c r="A3175" s="5" t="s">
        <v>2499</v>
      </c>
      <c r="B3175" s="5" t="s">
        <v>2430</v>
      </c>
      <c r="C3175" s="9" t="s">
        <v>2500</v>
      </c>
      <c r="D3175" s="5">
        <v>2</v>
      </c>
      <c r="E3175" s="9" t="s">
        <v>3176</v>
      </c>
      <c r="F3175" s="5" t="s">
        <v>447</v>
      </c>
      <c r="G3175" s="5" t="s">
        <v>3177</v>
      </c>
      <c r="H3175" s="5" t="s">
        <v>3178</v>
      </c>
      <c r="I3175" s="9" t="s">
        <v>6428</v>
      </c>
      <c r="J3175" s="5">
        <v>2028</v>
      </c>
      <c r="K3175" s="5">
        <v>11873</v>
      </c>
      <c r="L3175" s="9" t="s">
        <v>6429</v>
      </c>
      <c r="M3175" s="5">
        <v>24.7</v>
      </c>
      <c r="N3175" s="9" t="s">
        <v>6430</v>
      </c>
      <c r="O3175" s="9" t="str">
        <f t="shared" ref="O3175:O3183" si="295">HYPERLINK("https://seichotoushi-hojo.jp/assets/pdf/koufu_3_4ji/outline_125.pdf","PDFを開く")</f>
        <v>PDFを開く</v>
      </c>
      <c r="P3175" s="9" t="s">
        <v>2506</v>
      </c>
    </row>
    <row r="3176" spans="1:16" ht="33.950000000000003" customHeight="1">
      <c r="A3176" s="2" t="s">
        <v>2499</v>
      </c>
      <c r="B3176" s="2" t="s">
        <v>2430</v>
      </c>
      <c r="C3176" s="8" t="s">
        <v>2500</v>
      </c>
      <c r="D3176" s="2">
        <v>2</v>
      </c>
      <c r="E3176" s="8" t="s">
        <v>3176</v>
      </c>
      <c r="F3176" s="2" t="s">
        <v>447</v>
      </c>
      <c r="G3176" s="2" t="s">
        <v>3177</v>
      </c>
      <c r="H3176" s="2" t="s">
        <v>3178</v>
      </c>
      <c r="I3176" s="8" t="s">
        <v>6431</v>
      </c>
      <c r="J3176" s="2">
        <v>2031</v>
      </c>
      <c r="K3176" s="2">
        <v>23050</v>
      </c>
      <c r="L3176" s="8" t="s">
        <v>6432</v>
      </c>
      <c r="M3176" s="2">
        <v>24.7</v>
      </c>
      <c r="N3176" s="8" t="s">
        <v>6430</v>
      </c>
      <c r="O3176" s="8" t="str">
        <f t="shared" si="295"/>
        <v>PDFを開く</v>
      </c>
      <c r="P3176" s="8" t="s">
        <v>2506</v>
      </c>
    </row>
    <row r="3177" spans="1:16" ht="33.950000000000003" customHeight="1">
      <c r="A3177" s="5" t="s">
        <v>2499</v>
      </c>
      <c r="B3177" s="5" t="s">
        <v>2430</v>
      </c>
      <c r="C3177" s="9" t="s">
        <v>2500</v>
      </c>
      <c r="D3177" s="5">
        <v>2</v>
      </c>
      <c r="E3177" s="9" t="s">
        <v>3184</v>
      </c>
      <c r="F3177" s="5" t="s">
        <v>447</v>
      </c>
      <c r="G3177" s="5" t="s">
        <v>3177</v>
      </c>
      <c r="H3177" s="5" t="s">
        <v>3178</v>
      </c>
      <c r="I3177" s="9" t="s">
        <v>6428</v>
      </c>
      <c r="J3177" s="5">
        <v>2028</v>
      </c>
      <c r="K3177" s="5">
        <v>7292</v>
      </c>
      <c r="L3177" s="9" t="s">
        <v>6433</v>
      </c>
      <c r="M3177" s="5">
        <v>6.2</v>
      </c>
      <c r="N3177" s="9" t="s">
        <v>6434</v>
      </c>
      <c r="O3177" s="9" t="str">
        <f t="shared" si="295"/>
        <v>PDFを開く</v>
      </c>
      <c r="P3177" s="9" t="s">
        <v>2506</v>
      </c>
    </row>
    <row r="3178" spans="1:16" ht="33.950000000000003" customHeight="1">
      <c r="A3178" s="2" t="s">
        <v>2499</v>
      </c>
      <c r="B3178" s="2" t="s">
        <v>2430</v>
      </c>
      <c r="C3178" s="8" t="s">
        <v>2500</v>
      </c>
      <c r="D3178" s="2">
        <v>2</v>
      </c>
      <c r="E3178" s="8" t="s">
        <v>3184</v>
      </c>
      <c r="F3178" s="2" t="s">
        <v>447</v>
      </c>
      <c r="G3178" s="2" t="s">
        <v>3177</v>
      </c>
      <c r="H3178" s="2" t="s">
        <v>3178</v>
      </c>
      <c r="I3178" s="8" t="s">
        <v>6431</v>
      </c>
      <c r="J3178" s="2">
        <v>2031</v>
      </c>
      <c r="K3178" s="2">
        <v>8735</v>
      </c>
      <c r="L3178" s="8" t="s">
        <v>6435</v>
      </c>
      <c r="M3178" s="2">
        <v>6.2</v>
      </c>
      <c r="N3178" s="8" t="s">
        <v>6434</v>
      </c>
      <c r="O3178" s="8" t="str">
        <f t="shared" si="295"/>
        <v>PDFを開く</v>
      </c>
      <c r="P3178" s="8" t="s">
        <v>2506</v>
      </c>
    </row>
    <row r="3179" spans="1:16" ht="33.950000000000003" customHeight="1">
      <c r="A3179" s="5" t="s">
        <v>2499</v>
      </c>
      <c r="B3179" s="5" t="s">
        <v>2430</v>
      </c>
      <c r="C3179" s="9" t="s">
        <v>2500</v>
      </c>
      <c r="D3179" s="5">
        <v>2</v>
      </c>
      <c r="E3179" s="9" t="s">
        <v>3188</v>
      </c>
      <c r="F3179" s="5" t="s">
        <v>447</v>
      </c>
      <c r="G3179" s="19" t="s">
        <v>3189</v>
      </c>
      <c r="H3179" s="5" t="s">
        <v>3178</v>
      </c>
      <c r="I3179" s="9"/>
      <c r="J3179" s="5"/>
      <c r="K3179" s="5"/>
      <c r="L3179" s="9"/>
      <c r="M3179" s="5">
        <v>6.2</v>
      </c>
      <c r="N3179" s="9" t="s">
        <v>6436</v>
      </c>
      <c r="O3179" s="9" t="str">
        <f t="shared" si="295"/>
        <v>PDFを開く</v>
      </c>
      <c r="P3179" s="9" t="s">
        <v>2506</v>
      </c>
    </row>
    <row r="3180" spans="1:16" ht="33.950000000000003" customHeight="1">
      <c r="A3180" s="2" t="s">
        <v>2499</v>
      </c>
      <c r="B3180" s="2" t="s">
        <v>2430</v>
      </c>
      <c r="C3180" s="8" t="s">
        <v>2500</v>
      </c>
      <c r="D3180" s="2">
        <v>2</v>
      </c>
      <c r="E3180" s="8" t="s">
        <v>3191</v>
      </c>
      <c r="F3180" s="2" t="s">
        <v>2513</v>
      </c>
      <c r="G3180" s="2" t="s">
        <v>3177</v>
      </c>
      <c r="H3180" s="2" t="s">
        <v>3178</v>
      </c>
      <c r="I3180" s="8" t="s">
        <v>6428</v>
      </c>
      <c r="J3180" s="2">
        <v>2028</v>
      </c>
      <c r="K3180" s="2">
        <v>250</v>
      </c>
      <c r="L3180" s="8" t="s">
        <v>3562</v>
      </c>
      <c r="M3180" s="2"/>
      <c r="N3180" s="8" t="s">
        <v>6437</v>
      </c>
      <c r="O3180" s="8" t="str">
        <f t="shared" si="295"/>
        <v>PDFを開く</v>
      </c>
      <c r="P3180" s="8" t="s">
        <v>2506</v>
      </c>
    </row>
    <row r="3181" spans="1:16" ht="33.950000000000003" customHeight="1">
      <c r="A3181" s="5" t="s">
        <v>2499</v>
      </c>
      <c r="B3181" s="5" t="s">
        <v>2430</v>
      </c>
      <c r="C3181" s="9" t="s">
        <v>2500</v>
      </c>
      <c r="D3181" s="5">
        <v>2</v>
      </c>
      <c r="E3181" s="9" t="s">
        <v>3191</v>
      </c>
      <c r="F3181" s="5" t="s">
        <v>2513</v>
      </c>
      <c r="G3181" s="5" t="s">
        <v>3177</v>
      </c>
      <c r="H3181" s="5" t="s">
        <v>3178</v>
      </c>
      <c r="I3181" s="9" t="s">
        <v>6431</v>
      </c>
      <c r="J3181" s="5">
        <v>2031</v>
      </c>
      <c r="K3181" s="5">
        <v>272</v>
      </c>
      <c r="L3181" s="9" t="s">
        <v>3438</v>
      </c>
      <c r="M3181" s="5"/>
      <c r="N3181" s="9" t="s">
        <v>6437</v>
      </c>
      <c r="O3181" s="9" t="str">
        <f t="shared" si="295"/>
        <v>PDFを開く</v>
      </c>
      <c r="P3181" s="9" t="s">
        <v>2506</v>
      </c>
    </row>
    <row r="3182" spans="1:16" ht="33.950000000000003" customHeight="1">
      <c r="A3182" s="2" t="s">
        <v>2499</v>
      </c>
      <c r="B3182" s="2" t="s">
        <v>2430</v>
      </c>
      <c r="C3182" s="8" t="s">
        <v>2500</v>
      </c>
      <c r="D3182" s="2">
        <v>2</v>
      </c>
      <c r="E3182" s="8" t="s">
        <v>3188</v>
      </c>
      <c r="F3182" s="2" t="s">
        <v>447</v>
      </c>
      <c r="G3182" s="2" t="s">
        <v>3177</v>
      </c>
      <c r="H3182" s="2"/>
      <c r="I3182" s="8" t="s">
        <v>6438</v>
      </c>
      <c r="J3182" s="2">
        <v>2028</v>
      </c>
      <c r="K3182" s="2"/>
      <c r="L3182" s="8" t="s">
        <v>3211</v>
      </c>
      <c r="M3182" s="2">
        <v>6.2</v>
      </c>
      <c r="N3182" s="8" t="s">
        <v>6439</v>
      </c>
      <c r="O3182" s="8" t="str">
        <f t="shared" si="295"/>
        <v>PDFを開く</v>
      </c>
      <c r="P3182" s="8" t="s">
        <v>2506</v>
      </c>
    </row>
    <row r="3183" spans="1:16" ht="33.950000000000003" customHeight="1">
      <c r="A3183" s="5" t="s">
        <v>2499</v>
      </c>
      <c r="B3183" s="5" t="s">
        <v>2430</v>
      </c>
      <c r="C3183" s="9" t="s">
        <v>2500</v>
      </c>
      <c r="D3183" s="5">
        <v>2</v>
      </c>
      <c r="E3183" s="9" t="s">
        <v>3188</v>
      </c>
      <c r="F3183" s="5" t="s">
        <v>447</v>
      </c>
      <c r="G3183" s="5" t="s">
        <v>3177</v>
      </c>
      <c r="H3183" s="5"/>
      <c r="I3183" s="9" t="s">
        <v>6440</v>
      </c>
      <c r="J3183" s="5">
        <v>2031</v>
      </c>
      <c r="K3183" s="5"/>
      <c r="L3183" s="9" t="s">
        <v>5416</v>
      </c>
      <c r="M3183" s="5">
        <v>6.2</v>
      </c>
      <c r="N3183" s="9" t="s">
        <v>6439</v>
      </c>
      <c r="O3183" s="9" t="str">
        <f t="shared" si="295"/>
        <v>PDFを開く</v>
      </c>
      <c r="P3183" s="9" t="s">
        <v>2506</v>
      </c>
    </row>
    <row r="3184" spans="1:16" ht="33.950000000000003" customHeight="1">
      <c r="A3184" s="2" t="s">
        <v>2507</v>
      </c>
      <c r="B3184" s="2" t="s">
        <v>2430</v>
      </c>
      <c r="C3184" s="8" t="s">
        <v>2508</v>
      </c>
      <c r="D3184" s="2">
        <v>2</v>
      </c>
      <c r="E3184" s="8" t="s">
        <v>3176</v>
      </c>
      <c r="F3184" s="2" t="s">
        <v>2512</v>
      </c>
      <c r="G3184" s="2" t="s">
        <v>3177</v>
      </c>
      <c r="H3184" s="2" t="s">
        <v>3178</v>
      </c>
      <c r="I3184" s="8" t="s">
        <v>3179</v>
      </c>
      <c r="J3184" s="2">
        <v>2026</v>
      </c>
      <c r="K3184" s="2">
        <v>6025906</v>
      </c>
      <c r="L3184" s="8" t="s">
        <v>6441</v>
      </c>
      <c r="M3184" s="2">
        <v>36.5</v>
      </c>
      <c r="N3184" s="8" t="s">
        <v>6442</v>
      </c>
      <c r="O3184" s="8" t="str">
        <f t="shared" ref="O3184:O3192" si="296">HYPERLINK("https://seichotoushi-hojo.jp/assets/pdf/koufu_3_4ji/outline_127.pdf","PDFを開く")</f>
        <v>PDFを開く</v>
      </c>
      <c r="P3184" s="8" t="s">
        <v>2515</v>
      </c>
    </row>
    <row r="3185" spans="1:16" ht="33.950000000000003" customHeight="1">
      <c r="A3185" s="5" t="s">
        <v>2507</v>
      </c>
      <c r="B3185" s="5" t="s">
        <v>2430</v>
      </c>
      <c r="C3185" s="9" t="s">
        <v>2508</v>
      </c>
      <c r="D3185" s="5">
        <v>2</v>
      </c>
      <c r="E3185" s="9" t="s">
        <v>3176</v>
      </c>
      <c r="F3185" s="5" t="s">
        <v>2512</v>
      </c>
      <c r="G3185" s="5" t="s">
        <v>3177</v>
      </c>
      <c r="H3185" s="5" t="s">
        <v>3178</v>
      </c>
      <c r="I3185" s="9" t="s">
        <v>3182</v>
      </c>
      <c r="J3185" s="5">
        <v>2029</v>
      </c>
      <c r="K3185" s="5">
        <v>15331462</v>
      </c>
      <c r="L3185" s="9" t="s">
        <v>6443</v>
      </c>
      <c r="M3185" s="5">
        <v>36.5</v>
      </c>
      <c r="N3185" s="9" t="s">
        <v>6442</v>
      </c>
      <c r="O3185" s="9" t="str">
        <f t="shared" si="296"/>
        <v>PDFを開く</v>
      </c>
      <c r="P3185" s="9" t="s">
        <v>2515</v>
      </c>
    </row>
    <row r="3186" spans="1:16" ht="33.950000000000003" customHeight="1">
      <c r="A3186" s="2" t="s">
        <v>2507</v>
      </c>
      <c r="B3186" s="2" t="s">
        <v>2430</v>
      </c>
      <c r="C3186" s="8" t="s">
        <v>2508</v>
      </c>
      <c r="D3186" s="2">
        <v>2</v>
      </c>
      <c r="E3186" s="8" t="s">
        <v>3184</v>
      </c>
      <c r="F3186" s="2" t="s">
        <v>2512</v>
      </c>
      <c r="G3186" s="2" t="s">
        <v>3177</v>
      </c>
      <c r="H3186" s="2" t="s">
        <v>3178</v>
      </c>
      <c r="I3186" s="8" t="s">
        <v>3179</v>
      </c>
      <c r="J3186" s="2">
        <v>2026</v>
      </c>
      <c r="K3186" s="2">
        <v>3740890</v>
      </c>
      <c r="L3186" s="8" t="s">
        <v>6444</v>
      </c>
      <c r="M3186" s="2">
        <v>6.5</v>
      </c>
      <c r="N3186" s="8" t="s">
        <v>6445</v>
      </c>
      <c r="O3186" s="8" t="str">
        <f t="shared" si="296"/>
        <v>PDFを開く</v>
      </c>
      <c r="P3186" s="8" t="s">
        <v>2515</v>
      </c>
    </row>
    <row r="3187" spans="1:16" ht="33.950000000000003" customHeight="1">
      <c r="A3187" s="5" t="s">
        <v>2507</v>
      </c>
      <c r="B3187" s="5" t="s">
        <v>2430</v>
      </c>
      <c r="C3187" s="9" t="s">
        <v>2508</v>
      </c>
      <c r="D3187" s="5">
        <v>2</v>
      </c>
      <c r="E3187" s="9" t="s">
        <v>3184</v>
      </c>
      <c r="F3187" s="5" t="s">
        <v>2512</v>
      </c>
      <c r="G3187" s="5" t="s">
        <v>3177</v>
      </c>
      <c r="H3187" s="5" t="s">
        <v>3178</v>
      </c>
      <c r="I3187" s="9" t="s">
        <v>3182</v>
      </c>
      <c r="J3187" s="5">
        <v>2029</v>
      </c>
      <c r="K3187" s="5">
        <v>4518969</v>
      </c>
      <c r="L3187" s="9" t="s">
        <v>6446</v>
      </c>
      <c r="M3187" s="5">
        <v>6.5</v>
      </c>
      <c r="N3187" s="9" t="s">
        <v>6445</v>
      </c>
      <c r="O3187" s="9" t="str">
        <f t="shared" si="296"/>
        <v>PDFを開く</v>
      </c>
      <c r="P3187" s="9" t="s">
        <v>2515</v>
      </c>
    </row>
    <row r="3188" spans="1:16" ht="33.950000000000003" customHeight="1">
      <c r="A3188" s="2" t="s">
        <v>2507</v>
      </c>
      <c r="B3188" s="2" t="s">
        <v>2430</v>
      </c>
      <c r="C3188" s="8" t="s">
        <v>2508</v>
      </c>
      <c r="D3188" s="2">
        <v>2</v>
      </c>
      <c r="E3188" s="8" t="s">
        <v>3188</v>
      </c>
      <c r="F3188" s="2"/>
      <c r="G3188" s="19" t="s">
        <v>3189</v>
      </c>
      <c r="H3188" s="2" t="s">
        <v>3178</v>
      </c>
      <c r="I3188" s="8"/>
      <c r="J3188" s="2"/>
      <c r="K3188" s="2"/>
      <c r="L3188" s="8"/>
      <c r="M3188" s="2">
        <v>4.5</v>
      </c>
      <c r="N3188" s="8" t="s">
        <v>6447</v>
      </c>
      <c r="O3188" s="8" t="str">
        <f t="shared" si="296"/>
        <v>PDFを開く</v>
      </c>
      <c r="P3188" s="8" t="s">
        <v>2515</v>
      </c>
    </row>
    <row r="3189" spans="1:16" ht="33.950000000000003" customHeight="1">
      <c r="A3189" s="5" t="s">
        <v>2507</v>
      </c>
      <c r="B3189" s="5" t="s">
        <v>2430</v>
      </c>
      <c r="C3189" s="9" t="s">
        <v>2508</v>
      </c>
      <c r="D3189" s="5">
        <v>2</v>
      </c>
      <c r="E3189" s="9" t="s">
        <v>3191</v>
      </c>
      <c r="F3189" s="5" t="s">
        <v>2513</v>
      </c>
      <c r="G3189" s="5" t="s">
        <v>3177</v>
      </c>
      <c r="H3189" s="5" t="s">
        <v>3178</v>
      </c>
      <c r="I3189" s="9" t="s">
        <v>3179</v>
      </c>
      <c r="J3189" s="5">
        <v>2026</v>
      </c>
      <c r="K3189" s="5">
        <v>90</v>
      </c>
      <c r="L3189" s="9" t="s">
        <v>5139</v>
      </c>
      <c r="M3189" s="5">
        <v>17.5</v>
      </c>
      <c r="N3189" s="9" t="s">
        <v>6448</v>
      </c>
      <c r="O3189" s="9" t="str">
        <f t="shared" si="296"/>
        <v>PDFを開く</v>
      </c>
      <c r="P3189" s="9" t="s">
        <v>2515</v>
      </c>
    </row>
    <row r="3190" spans="1:16" ht="33.950000000000003" customHeight="1">
      <c r="A3190" s="2" t="s">
        <v>2507</v>
      </c>
      <c r="B3190" s="2" t="s">
        <v>2430</v>
      </c>
      <c r="C3190" s="8" t="s">
        <v>2508</v>
      </c>
      <c r="D3190" s="2">
        <v>2</v>
      </c>
      <c r="E3190" s="8" t="s">
        <v>3191</v>
      </c>
      <c r="F3190" s="2" t="s">
        <v>2513</v>
      </c>
      <c r="G3190" s="2" t="s">
        <v>3177</v>
      </c>
      <c r="H3190" s="2" t="s">
        <v>3178</v>
      </c>
      <c r="I3190" s="8" t="s">
        <v>3182</v>
      </c>
      <c r="J3190" s="2">
        <v>2029</v>
      </c>
      <c r="K3190" s="2">
        <v>146</v>
      </c>
      <c r="L3190" s="8" t="s">
        <v>6449</v>
      </c>
      <c r="M3190" s="2">
        <v>17.5</v>
      </c>
      <c r="N3190" s="8" t="s">
        <v>6448</v>
      </c>
      <c r="O3190" s="8" t="str">
        <f t="shared" si="296"/>
        <v>PDFを開く</v>
      </c>
      <c r="P3190" s="8" t="s">
        <v>2515</v>
      </c>
    </row>
    <row r="3191" spans="1:16" ht="33.950000000000003" customHeight="1">
      <c r="A3191" s="5" t="s">
        <v>2507</v>
      </c>
      <c r="B3191" s="5" t="s">
        <v>2430</v>
      </c>
      <c r="C3191" s="9" t="s">
        <v>2508</v>
      </c>
      <c r="D3191" s="5">
        <v>2</v>
      </c>
      <c r="E3191" s="9" t="s">
        <v>3188</v>
      </c>
      <c r="F3191" s="5" t="s">
        <v>2513</v>
      </c>
      <c r="G3191" s="5" t="s">
        <v>3177</v>
      </c>
      <c r="H3191" s="5"/>
      <c r="I3191" s="9" t="s">
        <v>6450</v>
      </c>
      <c r="J3191" s="5">
        <v>2026</v>
      </c>
      <c r="K3191" s="5"/>
      <c r="L3191" s="9" t="s">
        <v>3211</v>
      </c>
      <c r="M3191" s="5">
        <v>4.5</v>
      </c>
      <c r="N3191" s="9" t="s">
        <v>6451</v>
      </c>
      <c r="O3191" s="9" t="str">
        <f t="shared" si="296"/>
        <v>PDFを開く</v>
      </c>
      <c r="P3191" s="9" t="s">
        <v>2515</v>
      </c>
    </row>
    <row r="3192" spans="1:16" ht="33.950000000000003" customHeight="1">
      <c r="A3192" s="2" t="s">
        <v>2507</v>
      </c>
      <c r="B3192" s="2" t="s">
        <v>2430</v>
      </c>
      <c r="C3192" s="8" t="s">
        <v>2508</v>
      </c>
      <c r="D3192" s="2">
        <v>2</v>
      </c>
      <c r="E3192" s="8" t="s">
        <v>3188</v>
      </c>
      <c r="F3192" s="2" t="s">
        <v>2513</v>
      </c>
      <c r="G3192" s="2" t="s">
        <v>3177</v>
      </c>
      <c r="H3192" s="2"/>
      <c r="I3192" s="8" t="s">
        <v>6452</v>
      </c>
      <c r="J3192" s="2">
        <v>2029</v>
      </c>
      <c r="K3192" s="2"/>
      <c r="L3192" s="8" t="s">
        <v>3284</v>
      </c>
      <c r="M3192" s="2">
        <v>4.5</v>
      </c>
      <c r="N3192" s="8" t="s">
        <v>6451</v>
      </c>
      <c r="O3192" s="8" t="str">
        <f t="shared" si="296"/>
        <v>PDFを開く</v>
      </c>
      <c r="P3192" s="8" t="s">
        <v>2515</v>
      </c>
    </row>
    <row r="3193" spans="1:16" ht="33.950000000000003" customHeight="1">
      <c r="A3193" s="5" t="s">
        <v>2516</v>
      </c>
      <c r="B3193" s="5" t="s">
        <v>2430</v>
      </c>
      <c r="C3193" s="9" t="s">
        <v>2517</v>
      </c>
      <c r="D3193" s="5">
        <v>2</v>
      </c>
      <c r="E3193" s="9" t="s">
        <v>3176</v>
      </c>
      <c r="F3193" s="5" t="s">
        <v>86</v>
      </c>
      <c r="G3193" s="5" t="s">
        <v>3177</v>
      </c>
      <c r="H3193" s="5" t="s">
        <v>3178</v>
      </c>
      <c r="I3193" s="9" t="s">
        <v>3708</v>
      </c>
      <c r="J3193" s="5">
        <v>2027</v>
      </c>
      <c r="K3193" s="5">
        <v>3568</v>
      </c>
      <c r="L3193" s="9" t="s">
        <v>6453</v>
      </c>
      <c r="M3193" s="5">
        <v>27.3</v>
      </c>
      <c r="N3193" s="9" t="s">
        <v>6454</v>
      </c>
      <c r="O3193" s="9" t="str">
        <f t="shared" ref="O3193:O3201" si="297">HYPERLINK("https://seichotoushi-hojo.jp/assets/pdf/koufu_3_4ji/outline_130.pdf","PDFを開く")</f>
        <v>PDFを開く</v>
      </c>
      <c r="P3193" s="9" t="s">
        <v>2523</v>
      </c>
    </row>
    <row r="3194" spans="1:16" ht="33.950000000000003" customHeight="1">
      <c r="A3194" s="2" t="s">
        <v>2516</v>
      </c>
      <c r="B3194" s="2" t="s">
        <v>2430</v>
      </c>
      <c r="C3194" s="8" t="s">
        <v>2517</v>
      </c>
      <c r="D3194" s="2">
        <v>2</v>
      </c>
      <c r="E3194" s="8" t="s">
        <v>3176</v>
      </c>
      <c r="F3194" s="2" t="s">
        <v>86</v>
      </c>
      <c r="G3194" s="2" t="s">
        <v>3177</v>
      </c>
      <c r="H3194" s="2" t="s">
        <v>3178</v>
      </c>
      <c r="I3194" s="8" t="s">
        <v>3711</v>
      </c>
      <c r="J3194" s="2">
        <v>2030</v>
      </c>
      <c r="K3194" s="2">
        <v>7360</v>
      </c>
      <c r="L3194" s="8" t="s">
        <v>6455</v>
      </c>
      <c r="M3194" s="2">
        <v>27.3</v>
      </c>
      <c r="N3194" s="8" t="s">
        <v>6454</v>
      </c>
      <c r="O3194" s="8" t="str">
        <f t="shared" si="297"/>
        <v>PDFを開く</v>
      </c>
      <c r="P3194" s="8" t="s">
        <v>2523</v>
      </c>
    </row>
    <row r="3195" spans="1:16" ht="33.950000000000003" customHeight="1">
      <c r="A3195" s="5" t="s">
        <v>2516</v>
      </c>
      <c r="B3195" s="5" t="s">
        <v>2430</v>
      </c>
      <c r="C3195" s="9" t="s">
        <v>2517</v>
      </c>
      <c r="D3195" s="5">
        <v>2</v>
      </c>
      <c r="E3195" s="9" t="s">
        <v>3184</v>
      </c>
      <c r="F3195" s="5" t="s">
        <v>86</v>
      </c>
      <c r="G3195" s="5" t="s">
        <v>3177</v>
      </c>
      <c r="H3195" s="5" t="s">
        <v>3178</v>
      </c>
      <c r="I3195" s="9" t="s">
        <v>3708</v>
      </c>
      <c r="J3195" s="5">
        <v>2027</v>
      </c>
      <c r="K3195" s="5">
        <v>738</v>
      </c>
      <c r="L3195" s="9" t="s">
        <v>6456</v>
      </c>
      <c r="M3195" s="5">
        <v>7.6</v>
      </c>
      <c r="N3195" s="9" t="s">
        <v>6457</v>
      </c>
      <c r="O3195" s="9" t="str">
        <f t="shared" si="297"/>
        <v>PDFを開く</v>
      </c>
      <c r="P3195" s="9" t="s">
        <v>2523</v>
      </c>
    </row>
    <row r="3196" spans="1:16" ht="33.950000000000003" customHeight="1">
      <c r="A3196" s="2" t="s">
        <v>2516</v>
      </c>
      <c r="B3196" s="2" t="s">
        <v>2430</v>
      </c>
      <c r="C3196" s="8" t="s">
        <v>2517</v>
      </c>
      <c r="D3196" s="2">
        <v>2</v>
      </c>
      <c r="E3196" s="8" t="s">
        <v>3184</v>
      </c>
      <c r="F3196" s="2" t="s">
        <v>86</v>
      </c>
      <c r="G3196" s="2" t="s">
        <v>3177</v>
      </c>
      <c r="H3196" s="2" t="s">
        <v>3178</v>
      </c>
      <c r="I3196" s="8" t="s">
        <v>3711</v>
      </c>
      <c r="J3196" s="2">
        <v>2030</v>
      </c>
      <c r="K3196" s="2">
        <v>920</v>
      </c>
      <c r="L3196" s="8" t="s">
        <v>6458</v>
      </c>
      <c r="M3196" s="2">
        <v>7.6</v>
      </c>
      <c r="N3196" s="8" t="s">
        <v>6457</v>
      </c>
      <c r="O3196" s="8" t="str">
        <f t="shared" si="297"/>
        <v>PDFを開く</v>
      </c>
      <c r="P3196" s="8" t="s">
        <v>2523</v>
      </c>
    </row>
    <row r="3197" spans="1:16" ht="33.950000000000003" customHeight="1">
      <c r="A3197" s="5" t="s">
        <v>2516</v>
      </c>
      <c r="B3197" s="5" t="s">
        <v>2430</v>
      </c>
      <c r="C3197" s="9" t="s">
        <v>2517</v>
      </c>
      <c r="D3197" s="5">
        <v>2</v>
      </c>
      <c r="E3197" s="9" t="s">
        <v>3188</v>
      </c>
      <c r="F3197" s="5" t="s">
        <v>86</v>
      </c>
      <c r="G3197" s="19" t="s">
        <v>3189</v>
      </c>
      <c r="H3197" s="5" t="s">
        <v>3178</v>
      </c>
      <c r="I3197" s="9"/>
      <c r="J3197" s="5"/>
      <c r="K3197" s="5"/>
      <c r="L3197" s="9"/>
      <c r="M3197" s="5">
        <v>7.5</v>
      </c>
      <c r="N3197" s="9" t="s">
        <v>5619</v>
      </c>
      <c r="O3197" s="9" t="str">
        <f t="shared" si="297"/>
        <v>PDFを開く</v>
      </c>
      <c r="P3197" s="9" t="s">
        <v>2523</v>
      </c>
    </row>
    <row r="3198" spans="1:16" ht="33.950000000000003" customHeight="1">
      <c r="A3198" s="2" t="s">
        <v>2516</v>
      </c>
      <c r="B3198" s="2" t="s">
        <v>2430</v>
      </c>
      <c r="C3198" s="8" t="s">
        <v>2517</v>
      </c>
      <c r="D3198" s="2">
        <v>2</v>
      </c>
      <c r="E3198" s="8" t="s">
        <v>3191</v>
      </c>
      <c r="F3198" s="2" t="s">
        <v>2513</v>
      </c>
      <c r="G3198" s="2" t="s">
        <v>3177</v>
      </c>
      <c r="H3198" s="2" t="s">
        <v>3178</v>
      </c>
      <c r="I3198" s="8" t="s">
        <v>3708</v>
      </c>
      <c r="J3198" s="2">
        <v>2027</v>
      </c>
      <c r="K3198" s="2">
        <v>11</v>
      </c>
      <c r="L3198" s="8" t="s">
        <v>6401</v>
      </c>
      <c r="M3198" s="2"/>
      <c r="N3198" s="8" t="s">
        <v>6459</v>
      </c>
      <c r="O3198" s="8" t="str">
        <f t="shared" si="297"/>
        <v>PDFを開く</v>
      </c>
      <c r="P3198" s="8" t="s">
        <v>2523</v>
      </c>
    </row>
    <row r="3199" spans="1:16" ht="33.950000000000003" customHeight="1">
      <c r="A3199" s="5" t="s">
        <v>2516</v>
      </c>
      <c r="B3199" s="5" t="s">
        <v>2430</v>
      </c>
      <c r="C3199" s="9" t="s">
        <v>2517</v>
      </c>
      <c r="D3199" s="5">
        <v>2</v>
      </c>
      <c r="E3199" s="9" t="s">
        <v>3191</v>
      </c>
      <c r="F3199" s="5" t="s">
        <v>2513</v>
      </c>
      <c r="G3199" s="5" t="s">
        <v>3177</v>
      </c>
      <c r="H3199" s="5" t="s">
        <v>3178</v>
      </c>
      <c r="I3199" s="9" t="s">
        <v>3711</v>
      </c>
      <c r="J3199" s="5">
        <v>2030</v>
      </c>
      <c r="K3199" s="5">
        <v>62</v>
      </c>
      <c r="L3199" s="9" t="s">
        <v>3961</v>
      </c>
      <c r="M3199" s="5"/>
      <c r="N3199" s="9" t="s">
        <v>6459</v>
      </c>
      <c r="O3199" s="9" t="str">
        <f t="shared" si="297"/>
        <v>PDFを開く</v>
      </c>
      <c r="P3199" s="9" t="s">
        <v>2523</v>
      </c>
    </row>
    <row r="3200" spans="1:16" ht="33.950000000000003" customHeight="1">
      <c r="A3200" s="2" t="s">
        <v>2516</v>
      </c>
      <c r="B3200" s="2" t="s">
        <v>2430</v>
      </c>
      <c r="C3200" s="8" t="s">
        <v>2517</v>
      </c>
      <c r="D3200" s="2">
        <v>2</v>
      </c>
      <c r="E3200" s="8" t="s">
        <v>3188</v>
      </c>
      <c r="F3200" s="2" t="s">
        <v>86</v>
      </c>
      <c r="G3200" s="2" t="s">
        <v>3177</v>
      </c>
      <c r="H3200" s="2"/>
      <c r="I3200" s="8" t="s">
        <v>6460</v>
      </c>
      <c r="J3200" s="2">
        <v>2027</v>
      </c>
      <c r="K3200" s="2"/>
      <c r="L3200" s="8" t="s">
        <v>3211</v>
      </c>
      <c r="M3200" s="2">
        <v>7.5</v>
      </c>
      <c r="N3200" s="8" t="s">
        <v>5622</v>
      </c>
      <c r="O3200" s="8" t="str">
        <f t="shared" si="297"/>
        <v>PDFを開く</v>
      </c>
      <c r="P3200" s="8" t="s">
        <v>2523</v>
      </c>
    </row>
    <row r="3201" spans="1:16" ht="33.950000000000003" customHeight="1">
      <c r="A3201" s="5" t="s">
        <v>2516</v>
      </c>
      <c r="B3201" s="5" t="s">
        <v>2430</v>
      </c>
      <c r="C3201" s="9" t="s">
        <v>2517</v>
      </c>
      <c r="D3201" s="5">
        <v>2</v>
      </c>
      <c r="E3201" s="9" t="s">
        <v>3188</v>
      </c>
      <c r="F3201" s="5" t="s">
        <v>86</v>
      </c>
      <c r="G3201" s="5" t="s">
        <v>3177</v>
      </c>
      <c r="H3201" s="5"/>
      <c r="I3201" s="9" t="s">
        <v>6461</v>
      </c>
      <c r="J3201" s="5">
        <v>2030</v>
      </c>
      <c r="K3201" s="5"/>
      <c r="L3201" s="9" t="s">
        <v>5624</v>
      </c>
      <c r="M3201" s="5">
        <v>7.5</v>
      </c>
      <c r="N3201" s="9" t="s">
        <v>5622</v>
      </c>
      <c r="O3201" s="9" t="str">
        <f t="shared" si="297"/>
        <v>PDFを開く</v>
      </c>
      <c r="P3201" s="9" t="s">
        <v>2523</v>
      </c>
    </row>
    <row r="3202" spans="1:16" ht="33.950000000000003" customHeight="1">
      <c r="A3202" s="2" t="s">
        <v>2524</v>
      </c>
      <c r="B3202" s="2" t="s">
        <v>2430</v>
      </c>
      <c r="C3202" s="8" t="s">
        <v>2525</v>
      </c>
      <c r="D3202" s="2">
        <v>2</v>
      </c>
      <c r="E3202" s="8" t="s">
        <v>3176</v>
      </c>
      <c r="F3202" s="2" t="s">
        <v>447</v>
      </c>
      <c r="G3202" s="2" t="s">
        <v>3177</v>
      </c>
      <c r="H3202" s="2" t="s">
        <v>3178</v>
      </c>
      <c r="I3202" s="8" t="s">
        <v>6462</v>
      </c>
      <c r="J3202" s="2">
        <v>2027</v>
      </c>
      <c r="K3202" s="2">
        <v>11314</v>
      </c>
      <c r="L3202" s="8" t="s">
        <v>6463</v>
      </c>
      <c r="M3202" s="2">
        <v>59.3</v>
      </c>
      <c r="N3202" s="8" t="s">
        <v>6464</v>
      </c>
      <c r="O3202" s="8" t="str">
        <f t="shared" ref="O3202:O3210" si="298">HYPERLINK("https://seichotoushi-hojo.jp/assets/pdf/koufu_3_4ji/outline_131.pdf","PDFを開く")</f>
        <v>PDFを開く</v>
      </c>
      <c r="P3202" s="8" t="s">
        <v>2530</v>
      </c>
    </row>
    <row r="3203" spans="1:16" ht="33.950000000000003" customHeight="1">
      <c r="A3203" s="5" t="s">
        <v>2524</v>
      </c>
      <c r="B3203" s="5" t="s">
        <v>2430</v>
      </c>
      <c r="C3203" s="9" t="s">
        <v>2525</v>
      </c>
      <c r="D3203" s="5">
        <v>2</v>
      </c>
      <c r="E3203" s="9" t="s">
        <v>3176</v>
      </c>
      <c r="F3203" s="5" t="s">
        <v>447</v>
      </c>
      <c r="G3203" s="5" t="s">
        <v>3177</v>
      </c>
      <c r="H3203" s="5" t="s">
        <v>3178</v>
      </c>
      <c r="I3203" s="9" t="s">
        <v>6465</v>
      </c>
      <c r="J3203" s="5">
        <v>2030</v>
      </c>
      <c r="K3203" s="5">
        <v>45711</v>
      </c>
      <c r="L3203" s="9" t="s">
        <v>6466</v>
      </c>
      <c r="M3203" s="5">
        <v>59.3</v>
      </c>
      <c r="N3203" s="9" t="s">
        <v>6464</v>
      </c>
      <c r="O3203" s="9" t="str">
        <f t="shared" si="298"/>
        <v>PDFを開く</v>
      </c>
      <c r="P3203" s="9" t="s">
        <v>2530</v>
      </c>
    </row>
    <row r="3204" spans="1:16" ht="33.950000000000003" customHeight="1">
      <c r="A3204" s="2" t="s">
        <v>2524</v>
      </c>
      <c r="B3204" s="2" t="s">
        <v>2430</v>
      </c>
      <c r="C3204" s="8" t="s">
        <v>2525</v>
      </c>
      <c r="D3204" s="2">
        <v>2</v>
      </c>
      <c r="E3204" s="8" t="s">
        <v>3184</v>
      </c>
      <c r="F3204" s="2" t="s">
        <v>447</v>
      </c>
      <c r="G3204" s="2" t="s">
        <v>3177</v>
      </c>
      <c r="H3204" s="2" t="s">
        <v>3178</v>
      </c>
      <c r="I3204" s="8" t="s">
        <v>6462</v>
      </c>
      <c r="J3204" s="2">
        <v>2027</v>
      </c>
      <c r="K3204" s="2">
        <v>4238</v>
      </c>
      <c r="L3204" s="8" t="s">
        <v>6467</v>
      </c>
      <c r="M3204" s="2">
        <v>7.5</v>
      </c>
      <c r="N3204" s="8" t="s">
        <v>6468</v>
      </c>
      <c r="O3204" s="8" t="str">
        <f t="shared" si="298"/>
        <v>PDFを開く</v>
      </c>
      <c r="P3204" s="8" t="s">
        <v>2530</v>
      </c>
    </row>
    <row r="3205" spans="1:16" ht="33.950000000000003" customHeight="1">
      <c r="A3205" s="5" t="s">
        <v>2524</v>
      </c>
      <c r="B3205" s="5" t="s">
        <v>2430</v>
      </c>
      <c r="C3205" s="9" t="s">
        <v>2525</v>
      </c>
      <c r="D3205" s="5">
        <v>2</v>
      </c>
      <c r="E3205" s="9" t="s">
        <v>3184</v>
      </c>
      <c r="F3205" s="5" t="s">
        <v>447</v>
      </c>
      <c r="G3205" s="5" t="s">
        <v>3177</v>
      </c>
      <c r="H3205" s="5" t="s">
        <v>3178</v>
      </c>
      <c r="I3205" s="9" t="s">
        <v>6465</v>
      </c>
      <c r="J3205" s="5">
        <v>2030</v>
      </c>
      <c r="K3205" s="5">
        <v>5264</v>
      </c>
      <c r="L3205" s="9" t="s">
        <v>6469</v>
      </c>
      <c r="M3205" s="5">
        <v>7.5</v>
      </c>
      <c r="N3205" s="9" t="s">
        <v>6468</v>
      </c>
      <c r="O3205" s="9" t="str">
        <f t="shared" si="298"/>
        <v>PDFを開く</v>
      </c>
      <c r="P3205" s="9" t="s">
        <v>2530</v>
      </c>
    </row>
    <row r="3206" spans="1:16" ht="33.950000000000003" customHeight="1">
      <c r="A3206" s="2" t="s">
        <v>2524</v>
      </c>
      <c r="B3206" s="2" t="s">
        <v>2430</v>
      </c>
      <c r="C3206" s="8" t="s">
        <v>2525</v>
      </c>
      <c r="D3206" s="2">
        <v>2</v>
      </c>
      <c r="E3206" s="8" t="s">
        <v>3188</v>
      </c>
      <c r="F3206" s="2" t="s">
        <v>447</v>
      </c>
      <c r="G3206" s="19" t="s">
        <v>3189</v>
      </c>
      <c r="H3206" s="2" t="s">
        <v>3178</v>
      </c>
      <c r="I3206" s="8"/>
      <c r="J3206" s="2"/>
      <c r="K3206" s="2"/>
      <c r="L3206" s="8"/>
      <c r="M3206" s="2">
        <v>6</v>
      </c>
      <c r="N3206" s="8" t="s">
        <v>6470</v>
      </c>
      <c r="O3206" s="8" t="str">
        <f t="shared" si="298"/>
        <v>PDFを開く</v>
      </c>
      <c r="P3206" s="8" t="s">
        <v>2530</v>
      </c>
    </row>
    <row r="3207" spans="1:16" ht="33.950000000000003" customHeight="1">
      <c r="A3207" s="5" t="s">
        <v>2524</v>
      </c>
      <c r="B3207" s="5" t="s">
        <v>2430</v>
      </c>
      <c r="C3207" s="9" t="s">
        <v>2525</v>
      </c>
      <c r="D3207" s="5">
        <v>2</v>
      </c>
      <c r="E3207" s="9" t="s">
        <v>3191</v>
      </c>
      <c r="F3207" s="5" t="s">
        <v>2513</v>
      </c>
      <c r="G3207" s="5" t="s">
        <v>3177</v>
      </c>
      <c r="H3207" s="5" t="s">
        <v>3178</v>
      </c>
      <c r="I3207" s="9" t="s">
        <v>6462</v>
      </c>
      <c r="J3207" s="5">
        <v>2027</v>
      </c>
      <c r="K3207" s="5">
        <v>48</v>
      </c>
      <c r="L3207" s="9" t="s">
        <v>3809</v>
      </c>
      <c r="M3207" s="5"/>
      <c r="N3207" s="9" t="s">
        <v>6471</v>
      </c>
      <c r="O3207" s="9" t="str">
        <f t="shared" si="298"/>
        <v>PDFを開く</v>
      </c>
      <c r="P3207" s="9" t="s">
        <v>2530</v>
      </c>
    </row>
    <row r="3208" spans="1:16" ht="33.950000000000003" customHeight="1">
      <c r="A3208" s="2" t="s">
        <v>2524</v>
      </c>
      <c r="B3208" s="2" t="s">
        <v>2430</v>
      </c>
      <c r="C3208" s="8" t="s">
        <v>2525</v>
      </c>
      <c r="D3208" s="2">
        <v>2</v>
      </c>
      <c r="E3208" s="8" t="s">
        <v>3191</v>
      </c>
      <c r="F3208" s="2" t="s">
        <v>2513</v>
      </c>
      <c r="G3208" s="2" t="s">
        <v>3177</v>
      </c>
      <c r="H3208" s="2" t="s">
        <v>3178</v>
      </c>
      <c r="I3208" s="8" t="s">
        <v>6465</v>
      </c>
      <c r="J3208" s="2">
        <v>2030</v>
      </c>
      <c r="K3208" s="2">
        <v>62</v>
      </c>
      <c r="L3208" s="8" t="s">
        <v>3961</v>
      </c>
      <c r="M3208" s="2"/>
      <c r="N3208" s="8" t="s">
        <v>6471</v>
      </c>
      <c r="O3208" s="8" t="str">
        <f t="shared" si="298"/>
        <v>PDFを開く</v>
      </c>
      <c r="P3208" s="8" t="s">
        <v>2530</v>
      </c>
    </row>
    <row r="3209" spans="1:16" ht="33.950000000000003" customHeight="1">
      <c r="A3209" s="5" t="s">
        <v>2524</v>
      </c>
      <c r="B3209" s="5" t="s">
        <v>2430</v>
      </c>
      <c r="C3209" s="9" t="s">
        <v>2525</v>
      </c>
      <c r="D3209" s="5">
        <v>2</v>
      </c>
      <c r="E3209" s="9" t="s">
        <v>3188</v>
      </c>
      <c r="F3209" s="5" t="s">
        <v>447</v>
      </c>
      <c r="G3209" s="5" t="s">
        <v>3177</v>
      </c>
      <c r="H3209" s="5"/>
      <c r="I3209" s="9" t="s">
        <v>6472</v>
      </c>
      <c r="J3209" s="5">
        <v>2027</v>
      </c>
      <c r="K3209" s="5"/>
      <c r="L3209" s="9" t="s">
        <v>3211</v>
      </c>
      <c r="M3209" s="5">
        <v>6</v>
      </c>
      <c r="N3209" s="9" t="s">
        <v>6473</v>
      </c>
      <c r="O3209" s="9" t="str">
        <f t="shared" si="298"/>
        <v>PDFを開く</v>
      </c>
      <c r="P3209" s="9" t="s">
        <v>2530</v>
      </c>
    </row>
    <row r="3210" spans="1:16" ht="33.950000000000003" customHeight="1">
      <c r="A3210" s="2" t="s">
        <v>2524</v>
      </c>
      <c r="B3210" s="2" t="s">
        <v>2430</v>
      </c>
      <c r="C3210" s="8" t="s">
        <v>2525</v>
      </c>
      <c r="D3210" s="2">
        <v>2</v>
      </c>
      <c r="E3210" s="8" t="s">
        <v>3188</v>
      </c>
      <c r="F3210" s="2" t="s">
        <v>447</v>
      </c>
      <c r="G3210" s="2" t="s">
        <v>3177</v>
      </c>
      <c r="H3210" s="2"/>
      <c r="I3210" s="8" t="s">
        <v>6474</v>
      </c>
      <c r="J3210" s="2">
        <v>2030</v>
      </c>
      <c r="K3210" s="2"/>
      <c r="L3210" s="8" t="s">
        <v>5378</v>
      </c>
      <c r="M3210" s="2">
        <v>6</v>
      </c>
      <c r="N3210" s="8" t="s">
        <v>6473</v>
      </c>
      <c r="O3210" s="8" t="str">
        <f t="shared" si="298"/>
        <v>PDFを開く</v>
      </c>
      <c r="P3210" s="8" t="s">
        <v>2530</v>
      </c>
    </row>
    <row r="3211" spans="1:16" ht="33.950000000000003" customHeight="1">
      <c r="A3211" s="5" t="s">
        <v>2531</v>
      </c>
      <c r="B3211" s="5" t="s">
        <v>2430</v>
      </c>
      <c r="C3211" s="9" t="s">
        <v>2532</v>
      </c>
      <c r="D3211" s="5">
        <v>2</v>
      </c>
      <c r="E3211" s="9" t="s">
        <v>3176</v>
      </c>
      <c r="F3211" s="5" t="s">
        <v>447</v>
      </c>
      <c r="G3211" s="5" t="s">
        <v>3177</v>
      </c>
      <c r="H3211" s="5" t="s">
        <v>3178</v>
      </c>
      <c r="I3211" s="9" t="s">
        <v>3302</v>
      </c>
      <c r="J3211" s="5"/>
      <c r="K3211" s="5">
        <v>12426</v>
      </c>
      <c r="L3211" s="9" t="s">
        <v>6475</v>
      </c>
      <c r="M3211" s="5">
        <v>28.1</v>
      </c>
      <c r="N3211" s="9" t="s">
        <v>6476</v>
      </c>
      <c r="O3211" s="9" t="str">
        <f t="shared" ref="O3211:O3219" si="299">HYPERLINK("https://seichotoushi-hojo.jp/assets/pdf/koufu_3_4ji/outline_132.pdf","PDFを開く")</f>
        <v>PDFを開く</v>
      </c>
      <c r="P3211" s="9" t="s">
        <v>2538</v>
      </c>
    </row>
    <row r="3212" spans="1:16" ht="33.950000000000003" customHeight="1">
      <c r="A3212" s="2" t="s">
        <v>2531</v>
      </c>
      <c r="B3212" s="2" t="s">
        <v>2430</v>
      </c>
      <c r="C3212" s="8" t="s">
        <v>2532</v>
      </c>
      <c r="D3212" s="2">
        <v>2</v>
      </c>
      <c r="E3212" s="8" t="s">
        <v>3176</v>
      </c>
      <c r="F3212" s="2" t="s">
        <v>447</v>
      </c>
      <c r="G3212" s="2" t="s">
        <v>3177</v>
      </c>
      <c r="H3212" s="2" t="s">
        <v>3178</v>
      </c>
      <c r="I3212" s="8" t="s">
        <v>3305</v>
      </c>
      <c r="J3212" s="2"/>
      <c r="K3212" s="2">
        <v>26105</v>
      </c>
      <c r="L3212" s="8" t="s">
        <v>6477</v>
      </c>
      <c r="M3212" s="2">
        <v>28.1</v>
      </c>
      <c r="N3212" s="8" t="s">
        <v>6476</v>
      </c>
      <c r="O3212" s="8" t="str">
        <f t="shared" si="299"/>
        <v>PDFを開く</v>
      </c>
      <c r="P3212" s="8" t="s">
        <v>2538</v>
      </c>
    </row>
    <row r="3213" spans="1:16" ht="33.950000000000003" customHeight="1">
      <c r="A3213" s="5" t="s">
        <v>2531</v>
      </c>
      <c r="B3213" s="5" t="s">
        <v>2430</v>
      </c>
      <c r="C3213" s="9" t="s">
        <v>2532</v>
      </c>
      <c r="D3213" s="5">
        <v>2</v>
      </c>
      <c r="E3213" s="9" t="s">
        <v>3184</v>
      </c>
      <c r="F3213" s="5" t="s">
        <v>447</v>
      </c>
      <c r="G3213" s="5" t="s">
        <v>3177</v>
      </c>
      <c r="H3213" s="5" t="s">
        <v>3178</v>
      </c>
      <c r="I3213" s="9" t="s">
        <v>3302</v>
      </c>
      <c r="J3213" s="5"/>
      <c r="K3213" s="5">
        <v>5675</v>
      </c>
      <c r="L3213" s="9" t="s">
        <v>6478</v>
      </c>
      <c r="M3213" s="5">
        <v>7</v>
      </c>
      <c r="N3213" s="9" t="s">
        <v>6479</v>
      </c>
      <c r="O3213" s="9" t="str">
        <f t="shared" si="299"/>
        <v>PDFを開く</v>
      </c>
      <c r="P3213" s="9" t="s">
        <v>2538</v>
      </c>
    </row>
    <row r="3214" spans="1:16" ht="33.950000000000003" customHeight="1">
      <c r="A3214" s="2" t="s">
        <v>2531</v>
      </c>
      <c r="B3214" s="2" t="s">
        <v>2430</v>
      </c>
      <c r="C3214" s="8" t="s">
        <v>2532</v>
      </c>
      <c r="D3214" s="2">
        <v>2</v>
      </c>
      <c r="E3214" s="8" t="s">
        <v>3184</v>
      </c>
      <c r="F3214" s="2" t="s">
        <v>447</v>
      </c>
      <c r="G3214" s="2" t="s">
        <v>3177</v>
      </c>
      <c r="H3214" s="2" t="s">
        <v>3178</v>
      </c>
      <c r="I3214" s="8" t="s">
        <v>3305</v>
      </c>
      <c r="J3214" s="2"/>
      <c r="K3214" s="2">
        <v>6953</v>
      </c>
      <c r="L3214" s="8" t="s">
        <v>6480</v>
      </c>
      <c r="M3214" s="2">
        <v>7</v>
      </c>
      <c r="N3214" s="8" t="s">
        <v>6479</v>
      </c>
      <c r="O3214" s="8" t="str">
        <f t="shared" si="299"/>
        <v>PDFを開く</v>
      </c>
      <c r="P3214" s="8" t="s">
        <v>2538</v>
      </c>
    </row>
    <row r="3215" spans="1:16" ht="33.950000000000003" customHeight="1">
      <c r="A3215" s="5" t="s">
        <v>2531</v>
      </c>
      <c r="B3215" s="5" t="s">
        <v>2430</v>
      </c>
      <c r="C3215" s="9" t="s">
        <v>2532</v>
      </c>
      <c r="D3215" s="5">
        <v>2</v>
      </c>
      <c r="E3215" s="9" t="s">
        <v>3188</v>
      </c>
      <c r="F3215" s="5" t="s">
        <v>447</v>
      </c>
      <c r="G3215" s="19" t="s">
        <v>3189</v>
      </c>
      <c r="H3215" s="5"/>
      <c r="I3215" s="9"/>
      <c r="J3215" s="5"/>
      <c r="K3215" s="5"/>
      <c r="L3215" s="9"/>
      <c r="M3215" s="5">
        <v>7</v>
      </c>
      <c r="N3215" s="9" t="s">
        <v>6481</v>
      </c>
      <c r="O3215" s="9" t="str">
        <f t="shared" si="299"/>
        <v>PDFを開く</v>
      </c>
      <c r="P3215" s="9" t="s">
        <v>2538</v>
      </c>
    </row>
    <row r="3216" spans="1:16" ht="33.950000000000003" customHeight="1">
      <c r="A3216" s="2" t="s">
        <v>2531</v>
      </c>
      <c r="B3216" s="2" t="s">
        <v>2430</v>
      </c>
      <c r="C3216" s="8" t="s">
        <v>2532</v>
      </c>
      <c r="D3216" s="2">
        <v>2</v>
      </c>
      <c r="E3216" s="8" t="s">
        <v>3191</v>
      </c>
      <c r="F3216" s="2" t="s">
        <v>2513</v>
      </c>
      <c r="G3216" s="2" t="s">
        <v>3177</v>
      </c>
      <c r="H3216" s="2"/>
      <c r="I3216" s="8" t="s">
        <v>3302</v>
      </c>
      <c r="J3216" s="2"/>
      <c r="K3216" s="2">
        <v>74</v>
      </c>
      <c r="L3216" s="8" t="s">
        <v>5305</v>
      </c>
      <c r="M3216" s="2"/>
      <c r="N3216" s="8" t="s">
        <v>6482</v>
      </c>
      <c r="O3216" s="8" t="str">
        <f t="shared" si="299"/>
        <v>PDFを開く</v>
      </c>
      <c r="P3216" s="8" t="s">
        <v>2538</v>
      </c>
    </row>
    <row r="3217" spans="1:16" ht="33.950000000000003" customHeight="1">
      <c r="A3217" s="5" t="s">
        <v>2531</v>
      </c>
      <c r="B3217" s="5" t="s">
        <v>2430</v>
      </c>
      <c r="C3217" s="9" t="s">
        <v>2532</v>
      </c>
      <c r="D3217" s="5">
        <v>2</v>
      </c>
      <c r="E3217" s="9" t="s">
        <v>3191</v>
      </c>
      <c r="F3217" s="5" t="s">
        <v>2513</v>
      </c>
      <c r="G3217" s="5" t="s">
        <v>3177</v>
      </c>
      <c r="H3217" s="5"/>
      <c r="I3217" s="9" t="s">
        <v>3305</v>
      </c>
      <c r="J3217" s="5"/>
      <c r="K3217" s="5">
        <v>86</v>
      </c>
      <c r="L3217" s="9" t="s">
        <v>6155</v>
      </c>
      <c r="M3217" s="5"/>
      <c r="N3217" s="9" t="s">
        <v>6482</v>
      </c>
      <c r="O3217" s="9" t="str">
        <f t="shared" si="299"/>
        <v>PDFを開く</v>
      </c>
      <c r="P3217" s="9" t="s">
        <v>2538</v>
      </c>
    </row>
    <row r="3218" spans="1:16" ht="33.950000000000003" customHeight="1">
      <c r="A3218" s="2" t="s">
        <v>2531</v>
      </c>
      <c r="B3218" s="2" t="s">
        <v>2430</v>
      </c>
      <c r="C3218" s="8" t="s">
        <v>2532</v>
      </c>
      <c r="D3218" s="2">
        <v>2</v>
      </c>
      <c r="E3218" s="8" t="s">
        <v>3188</v>
      </c>
      <c r="F3218" s="2" t="s">
        <v>447</v>
      </c>
      <c r="G3218" s="2" t="s">
        <v>3177</v>
      </c>
      <c r="H3218" s="2"/>
      <c r="I3218" s="8" t="s">
        <v>6483</v>
      </c>
      <c r="J3218" s="2"/>
      <c r="K3218" s="2"/>
      <c r="L3218" s="8" t="s">
        <v>3211</v>
      </c>
      <c r="M3218" s="2">
        <v>7</v>
      </c>
      <c r="N3218" s="8" t="s">
        <v>6372</v>
      </c>
      <c r="O3218" s="8" t="str">
        <f t="shared" si="299"/>
        <v>PDFを開く</v>
      </c>
      <c r="P3218" s="8" t="s">
        <v>2538</v>
      </c>
    </row>
    <row r="3219" spans="1:16" ht="33.950000000000003" customHeight="1">
      <c r="A3219" s="5" t="s">
        <v>2531</v>
      </c>
      <c r="B3219" s="5" t="s">
        <v>2430</v>
      </c>
      <c r="C3219" s="9" t="s">
        <v>2532</v>
      </c>
      <c r="D3219" s="5">
        <v>2</v>
      </c>
      <c r="E3219" s="9" t="s">
        <v>3188</v>
      </c>
      <c r="F3219" s="5" t="s">
        <v>447</v>
      </c>
      <c r="G3219" s="5" t="s">
        <v>3177</v>
      </c>
      <c r="H3219" s="5"/>
      <c r="I3219" s="9" t="s">
        <v>6484</v>
      </c>
      <c r="J3219" s="5"/>
      <c r="K3219" s="5"/>
      <c r="L3219" s="9" t="s">
        <v>6374</v>
      </c>
      <c r="M3219" s="5">
        <v>7</v>
      </c>
      <c r="N3219" s="9" t="s">
        <v>6372</v>
      </c>
      <c r="O3219" s="9" t="str">
        <f t="shared" si="299"/>
        <v>PDFを開く</v>
      </c>
      <c r="P3219" s="9" t="s">
        <v>2538</v>
      </c>
    </row>
    <row r="3220" spans="1:16" ht="33.950000000000003" customHeight="1">
      <c r="A3220" s="2" t="s">
        <v>2539</v>
      </c>
      <c r="B3220" s="2" t="s">
        <v>2430</v>
      </c>
      <c r="C3220" s="8" t="s">
        <v>2540</v>
      </c>
      <c r="D3220" s="2">
        <v>2</v>
      </c>
      <c r="E3220" s="8" t="s">
        <v>3176</v>
      </c>
      <c r="F3220" s="2" t="s">
        <v>447</v>
      </c>
      <c r="G3220" s="2" t="s">
        <v>3177</v>
      </c>
      <c r="H3220" s="2"/>
      <c r="I3220" s="8" t="s">
        <v>3302</v>
      </c>
      <c r="J3220" s="2"/>
      <c r="K3220" s="2">
        <v>10686</v>
      </c>
      <c r="L3220" s="8" t="s">
        <v>6485</v>
      </c>
      <c r="M3220" s="2">
        <v>30.4</v>
      </c>
      <c r="N3220" s="8" t="s">
        <v>6486</v>
      </c>
      <c r="O3220" s="8" t="str">
        <f t="shared" ref="O3220:O3228" si="300">HYPERLINK("https://seichotoushi-hojo.jp/assets/pdf/koufu_3_4ji/outline_133.pdf","PDFを開く")</f>
        <v>PDFを開く</v>
      </c>
      <c r="P3220" s="8" t="s">
        <v>2545</v>
      </c>
    </row>
    <row r="3221" spans="1:16" ht="33.950000000000003" customHeight="1">
      <c r="A3221" s="5" t="s">
        <v>2539</v>
      </c>
      <c r="B3221" s="5" t="s">
        <v>2430</v>
      </c>
      <c r="C3221" s="9" t="s">
        <v>2540</v>
      </c>
      <c r="D3221" s="5">
        <v>2</v>
      </c>
      <c r="E3221" s="9" t="s">
        <v>3176</v>
      </c>
      <c r="F3221" s="5" t="s">
        <v>447</v>
      </c>
      <c r="G3221" s="5" t="s">
        <v>3177</v>
      </c>
      <c r="H3221" s="5"/>
      <c r="I3221" s="9" t="s">
        <v>3305</v>
      </c>
      <c r="J3221" s="5"/>
      <c r="K3221" s="5">
        <v>23668</v>
      </c>
      <c r="L3221" s="9" t="s">
        <v>6487</v>
      </c>
      <c r="M3221" s="5">
        <v>30.4</v>
      </c>
      <c r="N3221" s="9" t="s">
        <v>6486</v>
      </c>
      <c r="O3221" s="9" t="str">
        <f t="shared" si="300"/>
        <v>PDFを開く</v>
      </c>
      <c r="P3221" s="9" t="s">
        <v>2545</v>
      </c>
    </row>
    <row r="3222" spans="1:16" ht="33.950000000000003" customHeight="1">
      <c r="A3222" s="2" t="s">
        <v>2539</v>
      </c>
      <c r="B3222" s="2" t="s">
        <v>2430</v>
      </c>
      <c r="C3222" s="8" t="s">
        <v>2540</v>
      </c>
      <c r="D3222" s="2">
        <v>2</v>
      </c>
      <c r="E3222" s="8" t="s">
        <v>3184</v>
      </c>
      <c r="F3222" s="2" t="s">
        <v>447</v>
      </c>
      <c r="G3222" s="2" t="s">
        <v>3177</v>
      </c>
      <c r="H3222" s="2"/>
      <c r="I3222" s="8" t="s">
        <v>3302</v>
      </c>
      <c r="J3222" s="2"/>
      <c r="K3222" s="2">
        <v>4681</v>
      </c>
      <c r="L3222" s="8" t="s">
        <v>6488</v>
      </c>
      <c r="M3222" s="2">
        <v>7</v>
      </c>
      <c r="N3222" s="8" t="s">
        <v>6489</v>
      </c>
      <c r="O3222" s="8" t="str">
        <f t="shared" si="300"/>
        <v>PDFを開く</v>
      </c>
      <c r="P3222" s="8" t="s">
        <v>2545</v>
      </c>
    </row>
    <row r="3223" spans="1:16" ht="33.950000000000003" customHeight="1">
      <c r="A3223" s="5" t="s">
        <v>2539</v>
      </c>
      <c r="B3223" s="5" t="s">
        <v>2430</v>
      </c>
      <c r="C3223" s="9" t="s">
        <v>2540</v>
      </c>
      <c r="D3223" s="5">
        <v>2</v>
      </c>
      <c r="E3223" s="9" t="s">
        <v>3184</v>
      </c>
      <c r="F3223" s="5" t="s">
        <v>447</v>
      </c>
      <c r="G3223" s="5" t="s">
        <v>3177</v>
      </c>
      <c r="H3223" s="5"/>
      <c r="I3223" s="9" t="s">
        <v>3305</v>
      </c>
      <c r="J3223" s="5"/>
      <c r="K3223" s="5">
        <v>5734</v>
      </c>
      <c r="L3223" s="9" t="s">
        <v>6490</v>
      </c>
      <c r="M3223" s="5">
        <v>7</v>
      </c>
      <c r="N3223" s="9" t="s">
        <v>6489</v>
      </c>
      <c r="O3223" s="9" t="str">
        <f t="shared" si="300"/>
        <v>PDFを開く</v>
      </c>
      <c r="P3223" s="9" t="s">
        <v>2545</v>
      </c>
    </row>
    <row r="3224" spans="1:16" ht="33.950000000000003" customHeight="1">
      <c r="A3224" s="2" t="s">
        <v>2539</v>
      </c>
      <c r="B3224" s="2" t="s">
        <v>2430</v>
      </c>
      <c r="C3224" s="8" t="s">
        <v>2540</v>
      </c>
      <c r="D3224" s="2">
        <v>2</v>
      </c>
      <c r="E3224" s="8" t="s">
        <v>3188</v>
      </c>
      <c r="F3224" s="2" t="s">
        <v>447</v>
      </c>
      <c r="G3224" s="19" t="s">
        <v>3189</v>
      </c>
      <c r="H3224" s="2"/>
      <c r="I3224" s="8"/>
      <c r="J3224" s="2"/>
      <c r="K3224" s="2"/>
      <c r="L3224" s="8"/>
      <c r="M3224" s="2">
        <v>7</v>
      </c>
      <c r="N3224" s="8" t="s">
        <v>6491</v>
      </c>
      <c r="O3224" s="8" t="str">
        <f t="shared" si="300"/>
        <v>PDFを開く</v>
      </c>
      <c r="P3224" s="8" t="s">
        <v>2545</v>
      </c>
    </row>
    <row r="3225" spans="1:16" ht="33.950000000000003" customHeight="1">
      <c r="A3225" s="5" t="s">
        <v>2539</v>
      </c>
      <c r="B3225" s="5" t="s">
        <v>2430</v>
      </c>
      <c r="C3225" s="9" t="s">
        <v>2540</v>
      </c>
      <c r="D3225" s="5">
        <v>2</v>
      </c>
      <c r="E3225" s="9" t="s">
        <v>3191</v>
      </c>
      <c r="F3225" s="5" t="s">
        <v>2513</v>
      </c>
      <c r="G3225" s="5" t="s">
        <v>3177</v>
      </c>
      <c r="H3225" s="5"/>
      <c r="I3225" s="9" t="s">
        <v>3302</v>
      </c>
      <c r="J3225" s="5"/>
      <c r="K3225" s="5">
        <v>197</v>
      </c>
      <c r="L3225" s="9" t="s">
        <v>4359</v>
      </c>
      <c r="M3225" s="5"/>
      <c r="N3225" s="9" t="s">
        <v>6492</v>
      </c>
      <c r="O3225" s="9" t="str">
        <f t="shared" si="300"/>
        <v>PDFを開く</v>
      </c>
      <c r="P3225" s="9" t="s">
        <v>2545</v>
      </c>
    </row>
    <row r="3226" spans="1:16" ht="33.950000000000003" customHeight="1">
      <c r="A3226" s="2" t="s">
        <v>2539</v>
      </c>
      <c r="B3226" s="2" t="s">
        <v>2430</v>
      </c>
      <c r="C3226" s="8" t="s">
        <v>2540</v>
      </c>
      <c r="D3226" s="2">
        <v>2</v>
      </c>
      <c r="E3226" s="8" t="s">
        <v>3191</v>
      </c>
      <c r="F3226" s="2" t="s">
        <v>2513</v>
      </c>
      <c r="G3226" s="2" t="s">
        <v>3177</v>
      </c>
      <c r="H3226" s="2"/>
      <c r="I3226" s="8" t="s">
        <v>3305</v>
      </c>
      <c r="J3226" s="2"/>
      <c r="K3226" s="2">
        <v>207</v>
      </c>
      <c r="L3226" s="8" t="s">
        <v>6493</v>
      </c>
      <c r="M3226" s="2"/>
      <c r="N3226" s="8" t="s">
        <v>6492</v>
      </c>
      <c r="O3226" s="8" t="str">
        <f t="shared" si="300"/>
        <v>PDFを開く</v>
      </c>
      <c r="P3226" s="8" t="s">
        <v>2545</v>
      </c>
    </row>
    <row r="3227" spans="1:16" ht="33.950000000000003" customHeight="1">
      <c r="A3227" s="5" t="s">
        <v>2539</v>
      </c>
      <c r="B3227" s="5" t="s">
        <v>2430</v>
      </c>
      <c r="C3227" s="9" t="s">
        <v>2540</v>
      </c>
      <c r="D3227" s="5">
        <v>2</v>
      </c>
      <c r="E3227" s="9" t="s">
        <v>3188</v>
      </c>
      <c r="F3227" s="5" t="s">
        <v>447</v>
      </c>
      <c r="G3227" s="5" t="s">
        <v>3177</v>
      </c>
      <c r="H3227" s="5"/>
      <c r="I3227" s="9" t="s">
        <v>6494</v>
      </c>
      <c r="J3227" s="5"/>
      <c r="K3227" s="5"/>
      <c r="L3227" s="9" t="s">
        <v>3211</v>
      </c>
      <c r="M3227" s="5">
        <v>7</v>
      </c>
      <c r="N3227" s="9" t="s">
        <v>6372</v>
      </c>
      <c r="O3227" s="9" t="str">
        <f t="shared" si="300"/>
        <v>PDFを開く</v>
      </c>
      <c r="P3227" s="9" t="s">
        <v>2545</v>
      </c>
    </row>
    <row r="3228" spans="1:16" ht="33.950000000000003" customHeight="1">
      <c r="A3228" s="2" t="s">
        <v>2539</v>
      </c>
      <c r="B3228" s="2" t="s">
        <v>2430</v>
      </c>
      <c r="C3228" s="8" t="s">
        <v>2540</v>
      </c>
      <c r="D3228" s="2">
        <v>2</v>
      </c>
      <c r="E3228" s="8" t="s">
        <v>3188</v>
      </c>
      <c r="F3228" s="2" t="s">
        <v>447</v>
      </c>
      <c r="G3228" s="2" t="s">
        <v>3177</v>
      </c>
      <c r="H3228" s="2"/>
      <c r="I3228" s="8" t="s">
        <v>6495</v>
      </c>
      <c r="J3228" s="2"/>
      <c r="K3228" s="2"/>
      <c r="L3228" s="8" t="s">
        <v>6374</v>
      </c>
      <c r="M3228" s="2">
        <v>7</v>
      </c>
      <c r="N3228" s="8" t="s">
        <v>6372</v>
      </c>
      <c r="O3228" s="8" t="str">
        <f t="shared" si="300"/>
        <v>PDFを開く</v>
      </c>
      <c r="P3228" s="8" t="s">
        <v>2545</v>
      </c>
    </row>
    <row r="3229" spans="1:16" ht="33.950000000000003" customHeight="1">
      <c r="A3229" s="5" t="s">
        <v>2546</v>
      </c>
      <c r="B3229" s="5" t="s">
        <v>2430</v>
      </c>
      <c r="C3229" s="9" t="s">
        <v>2547</v>
      </c>
      <c r="D3229" s="5">
        <v>2</v>
      </c>
      <c r="E3229" s="9" t="s">
        <v>3176</v>
      </c>
      <c r="F3229" s="5" t="s">
        <v>2512</v>
      </c>
      <c r="G3229" s="5" t="s">
        <v>3177</v>
      </c>
      <c r="H3229" s="5" t="s">
        <v>3178</v>
      </c>
      <c r="I3229" s="9" t="s">
        <v>3179</v>
      </c>
      <c r="J3229" s="5">
        <v>2026</v>
      </c>
      <c r="K3229" s="5">
        <v>5246825</v>
      </c>
      <c r="L3229" s="9" t="s">
        <v>6496</v>
      </c>
      <c r="M3229" s="5">
        <v>62.1</v>
      </c>
      <c r="N3229" s="9" t="s">
        <v>6497</v>
      </c>
      <c r="O3229" s="9" t="str">
        <f t="shared" ref="O3229:O3237" si="301">HYPERLINK("https://seichotoushi-hojo.jp/assets/pdf/koufu_3_4ji/outline_134.pdf","PDFを開く")</f>
        <v>PDFを開く</v>
      </c>
      <c r="P3229" s="9" t="s">
        <v>2554</v>
      </c>
    </row>
    <row r="3230" spans="1:16" ht="33.950000000000003" customHeight="1">
      <c r="A3230" s="2" t="s">
        <v>2546</v>
      </c>
      <c r="B3230" s="2" t="s">
        <v>2430</v>
      </c>
      <c r="C3230" s="8" t="s">
        <v>2547</v>
      </c>
      <c r="D3230" s="2">
        <v>2</v>
      </c>
      <c r="E3230" s="8" t="s">
        <v>3176</v>
      </c>
      <c r="F3230" s="2" t="s">
        <v>2512</v>
      </c>
      <c r="G3230" s="2" t="s">
        <v>3177</v>
      </c>
      <c r="H3230" s="2" t="s">
        <v>3178</v>
      </c>
      <c r="I3230" s="8" t="s">
        <v>3182</v>
      </c>
      <c r="J3230" s="2">
        <v>2029</v>
      </c>
      <c r="K3230" s="2">
        <v>22368578</v>
      </c>
      <c r="L3230" s="8" t="s">
        <v>6498</v>
      </c>
      <c r="M3230" s="2">
        <v>62.1</v>
      </c>
      <c r="N3230" s="8" t="s">
        <v>6497</v>
      </c>
      <c r="O3230" s="8" t="str">
        <f t="shared" si="301"/>
        <v>PDFを開く</v>
      </c>
      <c r="P3230" s="8" t="s">
        <v>2554</v>
      </c>
    </row>
    <row r="3231" spans="1:16" ht="33.950000000000003" customHeight="1">
      <c r="A3231" s="5" t="s">
        <v>2546</v>
      </c>
      <c r="B3231" s="5" t="s">
        <v>2430</v>
      </c>
      <c r="C3231" s="9" t="s">
        <v>2547</v>
      </c>
      <c r="D3231" s="5">
        <v>2</v>
      </c>
      <c r="E3231" s="9" t="s">
        <v>3184</v>
      </c>
      <c r="F3231" s="5" t="s">
        <v>2512</v>
      </c>
      <c r="G3231" s="5" t="s">
        <v>3177</v>
      </c>
      <c r="H3231" s="5" t="s">
        <v>3178</v>
      </c>
      <c r="I3231" s="9" t="s">
        <v>3179</v>
      </c>
      <c r="J3231" s="5">
        <v>2026</v>
      </c>
      <c r="K3231" s="5">
        <v>3998288</v>
      </c>
      <c r="L3231" s="9" t="s">
        <v>6499</v>
      </c>
      <c r="M3231" s="5">
        <v>5.5</v>
      </c>
      <c r="N3231" s="9" t="s">
        <v>6500</v>
      </c>
      <c r="O3231" s="9" t="str">
        <f t="shared" si="301"/>
        <v>PDFを開く</v>
      </c>
      <c r="P3231" s="9" t="s">
        <v>2554</v>
      </c>
    </row>
    <row r="3232" spans="1:16" ht="33.950000000000003" customHeight="1">
      <c r="A3232" s="2" t="s">
        <v>2546</v>
      </c>
      <c r="B3232" s="2" t="s">
        <v>2430</v>
      </c>
      <c r="C3232" s="8" t="s">
        <v>2547</v>
      </c>
      <c r="D3232" s="2">
        <v>2</v>
      </c>
      <c r="E3232" s="8" t="s">
        <v>3184</v>
      </c>
      <c r="F3232" s="2" t="s">
        <v>2512</v>
      </c>
      <c r="G3232" s="2" t="s">
        <v>3177</v>
      </c>
      <c r="H3232" s="2" t="s">
        <v>3178</v>
      </c>
      <c r="I3232" s="8" t="s">
        <v>3182</v>
      </c>
      <c r="J3232" s="2">
        <v>2029</v>
      </c>
      <c r="K3232" s="2">
        <v>4694730</v>
      </c>
      <c r="L3232" s="8" t="s">
        <v>6501</v>
      </c>
      <c r="M3232" s="2">
        <v>5.5</v>
      </c>
      <c r="N3232" s="8" t="s">
        <v>6500</v>
      </c>
      <c r="O3232" s="8" t="str">
        <f t="shared" si="301"/>
        <v>PDFを開く</v>
      </c>
      <c r="P3232" s="8" t="s">
        <v>2554</v>
      </c>
    </row>
    <row r="3233" spans="1:16" ht="33.950000000000003" customHeight="1">
      <c r="A3233" s="5" t="s">
        <v>2546</v>
      </c>
      <c r="B3233" s="5" t="s">
        <v>2430</v>
      </c>
      <c r="C3233" s="9" t="s">
        <v>2547</v>
      </c>
      <c r="D3233" s="5">
        <v>2</v>
      </c>
      <c r="E3233" s="9" t="s">
        <v>3188</v>
      </c>
      <c r="F3233" s="5"/>
      <c r="G3233" s="19" t="s">
        <v>3189</v>
      </c>
      <c r="H3233" s="5" t="s">
        <v>3178</v>
      </c>
      <c r="I3233" s="9"/>
      <c r="J3233" s="5"/>
      <c r="K3233" s="5"/>
      <c r="L3233" s="9"/>
      <c r="M3233" s="5">
        <v>4.5</v>
      </c>
      <c r="N3233" s="9" t="s">
        <v>6447</v>
      </c>
      <c r="O3233" s="9" t="str">
        <f t="shared" si="301"/>
        <v>PDFを開く</v>
      </c>
      <c r="P3233" s="9" t="s">
        <v>2554</v>
      </c>
    </row>
    <row r="3234" spans="1:16" ht="33.950000000000003" customHeight="1">
      <c r="A3234" s="2" t="s">
        <v>2546</v>
      </c>
      <c r="B3234" s="2" t="s">
        <v>2430</v>
      </c>
      <c r="C3234" s="8" t="s">
        <v>2547</v>
      </c>
      <c r="D3234" s="2">
        <v>2</v>
      </c>
      <c r="E3234" s="8" t="s">
        <v>3191</v>
      </c>
      <c r="F3234" s="2" t="s">
        <v>2513</v>
      </c>
      <c r="G3234" s="2" t="s">
        <v>3177</v>
      </c>
      <c r="H3234" s="2" t="s">
        <v>3178</v>
      </c>
      <c r="I3234" s="8" t="s">
        <v>3179</v>
      </c>
      <c r="J3234" s="2">
        <v>2026</v>
      </c>
      <c r="K3234" s="2">
        <v>32</v>
      </c>
      <c r="L3234" s="8" t="s">
        <v>4126</v>
      </c>
      <c r="M3234" s="2">
        <v>25.3</v>
      </c>
      <c r="N3234" s="8" t="s">
        <v>6502</v>
      </c>
      <c r="O3234" s="8" t="str">
        <f t="shared" si="301"/>
        <v>PDFを開く</v>
      </c>
      <c r="P3234" s="8" t="s">
        <v>2554</v>
      </c>
    </row>
    <row r="3235" spans="1:16" ht="33.950000000000003" customHeight="1">
      <c r="A3235" s="5" t="s">
        <v>2546</v>
      </c>
      <c r="B3235" s="5" t="s">
        <v>2430</v>
      </c>
      <c r="C3235" s="9" t="s">
        <v>2547</v>
      </c>
      <c r="D3235" s="5">
        <v>2</v>
      </c>
      <c r="E3235" s="9" t="s">
        <v>3191</v>
      </c>
      <c r="F3235" s="5" t="s">
        <v>2513</v>
      </c>
      <c r="G3235" s="5" t="s">
        <v>3177</v>
      </c>
      <c r="H3235" s="5" t="s">
        <v>3178</v>
      </c>
      <c r="I3235" s="9" t="s">
        <v>3182</v>
      </c>
      <c r="J3235" s="5">
        <v>2029</v>
      </c>
      <c r="K3235" s="5">
        <v>63</v>
      </c>
      <c r="L3235" s="9" t="s">
        <v>3442</v>
      </c>
      <c r="M3235" s="5">
        <v>25.3</v>
      </c>
      <c r="N3235" s="9" t="s">
        <v>6502</v>
      </c>
      <c r="O3235" s="9" t="str">
        <f t="shared" si="301"/>
        <v>PDFを開く</v>
      </c>
      <c r="P3235" s="9" t="s">
        <v>2554</v>
      </c>
    </row>
    <row r="3236" spans="1:16" ht="33.950000000000003" customHeight="1">
      <c r="A3236" s="2" t="s">
        <v>2546</v>
      </c>
      <c r="B3236" s="2" t="s">
        <v>2430</v>
      </c>
      <c r="C3236" s="8" t="s">
        <v>2547</v>
      </c>
      <c r="D3236" s="2">
        <v>2</v>
      </c>
      <c r="E3236" s="8" t="s">
        <v>3188</v>
      </c>
      <c r="F3236" s="2" t="s">
        <v>2513</v>
      </c>
      <c r="G3236" s="2" t="s">
        <v>3177</v>
      </c>
      <c r="H3236" s="2"/>
      <c r="I3236" s="8" t="s">
        <v>6503</v>
      </c>
      <c r="J3236" s="2">
        <v>2026</v>
      </c>
      <c r="K3236" s="2"/>
      <c r="L3236" s="8" t="s">
        <v>3211</v>
      </c>
      <c r="M3236" s="2">
        <v>4.5</v>
      </c>
      <c r="N3236" s="8" t="s">
        <v>6451</v>
      </c>
      <c r="O3236" s="8" t="str">
        <f t="shared" si="301"/>
        <v>PDFを開く</v>
      </c>
      <c r="P3236" s="8" t="s">
        <v>2554</v>
      </c>
    </row>
    <row r="3237" spans="1:16" ht="33.950000000000003" customHeight="1">
      <c r="A3237" s="5" t="s">
        <v>2546</v>
      </c>
      <c r="B3237" s="5" t="s">
        <v>2430</v>
      </c>
      <c r="C3237" s="9" t="s">
        <v>2547</v>
      </c>
      <c r="D3237" s="5">
        <v>2</v>
      </c>
      <c r="E3237" s="9" t="s">
        <v>3188</v>
      </c>
      <c r="F3237" s="5" t="s">
        <v>2513</v>
      </c>
      <c r="G3237" s="5" t="s">
        <v>3177</v>
      </c>
      <c r="H3237" s="5"/>
      <c r="I3237" s="9" t="s">
        <v>6504</v>
      </c>
      <c r="J3237" s="5">
        <v>2029</v>
      </c>
      <c r="K3237" s="5"/>
      <c r="L3237" s="9" t="s">
        <v>3284</v>
      </c>
      <c r="M3237" s="5">
        <v>4.5</v>
      </c>
      <c r="N3237" s="9" t="s">
        <v>6451</v>
      </c>
      <c r="O3237" s="9" t="str">
        <f t="shared" si="301"/>
        <v>PDFを開く</v>
      </c>
      <c r="P3237" s="9" t="s">
        <v>2554</v>
      </c>
    </row>
    <row r="3238" spans="1:16" ht="33.950000000000003" customHeight="1">
      <c r="A3238" s="2" t="s">
        <v>2555</v>
      </c>
      <c r="B3238" s="2" t="s">
        <v>2430</v>
      </c>
      <c r="C3238" s="8" t="s">
        <v>2556</v>
      </c>
      <c r="D3238" s="2">
        <v>2</v>
      </c>
      <c r="E3238" s="8" t="s">
        <v>3176</v>
      </c>
      <c r="F3238" s="2"/>
      <c r="G3238" s="19" t="s">
        <v>3189</v>
      </c>
      <c r="H3238" s="2"/>
      <c r="I3238" s="8" t="s">
        <v>3302</v>
      </c>
      <c r="J3238" s="2"/>
      <c r="K3238" s="2">
        <v>22602</v>
      </c>
      <c r="L3238" s="8" t="s">
        <v>6505</v>
      </c>
      <c r="M3238" s="2"/>
      <c r="N3238" s="8" t="s">
        <v>6506</v>
      </c>
      <c r="O3238" s="8" t="str">
        <f t="shared" ref="O3238:O3248" si="302">HYPERLINK("https://seichotoushi-hojo.jp/assets/pdf/koufu_3_4ji/outline_135.pdf","PDFを開く")</f>
        <v>PDFを開く</v>
      </c>
      <c r="P3238" s="8" t="s">
        <v>2563</v>
      </c>
    </row>
    <row r="3239" spans="1:16" ht="33.950000000000003" customHeight="1">
      <c r="A3239" s="5" t="s">
        <v>2555</v>
      </c>
      <c r="B3239" s="5" t="s">
        <v>2430</v>
      </c>
      <c r="C3239" s="9" t="s">
        <v>2556</v>
      </c>
      <c r="D3239" s="5">
        <v>2</v>
      </c>
      <c r="E3239" s="9" t="s">
        <v>3184</v>
      </c>
      <c r="F3239" s="5"/>
      <c r="G3239" s="19" t="s">
        <v>3189</v>
      </c>
      <c r="H3239" s="5"/>
      <c r="I3239" s="9" t="s">
        <v>3302</v>
      </c>
      <c r="J3239" s="5"/>
      <c r="K3239" s="5">
        <v>6223</v>
      </c>
      <c r="L3239" s="9" t="s">
        <v>6507</v>
      </c>
      <c r="M3239" s="5"/>
      <c r="N3239" s="9" t="s">
        <v>6508</v>
      </c>
      <c r="O3239" s="9" t="str">
        <f t="shared" si="302"/>
        <v>PDFを開く</v>
      </c>
      <c r="P3239" s="9" t="s">
        <v>2563</v>
      </c>
    </row>
    <row r="3240" spans="1:16" ht="33.950000000000003" customHeight="1">
      <c r="A3240" s="2" t="s">
        <v>2555</v>
      </c>
      <c r="B3240" s="2" t="s">
        <v>2430</v>
      </c>
      <c r="C3240" s="8" t="s">
        <v>2556</v>
      </c>
      <c r="D3240" s="2">
        <v>2</v>
      </c>
      <c r="E3240" s="8" t="s">
        <v>3188</v>
      </c>
      <c r="F3240" s="2"/>
      <c r="G3240" s="19" t="s">
        <v>3189</v>
      </c>
      <c r="H3240" s="2"/>
      <c r="I3240" s="8" t="s">
        <v>3302</v>
      </c>
      <c r="J3240" s="2"/>
      <c r="K3240" s="2">
        <v>27</v>
      </c>
      <c r="L3240" s="8" t="s">
        <v>4318</v>
      </c>
      <c r="M3240" s="2"/>
      <c r="N3240" s="8" t="s">
        <v>6509</v>
      </c>
      <c r="O3240" s="8" t="str">
        <f t="shared" si="302"/>
        <v>PDFを開く</v>
      </c>
      <c r="P3240" s="8" t="s">
        <v>2563</v>
      </c>
    </row>
    <row r="3241" spans="1:16" ht="33.950000000000003" customHeight="1">
      <c r="A3241" s="5" t="s">
        <v>2555</v>
      </c>
      <c r="B3241" s="5" t="s">
        <v>2430</v>
      </c>
      <c r="C3241" s="9" t="s">
        <v>2556</v>
      </c>
      <c r="D3241" s="5">
        <v>2</v>
      </c>
      <c r="E3241" s="9" t="s">
        <v>3188</v>
      </c>
      <c r="F3241" s="5"/>
      <c r="G3241" s="19" t="s">
        <v>3189</v>
      </c>
      <c r="H3241" s="5"/>
      <c r="I3241" s="9" t="s">
        <v>3302</v>
      </c>
      <c r="J3241" s="5"/>
      <c r="K3241" s="5">
        <v>57</v>
      </c>
      <c r="L3241" s="9" t="s">
        <v>4673</v>
      </c>
      <c r="M3241" s="5"/>
      <c r="N3241" s="9" t="s">
        <v>6509</v>
      </c>
      <c r="O3241" s="9" t="str">
        <f t="shared" si="302"/>
        <v>PDFを開く</v>
      </c>
      <c r="P3241" s="9" t="s">
        <v>2563</v>
      </c>
    </row>
    <row r="3242" spans="1:16" ht="33.950000000000003" customHeight="1">
      <c r="A3242" s="2" t="s">
        <v>2555</v>
      </c>
      <c r="B3242" s="2" t="s">
        <v>2430</v>
      </c>
      <c r="C3242" s="8" t="s">
        <v>2556</v>
      </c>
      <c r="D3242" s="2">
        <v>2</v>
      </c>
      <c r="E3242" s="8" t="s">
        <v>3191</v>
      </c>
      <c r="F3242" s="2" t="s">
        <v>2513</v>
      </c>
      <c r="G3242" s="19" t="s">
        <v>3189</v>
      </c>
      <c r="H3242" s="2"/>
      <c r="I3242" s="8"/>
      <c r="J3242" s="2"/>
      <c r="K3242" s="2"/>
      <c r="L3242" s="8"/>
      <c r="M3242" s="2"/>
      <c r="N3242" s="8" t="s">
        <v>6510</v>
      </c>
      <c r="O3242" s="8" t="str">
        <f t="shared" si="302"/>
        <v>PDFを開く</v>
      </c>
      <c r="P3242" s="8" t="s">
        <v>2563</v>
      </c>
    </row>
    <row r="3243" spans="1:16" ht="33.950000000000003" customHeight="1">
      <c r="A3243" s="5" t="s">
        <v>2555</v>
      </c>
      <c r="B3243" s="5" t="s">
        <v>2430</v>
      </c>
      <c r="C3243" s="9" t="s">
        <v>2556</v>
      </c>
      <c r="D3243" s="5">
        <v>2</v>
      </c>
      <c r="E3243" s="9" t="s">
        <v>3176</v>
      </c>
      <c r="F3243" s="5" t="s">
        <v>447</v>
      </c>
      <c r="G3243" s="5" t="s">
        <v>3177</v>
      </c>
      <c r="H3243" s="5"/>
      <c r="I3243" s="9" t="s">
        <v>5351</v>
      </c>
      <c r="J3243" s="5">
        <v>2028</v>
      </c>
      <c r="K3243" s="5">
        <v>11947</v>
      </c>
      <c r="L3243" s="9" t="s">
        <v>6511</v>
      </c>
      <c r="M3243" s="5">
        <v>23.7</v>
      </c>
      <c r="N3243" s="9" t="s">
        <v>6512</v>
      </c>
      <c r="O3243" s="9" t="str">
        <f t="shared" si="302"/>
        <v>PDFを開く</v>
      </c>
      <c r="P3243" s="9" t="s">
        <v>2563</v>
      </c>
    </row>
    <row r="3244" spans="1:16" ht="33.950000000000003" customHeight="1">
      <c r="A3244" s="2" t="s">
        <v>2555</v>
      </c>
      <c r="B3244" s="2" t="s">
        <v>2430</v>
      </c>
      <c r="C3244" s="8" t="s">
        <v>2556</v>
      </c>
      <c r="D3244" s="2">
        <v>2</v>
      </c>
      <c r="E3244" s="8" t="s">
        <v>3176</v>
      </c>
      <c r="F3244" s="2" t="s">
        <v>447</v>
      </c>
      <c r="G3244" s="2" t="s">
        <v>3177</v>
      </c>
      <c r="H3244" s="2"/>
      <c r="I3244" s="8" t="s">
        <v>5353</v>
      </c>
      <c r="J3244" s="2">
        <v>2031</v>
      </c>
      <c r="K3244" s="2">
        <v>22602</v>
      </c>
      <c r="L3244" s="8" t="s">
        <v>6513</v>
      </c>
      <c r="M3244" s="2">
        <v>23.7</v>
      </c>
      <c r="N3244" s="8" t="s">
        <v>6512</v>
      </c>
      <c r="O3244" s="8" t="str">
        <f t="shared" si="302"/>
        <v>PDFを開く</v>
      </c>
      <c r="P3244" s="8" t="s">
        <v>2563</v>
      </c>
    </row>
    <row r="3245" spans="1:16" ht="33.950000000000003" customHeight="1">
      <c r="A3245" s="5" t="s">
        <v>2555</v>
      </c>
      <c r="B3245" s="5" t="s">
        <v>2430</v>
      </c>
      <c r="C3245" s="9" t="s">
        <v>2556</v>
      </c>
      <c r="D3245" s="5">
        <v>2</v>
      </c>
      <c r="E3245" s="9" t="s">
        <v>3184</v>
      </c>
      <c r="F3245" s="5" t="s">
        <v>447</v>
      </c>
      <c r="G3245" s="5" t="s">
        <v>3177</v>
      </c>
      <c r="H3245" s="5"/>
      <c r="I3245" s="9" t="s">
        <v>5351</v>
      </c>
      <c r="J3245" s="5">
        <v>2028</v>
      </c>
      <c r="K3245" s="5">
        <v>5067</v>
      </c>
      <c r="L3245" s="9" t="s">
        <v>6514</v>
      </c>
      <c r="M3245" s="5">
        <v>7.1</v>
      </c>
      <c r="N3245" s="9" t="s">
        <v>6515</v>
      </c>
      <c r="O3245" s="9" t="str">
        <f t="shared" si="302"/>
        <v>PDFを開く</v>
      </c>
      <c r="P3245" s="9" t="s">
        <v>2563</v>
      </c>
    </row>
    <row r="3246" spans="1:16" ht="33.950000000000003" customHeight="1">
      <c r="A3246" s="2" t="s">
        <v>2555</v>
      </c>
      <c r="B3246" s="2" t="s">
        <v>2430</v>
      </c>
      <c r="C3246" s="8" t="s">
        <v>2556</v>
      </c>
      <c r="D3246" s="2">
        <v>2</v>
      </c>
      <c r="E3246" s="8" t="s">
        <v>3184</v>
      </c>
      <c r="F3246" s="2" t="s">
        <v>447</v>
      </c>
      <c r="G3246" s="2" t="s">
        <v>3177</v>
      </c>
      <c r="H3246" s="2"/>
      <c r="I3246" s="8" t="s">
        <v>5353</v>
      </c>
      <c r="J3246" s="2">
        <v>2031</v>
      </c>
      <c r="K3246" s="2">
        <v>6223</v>
      </c>
      <c r="L3246" s="8" t="s">
        <v>6516</v>
      </c>
      <c r="M3246" s="2">
        <v>7.1</v>
      </c>
      <c r="N3246" s="8" t="s">
        <v>6515</v>
      </c>
      <c r="O3246" s="8" t="str">
        <f t="shared" si="302"/>
        <v>PDFを開く</v>
      </c>
      <c r="P3246" s="8" t="s">
        <v>2563</v>
      </c>
    </row>
    <row r="3247" spans="1:16" ht="33.950000000000003" customHeight="1">
      <c r="A3247" s="5" t="s">
        <v>2555</v>
      </c>
      <c r="B3247" s="5" t="s">
        <v>2430</v>
      </c>
      <c r="C3247" s="9" t="s">
        <v>2556</v>
      </c>
      <c r="D3247" s="5">
        <v>2</v>
      </c>
      <c r="E3247" s="9" t="s">
        <v>3191</v>
      </c>
      <c r="F3247" s="5" t="s">
        <v>2513</v>
      </c>
      <c r="G3247" s="5" t="s">
        <v>3177</v>
      </c>
      <c r="H3247" s="5"/>
      <c r="I3247" s="9" t="s">
        <v>5351</v>
      </c>
      <c r="J3247" s="5">
        <v>2028</v>
      </c>
      <c r="K3247" s="5">
        <v>27</v>
      </c>
      <c r="L3247" s="9" t="s">
        <v>4318</v>
      </c>
      <c r="M3247" s="5">
        <v>28.2</v>
      </c>
      <c r="N3247" s="9" t="s">
        <v>6517</v>
      </c>
      <c r="O3247" s="9" t="str">
        <f t="shared" si="302"/>
        <v>PDFを開く</v>
      </c>
      <c r="P3247" s="9" t="s">
        <v>2563</v>
      </c>
    </row>
    <row r="3248" spans="1:16" ht="33.950000000000003" customHeight="1">
      <c r="A3248" s="2" t="s">
        <v>2555</v>
      </c>
      <c r="B3248" s="2" t="s">
        <v>2430</v>
      </c>
      <c r="C3248" s="8" t="s">
        <v>2556</v>
      </c>
      <c r="D3248" s="2">
        <v>2</v>
      </c>
      <c r="E3248" s="8" t="s">
        <v>3191</v>
      </c>
      <c r="F3248" s="2" t="s">
        <v>2513</v>
      </c>
      <c r="G3248" s="2" t="s">
        <v>3177</v>
      </c>
      <c r="H3248" s="2"/>
      <c r="I3248" s="8" t="s">
        <v>5353</v>
      </c>
      <c r="J3248" s="2">
        <v>2031</v>
      </c>
      <c r="K3248" s="2">
        <v>57</v>
      </c>
      <c r="L3248" s="8" t="s">
        <v>4673</v>
      </c>
      <c r="M3248" s="2">
        <v>28.2</v>
      </c>
      <c r="N3248" s="8" t="s">
        <v>6517</v>
      </c>
      <c r="O3248" s="8" t="str">
        <f t="shared" si="302"/>
        <v>PDFを開く</v>
      </c>
      <c r="P3248" s="8" t="s">
        <v>2563</v>
      </c>
    </row>
    <row r="3249" spans="1:16" ht="33.950000000000003" customHeight="1">
      <c r="A3249" s="5" t="s">
        <v>2564</v>
      </c>
      <c r="B3249" s="5" t="s">
        <v>2430</v>
      </c>
      <c r="C3249" s="9" t="s">
        <v>2565</v>
      </c>
      <c r="D3249" s="5">
        <v>2</v>
      </c>
      <c r="E3249" s="9" t="s">
        <v>3176</v>
      </c>
      <c r="F3249" s="5" t="s">
        <v>447</v>
      </c>
      <c r="G3249" s="5" t="s">
        <v>3177</v>
      </c>
      <c r="H3249" s="5"/>
      <c r="I3249" s="9" t="s">
        <v>3302</v>
      </c>
      <c r="J3249" s="5"/>
      <c r="K3249" s="5">
        <v>9860</v>
      </c>
      <c r="L3249" s="9" t="s">
        <v>6518</v>
      </c>
      <c r="M3249" s="5">
        <v>17.3</v>
      </c>
      <c r="N3249" s="9" t="s">
        <v>6519</v>
      </c>
      <c r="O3249" s="9" t="str">
        <f t="shared" ref="O3249:O3257" si="303">HYPERLINK("https://seichotoushi-hojo.jp/assets/pdf/koufu_3_4ji/outline_136.pdf","PDFを開く")</f>
        <v>PDFを開く</v>
      </c>
      <c r="P3249" s="9" t="s">
        <v>2571</v>
      </c>
    </row>
    <row r="3250" spans="1:16" ht="33.950000000000003" customHeight="1">
      <c r="A3250" s="2" t="s">
        <v>2564</v>
      </c>
      <c r="B3250" s="2" t="s">
        <v>2430</v>
      </c>
      <c r="C3250" s="8" t="s">
        <v>2565</v>
      </c>
      <c r="D3250" s="2">
        <v>2</v>
      </c>
      <c r="E3250" s="8" t="s">
        <v>3176</v>
      </c>
      <c r="F3250" s="2" t="s">
        <v>447</v>
      </c>
      <c r="G3250" s="2" t="s">
        <v>3177</v>
      </c>
      <c r="H3250" s="2"/>
      <c r="I3250" s="8" t="s">
        <v>3305</v>
      </c>
      <c r="J3250" s="2"/>
      <c r="K3250" s="2">
        <v>15912</v>
      </c>
      <c r="L3250" s="8" t="s">
        <v>6520</v>
      </c>
      <c r="M3250" s="2">
        <v>17.3</v>
      </c>
      <c r="N3250" s="8" t="s">
        <v>6519</v>
      </c>
      <c r="O3250" s="8" t="str">
        <f t="shared" si="303"/>
        <v>PDFを開く</v>
      </c>
      <c r="P3250" s="8" t="s">
        <v>2571</v>
      </c>
    </row>
    <row r="3251" spans="1:16" ht="33.950000000000003" customHeight="1">
      <c r="A3251" s="5" t="s">
        <v>2564</v>
      </c>
      <c r="B3251" s="5" t="s">
        <v>2430</v>
      </c>
      <c r="C3251" s="9" t="s">
        <v>2565</v>
      </c>
      <c r="D3251" s="5">
        <v>2</v>
      </c>
      <c r="E3251" s="9" t="s">
        <v>3184</v>
      </c>
      <c r="F3251" s="5" t="s">
        <v>447</v>
      </c>
      <c r="G3251" s="5" t="s">
        <v>3177</v>
      </c>
      <c r="H3251" s="5"/>
      <c r="I3251" s="9" t="s">
        <v>3302</v>
      </c>
      <c r="J3251" s="5"/>
      <c r="K3251" s="5">
        <v>4828</v>
      </c>
      <c r="L3251" s="9" t="s">
        <v>6521</v>
      </c>
      <c r="M3251" s="5">
        <v>7.5</v>
      </c>
      <c r="N3251" s="9" t="s">
        <v>6522</v>
      </c>
      <c r="O3251" s="9" t="str">
        <f t="shared" si="303"/>
        <v>PDFを開く</v>
      </c>
      <c r="P3251" s="9" t="s">
        <v>2571</v>
      </c>
    </row>
    <row r="3252" spans="1:16" ht="33.950000000000003" customHeight="1">
      <c r="A3252" s="2" t="s">
        <v>2564</v>
      </c>
      <c r="B3252" s="2" t="s">
        <v>2430</v>
      </c>
      <c r="C3252" s="8" t="s">
        <v>2565</v>
      </c>
      <c r="D3252" s="2">
        <v>2</v>
      </c>
      <c r="E3252" s="8" t="s">
        <v>3184</v>
      </c>
      <c r="F3252" s="2" t="s">
        <v>447</v>
      </c>
      <c r="G3252" s="2" t="s">
        <v>3177</v>
      </c>
      <c r="H3252" s="2"/>
      <c r="I3252" s="8" t="s">
        <v>3305</v>
      </c>
      <c r="J3252" s="2"/>
      <c r="K3252" s="2">
        <v>5991</v>
      </c>
      <c r="L3252" s="8" t="s">
        <v>6523</v>
      </c>
      <c r="M3252" s="2">
        <v>7.5</v>
      </c>
      <c r="N3252" s="8" t="s">
        <v>6522</v>
      </c>
      <c r="O3252" s="8" t="str">
        <f t="shared" si="303"/>
        <v>PDFを開く</v>
      </c>
      <c r="P3252" s="8" t="s">
        <v>2571</v>
      </c>
    </row>
    <row r="3253" spans="1:16" ht="33.950000000000003" customHeight="1">
      <c r="A3253" s="5" t="s">
        <v>2564</v>
      </c>
      <c r="B3253" s="5" t="s">
        <v>2430</v>
      </c>
      <c r="C3253" s="9" t="s">
        <v>2565</v>
      </c>
      <c r="D3253" s="5">
        <v>2</v>
      </c>
      <c r="E3253" s="9" t="s">
        <v>3188</v>
      </c>
      <c r="F3253" s="5" t="s">
        <v>447</v>
      </c>
      <c r="G3253" s="19" t="s">
        <v>3189</v>
      </c>
      <c r="H3253" s="5"/>
      <c r="I3253" s="9"/>
      <c r="J3253" s="5"/>
      <c r="K3253" s="5"/>
      <c r="L3253" s="9"/>
      <c r="M3253" s="5">
        <v>4.9000000000000004</v>
      </c>
      <c r="N3253" s="9" t="s">
        <v>6524</v>
      </c>
      <c r="O3253" s="9" t="str">
        <f t="shared" si="303"/>
        <v>PDFを開く</v>
      </c>
      <c r="P3253" s="9" t="s">
        <v>2571</v>
      </c>
    </row>
    <row r="3254" spans="1:16" ht="33.950000000000003" customHeight="1">
      <c r="A3254" s="2" t="s">
        <v>2564</v>
      </c>
      <c r="B3254" s="2" t="s">
        <v>2430</v>
      </c>
      <c r="C3254" s="8" t="s">
        <v>2565</v>
      </c>
      <c r="D3254" s="2">
        <v>2</v>
      </c>
      <c r="E3254" s="8" t="s">
        <v>3191</v>
      </c>
      <c r="F3254" s="2" t="s">
        <v>2513</v>
      </c>
      <c r="G3254" s="2" t="s">
        <v>3177</v>
      </c>
      <c r="H3254" s="2"/>
      <c r="I3254" s="8" t="s">
        <v>3302</v>
      </c>
      <c r="J3254" s="2"/>
      <c r="K3254" s="2">
        <v>70</v>
      </c>
      <c r="L3254" s="8" t="s">
        <v>3545</v>
      </c>
      <c r="M3254" s="2"/>
      <c r="N3254" s="8" t="s">
        <v>6525</v>
      </c>
      <c r="O3254" s="8" t="str">
        <f t="shared" si="303"/>
        <v>PDFを開く</v>
      </c>
      <c r="P3254" s="8" t="s">
        <v>2571</v>
      </c>
    </row>
    <row r="3255" spans="1:16" ht="33.950000000000003" customHeight="1">
      <c r="A3255" s="5" t="s">
        <v>2564</v>
      </c>
      <c r="B3255" s="5" t="s">
        <v>2430</v>
      </c>
      <c r="C3255" s="9" t="s">
        <v>2565</v>
      </c>
      <c r="D3255" s="5">
        <v>2</v>
      </c>
      <c r="E3255" s="9" t="s">
        <v>3191</v>
      </c>
      <c r="F3255" s="5" t="s">
        <v>2513</v>
      </c>
      <c r="G3255" s="5" t="s">
        <v>3177</v>
      </c>
      <c r="H3255" s="5"/>
      <c r="I3255" s="9" t="s">
        <v>3305</v>
      </c>
      <c r="J3255" s="5"/>
      <c r="K3255" s="5">
        <v>93</v>
      </c>
      <c r="L3255" s="9" t="s">
        <v>5181</v>
      </c>
      <c r="M3255" s="5"/>
      <c r="N3255" s="9" t="s">
        <v>6525</v>
      </c>
      <c r="O3255" s="9" t="str">
        <f t="shared" si="303"/>
        <v>PDFを開く</v>
      </c>
      <c r="P3255" s="9" t="s">
        <v>2571</v>
      </c>
    </row>
    <row r="3256" spans="1:16" ht="33.950000000000003" customHeight="1">
      <c r="A3256" s="2" t="s">
        <v>2564</v>
      </c>
      <c r="B3256" s="2" t="s">
        <v>2430</v>
      </c>
      <c r="C3256" s="8" t="s">
        <v>2565</v>
      </c>
      <c r="D3256" s="2">
        <v>2</v>
      </c>
      <c r="E3256" s="8" t="s">
        <v>3188</v>
      </c>
      <c r="F3256" s="2" t="s">
        <v>447</v>
      </c>
      <c r="G3256" s="2" t="s">
        <v>3177</v>
      </c>
      <c r="H3256" s="2"/>
      <c r="I3256" s="8" t="s">
        <v>6526</v>
      </c>
      <c r="J3256" s="2"/>
      <c r="K3256" s="2"/>
      <c r="L3256" s="8" t="s">
        <v>3211</v>
      </c>
      <c r="M3256" s="2">
        <v>4.9000000000000004</v>
      </c>
      <c r="N3256" s="8" t="s">
        <v>6527</v>
      </c>
      <c r="O3256" s="8" t="str">
        <f t="shared" si="303"/>
        <v>PDFを開く</v>
      </c>
      <c r="P3256" s="8" t="s">
        <v>2571</v>
      </c>
    </row>
    <row r="3257" spans="1:16" ht="33.950000000000003" customHeight="1">
      <c r="A3257" s="5" t="s">
        <v>2564</v>
      </c>
      <c r="B3257" s="5" t="s">
        <v>2430</v>
      </c>
      <c r="C3257" s="9" t="s">
        <v>2565</v>
      </c>
      <c r="D3257" s="5">
        <v>2</v>
      </c>
      <c r="E3257" s="9" t="s">
        <v>3188</v>
      </c>
      <c r="F3257" s="5" t="s">
        <v>447</v>
      </c>
      <c r="G3257" s="5" t="s">
        <v>3177</v>
      </c>
      <c r="H3257" s="5"/>
      <c r="I3257" s="9" t="s">
        <v>6528</v>
      </c>
      <c r="J3257" s="5"/>
      <c r="K3257" s="5"/>
      <c r="L3257" s="9" t="s">
        <v>5542</v>
      </c>
      <c r="M3257" s="5">
        <v>4.9000000000000004</v>
      </c>
      <c r="N3257" s="9" t="s">
        <v>6527</v>
      </c>
      <c r="O3257" s="9" t="str">
        <f t="shared" si="303"/>
        <v>PDFを開く</v>
      </c>
      <c r="P3257" s="9" t="s">
        <v>2571</v>
      </c>
    </row>
    <row r="3258" spans="1:16" ht="33.950000000000003" customHeight="1">
      <c r="A3258" s="2" t="s">
        <v>2572</v>
      </c>
      <c r="B3258" s="2" t="s">
        <v>2430</v>
      </c>
      <c r="C3258" s="8" t="s">
        <v>2573</v>
      </c>
      <c r="D3258" s="2">
        <v>2</v>
      </c>
      <c r="E3258" s="8" t="s">
        <v>3176</v>
      </c>
      <c r="F3258" s="2" t="s">
        <v>86</v>
      </c>
      <c r="G3258" s="2" t="s">
        <v>3177</v>
      </c>
      <c r="H3258" s="2" t="s">
        <v>3178</v>
      </c>
      <c r="I3258" s="8" t="s">
        <v>5367</v>
      </c>
      <c r="J3258" s="2">
        <v>2028</v>
      </c>
      <c r="K3258" s="2">
        <v>780</v>
      </c>
      <c r="L3258" s="8" t="s">
        <v>4208</v>
      </c>
      <c r="M3258" s="2">
        <v>11.4</v>
      </c>
      <c r="N3258" s="8" t="s">
        <v>6529</v>
      </c>
      <c r="O3258" s="8" t="str">
        <f t="shared" ref="O3258:O3265" si="304">HYPERLINK("https://seichotoushi-hojo.jp/assets/pdf/koufu_3_4ji/outline_137.pdf","PDFを開く")</f>
        <v>PDFを開く</v>
      </c>
      <c r="P3258" s="8" t="s">
        <v>2579</v>
      </c>
    </row>
    <row r="3259" spans="1:16" ht="33.950000000000003" customHeight="1">
      <c r="A3259" s="5" t="s">
        <v>2572</v>
      </c>
      <c r="B3259" s="5" t="s">
        <v>2430</v>
      </c>
      <c r="C3259" s="9" t="s">
        <v>2573</v>
      </c>
      <c r="D3259" s="5">
        <v>2</v>
      </c>
      <c r="E3259" s="9" t="s">
        <v>3176</v>
      </c>
      <c r="F3259" s="5" t="s">
        <v>86</v>
      </c>
      <c r="G3259" s="5" t="s">
        <v>3177</v>
      </c>
      <c r="H3259" s="5" t="s">
        <v>3178</v>
      </c>
      <c r="I3259" s="9" t="s">
        <v>5370</v>
      </c>
      <c r="J3259" s="5">
        <v>2031</v>
      </c>
      <c r="K3259" s="5">
        <v>1078</v>
      </c>
      <c r="L3259" s="9" t="s">
        <v>6530</v>
      </c>
      <c r="M3259" s="5">
        <v>11.4</v>
      </c>
      <c r="N3259" s="9" t="s">
        <v>6529</v>
      </c>
      <c r="O3259" s="9" t="str">
        <f t="shared" si="304"/>
        <v>PDFを開く</v>
      </c>
      <c r="P3259" s="9" t="s">
        <v>2579</v>
      </c>
    </row>
    <row r="3260" spans="1:16" ht="33.950000000000003" customHeight="1">
      <c r="A3260" s="2" t="s">
        <v>2572</v>
      </c>
      <c r="B3260" s="2" t="s">
        <v>2430</v>
      </c>
      <c r="C3260" s="8" t="s">
        <v>2573</v>
      </c>
      <c r="D3260" s="2">
        <v>2</v>
      </c>
      <c r="E3260" s="8" t="s">
        <v>3191</v>
      </c>
      <c r="F3260" s="2" t="s">
        <v>2513</v>
      </c>
      <c r="G3260" s="2" t="s">
        <v>3177</v>
      </c>
      <c r="H3260" s="2" t="s">
        <v>3178</v>
      </c>
      <c r="I3260" s="8" t="s">
        <v>5367</v>
      </c>
      <c r="J3260" s="2">
        <v>2028</v>
      </c>
      <c r="K3260" s="2">
        <v>57</v>
      </c>
      <c r="L3260" s="8" t="s">
        <v>4673</v>
      </c>
      <c r="M3260" s="2"/>
      <c r="N3260" s="8" t="s">
        <v>6531</v>
      </c>
      <c r="O3260" s="8" t="str">
        <f t="shared" si="304"/>
        <v>PDFを開く</v>
      </c>
      <c r="P3260" s="8" t="s">
        <v>2579</v>
      </c>
    </row>
    <row r="3261" spans="1:16" ht="33.950000000000003" customHeight="1">
      <c r="A3261" s="5" t="s">
        <v>2572</v>
      </c>
      <c r="B3261" s="5" t="s">
        <v>2430</v>
      </c>
      <c r="C3261" s="9" t="s">
        <v>2573</v>
      </c>
      <c r="D3261" s="5">
        <v>2</v>
      </c>
      <c r="E3261" s="9" t="s">
        <v>3191</v>
      </c>
      <c r="F3261" s="5" t="s">
        <v>2513</v>
      </c>
      <c r="G3261" s="5" t="s">
        <v>3177</v>
      </c>
      <c r="H3261" s="5" t="s">
        <v>3178</v>
      </c>
      <c r="I3261" s="9" t="s">
        <v>5370</v>
      </c>
      <c r="J3261" s="5">
        <v>2031</v>
      </c>
      <c r="K3261" s="5">
        <v>63</v>
      </c>
      <c r="L3261" s="9" t="s">
        <v>3442</v>
      </c>
      <c r="M3261" s="5"/>
      <c r="N3261" s="9" t="s">
        <v>6531</v>
      </c>
      <c r="O3261" s="9" t="str">
        <f t="shared" si="304"/>
        <v>PDFを開く</v>
      </c>
      <c r="P3261" s="9" t="s">
        <v>2579</v>
      </c>
    </row>
    <row r="3262" spans="1:16" ht="33.950000000000003" customHeight="1">
      <c r="A3262" s="2" t="s">
        <v>2572</v>
      </c>
      <c r="B3262" s="2" t="s">
        <v>2430</v>
      </c>
      <c r="C3262" s="8" t="s">
        <v>2573</v>
      </c>
      <c r="D3262" s="2">
        <v>2</v>
      </c>
      <c r="E3262" s="8" t="s">
        <v>3184</v>
      </c>
      <c r="F3262" s="2" t="s">
        <v>86</v>
      </c>
      <c r="G3262" s="2" t="s">
        <v>3177</v>
      </c>
      <c r="H3262" s="2"/>
      <c r="I3262" s="8" t="s">
        <v>5351</v>
      </c>
      <c r="J3262" s="2">
        <v>2028</v>
      </c>
      <c r="K3262" s="2">
        <v>262</v>
      </c>
      <c r="L3262" s="8" t="s">
        <v>3556</v>
      </c>
      <c r="M3262" s="2">
        <v>7</v>
      </c>
      <c r="N3262" s="8" t="s">
        <v>6532</v>
      </c>
      <c r="O3262" s="8" t="str">
        <f t="shared" si="304"/>
        <v>PDFを開く</v>
      </c>
      <c r="P3262" s="8" t="s">
        <v>2579</v>
      </c>
    </row>
    <row r="3263" spans="1:16" ht="33.950000000000003" customHeight="1">
      <c r="A3263" s="5" t="s">
        <v>2572</v>
      </c>
      <c r="B3263" s="5" t="s">
        <v>2430</v>
      </c>
      <c r="C3263" s="9" t="s">
        <v>2573</v>
      </c>
      <c r="D3263" s="5">
        <v>2</v>
      </c>
      <c r="E3263" s="9" t="s">
        <v>3184</v>
      </c>
      <c r="F3263" s="5" t="s">
        <v>86</v>
      </c>
      <c r="G3263" s="5" t="s">
        <v>3177</v>
      </c>
      <c r="H3263" s="5"/>
      <c r="I3263" s="9" t="s">
        <v>5353</v>
      </c>
      <c r="J3263" s="5">
        <v>2031</v>
      </c>
      <c r="K3263" s="5">
        <v>321</v>
      </c>
      <c r="L3263" s="9" t="s">
        <v>6207</v>
      </c>
      <c r="M3263" s="5">
        <v>7</v>
      </c>
      <c r="N3263" s="9" t="s">
        <v>6532</v>
      </c>
      <c r="O3263" s="9" t="str">
        <f t="shared" si="304"/>
        <v>PDFを開く</v>
      </c>
      <c r="P3263" s="9" t="s">
        <v>2579</v>
      </c>
    </row>
    <row r="3264" spans="1:16" ht="33.950000000000003" customHeight="1">
      <c r="A3264" s="2" t="s">
        <v>2572</v>
      </c>
      <c r="B3264" s="2" t="s">
        <v>2430</v>
      </c>
      <c r="C3264" s="8" t="s">
        <v>2573</v>
      </c>
      <c r="D3264" s="2">
        <v>2</v>
      </c>
      <c r="E3264" s="8" t="s">
        <v>3188</v>
      </c>
      <c r="F3264" s="2" t="s">
        <v>86</v>
      </c>
      <c r="G3264" s="2" t="s">
        <v>3177</v>
      </c>
      <c r="H3264" s="2"/>
      <c r="I3264" s="8" t="s">
        <v>5351</v>
      </c>
      <c r="J3264" s="2">
        <v>2028</v>
      </c>
      <c r="K3264" s="2">
        <v>870</v>
      </c>
      <c r="L3264" s="8" t="s">
        <v>6533</v>
      </c>
      <c r="M3264" s="2">
        <v>7</v>
      </c>
      <c r="N3264" s="8" t="s">
        <v>6534</v>
      </c>
      <c r="O3264" s="8" t="str">
        <f t="shared" si="304"/>
        <v>PDFを開く</v>
      </c>
      <c r="P3264" s="8" t="s">
        <v>2579</v>
      </c>
    </row>
    <row r="3265" spans="1:16" ht="33.950000000000003" customHeight="1">
      <c r="A3265" s="5" t="s">
        <v>2572</v>
      </c>
      <c r="B3265" s="5" t="s">
        <v>2430</v>
      </c>
      <c r="C3265" s="9" t="s">
        <v>2573</v>
      </c>
      <c r="D3265" s="5">
        <v>2</v>
      </c>
      <c r="E3265" s="9" t="s">
        <v>3188</v>
      </c>
      <c r="F3265" s="5" t="s">
        <v>86</v>
      </c>
      <c r="G3265" s="5" t="s">
        <v>3177</v>
      </c>
      <c r="H3265" s="5"/>
      <c r="I3265" s="9" t="s">
        <v>5353</v>
      </c>
      <c r="J3265" s="5">
        <v>2031</v>
      </c>
      <c r="K3265" s="5">
        <v>1056</v>
      </c>
      <c r="L3265" s="9" t="s">
        <v>6535</v>
      </c>
      <c r="M3265" s="5">
        <v>7</v>
      </c>
      <c r="N3265" s="9" t="s">
        <v>6534</v>
      </c>
      <c r="O3265" s="9" t="str">
        <f t="shared" si="304"/>
        <v>PDFを開く</v>
      </c>
      <c r="P3265" s="9" t="s">
        <v>2579</v>
      </c>
    </row>
    <row r="3266" spans="1:16" ht="33.950000000000003" customHeight="1">
      <c r="A3266" s="2" t="s">
        <v>2580</v>
      </c>
      <c r="B3266" s="2" t="s">
        <v>2430</v>
      </c>
      <c r="C3266" s="8" t="s">
        <v>2581</v>
      </c>
      <c r="D3266" s="2">
        <v>3</v>
      </c>
      <c r="E3266" s="8" t="s">
        <v>3176</v>
      </c>
      <c r="F3266" s="2" t="s">
        <v>447</v>
      </c>
      <c r="G3266" s="2" t="s">
        <v>3177</v>
      </c>
      <c r="H3266" s="2" t="s">
        <v>3178</v>
      </c>
      <c r="I3266" s="8" t="s">
        <v>6536</v>
      </c>
      <c r="J3266" s="2">
        <v>2028</v>
      </c>
      <c r="K3266" s="2">
        <v>6539</v>
      </c>
      <c r="L3266" s="8" t="s">
        <v>6537</v>
      </c>
      <c r="M3266" s="2">
        <v>49.4</v>
      </c>
      <c r="N3266" s="8" t="s">
        <v>6538</v>
      </c>
      <c r="O3266" s="8" t="str">
        <f t="shared" ref="O3266:O3273" si="305">HYPERLINK("https://seichotoushi-hojo.jp/assets/pdf/koufu_3_4ji/outline_138.pdf","PDFを開く")</f>
        <v>PDFを開く</v>
      </c>
      <c r="P3266" s="8" t="s">
        <v>2586</v>
      </c>
    </row>
    <row r="3267" spans="1:16" ht="33.950000000000003" customHeight="1">
      <c r="A3267" s="5" t="s">
        <v>2580</v>
      </c>
      <c r="B3267" s="5" t="s">
        <v>2430</v>
      </c>
      <c r="C3267" s="9" t="s">
        <v>2581</v>
      </c>
      <c r="D3267" s="5">
        <v>3</v>
      </c>
      <c r="E3267" s="9" t="s">
        <v>3176</v>
      </c>
      <c r="F3267" s="5" t="s">
        <v>447</v>
      </c>
      <c r="G3267" s="5" t="s">
        <v>3177</v>
      </c>
      <c r="H3267" s="5" t="s">
        <v>3178</v>
      </c>
      <c r="I3267" s="9" t="s">
        <v>6539</v>
      </c>
      <c r="J3267" s="5">
        <v>2031</v>
      </c>
      <c r="K3267" s="5">
        <v>21814</v>
      </c>
      <c r="L3267" s="9" t="s">
        <v>6540</v>
      </c>
      <c r="M3267" s="5">
        <v>49.4</v>
      </c>
      <c r="N3267" s="9" t="s">
        <v>6538</v>
      </c>
      <c r="O3267" s="9" t="str">
        <f t="shared" si="305"/>
        <v>PDFを開く</v>
      </c>
      <c r="P3267" s="9" t="s">
        <v>2586</v>
      </c>
    </row>
    <row r="3268" spans="1:16" ht="33.950000000000003" customHeight="1">
      <c r="A3268" s="2" t="s">
        <v>2580</v>
      </c>
      <c r="B3268" s="2" t="s">
        <v>2430</v>
      </c>
      <c r="C3268" s="8" t="s">
        <v>2581</v>
      </c>
      <c r="D3268" s="2">
        <v>3</v>
      </c>
      <c r="E3268" s="8" t="s">
        <v>3184</v>
      </c>
      <c r="F3268" s="2" t="s">
        <v>447</v>
      </c>
      <c r="G3268" s="2" t="s">
        <v>3177</v>
      </c>
      <c r="H3268" s="2" t="s">
        <v>3178</v>
      </c>
      <c r="I3268" s="8" t="s">
        <v>6536</v>
      </c>
      <c r="J3268" s="2">
        <v>2028</v>
      </c>
      <c r="K3268" s="2">
        <v>4682</v>
      </c>
      <c r="L3268" s="8" t="s">
        <v>6541</v>
      </c>
      <c r="M3268" s="2">
        <v>7</v>
      </c>
      <c r="N3268" s="8" t="s">
        <v>6542</v>
      </c>
      <c r="O3268" s="8" t="str">
        <f t="shared" si="305"/>
        <v>PDFを開く</v>
      </c>
      <c r="P3268" s="8" t="s">
        <v>2586</v>
      </c>
    </row>
    <row r="3269" spans="1:16" ht="33.950000000000003" customHeight="1">
      <c r="A3269" s="5" t="s">
        <v>2580</v>
      </c>
      <c r="B3269" s="5" t="s">
        <v>2430</v>
      </c>
      <c r="C3269" s="9" t="s">
        <v>2581</v>
      </c>
      <c r="D3269" s="5">
        <v>3</v>
      </c>
      <c r="E3269" s="9" t="s">
        <v>3184</v>
      </c>
      <c r="F3269" s="5" t="s">
        <v>447</v>
      </c>
      <c r="G3269" s="5" t="s">
        <v>3177</v>
      </c>
      <c r="H3269" s="5" t="s">
        <v>3178</v>
      </c>
      <c r="I3269" s="9" t="s">
        <v>6539</v>
      </c>
      <c r="J3269" s="5">
        <v>2031</v>
      </c>
      <c r="K3269" s="5">
        <v>5735</v>
      </c>
      <c r="L3269" s="9" t="s">
        <v>6543</v>
      </c>
      <c r="M3269" s="5">
        <v>7</v>
      </c>
      <c r="N3269" s="9" t="s">
        <v>6542</v>
      </c>
      <c r="O3269" s="9" t="str">
        <f t="shared" si="305"/>
        <v>PDFを開く</v>
      </c>
      <c r="P3269" s="9" t="s">
        <v>2586</v>
      </c>
    </row>
    <row r="3270" spans="1:16" ht="33.950000000000003" customHeight="1">
      <c r="A3270" s="2" t="s">
        <v>2580</v>
      </c>
      <c r="B3270" s="2" t="s">
        <v>2430</v>
      </c>
      <c r="C3270" s="8" t="s">
        <v>2581</v>
      </c>
      <c r="D3270" s="2">
        <v>3</v>
      </c>
      <c r="E3270" s="8" t="s">
        <v>3188</v>
      </c>
      <c r="F3270" s="2" t="s">
        <v>447</v>
      </c>
      <c r="G3270" s="2" t="s">
        <v>3177</v>
      </c>
      <c r="H3270" s="2" t="s">
        <v>3178</v>
      </c>
      <c r="I3270" s="8" t="s">
        <v>6536</v>
      </c>
      <c r="J3270" s="2">
        <v>2028</v>
      </c>
      <c r="K3270" s="2">
        <v>17310</v>
      </c>
      <c r="L3270" s="8" t="s">
        <v>6544</v>
      </c>
      <c r="M3270" s="2">
        <v>5.3</v>
      </c>
      <c r="N3270" s="8" t="s">
        <v>6545</v>
      </c>
      <c r="O3270" s="8" t="str">
        <f t="shared" si="305"/>
        <v>PDFを開く</v>
      </c>
      <c r="P3270" s="8" t="s">
        <v>2586</v>
      </c>
    </row>
    <row r="3271" spans="1:16" ht="33.950000000000003" customHeight="1">
      <c r="A3271" s="5" t="s">
        <v>2580</v>
      </c>
      <c r="B3271" s="5" t="s">
        <v>2430</v>
      </c>
      <c r="C3271" s="9" t="s">
        <v>2581</v>
      </c>
      <c r="D3271" s="5">
        <v>3</v>
      </c>
      <c r="E3271" s="9" t="s">
        <v>3188</v>
      </c>
      <c r="F3271" s="5" t="s">
        <v>447</v>
      </c>
      <c r="G3271" s="5" t="s">
        <v>3177</v>
      </c>
      <c r="H3271" s="5" t="s">
        <v>3178</v>
      </c>
      <c r="I3271" s="9" t="s">
        <v>6539</v>
      </c>
      <c r="J3271" s="5">
        <v>2031</v>
      </c>
      <c r="K3271" s="5">
        <v>20211</v>
      </c>
      <c r="L3271" s="9" t="s">
        <v>6546</v>
      </c>
      <c r="M3271" s="5">
        <v>5.3</v>
      </c>
      <c r="N3271" s="9" t="s">
        <v>6545</v>
      </c>
      <c r="O3271" s="9" t="str">
        <f t="shared" si="305"/>
        <v>PDFを開く</v>
      </c>
      <c r="P3271" s="9" t="s">
        <v>2586</v>
      </c>
    </row>
    <row r="3272" spans="1:16" ht="33.950000000000003" customHeight="1">
      <c r="A3272" s="2" t="s">
        <v>2580</v>
      </c>
      <c r="B3272" s="2" t="s">
        <v>2430</v>
      </c>
      <c r="C3272" s="8" t="s">
        <v>2581</v>
      </c>
      <c r="D3272" s="2">
        <v>3</v>
      </c>
      <c r="E3272" s="8" t="s">
        <v>3191</v>
      </c>
      <c r="F3272" s="2" t="s">
        <v>2513</v>
      </c>
      <c r="G3272" s="2" t="s">
        <v>3177</v>
      </c>
      <c r="H3272" s="2" t="s">
        <v>3178</v>
      </c>
      <c r="I3272" s="8" t="s">
        <v>6536</v>
      </c>
      <c r="J3272" s="2">
        <v>2028</v>
      </c>
      <c r="K3272" s="2">
        <v>270</v>
      </c>
      <c r="L3272" s="8" t="s">
        <v>3192</v>
      </c>
      <c r="M3272" s="2"/>
      <c r="N3272" s="8" t="s">
        <v>6547</v>
      </c>
      <c r="O3272" s="8" t="str">
        <f t="shared" si="305"/>
        <v>PDFを開く</v>
      </c>
      <c r="P3272" s="8" t="s">
        <v>2586</v>
      </c>
    </row>
    <row r="3273" spans="1:16" ht="33.950000000000003" customHeight="1">
      <c r="A3273" s="5" t="s">
        <v>2580</v>
      </c>
      <c r="B3273" s="5" t="s">
        <v>2430</v>
      </c>
      <c r="C3273" s="9" t="s">
        <v>2581</v>
      </c>
      <c r="D3273" s="5">
        <v>3</v>
      </c>
      <c r="E3273" s="9" t="s">
        <v>3191</v>
      </c>
      <c r="F3273" s="5" t="s">
        <v>2513</v>
      </c>
      <c r="G3273" s="5" t="s">
        <v>3177</v>
      </c>
      <c r="H3273" s="5" t="s">
        <v>3178</v>
      </c>
      <c r="I3273" s="9" t="s">
        <v>6539</v>
      </c>
      <c r="J3273" s="5">
        <v>2031</v>
      </c>
      <c r="K3273" s="5">
        <v>294</v>
      </c>
      <c r="L3273" s="9" t="s">
        <v>3846</v>
      </c>
      <c r="M3273" s="5"/>
      <c r="N3273" s="9" t="s">
        <v>6547</v>
      </c>
      <c r="O3273" s="9" t="str">
        <f t="shared" si="305"/>
        <v>PDFを開く</v>
      </c>
      <c r="P3273" s="9" t="s">
        <v>2586</v>
      </c>
    </row>
    <row r="3274" spans="1:16" ht="33.950000000000003" customHeight="1">
      <c r="A3274" s="2" t="s">
        <v>2587</v>
      </c>
      <c r="B3274" s="2" t="s">
        <v>2430</v>
      </c>
      <c r="C3274" s="8" t="s">
        <v>2588</v>
      </c>
      <c r="D3274" s="2">
        <v>2</v>
      </c>
      <c r="E3274" s="8" t="s">
        <v>3176</v>
      </c>
      <c r="F3274" s="2" t="s">
        <v>447</v>
      </c>
      <c r="G3274" s="2" t="s">
        <v>3177</v>
      </c>
      <c r="H3274" s="2" t="s">
        <v>3178</v>
      </c>
      <c r="I3274" s="8" t="s">
        <v>3302</v>
      </c>
      <c r="J3274" s="2"/>
      <c r="K3274" s="2">
        <v>6647</v>
      </c>
      <c r="L3274" s="8" t="s">
        <v>6548</v>
      </c>
      <c r="M3274" s="2">
        <v>33</v>
      </c>
      <c r="N3274" s="8" t="s">
        <v>6549</v>
      </c>
      <c r="O3274" s="8" t="str">
        <f t="shared" ref="O3274:O3282" si="306">HYPERLINK("https://seichotoushi-hojo.jp/assets/pdf/koufu_3_4ji/outline_139.pdf","PDFを開く")</f>
        <v>PDFを開く</v>
      </c>
      <c r="P3274" s="8" t="s">
        <v>2594</v>
      </c>
    </row>
    <row r="3275" spans="1:16" ht="33.950000000000003" customHeight="1">
      <c r="A3275" s="5" t="s">
        <v>2587</v>
      </c>
      <c r="B3275" s="5" t="s">
        <v>2430</v>
      </c>
      <c r="C3275" s="9" t="s">
        <v>2588</v>
      </c>
      <c r="D3275" s="5">
        <v>2</v>
      </c>
      <c r="E3275" s="9" t="s">
        <v>3176</v>
      </c>
      <c r="F3275" s="5" t="s">
        <v>447</v>
      </c>
      <c r="G3275" s="5" t="s">
        <v>3177</v>
      </c>
      <c r="H3275" s="5" t="s">
        <v>3178</v>
      </c>
      <c r="I3275" s="9" t="s">
        <v>3305</v>
      </c>
      <c r="J3275" s="5"/>
      <c r="K3275" s="5">
        <v>15637</v>
      </c>
      <c r="L3275" s="9" t="s">
        <v>6550</v>
      </c>
      <c r="M3275" s="5">
        <v>33</v>
      </c>
      <c r="N3275" s="9" t="s">
        <v>6549</v>
      </c>
      <c r="O3275" s="9" t="str">
        <f t="shared" si="306"/>
        <v>PDFを開く</v>
      </c>
      <c r="P3275" s="9" t="s">
        <v>2594</v>
      </c>
    </row>
    <row r="3276" spans="1:16" ht="33.950000000000003" customHeight="1">
      <c r="A3276" s="2" t="s">
        <v>2587</v>
      </c>
      <c r="B3276" s="2" t="s">
        <v>2430</v>
      </c>
      <c r="C3276" s="8" t="s">
        <v>2588</v>
      </c>
      <c r="D3276" s="2">
        <v>2</v>
      </c>
      <c r="E3276" s="8" t="s">
        <v>3184</v>
      </c>
      <c r="F3276" s="2" t="s">
        <v>447</v>
      </c>
      <c r="G3276" s="2" t="s">
        <v>3177</v>
      </c>
      <c r="H3276" s="2"/>
      <c r="I3276" s="8" t="s">
        <v>3302</v>
      </c>
      <c r="J3276" s="2"/>
      <c r="K3276" s="2">
        <v>3874</v>
      </c>
      <c r="L3276" s="8" t="s">
        <v>6551</v>
      </c>
      <c r="M3276" s="2">
        <v>7</v>
      </c>
      <c r="N3276" s="8" t="s">
        <v>6552</v>
      </c>
      <c r="O3276" s="8" t="str">
        <f t="shared" si="306"/>
        <v>PDFを開く</v>
      </c>
      <c r="P3276" s="8" t="s">
        <v>2594</v>
      </c>
    </row>
    <row r="3277" spans="1:16" ht="33.950000000000003" customHeight="1">
      <c r="A3277" s="5" t="s">
        <v>2587</v>
      </c>
      <c r="B3277" s="5" t="s">
        <v>2430</v>
      </c>
      <c r="C3277" s="9" t="s">
        <v>2588</v>
      </c>
      <c r="D3277" s="5">
        <v>2</v>
      </c>
      <c r="E3277" s="9" t="s">
        <v>3184</v>
      </c>
      <c r="F3277" s="5" t="s">
        <v>447</v>
      </c>
      <c r="G3277" s="5" t="s">
        <v>3177</v>
      </c>
      <c r="H3277" s="5"/>
      <c r="I3277" s="9" t="s">
        <v>3305</v>
      </c>
      <c r="J3277" s="5"/>
      <c r="K3277" s="5">
        <v>4746</v>
      </c>
      <c r="L3277" s="9" t="s">
        <v>6553</v>
      </c>
      <c r="M3277" s="5">
        <v>7</v>
      </c>
      <c r="N3277" s="9" t="s">
        <v>6552</v>
      </c>
      <c r="O3277" s="9" t="str">
        <f t="shared" si="306"/>
        <v>PDFを開く</v>
      </c>
      <c r="P3277" s="9" t="s">
        <v>2594</v>
      </c>
    </row>
    <row r="3278" spans="1:16" ht="33.950000000000003" customHeight="1">
      <c r="A3278" s="2" t="s">
        <v>2587</v>
      </c>
      <c r="B3278" s="2" t="s">
        <v>2430</v>
      </c>
      <c r="C3278" s="8" t="s">
        <v>2588</v>
      </c>
      <c r="D3278" s="2">
        <v>2</v>
      </c>
      <c r="E3278" s="8" t="s">
        <v>3188</v>
      </c>
      <c r="F3278" s="2" t="s">
        <v>447</v>
      </c>
      <c r="G3278" s="19" t="s">
        <v>3189</v>
      </c>
      <c r="H3278" s="2"/>
      <c r="I3278" s="8"/>
      <c r="J3278" s="2"/>
      <c r="K3278" s="2"/>
      <c r="L3278" s="8"/>
      <c r="M3278" s="2">
        <v>7</v>
      </c>
      <c r="N3278" s="8" t="s">
        <v>6481</v>
      </c>
      <c r="O3278" s="8" t="str">
        <f t="shared" si="306"/>
        <v>PDFを開く</v>
      </c>
      <c r="P3278" s="8" t="s">
        <v>2594</v>
      </c>
    </row>
    <row r="3279" spans="1:16" ht="33.950000000000003" customHeight="1">
      <c r="A3279" s="5" t="s">
        <v>2587</v>
      </c>
      <c r="B3279" s="5" t="s">
        <v>2430</v>
      </c>
      <c r="C3279" s="9" t="s">
        <v>2588</v>
      </c>
      <c r="D3279" s="5">
        <v>2</v>
      </c>
      <c r="E3279" s="9" t="s">
        <v>3191</v>
      </c>
      <c r="F3279" s="5" t="s">
        <v>2513</v>
      </c>
      <c r="G3279" s="5" t="s">
        <v>3177</v>
      </c>
      <c r="H3279" s="5"/>
      <c r="I3279" s="9" t="s">
        <v>3302</v>
      </c>
      <c r="J3279" s="5"/>
      <c r="K3279" s="5">
        <v>252</v>
      </c>
      <c r="L3279" s="9" t="s">
        <v>6554</v>
      </c>
      <c r="M3279" s="5"/>
      <c r="N3279" s="9" t="s">
        <v>6555</v>
      </c>
      <c r="O3279" s="9" t="str">
        <f t="shared" si="306"/>
        <v>PDFを開く</v>
      </c>
      <c r="P3279" s="9" t="s">
        <v>2594</v>
      </c>
    </row>
    <row r="3280" spans="1:16" ht="33.950000000000003" customHeight="1">
      <c r="A3280" s="2" t="s">
        <v>2587</v>
      </c>
      <c r="B3280" s="2" t="s">
        <v>2430</v>
      </c>
      <c r="C3280" s="8" t="s">
        <v>2588</v>
      </c>
      <c r="D3280" s="2">
        <v>2</v>
      </c>
      <c r="E3280" s="8" t="s">
        <v>3191</v>
      </c>
      <c r="F3280" s="2" t="s">
        <v>2513</v>
      </c>
      <c r="G3280" s="2" t="s">
        <v>3177</v>
      </c>
      <c r="H3280" s="2"/>
      <c r="I3280" s="8" t="s">
        <v>3305</v>
      </c>
      <c r="J3280" s="2"/>
      <c r="K3280" s="2">
        <v>274</v>
      </c>
      <c r="L3280" s="8" t="s">
        <v>3775</v>
      </c>
      <c r="M3280" s="2"/>
      <c r="N3280" s="8" t="s">
        <v>6555</v>
      </c>
      <c r="O3280" s="8" t="str">
        <f t="shared" si="306"/>
        <v>PDFを開く</v>
      </c>
      <c r="P3280" s="8" t="s">
        <v>2594</v>
      </c>
    </row>
    <row r="3281" spans="1:16" ht="33.950000000000003" customHeight="1">
      <c r="A3281" s="5" t="s">
        <v>2587</v>
      </c>
      <c r="B3281" s="5" t="s">
        <v>2430</v>
      </c>
      <c r="C3281" s="9" t="s">
        <v>2588</v>
      </c>
      <c r="D3281" s="5">
        <v>2</v>
      </c>
      <c r="E3281" s="9" t="s">
        <v>3188</v>
      </c>
      <c r="F3281" s="5" t="s">
        <v>447</v>
      </c>
      <c r="G3281" s="5" t="s">
        <v>3177</v>
      </c>
      <c r="H3281" s="5"/>
      <c r="I3281" s="9" t="s">
        <v>6556</v>
      </c>
      <c r="J3281" s="5"/>
      <c r="K3281" s="5"/>
      <c r="L3281" s="9" t="s">
        <v>3211</v>
      </c>
      <c r="M3281" s="5">
        <v>7</v>
      </c>
      <c r="N3281" s="9" t="s">
        <v>6372</v>
      </c>
      <c r="O3281" s="9" t="str">
        <f t="shared" si="306"/>
        <v>PDFを開く</v>
      </c>
      <c r="P3281" s="9" t="s">
        <v>2594</v>
      </c>
    </row>
    <row r="3282" spans="1:16" ht="33.950000000000003" customHeight="1">
      <c r="A3282" s="2" t="s">
        <v>2587</v>
      </c>
      <c r="B3282" s="2" t="s">
        <v>2430</v>
      </c>
      <c r="C3282" s="8" t="s">
        <v>2588</v>
      </c>
      <c r="D3282" s="2">
        <v>2</v>
      </c>
      <c r="E3282" s="8" t="s">
        <v>3188</v>
      </c>
      <c r="F3282" s="2" t="s">
        <v>447</v>
      </c>
      <c r="G3282" s="2" t="s">
        <v>3177</v>
      </c>
      <c r="H3282" s="2"/>
      <c r="I3282" s="8" t="s">
        <v>6557</v>
      </c>
      <c r="J3282" s="2"/>
      <c r="K3282" s="2"/>
      <c r="L3282" s="8" t="s">
        <v>6374</v>
      </c>
      <c r="M3282" s="2">
        <v>7</v>
      </c>
      <c r="N3282" s="8" t="s">
        <v>6372</v>
      </c>
      <c r="O3282" s="8" t="str">
        <f t="shared" si="306"/>
        <v>PDFを開く</v>
      </c>
      <c r="P3282" s="8" t="s">
        <v>2594</v>
      </c>
    </row>
    <row r="3283" spans="1:16" ht="33.950000000000003" customHeight="1">
      <c r="A3283" s="5" t="s">
        <v>2595</v>
      </c>
      <c r="B3283" s="5" t="s">
        <v>2430</v>
      </c>
      <c r="C3283" s="9" t="s">
        <v>2596</v>
      </c>
      <c r="D3283" s="5">
        <v>2</v>
      </c>
      <c r="E3283" s="9" t="s">
        <v>3176</v>
      </c>
      <c r="F3283" s="5" t="s">
        <v>447</v>
      </c>
      <c r="G3283" s="5" t="s">
        <v>3177</v>
      </c>
      <c r="H3283" s="5"/>
      <c r="I3283" s="9" t="s">
        <v>3302</v>
      </c>
      <c r="J3283" s="5"/>
      <c r="K3283" s="5">
        <v>12519</v>
      </c>
      <c r="L3283" s="9" t="s">
        <v>6558</v>
      </c>
      <c r="M3283" s="5">
        <v>32.1</v>
      </c>
      <c r="N3283" s="9" t="s">
        <v>6559</v>
      </c>
      <c r="O3283" s="9" t="str">
        <f t="shared" ref="O3283:O3298" si="307">HYPERLINK("https://seichotoushi-hojo.jp/assets/pdf/koufu_3_4ji/outline_141.pdf","PDFを開く")</f>
        <v>PDFを開く</v>
      </c>
      <c r="P3283" s="9" t="s">
        <v>2604</v>
      </c>
    </row>
    <row r="3284" spans="1:16" ht="33.950000000000003" customHeight="1">
      <c r="A3284" s="2" t="s">
        <v>2595</v>
      </c>
      <c r="B3284" s="2" t="s">
        <v>2430</v>
      </c>
      <c r="C3284" s="8" t="s">
        <v>2596</v>
      </c>
      <c r="D3284" s="2">
        <v>2</v>
      </c>
      <c r="E3284" s="8" t="s">
        <v>3176</v>
      </c>
      <c r="F3284" s="2" t="s">
        <v>447</v>
      </c>
      <c r="G3284" s="2" t="s">
        <v>3177</v>
      </c>
      <c r="H3284" s="2"/>
      <c r="I3284" s="8" t="s">
        <v>3305</v>
      </c>
      <c r="J3284" s="2"/>
      <c r="K3284" s="2">
        <v>28886</v>
      </c>
      <c r="L3284" s="8" t="s">
        <v>6560</v>
      </c>
      <c r="M3284" s="2">
        <v>32.1</v>
      </c>
      <c r="N3284" s="8" t="s">
        <v>6559</v>
      </c>
      <c r="O3284" s="8" t="str">
        <f t="shared" si="307"/>
        <v>PDFを開く</v>
      </c>
      <c r="P3284" s="8" t="s">
        <v>2604</v>
      </c>
    </row>
    <row r="3285" spans="1:16" ht="33.950000000000003" customHeight="1">
      <c r="A3285" s="5" t="s">
        <v>2595</v>
      </c>
      <c r="B3285" s="5" t="s">
        <v>2430</v>
      </c>
      <c r="C3285" s="9" t="s">
        <v>2596</v>
      </c>
      <c r="D3285" s="5">
        <v>2</v>
      </c>
      <c r="E3285" s="9" t="s">
        <v>3184</v>
      </c>
      <c r="F3285" s="5" t="s">
        <v>447</v>
      </c>
      <c r="G3285" s="5" t="s">
        <v>3177</v>
      </c>
      <c r="H3285" s="5"/>
      <c r="I3285" s="9" t="s">
        <v>3302</v>
      </c>
      <c r="J3285" s="5"/>
      <c r="K3285" s="5">
        <v>5651</v>
      </c>
      <c r="L3285" s="9" t="s">
        <v>6561</v>
      </c>
      <c r="M3285" s="5">
        <v>7.4</v>
      </c>
      <c r="N3285" s="9" t="s">
        <v>6562</v>
      </c>
      <c r="O3285" s="9" t="str">
        <f t="shared" si="307"/>
        <v>PDFを開く</v>
      </c>
      <c r="P3285" s="9" t="s">
        <v>2604</v>
      </c>
    </row>
    <row r="3286" spans="1:16" ht="33.950000000000003" customHeight="1">
      <c r="A3286" s="2" t="s">
        <v>2595</v>
      </c>
      <c r="B3286" s="2" t="s">
        <v>2430</v>
      </c>
      <c r="C3286" s="8" t="s">
        <v>2596</v>
      </c>
      <c r="D3286" s="2">
        <v>2</v>
      </c>
      <c r="E3286" s="8" t="s">
        <v>3184</v>
      </c>
      <c r="F3286" s="2" t="s">
        <v>447</v>
      </c>
      <c r="G3286" s="2" t="s">
        <v>3177</v>
      </c>
      <c r="H3286" s="2"/>
      <c r="I3286" s="8" t="s">
        <v>3305</v>
      </c>
      <c r="J3286" s="2"/>
      <c r="K3286" s="2">
        <v>7001</v>
      </c>
      <c r="L3286" s="8" t="s">
        <v>6563</v>
      </c>
      <c r="M3286" s="2">
        <v>7.4</v>
      </c>
      <c r="N3286" s="8" t="s">
        <v>6562</v>
      </c>
      <c r="O3286" s="8" t="str">
        <f t="shared" si="307"/>
        <v>PDFを開く</v>
      </c>
      <c r="P3286" s="8" t="s">
        <v>2604</v>
      </c>
    </row>
    <row r="3287" spans="1:16" ht="33.950000000000003" customHeight="1">
      <c r="A3287" s="5" t="s">
        <v>2595</v>
      </c>
      <c r="B3287" s="5" t="s">
        <v>2430</v>
      </c>
      <c r="C3287" s="9" t="s">
        <v>2596</v>
      </c>
      <c r="D3287" s="5">
        <v>2</v>
      </c>
      <c r="E3287" s="9" t="s">
        <v>3188</v>
      </c>
      <c r="F3287" s="5" t="s">
        <v>447</v>
      </c>
      <c r="G3287" s="19" t="s">
        <v>3189</v>
      </c>
      <c r="H3287" s="5"/>
      <c r="I3287" s="9"/>
      <c r="J3287" s="5"/>
      <c r="K3287" s="5"/>
      <c r="L3287" s="9"/>
      <c r="M3287" s="5">
        <v>6.6</v>
      </c>
      <c r="N3287" s="9" t="s">
        <v>6564</v>
      </c>
      <c r="O3287" s="9" t="str">
        <f t="shared" si="307"/>
        <v>PDFを開く</v>
      </c>
      <c r="P3287" s="9" t="s">
        <v>2604</v>
      </c>
    </row>
    <row r="3288" spans="1:16" ht="33.950000000000003" customHeight="1">
      <c r="A3288" s="2" t="s">
        <v>2595</v>
      </c>
      <c r="B3288" s="2" t="s">
        <v>2430</v>
      </c>
      <c r="C3288" s="8" t="s">
        <v>2596</v>
      </c>
      <c r="D3288" s="2">
        <v>2</v>
      </c>
      <c r="E3288" s="8" t="s">
        <v>3191</v>
      </c>
      <c r="F3288" s="2" t="s">
        <v>2513</v>
      </c>
      <c r="G3288" s="2" t="s">
        <v>3177</v>
      </c>
      <c r="H3288" s="2"/>
      <c r="I3288" s="8" t="s">
        <v>3302</v>
      </c>
      <c r="J3288" s="2"/>
      <c r="K3288" s="2">
        <v>209</v>
      </c>
      <c r="L3288" s="8" t="s">
        <v>4008</v>
      </c>
      <c r="M3288" s="2"/>
      <c r="N3288" s="8" t="s">
        <v>6565</v>
      </c>
      <c r="O3288" s="8" t="str">
        <f t="shared" si="307"/>
        <v>PDFを開く</v>
      </c>
      <c r="P3288" s="8" t="s">
        <v>2604</v>
      </c>
    </row>
    <row r="3289" spans="1:16" ht="33.950000000000003" customHeight="1">
      <c r="A3289" s="5" t="s">
        <v>2595</v>
      </c>
      <c r="B3289" s="5" t="s">
        <v>2430</v>
      </c>
      <c r="C3289" s="9" t="s">
        <v>2596</v>
      </c>
      <c r="D3289" s="5">
        <v>2</v>
      </c>
      <c r="E3289" s="9" t="s">
        <v>3191</v>
      </c>
      <c r="F3289" s="5" t="s">
        <v>2513</v>
      </c>
      <c r="G3289" s="5" t="s">
        <v>3177</v>
      </c>
      <c r="H3289" s="5"/>
      <c r="I3289" s="9" t="s">
        <v>3305</v>
      </c>
      <c r="J3289" s="5"/>
      <c r="K3289" s="5">
        <v>213</v>
      </c>
      <c r="L3289" s="9" t="s">
        <v>4059</v>
      </c>
      <c r="M3289" s="5"/>
      <c r="N3289" s="9" t="s">
        <v>6565</v>
      </c>
      <c r="O3289" s="9" t="str">
        <f t="shared" si="307"/>
        <v>PDFを開く</v>
      </c>
      <c r="P3289" s="9" t="s">
        <v>2604</v>
      </c>
    </row>
    <row r="3290" spans="1:16" ht="33.950000000000003" customHeight="1">
      <c r="A3290" s="2" t="s">
        <v>2595</v>
      </c>
      <c r="B3290" s="2" t="s">
        <v>2430</v>
      </c>
      <c r="C3290" s="8" t="s">
        <v>2596</v>
      </c>
      <c r="D3290" s="2">
        <v>3</v>
      </c>
      <c r="E3290" s="8" t="s">
        <v>3176</v>
      </c>
      <c r="F3290" s="2" t="s">
        <v>447</v>
      </c>
      <c r="G3290" s="2" t="s">
        <v>3177</v>
      </c>
      <c r="H3290" s="2"/>
      <c r="I3290" s="8" t="s">
        <v>3302</v>
      </c>
      <c r="J3290" s="2"/>
      <c r="K3290" s="2">
        <v>4760</v>
      </c>
      <c r="L3290" s="8" t="s">
        <v>6566</v>
      </c>
      <c r="M3290" s="2">
        <v>27.9</v>
      </c>
      <c r="N3290" s="8" t="s">
        <v>6567</v>
      </c>
      <c r="O3290" s="8" t="str">
        <f t="shared" si="307"/>
        <v>PDFを開く</v>
      </c>
      <c r="P3290" s="8" t="s">
        <v>2604</v>
      </c>
    </row>
    <row r="3291" spans="1:16" ht="33.950000000000003" customHeight="1">
      <c r="A3291" s="5" t="s">
        <v>2595</v>
      </c>
      <c r="B3291" s="5" t="s">
        <v>2430</v>
      </c>
      <c r="C3291" s="9" t="s">
        <v>2596</v>
      </c>
      <c r="D3291" s="5">
        <v>3</v>
      </c>
      <c r="E3291" s="9" t="s">
        <v>3176</v>
      </c>
      <c r="F3291" s="5" t="s">
        <v>447</v>
      </c>
      <c r="G3291" s="5" t="s">
        <v>3177</v>
      </c>
      <c r="H3291" s="5"/>
      <c r="I3291" s="9" t="s">
        <v>3305</v>
      </c>
      <c r="J3291" s="5"/>
      <c r="K3291" s="5">
        <v>9968</v>
      </c>
      <c r="L3291" s="9" t="s">
        <v>6568</v>
      </c>
      <c r="M3291" s="5">
        <v>27.9</v>
      </c>
      <c r="N3291" s="9" t="s">
        <v>6567</v>
      </c>
      <c r="O3291" s="9" t="str">
        <f t="shared" si="307"/>
        <v>PDFを開く</v>
      </c>
      <c r="P3291" s="9" t="s">
        <v>2604</v>
      </c>
    </row>
    <row r="3292" spans="1:16" ht="33.950000000000003" customHeight="1">
      <c r="A3292" s="2" t="s">
        <v>2595</v>
      </c>
      <c r="B3292" s="2" t="s">
        <v>2430</v>
      </c>
      <c r="C3292" s="8" t="s">
        <v>2596</v>
      </c>
      <c r="D3292" s="2">
        <v>3</v>
      </c>
      <c r="E3292" s="8" t="s">
        <v>3184</v>
      </c>
      <c r="F3292" s="2" t="s">
        <v>447</v>
      </c>
      <c r="G3292" s="2" t="s">
        <v>3177</v>
      </c>
      <c r="H3292" s="2"/>
      <c r="I3292" s="8" t="s">
        <v>3302</v>
      </c>
      <c r="J3292" s="2"/>
      <c r="K3292" s="2">
        <v>3838</v>
      </c>
      <c r="L3292" s="8" t="s">
        <v>6569</v>
      </c>
      <c r="M3292" s="2">
        <v>7.4</v>
      </c>
      <c r="N3292" s="8" t="s">
        <v>6570</v>
      </c>
      <c r="O3292" s="8" t="str">
        <f t="shared" si="307"/>
        <v>PDFを開く</v>
      </c>
      <c r="P3292" s="8" t="s">
        <v>2604</v>
      </c>
    </row>
    <row r="3293" spans="1:16" ht="33.950000000000003" customHeight="1">
      <c r="A3293" s="5" t="s">
        <v>2595</v>
      </c>
      <c r="B3293" s="5" t="s">
        <v>2430</v>
      </c>
      <c r="C3293" s="9" t="s">
        <v>2596</v>
      </c>
      <c r="D3293" s="5">
        <v>3</v>
      </c>
      <c r="E3293" s="9" t="s">
        <v>3184</v>
      </c>
      <c r="F3293" s="5" t="s">
        <v>447</v>
      </c>
      <c r="G3293" s="5" t="s">
        <v>3177</v>
      </c>
      <c r="H3293" s="5"/>
      <c r="I3293" s="9" t="s">
        <v>3305</v>
      </c>
      <c r="J3293" s="5"/>
      <c r="K3293" s="5">
        <v>4754</v>
      </c>
      <c r="L3293" s="9" t="s">
        <v>6571</v>
      </c>
      <c r="M3293" s="5">
        <v>7.4</v>
      </c>
      <c r="N3293" s="9" t="s">
        <v>6570</v>
      </c>
      <c r="O3293" s="9" t="str">
        <f t="shared" si="307"/>
        <v>PDFを開く</v>
      </c>
      <c r="P3293" s="9" t="s">
        <v>2604</v>
      </c>
    </row>
    <row r="3294" spans="1:16" ht="33.950000000000003" customHeight="1">
      <c r="A3294" s="2" t="s">
        <v>2595</v>
      </c>
      <c r="B3294" s="2" t="s">
        <v>2430</v>
      </c>
      <c r="C3294" s="8" t="s">
        <v>2596</v>
      </c>
      <c r="D3294" s="2">
        <v>3</v>
      </c>
      <c r="E3294" s="8" t="s">
        <v>3188</v>
      </c>
      <c r="F3294" s="2" t="s">
        <v>447</v>
      </c>
      <c r="G3294" s="19" t="s">
        <v>3189</v>
      </c>
      <c r="H3294" s="2"/>
      <c r="I3294" s="8"/>
      <c r="J3294" s="2"/>
      <c r="K3294" s="2"/>
      <c r="L3294" s="8"/>
      <c r="M3294" s="2">
        <v>6.6</v>
      </c>
      <c r="N3294" s="8" t="s">
        <v>6564</v>
      </c>
      <c r="O3294" s="8" t="str">
        <f t="shared" si="307"/>
        <v>PDFを開く</v>
      </c>
      <c r="P3294" s="8" t="s">
        <v>2604</v>
      </c>
    </row>
    <row r="3295" spans="1:16" ht="33.950000000000003" customHeight="1">
      <c r="A3295" s="5" t="s">
        <v>2595</v>
      </c>
      <c r="B3295" s="5" t="s">
        <v>2430</v>
      </c>
      <c r="C3295" s="9" t="s">
        <v>2596</v>
      </c>
      <c r="D3295" s="5">
        <v>3</v>
      </c>
      <c r="E3295" s="9" t="s">
        <v>3191</v>
      </c>
      <c r="F3295" s="5" t="s">
        <v>2513</v>
      </c>
      <c r="G3295" s="5" t="s">
        <v>3177</v>
      </c>
      <c r="H3295" s="5"/>
      <c r="I3295" s="9" t="s">
        <v>3302</v>
      </c>
      <c r="J3295" s="5"/>
      <c r="K3295" s="5">
        <v>98</v>
      </c>
      <c r="L3295" s="9" t="s">
        <v>5486</v>
      </c>
      <c r="M3295" s="5"/>
      <c r="N3295" s="9" t="s">
        <v>6572</v>
      </c>
      <c r="O3295" s="9" t="str">
        <f t="shared" si="307"/>
        <v>PDFを開く</v>
      </c>
      <c r="P3295" s="9" t="s">
        <v>2604</v>
      </c>
    </row>
    <row r="3296" spans="1:16" ht="33.950000000000003" customHeight="1">
      <c r="A3296" s="2" t="s">
        <v>2595</v>
      </c>
      <c r="B3296" s="2" t="s">
        <v>2430</v>
      </c>
      <c r="C3296" s="8" t="s">
        <v>2596</v>
      </c>
      <c r="D3296" s="2">
        <v>3</v>
      </c>
      <c r="E3296" s="8" t="s">
        <v>3191</v>
      </c>
      <c r="F3296" s="2" t="s">
        <v>2513</v>
      </c>
      <c r="G3296" s="2" t="s">
        <v>3177</v>
      </c>
      <c r="H3296" s="2"/>
      <c r="I3296" s="8" t="s">
        <v>3305</v>
      </c>
      <c r="J3296" s="2"/>
      <c r="K3296" s="2">
        <v>100</v>
      </c>
      <c r="L3296" s="8" t="s">
        <v>3417</v>
      </c>
      <c r="M3296" s="2"/>
      <c r="N3296" s="8" t="s">
        <v>6572</v>
      </c>
      <c r="O3296" s="8" t="str">
        <f t="shared" si="307"/>
        <v>PDFを開く</v>
      </c>
      <c r="P3296" s="8" t="s">
        <v>2604</v>
      </c>
    </row>
    <row r="3297" spans="1:16" ht="33.950000000000003" customHeight="1">
      <c r="A3297" s="5" t="s">
        <v>2595</v>
      </c>
      <c r="B3297" s="5" t="s">
        <v>2430</v>
      </c>
      <c r="C3297" s="9" t="s">
        <v>2596</v>
      </c>
      <c r="D3297" s="5">
        <v>2</v>
      </c>
      <c r="E3297" s="9" t="s">
        <v>3188</v>
      </c>
      <c r="F3297" s="5" t="s">
        <v>447</v>
      </c>
      <c r="G3297" s="5" t="s">
        <v>3177</v>
      </c>
      <c r="H3297" s="5"/>
      <c r="I3297" s="9" t="s">
        <v>6573</v>
      </c>
      <c r="J3297" s="5"/>
      <c r="K3297" s="5"/>
      <c r="L3297" s="9" t="s">
        <v>3211</v>
      </c>
      <c r="M3297" s="5">
        <v>6.6</v>
      </c>
      <c r="N3297" s="9" t="s">
        <v>6425</v>
      </c>
      <c r="O3297" s="9" t="str">
        <f t="shared" si="307"/>
        <v>PDFを開く</v>
      </c>
      <c r="P3297" s="9" t="s">
        <v>2604</v>
      </c>
    </row>
    <row r="3298" spans="1:16" ht="33.950000000000003" customHeight="1">
      <c r="A3298" s="2" t="s">
        <v>2595</v>
      </c>
      <c r="B3298" s="2" t="s">
        <v>2430</v>
      </c>
      <c r="C3298" s="8" t="s">
        <v>2596</v>
      </c>
      <c r="D3298" s="2">
        <v>2</v>
      </c>
      <c r="E3298" s="8" t="s">
        <v>3188</v>
      </c>
      <c r="F3298" s="2" t="s">
        <v>447</v>
      </c>
      <c r="G3298" s="2" t="s">
        <v>3177</v>
      </c>
      <c r="H3298" s="2"/>
      <c r="I3298" s="8" t="s">
        <v>6574</v>
      </c>
      <c r="J3298" s="2"/>
      <c r="K3298" s="2"/>
      <c r="L3298" s="8" t="s">
        <v>6427</v>
      </c>
      <c r="M3298" s="2">
        <v>6.6</v>
      </c>
      <c r="N3298" s="8" t="s">
        <v>6425</v>
      </c>
      <c r="O3298" s="8" t="str">
        <f t="shared" si="307"/>
        <v>PDFを開く</v>
      </c>
      <c r="P3298" s="8" t="s">
        <v>2604</v>
      </c>
    </row>
    <row r="3299" spans="1:16" ht="33.950000000000003" customHeight="1">
      <c r="A3299" s="5" t="s">
        <v>2605</v>
      </c>
      <c r="B3299" s="5" t="s">
        <v>2430</v>
      </c>
      <c r="C3299" s="9" t="s">
        <v>2606</v>
      </c>
      <c r="D3299" s="5">
        <v>2</v>
      </c>
      <c r="E3299" s="9" t="s">
        <v>3176</v>
      </c>
      <c r="F3299" s="5" t="s">
        <v>447</v>
      </c>
      <c r="G3299" s="5" t="s">
        <v>3177</v>
      </c>
      <c r="H3299" s="5" t="s">
        <v>3178</v>
      </c>
      <c r="I3299" s="9" t="s">
        <v>6575</v>
      </c>
      <c r="J3299" s="5">
        <v>2026</v>
      </c>
      <c r="K3299" s="5">
        <v>9669</v>
      </c>
      <c r="L3299" s="9" t="s">
        <v>6576</v>
      </c>
      <c r="M3299" s="5">
        <v>21.3</v>
      </c>
      <c r="N3299" s="9" t="s">
        <v>6577</v>
      </c>
      <c r="O3299" s="9" t="str">
        <f t="shared" ref="O3299:O3307" si="308">HYPERLINK("https://seichotoushi-hojo.jp/assets/pdf/koufu_3_4ji/outline_143.pdf","PDFを開く")</f>
        <v>PDFを開く</v>
      </c>
      <c r="P3299" s="9" t="s">
        <v>2611</v>
      </c>
    </row>
    <row r="3300" spans="1:16" ht="33.950000000000003" customHeight="1">
      <c r="A3300" s="2" t="s">
        <v>2605</v>
      </c>
      <c r="B3300" s="2" t="s">
        <v>2430</v>
      </c>
      <c r="C3300" s="8" t="s">
        <v>2606</v>
      </c>
      <c r="D3300" s="2">
        <v>2</v>
      </c>
      <c r="E3300" s="8" t="s">
        <v>3176</v>
      </c>
      <c r="F3300" s="2" t="s">
        <v>447</v>
      </c>
      <c r="G3300" s="2" t="s">
        <v>3177</v>
      </c>
      <c r="H3300" s="2" t="s">
        <v>3178</v>
      </c>
      <c r="I3300" s="8" t="s">
        <v>6578</v>
      </c>
      <c r="J3300" s="2">
        <v>2029</v>
      </c>
      <c r="K3300" s="2">
        <v>17259</v>
      </c>
      <c r="L3300" s="8" t="s">
        <v>6579</v>
      </c>
      <c r="M3300" s="2">
        <v>21.3</v>
      </c>
      <c r="N3300" s="8" t="s">
        <v>6577</v>
      </c>
      <c r="O3300" s="8" t="str">
        <f t="shared" si="308"/>
        <v>PDFを開く</v>
      </c>
      <c r="P3300" s="8" t="s">
        <v>2611</v>
      </c>
    </row>
    <row r="3301" spans="1:16" ht="33.950000000000003" customHeight="1">
      <c r="A3301" s="5" t="s">
        <v>2605</v>
      </c>
      <c r="B3301" s="5" t="s">
        <v>2430</v>
      </c>
      <c r="C3301" s="9" t="s">
        <v>2606</v>
      </c>
      <c r="D3301" s="5">
        <v>2</v>
      </c>
      <c r="E3301" s="9" t="s">
        <v>3184</v>
      </c>
      <c r="F3301" s="5" t="s">
        <v>447</v>
      </c>
      <c r="G3301" s="5" t="s">
        <v>3177</v>
      </c>
      <c r="H3301" s="5" t="s">
        <v>3178</v>
      </c>
      <c r="I3301" s="9" t="s">
        <v>6575</v>
      </c>
      <c r="J3301" s="5">
        <v>2026</v>
      </c>
      <c r="K3301" s="5">
        <v>2329</v>
      </c>
      <c r="L3301" s="9" t="s">
        <v>6580</v>
      </c>
      <c r="M3301" s="5">
        <v>6.8</v>
      </c>
      <c r="N3301" s="9" t="s">
        <v>6581</v>
      </c>
      <c r="O3301" s="9" t="str">
        <f t="shared" si="308"/>
        <v>PDFを開く</v>
      </c>
      <c r="P3301" s="9" t="s">
        <v>2611</v>
      </c>
    </row>
    <row r="3302" spans="1:16" ht="33.950000000000003" customHeight="1">
      <c r="A3302" s="2" t="s">
        <v>2605</v>
      </c>
      <c r="B3302" s="2" t="s">
        <v>2430</v>
      </c>
      <c r="C3302" s="8" t="s">
        <v>2606</v>
      </c>
      <c r="D3302" s="2">
        <v>2</v>
      </c>
      <c r="E3302" s="8" t="s">
        <v>3184</v>
      </c>
      <c r="F3302" s="2" t="s">
        <v>447</v>
      </c>
      <c r="G3302" s="2" t="s">
        <v>3177</v>
      </c>
      <c r="H3302" s="2" t="s">
        <v>3178</v>
      </c>
      <c r="I3302" s="8" t="s">
        <v>6578</v>
      </c>
      <c r="J3302" s="2">
        <v>2029</v>
      </c>
      <c r="K3302" s="2">
        <v>2837</v>
      </c>
      <c r="L3302" s="8" t="s">
        <v>6582</v>
      </c>
      <c r="M3302" s="2">
        <v>6.8</v>
      </c>
      <c r="N3302" s="8" t="s">
        <v>6581</v>
      </c>
      <c r="O3302" s="8" t="str">
        <f t="shared" si="308"/>
        <v>PDFを開く</v>
      </c>
      <c r="P3302" s="8" t="s">
        <v>2611</v>
      </c>
    </row>
    <row r="3303" spans="1:16" ht="33.950000000000003" customHeight="1">
      <c r="A3303" s="5" t="s">
        <v>2605</v>
      </c>
      <c r="B3303" s="5" t="s">
        <v>2430</v>
      </c>
      <c r="C3303" s="9" t="s">
        <v>2606</v>
      </c>
      <c r="D3303" s="5">
        <v>2</v>
      </c>
      <c r="E3303" s="9" t="s">
        <v>3188</v>
      </c>
      <c r="F3303" s="5" t="s">
        <v>447</v>
      </c>
      <c r="G3303" s="19" t="s">
        <v>3189</v>
      </c>
      <c r="H3303" s="5" t="s">
        <v>3178</v>
      </c>
      <c r="I3303" s="9"/>
      <c r="J3303" s="5"/>
      <c r="K3303" s="5"/>
      <c r="L3303" s="9"/>
      <c r="M3303" s="5">
        <v>6.8</v>
      </c>
      <c r="N3303" s="9" t="s">
        <v>6583</v>
      </c>
      <c r="O3303" s="9" t="str">
        <f t="shared" si="308"/>
        <v>PDFを開く</v>
      </c>
      <c r="P3303" s="9" t="s">
        <v>2611</v>
      </c>
    </row>
    <row r="3304" spans="1:16" ht="33.950000000000003" customHeight="1">
      <c r="A3304" s="2" t="s">
        <v>2605</v>
      </c>
      <c r="B3304" s="2" t="s">
        <v>2430</v>
      </c>
      <c r="C3304" s="8" t="s">
        <v>2606</v>
      </c>
      <c r="D3304" s="2">
        <v>2</v>
      </c>
      <c r="E3304" s="8" t="s">
        <v>3191</v>
      </c>
      <c r="F3304" s="2" t="s">
        <v>2513</v>
      </c>
      <c r="G3304" s="2" t="s">
        <v>3177</v>
      </c>
      <c r="H3304" s="2" t="s">
        <v>3178</v>
      </c>
      <c r="I3304" s="8" t="s">
        <v>6575</v>
      </c>
      <c r="J3304" s="2">
        <v>2026</v>
      </c>
      <c r="K3304" s="2">
        <v>175</v>
      </c>
      <c r="L3304" s="8" t="s">
        <v>4460</v>
      </c>
      <c r="M3304" s="2"/>
      <c r="N3304" s="8" t="s">
        <v>6584</v>
      </c>
      <c r="O3304" s="8" t="str">
        <f t="shared" si="308"/>
        <v>PDFを開く</v>
      </c>
      <c r="P3304" s="8" t="s">
        <v>2611</v>
      </c>
    </row>
    <row r="3305" spans="1:16" ht="33.950000000000003" customHeight="1">
      <c r="A3305" s="5" t="s">
        <v>2605</v>
      </c>
      <c r="B3305" s="5" t="s">
        <v>2430</v>
      </c>
      <c r="C3305" s="9" t="s">
        <v>2606</v>
      </c>
      <c r="D3305" s="5">
        <v>2</v>
      </c>
      <c r="E3305" s="9" t="s">
        <v>3191</v>
      </c>
      <c r="F3305" s="5" t="s">
        <v>2513</v>
      </c>
      <c r="G3305" s="5" t="s">
        <v>3177</v>
      </c>
      <c r="H3305" s="5" t="s">
        <v>3178</v>
      </c>
      <c r="I3305" s="9" t="s">
        <v>6578</v>
      </c>
      <c r="J3305" s="5">
        <v>2029</v>
      </c>
      <c r="K3305" s="5">
        <v>192</v>
      </c>
      <c r="L3305" s="9" t="s">
        <v>5373</v>
      </c>
      <c r="M3305" s="5"/>
      <c r="N3305" s="9" t="s">
        <v>6584</v>
      </c>
      <c r="O3305" s="9" t="str">
        <f t="shared" si="308"/>
        <v>PDFを開く</v>
      </c>
      <c r="P3305" s="9" t="s">
        <v>2611</v>
      </c>
    </row>
    <row r="3306" spans="1:16" ht="33.950000000000003" customHeight="1">
      <c r="A3306" s="2" t="s">
        <v>2605</v>
      </c>
      <c r="B3306" s="2" t="s">
        <v>2430</v>
      </c>
      <c r="C3306" s="8" t="s">
        <v>2606</v>
      </c>
      <c r="D3306" s="2">
        <v>2</v>
      </c>
      <c r="E3306" s="8" t="s">
        <v>3188</v>
      </c>
      <c r="F3306" s="2" t="s">
        <v>447</v>
      </c>
      <c r="G3306" s="2" t="s">
        <v>3177</v>
      </c>
      <c r="H3306" s="2"/>
      <c r="I3306" s="8" t="s">
        <v>6585</v>
      </c>
      <c r="J3306" s="2">
        <v>2026</v>
      </c>
      <c r="K3306" s="2"/>
      <c r="L3306" s="8" t="s">
        <v>3211</v>
      </c>
      <c r="M3306" s="2">
        <v>6.8</v>
      </c>
      <c r="N3306" s="8" t="s">
        <v>6586</v>
      </c>
      <c r="O3306" s="8" t="str">
        <f t="shared" si="308"/>
        <v>PDFを開く</v>
      </c>
      <c r="P3306" s="8" t="s">
        <v>2611</v>
      </c>
    </row>
    <row r="3307" spans="1:16" ht="33.950000000000003" customHeight="1">
      <c r="A3307" s="5" t="s">
        <v>2605</v>
      </c>
      <c r="B3307" s="5" t="s">
        <v>2430</v>
      </c>
      <c r="C3307" s="9" t="s">
        <v>2606</v>
      </c>
      <c r="D3307" s="5">
        <v>2</v>
      </c>
      <c r="E3307" s="9" t="s">
        <v>3188</v>
      </c>
      <c r="F3307" s="5" t="s">
        <v>447</v>
      </c>
      <c r="G3307" s="5" t="s">
        <v>3177</v>
      </c>
      <c r="H3307" s="5"/>
      <c r="I3307" s="9" t="s">
        <v>6587</v>
      </c>
      <c r="J3307" s="5">
        <v>2029</v>
      </c>
      <c r="K3307" s="5"/>
      <c r="L3307" s="9" t="s">
        <v>6588</v>
      </c>
      <c r="M3307" s="5">
        <v>6.8</v>
      </c>
      <c r="N3307" s="9" t="s">
        <v>6586</v>
      </c>
      <c r="O3307" s="9" t="str">
        <f t="shared" si="308"/>
        <v>PDFを開く</v>
      </c>
      <c r="P3307" s="9" t="s">
        <v>2611</v>
      </c>
    </row>
    <row r="3308" spans="1:16" ht="33.950000000000003" customHeight="1">
      <c r="A3308" s="2" t="s">
        <v>2612</v>
      </c>
      <c r="B3308" s="2" t="s">
        <v>2430</v>
      </c>
      <c r="C3308" s="8" t="s">
        <v>2613</v>
      </c>
      <c r="D3308" s="2">
        <v>2</v>
      </c>
      <c r="E3308" s="8" t="s">
        <v>3176</v>
      </c>
      <c r="F3308" s="2" t="s">
        <v>447</v>
      </c>
      <c r="G3308" s="2" t="s">
        <v>3177</v>
      </c>
      <c r="H3308" s="2" t="s">
        <v>3178</v>
      </c>
      <c r="I3308" s="8" t="s">
        <v>3302</v>
      </c>
      <c r="J3308" s="2"/>
      <c r="K3308" s="2">
        <v>10990</v>
      </c>
      <c r="L3308" s="8" t="s">
        <v>6589</v>
      </c>
      <c r="M3308" s="2">
        <v>26.5</v>
      </c>
      <c r="N3308" s="8" t="s">
        <v>6590</v>
      </c>
      <c r="O3308" s="8" t="str">
        <f t="shared" ref="O3308:O3316" si="309">HYPERLINK("https://seichotoushi-hojo.jp/assets/pdf/koufu_3_4ji/outline_144.pdf","PDFを開く")</f>
        <v>PDFを開く</v>
      </c>
      <c r="P3308" s="8" t="s">
        <v>2619</v>
      </c>
    </row>
    <row r="3309" spans="1:16" ht="33.950000000000003" customHeight="1">
      <c r="A3309" s="5" t="s">
        <v>2612</v>
      </c>
      <c r="B3309" s="5" t="s">
        <v>2430</v>
      </c>
      <c r="C3309" s="9" t="s">
        <v>2613</v>
      </c>
      <c r="D3309" s="5">
        <v>2</v>
      </c>
      <c r="E3309" s="9" t="s">
        <v>3176</v>
      </c>
      <c r="F3309" s="5" t="s">
        <v>447</v>
      </c>
      <c r="G3309" s="5" t="s">
        <v>3177</v>
      </c>
      <c r="H3309" s="5" t="s">
        <v>3178</v>
      </c>
      <c r="I3309" s="9" t="s">
        <v>3305</v>
      </c>
      <c r="J3309" s="5"/>
      <c r="K3309" s="5">
        <v>22268</v>
      </c>
      <c r="L3309" s="9" t="s">
        <v>6591</v>
      </c>
      <c r="M3309" s="5">
        <v>26.5</v>
      </c>
      <c r="N3309" s="9" t="s">
        <v>6590</v>
      </c>
      <c r="O3309" s="9" t="str">
        <f t="shared" si="309"/>
        <v>PDFを開く</v>
      </c>
      <c r="P3309" s="9" t="s">
        <v>2619</v>
      </c>
    </row>
    <row r="3310" spans="1:16" ht="33.950000000000003" customHeight="1">
      <c r="A3310" s="2" t="s">
        <v>2612</v>
      </c>
      <c r="B3310" s="2" t="s">
        <v>2430</v>
      </c>
      <c r="C3310" s="8" t="s">
        <v>2613</v>
      </c>
      <c r="D3310" s="2">
        <v>2</v>
      </c>
      <c r="E3310" s="8" t="s">
        <v>3184</v>
      </c>
      <c r="F3310" s="2" t="s">
        <v>447</v>
      </c>
      <c r="G3310" s="2" t="s">
        <v>3177</v>
      </c>
      <c r="H3310" s="2" t="s">
        <v>3178</v>
      </c>
      <c r="I3310" s="8" t="s">
        <v>3302</v>
      </c>
      <c r="J3310" s="2"/>
      <c r="K3310" s="2">
        <v>4743</v>
      </c>
      <c r="L3310" s="8" t="s">
        <v>6592</v>
      </c>
      <c r="M3310" s="2">
        <v>7</v>
      </c>
      <c r="N3310" s="8" t="s">
        <v>6593</v>
      </c>
      <c r="O3310" s="8" t="str">
        <f t="shared" si="309"/>
        <v>PDFを開く</v>
      </c>
      <c r="P3310" s="8" t="s">
        <v>2619</v>
      </c>
    </row>
    <row r="3311" spans="1:16" ht="33.950000000000003" customHeight="1">
      <c r="A3311" s="5" t="s">
        <v>2612</v>
      </c>
      <c r="B3311" s="5" t="s">
        <v>2430</v>
      </c>
      <c r="C3311" s="9" t="s">
        <v>2613</v>
      </c>
      <c r="D3311" s="5">
        <v>2</v>
      </c>
      <c r="E3311" s="9" t="s">
        <v>3184</v>
      </c>
      <c r="F3311" s="5" t="s">
        <v>447</v>
      </c>
      <c r="G3311" s="5" t="s">
        <v>3177</v>
      </c>
      <c r="H3311" s="5" t="s">
        <v>3178</v>
      </c>
      <c r="I3311" s="9" t="s">
        <v>3305</v>
      </c>
      <c r="J3311" s="5"/>
      <c r="K3311" s="5">
        <v>5810</v>
      </c>
      <c r="L3311" s="9" t="s">
        <v>6594</v>
      </c>
      <c r="M3311" s="5">
        <v>7</v>
      </c>
      <c r="N3311" s="9" t="s">
        <v>6593</v>
      </c>
      <c r="O3311" s="9" t="str">
        <f t="shared" si="309"/>
        <v>PDFを開く</v>
      </c>
      <c r="P3311" s="9" t="s">
        <v>2619</v>
      </c>
    </row>
    <row r="3312" spans="1:16" ht="33.950000000000003" customHeight="1">
      <c r="A3312" s="2" t="s">
        <v>2612</v>
      </c>
      <c r="B3312" s="2" t="s">
        <v>2430</v>
      </c>
      <c r="C3312" s="8" t="s">
        <v>2613</v>
      </c>
      <c r="D3312" s="2">
        <v>2</v>
      </c>
      <c r="E3312" s="8" t="s">
        <v>3188</v>
      </c>
      <c r="F3312" s="2" t="s">
        <v>447</v>
      </c>
      <c r="G3312" s="19" t="s">
        <v>3189</v>
      </c>
      <c r="H3312" s="2"/>
      <c r="I3312" s="8"/>
      <c r="J3312" s="2"/>
      <c r="K3312" s="2"/>
      <c r="L3312" s="8"/>
      <c r="M3312" s="2">
        <v>7</v>
      </c>
      <c r="N3312" s="8" t="s">
        <v>6481</v>
      </c>
      <c r="O3312" s="8" t="str">
        <f t="shared" si="309"/>
        <v>PDFを開く</v>
      </c>
      <c r="P3312" s="8" t="s">
        <v>2619</v>
      </c>
    </row>
    <row r="3313" spans="1:16" ht="33.950000000000003" customHeight="1">
      <c r="A3313" s="5" t="s">
        <v>2612</v>
      </c>
      <c r="B3313" s="5" t="s">
        <v>2430</v>
      </c>
      <c r="C3313" s="9" t="s">
        <v>2613</v>
      </c>
      <c r="D3313" s="5">
        <v>2</v>
      </c>
      <c r="E3313" s="9" t="s">
        <v>3191</v>
      </c>
      <c r="F3313" s="5" t="s">
        <v>2513</v>
      </c>
      <c r="G3313" s="5" t="s">
        <v>3177</v>
      </c>
      <c r="H3313" s="5"/>
      <c r="I3313" s="9" t="s">
        <v>3302</v>
      </c>
      <c r="J3313" s="5"/>
      <c r="K3313" s="5">
        <v>123</v>
      </c>
      <c r="L3313" s="9" t="s">
        <v>4093</v>
      </c>
      <c r="M3313" s="5"/>
      <c r="N3313" s="9" t="s">
        <v>6595</v>
      </c>
      <c r="O3313" s="9" t="str">
        <f t="shared" si="309"/>
        <v>PDFを開く</v>
      </c>
      <c r="P3313" s="9" t="s">
        <v>2619</v>
      </c>
    </row>
    <row r="3314" spans="1:16" ht="33.950000000000003" customHeight="1">
      <c r="A3314" s="2" t="s">
        <v>2612</v>
      </c>
      <c r="B3314" s="2" t="s">
        <v>2430</v>
      </c>
      <c r="C3314" s="8" t="s">
        <v>2613</v>
      </c>
      <c r="D3314" s="2">
        <v>2</v>
      </c>
      <c r="E3314" s="8" t="s">
        <v>3191</v>
      </c>
      <c r="F3314" s="2" t="s">
        <v>2513</v>
      </c>
      <c r="G3314" s="2" t="s">
        <v>3177</v>
      </c>
      <c r="H3314" s="2"/>
      <c r="I3314" s="8" t="s">
        <v>3305</v>
      </c>
      <c r="J3314" s="2"/>
      <c r="K3314" s="2">
        <v>168</v>
      </c>
      <c r="L3314" s="8" t="s">
        <v>5083</v>
      </c>
      <c r="M3314" s="2"/>
      <c r="N3314" s="8" t="s">
        <v>6595</v>
      </c>
      <c r="O3314" s="8" t="str">
        <f t="shared" si="309"/>
        <v>PDFを開く</v>
      </c>
      <c r="P3314" s="8" t="s">
        <v>2619</v>
      </c>
    </row>
    <row r="3315" spans="1:16" ht="33.950000000000003" customHeight="1">
      <c r="A3315" s="5" t="s">
        <v>2612</v>
      </c>
      <c r="B3315" s="5" t="s">
        <v>2430</v>
      </c>
      <c r="C3315" s="9" t="s">
        <v>2613</v>
      </c>
      <c r="D3315" s="5">
        <v>2</v>
      </c>
      <c r="E3315" s="9" t="s">
        <v>3188</v>
      </c>
      <c r="F3315" s="5" t="s">
        <v>447</v>
      </c>
      <c r="G3315" s="5" t="s">
        <v>3177</v>
      </c>
      <c r="H3315" s="5"/>
      <c r="I3315" s="9" t="s">
        <v>6596</v>
      </c>
      <c r="J3315" s="5"/>
      <c r="K3315" s="5"/>
      <c r="L3315" s="9" t="s">
        <v>3211</v>
      </c>
      <c r="M3315" s="5">
        <v>7</v>
      </c>
      <c r="N3315" s="9" t="s">
        <v>6372</v>
      </c>
      <c r="O3315" s="9" t="str">
        <f t="shared" si="309"/>
        <v>PDFを開く</v>
      </c>
      <c r="P3315" s="9" t="s">
        <v>2619</v>
      </c>
    </row>
    <row r="3316" spans="1:16" ht="33.950000000000003" customHeight="1">
      <c r="A3316" s="2" t="s">
        <v>2612</v>
      </c>
      <c r="B3316" s="2" t="s">
        <v>2430</v>
      </c>
      <c r="C3316" s="8" t="s">
        <v>2613</v>
      </c>
      <c r="D3316" s="2">
        <v>2</v>
      </c>
      <c r="E3316" s="8" t="s">
        <v>3188</v>
      </c>
      <c r="F3316" s="2" t="s">
        <v>447</v>
      </c>
      <c r="G3316" s="2" t="s">
        <v>3177</v>
      </c>
      <c r="H3316" s="2"/>
      <c r="I3316" s="8" t="s">
        <v>6597</v>
      </c>
      <c r="J3316" s="2"/>
      <c r="K3316" s="2"/>
      <c r="L3316" s="8" t="s">
        <v>6374</v>
      </c>
      <c r="M3316" s="2">
        <v>7</v>
      </c>
      <c r="N3316" s="8" t="s">
        <v>6372</v>
      </c>
      <c r="O3316" s="8" t="str">
        <f t="shared" si="309"/>
        <v>PDFを開く</v>
      </c>
      <c r="P3316" s="8" t="s">
        <v>2619</v>
      </c>
    </row>
    <row r="3317" spans="1:16" ht="33.950000000000003" customHeight="1">
      <c r="A3317" s="5" t="s">
        <v>2620</v>
      </c>
      <c r="B3317" s="5" t="s">
        <v>2430</v>
      </c>
      <c r="C3317" s="9" t="s">
        <v>2621</v>
      </c>
      <c r="D3317" s="5">
        <v>2</v>
      </c>
      <c r="E3317" s="9" t="s">
        <v>3176</v>
      </c>
      <c r="F3317" s="5" t="s">
        <v>447</v>
      </c>
      <c r="G3317" s="5" t="s">
        <v>3177</v>
      </c>
      <c r="H3317" s="5"/>
      <c r="I3317" s="9" t="s">
        <v>3302</v>
      </c>
      <c r="J3317" s="5"/>
      <c r="K3317" s="5">
        <v>2872</v>
      </c>
      <c r="L3317" s="9" t="s">
        <v>6598</v>
      </c>
      <c r="M3317" s="5">
        <v>26.7</v>
      </c>
      <c r="N3317" s="9" t="s">
        <v>6599</v>
      </c>
      <c r="O3317" s="9" t="str">
        <f t="shared" ref="O3317:O3324" si="310">HYPERLINK("https://seichotoushi-hojo.jp/assets/pdf/koufu_3_4ji/outline_145.pdf","PDFを開く")</f>
        <v>PDFを開く</v>
      </c>
      <c r="P3317" s="9" t="s">
        <v>2628</v>
      </c>
    </row>
    <row r="3318" spans="1:16" ht="33.950000000000003" customHeight="1">
      <c r="A3318" s="2" t="s">
        <v>2620</v>
      </c>
      <c r="B3318" s="2" t="s">
        <v>2430</v>
      </c>
      <c r="C3318" s="8" t="s">
        <v>2621</v>
      </c>
      <c r="D3318" s="2">
        <v>2</v>
      </c>
      <c r="E3318" s="8" t="s">
        <v>3176</v>
      </c>
      <c r="F3318" s="2" t="s">
        <v>447</v>
      </c>
      <c r="G3318" s="2" t="s">
        <v>3177</v>
      </c>
      <c r="H3318" s="2"/>
      <c r="I3318" s="8" t="s">
        <v>3305</v>
      </c>
      <c r="J3318" s="2"/>
      <c r="K3318" s="2">
        <v>5843</v>
      </c>
      <c r="L3318" s="8" t="s">
        <v>6600</v>
      </c>
      <c r="M3318" s="2">
        <v>26.7</v>
      </c>
      <c r="N3318" s="8" t="s">
        <v>6599</v>
      </c>
      <c r="O3318" s="8" t="str">
        <f t="shared" si="310"/>
        <v>PDFを開く</v>
      </c>
      <c r="P3318" s="8" t="s">
        <v>2628</v>
      </c>
    </row>
    <row r="3319" spans="1:16" ht="33.950000000000003" customHeight="1">
      <c r="A3319" s="5" t="s">
        <v>2620</v>
      </c>
      <c r="B3319" s="5" t="s">
        <v>2430</v>
      </c>
      <c r="C3319" s="9" t="s">
        <v>2621</v>
      </c>
      <c r="D3319" s="5">
        <v>2</v>
      </c>
      <c r="E3319" s="9" t="s">
        <v>3184</v>
      </c>
      <c r="F3319" s="5" t="s">
        <v>447</v>
      </c>
      <c r="G3319" s="5" t="s">
        <v>3177</v>
      </c>
      <c r="H3319" s="5"/>
      <c r="I3319" s="9" t="s">
        <v>3302</v>
      </c>
      <c r="J3319" s="5"/>
      <c r="K3319" s="5">
        <v>1723</v>
      </c>
      <c r="L3319" s="9" t="s">
        <v>5270</v>
      </c>
      <c r="M3319" s="5">
        <v>6.8</v>
      </c>
      <c r="N3319" s="9" t="s">
        <v>6601</v>
      </c>
      <c r="O3319" s="9" t="str">
        <f t="shared" si="310"/>
        <v>PDFを開く</v>
      </c>
      <c r="P3319" s="9" t="s">
        <v>2628</v>
      </c>
    </row>
    <row r="3320" spans="1:16" ht="33.950000000000003" customHeight="1">
      <c r="A3320" s="2" t="s">
        <v>2620</v>
      </c>
      <c r="B3320" s="2" t="s">
        <v>2430</v>
      </c>
      <c r="C3320" s="8" t="s">
        <v>2621</v>
      </c>
      <c r="D3320" s="2">
        <v>2</v>
      </c>
      <c r="E3320" s="8" t="s">
        <v>3184</v>
      </c>
      <c r="F3320" s="2" t="s">
        <v>447</v>
      </c>
      <c r="G3320" s="2" t="s">
        <v>3177</v>
      </c>
      <c r="H3320" s="2"/>
      <c r="I3320" s="8" t="s">
        <v>3305</v>
      </c>
      <c r="J3320" s="2"/>
      <c r="K3320" s="2">
        <v>2099</v>
      </c>
      <c r="L3320" s="8" t="s">
        <v>6602</v>
      </c>
      <c r="M3320" s="2">
        <v>6.8</v>
      </c>
      <c r="N3320" s="8" t="s">
        <v>6601</v>
      </c>
      <c r="O3320" s="8" t="str">
        <f t="shared" si="310"/>
        <v>PDFを開く</v>
      </c>
      <c r="P3320" s="8" t="s">
        <v>2628</v>
      </c>
    </row>
    <row r="3321" spans="1:16" ht="33.950000000000003" customHeight="1">
      <c r="A3321" s="5" t="s">
        <v>2620</v>
      </c>
      <c r="B3321" s="5" t="s">
        <v>2430</v>
      </c>
      <c r="C3321" s="9" t="s">
        <v>2621</v>
      </c>
      <c r="D3321" s="5">
        <v>2</v>
      </c>
      <c r="E3321" s="9" t="s">
        <v>3188</v>
      </c>
      <c r="F3321" s="5" t="s">
        <v>447</v>
      </c>
      <c r="G3321" s="5" t="s">
        <v>3177</v>
      </c>
      <c r="H3321" s="5"/>
      <c r="I3321" s="9" t="s">
        <v>3302</v>
      </c>
      <c r="J3321" s="5"/>
      <c r="K3321" s="5">
        <v>7166</v>
      </c>
      <c r="L3321" s="9" t="s">
        <v>6603</v>
      </c>
      <c r="M3321" s="5">
        <v>5.5</v>
      </c>
      <c r="N3321" s="9" t="s">
        <v>6604</v>
      </c>
      <c r="O3321" s="9" t="str">
        <f t="shared" si="310"/>
        <v>PDFを開く</v>
      </c>
      <c r="P3321" s="9" t="s">
        <v>2628</v>
      </c>
    </row>
    <row r="3322" spans="1:16" ht="33.950000000000003" customHeight="1">
      <c r="A3322" s="2" t="s">
        <v>2620</v>
      </c>
      <c r="B3322" s="2" t="s">
        <v>2430</v>
      </c>
      <c r="C3322" s="8" t="s">
        <v>2621</v>
      </c>
      <c r="D3322" s="2">
        <v>2</v>
      </c>
      <c r="E3322" s="8" t="s">
        <v>3188</v>
      </c>
      <c r="F3322" s="2" t="s">
        <v>447</v>
      </c>
      <c r="G3322" s="2" t="s">
        <v>3177</v>
      </c>
      <c r="H3322" s="2"/>
      <c r="I3322" s="8" t="s">
        <v>3305</v>
      </c>
      <c r="J3322" s="2"/>
      <c r="K3322" s="2">
        <v>8415</v>
      </c>
      <c r="L3322" s="8" t="s">
        <v>6605</v>
      </c>
      <c r="M3322" s="2">
        <v>5.5</v>
      </c>
      <c r="N3322" s="8" t="s">
        <v>6604</v>
      </c>
      <c r="O3322" s="8" t="str">
        <f t="shared" si="310"/>
        <v>PDFを開く</v>
      </c>
      <c r="P3322" s="8" t="s">
        <v>2628</v>
      </c>
    </row>
    <row r="3323" spans="1:16" ht="33.950000000000003" customHeight="1">
      <c r="A3323" s="5" t="s">
        <v>2620</v>
      </c>
      <c r="B3323" s="5" t="s">
        <v>2430</v>
      </c>
      <c r="C3323" s="9" t="s">
        <v>2621</v>
      </c>
      <c r="D3323" s="5">
        <v>2</v>
      </c>
      <c r="E3323" s="9" t="s">
        <v>3191</v>
      </c>
      <c r="F3323" s="5" t="s">
        <v>2513</v>
      </c>
      <c r="G3323" s="5" t="s">
        <v>3177</v>
      </c>
      <c r="H3323" s="5"/>
      <c r="I3323" s="9" t="s">
        <v>3302</v>
      </c>
      <c r="J3323" s="5"/>
      <c r="K3323" s="5">
        <v>345</v>
      </c>
      <c r="L3323" s="9" t="s">
        <v>4985</v>
      </c>
      <c r="M3323" s="5"/>
      <c r="N3323" s="9" t="s">
        <v>6606</v>
      </c>
      <c r="O3323" s="9" t="str">
        <f t="shared" si="310"/>
        <v>PDFを開く</v>
      </c>
      <c r="P3323" s="9" t="s">
        <v>2628</v>
      </c>
    </row>
    <row r="3324" spans="1:16" ht="33.950000000000003" customHeight="1">
      <c r="A3324" s="2" t="s">
        <v>2620</v>
      </c>
      <c r="B3324" s="2" t="s">
        <v>2430</v>
      </c>
      <c r="C3324" s="8" t="s">
        <v>2621</v>
      </c>
      <c r="D3324" s="2">
        <v>2</v>
      </c>
      <c r="E3324" s="8" t="s">
        <v>3191</v>
      </c>
      <c r="F3324" s="2" t="s">
        <v>2513</v>
      </c>
      <c r="G3324" s="2" t="s">
        <v>3177</v>
      </c>
      <c r="H3324" s="2"/>
      <c r="I3324" s="8" t="s">
        <v>3305</v>
      </c>
      <c r="J3324" s="2"/>
      <c r="K3324" s="2">
        <v>370</v>
      </c>
      <c r="L3324" s="8" t="s">
        <v>3933</v>
      </c>
      <c r="M3324" s="2"/>
      <c r="N3324" s="8" t="s">
        <v>6606</v>
      </c>
      <c r="O3324" s="8" t="str">
        <f t="shared" si="310"/>
        <v>PDFを開く</v>
      </c>
      <c r="P3324" s="8" t="s">
        <v>2628</v>
      </c>
    </row>
    <row r="3325" spans="1:16" ht="33.950000000000003" customHeight="1">
      <c r="A3325" s="5" t="s">
        <v>2629</v>
      </c>
      <c r="B3325" s="5" t="s">
        <v>2430</v>
      </c>
      <c r="C3325" s="9" t="s">
        <v>2630</v>
      </c>
      <c r="D3325" s="5">
        <v>2</v>
      </c>
      <c r="E3325" s="9" t="s">
        <v>3176</v>
      </c>
      <c r="F3325" s="5" t="s">
        <v>447</v>
      </c>
      <c r="G3325" s="5" t="s">
        <v>3177</v>
      </c>
      <c r="H3325" s="5"/>
      <c r="I3325" s="9" t="s">
        <v>3302</v>
      </c>
      <c r="J3325" s="5"/>
      <c r="K3325" s="5">
        <v>16588</v>
      </c>
      <c r="L3325" s="9" t="s">
        <v>6607</v>
      </c>
      <c r="M3325" s="5">
        <v>36.799999999999997</v>
      </c>
      <c r="N3325" s="9" t="s">
        <v>6608</v>
      </c>
      <c r="O3325" s="9" t="str">
        <f t="shared" ref="O3325:O3333" si="311">HYPERLINK("https://seichotoushi-hojo.jp/assets/pdf/koufu_3_4ji/outline_146.pdf","PDFを開く")</f>
        <v>PDFを開く</v>
      </c>
      <c r="P3325" s="9" t="s">
        <v>2635</v>
      </c>
    </row>
    <row r="3326" spans="1:16" ht="33.950000000000003" customHeight="1">
      <c r="A3326" s="2" t="s">
        <v>2629</v>
      </c>
      <c r="B3326" s="2" t="s">
        <v>2430</v>
      </c>
      <c r="C3326" s="8" t="s">
        <v>2630</v>
      </c>
      <c r="D3326" s="2">
        <v>2</v>
      </c>
      <c r="E3326" s="8" t="s">
        <v>3176</v>
      </c>
      <c r="F3326" s="2" t="s">
        <v>447</v>
      </c>
      <c r="G3326" s="2" t="s">
        <v>3177</v>
      </c>
      <c r="H3326" s="2"/>
      <c r="I3326" s="8" t="s">
        <v>3305</v>
      </c>
      <c r="J3326" s="2"/>
      <c r="K3326" s="2">
        <v>42499</v>
      </c>
      <c r="L3326" s="8" t="s">
        <v>6609</v>
      </c>
      <c r="M3326" s="2">
        <v>36.799999999999997</v>
      </c>
      <c r="N3326" s="8" t="s">
        <v>6608</v>
      </c>
      <c r="O3326" s="8" t="str">
        <f t="shared" si="311"/>
        <v>PDFを開く</v>
      </c>
      <c r="P3326" s="8" t="s">
        <v>2635</v>
      </c>
    </row>
    <row r="3327" spans="1:16" ht="33.950000000000003" customHeight="1">
      <c r="A3327" s="5" t="s">
        <v>2629</v>
      </c>
      <c r="B3327" s="5" t="s">
        <v>2430</v>
      </c>
      <c r="C3327" s="9" t="s">
        <v>2630</v>
      </c>
      <c r="D3327" s="5">
        <v>2</v>
      </c>
      <c r="E3327" s="9" t="s">
        <v>3184</v>
      </c>
      <c r="F3327" s="5" t="s">
        <v>447</v>
      </c>
      <c r="G3327" s="5" t="s">
        <v>3177</v>
      </c>
      <c r="H3327" s="5"/>
      <c r="I3327" s="9" t="s">
        <v>3302</v>
      </c>
      <c r="J3327" s="5"/>
      <c r="K3327" s="5">
        <v>5660</v>
      </c>
      <c r="L3327" s="9" t="s">
        <v>6610</v>
      </c>
      <c r="M3327" s="5">
        <v>7.3</v>
      </c>
      <c r="N3327" s="9" t="s">
        <v>6611</v>
      </c>
      <c r="O3327" s="9" t="str">
        <f t="shared" si="311"/>
        <v>PDFを開く</v>
      </c>
      <c r="P3327" s="9" t="s">
        <v>2635</v>
      </c>
    </row>
    <row r="3328" spans="1:16" ht="33.950000000000003" customHeight="1">
      <c r="A3328" s="2" t="s">
        <v>2629</v>
      </c>
      <c r="B3328" s="2" t="s">
        <v>2430</v>
      </c>
      <c r="C3328" s="8" t="s">
        <v>2630</v>
      </c>
      <c r="D3328" s="2">
        <v>2</v>
      </c>
      <c r="E3328" s="8" t="s">
        <v>3184</v>
      </c>
      <c r="F3328" s="2" t="s">
        <v>447</v>
      </c>
      <c r="G3328" s="2" t="s">
        <v>3177</v>
      </c>
      <c r="H3328" s="2"/>
      <c r="I3328" s="8" t="s">
        <v>3305</v>
      </c>
      <c r="J3328" s="2"/>
      <c r="K3328" s="2">
        <v>6992</v>
      </c>
      <c r="L3328" s="8" t="s">
        <v>6612</v>
      </c>
      <c r="M3328" s="2">
        <v>7.3</v>
      </c>
      <c r="N3328" s="8" t="s">
        <v>6611</v>
      </c>
      <c r="O3328" s="8" t="str">
        <f t="shared" si="311"/>
        <v>PDFを開く</v>
      </c>
      <c r="P3328" s="8" t="s">
        <v>2635</v>
      </c>
    </row>
    <row r="3329" spans="1:16" ht="33.950000000000003" customHeight="1">
      <c r="A3329" s="5" t="s">
        <v>2629</v>
      </c>
      <c r="B3329" s="5" t="s">
        <v>2430</v>
      </c>
      <c r="C3329" s="9" t="s">
        <v>2630</v>
      </c>
      <c r="D3329" s="5">
        <v>2</v>
      </c>
      <c r="E3329" s="9" t="s">
        <v>3188</v>
      </c>
      <c r="F3329" s="5" t="s">
        <v>447</v>
      </c>
      <c r="G3329" s="19" t="s">
        <v>3189</v>
      </c>
      <c r="H3329" s="5"/>
      <c r="I3329" s="9"/>
      <c r="J3329" s="5"/>
      <c r="K3329" s="5"/>
      <c r="L3329" s="9"/>
      <c r="M3329" s="5">
        <v>7.3</v>
      </c>
      <c r="N3329" s="9" t="s">
        <v>6613</v>
      </c>
      <c r="O3329" s="9" t="str">
        <f t="shared" si="311"/>
        <v>PDFを開く</v>
      </c>
      <c r="P3329" s="9" t="s">
        <v>2635</v>
      </c>
    </row>
    <row r="3330" spans="1:16" ht="33.950000000000003" customHeight="1">
      <c r="A3330" s="2" t="s">
        <v>2629</v>
      </c>
      <c r="B3330" s="2" t="s">
        <v>2430</v>
      </c>
      <c r="C3330" s="8" t="s">
        <v>2630</v>
      </c>
      <c r="D3330" s="2">
        <v>2</v>
      </c>
      <c r="E3330" s="8" t="s">
        <v>3191</v>
      </c>
      <c r="F3330" s="2" t="s">
        <v>2513</v>
      </c>
      <c r="G3330" s="2" t="s">
        <v>3177</v>
      </c>
      <c r="H3330" s="2"/>
      <c r="I3330" s="8" t="s">
        <v>3302</v>
      </c>
      <c r="J3330" s="2"/>
      <c r="K3330" s="2">
        <v>58</v>
      </c>
      <c r="L3330" s="8" t="s">
        <v>5318</v>
      </c>
      <c r="M3330" s="2"/>
      <c r="N3330" s="8" t="s">
        <v>6614</v>
      </c>
      <c r="O3330" s="8" t="str">
        <f t="shared" si="311"/>
        <v>PDFを開く</v>
      </c>
      <c r="P3330" s="8" t="s">
        <v>2635</v>
      </c>
    </row>
    <row r="3331" spans="1:16" ht="33.950000000000003" customHeight="1">
      <c r="A3331" s="5" t="s">
        <v>2629</v>
      </c>
      <c r="B3331" s="5" t="s">
        <v>2430</v>
      </c>
      <c r="C3331" s="9" t="s">
        <v>2630</v>
      </c>
      <c r="D3331" s="5">
        <v>2</v>
      </c>
      <c r="E3331" s="9" t="s">
        <v>3191</v>
      </c>
      <c r="F3331" s="5" t="s">
        <v>2513</v>
      </c>
      <c r="G3331" s="5" t="s">
        <v>3177</v>
      </c>
      <c r="H3331" s="5"/>
      <c r="I3331" s="9" t="s">
        <v>3305</v>
      </c>
      <c r="J3331" s="5"/>
      <c r="K3331" s="5">
        <v>69</v>
      </c>
      <c r="L3331" s="9" t="s">
        <v>6615</v>
      </c>
      <c r="M3331" s="5"/>
      <c r="N3331" s="9" t="s">
        <v>6614</v>
      </c>
      <c r="O3331" s="9" t="str">
        <f t="shared" si="311"/>
        <v>PDFを開く</v>
      </c>
      <c r="P3331" s="9" t="s">
        <v>2635</v>
      </c>
    </row>
    <row r="3332" spans="1:16" ht="33.950000000000003" customHeight="1">
      <c r="A3332" s="2" t="s">
        <v>2629</v>
      </c>
      <c r="B3332" s="2" t="s">
        <v>2430</v>
      </c>
      <c r="C3332" s="8" t="s">
        <v>2630</v>
      </c>
      <c r="D3332" s="2">
        <v>2</v>
      </c>
      <c r="E3332" s="8" t="s">
        <v>3188</v>
      </c>
      <c r="F3332" s="2" t="s">
        <v>447</v>
      </c>
      <c r="G3332" s="2" t="s">
        <v>3177</v>
      </c>
      <c r="H3332" s="2"/>
      <c r="I3332" s="8" t="s">
        <v>6616</v>
      </c>
      <c r="J3332" s="2"/>
      <c r="K3332" s="2"/>
      <c r="L3332" s="8" t="s">
        <v>3211</v>
      </c>
      <c r="M3332" s="2">
        <v>7.3</v>
      </c>
      <c r="N3332" s="8" t="s">
        <v>6617</v>
      </c>
      <c r="O3332" s="8" t="str">
        <f t="shared" si="311"/>
        <v>PDFを開く</v>
      </c>
      <c r="P3332" s="8" t="s">
        <v>2635</v>
      </c>
    </row>
    <row r="3333" spans="1:16" ht="33.950000000000003" customHeight="1">
      <c r="A3333" s="5" t="s">
        <v>2629</v>
      </c>
      <c r="B3333" s="5" t="s">
        <v>2430</v>
      </c>
      <c r="C3333" s="9" t="s">
        <v>2630</v>
      </c>
      <c r="D3333" s="5">
        <v>2</v>
      </c>
      <c r="E3333" s="9" t="s">
        <v>3188</v>
      </c>
      <c r="F3333" s="5" t="s">
        <v>447</v>
      </c>
      <c r="G3333" s="5" t="s">
        <v>3177</v>
      </c>
      <c r="H3333" s="5"/>
      <c r="I3333" s="9" t="s">
        <v>6618</v>
      </c>
      <c r="J3333" s="5"/>
      <c r="K3333" s="5"/>
      <c r="L3333" s="9" t="s">
        <v>6619</v>
      </c>
      <c r="M3333" s="5">
        <v>7.3</v>
      </c>
      <c r="N3333" s="9" t="s">
        <v>6617</v>
      </c>
      <c r="O3333" s="9" t="str">
        <f t="shared" si="311"/>
        <v>PDFを開く</v>
      </c>
      <c r="P3333" s="9" t="s">
        <v>2635</v>
      </c>
    </row>
    <row r="3334" spans="1:16" ht="33.950000000000003" customHeight="1">
      <c r="A3334" s="2" t="s">
        <v>2636</v>
      </c>
      <c r="B3334" s="2" t="s">
        <v>2430</v>
      </c>
      <c r="C3334" s="8" t="s">
        <v>2637</v>
      </c>
      <c r="D3334" s="2">
        <v>2</v>
      </c>
      <c r="E3334" s="8" t="s">
        <v>3176</v>
      </c>
      <c r="F3334" s="2" t="s">
        <v>447</v>
      </c>
      <c r="G3334" s="2" t="s">
        <v>3177</v>
      </c>
      <c r="H3334" s="2" t="s">
        <v>3178</v>
      </c>
      <c r="I3334" s="8" t="s">
        <v>6620</v>
      </c>
      <c r="J3334" s="2">
        <v>2028</v>
      </c>
      <c r="K3334" s="2">
        <v>14191</v>
      </c>
      <c r="L3334" s="8" t="s">
        <v>6621</v>
      </c>
      <c r="M3334" s="2">
        <v>20.2</v>
      </c>
      <c r="N3334" s="8" t="s">
        <v>6622</v>
      </c>
      <c r="O3334" s="8" t="str">
        <f t="shared" ref="O3334:O3340" si="312">HYPERLINK("https://seichotoushi-hojo.jp/assets/pdf/koufu_3_4ji/outline_147.pdf","PDFを開く")</f>
        <v>PDFを開く</v>
      </c>
      <c r="P3334" s="8" t="s">
        <v>2645</v>
      </c>
    </row>
    <row r="3335" spans="1:16" ht="33.950000000000003" customHeight="1">
      <c r="A3335" s="5" t="s">
        <v>2636</v>
      </c>
      <c r="B3335" s="5" t="s">
        <v>2430</v>
      </c>
      <c r="C3335" s="9" t="s">
        <v>2637</v>
      </c>
      <c r="D3335" s="5">
        <v>2</v>
      </c>
      <c r="E3335" s="9" t="s">
        <v>3176</v>
      </c>
      <c r="F3335" s="5" t="s">
        <v>447</v>
      </c>
      <c r="G3335" s="5" t="s">
        <v>3177</v>
      </c>
      <c r="H3335" s="5" t="s">
        <v>3178</v>
      </c>
      <c r="I3335" s="9" t="s">
        <v>6623</v>
      </c>
      <c r="J3335" s="5">
        <v>2031</v>
      </c>
      <c r="K3335" s="5">
        <v>24643</v>
      </c>
      <c r="L3335" s="9" t="s">
        <v>6624</v>
      </c>
      <c r="M3335" s="5">
        <v>20.2</v>
      </c>
      <c r="N3335" s="9" t="s">
        <v>6622</v>
      </c>
      <c r="O3335" s="9" t="str">
        <f t="shared" si="312"/>
        <v>PDFを開く</v>
      </c>
      <c r="P3335" s="9" t="s">
        <v>2645</v>
      </c>
    </row>
    <row r="3336" spans="1:16" ht="33.950000000000003" customHeight="1">
      <c r="A3336" s="2" t="s">
        <v>2636</v>
      </c>
      <c r="B3336" s="2" t="s">
        <v>2430</v>
      </c>
      <c r="C3336" s="8" t="s">
        <v>2637</v>
      </c>
      <c r="D3336" s="2">
        <v>2</v>
      </c>
      <c r="E3336" s="8" t="s">
        <v>3184</v>
      </c>
      <c r="F3336" s="2" t="s">
        <v>447</v>
      </c>
      <c r="G3336" s="2" t="s">
        <v>3177</v>
      </c>
      <c r="H3336" s="2" t="s">
        <v>3178</v>
      </c>
      <c r="I3336" s="8" t="s">
        <v>6620</v>
      </c>
      <c r="J3336" s="2">
        <v>2028</v>
      </c>
      <c r="K3336" s="2">
        <v>6710</v>
      </c>
      <c r="L3336" s="8" t="s">
        <v>6625</v>
      </c>
      <c r="M3336" s="2">
        <v>6.5</v>
      </c>
      <c r="N3336" s="8" t="s">
        <v>6626</v>
      </c>
      <c r="O3336" s="8" t="str">
        <f t="shared" si="312"/>
        <v>PDFを開く</v>
      </c>
      <c r="P3336" s="8" t="s">
        <v>2645</v>
      </c>
    </row>
    <row r="3337" spans="1:16" ht="33.950000000000003" customHeight="1">
      <c r="A3337" s="5" t="s">
        <v>2636</v>
      </c>
      <c r="B3337" s="5" t="s">
        <v>2430</v>
      </c>
      <c r="C3337" s="9" t="s">
        <v>2637</v>
      </c>
      <c r="D3337" s="5">
        <v>2</v>
      </c>
      <c r="E3337" s="9" t="s">
        <v>3184</v>
      </c>
      <c r="F3337" s="5" t="s">
        <v>447</v>
      </c>
      <c r="G3337" s="5" t="s">
        <v>3177</v>
      </c>
      <c r="H3337" s="5" t="s">
        <v>3178</v>
      </c>
      <c r="I3337" s="9" t="s">
        <v>6623</v>
      </c>
      <c r="J3337" s="5">
        <v>2031</v>
      </c>
      <c r="K3337" s="5">
        <v>8111</v>
      </c>
      <c r="L3337" s="9" t="s">
        <v>6627</v>
      </c>
      <c r="M3337" s="5">
        <v>6.5</v>
      </c>
      <c r="N3337" s="9" t="s">
        <v>6626</v>
      </c>
      <c r="O3337" s="9" t="str">
        <f t="shared" si="312"/>
        <v>PDFを開く</v>
      </c>
      <c r="P3337" s="9" t="s">
        <v>2645</v>
      </c>
    </row>
    <row r="3338" spans="1:16" ht="33.950000000000003" customHeight="1">
      <c r="A3338" s="2" t="s">
        <v>2636</v>
      </c>
      <c r="B3338" s="2" t="s">
        <v>2430</v>
      </c>
      <c r="C3338" s="8" t="s">
        <v>2637</v>
      </c>
      <c r="D3338" s="2">
        <v>2</v>
      </c>
      <c r="E3338" s="8" t="s">
        <v>3188</v>
      </c>
      <c r="F3338" s="2" t="s">
        <v>447</v>
      </c>
      <c r="G3338" s="19" t="s">
        <v>3189</v>
      </c>
      <c r="H3338" s="2" t="s">
        <v>3178</v>
      </c>
      <c r="I3338" s="8"/>
      <c r="J3338" s="2"/>
      <c r="K3338" s="2"/>
      <c r="L3338" s="8"/>
      <c r="M3338" s="2"/>
      <c r="N3338" s="8" t="s">
        <v>6628</v>
      </c>
      <c r="O3338" s="8" t="str">
        <f t="shared" si="312"/>
        <v>PDFを開く</v>
      </c>
      <c r="P3338" s="8" t="s">
        <v>2645</v>
      </c>
    </row>
    <row r="3339" spans="1:16" ht="33.950000000000003" customHeight="1">
      <c r="A3339" s="5" t="s">
        <v>2636</v>
      </c>
      <c r="B3339" s="5" t="s">
        <v>2430</v>
      </c>
      <c r="C3339" s="9" t="s">
        <v>2637</v>
      </c>
      <c r="D3339" s="5">
        <v>2</v>
      </c>
      <c r="E3339" s="9" t="s">
        <v>3191</v>
      </c>
      <c r="F3339" s="5" t="s">
        <v>2513</v>
      </c>
      <c r="G3339" s="5" t="s">
        <v>3177</v>
      </c>
      <c r="H3339" s="5" t="s">
        <v>3178</v>
      </c>
      <c r="I3339" s="9" t="s">
        <v>6620</v>
      </c>
      <c r="J3339" s="5">
        <v>2028</v>
      </c>
      <c r="K3339" s="5">
        <v>154</v>
      </c>
      <c r="L3339" s="9" t="s">
        <v>6629</v>
      </c>
      <c r="M3339" s="5"/>
      <c r="N3339" s="9" t="s">
        <v>6630</v>
      </c>
      <c r="O3339" s="9" t="str">
        <f t="shared" si="312"/>
        <v>PDFを開く</v>
      </c>
      <c r="P3339" s="9" t="s">
        <v>2645</v>
      </c>
    </row>
    <row r="3340" spans="1:16" ht="33.950000000000003" customHeight="1">
      <c r="A3340" s="2" t="s">
        <v>2636</v>
      </c>
      <c r="B3340" s="2" t="s">
        <v>2430</v>
      </c>
      <c r="C3340" s="8" t="s">
        <v>2637</v>
      </c>
      <c r="D3340" s="2">
        <v>2</v>
      </c>
      <c r="E3340" s="8" t="s">
        <v>3191</v>
      </c>
      <c r="F3340" s="2" t="s">
        <v>2513</v>
      </c>
      <c r="G3340" s="2" t="s">
        <v>3177</v>
      </c>
      <c r="H3340" s="2" t="s">
        <v>3178</v>
      </c>
      <c r="I3340" s="8" t="s">
        <v>6623</v>
      </c>
      <c r="J3340" s="2">
        <v>2031</v>
      </c>
      <c r="K3340" s="2">
        <v>210</v>
      </c>
      <c r="L3340" s="8" t="s">
        <v>3671</v>
      </c>
      <c r="M3340" s="2"/>
      <c r="N3340" s="8" t="s">
        <v>6630</v>
      </c>
      <c r="O3340" s="8" t="str">
        <f t="shared" si="312"/>
        <v>PDFを開く</v>
      </c>
      <c r="P3340" s="8" t="s">
        <v>2645</v>
      </c>
    </row>
    <row r="3341" spans="1:16" ht="33.950000000000003" customHeight="1">
      <c r="A3341" s="5" t="s">
        <v>2646</v>
      </c>
      <c r="B3341" s="5" t="s">
        <v>2430</v>
      </c>
      <c r="C3341" s="9" t="s">
        <v>2647</v>
      </c>
      <c r="D3341" s="5">
        <v>2</v>
      </c>
      <c r="E3341" s="9" t="s">
        <v>3176</v>
      </c>
      <c r="F3341" s="5" t="s">
        <v>447</v>
      </c>
      <c r="G3341" s="5" t="s">
        <v>3177</v>
      </c>
      <c r="H3341" s="5"/>
      <c r="I3341" s="9" t="s">
        <v>3302</v>
      </c>
      <c r="J3341" s="5"/>
      <c r="K3341" s="5">
        <v>9492</v>
      </c>
      <c r="L3341" s="9" t="s">
        <v>6631</v>
      </c>
      <c r="M3341" s="5">
        <v>19.899999999999999</v>
      </c>
      <c r="N3341" s="9" t="s">
        <v>6632</v>
      </c>
      <c r="O3341" s="9" t="str">
        <f t="shared" ref="O3341:O3348" si="313">HYPERLINK("https://seichotoushi-hojo.jp/assets/pdf/koufu_3_4ji/outline_148.pdf","PDFを開く")</f>
        <v>PDFを開く</v>
      </c>
      <c r="P3341" s="9" t="s">
        <v>2653</v>
      </c>
    </row>
    <row r="3342" spans="1:16" ht="33.950000000000003" customHeight="1">
      <c r="A3342" s="2" t="s">
        <v>2646</v>
      </c>
      <c r="B3342" s="2" t="s">
        <v>2430</v>
      </c>
      <c r="C3342" s="8" t="s">
        <v>2647</v>
      </c>
      <c r="D3342" s="2">
        <v>2</v>
      </c>
      <c r="E3342" s="8" t="s">
        <v>3176</v>
      </c>
      <c r="F3342" s="2" t="s">
        <v>447</v>
      </c>
      <c r="G3342" s="2" t="s">
        <v>3177</v>
      </c>
      <c r="H3342" s="2"/>
      <c r="I3342" s="8" t="s">
        <v>3305</v>
      </c>
      <c r="J3342" s="2"/>
      <c r="K3342" s="2">
        <v>16350</v>
      </c>
      <c r="L3342" s="8" t="s">
        <v>6633</v>
      </c>
      <c r="M3342" s="2">
        <v>19.899999999999999</v>
      </c>
      <c r="N3342" s="8" t="s">
        <v>6632</v>
      </c>
      <c r="O3342" s="8" t="str">
        <f t="shared" si="313"/>
        <v>PDFを開く</v>
      </c>
      <c r="P3342" s="8" t="s">
        <v>2653</v>
      </c>
    </row>
    <row r="3343" spans="1:16" ht="33.950000000000003" customHeight="1">
      <c r="A3343" s="5" t="s">
        <v>2646</v>
      </c>
      <c r="B3343" s="5" t="s">
        <v>2430</v>
      </c>
      <c r="C3343" s="9" t="s">
        <v>2647</v>
      </c>
      <c r="D3343" s="5">
        <v>2</v>
      </c>
      <c r="E3343" s="9" t="s">
        <v>3184</v>
      </c>
      <c r="F3343" s="5" t="s">
        <v>447</v>
      </c>
      <c r="G3343" s="5" t="s">
        <v>3177</v>
      </c>
      <c r="H3343" s="5" t="s">
        <v>3178</v>
      </c>
      <c r="I3343" s="9" t="s">
        <v>3302</v>
      </c>
      <c r="J3343" s="5"/>
      <c r="K3343" s="5">
        <v>4941</v>
      </c>
      <c r="L3343" s="9" t="s">
        <v>6634</v>
      </c>
      <c r="M3343" s="5">
        <v>6.4</v>
      </c>
      <c r="N3343" s="9" t="s">
        <v>6635</v>
      </c>
      <c r="O3343" s="9" t="str">
        <f t="shared" si="313"/>
        <v>PDFを開く</v>
      </c>
      <c r="P3343" s="9" t="s">
        <v>2653</v>
      </c>
    </row>
    <row r="3344" spans="1:16" ht="33.950000000000003" customHeight="1">
      <c r="A3344" s="2" t="s">
        <v>2646</v>
      </c>
      <c r="B3344" s="2" t="s">
        <v>2430</v>
      </c>
      <c r="C3344" s="8" t="s">
        <v>2647</v>
      </c>
      <c r="D3344" s="2">
        <v>2</v>
      </c>
      <c r="E3344" s="8" t="s">
        <v>3184</v>
      </c>
      <c r="F3344" s="2" t="s">
        <v>447</v>
      </c>
      <c r="G3344" s="2" t="s">
        <v>3177</v>
      </c>
      <c r="H3344" s="2" t="s">
        <v>3178</v>
      </c>
      <c r="I3344" s="8" t="s">
        <v>3305</v>
      </c>
      <c r="J3344" s="2"/>
      <c r="K3344" s="2">
        <v>5948</v>
      </c>
      <c r="L3344" s="8" t="s">
        <v>6636</v>
      </c>
      <c r="M3344" s="2">
        <v>6.4</v>
      </c>
      <c r="N3344" s="8" t="s">
        <v>6635</v>
      </c>
      <c r="O3344" s="8" t="str">
        <f t="shared" si="313"/>
        <v>PDFを開く</v>
      </c>
      <c r="P3344" s="8" t="s">
        <v>2653</v>
      </c>
    </row>
    <row r="3345" spans="1:16" ht="33.950000000000003" customHeight="1">
      <c r="A3345" s="5" t="s">
        <v>2646</v>
      </c>
      <c r="B3345" s="5" t="s">
        <v>2430</v>
      </c>
      <c r="C3345" s="9" t="s">
        <v>2647</v>
      </c>
      <c r="D3345" s="5">
        <v>2</v>
      </c>
      <c r="E3345" s="9" t="s">
        <v>3188</v>
      </c>
      <c r="F3345" s="5" t="s">
        <v>447</v>
      </c>
      <c r="G3345" s="5" t="s">
        <v>3177</v>
      </c>
      <c r="H3345" s="5"/>
      <c r="I3345" s="9" t="s">
        <v>3302</v>
      </c>
      <c r="J3345" s="5"/>
      <c r="K3345" s="5">
        <v>19726</v>
      </c>
      <c r="L3345" s="9" t="s">
        <v>6637</v>
      </c>
      <c r="M3345" s="5">
        <v>6.2</v>
      </c>
      <c r="N3345" s="9" t="s">
        <v>6638</v>
      </c>
      <c r="O3345" s="9" t="str">
        <f t="shared" si="313"/>
        <v>PDFを開く</v>
      </c>
      <c r="P3345" s="9" t="s">
        <v>2653</v>
      </c>
    </row>
    <row r="3346" spans="1:16" ht="33.950000000000003" customHeight="1">
      <c r="A3346" s="2" t="s">
        <v>2646</v>
      </c>
      <c r="B3346" s="2" t="s">
        <v>2430</v>
      </c>
      <c r="C3346" s="8" t="s">
        <v>2647</v>
      </c>
      <c r="D3346" s="2">
        <v>2</v>
      </c>
      <c r="E3346" s="8" t="s">
        <v>3188</v>
      </c>
      <c r="F3346" s="2" t="s">
        <v>447</v>
      </c>
      <c r="G3346" s="2" t="s">
        <v>3177</v>
      </c>
      <c r="H3346" s="2"/>
      <c r="I3346" s="8" t="s">
        <v>3305</v>
      </c>
      <c r="J3346" s="2"/>
      <c r="K3346" s="2">
        <v>23642</v>
      </c>
      <c r="L3346" s="8" t="s">
        <v>6639</v>
      </c>
      <c r="M3346" s="2">
        <v>6.2</v>
      </c>
      <c r="N3346" s="8" t="s">
        <v>6638</v>
      </c>
      <c r="O3346" s="8" t="str">
        <f t="shared" si="313"/>
        <v>PDFを開く</v>
      </c>
      <c r="P3346" s="8" t="s">
        <v>2653</v>
      </c>
    </row>
    <row r="3347" spans="1:16" ht="33.950000000000003" customHeight="1">
      <c r="A3347" s="5" t="s">
        <v>2646</v>
      </c>
      <c r="B3347" s="5" t="s">
        <v>2430</v>
      </c>
      <c r="C3347" s="9" t="s">
        <v>2647</v>
      </c>
      <c r="D3347" s="5">
        <v>2</v>
      </c>
      <c r="E3347" s="9" t="s">
        <v>3191</v>
      </c>
      <c r="F3347" s="5" t="s">
        <v>2513</v>
      </c>
      <c r="G3347" s="5" t="s">
        <v>3177</v>
      </c>
      <c r="H3347" s="5"/>
      <c r="I3347" s="9" t="s">
        <v>3302</v>
      </c>
      <c r="J3347" s="5"/>
      <c r="K3347" s="5">
        <v>177</v>
      </c>
      <c r="L3347" s="9" t="s">
        <v>5584</v>
      </c>
      <c r="M3347" s="5"/>
      <c r="N3347" s="9" t="s">
        <v>6640</v>
      </c>
      <c r="O3347" s="9" t="str">
        <f t="shared" si="313"/>
        <v>PDFを開く</v>
      </c>
      <c r="P3347" s="9" t="s">
        <v>2653</v>
      </c>
    </row>
    <row r="3348" spans="1:16" ht="33.950000000000003" customHeight="1">
      <c r="A3348" s="2" t="s">
        <v>2646</v>
      </c>
      <c r="B3348" s="2" t="s">
        <v>2430</v>
      </c>
      <c r="C3348" s="8" t="s">
        <v>2647</v>
      </c>
      <c r="D3348" s="2">
        <v>2</v>
      </c>
      <c r="E3348" s="8" t="s">
        <v>3191</v>
      </c>
      <c r="F3348" s="2" t="s">
        <v>2513</v>
      </c>
      <c r="G3348" s="2" t="s">
        <v>3177</v>
      </c>
      <c r="H3348" s="2"/>
      <c r="I3348" s="8" t="s">
        <v>3305</v>
      </c>
      <c r="J3348" s="2"/>
      <c r="K3348" s="2">
        <v>183</v>
      </c>
      <c r="L3348" s="8" t="s">
        <v>4447</v>
      </c>
      <c r="M3348" s="2"/>
      <c r="N3348" s="8" t="s">
        <v>6640</v>
      </c>
      <c r="O3348" s="8" t="str">
        <f t="shared" si="313"/>
        <v>PDFを開く</v>
      </c>
      <c r="P3348" s="8" t="s">
        <v>2653</v>
      </c>
    </row>
    <row r="3349" spans="1:16" ht="33.950000000000003" customHeight="1">
      <c r="A3349" s="5" t="s">
        <v>2654</v>
      </c>
      <c r="B3349" s="5" t="s">
        <v>2430</v>
      </c>
      <c r="C3349" s="9" t="s">
        <v>2655</v>
      </c>
      <c r="D3349" s="5">
        <v>2</v>
      </c>
      <c r="E3349" s="9" t="s">
        <v>3176</v>
      </c>
      <c r="F3349" s="5" t="s">
        <v>447</v>
      </c>
      <c r="G3349" s="5" t="s">
        <v>3177</v>
      </c>
      <c r="H3349" s="5"/>
      <c r="I3349" s="9" t="s">
        <v>3302</v>
      </c>
      <c r="J3349" s="5"/>
      <c r="K3349" s="5">
        <v>4211</v>
      </c>
      <c r="L3349" s="9" t="s">
        <v>6641</v>
      </c>
      <c r="M3349" s="5">
        <v>39.799999999999997</v>
      </c>
      <c r="N3349" s="9" t="s">
        <v>6642</v>
      </c>
      <c r="O3349" s="9" t="str">
        <f t="shared" ref="O3349:O3357" si="314">HYPERLINK("https://seichotoushi-hojo.jp/assets/pdf/koufu_3_4ji/outline_149.pdf","PDFを開く")</f>
        <v>PDFを開く</v>
      </c>
      <c r="P3349" s="9" t="s">
        <v>2661</v>
      </c>
    </row>
    <row r="3350" spans="1:16" ht="33.950000000000003" customHeight="1">
      <c r="A3350" s="2" t="s">
        <v>2654</v>
      </c>
      <c r="B3350" s="2" t="s">
        <v>2430</v>
      </c>
      <c r="C3350" s="8" t="s">
        <v>2655</v>
      </c>
      <c r="D3350" s="2">
        <v>2</v>
      </c>
      <c r="E3350" s="8" t="s">
        <v>3176</v>
      </c>
      <c r="F3350" s="2" t="s">
        <v>447</v>
      </c>
      <c r="G3350" s="2" t="s">
        <v>3177</v>
      </c>
      <c r="H3350" s="2"/>
      <c r="I3350" s="8" t="s">
        <v>3305</v>
      </c>
      <c r="J3350" s="2"/>
      <c r="K3350" s="2">
        <v>11494</v>
      </c>
      <c r="L3350" s="8" t="s">
        <v>6643</v>
      </c>
      <c r="M3350" s="2">
        <v>39.799999999999997</v>
      </c>
      <c r="N3350" s="8" t="s">
        <v>6642</v>
      </c>
      <c r="O3350" s="8" t="str">
        <f t="shared" si="314"/>
        <v>PDFを開く</v>
      </c>
      <c r="P3350" s="8" t="s">
        <v>2661</v>
      </c>
    </row>
    <row r="3351" spans="1:16" ht="33.950000000000003" customHeight="1">
      <c r="A3351" s="5" t="s">
        <v>2654</v>
      </c>
      <c r="B3351" s="5" t="s">
        <v>2430</v>
      </c>
      <c r="C3351" s="9" t="s">
        <v>2655</v>
      </c>
      <c r="D3351" s="5">
        <v>2</v>
      </c>
      <c r="E3351" s="9" t="s">
        <v>3184</v>
      </c>
      <c r="F3351" s="5" t="s">
        <v>447</v>
      </c>
      <c r="G3351" s="5" t="s">
        <v>3177</v>
      </c>
      <c r="H3351" s="5"/>
      <c r="I3351" s="9" t="s">
        <v>3302</v>
      </c>
      <c r="J3351" s="5"/>
      <c r="K3351" s="5">
        <v>3229</v>
      </c>
      <c r="L3351" s="9" t="s">
        <v>6644</v>
      </c>
      <c r="M3351" s="5">
        <v>6</v>
      </c>
      <c r="N3351" s="9" t="s">
        <v>6645</v>
      </c>
      <c r="O3351" s="9" t="str">
        <f t="shared" si="314"/>
        <v>PDFを開く</v>
      </c>
      <c r="P3351" s="9" t="s">
        <v>2661</v>
      </c>
    </row>
    <row r="3352" spans="1:16" ht="33.950000000000003" customHeight="1">
      <c r="A3352" s="2" t="s">
        <v>2654</v>
      </c>
      <c r="B3352" s="2" t="s">
        <v>2430</v>
      </c>
      <c r="C3352" s="8" t="s">
        <v>2655</v>
      </c>
      <c r="D3352" s="2">
        <v>2</v>
      </c>
      <c r="E3352" s="8" t="s">
        <v>3184</v>
      </c>
      <c r="F3352" s="2" t="s">
        <v>447</v>
      </c>
      <c r="G3352" s="2" t="s">
        <v>3177</v>
      </c>
      <c r="H3352" s="2"/>
      <c r="I3352" s="8" t="s">
        <v>3305</v>
      </c>
      <c r="J3352" s="2"/>
      <c r="K3352" s="2">
        <v>3845</v>
      </c>
      <c r="L3352" s="8" t="s">
        <v>5147</v>
      </c>
      <c r="M3352" s="2">
        <v>6</v>
      </c>
      <c r="N3352" s="8" t="s">
        <v>6645</v>
      </c>
      <c r="O3352" s="8" t="str">
        <f t="shared" si="314"/>
        <v>PDFを開く</v>
      </c>
      <c r="P3352" s="8" t="s">
        <v>2661</v>
      </c>
    </row>
    <row r="3353" spans="1:16" ht="33.950000000000003" customHeight="1">
      <c r="A3353" s="5" t="s">
        <v>2654</v>
      </c>
      <c r="B3353" s="5" t="s">
        <v>2430</v>
      </c>
      <c r="C3353" s="9" t="s">
        <v>2655</v>
      </c>
      <c r="D3353" s="5">
        <v>2</v>
      </c>
      <c r="E3353" s="9" t="s">
        <v>3188</v>
      </c>
      <c r="F3353" s="5" t="s">
        <v>447</v>
      </c>
      <c r="G3353" s="19" t="s">
        <v>3189</v>
      </c>
      <c r="H3353" s="5"/>
      <c r="I3353" s="9"/>
      <c r="J3353" s="5"/>
      <c r="K3353" s="5"/>
      <c r="L3353" s="9"/>
      <c r="M3353" s="5">
        <v>5</v>
      </c>
      <c r="N3353" s="9" t="s">
        <v>6646</v>
      </c>
      <c r="O3353" s="9" t="str">
        <f t="shared" si="314"/>
        <v>PDFを開く</v>
      </c>
      <c r="P3353" s="9" t="s">
        <v>2661</v>
      </c>
    </row>
    <row r="3354" spans="1:16" ht="33.950000000000003" customHeight="1">
      <c r="A3354" s="2" t="s">
        <v>2654</v>
      </c>
      <c r="B3354" s="2" t="s">
        <v>2430</v>
      </c>
      <c r="C3354" s="8" t="s">
        <v>2655</v>
      </c>
      <c r="D3354" s="2">
        <v>2</v>
      </c>
      <c r="E3354" s="8" t="s">
        <v>3191</v>
      </c>
      <c r="F3354" s="2" t="s">
        <v>2513</v>
      </c>
      <c r="G3354" s="2" t="s">
        <v>3177</v>
      </c>
      <c r="H3354" s="2"/>
      <c r="I3354" s="8" t="s">
        <v>3302</v>
      </c>
      <c r="J3354" s="2"/>
      <c r="K3354" s="2">
        <v>72</v>
      </c>
      <c r="L3354" s="8" t="s">
        <v>3657</v>
      </c>
      <c r="M3354" s="2"/>
      <c r="N3354" s="8" t="s">
        <v>6647</v>
      </c>
      <c r="O3354" s="8" t="str">
        <f t="shared" si="314"/>
        <v>PDFを開く</v>
      </c>
      <c r="P3354" s="8" t="s">
        <v>2661</v>
      </c>
    </row>
    <row r="3355" spans="1:16" ht="33.950000000000003" customHeight="1">
      <c r="A3355" s="5" t="s">
        <v>2654</v>
      </c>
      <c r="B3355" s="5" t="s">
        <v>2430</v>
      </c>
      <c r="C3355" s="9" t="s">
        <v>2655</v>
      </c>
      <c r="D3355" s="5">
        <v>2</v>
      </c>
      <c r="E3355" s="9" t="s">
        <v>3191</v>
      </c>
      <c r="F3355" s="5" t="s">
        <v>2513</v>
      </c>
      <c r="G3355" s="5" t="s">
        <v>3177</v>
      </c>
      <c r="H3355" s="5"/>
      <c r="I3355" s="9" t="s">
        <v>3305</v>
      </c>
      <c r="J3355" s="5"/>
      <c r="K3355" s="5">
        <v>72</v>
      </c>
      <c r="L3355" s="9" t="s">
        <v>3657</v>
      </c>
      <c r="M3355" s="5"/>
      <c r="N3355" s="9" t="s">
        <v>6647</v>
      </c>
      <c r="O3355" s="9" t="str">
        <f t="shared" si="314"/>
        <v>PDFを開く</v>
      </c>
      <c r="P3355" s="9" t="s">
        <v>2661</v>
      </c>
    </row>
    <row r="3356" spans="1:16" ht="33.950000000000003" customHeight="1">
      <c r="A3356" s="2" t="s">
        <v>2654</v>
      </c>
      <c r="B3356" s="2" t="s">
        <v>2430</v>
      </c>
      <c r="C3356" s="8" t="s">
        <v>2655</v>
      </c>
      <c r="D3356" s="2">
        <v>2</v>
      </c>
      <c r="E3356" s="8" t="s">
        <v>3188</v>
      </c>
      <c r="F3356" s="2" t="s">
        <v>447</v>
      </c>
      <c r="G3356" s="2" t="s">
        <v>3177</v>
      </c>
      <c r="H3356" s="2"/>
      <c r="I3356" s="8" t="s">
        <v>6648</v>
      </c>
      <c r="J3356" s="2"/>
      <c r="K3356" s="2"/>
      <c r="L3356" s="8" t="s">
        <v>3211</v>
      </c>
      <c r="M3356" s="2">
        <v>5</v>
      </c>
      <c r="N3356" s="8" t="s">
        <v>6384</v>
      </c>
      <c r="O3356" s="8" t="str">
        <f t="shared" si="314"/>
        <v>PDFを開く</v>
      </c>
      <c r="P3356" s="8" t="s">
        <v>2661</v>
      </c>
    </row>
    <row r="3357" spans="1:16" ht="33.950000000000003" customHeight="1">
      <c r="A3357" s="5" t="s">
        <v>2654</v>
      </c>
      <c r="B3357" s="5" t="s">
        <v>2430</v>
      </c>
      <c r="C3357" s="9" t="s">
        <v>2655</v>
      </c>
      <c r="D3357" s="5">
        <v>2</v>
      </c>
      <c r="E3357" s="9" t="s">
        <v>3188</v>
      </c>
      <c r="F3357" s="5" t="s">
        <v>447</v>
      </c>
      <c r="G3357" s="5" t="s">
        <v>3177</v>
      </c>
      <c r="H3357" s="5"/>
      <c r="I3357" s="9" t="s">
        <v>6649</v>
      </c>
      <c r="J3357" s="5"/>
      <c r="K3357" s="5"/>
      <c r="L3357" s="9" t="s">
        <v>6650</v>
      </c>
      <c r="M3357" s="5">
        <v>5</v>
      </c>
      <c r="N3357" s="9" t="s">
        <v>6384</v>
      </c>
      <c r="O3357" s="9" t="str">
        <f t="shared" si="314"/>
        <v>PDFを開く</v>
      </c>
      <c r="P3357" s="9" t="s">
        <v>2661</v>
      </c>
    </row>
    <row r="3358" spans="1:16" ht="33.950000000000003" customHeight="1">
      <c r="A3358" s="2" t="s">
        <v>2662</v>
      </c>
      <c r="B3358" s="2" t="s">
        <v>2430</v>
      </c>
      <c r="C3358" s="8" t="s">
        <v>2663</v>
      </c>
      <c r="D3358" s="2">
        <v>2</v>
      </c>
      <c r="E3358" s="8" t="s">
        <v>3176</v>
      </c>
      <c r="F3358" s="2" t="s">
        <v>447</v>
      </c>
      <c r="G3358" s="2" t="s">
        <v>3177</v>
      </c>
      <c r="H3358" s="2" t="s">
        <v>3178</v>
      </c>
      <c r="I3358" s="8" t="s">
        <v>3694</v>
      </c>
      <c r="J3358" s="2">
        <v>2027</v>
      </c>
      <c r="K3358" s="2">
        <v>4234</v>
      </c>
      <c r="L3358" s="8" t="s">
        <v>6651</v>
      </c>
      <c r="M3358" s="2">
        <v>31.4</v>
      </c>
      <c r="N3358" s="8" t="s">
        <v>6652</v>
      </c>
      <c r="O3358" s="8" t="str">
        <f t="shared" ref="O3358:O3366" si="315">HYPERLINK("https://seichotoushi-hojo.jp/assets/pdf/koufu_3_4ji/outline_150.pdf","PDFを開く")</f>
        <v>PDFを開く</v>
      </c>
      <c r="P3358" s="8" t="s">
        <v>2667</v>
      </c>
    </row>
    <row r="3359" spans="1:16" ht="33.950000000000003" customHeight="1">
      <c r="A3359" s="5" t="s">
        <v>2662</v>
      </c>
      <c r="B3359" s="5" t="s">
        <v>2430</v>
      </c>
      <c r="C3359" s="9" t="s">
        <v>2663</v>
      </c>
      <c r="D3359" s="5">
        <v>2</v>
      </c>
      <c r="E3359" s="9" t="s">
        <v>3176</v>
      </c>
      <c r="F3359" s="5" t="s">
        <v>447</v>
      </c>
      <c r="G3359" s="5" t="s">
        <v>3177</v>
      </c>
      <c r="H3359" s="5" t="s">
        <v>3178</v>
      </c>
      <c r="I3359" s="9" t="s">
        <v>6653</v>
      </c>
      <c r="J3359" s="5">
        <v>2030</v>
      </c>
      <c r="K3359" s="5">
        <v>9610</v>
      </c>
      <c r="L3359" s="9" t="s">
        <v>6654</v>
      </c>
      <c r="M3359" s="5">
        <v>31.4</v>
      </c>
      <c r="N3359" s="9" t="s">
        <v>6652</v>
      </c>
      <c r="O3359" s="9" t="str">
        <f t="shared" si="315"/>
        <v>PDFを開く</v>
      </c>
      <c r="P3359" s="9" t="s">
        <v>2667</v>
      </c>
    </row>
    <row r="3360" spans="1:16" ht="33.950000000000003" customHeight="1">
      <c r="A3360" s="2" t="s">
        <v>2662</v>
      </c>
      <c r="B3360" s="2" t="s">
        <v>2430</v>
      </c>
      <c r="C3360" s="8" t="s">
        <v>2663</v>
      </c>
      <c r="D3360" s="2">
        <v>2</v>
      </c>
      <c r="E3360" s="8" t="s">
        <v>3184</v>
      </c>
      <c r="F3360" s="2" t="s">
        <v>447</v>
      </c>
      <c r="G3360" s="2" t="s">
        <v>3177</v>
      </c>
      <c r="H3360" s="2" t="s">
        <v>3178</v>
      </c>
      <c r="I3360" s="8" t="s">
        <v>3694</v>
      </c>
      <c r="J3360" s="2">
        <v>2027</v>
      </c>
      <c r="K3360" s="2">
        <v>3585</v>
      </c>
      <c r="L3360" s="8" t="s">
        <v>6655</v>
      </c>
      <c r="M3360" s="2">
        <v>6</v>
      </c>
      <c r="N3360" s="8" t="s">
        <v>6656</v>
      </c>
      <c r="O3360" s="8" t="str">
        <f t="shared" si="315"/>
        <v>PDFを開く</v>
      </c>
      <c r="P3360" s="8" t="s">
        <v>2667</v>
      </c>
    </row>
    <row r="3361" spans="1:16" ht="33.950000000000003" customHeight="1">
      <c r="A3361" s="5" t="s">
        <v>2662</v>
      </c>
      <c r="B3361" s="5" t="s">
        <v>2430</v>
      </c>
      <c r="C3361" s="9" t="s">
        <v>2663</v>
      </c>
      <c r="D3361" s="5">
        <v>2</v>
      </c>
      <c r="E3361" s="9" t="s">
        <v>3184</v>
      </c>
      <c r="F3361" s="5" t="s">
        <v>447</v>
      </c>
      <c r="G3361" s="5" t="s">
        <v>3177</v>
      </c>
      <c r="H3361" s="5" t="s">
        <v>3178</v>
      </c>
      <c r="I3361" s="9" t="s">
        <v>6653</v>
      </c>
      <c r="J3361" s="5">
        <v>2030</v>
      </c>
      <c r="K3361" s="5">
        <v>4270</v>
      </c>
      <c r="L3361" s="9" t="s">
        <v>6657</v>
      </c>
      <c r="M3361" s="5">
        <v>6</v>
      </c>
      <c r="N3361" s="9" t="s">
        <v>6656</v>
      </c>
      <c r="O3361" s="9" t="str">
        <f t="shared" si="315"/>
        <v>PDFを開く</v>
      </c>
      <c r="P3361" s="9" t="s">
        <v>2667</v>
      </c>
    </row>
    <row r="3362" spans="1:16" ht="33.950000000000003" customHeight="1">
      <c r="A3362" s="2" t="s">
        <v>2662</v>
      </c>
      <c r="B3362" s="2" t="s">
        <v>2430</v>
      </c>
      <c r="C3362" s="8" t="s">
        <v>2663</v>
      </c>
      <c r="D3362" s="2">
        <v>2</v>
      </c>
      <c r="E3362" s="8" t="s">
        <v>3188</v>
      </c>
      <c r="F3362" s="2" t="s">
        <v>447</v>
      </c>
      <c r="G3362" s="19" t="s">
        <v>3189</v>
      </c>
      <c r="H3362" s="2" t="s">
        <v>3178</v>
      </c>
      <c r="I3362" s="8"/>
      <c r="J3362" s="2"/>
      <c r="K3362" s="2"/>
      <c r="L3362" s="8"/>
      <c r="M3362" s="2">
        <v>6</v>
      </c>
      <c r="N3362" s="8" t="s">
        <v>6470</v>
      </c>
      <c r="O3362" s="8" t="str">
        <f t="shared" si="315"/>
        <v>PDFを開く</v>
      </c>
      <c r="P3362" s="8" t="s">
        <v>2667</v>
      </c>
    </row>
    <row r="3363" spans="1:16" ht="33.950000000000003" customHeight="1">
      <c r="A3363" s="5" t="s">
        <v>2662</v>
      </c>
      <c r="B3363" s="5" t="s">
        <v>2430</v>
      </c>
      <c r="C3363" s="9" t="s">
        <v>2663</v>
      </c>
      <c r="D3363" s="5">
        <v>2</v>
      </c>
      <c r="E3363" s="9" t="s">
        <v>3191</v>
      </c>
      <c r="F3363" s="5" t="s">
        <v>2513</v>
      </c>
      <c r="G3363" s="5" t="s">
        <v>3177</v>
      </c>
      <c r="H3363" s="5" t="s">
        <v>3178</v>
      </c>
      <c r="I3363" s="9" t="s">
        <v>3694</v>
      </c>
      <c r="J3363" s="5">
        <v>2027</v>
      </c>
      <c r="K3363" s="5">
        <v>200</v>
      </c>
      <c r="L3363" s="9" t="s">
        <v>4852</v>
      </c>
      <c r="M3363" s="5"/>
      <c r="N3363" s="9" t="s">
        <v>6658</v>
      </c>
      <c r="O3363" s="9" t="str">
        <f t="shared" si="315"/>
        <v>PDFを開く</v>
      </c>
      <c r="P3363" s="9" t="s">
        <v>2667</v>
      </c>
    </row>
    <row r="3364" spans="1:16" ht="33.950000000000003" customHeight="1">
      <c r="A3364" s="2" t="s">
        <v>2662</v>
      </c>
      <c r="B3364" s="2" t="s">
        <v>2430</v>
      </c>
      <c r="C3364" s="8" t="s">
        <v>2663</v>
      </c>
      <c r="D3364" s="2">
        <v>2</v>
      </c>
      <c r="E3364" s="8" t="s">
        <v>3191</v>
      </c>
      <c r="F3364" s="2" t="s">
        <v>2513</v>
      </c>
      <c r="G3364" s="2" t="s">
        <v>3177</v>
      </c>
      <c r="H3364" s="2" t="s">
        <v>3178</v>
      </c>
      <c r="I3364" s="8" t="s">
        <v>6653</v>
      </c>
      <c r="J3364" s="2">
        <v>2030</v>
      </c>
      <c r="K3364" s="2">
        <v>270</v>
      </c>
      <c r="L3364" s="8" t="s">
        <v>3192</v>
      </c>
      <c r="M3364" s="2"/>
      <c r="N3364" s="8" t="s">
        <v>6658</v>
      </c>
      <c r="O3364" s="8" t="str">
        <f t="shared" si="315"/>
        <v>PDFを開く</v>
      </c>
      <c r="P3364" s="8" t="s">
        <v>2667</v>
      </c>
    </row>
    <row r="3365" spans="1:16" ht="33.950000000000003" customHeight="1">
      <c r="A3365" s="5" t="s">
        <v>2662</v>
      </c>
      <c r="B3365" s="5" t="s">
        <v>2430</v>
      </c>
      <c r="C3365" s="9" t="s">
        <v>2663</v>
      </c>
      <c r="D3365" s="5">
        <v>2</v>
      </c>
      <c r="E3365" s="9" t="s">
        <v>3188</v>
      </c>
      <c r="F3365" s="5" t="s">
        <v>447</v>
      </c>
      <c r="G3365" s="5" t="s">
        <v>3177</v>
      </c>
      <c r="H3365" s="5"/>
      <c r="I3365" s="9" t="s">
        <v>6659</v>
      </c>
      <c r="J3365" s="5">
        <v>2027</v>
      </c>
      <c r="K3365" s="5"/>
      <c r="L3365" s="9" t="s">
        <v>3211</v>
      </c>
      <c r="M3365" s="5">
        <v>6</v>
      </c>
      <c r="N3365" s="9" t="s">
        <v>6473</v>
      </c>
      <c r="O3365" s="9" t="str">
        <f t="shared" si="315"/>
        <v>PDFを開く</v>
      </c>
      <c r="P3365" s="9" t="s">
        <v>2667</v>
      </c>
    </row>
    <row r="3366" spans="1:16" ht="33.950000000000003" customHeight="1">
      <c r="A3366" s="2" t="s">
        <v>2662</v>
      </c>
      <c r="B3366" s="2" t="s">
        <v>2430</v>
      </c>
      <c r="C3366" s="8" t="s">
        <v>2663</v>
      </c>
      <c r="D3366" s="2">
        <v>2</v>
      </c>
      <c r="E3366" s="8" t="s">
        <v>3188</v>
      </c>
      <c r="F3366" s="2" t="s">
        <v>447</v>
      </c>
      <c r="G3366" s="2" t="s">
        <v>3177</v>
      </c>
      <c r="H3366" s="2"/>
      <c r="I3366" s="8" t="s">
        <v>6660</v>
      </c>
      <c r="J3366" s="2">
        <v>2030</v>
      </c>
      <c r="K3366" s="2"/>
      <c r="L3366" s="8" t="s">
        <v>6661</v>
      </c>
      <c r="M3366" s="2">
        <v>6</v>
      </c>
      <c r="N3366" s="8" t="s">
        <v>6473</v>
      </c>
      <c r="O3366" s="8" t="str">
        <f t="shared" si="315"/>
        <v>PDFを開く</v>
      </c>
      <c r="P3366" s="8" t="s">
        <v>2667</v>
      </c>
    </row>
    <row r="3367" spans="1:16" ht="33.950000000000003" customHeight="1">
      <c r="A3367" s="5" t="s">
        <v>2668</v>
      </c>
      <c r="B3367" s="5" t="s">
        <v>2430</v>
      </c>
      <c r="C3367" s="9" t="s">
        <v>2669</v>
      </c>
      <c r="D3367" s="5">
        <v>2</v>
      </c>
      <c r="E3367" s="9" t="s">
        <v>3176</v>
      </c>
      <c r="F3367" s="5" t="s">
        <v>447</v>
      </c>
      <c r="G3367" s="5" t="s">
        <v>3177</v>
      </c>
      <c r="H3367" s="5"/>
      <c r="I3367" s="9" t="s">
        <v>3302</v>
      </c>
      <c r="J3367" s="5"/>
      <c r="K3367" s="5">
        <v>7087</v>
      </c>
      <c r="L3367" s="9" t="s">
        <v>6662</v>
      </c>
      <c r="M3367" s="5">
        <v>42.5</v>
      </c>
      <c r="N3367" s="9" t="s">
        <v>6663</v>
      </c>
      <c r="O3367" s="9" t="str">
        <f t="shared" ref="O3367:O3374" si="316">HYPERLINK("https://seichotoushi-hojo.jp/assets/pdf/koufu_3_4ji/outline_152.pdf","PDFを開く")</f>
        <v>PDFを開く</v>
      </c>
      <c r="P3367" s="9" t="s">
        <v>2675</v>
      </c>
    </row>
    <row r="3368" spans="1:16" ht="33.950000000000003" customHeight="1">
      <c r="A3368" s="2" t="s">
        <v>2668</v>
      </c>
      <c r="B3368" s="2" t="s">
        <v>2430</v>
      </c>
      <c r="C3368" s="8" t="s">
        <v>2669</v>
      </c>
      <c r="D3368" s="2">
        <v>2</v>
      </c>
      <c r="E3368" s="8" t="s">
        <v>3176</v>
      </c>
      <c r="F3368" s="2" t="s">
        <v>447</v>
      </c>
      <c r="G3368" s="2" t="s">
        <v>3177</v>
      </c>
      <c r="H3368" s="2"/>
      <c r="I3368" s="8" t="s">
        <v>3305</v>
      </c>
      <c r="J3368" s="2"/>
      <c r="K3368" s="2">
        <v>20505</v>
      </c>
      <c r="L3368" s="8" t="s">
        <v>6664</v>
      </c>
      <c r="M3368" s="2">
        <v>42.5</v>
      </c>
      <c r="N3368" s="8" t="s">
        <v>6663</v>
      </c>
      <c r="O3368" s="8" t="str">
        <f t="shared" si="316"/>
        <v>PDFを開く</v>
      </c>
      <c r="P3368" s="8" t="s">
        <v>2675</v>
      </c>
    </row>
    <row r="3369" spans="1:16" ht="33.950000000000003" customHeight="1">
      <c r="A3369" s="5" t="s">
        <v>2668</v>
      </c>
      <c r="B3369" s="5" t="s">
        <v>2430</v>
      </c>
      <c r="C3369" s="9" t="s">
        <v>2669</v>
      </c>
      <c r="D3369" s="5">
        <v>2</v>
      </c>
      <c r="E3369" s="9" t="s">
        <v>3184</v>
      </c>
      <c r="F3369" s="5" t="s">
        <v>447</v>
      </c>
      <c r="G3369" s="5" t="s">
        <v>3177</v>
      </c>
      <c r="H3369" s="5"/>
      <c r="I3369" s="9" t="s">
        <v>3302</v>
      </c>
      <c r="J3369" s="5"/>
      <c r="K3369" s="5">
        <v>4979</v>
      </c>
      <c r="L3369" s="9" t="s">
        <v>6665</v>
      </c>
      <c r="M3369" s="5">
        <v>6.3</v>
      </c>
      <c r="N3369" s="9" t="s">
        <v>6666</v>
      </c>
      <c r="O3369" s="9" t="str">
        <f t="shared" si="316"/>
        <v>PDFを開く</v>
      </c>
      <c r="P3369" s="9" t="s">
        <v>2675</v>
      </c>
    </row>
    <row r="3370" spans="1:16" ht="33.950000000000003" customHeight="1">
      <c r="A3370" s="2" t="s">
        <v>2668</v>
      </c>
      <c r="B3370" s="2" t="s">
        <v>2430</v>
      </c>
      <c r="C3370" s="8" t="s">
        <v>2669</v>
      </c>
      <c r="D3370" s="2">
        <v>2</v>
      </c>
      <c r="E3370" s="8" t="s">
        <v>3184</v>
      </c>
      <c r="F3370" s="2" t="s">
        <v>447</v>
      </c>
      <c r="G3370" s="2" t="s">
        <v>3177</v>
      </c>
      <c r="H3370" s="2"/>
      <c r="I3370" s="8" t="s">
        <v>3305</v>
      </c>
      <c r="J3370" s="2"/>
      <c r="K3370" s="2">
        <v>5973</v>
      </c>
      <c r="L3370" s="8" t="s">
        <v>6667</v>
      </c>
      <c r="M3370" s="2">
        <v>6.3</v>
      </c>
      <c r="N3370" s="8" t="s">
        <v>6666</v>
      </c>
      <c r="O3370" s="8" t="str">
        <f t="shared" si="316"/>
        <v>PDFを開く</v>
      </c>
      <c r="P3370" s="8" t="s">
        <v>2675</v>
      </c>
    </row>
    <row r="3371" spans="1:16" ht="33.950000000000003" customHeight="1">
      <c r="A3371" s="5" t="s">
        <v>2668</v>
      </c>
      <c r="B3371" s="5" t="s">
        <v>2430</v>
      </c>
      <c r="C3371" s="9" t="s">
        <v>2669</v>
      </c>
      <c r="D3371" s="5">
        <v>2</v>
      </c>
      <c r="E3371" s="9" t="s">
        <v>3188</v>
      </c>
      <c r="F3371" s="5" t="s">
        <v>447</v>
      </c>
      <c r="G3371" s="5" t="s">
        <v>3177</v>
      </c>
      <c r="H3371" s="5" t="s">
        <v>3178</v>
      </c>
      <c r="I3371" s="9" t="s">
        <v>3302</v>
      </c>
      <c r="J3371" s="5"/>
      <c r="K3371" s="5">
        <v>19721</v>
      </c>
      <c r="L3371" s="9" t="s">
        <v>6668</v>
      </c>
      <c r="M3371" s="5">
        <v>6</v>
      </c>
      <c r="N3371" s="9" t="s">
        <v>6669</v>
      </c>
      <c r="O3371" s="9" t="str">
        <f t="shared" si="316"/>
        <v>PDFを開く</v>
      </c>
      <c r="P3371" s="9" t="s">
        <v>2675</v>
      </c>
    </row>
    <row r="3372" spans="1:16" ht="33.950000000000003" customHeight="1">
      <c r="A3372" s="2" t="s">
        <v>2668</v>
      </c>
      <c r="B3372" s="2" t="s">
        <v>2430</v>
      </c>
      <c r="C3372" s="8" t="s">
        <v>2669</v>
      </c>
      <c r="D3372" s="2">
        <v>2</v>
      </c>
      <c r="E3372" s="8" t="s">
        <v>3188</v>
      </c>
      <c r="F3372" s="2" t="s">
        <v>447</v>
      </c>
      <c r="G3372" s="2" t="s">
        <v>3177</v>
      </c>
      <c r="H3372" s="2" t="s">
        <v>3178</v>
      </c>
      <c r="I3372" s="8" t="s">
        <v>3305</v>
      </c>
      <c r="J3372" s="2"/>
      <c r="K3372" s="2">
        <v>23483</v>
      </c>
      <c r="L3372" s="8" t="s">
        <v>6670</v>
      </c>
      <c r="M3372" s="2">
        <v>6</v>
      </c>
      <c r="N3372" s="8" t="s">
        <v>6669</v>
      </c>
      <c r="O3372" s="8" t="str">
        <f t="shared" si="316"/>
        <v>PDFを開く</v>
      </c>
      <c r="P3372" s="8" t="s">
        <v>2675</v>
      </c>
    </row>
    <row r="3373" spans="1:16" ht="33.950000000000003" customHeight="1">
      <c r="A3373" s="5" t="s">
        <v>2668</v>
      </c>
      <c r="B3373" s="5" t="s">
        <v>2430</v>
      </c>
      <c r="C3373" s="9" t="s">
        <v>2669</v>
      </c>
      <c r="D3373" s="5">
        <v>2</v>
      </c>
      <c r="E3373" s="9" t="s">
        <v>3191</v>
      </c>
      <c r="F3373" s="5" t="s">
        <v>2513</v>
      </c>
      <c r="G3373" s="5" t="s">
        <v>3177</v>
      </c>
      <c r="H3373" s="5"/>
      <c r="I3373" s="9" t="s">
        <v>3302</v>
      </c>
      <c r="J3373" s="5"/>
      <c r="K3373" s="5">
        <v>128</v>
      </c>
      <c r="L3373" s="9" t="s">
        <v>3297</v>
      </c>
      <c r="M3373" s="5"/>
      <c r="N3373" s="9" t="s">
        <v>6671</v>
      </c>
      <c r="O3373" s="9" t="str">
        <f t="shared" si="316"/>
        <v>PDFを開く</v>
      </c>
      <c r="P3373" s="9" t="s">
        <v>2675</v>
      </c>
    </row>
    <row r="3374" spans="1:16" ht="33.950000000000003" customHeight="1">
      <c r="A3374" s="2" t="s">
        <v>2668</v>
      </c>
      <c r="B3374" s="2" t="s">
        <v>2430</v>
      </c>
      <c r="C3374" s="8" t="s">
        <v>2669</v>
      </c>
      <c r="D3374" s="2">
        <v>2</v>
      </c>
      <c r="E3374" s="8" t="s">
        <v>3191</v>
      </c>
      <c r="F3374" s="2" t="s">
        <v>2513</v>
      </c>
      <c r="G3374" s="2" t="s">
        <v>3177</v>
      </c>
      <c r="H3374" s="2"/>
      <c r="I3374" s="8" t="s">
        <v>3305</v>
      </c>
      <c r="J3374" s="2"/>
      <c r="K3374" s="2">
        <v>193</v>
      </c>
      <c r="L3374" s="8" t="s">
        <v>3684</v>
      </c>
      <c r="M3374" s="2"/>
      <c r="N3374" s="8" t="s">
        <v>6671</v>
      </c>
      <c r="O3374" s="8" t="str">
        <f t="shared" si="316"/>
        <v>PDFを開く</v>
      </c>
      <c r="P3374" s="8" t="s">
        <v>2675</v>
      </c>
    </row>
    <row r="3375" spans="1:16" ht="33.950000000000003" customHeight="1">
      <c r="A3375" s="5" t="s">
        <v>2676</v>
      </c>
      <c r="B3375" s="5" t="s">
        <v>2430</v>
      </c>
      <c r="C3375" s="9" t="s">
        <v>2677</v>
      </c>
      <c r="D3375" s="5">
        <v>2</v>
      </c>
      <c r="E3375" s="9" t="s">
        <v>3176</v>
      </c>
      <c r="F3375" s="5" t="s">
        <v>447</v>
      </c>
      <c r="G3375" s="5" t="s">
        <v>3177</v>
      </c>
      <c r="H3375" s="5"/>
      <c r="I3375" s="9" t="s">
        <v>3302</v>
      </c>
      <c r="J3375" s="5"/>
      <c r="K3375" s="5">
        <v>14378</v>
      </c>
      <c r="L3375" s="9" t="s">
        <v>6672</v>
      </c>
      <c r="M3375" s="5">
        <v>27.7</v>
      </c>
      <c r="N3375" s="9" t="s">
        <v>6673</v>
      </c>
      <c r="O3375" s="9" t="str">
        <f t="shared" ref="O3375:O3383" si="317">HYPERLINK("https://seichotoushi-hojo.jp/assets/pdf/koufu_3_4ji/outline_153.pdf","PDFを開く")</f>
        <v>PDFを開く</v>
      </c>
      <c r="P3375" s="9" t="s">
        <v>2683</v>
      </c>
    </row>
    <row r="3376" spans="1:16" ht="33.950000000000003" customHeight="1">
      <c r="A3376" s="2" t="s">
        <v>2676</v>
      </c>
      <c r="B3376" s="2" t="s">
        <v>2430</v>
      </c>
      <c r="C3376" s="8" t="s">
        <v>2677</v>
      </c>
      <c r="D3376" s="2">
        <v>2</v>
      </c>
      <c r="E3376" s="8" t="s">
        <v>3176</v>
      </c>
      <c r="F3376" s="2" t="s">
        <v>447</v>
      </c>
      <c r="G3376" s="2" t="s">
        <v>3177</v>
      </c>
      <c r="H3376" s="2"/>
      <c r="I3376" s="8" t="s">
        <v>3305</v>
      </c>
      <c r="J3376" s="2"/>
      <c r="K3376" s="2">
        <v>29954</v>
      </c>
      <c r="L3376" s="8" t="s">
        <v>6674</v>
      </c>
      <c r="M3376" s="2">
        <v>27.7</v>
      </c>
      <c r="N3376" s="8" t="s">
        <v>6673</v>
      </c>
      <c r="O3376" s="8" t="str">
        <f t="shared" si="317"/>
        <v>PDFを開く</v>
      </c>
      <c r="P3376" s="8" t="s">
        <v>2683</v>
      </c>
    </row>
    <row r="3377" spans="1:16" ht="33.950000000000003" customHeight="1">
      <c r="A3377" s="5" t="s">
        <v>2676</v>
      </c>
      <c r="B3377" s="5" t="s">
        <v>2430</v>
      </c>
      <c r="C3377" s="9" t="s">
        <v>2677</v>
      </c>
      <c r="D3377" s="5">
        <v>2</v>
      </c>
      <c r="E3377" s="9" t="s">
        <v>3184</v>
      </c>
      <c r="F3377" s="5" t="s">
        <v>447</v>
      </c>
      <c r="G3377" s="5" t="s">
        <v>3177</v>
      </c>
      <c r="H3377" s="5" t="s">
        <v>3178</v>
      </c>
      <c r="I3377" s="9" t="s">
        <v>3302</v>
      </c>
      <c r="J3377" s="5"/>
      <c r="K3377" s="5">
        <v>6413</v>
      </c>
      <c r="L3377" s="9" t="s">
        <v>6675</v>
      </c>
      <c r="M3377" s="5">
        <v>7.5</v>
      </c>
      <c r="N3377" s="9" t="s">
        <v>6676</v>
      </c>
      <c r="O3377" s="9" t="str">
        <f t="shared" si="317"/>
        <v>PDFを開く</v>
      </c>
      <c r="P3377" s="9" t="s">
        <v>2683</v>
      </c>
    </row>
    <row r="3378" spans="1:16" ht="33.950000000000003" customHeight="1">
      <c r="A3378" s="2" t="s">
        <v>2676</v>
      </c>
      <c r="B3378" s="2" t="s">
        <v>2430</v>
      </c>
      <c r="C3378" s="8" t="s">
        <v>2677</v>
      </c>
      <c r="D3378" s="2">
        <v>2</v>
      </c>
      <c r="E3378" s="8" t="s">
        <v>3184</v>
      </c>
      <c r="F3378" s="2" t="s">
        <v>447</v>
      </c>
      <c r="G3378" s="2" t="s">
        <v>3177</v>
      </c>
      <c r="H3378" s="2" t="s">
        <v>3178</v>
      </c>
      <c r="I3378" s="8" t="s">
        <v>3305</v>
      </c>
      <c r="J3378" s="2"/>
      <c r="K3378" s="2">
        <v>7969</v>
      </c>
      <c r="L3378" s="8" t="s">
        <v>6677</v>
      </c>
      <c r="M3378" s="2">
        <v>7.5</v>
      </c>
      <c r="N3378" s="8" t="s">
        <v>6676</v>
      </c>
      <c r="O3378" s="8" t="str">
        <f t="shared" si="317"/>
        <v>PDFを開く</v>
      </c>
      <c r="P3378" s="8" t="s">
        <v>2683</v>
      </c>
    </row>
    <row r="3379" spans="1:16" ht="33.950000000000003" customHeight="1">
      <c r="A3379" s="5" t="s">
        <v>2676</v>
      </c>
      <c r="B3379" s="5" t="s">
        <v>2430</v>
      </c>
      <c r="C3379" s="9" t="s">
        <v>2677</v>
      </c>
      <c r="D3379" s="5">
        <v>2</v>
      </c>
      <c r="E3379" s="9" t="s">
        <v>3188</v>
      </c>
      <c r="F3379" s="5" t="s">
        <v>447</v>
      </c>
      <c r="G3379" s="19" t="s">
        <v>3189</v>
      </c>
      <c r="H3379" s="5"/>
      <c r="I3379" s="9"/>
      <c r="J3379" s="5"/>
      <c r="K3379" s="5"/>
      <c r="L3379" s="9"/>
      <c r="M3379" s="5">
        <v>5.5</v>
      </c>
      <c r="N3379" s="9" t="s">
        <v>6678</v>
      </c>
      <c r="O3379" s="9" t="str">
        <f t="shared" si="317"/>
        <v>PDFを開く</v>
      </c>
      <c r="P3379" s="9" t="s">
        <v>2683</v>
      </c>
    </row>
    <row r="3380" spans="1:16" ht="33.950000000000003" customHeight="1">
      <c r="A3380" s="2" t="s">
        <v>2676</v>
      </c>
      <c r="B3380" s="2" t="s">
        <v>2430</v>
      </c>
      <c r="C3380" s="8" t="s">
        <v>2677</v>
      </c>
      <c r="D3380" s="2">
        <v>2</v>
      </c>
      <c r="E3380" s="8" t="s">
        <v>3191</v>
      </c>
      <c r="F3380" s="2" t="s">
        <v>2513</v>
      </c>
      <c r="G3380" s="2" t="s">
        <v>3177</v>
      </c>
      <c r="H3380" s="2"/>
      <c r="I3380" s="8" t="s">
        <v>3302</v>
      </c>
      <c r="J3380" s="2"/>
      <c r="K3380" s="2">
        <v>63</v>
      </c>
      <c r="L3380" s="8" t="s">
        <v>3442</v>
      </c>
      <c r="M3380" s="2"/>
      <c r="N3380" s="8" t="s">
        <v>6679</v>
      </c>
      <c r="O3380" s="8" t="str">
        <f t="shared" si="317"/>
        <v>PDFを開く</v>
      </c>
      <c r="P3380" s="8" t="s">
        <v>2683</v>
      </c>
    </row>
    <row r="3381" spans="1:16" ht="33.950000000000003" customHeight="1">
      <c r="A3381" s="5" t="s">
        <v>2676</v>
      </c>
      <c r="B3381" s="5" t="s">
        <v>2430</v>
      </c>
      <c r="C3381" s="9" t="s">
        <v>2677</v>
      </c>
      <c r="D3381" s="5">
        <v>2</v>
      </c>
      <c r="E3381" s="9" t="s">
        <v>3191</v>
      </c>
      <c r="F3381" s="5" t="s">
        <v>2513</v>
      </c>
      <c r="G3381" s="5" t="s">
        <v>3177</v>
      </c>
      <c r="H3381" s="5"/>
      <c r="I3381" s="9" t="s">
        <v>3305</v>
      </c>
      <c r="J3381" s="5"/>
      <c r="K3381" s="5">
        <v>115</v>
      </c>
      <c r="L3381" s="9" t="s">
        <v>4458</v>
      </c>
      <c r="M3381" s="5"/>
      <c r="N3381" s="9" t="s">
        <v>6679</v>
      </c>
      <c r="O3381" s="9" t="str">
        <f t="shared" si="317"/>
        <v>PDFを開く</v>
      </c>
      <c r="P3381" s="9" t="s">
        <v>2683</v>
      </c>
    </row>
    <row r="3382" spans="1:16" ht="33.950000000000003" customHeight="1">
      <c r="A3382" s="2" t="s">
        <v>2676</v>
      </c>
      <c r="B3382" s="2" t="s">
        <v>2430</v>
      </c>
      <c r="C3382" s="8" t="s">
        <v>2677</v>
      </c>
      <c r="D3382" s="2">
        <v>2</v>
      </c>
      <c r="E3382" s="8" t="s">
        <v>3188</v>
      </c>
      <c r="F3382" s="2" t="s">
        <v>447</v>
      </c>
      <c r="G3382" s="2" t="s">
        <v>3177</v>
      </c>
      <c r="H3382" s="2"/>
      <c r="I3382" s="8" t="s">
        <v>6680</v>
      </c>
      <c r="J3382" s="2"/>
      <c r="K3382" s="2"/>
      <c r="L3382" s="8" t="s">
        <v>3211</v>
      </c>
      <c r="M3382" s="2">
        <v>5.5</v>
      </c>
      <c r="N3382" s="8" t="s">
        <v>6681</v>
      </c>
      <c r="O3382" s="8" t="str">
        <f t="shared" si="317"/>
        <v>PDFを開く</v>
      </c>
      <c r="P3382" s="8" t="s">
        <v>2683</v>
      </c>
    </row>
    <row r="3383" spans="1:16" ht="33.950000000000003" customHeight="1">
      <c r="A3383" s="5" t="s">
        <v>2676</v>
      </c>
      <c r="B3383" s="5" t="s">
        <v>2430</v>
      </c>
      <c r="C3383" s="9" t="s">
        <v>2677</v>
      </c>
      <c r="D3383" s="5">
        <v>2</v>
      </c>
      <c r="E3383" s="9" t="s">
        <v>3188</v>
      </c>
      <c r="F3383" s="5" t="s">
        <v>447</v>
      </c>
      <c r="G3383" s="5" t="s">
        <v>3177</v>
      </c>
      <c r="H3383" s="5"/>
      <c r="I3383" s="9" t="s">
        <v>6682</v>
      </c>
      <c r="J3383" s="5"/>
      <c r="K3383" s="5"/>
      <c r="L3383" s="9" t="s">
        <v>5499</v>
      </c>
      <c r="M3383" s="5">
        <v>5.5</v>
      </c>
      <c r="N3383" s="9" t="s">
        <v>6681</v>
      </c>
      <c r="O3383" s="9" t="str">
        <f t="shared" si="317"/>
        <v>PDFを開く</v>
      </c>
      <c r="P3383" s="9" t="s">
        <v>2683</v>
      </c>
    </row>
    <row r="3384" spans="1:16" ht="33.950000000000003" customHeight="1">
      <c r="A3384" s="2" t="s">
        <v>2684</v>
      </c>
      <c r="B3384" s="2" t="s">
        <v>2430</v>
      </c>
      <c r="C3384" s="8" t="s">
        <v>2685</v>
      </c>
      <c r="D3384" s="2">
        <v>4</v>
      </c>
      <c r="E3384" s="8" t="s">
        <v>3176</v>
      </c>
      <c r="F3384" s="2" t="s">
        <v>447</v>
      </c>
      <c r="G3384" s="2" t="s">
        <v>3177</v>
      </c>
      <c r="H3384" s="2" t="s">
        <v>3178</v>
      </c>
      <c r="I3384" s="8" t="s">
        <v>3302</v>
      </c>
      <c r="J3384" s="2"/>
      <c r="K3384" s="2">
        <v>21403</v>
      </c>
      <c r="L3384" s="8" t="s">
        <v>6683</v>
      </c>
      <c r="M3384" s="2">
        <v>15.8</v>
      </c>
      <c r="N3384" s="8" t="s">
        <v>6684</v>
      </c>
      <c r="O3384" s="8" t="str">
        <f t="shared" ref="O3384:O3391" si="318">HYPERLINK("https://seichotoushi-hojo.jp/assets/pdf/koufu_3_4ji/outline_154.pdf","PDFを開く")</f>
        <v>PDFを開く</v>
      </c>
      <c r="P3384" s="8" t="s">
        <v>2692</v>
      </c>
    </row>
    <row r="3385" spans="1:16" ht="33.950000000000003" customHeight="1">
      <c r="A3385" s="5" t="s">
        <v>2684</v>
      </c>
      <c r="B3385" s="5" t="s">
        <v>2430</v>
      </c>
      <c r="C3385" s="9" t="s">
        <v>2685</v>
      </c>
      <c r="D3385" s="5">
        <v>4</v>
      </c>
      <c r="E3385" s="9" t="s">
        <v>3176</v>
      </c>
      <c r="F3385" s="5" t="s">
        <v>447</v>
      </c>
      <c r="G3385" s="5" t="s">
        <v>3177</v>
      </c>
      <c r="H3385" s="5" t="s">
        <v>3178</v>
      </c>
      <c r="I3385" s="9" t="s">
        <v>3305</v>
      </c>
      <c r="J3385" s="5"/>
      <c r="K3385" s="5">
        <v>33275</v>
      </c>
      <c r="L3385" s="9" t="s">
        <v>6685</v>
      </c>
      <c r="M3385" s="5">
        <v>15.8</v>
      </c>
      <c r="N3385" s="9" t="s">
        <v>6684</v>
      </c>
      <c r="O3385" s="9" t="str">
        <f t="shared" si="318"/>
        <v>PDFを開く</v>
      </c>
      <c r="P3385" s="9" t="s">
        <v>2692</v>
      </c>
    </row>
    <row r="3386" spans="1:16" ht="33.950000000000003" customHeight="1">
      <c r="A3386" s="2" t="s">
        <v>2684</v>
      </c>
      <c r="B3386" s="2" t="s">
        <v>2430</v>
      </c>
      <c r="C3386" s="8" t="s">
        <v>2685</v>
      </c>
      <c r="D3386" s="2">
        <v>4</v>
      </c>
      <c r="E3386" s="8" t="s">
        <v>3184</v>
      </c>
      <c r="F3386" s="2" t="s">
        <v>447</v>
      </c>
      <c r="G3386" s="2" t="s">
        <v>3177</v>
      </c>
      <c r="H3386" s="2" t="s">
        <v>3178</v>
      </c>
      <c r="I3386" s="8" t="s">
        <v>3302</v>
      </c>
      <c r="J3386" s="2"/>
      <c r="K3386" s="2">
        <v>7512</v>
      </c>
      <c r="L3386" s="8" t="s">
        <v>6686</v>
      </c>
      <c r="M3386" s="2">
        <v>10.1</v>
      </c>
      <c r="N3386" s="8" t="s">
        <v>6687</v>
      </c>
      <c r="O3386" s="8" t="str">
        <f t="shared" si="318"/>
        <v>PDFを開く</v>
      </c>
      <c r="P3386" s="8" t="s">
        <v>2692</v>
      </c>
    </row>
    <row r="3387" spans="1:16" ht="33.950000000000003" customHeight="1">
      <c r="A3387" s="5" t="s">
        <v>2684</v>
      </c>
      <c r="B3387" s="5" t="s">
        <v>2430</v>
      </c>
      <c r="C3387" s="9" t="s">
        <v>2685</v>
      </c>
      <c r="D3387" s="5">
        <v>4</v>
      </c>
      <c r="E3387" s="9" t="s">
        <v>3184</v>
      </c>
      <c r="F3387" s="5" t="s">
        <v>447</v>
      </c>
      <c r="G3387" s="5" t="s">
        <v>3177</v>
      </c>
      <c r="H3387" s="5" t="s">
        <v>3178</v>
      </c>
      <c r="I3387" s="9" t="s">
        <v>3305</v>
      </c>
      <c r="J3387" s="5"/>
      <c r="K3387" s="5">
        <v>10029</v>
      </c>
      <c r="L3387" s="9" t="s">
        <v>6688</v>
      </c>
      <c r="M3387" s="5">
        <v>10.1</v>
      </c>
      <c r="N3387" s="9" t="s">
        <v>6687</v>
      </c>
      <c r="O3387" s="9" t="str">
        <f t="shared" si="318"/>
        <v>PDFを開く</v>
      </c>
      <c r="P3387" s="9" t="s">
        <v>2692</v>
      </c>
    </row>
    <row r="3388" spans="1:16" ht="33.950000000000003" customHeight="1">
      <c r="A3388" s="2" t="s">
        <v>2684</v>
      </c>
      <c r="B3388" s="2" t="s">
        <v>2430</v>
      </c>
      <c r="C3388" s="8" t="s">
        <v>2685</v>
      </c>
      <c r="D3388" s="2">
        <v>4</v>
      </c>
      <c r="E3388" s="8" t="s">
        <v>3188</v>
      </c>
      <c r="F3388" s="2" t="s">
        <v>447</v>
      </c>
      <c r="G3388" s="2" t="s">
        <v>3177</v>
      </c>
      <c r="H3388" s="2" t="s">
        <v>3178</v>
      </c>
      <c r="I3388" s="8" t="s">
        <v>3302</v>
      </c>
      <c r="J3388" s="2"/>
      <c r="K3388" s="2">
        <v>23716</v>
      </c>
      <c r="L3388" s="8" t="s">
        <v>6689</v>
      </c>
      <c r="M3388" s="2">
        <v>10</v>
      </c>
      <c r="N3388" s="8" t="s">
        <v>6690</v>
      </c>
      <c r="O3388" s="8" t="str">
        <f t="shared" si="318"/>
        <v>PDFを開く</v>
      </c>
      <c r="P3388" s="8" t="s">
        <v>2692</v>
      </c>
    </row>
    <row r="3389" spans="1:16" ht="33.950000000000003" customHeight="1">
      <c r="A3389" s="5" t="s">
        <v>2684</v>
      </c>
      <c r="B3389" s="5" t="s">
        <v>2430</v>
      </c>
      <c r="C3389" s="9" t="s">
        <v>2685</v>
      </c>
      <c r="D3389" s="5">
        <v>4</v>
      </c>
      <c r="E3389" s="9" t="s">
        <v>3188</v>
      </c>
      <c r="F3389" s="5" t="s">
        <v>447</v>
      </c>
      <c r="G3389" s="5" t="s">
        <v>3177</v>
      </c>
      <c r="H3389" s="5" t="s">
        <v>3178</v>
      </c>
      <c r="I3389" s="9" t="s">
        <v>3305</v>
      </c>
      <c r="J3389" s="5"/>
      <c r="K3389" s="5">
        <v>31566</v>
      </c>
      <c r="L3389" s="9" t="s">
        <v>6691</v>
      </c>
      <c r="M3389" s="5">
        <v>10</v>
      </c>
      <c r="N3389" s="9" t="s">
        <v>6690</v>
      </c>
      <c r="O3389" s="9" t="str">
        <f t="shared" si="318"/>
        <v>PDFを開く</v>
      </c>
      <c r="P3389" s="9" t="s">
        <v>2692</v>
      </c>
    </row>
    <row r="3390" spans="1:16" ht="33.950000000000003" customHeight="1">
      <c r="A3390" s="2" t="s">
        <v>2684</v>
      </c>
      <c r="B3390" s="2" t="s">
        <v>2430</v>
      </c>
      <c r="C3390" s="8" t="s">
        <v>2685</v>
      </c>
      <c r="D3390" s="2">
        <v>4</v>
      </c>
      <c r="E3390" s="8" t="s">
        <v>3191</v>
      </c>
      <c r="F3390" s="2" t="s">
        <v>2513</v>
      </c>
      <c r="G3390" s="2" t="s">
        <v>3177</v>
      </c>
      <c r="H3390" s="2"/>
      <c r="I3390" s="8" t="s">
        <v>3302</v>
      </c>
      <c r="J3390" s="2"/>
      <c r="K3390" s="2">
        <v>104</v>
      </c>
      <c r="L3390" s="8" t="s">
        <v>3444</v>
      </c>
      <c r="M3390" s="2"/>
      <c r="N3390" s="8" t="s">
        <v>6692</v>
      </c>
      <c r="O3390" s="8" t="str">
        <f t="shared" si="318"/>
        <v>PDFを開く</v>
      </c>
      <c r="P3390" s="8" t="s">
        <v>2692</v>
      </c>
    </row>
    <row r="3391" spans="1:16" ht="33.950000000000003" customHeight="1">
      <c r="A3391" s="5" t="s">
        <v>2684</v>
      </c>
      <c r="B3391" s="5" t="s">
        <v>2430</v>
      </c>
      <c r="C3391" s="9" t="s">
        <v>2685</v>
      </c>
      <c r="D3391" s="5">
        <v>4</v>
      </c>
      <c r="E3391" s="9" t="s">
        <v>3191</v>
      </c>
      <c r="F3391" s="5" t="s">
        <v>2513</v>
      </c>
      <c r="G3391" s="5" t="s">
        <v>3177</v>
      </c>
      <c r="H3391" s="5"/>
      <c r="I3391" s="9" t="s">
        <v>3305</v>
      </c>
      <c r="J3391" s="5"/>
      <c r="K3391" s="5">
        <v>140</v>
      </c>
      <c r="L3391" s="9" t="s">
        <v>5062</v>
      </c>
      <c r="M3391" s="5"/>
      <c r="N3391" s="9" t="s">
        <v>6692</v>
      </c>
      <c r="O3391" s="9" t="str">
        <f t="shared" si="318"/>
        <v>PDFを開く</v>
      </c>
      <c r="P3391" s="9" t="s">
        <v>2692</v>
      </c>
    </row>
    <row r="3392" spans="1:16" ht="33.950000000000003" customHeight="1">
      <c r="A3392" s="2" t="s">
        <v>2693</v>
      </c>
      <c r="B3392" s="2" t="s">
        <v>2430</v>
      </c>
      <c r="C3392" s="8" t="s">
        <v>2694</v>
      </c>
      <c r="D3392" s="2">
        <v>2</v>
      </c>
      <c r="E3392" s="8" t="s">
        <v>3176</v>
      </c>
      <c r="F3392" s="2" t="s">
        <v>447</v>
      </c>
      <c r="G3392" s="2" t="s">
        <v>3177</v>
      </c>
      <c r="H3392" s="2"/>
      <c r="I3392" s="8" t="s">
        <v>3302</v>
      </c>
      <c r="J3392" s="2"/>
      <c r="K3392" s="2">
        <v>12516</v>
      </c>
      <c r="L3392" s="8" t="s">
        <v>6693</v>
      </c>
      <c r="M3392" s="2">
        <v>25.6</v>
      </c>
      <c r="N3392" s="8" t="s">
        <v>6694</v>
      </c>
      <c r="O3392" s="8" t="str">
        <f t="shared" ref="O3392:O3400" si="319">HYPERLINK("https://seichotoushi-hojo.jp/assets/pdf/koufu_3_4ji/outline_155.pdf","PDFを開く")</f>
        <v>PDFを開く</v>
      </c>
      <c r="P3392" s="8" t="s">
        <v>2699</v>
      </c>
    </row>
    <row r="3393" spans="1:16" ht="33.950000000000003" customHeight="1">
      <c r="A3393" s="5" t="s">
        <v>2693</v>
      </c>
      <c r="B3393" s="5" t="s">
        <v>2430</v>
      </c>
      <c r="C3393" s="9" t="s">
        <v>2694</v>
      </c>
      <c r="D3393" s="5">
        <v>2</v>
      </c>
      <c r="E3393" s="9" t="s">
        <v>3176</v>
      </c>
      <c r="F3393" s="5" t="s">
        <v>447</v>
      </c>
      <c r="G3393" s="5" t="s">
        <v>3177</v>
      </c>
      <c r="H3393" s="5"/>
      <c r="I3393" s="9" t="s">
        <v>3305</v>
      </c>
      <c r="J3393" s="5"/>
      <c r="K3393" s="5">
        <v>24779</v>
      </c>
      <c r="L3393" s="9" t="s">
        <v>6695</v>
      </c>
      <c r="M3393" s="5">
        <v>25.6</v>
      </c>
      <c r="N3393" s="9" t="s">
        <v>6694</v>
      </c>
      <c r="O3393" s="9" t="str">
        <f t="shared" si="319"/>
        <v>PDFを開く</v>
      </c>
      <c r="P3393" s="9" t="s">
        <v>2699</v>
      </c>
    </row>
    <row r="3394" spans="1:16" ht="33.950000000000003" customHeight="1">
      <c r="A3394" s="2" t="s">
        <v>2693</v>
      </c>
      <c r="B3394" s="2" t="s">
        <v>2430</v>
      </c>
      <c r="C3394" s="8" t="s">
        <v>2694</v>
      </c>
      <c r="D3394" s="2">
        <v>2</v>
      </c>
      <c r="E3394" s="8" t="s">
        <v>3184</v>
      </c>
      <c r="F3394" s="2" t="s">
        <v>447</v>
      </c>
      <c r="G3394" s="2" t="s">
        <v>3177</v>
      </c>
      <c r="H3394" s="2" t="s">
        <v>3178</v>
      </c>
      <c r="I3394" s="8" t="s">
        <v>3302</v>
      </c>
      <c r="J3394" s="2"/>
      <c r="K3394" s="2">
        <v>5613</v>
      </c>
      <c r="L3394" s="8" t="s">
        <v>6696</v>
      </c>
      <c r="M3394" s="2">
        <v>8.3000000000000007</v>
      </c>
      <c r="N3394" s="8" t="s">
        <v>6697</v>
      </c>
      <c r="O3394" s="8" t="str">
        <f t="shared" si="319"/>
        <v>PDFを開く</v>
      </c>
      <c r="P3394" s="8" t="s">
        <v>2699</v>
      </c>
    </row>
    <row r="3395" spans="1:16" ht="33.950000000000003" customHeight="1">
      <c r="A3395" s="5" t="s">
        <v>2693</v>
      </c>
      <c r="B3395" s="5" t="s">
        <v>2430</v>
      </c>
      <c r="C3395" s="9" t="s">
        <v>2694</v>
      </c>
      <c r="D3395" s="5">
        <v>2</v>
      </c>
      <c r="E3395" s="9" t="s">
        <v>3184</v>
      </c>
      <c r="F3395" s="5" t="s">
        <v>447</v>
      </c>
      <c r="G3395" s="5" t="s">
        <v>3177</v>
      </c>
      <c r="H3395" s="5" t="s">
        <v>3178</v>
      </c>
      <c r="I3395" s="9" t="s">
        <v>3305</v>
      </c>
      <c r="J3395" s="5"/>
      <c r="K3395" s="5">
        <v>7136</v>
      </c>
      <c r="L3395" s="9" t="s">
        <v>6698</v>
      </c>
      <c r="M3395" s="5">
        <v>8.3000000000000007</v>
      </c>
      <c r="N3395" s="9" t="s">
        <v>6697</v>
      </c>
      <c r="O3395" s="9" t="str">
        <f t="shared" si="319"/>
        <v>PDFを開く</v>
      </c>
      <c r="P3395" s="9" t="s">
        <v>2699</v>
      </c>
    </row>
    <row r="3396" spans="1:16" ht="33.950000000000003" customHeight="1">
      <c r="A3396" s="2" t="s">
        <v>2693</v>
      </c>
      <c r="B3396" s="2" t="s">
        <v>2430</v>
      </c>
      <c r="C3396" s="8" t="s">
        <v>2694</v>
      </c>
      <c r="D3396" s="2">
        <v>2</v>
      </c>
      <c r="E3396" s="8" t="s">
        <v>3188</v>
      </c>
      <c r="F3396" s="2" t="s">
        <v>447</v>
      </c>
      <c r="G3396" s="19" t="s">
        <v>3189</v>
      </c>
      <c r="H3396" s="2"/>
      <c r="I3396" s="8"/>
      <c r="J3396" s="2"/>
      <c r="K3396" s="2"/>
      <c r="L3396" s="8"/>
      <c r="M3396" s="2">
        <v>5.7</v>
      </c>
      <c r="N3396" s="8" t="s">
        <v>6699</v>
      </c>
      <c r="O3396" s="8" t="str">
        <f t="shared" si="319"/>
        <v>PDFを開く</v>
      </c>
      <c r="P3396" s="8" t="s">
        <v>2699</v>
      </c>
    </row>
    <row r="3397" spans="1:16" ht="33.950000000000003" customHeight="1">
      <c r="A3397" s="5" t="s">
        <v>2693</v>
      </c>
      <c r="B3397" s="5" t="s">
        <v>2430</v>
      </c>
      <c r="C3397" s="9" t="s">
        <v>2694</v>
      </c>
      <c r="D3397" s="5">
        <v>2</v>
      </c>
      <c r="E3397" s="9" t="s">
        <v>3191</v>
      </c>
      <c r="F3397" s="5" t="s">
        <v>2513</v>
      </c>
      <c r="G3397" s="5" t="s">
        <v>3177</v>
      </c>
      <c r="H3397" s="5"/>
      <c r="I3397" s="9" t="s">
        <v>3302</v>
      </c>
      <c r="J3397" s="5"/>
      <c r="K3397" s="5">
        <v>40</v>
      </c>
      <c r="L3397" s="9" t="s">
        <v>4235</v>
      </c>
      <c r="M3397" s="5"/>
      <c r="N3397" s="9" t="s">
        <v>6700</v>
      </c>
      <c r="O3397" s="9" t="str">
        <f t="shared" si="319"/>
        <v>PDFを開く</v>
      </c>
      <c r="P3397" s="9" t="s">
        <v>2699</v>
      </c>
    </row>
    <row r="3398" spans="1:16" ht="33.950000000000003" customHeight="1">
      <c r="A3398" s="2" t="s">
        <v>2693</v>
      </c>
      <c r="B3398" s="2" t="s">
        <v>2430</v>
      </c>
      <c r="C3398" s="8" t="s">
        <v>2694</v>
      </c>
      <c r="D3398" s="2">
        <v>2</v>
      </c>
      <c r="E3398" s="8" t="s">
        <v>3191</v>
      </c>
      <c r="F3398" s="2" t="s">
        <v>2513</v>
      </c>
      <c r="G3398" s="2" t="s">
        <v>3177</v>
      </c>
      <c r="H3398" s="2"/>
      <c r="I3398" s="8" t="s">
        <v>3305</v>
      </c>
      <c r="J3398" s="2"/>
      <c r="K3398" s="2">
        <v>49</v>
      </c>
      <c r="L3398" s="8" t="s">
        <v>6188</v>
      </c>
      <c r="M3398" s="2"/>
      <c r="N3398" s="8" t="s">
        <v>6700</v>
      </c>
      <c r="O3398" s="8" t="str">
        <f t="shared" si="319"/>
        <v>PDFを開く</v>
      </c>
      <c r="P3398" s="8" t="s">
        <v>2699</v>
      </c>
    </row>
    <row r="3399" spans="1:16" ht="33.950000000000003" customHeight="1">
      <c r="A3399" s="5" t="s">
        <v>2693</v>
      </c>
      <c r="B3399" s="5" t="s">
        <v>2430</v>
      </c>
      <c r="C3399" s="9" t="s">
        <v>2694</v>
      </c>
      <c r="D3399" s="5">
        <v>2</v>
      </c>
      <c r="E3399" s="9" t="s">
        <v>3188</v>
      </c>
      <c r="F3399" s="5" t="s">
        <v>447</v>
      </c>
      <c r="G3399" s="5" t="s">
        <v>3177</v>
      </c>
      <c r="H3399" s="5"/>
      <c r="I3399" s="9" t="s">
        <v>6701</v>
      </c>
      <c r="J3399" s="5"/>
      <c r="K3399" s="5"/>
      <c r="L3399" s="9" t="s">
        <v>3211</v>
      </c>
      <c r="M3399" s="5">
        <v>5.7</v>
      </c>
      <c r="N3399" s="9" t="s">
        <v>6702</v>
      </c>
      <c r="O3399" s="9" t="str">
        <f t="shared" si="319"/>
        <v>PDFを開く</v>
      </c>
      <c r="P3399" s="9" t="s">
        <v>2699</v>
      </c>
    </row>
    <row r="3400" spans="1:16" ht="33.950000000000003" customHeight="1">
      <c r="A3400" s="2" t="s">
        <v>2693</v>
      </c>
      <c r="B3400" s="2" t="s">
        <v>2430</v>
      </c>
      <c r="C3400" s="8" t="s">
        <v>2694</v>
      </c>
      <c r="D3400" s="2">
        <v>2</v>
      </c>
      <c r="E3400" s="8" t="s">
        <v>3188</v>
      </c>
      <c r="F3400" s="2" t="s">
        <v>447</v>
      </c>
      <c r="G3400" s="2" t="s">
        <v>3177</v>
      </c>
      <c r="H3400" s="2"/>
      <c r="I3400" s="8" t="s">
        <v>6703</v>
      </c>
      <c r="J3400" s="2"/>
      <c r="K3400" s="2"/>
      <c r="L3400" s="8" t="s">
        <v>6704</v>
      </c>
      <c r="M3400" s="2">
        <v>5.7</v>
      </c>
      <c r="N3400" s="8" t="s">
        <v>6702</v>
      </c>
      <c r="O3400" s="8" t="str">
        <f t="shared" si="319"/>
        <v>PDFを開く</v>
      </c>
      <c r="P3400" s="8" t="s">
        <v>2699</v>
      </c>
    </row>
    <row r="3401" spans="1:16" ht="33.950000000000003" customHeight="1">
      <c r="A3401" s="5" t="s">
        <v>2700</v>
      </c>
      <c r="B3401" s="5" t="s">
        <v>2430</v>
      </c>
      <c r="C3401" s="9" t="s">
        <v>2701</v>
      </c>
      <c r="D3401" s="5">
        <v>2</v>
      </c>
      <c r="E3401" s="9" t="s">
        <v>3176</v>
      </c>
      <c r="F3401" s="5" t="s">
        <v>447</v>
      </c>
      <c r="G3401" s="5" t="s">
        <v>3177</v>
      </c>
      <c r="H3401" s="5" t="s">
        <v>3178</v>
      </c>
      <c r="I3401" s="9" t="s">
        <v>3302</v>
      </c>
      <c r="J3401" s="5"/>
      <c r="K3401" s="5">
        <v>29819</v>
      </c>
      <c r="L3401" s="9" t="s">
        <v>6705</v>
      </c>
      <c r="M3401" s="5">
        <v>15.6</v>
      </c>
      <c r="N3401" s="9" t="s">
        <v>6706</v>
      </c>
      <c r="O3401" s="9" t="str">
        <f t="shared" ref="O3401:O3407" si="320">HYPERLINK("https://seichotoushi-hojo.jp/assets/pdf/koufu_3_4ji/outline_156.pdf","PDFを開く")</f>
        <v>PDFを開く</v>
      </c>
      <c r="P3401" s="9" t="s">
        <v>2708</v>
      </c>
    </row>
    <row r="3402" spans="1:16" ht="33.950000000000003" customHeight="1">
      <c r="A3402" s="2" t="s">
        <v>2700</v>
      </c>
      <c r="B3402" s="2" t="s">
        <v>2430</v>
      </c>
      <c r="C3402" s="8" t="s">
        <v>2701</v>
      </c>
      <c r="D3402" s="2">
        <v>2</v>
      </c>
      <c r="E3402" s="8" t="s">
        <v>3176</v>
      </c>
      <c r="F3402" s="2" t="s">
        <v>447</v>
      </c>
      <c r="G3402" s="2" t="s">
        <v>3177</v>
      </c>
      <c r="H3402" s="2" t="s">
        <v>3178</v>
      </c>
      <c r="I3402" s="8" t="s">
        <v>3305</v>
      </c>
      <c r="J3402" s="2"/>
      <c r="K3402" s="2">
        <v>46030</v>
      </c>
      <c r="L3402" s="8" t="s">
        <v>6707</v>
      </c>
      <c r="M3402" s="2">
        <v>15.6</v>
      </c>
      <c r="N3402" s="8" t="s">
        <v>6706</v>
      </c>
      <c r="O3402" s="8" t="str">
        <f t="shared" si="320"/>
        <v>PDFを開く</v>
      </c>
      <c r="P3402" s="8" t="s">
        <v>2708</v>
      </c>
    </row>
    <row r="3403" spans="1:16" ht="33.950000000000003" customHeight="1">
      <c r="A3403" s="5" t="s">
        <v>2700</v>
      </c>
      <c r="B3403" s="5" t="s">
        <v>2430</v>
      </c>
      <c r="C3403" s="9" t="s">
        <v>2701</v>
      </c>
      <c r="D3403" s="5">
        <v>2</v>
      </c>
      <c r="E3403" s="9" t="s">
        <v>3184</v>
      </c>
      <c r="F3403" s="5" t="s">
        <v>447</v>
      </c>
      <c r="G3403" s="5" t="s">
        <v>3177</v>
      </c>
      <c r="H3403" s="5" t="s">
        <v>3178</v>
      </c>
      <c r="I3403" s="9" t="s">
        <v>3302</v>
      </c>
      <c r="J3403" s="5"/>
      <c r="K3403" s="5">
        <v>6506</v>
      </c>
      <c r="L3403" s="9" t="s">
        <v>6708</v>
      </c>
      <c r="M3403" s="5">
        <v>7</v>
      </c>
      <c r="N3403" s="9" t="s">
        <v>6709</v>
      </c>
      <c r="O3403" s="9" t="str">
        <f t="shared" si="320"/>
        <v>PDFを開く</v>
      </c>
      <c r="P3403" s="9" t="s">
        <v>2708</v>
      </c>
    </row>
    <row r="3404" spans="1:16" ht="33.950000000000003" customHeight="1">
      <c r="A3404" s="2" t="s">
        <v>2700</v>
      </c>
      <c r="B3404" s="2" t="s">
        <v>2430</v>
      </c>
      <c r="C3404" s="8" t="s">
        <v>2701</v>
      </c>
      <c r="D3404" s="2">
        <v>2</v>
      </c>
      <c r="E3404" s="8" t="s">
        <v>3184</v>
      </c>
      <c r="F3404" s="2" t="s">
        <v>447</v>
      </c>
      <c r="G3404" s="2" t="s">
        <v>3177</v>
      </c>
      <c r="H3404" s="2" t="s">
        <v>3178</v>
      </c>
      <c r="I3404" s="8" t="s">
        <v>3305</v>
      </c>
      <c r="J3404" s="2"/>
      <c r="K3404" s="2">
        <v>7971</v>
      </c>
      <c r="L3404" s="8" t="s">
        <v>6710</v>
      </c>
      <c r="M3404" s="2">
        <v>7</v>
      </c>
      <c r="N3404" s="8" t="s">
        <v>6709</v>
      </c>
      <c r="O3404" s="8" t="str">
        <f t="shared" si="320"/>
        <v>PDFを開く</v>
      </c>
      <c r="P3404" s="8" t="s">
        <v>2708</v>
      </c>
    </row>
    <row r="3405" spans="1:16" ht="33.950000000000003" customHeight="1">
      <c r="A3405" s="5" t="s">
        <v>2700</v>
      </c>
      <c r="B3405" s="5" t="s">
        <v>2430</v>
      </c>
      <c r="C3405" s="9" t="s">
        <v>2701</v>
      </c>
      <c r="D3405" s="5">
        <v>2</v>
      </c>
      <c r="E3405" s="9" t="s">
        <v>3188</v>
      </c>
      <c r="F3405" s="5" t="s">
        <v>447</v>
      </c>
      <c r="G3405" s="19" t="s">
        <v>3189</v>
      </c>
      <c r="H3405" s="5"/>
      <c r="I3405" s="9"/>
      <c r="J3405" s="5"/>
      <c r="K3405" s="5"/>
      <c r="L3405" s="9"/>
      <c r="M3405" s="5"/>
      <c r="N3405" s="9" t="s">
        <v>6711</v>
      </c>
      <c r="O3405" s="9" t="str">
        <f t="shared" si="320"/>
        <v>PDFを開く</v>
      </c>
      <c r="P3405" s="9" t="s">
        <v>2708</v>
      </c>
    </row>
    <row r="3406" spans="1:16" ht="33.950000000000003" customHeight="1">
      <c r="A3406" s="2" t="s">
        <v>2700</v>
      </c>
      <c r="B3406" s="2" t="s">
        <v>2430</v>
      </c>
      <c r="C3406" s="8" t="s">
        <v>2701</v>
      </c>
      <c r="D3406" s="2">
        <v>2</v>
      </c>
      <c r="E3406" s="8" t="s">
        <v>3191</v>
      </c>
      <c r="F3406" s="2" t="s">
        <v>2513</v>
      </c>
      <c r="G3406" s="2" t="s">
        <v>3177</v>
      </c>
      <c r="H3406" s="2"/>
      <c r="I3406" s="8" t="s">
        <v>3302</v>
      </c>
      <c r="J3406" s="2"/>
      <c r="K3406" s="2">
        <v>16</v>
      </c>
      <c r="L3406" s="8" t="s">
        <v>4114</v>
      </c>
      <c r="M3406" s="2"/>
      <c r="N3406" s="8" t="s">
        <v>6712</v>
      </c>
      <c r="O3406" s="8" t="str">
        <f t="shared" si="320"/>
        <v>PDFを開く</v>
      </c>
      <c r="P3406" s="8" t="s">
        <v>2708</v>
      </c>
    </row>
    <row r="3407" spans="1:16" ht="33.950000000000003" customHeight="1">
      <c r="A3407" s="5" t="s">
        <v>2700</v>
      </c>
      <c r="B3407" s="5" t="s">
        <v>2430</v>
      </c>
      <c r="C3407" s="9" t="s">
        <v>2701</v>
      </c>
      <c r="D3407" s="5">
        <v>2</v>
      </c>
      <c r="E3407" s="9" t="s">
        <v>3191</v>
      </c>
      <c r="F3407" s="5" t="s">
        <v>2513</v>
      </c>
      <c r="G3407" s="5" t="s">
        <v>3177</v>
      </c>
      <c r="H3407" s="5"/>
      <c r="I3407" s="9" t="s">
        <v>3305</v>
      </c>
      <c r="J3407" s="5"/>
      <c r="K3407" s="5">
        <v>46</v>
      </c>
      <c r="L3407" s="9" t="s">
        <v>3884</v>
      </c>
      <c r="M3407" s="5"/>
      <c r="N3407" s="9" t="s">
        <v>6712</v>
      </c>
      <c r="O3407" s="9" t="str">
        <f t="shared" si="320"/>
        <v>PDFを開く</v>
      </c>
      <c r="P3407" s="9" t="s">
        <v>2708</v>
      </c>
    </row>
    <row r="3408" spans="1:16" ht="33.950000000000003" customHeight="1">
      <c r="A3408" s="2" t="s">
        <v>2709</v>
      </c>
      <c r="B3408" s="2" t="s">
        <v>2430</v>
      </c>
      <c r="C3408" s="8" t="s">
        <v>2710</v>
      </c>
      <c r="D3408" s="2">
        <v>2</v>
      </c>
      <c r="E3408" s="8" t="s">
        <v>3176</v>
      </c>
      <c r="F3408" s="2" t="s">
        <v>86</v>
      </c>
      <c r="G3408" s="2" t="s">
        <v>3177</v>
      </c>
      <c r="H3408" s="2" t="s">
        <v>3178</v>
      </c>
      <c r="I3408" s="8" t="s">
        <v>6713</v>
      </c>
      <c r="J3408" s="2">
        <v>2027</v>
      </c>
      <c r="K3408" s="2">
        <v>648</v>
      </c>
      <c r="L3408" s="8" t="s">
        <v>6714</v>
      </c>
      <c r="M3408" s="2">
        <v>10.6</v>
      </c>
      <c r="N3408" s="8" t="s">
        <v>6715</v>
      </c>
      <c r="O3408" s="8" t="str">
        <f t="shared" ref="O3408:O3415" si="321">HYPERLINK("https://seichotoushi-hojo.jp/assets/pdf/koufu_3_4ji/outline_157.pdf","PDFを開く")</f>
        <v>PDFを開く</v>
      </c>
      <c r="P3408" s="8" t="s">
        <v>2716</v>
      </c>
    </row>
    <row r="3409" spans="1:16" ht="33.950000000000003" customHeight="1">
      <c r="A3409" s="5" t="s">
        <v>2709</v>
      </c>
      <c r="B3409" s="5" t="s">
        <v>2430</v>
      </c>
      <c r="C3409" s="9" t="s">
        <v>2710</v>
      </c>
      <c r="D3409" s="5">
        <v>2</v>
      </c>
      <c r="E3409" s="9" t="s">
        <v>3176</v>
      </c>
      <c r="F3409" s="5" t="s">
        <v>86</v>
      </c>
      <c r="G3409" s="5" t="s">
        <v>3177</v>
      </c>
      <c r="H3409" s="5" t="s">
        <v>3178</v>
      </c>
      <c r="I3409" s="9" t="s">
        <v>6716</v>
      </c>
      <c r="J3409" s="5">
        <v>2030</v>
      </c>
      <c r="K3409" s="5">
        <v>877</v>
      </c>
      <c r="L3409" s="9" t="s">
        <v>3285</v>
      </c>
      <c r="M3409" s="5">
        <v>10.6</v>
      </c>
      <c r="N3409" s="9" t="s">
        <v>6715</v>
      </c>
      <c r="O3409" s="9" t="str">
        <f t="shared" si="321"/>
        <v>PDFを開く</v>
      </c>
      <c r="P3409" s="9" t="s">
        <v>2716</v>
      </c>
    </row>
    <row r="3410" spans="1:16" ht="33.950000000000003" customHeight="1">
      <c r="A3410" s="2" t="s">
        <v>2709</v>
      </c>
      <c r="B3410" s="2" t="s">
        <v>2430</v>
      </c>
      <c r="C3410" s="8" t="s">
        <v>2710</v>
      </c>
      <c r="D3410" s="2">
        <v>2</v>
      </c>
      <c r="E3410" s="8" t="s">
        <v>3184</v>
      </c>
      <c r="F3410" s="2" t="s">
        <v>86</v>
      </c>
      <c r="G3410" s="2" t="s">
        <v>3177</v>
      </c>
      <c r="H3410" s="2" t="s">
        <v>3178</v>
      </c>
      <c r="I3410" s="8" t="s">
        <v>6713</v>
      </c>
      <c r="J3410" s="2">
        <v>2027</v>
      </c>
      <c r="K3410" s="2">
        <v>455</v>
      </c>
      <c r="L3410" s="8" t="s">
        <v>4331</v>
      </c>
      <c r="M3410" s="2">
        <v>8</v>
      </c>
      <c r="N3410" s="8" t="s">
        <v>6717</v>
      </c>
      <c r="O3410" s="8" t="str">
        <f t="shared" si="321"/>
        <v>PDFを開く</v>
      </c>
      <c r="P3410" s="8" t="s">
        <v>2716</v>
      </c>
    </row>
    <row r="3411" spans="1:16" ht="33.950000000000003" customHeight="1">
      <c r="A3411" s="5" t="s">
        <v>2709</v>
      </c>
      <c r="B3411" s="5" t="s">
        <v>2430</v>
      </c>
      <c r="C3411" s="9" t="s">
        <v>2710</v>
      </c>
      <c r="D3411" s="5">
        <v>2</v>
      </c>
      <c r="E3411" s="9" t="s">
        <v>3184</v>
      </c>
      <c r="F3411" s="5" t="s">
        <v>86</v>
      </c>
      <c r="G3411" s="5" t="s">
        <v>3177</v>
      </c>
      <c r="H3411" s="5" t="s">
        <v>3178</v>
      </c>
      <c r="I3411" s="9" t="s">
        <v>6716</v>
      </c>
      <c r="J3411" s="5">
        <v>2030</v>
      </c>
      <c r="K3411" s="5">
        <v>573</v>
      </c>
      <c r="L3411" s="9" t="s">
        <v>5867</v>
      </c>
      <c r="M3411" s="5">
        <v>8</v>
      </c>
      <c r="N3411" s="9" t="s">
        <v>6717</v>
      </c>
      <c r="O3411" s="9" t="str">
        <f t="shared" si="321"/>
        <v>PDFを開く</v>
      </c>
      <c r="P3411" s="9" t="s">
        <v>2716</v>
      </c>
    </row>
    <row r="3412" spans="1:16" ht="33.950000000000003" customHeight="1">
      <c r="A3412" s="2" t="s">
        <v>2709</v>
      </c>
      <c r="B3412" s="2" t="s">
        <v>2430</v>
      </c>
      <c r="C3412" s="8" t="s">
        <v>2710</v>
      </c>
      <c r="D3412" s="2">
        <v>2</v>
      </c>
      <c r="E3412" s="8" t="s">
        <v>3188</v>
      </c>
      <c r="F3412" s="2" t="s">
        <v>86</v>
      </c>
      <c r="G3412" s="2" t="s">
        <v>3177</v>
      </c>
      <c r="H3412" s="2" t="s">
        <v>3178</v>
      </c>
      <c r="I3412" s="8" t="s">
        <v>6713</v>
      </c>
      <c r="J3412" s="2">
        <v>2027</v>
      </c>
      <c r="K3412" s="2">
        <v>1902</v>
      </c>
      <c r="L3412" s="8" t="s">
        <v>3941</v>
      </c>
      <c r="M3412" s="2">
        <v>8</v>
      </c>
      <c r="N3412" s="8" t="s">
        <v>6718</v>
      </c>
      <c r="O3412" s="8" t="str">
        <f t="shared" si="321"/>
        <v>PDFを開く</v>
      </c>
      <c r="P3412" s="8" t="s">
        <v>2716</v>
      </c>
    </row>
    <row r="3413" spans="1:16" ht="33.950000000000003" customHeight="1">
      <c r="A3413" s="5" t="s">
        <v>2709</v>
      </c>
      <c r="B3413" s="5" t="s">
        <v>2430</v>
      </c>
      <c r="C3413" s="9" t="s">
        <v>2710</v>
      </c>
      <c r="D3413" s="5">
        <v>2</v>
      </c>
      <c r="E3413" s="9" t="s">
        <v>3188</v>
      </c>
      <c r="F3413" s="5" t="s">
        <v>86</v>
      </c>
      <c r="G3413" s="5" t="s">
        <v>3177</v>
      </c>
      <c r="H3413" s="5" t="s">
        <v>3178</v>
      </c>
      <c r="I3413" s="9" t="s">
        <v>6716</v>
      </c>
      <c r="J3413" s="5">
        <v>2030</v>
      </c>
      <c r="K3413" s="5">
        <v>2396</v>
      </c>
      <c r="L3413" s="9" t="s">
        <v>5892</v>
      </c>
      <c r="M3413" s="5">
        <v>8</v>
      </c>
      <c r="N3413" s="9" t="s">
        <v>6718</v>
      </c>
      <c r="O3413" s="9" t="str">
        <f t="shared" si="321"/>
        <v>PDFを開く</v>
      </c>
      <c r="P3413" s="9" t="s">
        <v>2716</v>
      </c>
    </row>
    <row r="3414" spans="1:16" ht="33.950000000000003" customHeight="1">
      <c r="A3414" s="2" t="s">
        <v>2709</v>
      </c>
      <c r="B3414" s="2" t="s">
        <v>2430</v>
      </c>
      <c r="C3414" s="8" t="s">
        <v>2710</v>
      </c>
      <c r="D3414" s="2">
        <v>2</v>
      </c>
      <c r="E3414" s="8" t="s">
        <v>3191</v>
      </c>
      <c r="F3414" s="2" t="s">
        <v>2513</v>
      </c>
      <c r="G3414" s="2" t="s">
        <v>3177</v>
      </c>
      <c r="H3414" s="2" t="s">
        <v>3178</v>
      </c>
      <c r="I3414" s="8" t="s">
        <v>6713</v>
      </c>
      <c r="J3414" s="2">
        <v>2027</v>
      </c>
      <c r="K3414" s="2">
        <v>1332</v>
      </c>
      <c r="L3414" s="8" t="s">
        <v>3992</v>
      </c>
      <c r="M3414" s="2"/>
      <c r="N3414" s="8" t="s">
        <v>6719</v>
      </c>
      <c r="O3414" s="8" t="str">
        <f t="shared" si="321"/>
        <v>PDFを開く</v>
      </c>
      <c r="P3414" s="8" t="s">
        <v>2716</v>
      </c>
    </row>
    <row r="3415" spans="1:16" ht="33.950000000000003" customHeight="1">
      <c r="A3415" s="5" t="s">
        <v>2709</v>
      </c>
      <c r="B3415" s="5" t="s">
        <v>2430</v>
      </c>
      <c r="C3415" s="9" t="s">
        <v>2710</v>
      </c>
      <c r="D3415" s="5">
        <v>2</v>
      </c>
      <c r="E3415" s="9" t="s">
        <v>3191</v>
      </c>
      <c r="F3415" s="5" t="s">
        <v>2513</v>
      </c>
      <c r="G3415" s="5" t="s">
        <v>3177</v>
      </c>
      <c r="H3415" s="5" t="s">
        <v>3178</v>
      </c>
      <c r="I3415" s="9" t="s">
        <v>6716</v>
      </c>
      <c r="J3415" s="5">
        <v>2030</v>
      </c>
      <c r="K3415" s="5">
        <v>1857</v>
      </c>
      <c r="L3415" s="9" t="s">
        <v>6720</v>
      </c>
      <c r="M3415" s="5"/>
      <c r="N3415" s="9" t="s">
        <v>6719</v>
      </c>
      <c r="O3415" s="9" t="str">
        <f t="shared" si="321"/>
        <v>PDFを開く</v>
      </c>
      <c r="P3415" s="9" t="s">
        <v>2716</v>
      </c>
    </row>
    <row r="3416" spans="1:16" ht="33.950000000000003" customHeight="1">
      <c r="A3416" s="2" t="s">
        <v>2717</v>
      </c>
      <c r="B3416" s="2" t="s">
        <v>2430</v>
      </c>
      <c r="C3416" s="8" t="s">
        <v>2718</v>
      </c>
      <c r="D3416" s="2">
        <v>2</v>
      </c>
      <c r="E3416" s="8" t="s">
        <v>3176</v>
      </c>
      <c r="F3416" s="2" t="s">
        <v>447</v>
      </c>
      <c r="G3416" s="2" t="s">
        <v>3177</v>
      </c>
      <c r="H3416" s="2" t="s">
        <v>3178</v>
      </c>
      <c r="I3416" s="8" t="s">
        <v>3302</v>
      </c>
      <c r="J3416" s="2"/>
      <c r="K3416" s="2">
        <v>5031</v>
      </c>
      <c r="L3416" s="8" t="s">
        <v>6721</v>
      </c>
      <c r="M3416" s="2">
        <v>30.8</v>
      </c>
      <c r="N3416" s="8" t="s">
        <v>6722</v>
      </c>
      <c r="O3416" s="8" t="str">
        <f t="shared" ref="O3416:O3424" si="322">HYPERLINK("https://seichotoushi-hojo.jp/assets/pdf/koufu_3_4ji/outline_158.pdf","PDFを開く")</f>
        <v>PDFを開く</v>
      </c>
      <c r="P3416" s="8" t="s">
        <v>2724</v>
      </c>
    </row>
    <row r="3417" spans="1:16" ht="33.950000000000003" customHeight="1">
      <c r="A3417" s="5" t="s">
        <v>2717</v>
      </c>
      <c r="B3417" s="5" t="s">
        <v>2430</v>
      </c>
      <c r="C3417" s="9" t="s">
        <v>2718</v>
      </c>
      <c r="D3417" s="5">
        <v>2</v>
      </c>
      <c r="E3417" s="9" t="s">
        <v>3176</v>
      </c>
      <c r="F3417" s="5" t="s">
        <v>447</v>
      </c>
      <c r="G3417" s="5" t="s">
        <v>3177</v>
      </c>
      <c r="H3417" s="5" t="s">
        <v>3178</v>
      </c>
      <c r="I3417" s="9" t="s">
        <v>3305</v>
      </c>
      <c r="J3417" s="5"/>
      <c r="K3417" s="5">
        <v>11248</v>
      </c>
      <c r="L3417" s="9" t="s">
        <v>6723</v>
      </c>
      <c r="M3417" s="5">
        <v>30.8</v>
      </c>
      <c r="N3417" s="9" t="s">
        <v>6722</v>
      </c>
      <c r="O3417" s="9" t="str">
        <f t="shared" si="322"/>
        <v>PDFを開く</v>
      </c>
      <c r="P3417" s="9" t="s">
        <v>2724</v>
      </c>
    </row>
    <row r="3418" spans="1:16" ht="33.950000000000003" customHeight="1">
      <c r="A3418" s="2" t="s">
        <v>2717</v>
      </c>
      <c r="B3418" s="2" t="s">
        <v>2430</v>
      </c>
      <c r="C3418" s="8" t="s">
        <v>2718</v>
      </c>
      <c r="D3418" s="2">
        <v>2</v>
      </c>
      <c r="E3418" s="8" t="s">
        <v>3184</v>
      </c>
      <c r="F3418" s="2" t="s">
        <v>447</v>
      </c>
      <c r="G3418" s="2" t="s">
        <v>3177</v>
      </c>
      <c r="H3418" s="2"/>
      <c r="I3418" s="8" t="s">
        <v>3302</v>
      </c>
      <c r="J3418" s="2"/>
      <c r="K3418" s="2">
        <v>3481</v>
      </c>
      <c r="L3418" s="8" t="s">
        <v>6724</v>
      </c>
      <c r="M3418" s="2">
        <v>6.5</v>
      </c>
      <c r="N3418" s="8" t="s">
        <v>6725</v>
      </c>
      <c r="O3418" s="8" t="str">
        <f t="shared" si="322"/>
        <v>PDFを開く</v>
      </c>
      <c r="P3418" s="8" t="s">
        <v>2724</v>
      </c>
    </row>
    <row r="3419" spans="1:16" ht="33.950000000000003" customHeight="1">
      <c r="A3419" s="5" t="s">
        <v>2717</v>
      </c>
      <c r="B3419" s="5" t="s">
        <v>2430</v>
      </c>
      <c r="C3419" s="9" t="s">
        <v>2718</v>
      </c>
      <c r="D3419" s="5">
        <v>2</v>
      </c>
      <c r="E3419" s="9" t="s">
        <v>3184</v>
      </c>
      <c r="F3419" s="5" t="s">
        <v>447</v>
      </c>
      <c r="G3419" s="5" t="s">
        <v>3177</v>
      </c>
      <c r="H3419" s="5"/>
      <c r="I3419" s="9" t="s">
        <v>3305</v>
      </c>
      <c r="J3419" s="5"/>
      <c r="K3419" s="5">
        <v>4205</v>
      </c>
      <c r="L3419" s="9" t="s">
        <v>6726</v>
      </c>
      <c r="M3419" s="5">
        <v>6.5</v>
      </c>
      <c r="N3419" s="9" t="s">
        <v>6725</v>
      </c>
      <c r="O3419" s="9" t="str">
        <f t="shared" si="322"/>
        <v>PDFを開く</v>
      </c>
      <c r="P3419" s="9" t="s">
        <v>2724</v>
      </c>
    </row>
    <row r="3420" spans="1:16" ht="33.950000000000003" customHeight="1">
      <c r="A3420" s="2" t="s">
        <v>2717</v>
      </c>
      <c r="B3420" s="2" t="s">
        <v>2430</v>
      </c>
      <c r="C3420" s="8" t="s">
        <v>2718</v>
      </c>
      <c r="D3420" s="2">
        <v>2</v>
      </c>
      <c r="E3420" s="8" t="s">
        <v>3188</v>
      </c>
      <c r="F3420" s="2" t="s">
        <v>447</v>
      </c>
      <c r="G3420" s="19" t="s">
        <v>3189</v>
      </c>
      <c r="H3420" s="2"/>
      <c r="I3420" s="8"/>
      <c r="J3420" s="2"/>
      <c r="K3420" s="2"/>
      <c r="L3420" s="8"/>
      <c r="M3420" s="2">
        <v>6.5</v>
      </c>
      <c r="N3420" s="8" t="s">
        <v>6727</v>
      </c>
      <c r="O3420" s="8" t="str">
        <f t="shared" si="322"/>
        <v>PDFを開く</v>
      </c>
      <c r="P3420" s="8" t="s">
        <v>2724</v>
      </c>
    </row>
    <row r="3421" spans="1:16" ht="33.950000000000003" customHeight="1">
      <c r="A3421" s="5" t="s">
        <v>2717</v>
      </c>
      <c r="B3421" s="5" t="s">
        <v>2430</v>
      </c>
      <c r="C3421" s="9" t="s">
        <v>2718</v>
      </c>
      <c r="D3421" s="5">
        <v>2</v>
      </c>
      <c r="E3421" s="9" t="s">
        <v>3191</v>
      </c>
      <c r="F3421" s="5" t="s">
        <v>2513</v>
      </c>
      <c r="G3421" s="5" t="s">
        <v>3177</v>
      </c>
      <c r="H3421" s="5" t="s">
        <v>3178</v>
      </c>
      <c r="I3421" s="9" t="s">
        <v>3302</v>
      </c>
      <c r="J3421" s="5"/>
      <c r="K3421" s="5">
        <v>123</v>
      </c>
      <c r="L3421" s="9" t="s">
        <v>4093</v>
      </c>
      <c r="M3421" s="5"/>
      <c r="N3421" s="9" t="s">
        <v>6728</v>
      </c>
      <c r="O3421" s="9" t="str">
        <f t="shared" si="322"/>
        <v>PDFを開く</v>
      </c>
      <c r="P3421" s="9" t="s">
        <v>2724</v>
      </c>
    </row>
    <row r="3422" spans="1:16" ht="33.950000000000003" customHeight="1">
      <c r="A3422" s="2" t="s">
        <v>2717</v>
      </c>
      <c r="B3422" s="2" t="s">
        <v>2430</v>
      </c>
      <c r="C3422" s="8" t="s">
        <v>2718</v>
      </c>
      <c r="D3422" s="2">
        <v>2</v>
      </c>
      <c r="E3422" s="8" t="s">
        <v>3191</v>
      </c>
      <c r="F3422" s="2" t="s">
        <v>2513</v>
      </c>
      <c r="G3422" s="2" t="s">
        <v>3177</v>
      </c>
      <c r="H3422" s="2" t="s">
        <v>3178</v>
      </c>
      <c r="I3422" s="8" t="s">
        <v>3305</v>
      </c>
      <c r="J3422" s="2"/>
      <c r="K3422" s="2">
        <v>132</v>
      </c>
      <c r="L3422" s="8" t="s">
        <v>4874</v>
      </c>
      <c r="M3422" s="2"/>
      <c r="N3422" s="8" t="s">
        <v>6728</v>
      </c>
      <c r="O3422" s="8" t="str">
        <f t="shared" si="322"/>
        <v>PDFを開く</v>
      </c>
      <c r="P3422" s="8" t="s">
        <v>2724</v>
      </c>
    </row>
    <row r="3423" spans="1:16" ht="33.950000000000003" customHeight="1">
      <c r="A3423" s="5" t="s">
        <v>2717</v>
      </c>
      <c r="B3423" s="5" t="s">
        <v>2430</v>
      </c>
      <c r="C3423" s="9" t="s">
        <v>2718</v>
      </c>
      <c r="D3423" s="5">
        <v>2</v>
      </c>
      <c r="E3423" s="9" t="s">
        <v>3188</v>
      </c>
      <c r="F3423" s="5" t="s">
        <v>447</v>
      </c>
      <c r="G3423" s="5" t="s">
        <v>3177</v>
      </c>
      <c r="H3423" s="5"/>
      <c r="I3423" s="9" t="s">
        <v>6729</v>
      </c>
      <c r="J3423" s="5"/>
      <c r="K3423" s="5"/>
      <c r="L3423" s="9" t="s">
        <v>3211</v>
      </c>
      <c r="M3423" s="5">
        <v>6.5</v>
      </c>
      <c r="N3423" s="9" t="s">
        <v>6330</v>
      </c>
      <c r="O3423" s="9" t="str">
        <f t="shared" si="322"/>
        <v>PDFを開く</v>
      </c>
      <c r="P3423" s="9" t="s">
        <v>2724</v>
      </c>
    </row>
    <row r="3424" spans="1:16" ht="33.950000000000003" customHeight="1">
      <c r="A3424" s="2" t="s">
        <v>2717</v>
      </c>
      <c r="B3424" s="2" t="s">
        <v>2430</v>
      </c>
      <c r="C3424" s="8" t="s">
        <v>2718</v>
      </c>
      <c r="D3424" s="2">
        <v>2</v>
      </c>
      <c r="E3424" s="8" t="s">
        <v>3188</v>
      </c>
      <c r="F3424" s="2" t="s">
        <v>447</v>
      </c>
      <c r="G3424" s="2" t="s">
        <v>3177</v>
      </c>
      <c r="H3424" s="2"/>
      <c r="I3424" s="8" t="s">
        <v>6730</v>
      </c>
      <c r="J3424" s="2"/>
      <c r="K3424" s="2"/>
      <c r="L3424" s="8" t="s">
        <v>5447</v>
      </c>
      <c r="M3424" s="2">
        <v>6.5</v>
      </c>
      <c r="N3424" s="8" t="s">
        <v>6330</v>
      </c>
      <c r="O3424" s="8" t="str">
        <f t="shared" si="322"/>
        <v>PDFを開く</v>
      </c>
      <c r="P3424" s="8" t="s">
        <v>2724</v>
      </c>
    </row>
    <row r="3425" spans="1:16" ht="33.950000000000003" customHeight="1">
      <c r="A3425" s="5" t="s">
        <v>2725</v>
      </c>
      <c r="B3425" s="5" t="s">
        <v>2430</v>
      </c>
      <c r="C3425" s="9" t="s">
        <v>2726</v>
      </c>
      <c r="D3425" s="5">
        <v>2</v>
      </c>
      <c r="E3425" s="9" t="s">
        <v>3176</v>
      </c>
      <c r="F3425" s="5" t="s">
        <v>447</v>
      </c>
      <c r="G3425" s="5" t="s">
        <v>3177</v>
      </c>
      <c r="H3425" s="5"/>
      <c r="I3425" s="9" t="s">
        <v>3302</v>
      </c>
      <c r="J3425" s="5"/>
      <c r="K3425" s="5">
        <v>10694</v>
      </c>
      <c r="L3425" s="9" t="s">
        <v>6731</v>
      </c>
      <c r="M3425" s="5">
        <v>16.399999999999999</v>
      </c>
      <c r="N3425" s="9" t="s">
        <v>6732</v>
      </c>
      <c r="O3425" s="9" t="str">
        <f t="shared" ref="O3425:O3432" si="323">HYPERLINK("https://seichotoushi-hojo.jp/assets/pdf/koufu_3_4ji/outline_159.pdf","PDFを開く")</f>
        <v>PDFを開く</v>
      </c>
      <c r="P3425" s="9" t="s">
        <v>2733</v>
      </c>
    </row>
    <row r="3426" spans="1:16" ht="33.950000000000003" customHeight="1">
      <c r="A3426" s="2" t="s">
        <v>2725</v>
      </c>
      <c r="B3426" s="2" t="s">
        <v>2430</v>
      </c>
      <c r="C3426" s="8" t="s">
        <v>2726</v>
      </c>
      <c r="D3426" s="2">
        <v>2</v>
      </c>
      <c r="E3426" s="8" t="s">
        <v>3176</v>
      </c>
      <c r="F3426" s="2" t="s">
        <v>447</v>
      </c>
      <c r="G3426" s="2" t="s">
        <v>3177</v>
      </c>
      <c r="H3426" s="2"/>
      <c r="I3426" s="8" t="s">
        <v>3305</v>
      </c>
      <c r="J3426" s="2"/>
      <c r="K3426" s="2">
        <v>16855</v>
      </c>
      <c r="L3426" s="8" t="s">
        <v>6733</v>
      </c>
      <c r="M3426" s="2">
        <v>16.399999999999999</v>
      </c>
      <c r="N3426" s="8" t="s">
        <v>6732</v>
      </c>
      <c r="O3426" s="8" t="str">
        <f t="shared" si="323"/>
        <v>PDFを開く</v>
      </c>
      <c r="P3426" s="8" t="s">
        <v>2733</v>
      </c>
    </row>
    <row r="3427" spans="1:16" ht="33.950000000000003" customHeight="1">
      <c r="A3427" s="5" t="s">
        <v>2725</v>
      </c>
      <c r="B3427" s="5" t="s">
        <v>2430</v>
      </c>
      <c r="C3427" s="9" t="s">
        <v>2726</v>
      </c>
      <c r="D3427" s="5">
        <v>2</v>
      </c>
      <c r="E3427" s="9" t="s">
        <v>3184</v>
      </c>
      <c r="F3427" s="5" t="s">
        <v>447</v>
      </c>
      <c r="G3427" s="5" t="s">
        <v>3177</v>
      </c>
      <c r="H3427" s="5"/>
      <c r="I3427" s="9" t="s">
        <v>3302</v>
      </c>
      <c r="J3427" s="5"/>
      <c r="K3427" s="5">
        <v>3878</v>
      </c>
      <c r="L3427" s="9" t="s">
        <v>6734</v>
      </c>
      <c r="M3427" s="5">
        <v>6.5</v>
      </c>
      <c r="N3427" s="9" t="s">
        <v>6735</v>
      </c>
      <c r="O3427" s="9" t="str">
        <f t="shared" si="323"/>
        <v>PDFを開く</v>
      </c>
      <c r="P3427" s="9" t="s">
        <v>2733</v>
      </c>
    </row>
    <row r="3428" spans="1:16" ht="33.950000000000003" customHeight="1">
      <c r="A3428" s="2" t="s">
        <v>2725</v>
      </c>
      <c r="B3428" s="2" t="s">
        <v>2430</v>
      </c>
      <c r="C3428" s="8" t="s">
        <v>2726</v>
      </c>
      <c r="D3428" s="2">
        <v>2</v>
      </c>
      <c r="E3428" s="8" t="s">
        <v>3184</v>
      </c>
      <c r="F3428" s="2" t="s">
        <v>447</v>
      </c>
      <c r="G3428" s="2" t="s">
        <v>3177</v>
      </c>
      <c r="H3428" s="2"/>
      <c r="I3428" s="8" t="s">
        <v>3305</v>
      </c>
      <c r="J3428" s="2"/>
      <c r="K3428" s="2">
        <v>4685</v>
      </c>
      <c r="L3428" s="8" t="s">
        <v>6736</v>
      </c>
      <c r="M3428" s="2">
        <v>6.5</v>
      </c>
      <c r="N3428" s="8" t="s">
        <v>6735</v>
      </c>
      <c r="O3428" s="8" t="str">
        <f t="shared" si="323"/>
        <v>PDFを開く</v>
      </c>
      <c r="P3428" s="8" t="s">
        <v>2733</v>
      </c>
    </row>
    <row r="3429" spans="1:16" ht="33.950000000000003" customHeight="1">
      <c r="A3429" s="5" t="s">
        <v>2725</v>
      </c>
      <c r="B3429" s="5" t="s">
        <v>2430</v>
      </c>
      <c r="C3429" s="9" t="s">
        <v>2726</v>
      </c>
      <c r="D3429" s="5">
        <v>2</v>
      </c>
      <c r="E3429" s="9" t="s">
        <v>3188</v>
      </c>
      <c r="F3429" s="5" t="s">
        <v>447</v>
      </c>
      <c r="G3429" s="5" t="s">
        <v>3177</v>
      </c>
      <c r="H3429" s="5"/>
      <c r="I3429" s="9" t="s">
        <v>3302</v>
      </c>
      <c r="J3429" s="5"/>
      <c r="K3429" s="5">
        <v>11109</v>
      </c>
      <c r="L3429" s="9" t="s">
        <v>6737</v>
      </c>
      <c r="M3429" s="5">
        <v>5.3</v>
      </c>
      <c r="N3429" s="9" t="s">
        <v>6738</v>
      </c>
      <c r="O3429" s="9" t="str">
        <f t="shared" si="323"/>
        <v>PDFを開く</v>
      </c>
      <c r="P3429" s="9" t="s">
        <v>2733</v>
      </c>
    </row>
    <row r="3430" spans="1:16" ht="33.950000000000003" customHeight="1">
      <c r="A3430" s="2" t="s">
        <v>2725</v>
      </c>
      <c r="B3430" s="2" t="s">
        <v>2430</v>
      </c>
      <c r="C3430" s="8" t="s">
        <v>2726</v>
      </c>
      <c r="D3430" s="2">
        <v>2</v>
      </c>
      <c r="E3430" s="8" t="s">
        <v>3188</v>
      </c>
      <c r="F3430" s="2" t="s">
        <v>447</v>
      </c>
      <c r="G3430" s="2" t="s">
        <v>3177</v>
      </c>
      <c r="H3430" s="2"/>
      <c r="I3430" s="8" t="s">
        <v>3305</v>
      </c>
      <c r="J3430" s="2"/>
      <c r="K3430" s="2">
        <v>12970</v>
      </c>
      <c r="L3430" s="8" t="s">
        <v>6739</v>
      </c>
      <c r="M3430" s="2">
        <v>5.3</v>
      </c>
      <c r="N3430" s="8" t="s">
        <v>6738</v>
      </c>
      <c r="O3430" s="8" t="str">
        <f t="shared" si="323"/>
        <v>PDFを開く</v>
      </c>
      <c r="P3430" s="8" t="s">
        <v>2733</v>
      </c>
    </row>
    <row r="3431" spans="1:16" ht="33.950000000000003" customHeight="1">
      <c r="A3431" s="5" t="s">
        <v>2725</v>
      </c>
      <c r="B3431" s="5" t="s">
        <v>2430</v>
      </c>
      <c r="C3431" s="9" t="s">
        <v>2726</v>
      </c>
      <c r="D3431" s="5">
        <v>2</v>
      </c>
      <c r="E3431" s="9" t="s">
        <v>3191</v>
      </c>
      <c r="F3431" s="5" t="s">
        <v>2513</v>
      </c>
      <c r="G3431" s="5" t="s">
        <v>3177</v>
      </c>
      <c r="H3431" s="5"/>
      <c r="I3431" s="9" t="s">
        <v>3302</v>
      </c>
      <c r="J3431" s="5"/>
      <c r="K3431" s="5">
        <v>70</v>
      </c>
      <c r="L3431" s="9" t="s">
        <v>3545</v>
      </c>
      <c r="M3431" s="5"/>
      <c r="N3431" s="9" t="s">
        <v>6740</v>
      </c>
      <c r="O3431" s="9" t="str">
        <f t="shared" si="323"/>
        <v>PDFを開く</v>
      </c>
      <c r="P3431" s="9" t="s">
        <v>2733</v>
      </c>
    </row>
    <row r="3432" spans="1:16" ht="33.950000000000003" customHeight="1">
      <c r="A3432" s="2" t="s">
        <v>2725</v>
      </c>
      <c r="B3432" s="2" t="s">
        <v>2430</v>
      </c>
      <c r="C3432" s="8" t="s">
        <v>2726</v>
      </c>
      <c r="D3432" s="2">
        <v>2</v>
      </c>
      <c r="E3432" s="8" t="s">
        <v>3191</v>
      </c>
      <c r="F3432" s="2" t="s">
        <v>2513</v>
      </c>
      <c r="G3432" s="2" t="s">
        <v>3177</v>
      </c>
      <c r="H3432" s="2"/>
      <c r="I3432" s="8" t="s">
        <v>3305</v>
      </c>
      <c r="J3432" s="2"/>
      <c r="K3432" s="2">
        <v>75</v>
      </c>
      <c r="L3432" s="8" t="s">
        <v>4098</v>
      </c>
      <c r="M3432" s="2"/>
      <c r="N3432" s="8" t="s">
        <v>6740</v>
      </c>
      <c r="O3432" s="8" t="str">
        <f t="shared" si="323"/>
        <v>PDFを開く</v>
      </c>
      <c r="P3432" s="8" t="s">
        <v>2733</v>
      </c>
    </row>
    <row r="3433" spans="1:16" ht="33.950000000000003" customHeight="1">
      <c r="A3433" s="5" t="s">
        <v>2734</v>
      </c>
      <c r="B3433" s="5" t="s">
        <v>2430</v>
      </c>
      <c r="C3433" s="9" t="s">
        <v>2735</v>
      </c>
      <c r="D3433" s="5">
        <v>2</v>
      </c>
      <c r="E3433" s="9" t="s">
        <v>3176</v>
      </c>
      <c r="F3433" s="5" t="s">
        <v>447</v>
      </c>
      <c r="G3433" s="5" t="s">
        <v>3177</v>
      </c>
      <c r="H3433" s="5"/>
      <c r="I3433" s="9" t="s">
        <v>3302</v>
      </c>
      <c r="J3433" s="5"/>
      <c r="K3433" s="5">
        <v>7920</v>
      </c>
      <c r="L3433" s="9" t="s">
        <v>6741</v>
      </c>
      <c r="M3433" s="5">
        <v>19.8</v>
      </c>
      <c r="N3433" s="9" t="s">
        <v>6742</v>
      </c>
      <c r="O3433" s="9" t="str">
        <f t="shared" ref="O3433:O3441" si="324">HYPERLINK("https://seichotoushi-hojo.jp/assets/pdf/koufu_3_4ji/outline_160.pdf","PDFを開く")</f>
        <v>PDFを開く</v>
      </c>
      <c r="P3433" s="9" t="s">
        <v>2740</v>
      </c>
    </row>
    <row r="3434" spans="1:16" ht="33.950000000000003" customHeight="1">
      <c r="A3434" s="2" t="s">
        <v>2734</v>
      </c>
      <c r="B3434" s="2" t="s">
        <v>2430</v>
      </c>
      <c r="C3434" s="8" t="s">
        <v>2735</v>
      </c>
      <c r="D3434" s="2">
        <v>2</v>
      </c>
      <c r="E3434" s="8" t="s">
        <v>3176</v>
      </c>
      <c r="F3434" s="2" t="s">
        <v>447</v>
      </c>
      <c r="G3434" s="2" t="s">
        <v>3177</v>
      </c>
      <c r="H3434" s="2"/>
      <c r="I3434" s="8" t="s">
        <v>3305</v>
      </c>
      <c r="J3434" s="2"/>
      <c r="K3434" s="2">
        <v>13621</v>
      </c>
      <c r="L3434" s="8" t="s">
        <v>6743</v>
      </c>
      <c r="M3434" s="2">
        <v>19.8</v>
      </c>
      <c r="N3434" s="8" t="s">
        <v>6742</v>
      </c>
      <c r="O3434" s="8" t="str">
        <f t="shared" si="324"/>
        <v>PDFを開く</v>
      </c>
      <c r="P3434" s="8" t="s">
        <v>2740</v>
      </c>
    </row>
    <row r="3435" spans="1:16" ht="33.950000000000003" customHeight="1">
      <c r="A3435" s="5" t="s">
        <v>2734</v>
      </c>
      <c r="B3435" s="5" t="s">
        <v>2430</v>
      </c>
      <c r="C3435" s="9" t="s">
        <v>2735</v>
      </c>
      <c r="D3435" s="5">
        <v>2</v>
      </c>
      <c r="E3435" s="9" t="s">
        <v>3184</v>
      </c>
      <c r="F3435" s="5" t="s">
        <v>447</v>
      </c>
      <c r="G3435" s="5" t="s">
        <v>3177</v>
      </c>
      <c r="H3435" s="5"/>
      <c r="I3435" s="9" t="s">
        <v>3302</v>
      </c>
      <c r="J3435" s="5"/>
      <c r="K3435" s="5">
        <v>5527</v>
      </c>
      <c r="L3435" s="9" t="s">
        <v>6744</v>
      </c>
      <c r="M3435" s="5">
        <v>6.5</v>
      </c>
      <c r="N3435" s="9" t="s">
        <v>6745</v>
      </c>
      <c r="O3435" s="9" t="str">
        <f t="shared" si="324"/>
        <v>PDFを開く</v>
      </c>
      <c r="P3435" s="9" t="s">
        <v>2740</v>
      </c>
    </row>
    <row r="3436" spans="1:16" ht="33.950000000000003" customHeight="1">
      <c r="A3436" s="2" t="s">
        <v>2734</v>
      </c>
      <c r="B3436" s="2" t="s">
        <v>2430</v>
      </c>
      <c r="C3436" s="8" t="s">
        <v>2735</v>
      </c>
      <c r="D3436" s="2">
        <v>2</v>
      </c>
      <c r="E3436" s="8" t="s">
        <v>3184</v>
      </c>
      <c r="F3436" s="2" t="s">
        <v>447</v>
      </c>
      <c r="G3436" s="2" t="s">
        <v>3177</v>
      </c>
      <c r="H3436" s="2"/>
      <c r="I3436" s="8" t="s">
        <v>3305</v>
      </c>
      <c r="J3436" s="2"/>
      <c r="K3436" s="2">
        <v>6678</v>
      </c>
      <c r="L3436" s="8" t="s">
        <v>6746</v>
      </c>
      <c r="M3436" s="2">
        <v>6.5</v>
      </c>
      <c r="N3436" s="8" t="s">
        <v>6745</v>
      </c>
      <c r="O3436" s="8" t="str">
        <f t="shared" si="324"/>
        <v>PDFを開く</v>
      </c>
      <c r="P3436" s="8" t="s">
        <v>2740</v>
      </c>
    </row>
    <row r="3437" spans="1:16" ht="33.950000000000003" customHeight="1">
      <c r="A3437" s="5" t="s">
        <v>2734</v>
      </c>
      <c r="B3437" s="5" t="s">
        <v>2430</v>
      </c>
      <c r="C3437" s="9" t="s">
        <v>2735</v>
      </c>
      <c r="D3437" s="5">
        <v>2</v>
      </c>
      <c r="E3437" s="9" t="s">
        <v>3188</v>
      </c>
      <c r="F3437" s="5" t="s">
        <v>447</v>
      </c>
      <c r="G3437" s="19" t="s">
        <v>3189</v>
      </c>
      <c r="H3437" s="5"/>
      <c r="I3437" s="9"/>
      <c r="J3437" s="5"/>
      <c r="K3437" s="5"/>
      <c r="L3437" s="9"/>
      <c r="M3437" s="5">
        <v>6.5</v>
      </c>
      <c r="N3437" s="9" t="s">
        <v>6727</v>
      </c>
      <c r="O3437" s="9" t="str">
        <f t="shared" si="324"/>
        <v>PDFを開く</v>
      </c>
      <c r="P3437" s="9" t="s">
        <v>2740</v>
      </c>
    </row>
    <row r="3438" spans="1:16" ht="33.950000000000003" customHeight="1">
      <c r="A3438" s="2" t="s">
        <v>2734</v>
      </c>
      <c r="B3438" s="2" t="s">
        <v>2430</v>
      </c>
      <c r="C3438" s="8" t="s">
        <v>2735</v>
      </c>
      <c r="D3438" s="2">
        <v>2</v>
      </c>
      <c r="E3438" s="8" t="s">
        <v>3191</v>
      </c>
      <c r="F3438" s="2" t="s">
        <v>2513</v>
      </c>
      <c r="G3438" s="2" t="s">
        <v>3177</v>
      </c>
      <c r="H3438" s="2"/>
      <c r="I3438" s="8" t="s">
        <v>3302</v>
      </c>
      <c r="J3438" s="2"/>
      <c r="K3438" s="2">
        <v>275</v>
      </c>
      <c r="L3438" s="8" t="s">
        <v>6747</v>
      </c>
      <c r="M3438" s="2"/>
      <c r="N3438" s="8" t="s">
        <v>6748</v>
      </c>
      <c r="O3438" s="8" t="str">
        <f t="shared" si="324"/>
        <v>PDFを開く</v>
      </c>
      <c r="P3438" s="8" t="s">
        <v>2740</v>
      </c>
    </row>
    <row r="3439" spans="1:16" ht="33.950000000000003" customHeight="1">
      <c r="A3439" s="5" t="s">
        <v>2734</v>
      </c>
      <c r="B3439" s="5" t="s">
        <v>2430</v>
      </c>
      <c r="C3439" s="9" t="s">
        <v>2735</v>
      </c>
      <c r="D3439" s="5">
        <v>2</v>
      </c>
      <c r="E3439" s="9" t="s">
        <v>3191</v>
      </c>
      <c r="F3439" s="5" t="s">
        <v>2513</v>
      </c>
      <c r="G3439" s="5" t="s">
        <v>3177</v>
      </c>
      <c r="H3439" s="5"/>
      <c r="I3439" s="9" t="s">
        <v>3305</v>
      </c>
      <c r="J3439" s="5"/>
      <c r="K3439" s="5">
        <v>284</v>
      </c>
      <c r="L3439" s="9" t="s">
        <v>5973</v>
      </c>
      <c r="M3439" s="5"/>
      <c r="N3439" s="9" t="s">
        <v>6748</v>
      </c>
      <c r="O3439" s="9" t="str">
        <f t="shared" si="324"/>
        <v>PDFを開く</v>
      </c>
      <c r="P3439" s="9" t="s">
        <v>2740</v>
      </c>
    </row>
    <row r="3440" spans="1:16" ht="33.950000000000003" customHeight="1">
      <c r="A3440" s="2" t="s">
        <v>2734</v>
      </c>
      <c r="B3440" s="2" t="s">
        <v>2430</v>
      </c>
      <c r="C3440" s="8" t="s">
        <v>2735</v>
      </c>
      <c r="D3440" s="2">
        <v>2</v>
      </c>
      <c r="E3440" s="8" t="s">
        <v>3188</v>
      </c>
      <c r="F3440" s="2" t="s">
        <v>447</v>
      </c>
      <c r="G3440" s="2" t="s">
        <v>3177</v>
      </c>
      <c r="H3440" s="2"/>
      <c r="I3440" s="8" t="s">
        <v>6749</v>
      </c>
      <c r="J3440" s="2"/>
      <c r="K3440" s="2"/>
      <c r="L3440" s="8" t="s">
        <v>3211</v>
      </c>
      <c r="M3440" s="2">
        <v>6.5</v>
      </c>
      <c r="N3440" s="8" t="s">
        <v>6330</v>
      </c>
      <c r="O3440" s="8" t="str">
        <f t="shared" si="324"/>
        <v>PDFを開く</v>
      </c>
      <c r="P3440" s="8" t="s">
        <v>2740</v>
      </c>
    </row>
    <row r="3441" spans="1:16" ht="33.950000000000003" customHeight="1">
      <c r="A3441" s="5" t="s">
        <v>2734</v>
      </c>
      <c r="B3441" s="5" t="s">
        <v>2430</v>
      </c>
      <c r="C3441" s="9" t="s">
        <v>2735</v>
      </c>
      <c r="D3441" s="5">
        <v>2</v>
      </c>
      <c r="E3441" s="9" t="s">
        <v>3188</v>
      </c>
      <c r="F3441" s="5" t="s">
        <v>447</v>
      </c>
      <c r="G3441" s="5" t="s">
        <v>3177</v>
      </c>
      <c r="H3441" s="5"/>
      <c r="I3441" s="9" t="s">
        <v>6750</v>
      </c>
      <c r="J3441" s="5"/>
      <c r="K3441" s="5"/>
      <c r="L3441" s="9" t="s">
        <v>5447</v>
      </c>
      <c r="M3441" s="5">
        <v>6.5</v>
      </c>
      <c r="N3441" s="9" t="s">
        <v>6330</v>
      </c>
      <c r="O3441" s="9" t="str">
        <f t="shared" si="324"/>
        <v>PDFを開く</v>
      </c>
      <c r="P3441" s="9" t="s">
        <v>2740</v>
      </c>
    </row>
    <row r="3442" spans="1:16" ht="33.950000000000003" customHeight="1">
      <c r="A3442" s="2" t="s">
        <v>2741</v>
      </c>
      <c r="B3442" s="2" t="s">
        <v>2430</v>
      </c>
      <c r="C3442" s="8" t="s">
        <v>2742</v>
      </c>
      <c r="D3442" s="2">
        <v>2</v>
      </c>
      <c r="E3442" s="8" t="s">
        <v>3176</v>
      </c>
      <c r="F3442" s="2" t="s">
        <v>447</v>
      </c>
      <c r="G3442" s="2" t="s">
        <v>3177</v>
      </c>
      <c r="H3442" s="2"/>
      <c r="I3442" s="8" t="s">
        <v>3302</v>
      </c>
      <c r="J3442" s="2"/>
      <c r="K3442" s="2">
        <v>16910</v>
      </c>
      <c r="L3442" s="8" t="s">
        <v>6751</v>
      </c>
      <c r="M3442" s="2">
        <v>49.9</v>
      </c>
      <c r="N3442" s="8" t="s">
        <v>6752</v>
      </c>
      <c r="O3442" s="8" t="str">
        <f t="shared" ref="O3442:O3450" si="325">HYPERLINK("https://seichotoushi-hojo.jp/assets/pdf/koufu_3_4ji/outline_161.pdf","PDFを開く")</f>
        <v>PDFを開く</v>
      </c>
      <c r="P3442" s="8" t="s">
        <v>2749</v>
      </c>
    </row>
    <row r="3443" spans="1:16" ht="33.950000000000003" customHeight="1">
      <c r="A3443" s="5" t="s">
        <v>2741</v>
      </c>
      <c r="B3443" s="5" t="s">
        <v>2430</v>
      </c>
      <c r="C3443" s="9" t="s">
        <v>2742</v>
      </c>
      <c r="D3443" s="5">
        <v>2</v>
      </c>
      <c r="E3443" s="9" t="s">
        <v>3176</v>
      </c>
      <c r="F3443" s="5" t="s">
        <v>447</v>
      </c>
      <c r="G3443" s="5" t="s">
        <v>3177</v>
      </c>
      <c r="H3443" s="5"/>
      <c r="I3443" s="9" t="s">
        <v>3305</v>
      </c>
      <c r="J3443" s="5"/>
      <c r="K3443" s="5">
        <v>57002</v>
      </c>
      <c r="L3443" s="9" t="s">
        <v>6753</v>
      </c>
      <c r="M3443" s="5">
        <v>49.9</v>
      </c>
      <c r="N3443" s="9" t="s">
        <v>6752</v>
      </c>
      <c r="O3443" s="9" t="str">
        <f t="shared" si="325"/>
        <v>PDFを開く</v>
      </c>
      <c r="P3443" s="9" t="s">
        <v>2749</v>
      </c>
    </row>
    <row r="3444" spans="1:16" ht="33.950000000000003" customHeight="1">
      <c r="A3444" s="2" t="s">
        <v>2741</v>
      </c>
      <c r="B3444" s="2" t="s">
        <v>2430</v>
      </c>
      <c r="C3444" s="8" t="s">
        <v>2742</v>
      </c>
      <c r="D3444" s="2">
        <v>2</v>
      </c>
      <c r="E3444" s="8" t="s">
        <v>3184</v>
      </c>
      <c r="F3444" s="2" t="s">
        <v>447</v>
      </c>
      <c r="G3444" s="2" t="s">
        <v>3177</v>
      </c>
      <c r="H3444" s="2"/>
      <c r="I3444" s="8" t="s">
        <v>3302</v>
      </c>
      <c r="J3444" s="2"/>
      <c r="K3444" s="2">
        <v>4738</v>
      </c>
      <c r="L3444" s="8" t="s">
        <v>6754</v>
      </c>
      <c r="M3444" s="2">
        <v>7.1</v>
      </c>
      <c r="N3444" s="8" t="s">
        <v>6755</v>
      </c>
      <c r="O3444" s="8" t="str">
        <f t="shared" si="325"/>
        <v>PDFを開く</v>
      </c>
      <c r="P3444" s="8" t="s">
        <v>2749</v>
      </c>
    </row>
    <row r="3445" spans="1:16" ht="33.950000000000003" customHeight="1">
      <c r="A3445" s="5" t="s">
        <v>2741</v>
      </c>
      <c r="B3445" s="5" t="s">
        <v>2430</v>
      </c>
      <c r="C3445" s="9" t="s">
        <v>2742</v>
      </c>
      <c r="D3445" s="5">
        <v>2</v>
      </c>
      <c r="E3445" s="9" t="s">
        <v>3184</v>
      </c>
      <c r="F3445" s="5" t="s">
        <v>447</v>
      </c>
      <c r="G3445" s="5" t="s">
        <v>3177</v>
      </c>
      <c r="H3445" s="5"/>
      <c r="I3445" s="9" t="s">
        <v>3305</v>
      </c>
      <c r="J3445" s="5"/>
      <c r="K3445" s="5">
        <v>5820</v>
      </c>
      <c r="L3445" s="9" t="s">
        <v>6756</v>
      </c>
      <c r="M3445" s="5">
        <v>7.1</v>
      </c>
      <c r="N3445" s="9" t="s">
        <v>6755</v>
      </c>
      <c r="O3445" s="9" t="str">
        <f t="shared" si="325"/>
        <v>PDFを開く</v>
      </c>
      <c r="P3445" s="9" t="s">
        <v>2749</v>
      </c>
    </row>
    <row r="3446" spans="1:16" ht="33.950000000000003" customHeight="1">
      <c r="A3446" s="2" t="s">
        <v>2741</v>
      </c>
      <c r="B3446" s="2" t="s">
        <v>2430</v>
      </c>
      <c r="C3446" s="8" t="s">
        <v>2742</v>
      </c>
      <c r="D3446" s="2">
        <v>2</v>
      </c>
      <c r="E3446" s="8" t="s">
        <v>3188</v>
      </c>
      <c r="F3446" s="2" t="s">
        <v>447</v>
      </c>
      <c r="G3446" s="19" t="s">
        <v>3189</v>
      </c>
      <c r="H3446" s="2"/>
      <c r="I3446" s="8"/>
      <c r="J3446" s="2"/>
      <c r="K3446" s="2"/>
      <c r="L3446" s="8"/>
      <c r="M3446" s="2">
        <v>5.5</v>
      </c>
      <c r="N3446" s="8" t="s">
        <v>6757</v>
      </c>
      <c r="O3446" s="8" t="str">
        <f t="shared" si="325"/>
        <v>PDFを開く</v>
      </c>
      <c r="P3446" s="8" t="s">
        <v>2749</v>
      </c>
    </row>
    <row r="3447" spans="1:16" ht="33.950000000000003" customHeight="1">
      <c r="A3447" s="5" t="s">
        <v>2741</v>
      </c>
      <c r="B3447" s="5" t="s">
        <v>2430</v>
      </c>
      <c r="C3447" s="9" t="s">
        <v>2742</v>
      </c>
      <c r="D3447" s="5">
        <v>2</v>
      </c>
      <c r="E3447" s="9" t="s">
        <v>3191</v>
      </c>
      <c r="F3447" s="5" t="s">
        <v>2513</v>
      </c>
      <c r="G3447" s="5" t="s">
        <v>3177</v>
      </c>
      <c r="H3447" s="5"/>
      <c r="I3447" s="9" t="s">
        <v>3302</v>
      </c>
      <c r="J3447" s="5"/>
      <c r="K3447" s="5">
        <v>25</v>
      </c>
      <c r="L3447" s="9" t="s">
        <v>3885</v>
      </c>
      <c r="M3447" s="5"/>
      <c r="N3447" s="9" t="s">
        <v>6758</v>
      </c>
      <c r="O3447" s="9" t="str">
        <f t="shared" si="325"/>
        <v>PDFを開く</v>
      </c>
      <c r="P3447" s="9" t="s">
        <v>2749</v>
      </c>
    </row>
    <row r="3448" spans="1:16" ht="33.950000000000003" customHeight="1">
      <c r="A3448" s="2" t="s">
        <v>2741</v>
      </c>
      <c r="B3448" s="2" t="s">
        <v>2430</v>
      </c>
      <c r="C3448" s="8" t="s">
        <v>2742</v>
      </c>
      <c r="D3448" s="2">
        <v>2</v>
      </c>
      <c r="E3448" s="8" t="s">
        <v>3191</v>
      </c>
      <c r="F3448" s="2" t="s">
        <v>2513</v>
      </c>
      <c r="G3448" s="2" t="s">
        <v>3177</v>
      </c>
      <c r="H3448" s="2"/>
      <c r="I3448" s="8" t="s">
        <v>3305</v>
      </c>
      <c r="J3448" s="2"/>
      <c r="K3448" s="2">
        <v>35</v>
      </c>
      <c r="L3448" s="8" t="s">
        <v>3269</v>
      </c>
      <c r="M3448" s="2"/>
      <c r="N3448" s="8" t="s">
        <v>6758</v>
      </c>
      <c r="O3448" s="8" t="str">
        <f t="shared" si="325"/>
        <v>PDFを開く</v>
      </c>
      <c r="P3448" s="8" t="s">
        <v>2749</v>
      </c>
    </row>
    <row r="3449" spans="1:16" ht="33.950000000000003" customHeight="1">
      <c r="A3449" s="5" t="s">
        <v>2741</v>
      </c>
      <c r="B3449" s="5" t="s">
        <v>2430</v>
      </c>
      <c r="C3449" s="9" t="s">
        <v>2742</v>
      </c>
      <c r="D3449" s="5">
        <v>2</v>
      </c>
      <c r="E3449" s="9" t="s">
        <v>3188</v>
      </c>
      <c r="F3449" s="5" t="s">
        <v>447</v>
      </c>
      <c r="G3449" s="5" t="s">
        <v>3177</v>
      </c>
      <c r="H3449" s="5"/>
      <c r="I3449" s="9" t="s">
        <v>6759</v>
      </c>
      <c r="J3449" s="5"/>
      <c r="K3449" s="5"/>
      <c r="L3449" s="9" t="s">
        <v>3211</v>
      </c>
      <c r="M3449" s="5">
        <v>5.5</v>
      </c>
      <c r="N3449" s="9" t="s">
        <v>6681</v>
      </c>
      <c r="O3449" s="9" t="str">
        <f t="shared" si="325"/>
        <v>PDFを開く</v>
      </c>
      <c r="P3449" s="9" t="s">
        <v>2749</v>
      </c>
    </row>
    <row r="3450" spans="1:16" ht="33.950000000000003" customHeight="1">
      <c r="A3450" s="2" t="s">
        <v>2741</v>
      </c>
      <c r="B3450" s="2" t="s">
        <v>2430</v>
      </c>
      <c r="C3450" s="8" t="s">
        <v>2742</v>
      </c>
      <c r="D3450" s="2">
        <v>2</v>
      </c>
      <c r="E3450" s="8" t="s">
        <v>3188</v>
      </c>
      <c r="F3450" s="2" t="s">
        <v>447</v>
      </c>
      <c r="G3450" s="2" t="s">
        <v>3177</v>
      </c>
      <c r="H3450" s="2"/>
      <c r="I3450" s="8" t="s">
        <v>6760</v>
      </c>
      <c r="J3450" s="2"/>
      <c r="K3450" s="2"/>
      <c r="L3450" s="8" t="s">
        <v>6761</v>
      </c>
      <c r="M3450" s="2">
        <v>5.5</v>
      </c>
      <c r="N3450" s="8" t="s">
        <v>6681</v>
      </c>
      <c r="O3450" s="8" t="str">
        <f t="shared" si="325"/>
        <v>PDFを開く</v>
      </c>
      <c r="P3450" s="8" t="s">
        <v>2749</v>
      </c>
    </row>
    <row r="3451" spans="1:16" ht="33.950000000000003" customHeight="1">
      <c r="A3451" s="5" t="s">
        <v>2750</v>
      </c>
      <c r="B3451" s="5" t="s">
        <v>2430</v>
      </c>
      <c r="C3451" s="9" t="s">
        <v>2751</v>
      </c>
      <c r="D3451" s="5">
        <v>2</v>
      </c>
      <c r="E3451" s="9" t="s">
        <v>3176</v>
      </c>
      <c r="F3451" s="5" t="s">
        <v>447</v>
      </c>
      <c r="G3451" s="5" t="s">
        <v>3177</v>
      </c>
      <c r="H3451" s="5"/>
      <c r="I3451" s="9" t="s">
        <v>3302</v>
      </c>
      <c r="J3451" s="5"/>
      <c r="K3451" s="5">
        <v>10225</v>
      </c>
      <c r="L3451" s="9" t="s">
        <v>6762</v>
      </c>
      <c r="M3451" s="5">
        <v>18</v>
      </c>
      <c r="N3451" s="9" t="s">
        <v>6763</v>
      </c>
      <c r="O3451" s="9" t="str">
        <f t="shared" ref="O3451:O3457" si="326">HYPERLINK("https://seichotoushi-hojo.jp/assets/pdf/koufu_3_4ji/outline_162.pdf","PDFを開く")</f>
        <v>PDFを開く</v>
      </c>
      <c r="P3451" s="9" t="s">
        <v>2757</v>
      </c>
    </row>
    <row r="3452" spans="1:16" ht="33.950000000000003" customHeight="1">
      <c r="A3452" s="2" t="s">
        <v>2750</v>
      </c>
      <c r="B3452" s="2" t="s">
        <v>2430</v>
      </c>
      <c r="C3452" s="8" t="s">
        <v>2751</v>
      </c>
      <c r="D3452" s="2">
        <v>2</v>
      </c>
      <c r="E3452" s="8" t="s">
        <v>3176</v>
      </c>
      <c r="F3452" s="2" t="s">
        <v>447</v>
      </c>
      <c r="G3452" s="2" t="s">
        <v>3177</v>
      </c>
      <c r="H3452" s="2"/>
      <c r="I3452" s="8" t="s">
        <v>3305</v>
      </c>
      <c r="J3452" s="2"/>
      <c r="K3452" s="2">
        <v>16783</v>
      </c>
      <c r="L3452" s="8" t="s">
        <v>6764</v>
      </c>
      <c r="M3452" s="2">
        <v>18</v>
      </c>
      <c r="N3452" s="8" t="s">
        <v>6763</v>
      </c>
      <c r="O3452" s="8" t="str">
        <f t="shared" si="326"/>
        <v>PDFを開く</v>
      </c>
      <c r="P3452" s="8" t="s">
        <v>2757</v>
      </c>
    </row>
    <row r="3453" spans="1:16" ht="33.950000000000003" customHeight="1">
      <c r="A3453" s="5" t="s">
        <v>2750</v>
      </c>
      <c r="B3453" s="5" t="s">
        <v>2430</v>
      </c>
      <c r="C3453" s="9" t="s">
        <v>2751</v>
      </c>
      <c r="D3453" s="5">
        <v>2</v>
      </c>
      <c r="E3453" s="9" t="s">
        <v>3184</v>
      </c>
      <c r="F3453" s="5" t="s">
        <v>447</v>
      </c>
      <c r="G3453" s="5" t="s">
        <v>3177</v>
      </c>
      <c r="H3453" s="5"/>
      <c r="I3453" s="9" t="s">
        <v>3302</v>
      </c>
      <c r="J3453" s="5"/>
      <c r="K3453" s="5">
        <v>4103</v>
      </c>
      <c r="L3453" s="9" t="s">
        <v>6765</v>
      </c>
      <c r="M3453" s="5">
        <v>7</v>
      </c>
      <c r="N3453" s="9" t="s">
        <v>6766</v>
      </c>
      <c r="O3453" s="9" t="str">
        <f t="shared" si="326"/>
        <v>PDFを開く</v>
      </c>
      <c r="P3453" s="9" t="s">
        <v>2757</v>
      </c>
    </row>
    <row r="3454" spans="1:16" ht="33.950000000000003" customHeight="1">
      <c r="A3454" s="2" t="s">
        <v>2750</v>
      </c>
      <c r="B3454" s="2" t="s">
        <v>2430</v>
      </c>
      <c r="C3454" s="8" t="s">
        <v>2751</v>
      </c>
      <c r="D3454" s="2">
        <v>2</v>
      </c>
      <c r="E3454" s="8" t="s">
        <v>3184</v>
      </c>
      <c r="F3454" s="2" t="s">
        <v>447</v>
      </c>
      <c r="G3454" s="2" t="s">
        <v>3177</v>
      </c>
      <c r="H3454" s="2"/>
      <c r="I3454" s="8" t="s">
        <v>3305</v>
      </c>
      <c r="J3454" s="2"/>
      <c r="K3454" s="2">
        <v>5026</v>
      </c>
      <c r="L3454" s="8" t="s">
        <v>6767</v>
      </c>
      <c r="M3454" s="2">
        <v>7</v>
      </c>
      <c r="N3454" s="8" t="s">
        <v>6766</v>
      </c>
      <c r="O3454" s="8" t="str">
        <f t="shared" si="326"/>
        <v>PDFを開く</v>
      </c>
      <c r="P3454" s="8" t="s">
        <v>2757</v>
      </c>
    </row>
    <row r="3455" spans="1:16" ht="33.950000000000003" customHeight="1">
      <c r="A3455" s="5" t="s">
        <v>2750</v>
      </c>
      <c r="B3455" s="5" t="s">
        <v>2430</v>
      </c>
      <c r="C3455" s="9" t="s">
        <v>2751</v>
      </c>
      <c r="D3455" s="5">
        <v>2</v>
      </c>
      <c r="E3455" s="9" t="s">
        <v>3188</v>
      </c>
      <c r="F3455" s="5" t="s">
        <v>447</v>
      </c>
      <c r="G3455" s="19" t="s">
        <v>3189</v>
      </c>
      <c r="H3455" s="5"/>
      <c r="I3455" s="9"/>
      <c r="J3455" s="5"/>
      <c r="K3455" s="5"/>
      <c r="L3455" s="9"/>
      <c r="M3455" s="5">
        <v>5</v>
      </c>
      <c r="N3455" s="9" t="s">
        <v>6768</v>
      </c>
      <c r="O3455" s="9" t="str">
        <f t="shared" si="326"/>
        <v>PDFを開く</v>
      </c>
      <c r="P3455" s="9" t="s">
        <v>2757</v>
      </c>
    </row>
    <row r="3456" spans="1:16" ht="33.950000000000003" customHeight="1">
      <c r="A3456" s="2" t="s">
        <v>2750</v>
      </c>
      <c r="B3456" s="2" t="s">
        <v>2430</v>
      </c>
      <c r="C3456" s="8" t="s">
        <v>2751</v>
      </c>
      <c r="D3456" s="2">
        <v>2</v>
      </c>
      <c r="E3456" s="8" t="s">
        <v>3191</v>
      </c>
      <c r="F3456" s="2" t="s">
        <v>2513</v>
      </c>
      <c r="G3456" s="2" t="s">
        <v>3177</v>
      </c>
      <c r="H3456" s="2"/>
      <c r="I3456" s="8" t="s">
        <v>3302</v>
      </c>
      <c r="J3456" s="2"/>
      <c r="K3456" s="2">
        <v>327</v>
      </c>
      <c r="L3456" s="8" t="s">
        <v>5679</v>
      </c>
      <c r="M3456" s="2"/>
      <c r="N3456" s="8" t="s">
        <v>6769</v>
      </c>
      <c r="O3456" s="8" t="str">
        <f t="shared" si="326"/>
        <v>PDFを開く</v>
      </c>
      <c r="P3456" s="8" t="s">
        <v>2757</v>
      </c>
    </row>
    <row r="3457" spans="1:16" ht="33.950000000000003" customHeight="1">
      <c r="A3457" s="5" t="s">
        <v>2750</v>
      </c>
      <c r="B3457" s="5" t="s">
        <v>2430</v>
      </c>
      <c r="C3457" s="9" t="s">
        <v>2751</v>
      </c>
      <c r="D3457" s="5">
        <v>2</v>
      </c>
      <c r="E3457" s="9" t="s">
        <v>3191</v>
      </c>
      <c r="F3457" s="5" t="s">
        <v>2513</v>
      </c>
      <c r="G3457" s="5" t="s">
        <v>3177</v>
      </c>
      <c r="H3457" s="5"/>
      <c r="I3457" s="9" t="s">
        <v>3305</v>
      </c>
      <c r="J3457" s="5"/>
      <c r="K3457" s="5">
        <v>350</v>
      </c>
      <c r="L3457" s="9" t="s">
        <v>5224</v>
      </c>
      <c r="M3457" s="5"/>
      <c r="N3457" s="9" t="s">
        <v>6769</v>
      </c>
      <c r="O3457" s="9" t="str">
        <f t="shared" si="326"/>
        <v>PDFを開く</v>
      </c>
      <c r="P3457" s="9" t="s">
        <v>2757</v>
      </c>
    </row>
    <row r="3458" spans="1:16" ht="33.950000000000003" customHeight="1">
      <c r="A3458" s="2" t="s">
        <v>2758</v>
      </c>
      <c r="B3458" s="2" t="s">
        <v>2430</v>
      </c>
      <c r="C3458" s="8" t="s">
        <v>2759</v>
      </c>
      <c r="D3458" s="2">
        <v>2</v>
      </c>
      <c r="E3458" s="8" t="s">
        <v>3176</v>
      </c>
      <c r="F3458" s="2" t="s">
        <v>447</v>
      </c>
      <c r="G3458" s="19" t="s">
        <v>3189</v>
      </c>
      <c r="H3458" s="2"/>
      <c r="I3458" s="8" t="s">
        <v>3305</v>
      </c>
      <c r="J3458" s="2"/>
      <c r="K3458" s="2">
        <v>24654</v>
      </c>
      <c r="L3458" s="8" t="s">
        <v>6770</v>
      </c>
      <c r="M3458" s="2">
        <v>45</v>
      </c>
      <c r="N3458" s="8" t="s">
        <v>6771</v>
      </c>
      <c r="O3458" s="8" t="str">
        <f t="shared" ref="O3458:O3472" si="327">HYPERLINK("https://seichotoushi-hojo.jp/assets/pdf/koufu_3_4ji/outline_163.pdf","PDFを開く")</f>
        <v>PDFを開く</v>
      </c>
      <c r="P3458" s="8" t="s">
        <v>2765</v>
      </c>
    </row>
    <row r="3459" spans="1:16" ht="33.950000000000003" customHeight="1">
      <c r="A3459" s="5" t="s">
        <v>2758</v>
      </c>
      <c r="B3459" s="5" t="s">
        <v>2430</v>
      </c>
      <c r="C3459" s="9" t="s">
        <v>2759</v>
      </c>
      <c r="D3459" s="5">
        <v>2</v>
      </c>
      <c r="E3459" s="9" t="s">
        <v>3176</v>
      </c>
      <c r="F3459" s="5" t="s">
        <v>447</v>
      </c>
      <c r="G3459" s="19" t="s">
        <v>3189</v>
      </c>
      <c r="H3459" s="5"/>
      <c r="I3459" s="9" t="s">
        <v>3305</v>
      </c>
      <c r="J3459" s="5"/>
      <c r="K3459" s="5">
        <v>2</v>
      </c>
      <c r="L3459" s="9" t="s">
        <v>4153</v>
      </c>
      <c r="M3459" s="5">
        <v>45</v>
      </c>
      <c r="N3459" s="9" t="s">
        <v>6771</v>
      </c>
      <c r="O3459" s="9" t="str">
        <f t="shared" si="327"/>
        <v>PDFを開く</v>
      </c>
      <c r="P3459" s="9" t="s">
        <v>2765</v>
      </c>
    </row>
    <row r="3460" spans="1:16" ht="33.950000000000003" customHeight="1">
      <c r="A3460" s="2" t="s">
        <v>2758</v>
      </c>
      <c r="B3460" s="2" t="s">
        <v>2430</v>
      </c>
      <c r="C3460" s="8" t="s">
        <v>2759</v>
      </c>
      <c r="D3460" s="2">
        <v>2</v>
      </c>
      <c r="E3460" s="8" t="s">
        <v>3176</v>
      </c>
      <c r="F3460" s="2" t="s">
        <v>447</v>
      </c>
      <c r="G3460" s="19" t="s">
        <v>3189</v>
      </c>
      <c r="H3460" s="2"/>
      <c r="I3460" s="8" t="s">
        <v>3302</v>
      </c>
      <c r="J3460" s="2"/>
      <c r="K3460" s="2">
        <v>8056</v>
      </c>
      <c r="L3460" s="8" t="s">
        <v>6772</v>
      </c>
      <c r="M3460" s="2">
        <v>45</v>
      </c>
      <c r="N3460" s="8" t="s">
        <v>6771</v>
      </c>
      <c r="O3460" s="8" t="str">
        <f t="shared" si="327"/>
        <v>PDFを開く</v>
      </c>
      <c r="P3460" s="8" t="s">
        <v>2765</v>
      </c>
    </row>
    <row r="3461" spans="1:16" ht="33.950000000000003" customHeight="1">
      <c r="A3461" s="5" t="s">
        <v>2758</v>
      </c>
      <c r="B3461" s="5" t="s">
        <v>2430</v>
      </c>
      <c r="C3461" s="9" t="s">
        <v>2759</v>
      </c>
      <c r="D3461" s="5">
        <v>2</v>
      </c>
      <c r="E3461" s="9" t="s">
        <v>3184</v>
      </c>
      <c r="F3461" s="5" t="s">
        <v>447</v>
      </c>
      <c r="G3461" s="19" t="s">
        <v>3189</v>
      </c>
      <c r="H3461" s="5" t="s">
        <v>3178</v>
      </c>
      <c r="I3461" s="9" t="s">
        <v>3305</v>
      </c>
      <c r="J3461" s="5"/>
      <c r="K3461" s="5">
        <v>6282</v>
      </c>
      <c r="L3461" s="9" t="s">
        <v>6773</v>
      </c>
      <c r="M3461" s="5">
        <v>6</v>
      </c>
      <c r="N3461" s="9" t="s">
        <v>6774</v>
      </c>
      <c r="O3461" s="9" t="str">
        <f t="shared" si="327"/>
        <v>PDFを開く</v>
      </c>
      <c r="P3461" s="9" t="s">
        <v>2765</v>
      </c>
    </row>
    <row r="3462" spans="1:16" ht="33.950000000000003" customHeight="1">
      <c r="A3462" s="2" t="s">
        <v>2758</v>
      </c>
      <c r="B3462" s="2" t="s">
        <v>2430</v>
      </c>
      <c r="C3462" s="8" t="s">
        <v>2759</v>
      </c>
      <c r="D3462" s="2">
        <v>2</v>
      </c>
      <c r="E3462" s="8" t="s">
        <v>3184</v>
      </c>
      <c r="F3462" s="2" t="s">
        <v>447</v>
      </c>
      <c r="G3462" s="19" t="s">
        <v>3189</v>
      </c>
      <c r="H3462" s="2" t="s">
        <v>3178</v>
      </c>
      <c r="I3462" s="8" t="s">
        <v>3305</v>
      </c>
      <c r="J3462" s="2"/>
      <c r="K3462" s="2">
        <v>4</v>
      </c>
      <c r="L3462" s="8" t="s">
        <v>3621</v>
      </c>
      <c r="M3462" s="2">
        <v>6</v>
      </c>
      <c r="N3462" s="8" t="s">
        <v>6774</v>
      </c>
      <c r="O3462" s="8" t="str">
        <f t="shared" si="327"/>
        <v>PDFを開く</v>
      </c>
      <c r="P3462" s="8" t="s">
        <v>2765</v>
      </c>
    </row>
    <row r="3463" spans="1:16" ht="33.950000000000003" customHeight="1">
      <c r="A3463" s="5" t="s">
        <v>2758</v>
      </c>
      <c r="B3463" s="5" t="s">
        <v>2430</v>
      </c>
      <c r="C3463" s="9" t="s">
        <v>2759</v>
      </c>
      <c r="D3463" s="5">
        <v>2</v>
      </c>
      <c r="E3463" s="9" t="s">
        <v>3184</v>
      </c>
      <c r="F3463" s="5" t="s">
        <v>447</v>
      </c>
      <c r="G3463" s="19" t="s">
        <v>3189</v>
      </c>
      <c r="H3463" s="5" t="s">
        <v>3178</v>
      </c>
      <c r="I3463" s="9" t="s">
        <v>3302</v>
      </c>
      <c r="J3463" s="5"/>
      <c r="K3463" s="5">
        <v>5221</v>
      </c>
      <c r="L3463" s="9" t="s">
        <v>6775</v>
      </c>
      <c r="M3463" s="5">
        <v>6</v>
      </c>
      <c r="N3463" s="9" t="s">
        <v>6774</v>
      </c>
      <c r="O3463" s="9" t="str">
        <f t="shared" si="327"/>
        <v>PDFを開く</v>
      </c>
      <c r="P3463" s="9" t="s">
        <v>2765</v>
      </c>
    </row>
    <row r="3464" spans="1:16" ht="33.950000000000003" customHeight="1">
      <c r="A3464" s="2" t="s">
        <v>2758</v>
      </c>
      <c r="B3464" s="2" t="s">
        <v>2430</v>
      </c>
      <c r="C3464" s="8" t="s">
        <v>2759</v>
      </c>
      <c r="D3464" s="2">
        <v>2</v>
      </c>
      <c r="E3464" s="8" t="s">
        <v>3188</v>
      </c>
      <c r="F3464" s="2" t="s">
        <v>447</v>
      </c>
      <c r="G3464" s="19" t="s">
        <v>3189</v>
      </c>
      <c r="H3464" s="2"/>
      <c r="I3464" s="8"/>
      <c r="J3464" s="2"/>
      <c r="K3464" s="2"/>
      <c r="L3464" s="8"/>
      <c r="M3464" s="2">
        <v>6</v>
      </c>
      <c r="N3464" s="8" t="s">
        <v>6776</v>
      </c>
      <c r="O3464" s="8" t="str">
        <f t="shared" si="327"/>
        <v>PDFを開く</v>
      </c>
      <c r="P3464" s="8" t="s">
        <v>2765</v>
      </c>
    </row>
    <row r="3465" spans="1:16" ht="33.950000000000003" customHeight="1">
      <c r="A3465" s="5" t="s">
        <v>2758</v>
      </c>
      <c r="B3465" s="5" t="s">
        <v>2430</v>
      </c>
      <c r="C3465" s="9" t="s">
        <v>2759</v>
      </c>
      <c r="D3465" s="5">
        <v>2</v>
      </c>
      <c r="E3465" s="9" t="s">
        <v>3191</v>
      </c>
      <c r="F3465" s="5" t="s">
        <v>2513</v>
      </c>
      <c r="G3465" s="5" t="s">
        <v>3177</v>
      </c>
      <c r="H3465" s="5"/>
      <c r="I3465" s="9" t="s">
        <v>3302</v>
      </c>
      <c r="J3465" s="5"/>
      <c r="K3465" s="5">
        <v>136</v>
      </c>
      <c r="L3465" s="9" t="s">
        <v>3999</v>
      </c>
      <c r="M3465" s="5"/>
      <c r="N3465" s="9" t="s">
        <v>6777</v>
      </c>
      <c r="O3465" s="9" t="str">
        <f t="shared" si="327"/>
        <v>PDFを開く</v>
      </c>
      <c r="P3465" s="9" t="s">
        <v>2765</v>
      </c>
    </row>
    <row r="3466" spans="1:16" ht="33.950000000000003" customHeight="1">
      <c r="A3466" s="2" t="s">
        <v>2758</v>
      </c>
      <c r="B3466" s="2" t="s">
        <v>2430</v>
      </c>
      <c r="C3466" s="8" t="s">
        <v>2759</v>
      </c>
      <c r="D3466" s="2">
        <v>2</v>
      </c>
      <c r="E3466" s="8" t="s">
        <v>3191</v>
      </c>
      <c r="F3466" s="2" t="s">
        <v>2513</v>
      </c>
      <c r="G3466" s="2" t="s">
        <v>3177</v>
      </c>
      <c r="H3466" s="2"/>
      <c r="I3466" s="8" t="s">
        <v>3305</v>
      </c>
      <c r="J3466" s="2"/>
      <c r="K3466" s="2">
        <v>142</v>
      </c>
      <c r="L3466" s="8" t="s">
        <v>6778</v>
      </c>
      <c r="M3466" s="2"/>
      <c r="N3466" s="8" t="s">
        <v>6777</v>
      </c>
      <c r="O3466" s="8" t="str">
        <f t="shared" si="327"/>
        <v>PDFを開く</v>
      </c>
      <c r="P3466" s="8" t="s">
        <v>2765</v>
      </c>
    </row>
    <row r="3467" spans="1:16" ht="33.950000000000003" customHeight="1">
      <c r="A3467" s="5" t="s">
        <v>2758</v>
      </c>
      <c r="B3467" s="5" t="s">
        <v>2430</v>
      </c>
      <c r="C3467" s="9" t="s">
        <v>2759</v>
      </c>
      <c r="D3467" s="5">
        <v>2</v>
      </c>
      <c r="E3467" s="9" t="s">
        <v>3176</v>
      </c>
      <c r="F3467" s="5" t="s">
        <v>86</v>
      </c>
      <c r="G3467" s="5" t="s">
        <v>3177</v>
      </c>
      <c r="H3467" s="5"/>
      <c r="I3467" s="9" t="s">
        <v>5942</v>
      </c>
      <c r="J3467" s="5"/>
      <c r="K3467" s="5">
        <v>8056</v>
      </c>
      <c r="L3467" s="9" t="s">
        <v>6779</v>
      </c>
      <c r="M3467" s="5">
        <v>45.2</v>
      </c>
      <c r="N3467" s="9" t="s">
        <v>6780</v>
      </c>
      <c r="O3467" s="9" t="str">
        <f t="shared" si="327"/>
        <v>PDFを開く</v>
      </c>
      <c r="P3467" s="9" t="s">
        <v>2765</v>
      </c>
    </row>
    <row r="3468" spans="1:16" ht="33.950000000000003" customHeight="1">
      <c r="A3468" s="2" t="s">
        <v>2758</v>
      </c>
      <c r="B3468" s="2" t="s">
        <v>2430</v>
      </c>
      <c r="C3468" s="8" t="s">
        <v>2759</v>
      </c>
      <c r="D3468" s="2">
        <v>2</v>
      </c>
      <c r="E3468" s="8" t="s">
        <v>3176</v>
      </c>
      <c r="F3468" s="2" t="s">
        <v>86</v>
      </c>
      <c r="G3468" s="2" t="s">
        <v>3177</v>
      </c>
      <c r="H3468" s="2"/>
      <c r="I3468" s="8" t="s">
        <v>5945</v>
      </c>
      <c r="J3468" s="2"/>
      <c r="K3468" s="2">
        <v>24654</v>
      </c>
      <c r="L3468" s="8" t="s">
        <v>6781</v>
      </c>
      <c r="M3468" s="2">
        <v>45.2</v>
      </c>
      <c r="N3468" s="8" t="s">
        <v>6780</v>
      </c>
      <c r="O3468" s="8" t="str">
        <f t="shared" si="327"/>
        <v>PDFを開く</v>
      </c>
      <c r="P3468" s="8" t="s">
        <v>2765</v>
      </c>
    </row>
    <row r="3469" spans="1:16" ht="33.950000000000003" customHeight="1">
      <c r="A3469" s="5" t="s">
        <v>2758</v>
      </c>
      <c r="B3469" s="5" t="s">
        <v>2430</v>
      </c>
      <c r="C3469" s="9" t="s">
        <v>2759</v>
      </c>
      <c r="D3469" s="5">
        <v>2</v>
      </c>
      <c r="E3469" s="9" t="s">
        <v>3184</v>
      </c>
      <c r="F3469" s="5" t="s">
        <v>86</v>
      </c>
      <c r="G3469" s="5" t="s">
        <v>3177</v>
      </c>
      <c r="H3469" s="5"/>
      <c r="I3469" s="9" t="s">
        <v>5942</v>
      </c>
      <c r="J3469" s="5"/>
      <c r="K3469" s="5">
        <v>5221</v>
      </c>
      <c r="L3469" s="9" t="s">
        <v>6782</v>
      </c>
      <c r="M3469" s="5">
        <v>6.4</v>
      </c>
      <c r="N3469" s="9" t="s">
        <v>6783</v>
      </c>
      <c r="O3469" s="9" t="str">
        <f t="shared" si="327"/>
        <v>PDFを開く</v>
      </c>
      <c r="P3469" s="9" t="s">
        <v>2765</v>
      </c>
    </row>
    <row r="3470" spans="1:16" ht="33.950000000000003" customHeight="1">
      <c r="A3470" s="2" t="s">
        <v>2758</v>
      </c>
      <c r="B3470" s="2" t="s">
        <v>2430</v>
      </c>
      <c r="C3470" s="8" t="s">
        <v>2759</v>
      </c>
      <c r="D3470" s="2">
        <v>2</v>
      </c>
      <c r="E3470" s="8" t="s">
        <v>3184</v>
      </c>
      <c r="F3470" s="2" t="s">
        <v>86</v>
      </c>
      <c r="G3470" s="2" t="s">
        <v>3177</v>
      </c>
      <c r="H3470" s="2"/>
      <c r="I3470" s="8" t="s">
        <v>5945</v>
      </c>
      <c r="J3470" s="2"/>
      <c r="K3470" s="2">
        <v>6282</v>
      </c>
      <c r="L3470" s="8" t="s">
        <v>6784</v>
      </c>
      <c r="M3470" s="2">
        <v>6.4</v>
      </c>
      <c r="N3470" s="8" t="s">
        <v>6783</v>
      </c>
      <c r="O3470" s="8" t="str">
        <f t="shared" si="327"/>
        <v>PDFを開く</v>
      </c>
      <c r="P3470" s="8" t="s">
        <v>2765</v>
      </c>
    </row>
    <row r="3471" spans="1:16" ht="33.950000000000003" customHeight="1">
      <c r="A3471" s="5" t="s">
        <v>2758</v>
      </c>
      <c r="B3471" s="5" t="s">
        <v>2430</v>
      </c>
      <c r="C3471" s="9" t="s">
        <v>2759</v>
      </c>
      <c r="D3471" s="5">
        <v>2</v>
      </c>
      <c r="E3471" s="9" t="s">
        <v>3191</v>
      </c>
      <c r="F3471" s="5" t="s">
        <v>2513</v>
      </c>
      <c r="G3471" s="5" t="s">
        <v>3177</v>
      </c>
      <c r="H3471" s="5"/>
      <c r="I3471" s="9" t="s">
        <v>5942</v>
      </c>
      <c r="J3471" s="5"/>
      <c r="K3471" s="5">
        <v>136</v>
      </c>
      <c r="L3471" s="9" t="s">
        <v>3999</v>
      </c>
      <c r="M3471" s="5"/>
      <c r="N3471" s="9" t="s">
        <v>6785</v>
      </c>
      <c r="O3471" s="9" t="str">
        <f t="shared" si="327"/>
        <v>PDFを開く</v>
      </c>
      <c r="P3471" s="9" t="s">
        <v>2765</v>
      </c>
    </row>
    <row r="3472" spans="1:16" ht="33.950000000000003" customHeight="1">
      <c r="A3472" s="2" t="s">
        <v>2758</v>
      </c>
      <c r="B3472" s="2" t="s">
        <v>2430</v>
      </c>
      <c r="C3472" s="8" t="s">
        <v>2759</v>
      </c>
      <c r="D3472" s="2">
        <v>2</v>
      </c>
      <c r="E3472" s="8" t="s">
        <v>3191</v>
      </c>
      <c r="F3472" s="2" t="s">
        <v>2513</v>
      </c>
      <c r="G3472" s="2" t="s">
        <v>3177</v>
      </c>
      <c r="H3472" s="2"/>
      <c r="I3472" s="8" t="s">
        <v>5945</v>
      </c>
      <c r="J3472" s="2"/>
      <c r="K3472" s="2">
        <v>142</v>
      </c>
      <c r="L3472" s="8" t="s">
        <v>6778</v>
      </c>
      <c r="M3472" s="2"/>
      <c r="N3472" s="8" t="s">
        <v>6785</v>
      </c>
      <c r="O3472" s="8" t="str">
        <f t="shared" si="327"/>
        <v>PDFを開く</v>
      </c>
      <c r="P3472" s="8" t="s">
        <v>2765</v>
      </c>
    </row>
    <row r="3473" spans="1:16" ht="33.950000000000003" customHeight="1">
      <c r="A3473" s="5" t="s">
        <v>2766</v>
      </c>
      <c r="B3473" s="5" t="s">
        <v>2430</v>
      </c>
      <c r="C3473" s="9" t="s">
        <v>2767</v>
      </c>
      <c r="D3473" s="5">
        <v>2</v>
      </c>
      <c r="E3473" s="9" t="s">
        <v>3176</v>
      </c>
      <c r="F3473" s="5" t="s">
        <v>447</v>
      </c>
      <c r="G3473" s="5" t="s">
        <v>3177</v>
      </c>
      <c r="H3473" s="5" t="s">
        <v>3178</v>
      </c>
      <c r="I3473" s="9" t="s">
        <v>3302</v>
      </c>
      <c r="J3473" s="5"/>
      <c r="K3473" s="5">
        <v>6483</v>
      </c>
      <c r="L3473" s="9" t="s">
        <v>6786</v>
      </c>
      <c r="M3473" s="5">
        <v>29.1</v>
      </c>
      <c r="N3473" s="9" t="s">
        <v>6787</v>
      </c>
      <c r="O3473" s="9" t="str">
        <f t="shared" ref="O3473:O3483" si="328">HYPERLINK("https://seichotoushi-hojo.jp/assets/pdf/koufu_3_4ji/outline_164.pdf","PDFを開く")</f>
        <v>PDFを開く</v>
      </c>
      <c r="P3473" s="9" t="s">
        <v>2772</v>
      </c>
    </row>
    <row r="3474" spans="1:16" ht="33.950000000000003" customHeight="1">
      <c r="A3474" s="2" t="s">
        <v>2766</v>
      </c>
      <c r="B3474" s="2" t="s">
        <v>2430</v>
      </c>
      <c r="C3474" s="8" t="s">
        <v>2767</v>
      </c>
      <c r="D3474" s="2">
        <v>2</v>
      </c>
      <c r="E3474" s="8" t="s">
        <v>3176</v>
      </c>
      <c r="F3474" s="2" t="s">
        <v>447</v>
      </c>
      <c r="G3474" s="2" t="s">
        <v>3177</v>
      </c>
      <c r="H3474" s="2" t="s">
        <v>3178</v>
      </c>
      <c r="I3474" s="8" t="s">
        <v>3305</v>
      </c>
      <c r="J3474" s="2"/>
      <c r="K3474" s="2">
        <v>13953</v>
      </c>
      <c r="L3474" s="8" t="s">
        <v>6788</v>
      </c>
      <c r="M3474" s="2">
        <v>29.1</v>
      </c>
      <c r="N3474" s="8" t="s">
        <v>6787</v>
      </c>
      <c r="O3474" s="8" t="str">
        <f t="shared" si="328"/>
        <v>PDFを開く</v>
      </c>
      <c r="P3474" s="8" t="s">
        <v>2772</v>
      </c>
    </row>
    <row r="3475" spans="1:16" ht="33.950000000000003" customHeight="1">
      <c r="A3475" s="5" t="s">
        <v>2766</v>
      </c>
      <c r="B3475" s="5" t="s">
        <v>2430</v>
      </c>
      <c r="C3475" s="9" t="s">
        <v>2767</v>
      </c>
      <c r="D3475" s="5">
        <v>2</v>
      </c>
      <c r="E3475" s="9" t="s">
        <v>3184</v>
      </c>
      <c r="F3475" s="5" t="s">
        <v>447</v>
      </c>
      <c r="G3475" s="5" t="s">
        <v>3177</v>
      </c>
      <c r="H3475" s="5" t="s">
        <v>3178</v>
      </c>
      <c r="I3475" s="9" t="s">
        <v>3302</v>
      </c>
      <c r="J3475" s="5"/>
      <c r="K3475" s="5">
        <v>4500</v>
      </c>
      <c r="L3475" s="9" t="s">
        <v>6789</v>
      </c>
      <c r="M3475" s="5">
        <v>6</v>
      </c>
      <c r="N3475" s="9" t="s">
        <v>6790</v>
      </c>
      <c r="O3475" s="9" t="str">
        <f t="shared" si="328"/>
        <v>PDFを開く</v>
      </c>
      <c r="P3475" s="9" t="s">
        <v>2772</v>
      </c>
    </row>
    <row r="3476" spans="1:16" ht="33.950000000000003" customHeight="1">
      <c r="A3476" s="2" t="s">
        <v>2766</v>
      </c>
      <c r="B3476" s="2" t="s">
        <v>2430</v>
      </c>
      <c r="C3476" s="8" t="s">
        <v>2767</v>
      </c>
      <c r="D3476" s="2">
        <v>2</v>
      </c>
      <c r="E3476" s="8" t="s">
        <v>3184</v>
      </c>
      <c r="F3476" s="2" t="s">
        <v>447</v>
      </c>
      <c r="G3476" s="2" t="s">
        <v>3177</v>
      </c>
      <c r="H3476" s="2" t="s">
        <v>3178</v>
      </c>
      <c r="I3476" s="8" t="s">
        <v>3305</v>
      </c>
      <c r="J3476" s="2"/>
      <c r="K3476" s="2">
        <v>5360</v>
      </c>
      <c r="L3476" s="8" t="s">
        <v>6791</v>
      </c>
      <c r="M3476" s="2">
        <v>6</v>
      </c>
      <c r="N3476" s="8" t="s">
        <v>6790</v>
      </c>
      <c r="O3476" s="8" t="str">
        <f t="shared" si="328"/>
        <v>PDFを開く</v>
      </c>
      <c r="P3476" s="8" t="s">
        <v>2772</v>
      </c>
    </row>
    <row r="3477" spans="1:16" ht="33.950000000000003" customHeight="1">
      <c r="A3477" s="5" t="s">
        <v>2766</v>
      </c>
      <c r="B3477" s="5" t="s">
        <v>2430</v>
      </c>
      <c r="C3477" s="9" t="s">
        <v>2767</v>
      </c>
      <c r="D3477" s="5">
        <v>2</v>
      </c>
      <c r="E3477" s="9" t="s">
        <v>3188</v>
      </c>
      <c r="F3477" s="5" t="s">
        <v>447</v>
      </c>
      <c r="G3477" s="19" t="s">
        <v>3189</v>
      </c>
      <c r="H3477" s="5"/>
      <c r="I3477" s="9"/>
      <c r="J3477" s="5"/>
      <c r="K3477" s="5"/>
      <c r="L3477" s="9"/>
      <c r="M3477" s="5">
        <v>6</v>
      </c>
      <c r="N3477" s="9" t="s">
        <v>6792</v>
      </c>
      <c r="O3477" s="9" t="str">
        <f t="shared" si="328"/>
        <v>PDFを開く</v>
      </c>
      <c r="P3477" s="9" t="s">
        <v>2772</v>
      </c>
    </row>
    <row r="3478" spans="1:16" ht="33.950000000000003" customHeight="1">
      <c r="A3478" s="2" t="s">
        <v>2766</v>
      </c>
      <c r="B3478" s="2" t="s">
        <v>2430</v>
      </c>
      <c r="C3478" s="8" t="s">
        <v>2767</v>
      </c>
      <c r="D3478" s="2">
        <v>2</v>
      </c>
      <c r="E3478" s="8" t="s">
        <v>3191</v>
      </c>
      <c r="F3478" s="2" t="s">
        <v>2513</v>
      </c>
      <c r="G3478" s="2" t="s">
        <v>3177</v>
      </c>
      <c r="H3478" s="2"/>
      <c r="I3478" s="8" t="s">
        <v>3302</v>
      </c>
      <c r="J3478" s="2"/>
      <c r="K3478" s="2">
        <v>97</v>
      </c>
      <c r="L3478" s="8" t="s">
        <v>6793</v>
      </c>
      <c r="M3478" s="2"/>
      <c r="N3478" s="8" t="s">
        <v>6794</v>
      </c>
      <c r="O3478" s="8" t="str">
        <f t="shared" si="328"/>
        <v>PDFを開く</v>
      </c>
      <c r="P3478" s="8" t="s">
        <v>2772</v>
      </c>
    </row>
    <row r="3479" spans="1:16" ht="33.950000000000003" customHeight="1">
      <c r="A3479" s="5" t="s">
        <v>2766</v>
      </c>
      <c r="B3479" s="5" t="s">
        <v>2430</v>
      </c>
      <c r="C3479" s="9" t="s">
        <v>2767</v>
      </c>
      <c r="D3479" s="5">
        <v>2</v>
      </c>
      <c r="E3479" s="9" t="s">
        <v>3191</v>
      </c>
      <c r="F3479" s="5" t="s">
        <v>2513</v>
      </c>
      <c r="G3479" s="5" t="s">
        <v>3177</v>
      </c>
      <c r="H3479" s="5"/>
      <c r="I3479" s="9" t="s">
        <v>3305</v>
      </c>
      <c r="J3479" s="5"/>
      <c r="K3479" s="5">
        <v>127</v>
      </c>
      <c r="L3479" s="9" t="s">
        <v>4742</v>
      </c>
      <c r="M3479" s="5"/>
      <c r="N3479" s="9" t="s">
        <v>6794</v>
      </c>
      <c r="O3479" s="9" t="str">
        <f t="shared" si="328"/>
        <v>PDFを開く</v>
      </c>
      <c r="P3479" s="9" t="s">
        <v>2772</v>
      </c>
    </row>
    <row r="3480" spans="1:16" ht="33.950000000000003" customHeight="1">
      <c r="A3480" s="2" t="s">
        <v>2766</v>
      </c>
      <c r="B3480" s="2" t="s">
        <v>2430</v>
      </c>
      <c r="C3480" s="8" t="s">
        <v>2767</v>
      </c>
      <c r="D3480" s="2">
        <v>2</v>
      </c>
      <c r="E3480" s="8" t="s">
        <v>3191</v>
      </c>
      <c r="F3480" s="2" t="s">
        <v>2513</v>
      </c>
      <c r="G3480" s="2" t="s">
        <v>3177</v>
      </c>
      <c r="H3480" s="2"/>
      <c r="I3480" s="8" t="s">
        <v>5351</v>
      </c>
      <c r="J3480" s="2">
        <v>2028</v>
      </c>
      <c r="K3480" s="2">
        <v>97</v>
      </c>
      <c r="L3480" s="8" t="s">
        <v>6793</v>
      </c>
      <c r="M3480" s="2"/>
      <c r="N3480" s="8" t="s">
        <v>6795</v>
      </c>
      <c r="O3480" s="8" t="str">
        <f t="shared" si="328"/>
        <v>PDFを開く</v>
      </c>
      <c r="P3480" s="8" t="s">
        <v>2772</v>
      </c>
    </row>
    <row r="3481" spans="1:16" ht="33.950000000000003" customHeight="1">
      <c r="A3481" s="5" t="s">
        <v>2766</v>
      </c>
      <c r="B3481" s="5" t="s">
        <v>2430</v>
      </c>
      <c r="C3481" s="9" t="s">
        <v>2767</v>
      </c>
      <c r="D3481" s="5">
        <v>2</v>
      </c>
      <c r="E3481" s="9" t="s">
        <v>3191</v>
      </c>
      <c r="F3481" s="5" t="s">
        <v>2513</v>
      </c>
      <c r="G3481" s="5" t="s">
        <v>3177</v>
      </c>
      <c r="H3481" s="5"/>
      <c r="I3481" s="9" t="s">
        <v>5353</v>
      </c>
      <c r="J3481" s="5">
        <v>2031</v>
      </c>
      <c r="K3481" s="5">
        <v>127</v>
      </c>
      <c r="L3481" s="9" t="s">
        <v>4742</v>
      </c>
      <c r="M3481" s="5"/>
      <c r="N3481" s="9" t="s">
        <v>6795</v>
      </c>
      <c r="O3481" s="9" t="str">
        <f t="shared" si="328"/>
        <v>PDFを開く</v>
      </c>
      <c r="P3481" s="9" t="s">
        <v>2772</v>
      </c>
    </row>
    <row r="3482" spans="1:16" ht="33.950000000000003" customHeight="1">
      <c r="A3482" s="2" t="s">
        <v>2766</v>
      </c>
      <c r="B3482" s="2" t="s">
        <v>2430</v>
      </c>
      <c r="C3482" s="8" t="s">
        <v>2767</v>
      </c>
      <c r="D3482" s="2">
        <v>2</v>
      </c>
      <c r="E3482" s="8" t="s">
        <v>3188</v>
      </c>
      <c r="F3482" s="2" t="s">
        <v>447</v>
      </c>
      <c r="G3482" s="2" t="s">
        <v>3177</v>
      </c>
      <c r="H3482" s="2"/>
      <c r="I3482" s="8" t="s">
        <v>6796</v>
      </c>
      <c r="J3482" s="2"/>
      <c r="K3482" s="2"/>
      <c r="L3482" s="8" t="s">
        <v>3211</v>
      </c>
      <c r="M3482" s="2">
        <v>6</v>
      </c>
      <c r="N3482" s="8" t="s">
        <v>6473</v>
      </c>
      <c r="O3482" s="8" t="str">
        <f t="shared" si="328"/>
        <v>PDFを開く</v>
      </c>
      <c r="P3482" s="8" t="s">
        <v>2772</v>
      </c>
    </row>
    <row r="3483" spans="1:16" ht="33.950000000000003" customHeight="1">
      <c r="A3483" s="5" t="s">
        <v>2766</v>
      </c>
      <c r="B3483" s="5" t="s">
        <v>2430</v>
      </c>
      <c r="C3483" s="9" t="s">
        <v>2767</v>
      </c>
      <c r="D3483" s="5">
        <v>2</v>
      </c>
      <c r="E3483" s="9" t="s">
        <v>3188</v>
      </c>
      <c r="F3483" s="5" t="s">
        <v>447</v>
      </c>
      <c r="G3483" s="5" t="s">
        <v>3177</v>
      </c>
      <c r="H3483" s="5"/>
      <c r="I3483" s="9" t="s">
        <v>6797</v>
      </c>
      <c r="J3483" s="5"/>
      <c r="K3483" s="5"/>
      <c r="L3483" s="9" t="s">
        <v>5378</v>
      </c>
      <c r="M3483" s="5">
        <v>6</v>
      </c>
      <c r="N3483" s="9" t="s">
        <v>6473</v>
      </c>
      <c r="O3483" s="9" t="str">
        <f t="shared" si="328"/>
        <v>PDFを開く</v>
      </c>
      <c r="P3483" s="9" t="s">
        <v>2772</v>
      </c>
    </row>
    <row r="3484" spans="1:16" ht="33.950000000000003" customHeight="1">
      <c r="A3484" s="2" t="s">
        <v>2773</v>
      </c>
      <c r="B3484" s="2" t="s">
        <v>2430</v>
      </c>
      <c r="C3484" s="8" t="s">
        <v>2774</v>
      </c>
      <c r="D3484" s="2">
        <v>2</v>
      </c>
      <c r="E3484" s="8" t="s">
        <v>3176</v>
      </c>
      <c r="F3484" s="2" t="s">
        <v>447</v>
      </c>
      <c r="G3484" s="2" t="s">
        <v>3177</v>
      </c>
      <c r="H3484" s="2" t="s">
        <v>3178</v>
      </c>
      <c r="I3484" s="8" t="s">
        <v>3302</v>
      </c>
      <c r="J3484" s="2"/>
      <c r="K3484" s="2">
        <v>24686</v>
      </c>
      <c r="L3484" s="8" t="s">
        <v>6798</v>
      </c>
      <c r="M3484" s="2">
        <v>35</v>
      </c>
      <c r="N3484" s="8" t="s">
        <v>6799</v>
      </c>
      <c r="O3484" s="8" t="str">
        <f t="shared" ref="O3484:O3490" si="329">HYPERLINK("https://seichotoushi-hojo.jp/assets/pdf/koufu_3_4ji/outline_165.pdf","PDFを開く")</f>
        <v>PDFを開く</v>
      </c>
      <c r="P3484" s="8" t="s">
        <v>2780</v>
      </c>
    </row>
    <row r="3485" spans="1:16" ht="33.950000000000003" customHeight="1">
      <c r="A3485" s="5" t="s">
        <v>2773</v>
      </c>
      <c r="B3485" s="5" t="s">
        <v>2430</v>
      </c>
      <c r="C3485" s="9" t="s">
        <v>2774</v>
      </c>
      <c r="D3485" s="5">
        <v>2</v>
      </c>
      <c r="E3485" s="9" t="s">
        <v>3176</v>
      </c>
      <c r="F3485" s="5" t="s">
        <v>447</v>
      </c>
      <c r="G3485" s="5" t="s">
        <v>3177</v>
      </c>
      <c r="H3485" s="5" t="s">
        <v>3178</v>
      </c>
      <c r="I3485" s="9" t="s">
        <v>3305</v>
      </c>
      <c r="J3485" s="5"/>
      <c r="K3485" s="5">
        <v>60676</v>
      </c>
      <c r="L3485" s="9" t="s">
        <v>6800</v>
      </c>
      <c r="M3485" s="5">
        <v>35</v>
      </c>
      <c r="N3485" s="9" t="s">
        <v>6799</v>
      </c>
      <c r="O3485" s="9" t="str">
        <f t="shared" si="329"/>
        <v>PDFを開く</v>
      </c>
      <c r="P3485" s="9" t="s">
        <v>2780</v>
      </c>
    </row>
    <row r="3486" spans="1:16" ht="33.950000000000003" customHeight="1">
      <c r="A3486" s="2" t="s">
        <v>2773</v>
      </c>
      <c r="B3486" s="2" t="s">
        <v>2430</v>
      </c>
      <c r="C3486" s="8" t="s">
        <v>2774</v>
      </c>
      <c r="D3486" s="2">
        <v>2</v>
      </c>
      <c r="E3486" s="8" t="s">
        <v>3184</v>
      </c>
      <c r="F3486" s="2" t="s">
        <v>447</v>
      </c>
      <c r="G3486" s="2" t="s">
        <v>3177</v>
      </c>
      <c r="H3486" s="2" t="s">
        <v>3178</v>
      </c>
      <c r="I3486" s="8" t="s">
        <v>3302</v>
      </c>
      <c r="J3486" s="2"/>
      <c r="K3486" s="2">
        <v>7187</v>
      </c>
      <c r="L3486" s="8" t="s">
        <v>6801</v>
      </c>
      <c r="M3486" s="2">
        <v>6.5</v>
      </c>
      <c r="N3486" s="8" t="s">
        <v>6802</v>
      </c>
      <c r="O3486" s="8" t="str">
        <f t="shared" si="329"/>
        <v>PDFを開く</v>
      </c>
      <c r="P3486" s="8" t="s">
        <v>2780</v>
      </c>
    </row>
    <row r="3487" spans="1:16" ht="33.950000000000003" customHeight="1">
      <c r="A3487" s="5" t="s">
        <v>2773</v>
      </c>
      <c r="B3487" s="5" t="s">
        <v>2430</v>
      </c>
      <c r="C3487" s="9" t="s">
        <v>2774</v>
      </c>
      <c r="D3487" s="5">
        <v>2</v>
      </c>
      <c r="E3487" s="9" t="s">
        <v>3184</v>
      </c>
      <c r="F3487" s="5" t="s">
        <v>447</v>
      </c>
      <c r="G3487" s="5" t="s">
        <v>3177</v>
      </c>
      <c r="H3487" s="5" t="s">
        <v>3178</v>
      </c>
      <c r="I3487" s="9" t="s">
        <v>3305</v>
      </c>
      <c r="J3487" s="5"/>
      <c r="K3487" s="5">
        <v>8676</v>
      </c>
      <c r="L3487" s="9" t="s">
        <v>6803</v>
      </c>
      <c r="M3487" s="5">
        <v>6.5</v>
      </c>
      <c r="N3487" s="9" t="s">
        <v>6802</v>
      </c>
      <c r="O3487" s="9" t="str">
        <f t="shared" si="329"/>
        <v>PDFを開く</v>
      </c>
      <c r="P3487" s="9" t="s">
        <v>2780</v>
      </c>
    </row>
    <row r="3488" spans="1:16" ht="33.950000000000003" customHeight="1">
      <c r="A3488" s="2" t="s">
        <v>2773</v>
      </c>
      <c r="B3488" s="2" t="s">
        <v>2430</v>
      </c>
      <c r="C3488" s="8" t="s">
        <v>2774</v>
      </c>
      <c r="D3488" s="2">
        <v>2</v>
      </c>
      <c r="E3488" s="8" t="s">
        <v>3188</v>
      </c>
      <c r="F3488" s="2" t="s">
        <v>447</v>
      </c>
      <c r="G3488" s="19" t="s">
        <v>3189</v>
      </c>
      <c r="H3488" s="2"/>
      <c r="I3488" s="8"/>
      <c r="J3488" s="2"/>
      <c r="K3488" s="2"/>
      <c r="L3488" s="8"/>
      <c r="M3488" s="2">
        <v>6.4</v>
      </c>
      <c r="N3488" s="8" t="s">
        <v>6804</v>
      </c>
      <c r="O3488" s="8" t="str">
        <f t="shared" si="329"/>
        <v>PDFを開く</v>
      </c>
      <c r="P3488" s="8" t="s">
        <v>2780</v>
      </c>
    </row>
    <row r="3489" spans="1:16" ht="33.950000000000003" customHeight="1">
      <c r="A3489" s="5" t="s">
        <v>2773</v>
      </c>
      <c r="B3489" s="5" t="s">
        <v>2430</v>
      </c>
      <c r="C3489" s="9" t="s">
        <v>2774</v>
      </c>
      <c r="D3489" s="5">
        <v>2</v>
      </c>
      <c r="E3489" s="9" t="s">
        <v>3191</v>
      </c>
      <c r="F3489" s="5" t="s">
        <v>2513</v>
      </c>
      <c r="G3489" s="5" t="s">
        <v>3177</v>
      </c>
      <c r="H3489" s="5"/>
      <c r="I3489" s="9" t="s">
        <v>3302</v>
      </c>
      <c r="J3489" s="5"/>
      <c r="K3489" s="5">
        <v>117</v>
      </c>
      <c r="L3489" s="9" t="s">
        <v>4727</v>
      </c>
      <c r="M3489" s="5"/>
      <c r="N3489" s="9" t="s">
        <v>6805</v>
      </c>
      <c r="O3489" s="9" t="str">
        <f t="shared" si="329"/>
        <v>PDFを開く</v>
      </c>
      <c r="P3489" s="9" t="s">
        <v>2780</v>
      </c>
    </row>
    <row r="3490" spans="1:16" ht="33.950000000000003" customHeight="1">
      <c r="A3490" s="2" t="s">
        <v>2773</v>
      </c>
      <c r="B3490" s="2" t="s">
        <v>2430</v>
      </c>
      <c r="C3490" s="8" t="s">
        <v>2774</v>
      </c>
      <c r="D3490" s="2">
        <v>2</v>
      </c>
      <c r="E3490" s="8" t="s">
        <v>3191</v>
      </c>
      <c r="F3490" s="2" t="s">
        <v>2513</v>
      </c>
      <c r="G3490" s="2" t="s">
        <v>3177</v>
      </c>
      <c r="H3490" s="2"/>
      <c r="I3490" s="8" t="s">
        <v>3305</v>
      </c>
      <c r="J3490" s="2"/>
      <c r="K3490" s="2">
        <v>134</v>
      </c>
      <c r="L3490" s="8" t="s">
        <v>6806</v>
      </c>
      <c r="M3490" s="2"/>
      <c r="N3490" s="8" t="s">
        <v>6805</v>
      </c>
      <c r="O3490" s="8" t="str">
        <f t="shared" si="329"/>
        <v>PDFを開く</v>
      </c>
      <c r="P3490" s="8" t="s">
        <v>2780</v>
      </c>
    </row>
    <row r="3491" spans="1:16" ht="33.950000000000003" customHeight="1">
      <c r="A3491" s="5" t="s">
        <v>2781</v>
      </c>
      <c r="B3491" s="5" t="s">
        <v>2430</v>
      </c>
      <c r="C3491" s="9" t="s">
        <v>2782</v>
      </c>
      <c r="D3491" s="5">
        <v>2</v>
      </c>
      <c r="E3491" s="9" t="s">
        <v>3176</v>
      </c>
      <c r="F3491" s="5" t="s">
        <v>447</v>
      </c>
      <c r="G3491" s="5" t="s">
        <v>3177</v>
      </c>
      <c r="H3491" s="5"/>
      <c r="I3491" s="9" t="s">
        <v>3302</v>
      </c>
      <c r="J3491" s="5"/>
      <c r="K3491" s="5">
        <v>6383</v>
      </c>
      <c r="L3491" s="9" t="s">
        <v>6807</v>
      </c>
      <c r="M3491" s="5">
        <v>10.3</v>
      </c>
      <c r="N3491" s="9" t="s">
        <v>6808</v>
      </c>
      <c r="O3491" s="9" t="str">
        <f t="shared" ref="O3491:O3499" si="330">HYPERLINK("https://seichotoushi-hojo.jp/assets/pdf/koufu_3_4ji/outline_166.pdf","PDFを開く")</f>
        <v>PDFを開く</v>
      </c>
      <c r="P3491" s="9" t="s">
        <v>2789</v>
      </c>
    </row>
    <row r="3492" spans="1:16" ht="33.950000000000003" customHeight="1">
      <c r="A3492" s="2" t="s">
        <v>2781</v>
      </c>
      <c r="B3492" s="2" t="s">
        <v>2430</v>
      </c>
      <c r="C3492" s="8" t="s">
        <v>2782</v>
      </c>
      <c r="D3492" s="2">
        <v>2</v>
      </c>
      <c r="E3492" s="8" t="s">
        <v>3176</v>
      </c>
      <c r="F3492" s="2" t="s">
        <v>447</v>
      </c>
      <c r="G3492" s="2" t="s">
        <v>3177</v>
      </c>
      <c r="H3492" s="2"/>
      <c r="I3492" s="8" t="s">
        <v>3305</v>
      </c>
      <c r="J3492" s="2"/>
      <c r="K3492" s="2">
        <v>8567</v>
      </c>
      <c r="L3492" s="8" t="s">
        <v>6809</v>
      </c>
      <c r="M3492" s="2">
        <v>10.3</v>
      </c>
      <c r="N3492" s="8" t="s">
        <v>6808</v>
      </c>
      <c r="O3492" s="8" t="str">
        <f t="shared" si="330"/>
        <v>PDFを開く</v>
      </c>
      <c r="P3492" s="8" t="s">
        <v>2789</v>
      </c>
    </row>
    <row r="3493" spans="1:16" ht="33.950000000000003" customHeight="1">
      <c r="A3493" s="5" t="s">
        <v>2781</v>
      </c>
      <c r="B3493" s="5" t="s">
        <v>2430</v>
      </c>
      <c r="C3493" s="9" t="s">
        <v>2782</v>
      </c>
      <c r="D3493" s="5">
        <v>2</v>
      </c>
      <c r="E3493" s="9" t="s">
        <v>3184</v>
      </c>
      <c r="F3493" s="5" t="s">
        <v>447</v>
      </c>
      <c r="G3493" s="5" t="s">
        <v>3177</v>
      </c>
      <c r="H3493" s="5"/>
      <c r="I3493" s="9" t="s">
        <v>3302</v>
      </c>
      <c r="J3493" s="5"/>
      <c r="K3493" s="5">
        <v>4536</v>
      </c>
      <c r="L3493" s="9" t="s">
        <v>6810</v>
      </c>
      <c r="M3493" s="5">
        <v>6.5</v>
      </c>
      <c r="N3493" s="9" t="s">
        <v>6811</v>
      </c>
      <c r="O3493" s="9" t="str">
        <f t="shared" si="330"/>
        <v>PDFを開く</v>
      </c>
      <c r="P3493" s="9" t="s">
        <v>2789</v>
      </c>
    </row>
    <row r="3494" spans="1:16" ht="33.950000000000003" customHeight="1">
      <c r="A3494" s="2" t="s">
        <v>2781</v>
      </c>
      <c r="B3494" s="2" t="s">
        <v>2430</v>
      </c>
      <c r="C3494" s="8" t="s">
        <v>2782</v>
      </c>
      <c r="D3494" s="2">
        <v>2</v>
      </c>
      <c r="E3494" s="8" t="s">
        <v>3184</v>
      </c>
      <c r="F3494" s="2" t="s">
        <v>447</v>
      </c>
      <c r="G3494" s="2" t="s">
        <v>3177</v>
      </c>
      <c r="H3494" s="2"/>
      <c r="I3494" s="8" t="s">
        <v>3305</v>
      </c>
      <c r="J3494" s="2"/>
      <c r="K3494" s="2">
        <v>5479</v>
      </c>
      <c r="L3494" s="8" t="s">
        <v>6812</v>
      </c>
      <c r="M3494" s="2">
        <v>6.5</v>
      </c>
      <c r="N3494" s="8" t="s">
        <v>6811</v>
      </c>
      <c r="O3494" s="8" t="str">
        <f t="shared" si="330"/>
        <v>PDFを開く</v>
      </c>
      <c r="P3494" s="8" t="s">
        <v>2789</v>
      </c>
    </row>
    <row r="3495" spans="1:16" ht="33.950000000000003" customHeight="1">
      <c r="A3495" s="5" t="s">
        <v>2781</v>
      </c>
      <c r="B3495" s="5" t="s">
        <v>2430</v>
      </c>
      <c r="C3495" s="9" t="s">
        <v>2782</v>
      </c>
      <c r="D3495" s="5">
        <v>2</v>
      </c>
      <c r="E3495" s="9" t="s">
        <v>3188</v>
      </c>
      <c r="F3495" s="5" t="s">
        <v>447</v>
      </c>
      <c r="G3495" s="19" t="s">
        <v>3189</v>
      </c>
      <c r="H3495" s="5"/>
      <c r="I3495" s="9"/>
      <c r="J3495" s="5"/>
      <c r="K3495" s="5"/>
      <c r="L3495" s="9"/>
      <c r="M3495" s="5">
        <v>6.5</v>
      </c>
      <c r="N3495" s="9" t="s">
        <v>6727</v>
      </c>
      <c r="O3495" s="9" t="str">
        <f t="shared" si="330"/>
        <v>PDFを開く</v>
      </c>
      <c r="P3495" s="9" t="s">
        <v>2789</v>
      </c>
    </row>
    <row r="3496" spans="1:16" ht="33.950000000000003" customHeight="1">
      <c r="A3496" s="2" t="s">
        <v>2781</v>
      </c>
      <c r="B3496" s="2" t="s">
        <v>2430</v>
      </c>
      <c r="C3496" s="8" t="s">
        <v>2782</v>
      </c>
      <c r="D3496" s="2">
        <v>2</v>
      </c>
      <c r="E3496" s="8" t="s">
        <v>3191</v>
      </c>
      <c r="F3496" s="2" t="s">
        <v>2513</v>
      </c>
      <c r="G3496" s="2" t="s">
        <v>3177</v>
      </c>
      <c r="H3496" s="2"/>
      <c r="I3496" s="8" t="s">
        <v>3302</v>
      </c>
      <c r="J3496" s="2"/>
      <c r="K3496" s="2">
        <v>697</v>
      </c>
      <c r="L3496" s="8" t="s">
        <v>6813</v>
      </c>
      <c r="M3496" s="2"/>
      <c r="N3496" s="8" t="s">
        <v>6814</v>
      </c>
      <c r="O3496" s="8" t="str">
        <f t="shared" si="330"/>
        <v>PDFを開く</v>
      </c>
      <c r="P3496" s="8" t="s">
        <v>2789</v>
      </c>
    </row>
    <row r="3497" spans="1:16" ht="33.950000000000003" customHeight="1">
      <c r="A3497" s="5" t="s">
        <v>2781</v>
      </c>
      <c r="B3497" s="5" t="s">
        <v>2430</v>
      </c>
      <c r="C3497" s="9" t="s">
        <v>2782</v>
      </c>
      <c r="D3497" s="5">
        <v>2</v>
      </c>
      <c r="E3497" s="9" t="s">
        <v>3191</v>
      </c>
      <c r="F3497" s="5" t="s">
        <v>2513</v>
      </c>
      <c r="G3497" s="5" t="s">
        <v>3177</v>
      </c>
      <c r="H3497" s="5"/>
      <c r="I3497" s="9" t="s">
        <v>3305</v>
      </c>
      <c r="J3497" s="5"/>
      <c r="K3497" s="5">
        <v>750</v>
      </c>
      <c r="L3497" s="9" t="s">
        <v>3298</v>
      </c>
      <c r="M3497" s="5"/>
      <c r="N3497" s="9" t="s">
        <v>6814</v>
      </c>
      <c r="O3497" s="9" t="str">
        <f t="shared" si="330"/>
        <v>PDFを開く</v>
      </c>
      <c r="P3497" s="9" t="s">
        <v>2789</v>
      </c>
    </row>
    <row r="3498" spans="1:16" ht="33.950000000000003" customHeight="1">
      <c r="A3498" s="2" t="s">
        <v>2781</v>
      </c>
      <c r="B3498" s="2" t="s">
        <v>2430</v>
      </c>
      <c r="C3498" s="8" t="s">
        <v>2782</v>
      </c>
      <c r="D3498" s="2">
        <v>2</v>
      </c>
      <c r="E3498" s="8" t="s">
        <v>3188</v>
      </c>
      <c r="F3498" s="2" t="s">
        <v>447</v>
      </c>
      <c r="G3498" s="2" t="s">
        <v>3177</v>
      </c>
      <c r="H3498" s="2"/>
      <c r="I3498" s="8" t="s">
        <v>6815</v>
      </c>
      <c r="J3498" s="2"/>
      <c r="K3498" s="2"/>
      <c r="L3498" s="8" t="s">
        <v>3211</v>
      </c>
      <c r="M3498" s="2">
        <v>6.5</v>
      </c>
      <c r="N3498" s="8" t="s">
        <v>6330</v>
      </c>
      <c r="O3498" s="8" t="str">
        <f t="shared" si="330"/>
        <v>PDFを開く</v>
      </c>
      <c r="P3498" s="8" t="s">
        <v>2789</v>
      </c>
    </row>
    <row r="3499" spans="1:16" ht="33.950000000000003" customHeight="1">
      <c r="A3499" s="5" t="s">
        <v>2781</v>
      </c>
      <c r="B3499" s="5" t="s">
        <v>2430</v>
      </c>
      <c r="C3499" s="9" t="s">
        <v>2782</v>
      </c>
      <c r="D3499" s="5">
        <v>2</v>
      </c>
      <c r="E3499" s="9" t="s">
        <v>3188</v>
      </c>
      <c r="F3499" s="5" t="s">
        <v>447</v>
      </c>
      <c r="G3499" s="5" t="s">
        <v>3177</v>
      </c>
      <c r="H3499" s="5"/>
      <c r="I3499" s="9" t="s">
        <v>6816</v>
      </c>
      <c r="J3499" s="5"/>
      <c r="K3499" s="5"/>
      <c r="L3499" s="9" t="s">
        <v>5447</v>
      </c>
      <c r="M3499" s="5">
        <v>6.5</v>
      </c>
      <c r="N3499" s="9" t="s">
        <v>6330</v>
      </c>
      <c r="O3499" s="9" t="str">
        <f t="shared" si="330"/>
        <v>PDFを開く</v>
      </c>
      <c r="P3499" s="9" t="s">
        <v>2789</v>
      </c>
    </row>
    <row r="3500" spans="1:16" ht="33.950000000000003" customHeight="1">
      <c r="A3500" s="2" t="s">
        <v>2790</v>
      </c>
      <c r="B3500" s="2" t="s">
        <v>2430</v>
      </c>
      <c r="C3500" s="8" t="s">
        <v>2791</v>
      </c>
      <c r="D3500" s="2">
        <v>2</v>
      </c>
      <c r="E3500" s="8" t="s">
        <v>3176</v>
      </c>
      <c r="F3500" s="2" t="s">
        <v>447</v>
      </c>
      <c r="G3500" s="2" t="s">
        <v>3177</v>
      </c>
      <c r="H3500" s="2"/>
      <c r="I3500" s="8" t="s">
        <v>3302</v>
      </c>
      <c r="J3500" s="2"/>
      <c r="K3500" s="2">
        <v>9544</v>
      </c>
      <c r="L3500" s="8" t="s">
        <v>6817</v>
      </c>
      <c r="M3500" s="2">
        <v>40.4</v>
      </c>
      <c r="N3500" s="8" t="s">
        <v>6818</v>
      </c>
      <c r="O3500" s="8" t="str">
        <f t="shared" ref="O3500:O3508" si="331">HYPERLINK("https://seichotoushi-hojo.jp/assets/pdf/koufu_3_4ji/outline_167.pdf","PDFを開く")</f>
        <v>PDFを開く</v>
      </c>
      <c r="P3500" s="8" t="s">
        <v>2797</v>
      </c>
    </row>
    <row r="3501" spans="1:16" ht="33.950000000000003" customHeight="1">
      <c r="A3501" s="5" t="s">
        <v>2790</v>
      </c>
      <c r="B3501" s="5" t="s">
        <v>2430</v>
      </c>
      <c r="C3501" s="9" t="s">
        <v>2791</v>
      </c>
      <c r="D3501" s="5">
        <v>2</v>
      </c>
      <c r="E3501" s="9" t="s">
        <v>3176</v>
      </c>
      <c r="F3501" s="5" t="s">
        <v>447</v>
      </c>
      <c r="G3501" s="5" t="s">
        <v>3177</v>
      </c>
      <c r="H3501" s="5"/>
      <c r="I3501" s="9" t="s">
        <v>3305</v>
      </c>
      <c r="J3501" s="5"/>
      <c r="K3501" s="5">
        <v>26440</v>
      </c>
      <c r="L3501" s="9" t="s">
        <v>6819</v>
      </c>
      <c r="M3501" s="5">
        <v>40.4</v>
      </c>
      <c r="N3501" s="9" t="s">
        <v>6818</v>
      </c>
      <c r="O3501" s="9" t="str">
        <f t="shared" si="331"/>
        <v>PDFを開く</v>
      </c>
      <c r="P3501" s="9" t="s">
        <v>2797</v>
      </c>
    </row>
    <row r="3502" spans="1:16" ht="33.950000000000003" customHeight="1">
      <c r="A3502" s="2" t="s">
        <v>2790</v>
      </c>
      <c r="B3502" s="2" t="s">
        <v>2430</v>
      </c>
      <c r="C3502" s="8" t="s">
        <v>2791</v>
      </c>
      <c r="D3502" s="2">
        <v>2</v>
      </c>
      <c r="E3502" s="8" t="s">
        <v>3184</v>
      </c>
      <c r="F3502" s="2" t="s">
        <v>447</v>
      </c>
      <c r="G3502" s="2" t="s">
        <v>3177</v>
      </c>
      <c r="H3502" s="2"/>
      <c r="I3502" s="8" t="s">
        <v>3302</v>
      </c>
      <c r="J3502" s="2"/>
      <c r="K3502" s="2">
        <v>6106</v>
      </c>
      <c r="L3502" s="8" t="s">
        <v>6820</v>
      </c>
      <c r="M3502" s="2">
        <v>6.5</v>
      </c>
      <c r="N3502" s="8" t="s">
        <v>6821</v>
      </c>
      <c r="O3502" s="8" t="str">
        <f t="shared" si="331"/>
        <v>PDFを開く</v>
      </c>
      <c r="P3502" s="8" t="s">
        <v>2797</v>
      </c>
    </row>
    <row r="3503" spans="1:16" ht="33.950000000000003" customHeight="1">
      <c r="A3503" s="5" t="s">
        <v>2790</v>
      </c>
      <c r="B3503" s="5" t="s">
        <v>2430</v>
      </c>
      <c r="C3503" s="9" t="s">
        <v>2791</v>
      </c>
      <c r="D3503" s="5">
        <v>2</v>
      </c>
      <c r="E3503" s="9" t="s">
        <v>3184</v>
      </c>
      <c r="F3503" s="5" t="s">
        <v>447</v>
      </c>
      <c r="G3503" s="5" t="s">
        <v>3177</v>
      </c>
      <c r="H3503" s="5"/>
      <c r="I3503" s="9" t="s">
        <v>3305</v>
      </c>
      <c r="J3503" s="5"/>
      <c r="K3503" s="5">
        <v>7375</v>
      </c>
      <c r="L3503" s="9" t="s">
        <v>6822</v>
      </c>
      <c r="M3503" s="5">
        <v>6.5</v>
      </c>
      <c r="N3503" s="9" t="s">
        <v>6821</v>
      </c>
      <c r="O3503" s="9" t="str">
        <f t="shared" si="331"/>
        <v>PDFを開く</v>
      </c>
      <c r="P3503" s="9" t="s">
        <v>2797</v>
      </c>
    </row>
    <row r="3504" spans="1:16" ht="33.950000000000003" customHeight="1">
      <c r="A3504" s="2" t="s">
        <v>2790</v>
      </c>
      <c r="B3504" s="2" t="s">
        <v>2430</v>
      </c>
      <c r="C3504" s="8" t="s">
        <v>2791</v>
      </c>
      <c r="D3504" s="2">
        <v>2</v>
      </c>
      <c r="E3504" s="8" t="s">
        <v>3188</v>
      </c>
      <c r="F3504" s="2" t="s">
        <v>447</v>
      </c>
      <c r="G3504" s="19" t="s">
        <v>3189</v>
      </c>
      <c r="H3504" s="2"/>
      <c r="I3504" s="8"/>
      <c r="J3504" s="2"/>
      <c r="K3504" s="2"/>
      <c r="L3504" s="8"/>
      <c r="M3504" s="2">
        <v>6.5</v>
      </c>
      <c r="N3504" s="8" t="s">
        <v>6823</v>
      </c>
      <c r="O3504" s="8" t="str">
        <f t="shared" si="331"/>
        <v>PDFを開く</v>
      </c>
      <c r="P3504" s="8" t="s">
        <v>2797</v>
      </c>
    </row>
    <row r="3505" spans="1:16" ht="33.950000000000003" customHeight="1">
      <c r="A3505" s="5" t="s">
        <v>2790</v>
      </c>
      <c r="B3505" s="5" t="s">
        <v>2430</v>
      </c>
      <c r="C3505" s="9" t="s">
        <v>2791</v>
      </c>
      <c r="D3505" s="5">
        <v>2</v>
      </c>
      <c r="E3505" s="9" t="s">
        <v>3191</v>
      </c>
      <c r="F3505" s="5" t="s">
        <v>2513</v>
      </c>
      <c r="G3505" s="5" t="s">
        <v>3177</v>
      </c>
      <c r="H3505" s="5"/>
      <c r="I3505" s="9" t="s">
        <v>3302</v>
      </c>
      <c r="J3505" s="5"/>
      <c r="K3505" s="5">
        <v>82</v>
      </c>
      <c r="L3505" s="9" t="s">
        <v>6003</v>
      </c>
      <c r="M3505" s="5"/>
      <c r="N3505" s="9" t="s">
        <v>6824</v>
      </c>
      <c r="O3505" s="9" t="str">
        <f t="shared" si="331"/>
        <v>PDFを開く</v>
      </c>
      <c r="P3505" s="9" t="s">
        <v>2797</v>
      </c>
    </row>
    <row r="3506" spans="1:16" ht="33.950000000000003" customHeight="1">
      <c r="A3506" s="2" t="s">
        <v>2790</v>
      </c>
      <c r="B3506" s="2" t="s">
        <v>2430</v>
      </c>
      <c r="C3506" s="8" t="s">
        <v>2791</v>
      </c>
      <c r="D3506" s="2">
        <v>2</v>
      </c>
      <c r="E3506" s="8" t="s">
        <v>3191</v>
      </c>
      <c r="F3506" s="2" t="s">
        <v>2513</v>
      </c>
      <c r="G3506" s="2" t="s">
        <v>3177</v>
      </c>
      <c r="H3506" s="2"/>
      <c r="I3506" s="8" t="s">
        <v>3305</v>
      </c>
      <c r="J3506" s="2"/>
      <c r="K3506" s="2">
        <v>88</v>
      </c>
      <c r="L3506" s="8" t="s">
        <v>5395</v>
      </c>
      <c r="M3506" s="2"/>
      <c r="N3506" s="8" t="s">
        <v>6824</v>
      </c>
      <c r="O3506" s="8" t="str">
        <f t="shared" si="331"/>
        <v>PDFを開く</v>
      </c>
      <c r="P3506" s="8" t="s">
        <v>2797</v>
      </c>
    </row>
    <row r="3507" spans="1:16" ht="33.950000000000003" customHeight="1">
      <c r="A3507" s="5" t="s">
        <v>2790</v>
      </c>
      <c r="B3507" s="5" t="s">
        <v>2430</v>
      </c>
      <c r="C3507" s="9" t="s">
        <v>2791</v>
      </c>
      <c r="D3507" s="5">
        <v>2</v>
      </c>
      <c r="E3507" s="9" t="s">
        <v>3188</v>
      </c>
      <c r="F3507" s="5" t="s">
        <v>447</v>
      </c>
      <c r="G3507" s="5" t="s">
        <v>3177</v>
      </c>
      <c r="H3507" s="5"/>
      <c r="I3507" s="9" t="s">
        <v>6825</v>
      </c>
      <c r="J3507" s="5"/>
      <c r="K3507" s="5"/>
      <c r="L3507" s="9" t="s">
        <v>3211</v>
      </c>
      <c r="M3507" s="5">
        <v>6.5</v>
      </c>
      <c r="N3507" s="9" t="s">
        <v>6330</v>
      </c>
      <c r="O3507" s="9" t="str">
        <f t="shared" si="331"/>
        <v>PDFを開く</v>
      </c>
      <c r="P3507" s="9" t="s">
        <v>2797</v>
      </c>
    </row>
    <row r="3508" spans="1:16" ht="33.950000000000003" customHeight="1">
      <c r="A3508" s="2" t="s">
        <v>2790</v>
      </c>
      <c r="B3508" s="2" t="s">
        <v>2430</v>
      </c>
      <c r="C3508" s="8" t="s">
        <v>2791</v>
      </c>
      <c r="D3508" s="2">
        <v>2</v>
      </c>
      <c r="E3508" s="8" t="s">
        <v>3188</v>
      </c>
      <c r="F3508" s="2" t="s">
        <v>447</v>
      </c>
      <c r="G3508" s="2" t="s">
        <v>3177</v>
      </c>
      <c r="H3508" s="2"/>
      <c r="I3508" s="8" t="s">
        <v>6826</v>
      </c>
      <c r="J3508" s="2"/>
      <c r="K3508" s="2"/>
      <c r="L3508" s="8" t="s">
        <v>5447</v>
      </c>
      <c r="M3508" s="2">
        <v>6.5</v>
      </c>
      <c r="N3508" s="8" t="s">
        <v>6330</v>
      </c>
      <c r="O3508" s="8" t="str">
        <f t="shared" si="331"/>
        <v>PDFを開く</v>
      </c>
      <c r="P3508" s="8" t="s">
        <v>2797</v>
      </c>
    </row>
    <row r="3509" spans="1:16" ht="33.950000000000003" customHeight="1">
      <c r="A3509" s="5" t="s">
        <v>2798</v>
      </c>
      <c r="B3509" s="5" t="s">
        <v>2430</v>
      </c>
      <c r="C3509" s="9" t="s">
        <v>2799</v>
      </c>
      <c r="D3509" s="5">
        <v>2</v>
      </c>
      <c r="E3509" s="9" t="s">
        <v>3176</v>
      </c>
      <c r="F3509" s="5" t="s">
        <v>447</v>
      </c>
      <c r="G3509" s="5" t="s">
        <v>3177</v>
      </c>
      <c r="H3509" s="5"/>
      <c r="I3509" s="9" t="s">
        <v>3302</v>
      </c>
      <c r="J3509" s="5"/>
      <c r="K3509" s="5">
        <v>14783</v>
      </c>
      <c r="L3509" s="9" t="s">
        <v>6827</v>
      </c>
      <c r="M3509" s="5">
        <v>12.9</v>
      </c>
      <c r="N3509" s="9" t="s">
        <v>6828</v>
      </c>
      <c r="O3509" s="9" t="str">
        <f t="shared" ref="O3509:O3524" si="332">HYPERLINK("https://seichotoushi-hojo.jp/assets/pdf/koufu_3_4ji/outline_168.pdf","PDFを開く")</f>
        <v>PDFを開く</v>
      </c>
      <c r="P3509" s="9" t="s">
        <v>2808</v>
      </c>
    </row>
    <row r="3510" spans="1:16" ht="33.950000000000003" customHeight="1">
      <c r="A3510" s="2" t="s">
        <v>2798</v>
      </c>
      <c r="B3510" s="2" t="s">
        <v>2430</v>
      </c>
      <c r="C3510" s="8" t="s">
        <v>2799</v>
      </c>
      <c r="D3510" s="2">
        <v>2</v>
      </c>
      <c r="E3510" s="8" t="s">
        <v>3176</v>
      </c>
      <c r="F3510" s="2" t="s">
        <v>447</v>
      </c>
      <c r="G3510" s="2" t="s">
        <v>3177</v>
      </c>
      <c r="H3510" s="2"/>
      <c r="I3510" s="8" t="s">
        <v>3305</v>
      </c>
      <c r="J3510" s="2"/>
      <c r="K3510" s="2">
        <v>21274</v>
      </c>
      <c r="L3510" s="8" t="s">
        <v>6829</v>
      </c>
      <c r="M3510" s="2">
        <v>12.9</v>
      </c>
      <c r="N3510" s="8" t="s">
        <v>6828</v>
      </c>
      <c r="O3510" s="8" t="str">
        <f t="shared" si="332"/>
        <v>PDFを開く</v>
      </c>
      <c r="P3510" s="8" t="s">
        <v>2808</v>
      </c>
    </row>
    <row r="3511" spans="1:16" ht="33.950000000000003" customHeight="1">
      <c r="A3511" s="5" t="s">
        <v>2798</v>
      </c>
      <c r="B3511" s="5" t="s">
        <v>2430</v>
      </c>
      <c r="C3511" s="9" t="s">
        <v>2799</v>
      </c>
      <c r="D3511" s="5">
        <v>2</v>
      </c>
      <c r="E3511" s="9" t="s">
        <v>3184</v>
      </c>
      <c r="F3511" s="5" t="s">
        <v>447</v>
      </c>
      <c r="G3511" s="5" t="s">
        <v>3177</v>
      </c>
      <c r="H3511" s="5" t="s">
        <v>3178</v>
      </c>
      <c r="I3511" s="9" t="s">
        <v>3302</v>
      </c>
      <c r="J3511" s="5"/>
      <c r="K3511" s="5">
        <v>4692</v>
      </c>
      <c r="L3511" s="9" t="s">
        <v>6830</v>
      </c>
      <c r="M3511" s="5">
        <v>5.5</v>
      </c>
      <c r="N3511" s="9" t="s">
        <v>6831</v>
      </c>
      <c r="O3511" s="9" t="str">
        <f t="shared" si="332"/>
        <v>PDFを開く</v>
      </c>
      <c r="P3511" s="9" t="s">
        <v>2808</v>
      </c>
    </row>
    <row r="3512" spans="1:16" ht="33.950000000000003" customHeight="1">
      <c r="A3512" s="2" t="s">
        <v>2798</v>
      </c>
      <c r="B3512" s="2" t="s">
        <v>2430</v>
      </c>
      <c r="C3512" s="8" t="s">
        <v>2799</v>
      </c>
      <c r="D3512" s="2">
        <v>2</v>
      </c>
      <c r="E3512" s="8" t="s">
        <v>3184</v>
      </c>
      <c r="F3512" s="2" t="s">
        <v>447</v>
      </c>
      <c r="G3512" s="2" t="s">
        <v>3177</v>
      </c>
      <c r="H3512" s="2" t="s">
        <v>3178</v>
      </c>
      <c r="I3512" s="8" t="s">
        <v>3305</v>
      </c>
      <c r="J3512" s="2"/>
      <c r="K3512" s="2">
        <v>5515</v>
      </c>
      <c r="L3512" s="8" t="s">
        <v>6832</v>
      </c>
      <c r="M3512" s="2">
        <v>5.5</v>
      </c>
      <c r="N3512" s="8" t="s">
        <v>6831</v>
      </c>
      <c r="O3512" s="8" t="str">
        <f t="shared" si="332"/>
        <v>PDFを開く</v>
      </c>
      <c r="P3512" s="8" t="s">
        <v>2808</v>
      </c>
    </row>
    <row r="3513" spans="1:16" ht="33.950000000000003" customHeight="1">
      <c r="A3513" s="5" t="s">
        <v>2798</v>
      </c>
      <c r="B3513" s="5" t="s">
        <v>2430</v>
      </c>
      <c r="C3513" s="9" t="s">
        <v>2799</v>
      </c>
      <c r="D3513" s="5">
        <v>2</v>
      </c>
      <c r="E3513" s="9" t="s">
        <v>3188</v>
      </c>
      <c r="F3513" s="5" t="s">
        <v>447</v>
      </c>
      <c r="G3513" s="19" t="s">
        <v>3189</v>
      </c>
      <c r="H3513" s="5"/>
      <c r="I3513" s="9"/>
      <c r="J3513" s="5"/>
      <c r="K3513" s="5"/>
      <c r="L3513" s="9"/>
      <c r="M3513" s="5">
        <v>0</v>
      </c>
      <c r="N3513" s="9" t="s">
        <v>6833</v>
      </c>
      <c r="O3513" s="9" t="str">
        <f t="shared" si="332"/>
        <v>PDFを開く</v>
      </c>
      <c r="P3513" s="9" t="s">
        <v>2808</v>
      </c>
    </row>
    <row r="3514" spans="1:16" ht="33.950000000000003" customHeight="1">
      <c r="A3514" s="2" t="s">
        <v>2798</v>
      </c>
      <c r="B3514" s="2" t="s">
        <v>2430</v>
      </c>
      <c r="C3514" s="8" t="s">
        <v>2799</v>
      </c>
      <c r="D3514" s="2">
        <v>2</v>
      </c>
      <c r="E3514" s="8" t="s">
        <v>3191</v>
      </c>
      <c r="F3514" s="2" t="s">
        <v>2513</v>
      </c>
      <c r="G3514" s="2" t="s">
        <v>3177</v>
      </c>
      <c r="H3514" s="2"/>
      <c r="I3514" s="8" t="s">
        <v>3302</v>
      </c>
      <c r="J3514" s="2"/>
      <c r="K3514" s="2">
        <v>54</v>
      </c>
      <c r="L3514" s="8" t="s">
        <v>3311</v>
      </c>
      <c r="M3514" s="2"/>
      <c r="N3514" s="8" t="s">
        <v>6834</v>
      </c>
      <c r="O3514" s="8" t="str">
        <f t="shared" si="332"/>
        <v>PDFを開く</v>
      </c>
      <c r="P3514" s="8" t="s">
        <v>2808</v>
      </c>
    </row>
    <row r="3515" spans="1:16" ht="33.950000000000003" customHeight="1">
      <c r="A3515" s="5" t="s">
        <v>2798</v>
      </c>
      <c r="B3515" s="5" t="s">
        <v>2430</v>
      </c>
      <c r="C3515" s="9" t="s">
        <v>2799</v>
      </c>
      <c r="D3515" s="5">
        <v>2</v>
      </c>
      <c r="E3515" s="9" t="s">
        <v>3191</v>
      </c>
      <c r="F3515" s="5" t="s">
        <v>2513</v>
      </c>
      <c r="G3515" s="5" t="s">
        <v>3177</v>
      </c>
      <c r="H3515" s="5"/>
      <c r="I3515" s="9" t="s">
        <v>3305</v>
      </c>
      <c r="J3515" s="5"/>
      <c r="K3515" s="5">
        <v>84</v>
      </c>
      <c r="L3515" s="9" t="s">
        <v>4872</v>
      </c>
      <c r="M3515" s="5"/>
      <c r="N3515" s="9" t="s">
        <v>6834</v>
      </c>
      <c r="O3515" s="9" t="str">
        <f t="shared" si="332"/>
        <v>PDFを開く</v>
      </c>
      <c r="P3515" s="9" t="s">
        <v>2808</v>
      </c>
    </row>
    <row r="3516" spans="1:16" ht="33.950000000000003" customHeight="1">
      <c r="A3516" s="2" t="s">
        <v>2798</v>
      </c>
      <c r="B3516" s="2" t="s">
        <v>2430</v>
      </c>
      <c r="C3516" s="8" t="s">
        <v>2799</v>
      </c>
      <c r="D3516" s="2">
        <v>3</v>
      </c>
      <c r="E3516" s="8" t="s">
        <v>3176</v>
      </c>
      <c r="F3516" s="2" t="s">
        <v>447</v>
      </c>
      <c r="G3516" s="2" t="s">
        <v>3177</v>
      </c>
      <c r="H3516" s="2" t="s">
        <v>3178</v>
      </c>
      <c r="I3516" s="8" t="s">
        <v>3302</v>
      </c>
      <c r="J3516" s="2"/>
      <c r="K3516" s="2">
        <v>14812</v>
      </c>
      <c r="L3516" s="8" t="s">
        <v>6835</v>
      </c>
      <c r="M3516" s="2">
        <v>27.9</v>
      </c>
      <c r="N3516" s="8" t="s">
        <v>6836</v>
      </c>
      <c r="O3516" s="8" t="str">
        <f t="shared" si="332"/>
        <v>PDFを開く</v>
      </c>
      <c r="P3516" s="8" t="s">
        <v>2808</v>
      </c>
    </row>
    <row r="3517" spans="1:16" ht="33.950000000000003" customHeight="1">
      <c r="A3517" s="5" t="s">
        <v>2798</v>
      </c>
      <c r="B3517" s="5" t="s">
        <v>2430</v>
      </c>
      <c r="C3517" s="9" t="s">
        <v>2799</v>
      </c>
      <c r="D3517" s="5">
        <v>3</v>
      </c>
      <c r="E3517" s="9" t="s">
        <v>3176</v>
      </c>
      <c r="F3517" s="5" t="s">
        <v>447</v>
      </c>
      <c r="G3517" s="5" t="s">
        <v>3177</v>
      </c>
      <c r="H3517" s="5" t="s">
        <v>3178</v>
      </c>
      <c r="I3517" s="9" t="s">
        <v>3305</v>
      </c>
      <c r="J3517" s="5"/>
      <c r="K3517" s="5">
        <v>30959</v>
      </c>
      <c r="L3517" s="9" t="s">
        <v>6837</v>
      </c>
      <c r="M3517" s="5">
        <v>27.9</v>
      </c>
      <c r="N3517" s="9" t="s">
        <v>6836</v>
      </c>
      <c r="O3517" s="9" t="str">
        <f t="shared" si="332"/>
        <v>PDFを開く</v>
      </c>
      <c r="P3517" s="9" t="s">
        <v>2808</v>
      </c>
    </row>
    <row r="3518" spans="1:16" ht="33.950000000000003" customHeight="1">
      <c r="A3518" s="2" t="s">
        <v>2798</v>
      </c>
      <c r="B3518" s="2" t="s">
        <v>2430</v>
      </c>
      <c r="C3518" s="8" t="s">
        <v>2799</v>
      </c>
      <c r="D3518" s="2">
        <v>3</v>
      </c>
      <c r="E3518" s="8" t="s">
        <v>3184</v>
      </c>
      <c r="F3518" s="2" t="s">
        <v>447</v>
      </c>
      <c r="G3518" s="2" t="s">
        <v>3177</v>
      </c>
      <c r="H3518" s="2"/>
      <c r="I3518" s="8" t="s">
        <v>3302</v>
      </c>
      <c r="J3518" s="2"/>
      <c r="K3518" s="2">
        <v>3705</v>
      </c>
      <c r="L3518" s="8" t="s">
        <v>6838</v>
      </c>
      <c r="M3518" s="2">
        <v>6.5</v>
      </c>
      <c r="N3518" s="8" t="s">
        <v>6839</v>
      </c>
      <c r="O3518" s="8" t="str">
        <f t="shared" si="332"/>
        <v>PDFを開く</v>
      </c>
      <c r="P3518" s="8" t="s">
        <v>2808</v>
      </c>
    </row>
    <row r="3519" spans="1:16" ht="33.950000000000003" customHeight="1">
      <c r="A3519" s="5" t="s">
        <v>2798</v>
      </c>
      <c r="B3519" s="5" t="s">
        <v>2430</v>
      </c>
      <c r="C3519" s="9" t="s">
        <v>2799</v>
      </c>
      <c r="D3519" s="5">
        <v>3</v>
      </c>
      <c r="E3519" s="9" t="s">
        <v>3184</v>
      </c>
      <c r="F3519" s="5" t="s">
        <v>447</v>
      </c>
      <c r="G3519" s="5" t="s">
        <v>3177</v>
      </c>
      <c r="H3519" s="5"/>
      <c r="I3519" s="9" t="s">
        <v>3305</v>
      </c>
      <c r="J3519" s="5"/>
      <c r="K3519" s="5">
        <v>4475</v>
      </c>
      <c r="L3519" s="9" t="s">
        <v>6840</v>
      </c>
      <c r="M3519" s="5">
        <v>6.5</v>
      </c>
      <c r="N3519" s="9" t="s">
        <v>6839</v>
      </c>
      <c r="O3519" s="9" t="str">
        <f t="shared" si="332"/>
        <v>PDFを開く</v>
      </c>
      <c r="P3519" s="9" t="s">
        <v>2808</v>
      </c>
    </row>
    <row r="3520" spans="1:16" ht="33.950000000000003" customHeight="1">
      <c r="A3520" s="2" t="s">
        <v>2798</v>
      </c>
      <c r="B3520" s="2" t="s">
        <v>2430</v>
      </c>
      <c r="C3520" s="8" t="s">
        <v>2799</v>
      </c>
      <c r="D3520" s="2">
        <v>3</v>
      </c>
      <c r="E3520" s="8" t="s">
        <v>3188</v>
      </c>
      <c r="F3520" s="2" t="s">
        <v>447</v>
      </c>
      <c r="G3520" s="19" t="s">
        <v>3189</v>
      </c>
      <c r="H3520" s="2"/>
      <c r="I3520" s="8"/>
      <c r="J3520" s="2"/>
      <c r="K3520" s="2"/>
      <c r="L3520" s="8"/>
      <c r="M3520" s="2">
        <v>6.5</v>
      </c>
      <c r="N3520" s="8" t="s">
        <v>6727</v>
      </c>
      <c r="O3520" s="8" t="str">
        <f t="shared" si="332"/>
        <v>PDFを開く</v>
      </c>
      <c r="P3520" s="8" t="s">
        <v>2808</v>
      </c>
    </row>
    <row r="3521" spans="1:16" ht="33.950000000000003" customHeight="1">
      <c r="A3521" s="5" t="s">
        <v>2798</v>
      </c>
      <c r="B3521" s="5" t="s">
        <v>2430</v>
      </c>
      <c r="C3521" s="9" t="s">
        <v>2799</v>
      </c>
      <c r="D3521" s="5">
        <v>3</v>
      </c>
      <c r="E3521" s="9" t="s">
        <v>3191</v>
      </c>
      <c r="F3521" s="5" t="s">
        <v>2513</v>
      </c>
      <c r="G3521" s="5" t="s">
        <v>3177</v>
      </c>
      <c r="H3521" s="5"/>
      <c r="I3521" s="9" t="s">
        <v>3302</v>
      </c>
      <c r="J3521" s="5"/>
      <c r="K3521" s="5">
        <v>33</v>
      </c>
      <c r="L3521" s="9" t="s">
        <v>3554</v>
      </c>
      <c r="M3521" s="5"/>
      <c r="N3521" s="9" t="s">
        <v>6841</v>
      </c>
      <c r="O3521" s="9" t="str">
        <f t="shared" si="332"/>
        <v>PDFを開く</v>
      </c>
      <c r="P3521" s="9" t="s">
        <v>2808</v>
      </c>
    </row>
    <row r="3522" spans="1:16" ht="33.950000000000003" customHeight="1">
      <c r="A3522" s="2" t="s">
        <v>2798</v>
      </c>
      <c r="B3522" s="2" t="s">
        <v>2430</v>
      </c>
      <c r="C3522" s="8" t="s">
        <v>2799</v>
      </c>
      <c r="D3522" s="2">
        <v>3</v>
      </c>
      <c r="E3522" s="8" t="s">
        <v>3191</v>
      </c>
      <c r="F3522" s="2" t="s">
        <v>2513</v>
      </c>
      <c r="G3522" s="2" t="s">
        <v>3177</v>
      </c>
      <c r="H3522" s="2"/>
      <c r="I3522" s="8" t="s">
        <v>3305</v>
      </c>
      <c r="J3522" s="2"/>
      <c r="K3522" s="2">
        <v>48</v>
      </c>
      <c r="L3522" s="8" t="s">
        <v>3809</v>
      </c>
      <c r="M3522" s="2"/>
      <c r="N3522" s="8" t="s">
        <v>6841</v>
      </c>
      <c r="O3522" s="8" t="str">
        <f t="shared" si="332"/>
        <v>PDFを開く</v>
      </c>
      <c r="P3522" s="8" t="s">
        <v>2808</v>
      </c>
    </row>
    <row r="3523" spans="1:16" ht="33.950000000000003" customHeight="1">
      <c r="A3523" s="5" t="s">
        <v>2798</v>
      </c>
      <c r="B3523" s="5" t="s">
        <v>2430</v>
      </c>
      <c r="C3523" s="9" t="s">
        <v>2799</v>
      </c>
      <c r="D3523" s="5">
        <v>2</v>
      </c>
      <c r="E3523" s="9" t="s">
        <v>3188</v>
      </c>
      <c r="F3523" s="5" t="s">
        <v>447</v>
      </c>
      <c r="G3523" s="5" t="s">
        <v>3177</v>
      </c>
      <c r="H3523" s="5"/>
      <c r="I3523" s="9" t="s">
        <v>6842</v>
      </c>
      <c r="J3523" s="5">
        <v>2027</v>
      </c>
      <c r="K3523" s="5"/>
      <c r="L3523" s="9" t="s">
        <v>3211</v>
      </c>
      <c r="M3523" s="5">
        <v>0</v>
      </c>
      <c r="N3523" s="9" t="s">
        <v>6843</v>
      </c>
      <c r="O3523" s="9" t="str">
        <f t="shared" si="332"/>
        <v>PDFを開く</v>
      </c>
      <c r="P3523" s="9" t="s">
        <v>2808</v>
      </c>
    </row>
    <row r="3524" spans="1:16" ht="33.950000000000003" customHeight="1">
      <c r="A3524" s="2" t="s">
        <v>2798</v>
      </c>
      <c r="B3524" s="2" t="s">
        <v>2430</v>
      </c>
      <c r="C3524" s="8" t="s">
        <v>2799</v>
      </c>
      <c r="D3524" s="2">
        <v>2</v>
      </c>
      <c r="E3524" s="8" t="s">
        <v>3188</v>
      </c>
      <c r="F3524" s="2" t="s">
        <v>447</v>
      </c>
      <c r="G3524" s="2" t="s">
        <v>3177</v>
      </c>
      <c r="H3524" s="2"/>
      <c r="I3524" s="8" t="s">
        <v>6844</v>
      </c>
      <c r="J3524" s="2"/>
      <c r="K3524" s="2"/>
      <c r="L3524" s="8" t="s">
        <v>4441</v>
      </c>
      <c r="M3524" s="2">
        <v>0</v>
      </c>
      <c r="N3524" s="8" t="s">
        <v>6843</v>
      </c>
      <c r="O3524" s="8" t="str">
        <f t="shared" si="332"/>
        <v>PDFを開く</v>
      </c>
      <c r="P3524" s="8" t="s">
        <v>2808</v>
      </c>
    </row>
    <row r="3525" spans="1:16" ht="33.950000000000003" customHeight="1">
      <c r="A3525" s="5" t="s">
        <v>2809</v>
      </c>
      <c r="B3525" s="5" t="s">
        <v>2430</v>
      </c>
      <c r="C3525" s="9" t="s">
        <v>2810</v>
      </c>
      <c r="D3525" s="5">
        <v>2</v>
      </c>
      <c r="E3525" s="9" t="s">
        <v>3176</v>
      </c>
      <c r="F3525" s="5" t="s">
        <v>447</v>
      </c>
      <c r="G3525" s="5" t="s">
        <v>3177</v>
      </c>
      <c r="H3525" s="5"/>
      <c r="I3525" s="9" t="s">
        <v>3302</v>
      </c>
      <c r="J3525" s="5"/>
      <c r="K3525" s="5">
        <v>66170</v>
      </c>
      <c r="L3525" s="9" t="s">
        <v>6845</v>
      </c>
      <c r="M3525" s="5">
        <v>23.9</v>
      </c>
      <c r="N3525" s="9" t="s">
        <v>6846</v>
      </c>
      <c r="O3525" s="9" t="str">
        <f t="shared" ref="O3525:O3533" si="333">HYPERLINK("https://seichotoushi-hojo.jp/assets/pdf/koufu_3_4ji/outline_170.pdf","PDFを開く")</f>
        <v>PDFを開く</v>
      </c>
      <c r="P3525" s="9" t="s">
        <v>2816</v>
      </c>
    </row>
    <row r="3526" spans="1:16" ht="33.950000000000003" customHeight="1">
      <c r="A3526" s="2" t="s">
        <v>2809</v>
      </c>
      <c r="B3526" s="2" t="s">
        <v>2430</v>
      </c>
      <c r="C3526" s="8" t="s">
        <v>2810</v>
      </c>
      <c r="D3526" s="2">
        <v>2</v>
      </c>
      <c r="E3526" s="8" t="s">
        <v>3176</v>
      </c>
      <c r="F3526" s="2" t="s">
        <v>447</v>
      </c>
      <c r="G3526" s="2" t="s">
        <v>3177</v>
      </c>
      <c r="H3526" s="2"/>
      <c r="I3526" s="8" t="s">
        <v>3305</v>
      </c>
      <c r="J3526" s="2"/>
      <c r="K3526" s="2">
        <v>125750</v>
      </c>
      <c r="L3526" s="8" t="s">
        <v>6847</v>
      </c>
      <c r="M3526" s="2">
        <v>23.9</v>
      </c>
      <c r="N3526" s="8" t="s">
        <v>6846</v>
      </c>
      <c r="O3526" s="8" t="str">
        <f t="shared" si="333"/>
        <v>PDFを開く</v>
      </c>
      <c r="P3526" s="8" t="s">
        <v>2816</v>
      </c>
    </row>
    <row r="3527" spans="1:16" ht="33.950000000000003" customHeight="1">
      <c r="A3527" s="5" t="s">
        <v>2809</v>
      </c>
      <c r="B3527" s="5" t="s">
        <v>2430</v>
      </c>
      <c r="C3527" s="9" t="s">
        <v>2810</v>
      </c>
      <c r="D3527" s="5">
        <v>2</v>
      </c>
      <c r="E3527" s="9" t="s">
        <v>3184</v>
      </c>
      <c r="F3527" s="5" t="s">
        <v>447</v>
      </c>
      <c r="G3527" s="5" t="s">
        <v>3177</v>
      </c>
      <c r="H3527" s="5"/>
      <c r="I3527" s="9" t="s">
        <v>3302</v>
      </c>
      <c r="J3527" s="5"/>
      <c r="K3527" s="5">
        <v>5067</v>
      </c>
      <c r="L3527" s="9" t="s">
        <v>6848</v>
      </c>
      <c r="M3527" s="5">
        <v>8</v>
      </c>
      <c r="N3527" s="9" t="s">
        <v>6849</v>
      </c>
      <c r="O3527" s="9" t="str">
        <f t="shared" si="333"/>
        <v>PDFを開く</v>
      </c>
      <c r="P3527" s="9" t="s">
        <v>2816</v>
      </c>
    </row>
    <row r="3528" spans="1:16" ht="33.950000000000003" customHeight="1">
      <c r="A3528" s="2" t="s">
        <v>2809</v>
      </c>
      <c r="B3528" s="2" t="s">
        <v>2430</v>
      </c>
      <c r="C3528" s="8" t="s">
        <v>2810</v>
      </c>
      <c r="D3528" s="2">
        <v>2</v>
      </c>
      <c r="E3528" s="8" t="s">
        <v>3184</v>
      </c>
      <c r="F3528" s="2" t="s">
        <v>447</v>
      </c>
      <c r="G3528" s="2" t="s">
        <v>3177</v>
      </c>
      <c r="H3528" s="2"/>
      <c r="I3528" s="8" t="s">
        <v>3305</v>
      </c>
      <c r="J3528" s="2"/>
      <c r="K3528" s="2">
        <v>6383</v>
      </c>
      <c r="L3528" s="8" t="s">
        <v>6807</v>
      </c>
      <c r="M3528" s="2">
        <v>8</v>
      </c>
      <c r="N3528" s="8" t="s">
        <v>6849</v>
      </c>
      <c r="O3528" s="8" t="str">
        <f t="shared" si="333"/>
        <v>PDFを開く</v>
      </c>
      <c r="P3528" s="8" t="s">
        <v>2816</v>
      </c>
    </row>
    <row r="3529" spans="1:16" ht="33.950000000000003" customHeight="1">
      <c r="A3529" s="5" t="s">
        <v>2809</v>
      </c>
      <c r="B3529" s="5" t="s">
        <v>2430</v>
      </c>
      <c r="C3529" s="9" t="s">
        <v>2810</v>
      </c>
      <c r="D3529" s="5">
        <v>2</v>
      </c>
      <c r="E3529" s="9" t="s">
        <v>3188</v>
      </c>
      <c r="F3529" s="5" t="s">
        <v>447</v>
      </c>
      <c r="G3529" s="19" t="s">
        <v>3189</v>
      </c>
      <c r="H3529" s="5"/>
      <c r="I3529" s="9"/>
      <c r="J3529" s="5"/>
      <c r="K3529" s="5"/>
      <c r="L3529" s="9"/>
      <c r="M3529" s="5">
        <v>6.5</v>
      </c>
      <c r="N3529" s="9" t="s">
        <v>6850</v>
      </c>
      <c r="O3529" s="9" t="str">
        <f t="shared" si="333"/>
        <v>PDFを開く</v>
      </c>
      <c r="P3529" s="9" t="s">
        <v>2816</v>
      </c>
    </row>
    <row r="3530" spans="1:16" ht="33.950000000000003" customHeight="1">
      <c r="A3530" s="2" t="s">
        <v>2809</v>
      </c>
      <c r="B3530" s="2" t="s">
        <v>2430</v>
      </c>
      <c r="C3530" s="8" t="s">
        <v>2810</v>
      </c>
      <c r="D3530" s="2">
        <v>2</v>
      </c>
      <c r="E3530" s="8" t="s">
        <v>3191</v>
      </c>
      <c r="F3530" s="2" t="s">
        <v>2513</v>
      </c>
      <c r="G3530" s="2" t="s">
        <v>3177</v>
      </c>
      <c r="H3530" s="2"/>
      <c r="I3530" s="8" t="s">
        <v>3302</v>
      </c>
      <c r="J3530" s="2"/>
      <c r="K3530" s="2">
        <v>38</v>
      </c>
      <c r="L3530" s="8" t="s">
        <v>3465</v>
      </c>
      <c r="M3530" s="2"/>
      <c r="N3530" s="8" t="s">
        <v>6851</v>
      </c>
      <c r="O3530" s="8" t="str">
        <f t="shared" si="333"/>
        <v>PDFを開く</v>
      </c>
      <c r="P3530" s="8" t="s">
        <v>2816</v>
      </c>
    </row>
    <row r="3531" spans="1:16" ht="33.950000000000003" customHeight="1">
      <c r="A3531" s="5" t="s">
        <v>2809</v>
      </c>
      <c r="B3531" s="5" t="s">
        <v>2430</v>
      </c>
      <c r="C3531" s="9" t="s">
        <v>2810</v>
      </c>
      <c r="D3531" s="5">
        <v>2</v>
      </c>
      <c r="E3531" s="9" t="s">
        <v>3191</v>
      </c>
      <c r="F3531" s="5" t="s">
        <v>2513</v>
      </c>
      <c r="G3531" s="5" t="s">
        <v>3177</v>
      </c>
      <c r="H3531" s="5"/>
      <c r="I3531" s="9" t="s">
        <v>3305</v>
      </c>
      <c r="J3531" s="5"/>
      <c r="K3531" s="5">
        <v>40</v>
      </c>
      <c r="L3531" s="9" t="s">
        <v>4235</v>
      </c>
      <c r="M3531" s="5"/>
      <c r="N3531" s="9" t="s">
        <v>6851</v>
      </c>
      <c r="O3531" s="9" t="str">
        <f t="shared" si="333"/>
        <v>PDFを開く</v>
      </c>
      <c r="P3531" s="9" t="s">
        <v>2816</v>
      </c>
    </row>
    <row r="3532" spans="1:16" ht="33.950000000000003" customHeight="1">
      <c r="A3532" s="2" t="s">
        <v>2809</v>
      </c>
      <c r="B3532" s="2" t="s">
        <v>2430</v>
      </c>
      <c r="C3532" s="8" t="s">
        <v>2810</v>
      </c>
      <c r="D3532" s="2">
        <v>2</v>
      </c>
      <c r="E3532" s="8" t="s">
        <v>3188</v>
      </c>
      <c r="F3532" s="2" t="s">
        <v>447</v>
      </c>
      <c r="G3532" s="2" t="s">
        <v>3177</v>
      </c>
      <c r="H3532" s="2"/>
      <c r="I3532" s="8" t="s">
        <v>6852</v>
      </c>
      <c r="J3532" s="2"/>
      <c r="K3532" s="2"/>
      <c r="L3532" s="8" t="s">
        <v>3211</v>
      </c>
      <c r="M3532" s="2">
        <v>6.5</v>
      </c>
      <c r="N3532" s="8" t="s">
        <v>6853</v>
      </c>
      <c r="O3532" s="8" t="str">
        <f t="shared" si="333"/>
        <v>PDFを開く</v>
      </c>
      <c r="P3532" s="8" t="s">
        <v>2816</v>
      </c>
    </row>
    <row r="3533" spans="1:16" ht="33.950000000000003" customHeight="1">
      <c r="A3533" s="5" t="s">
        <v>2809</v>
      </c>
      <c r="B3533" s="5" t="s">
        <v>2430</v>
      </c>
      <c r="C3533" s="9" t="s">
        <v>2810</v>
      </c>
      <c r="D3533" s="5">
        <v>2</v>
      </c>
      <c r="E3533" s="9" t="s">
        <v>3188</v>
      </c>
      <c r="F3533" s="5" t="s">
        <v>447</v>
      </c>
      <c r="G3533" s="5" t="s">
        <v>3177</v>
      </c>
      <c r="H3533" s="5"/>
      <c r="I3533" s="9" t="s">
        <v>6854</v>
      </c>
      <c r="J3533" s="5"/>
      <c r="K3533" s="5"/>
      <c r="L3533" s="9" t="s">
        <v>6855</v>
      </c>
      <c r="M3533" s="5">
        <v>6.5</v>
      </c>
      <c r="N3533" s="9" t="s">
        <v>6853</v>
      </c>
      <c r="O3533" s="9" t="str">
        <f t="shared" si="333"/>
        <v>PDFを開く</v>
      </c>
      <c r="P3533" s="9" t="s">
        <v>2816</v>
      </c>
    </row>
    <row r="3534" spans="1:16" ht="33.950000000000003" customHeight="1">
      <c r="A3534" s="2" t="s">
        <v>2817</v>
      </c>
      <c r="B3534" s="2" t="s">
        <v>2430</v>
      </c>
      <c r="C3534" s="8" t="s">
        <v>2818</v>
      </c>
      <c r="D3534" s="2">
        <v>2</v>
      </c>
      <c r="E3534" s="8" t="s">
        <v>3176</v>
      </c>
      <c r="F3534" s="2" t="s">
        <v>447</v>
      </c>
      <c r="G3534" s="2" t="s">
        <v>3177</v>
      </c>
      <c r="H3534" s="2"/>
      <c r="I3534" s="8" t="s">
        <v>3302</v>
      </c>
      <c r="J3534" s="2"/>
      <c r="K3534" s="2">
        <v>5866</v>
      </c>
      <c r="L3534" s="8" t="s">
        <v>6856</v>
      </c>
      <c r="M3534" s="2">
        <v>41.2</v>
      </c>
      <c r="N3534" s="8" t="s">
        <v>6857</v>
      </c>
      <c r="O3534" s="8" t="str">
        <f t="shared" ref="O3534:O3542" si="334">HYPERLINK("https://seichotoushi-hojo.jp/assets/pdf/koufu_3_4ji/outline_171.pdf","PDFを開く")</f>
        <v>PDFを開く</v>
      </c>
      <c r="P3534" s="8" t="s">
        <v>2824</v>
      </c>
    </row>
    <row r="3535" spans="1:16" ht="33.950000000000003" customHeight="1">
      <c r="A3535" s="5" t="s">
        <v>2817</v>
      </c>
      <c r="B3535" s="5" t="s">
        <v>2430</v>
      </c>
      <c r="C3535" s="9" t="s">
        <v>2818</v>
      </c>
      <c r="D3535" s="5">
        <v>2</v>
      </c>
      <c r="E3535" s="9" t="s">
        <v>3176</v>
      </c>
      <c r="F3535" s="5" t="s">
        <v>447</v>
      </c>
      <c r="G3535" s="5" t="s">
        <v>3177</v>
      </c>
      <c r="H3535" s="5"/>
      <c r="I3535" s="9" t="s">
        <v>3305</v>
      </c>
      <c r="J3535" s="5"/>
      <c r="K3535" s="5">
        <v>16506</v>
      </c>
      <c r="L3535" s="9" t="s">
        <v>6858</v>
      </c>
      <c r="M3535" s="5">
        <v>41.2</v>
      </c>
      <c r="N3535" s="9" t="s">
        <v>6857</v>
      </c>
      <c r="O3535" s="9" t="str">
        <f t="shared" si="334"/>
        <v>PDFを開く</v>
      </c>
      <c r="P3535" s="9" t="s">
        <v>2824</v>
      </c>
    </row>
    <row r="3536" spans="1:16" ht="33.950000000000003" customHeight="1">
      <c r="A3536" s="2" t="s">
        <v>2817</v>
      </c>
      <c r="B3536" s="2" t="s">
        <v>2430</v>
      </c>
      <c r="C3536" s="8" t="s">
        <v>2818</v>
      </c>
      <c r="D3536" s="2">
        <v>2</v>
      </c>
      <c r="E3536" s="8" t="s">
        <v>3184</v>
      </c>
      <c r="F3536" s="2" t="s">
        <v>447</v>
      </c>
      <c r="G3536" s="2" t="s">
        <v>3177</v>
      </c>
      <c r="H3536" s="2"/>
      <c r="I3536" s="8" t="s">
        <v>3302</v>
      </c>
      <c r="J3536" s="2"/>
      <c r="K3536" s="2">
        <v>3463</v>
      </c>
      <c r="L3536" s="8" t="s">
        <v>6859</v>
      </c>
      <c r="M3536" s="2">
        <v>6.2</v>
      </c>
      <c r="N3536" s="8" t="s">
        <v>6860</v>
      </c>
      <c r="O3536" s="8" t="str">
        <f t="shared" si="334"/>
        <v>PDFを開く</v>
      </c>
      <c r="P3536" s="8" t="s">
        <v>2824</v>
      </c>
    </row>
    <row r="3537" spans="1:16" ht="33.950000000000003" customHeight="1">
      <c r="A3537" s="5" t="s">
        <v>2817</v>
      </c>
      <c r="B3537" s="5" t="s">
        <v>2430</v>
      </c>
      <c r="C3537" s="9" t="s">
        <v>2818</v>
      </c>
      <c r="D3537" s="5">
        <v>2</v>
      </c>
      <c r="E3537" s="9" t="s">
        <v>3184</v>
      </c>
      <c r="F3537" s="5" t="s">
        <v>447</v>
      </c>
      <c r="G3537" s="5" t="s">
        <v>3177</v>
      </c>
      <c r="H3537" s="5"/>
      <c r="I3537" s="9" t="s">
        <v>3305</v>
      </c>
      <c r="J3537" s="5"/>
      <c r="K3537" s="5">
        <v>4148</v>
      </c>
      <c r="L3537" s="9" t="s">
        <v>6861</v>
      </c>
      <c r="M3537" s="5">
        <v>6.2</v>
      </c>
      <c r="N3537" s="9" t="s">
        <v>6860</v>
      </c>
      <c r="O3537" s="9" t="str">
        <f t="shared" si="334"/>
        <v>PDFを開く</v>
      </c>
      <c r="P3537" s="9" t="s">
        <v>2824</v>
      </c>
    </row>
    <row r="3538" spans="1:16" ht="33.950000000000003" customHeight="1">
      <c r="A3538" s="2" t="s">
        <v>2817</v>
      </c>
      <c r="B3538" s="2" t="s">
        <v>2430</v>
      </c>
      <c r="C3538" s="8" t="s">
        <v>2818</v>
      </c>
      <c r="D3538" s="2">
        <v>2</v>
      </c>
      <c r="E3538" s="8" t="s">
        <v>3188</v>
      </c>
      <c r="F3538" s="2" t="s">
        <v>447</v>
      </c>
      <c r="G3538" s="19" t="s">
        <v>3189</v>
      </c>
      <c r="H3538" s="2"/>
      <c r="I3538" s="8"/>
      <c r="J3538" s="2"/>
      <c r="K3538" s="2"/>
      <c r="L3538" s="8"/>
      <c r="M3538" s="2">
        <v>6.2</v>
      </c>
      <c r="N3538" s="8" t="s">
        <v>6862</v>
      </c>
      <c r="O3538" s="8" t="str">
        <f t="shared" si="334"/>
        <v>PDFを開く</v>
      </c>
      <c r="P3538" s="8" t="s">
        <v>2824</v>
      </c>
    </row>
    <row r="3539" spans="1:16" ht="33.950000000000003" customHeight="1">
      <c r="A3539" s="5" t="s">
        <v>2817</v>
      </c>
      <c r="B3539" s="5" t="s">
        <v>2430</v>
      </c>
      <c r="C3539" s="9" t="s">
        <v>2818</v>
      </c>
      <c r="D3539" s="5">
        <v>2</v>
      </c>
      <c r="E3539" s="9" t="s">
        <v>3191</v>
      </c>
      <c r="F3539" s="5" t="s">
        <v>2513</v>
      </c>
      <c r="G3539" s="5" t="s">
        <v>3177</v>
      </c>
      <c r="H3539" s="5"/>
      <c r="I3539" s="9" t="s">
        <v>3302</v>
      </c>
      <c r="J3539" s="5"/>
      <c r="K3539" s="5">
        <v>58</v>
      </c>
      <c r="L3539" s="9" t="s">
        <v>5318</v>
      </c>
      <c r="M3539" s="5"/>
      <c r="N3539" s="9" t="s">
        <v>6863</v>
      </c>
      <c r="O3539" s="9" t="str">
        <f t="shared" si="334"/>
        <v>PDFを開く</v>
      </c>
      <c r="P3539" s="9" t="s">
        <v>2824</v>
      </c>
    </row>
    <row r="3540" spans="1:16" ht="33.950000000000003" customHeight="1">
      <c r="A3540" s="2" t="s">
        <v>2817</v>
      </c>
      <c r="B3540" s="2" t="s">
        <v>2430</v>
      </c>
      <c r="C3540" s="8" t="s">
        <v>2818</v>
      </c>
      <c r="D3540" s="2">
        <v>2</v>
      </c>
      <c r="E3540" s="8" t="s">
        <v>3191</v>
      </c>
      <c r="F3540" s="2" t="s">
        <v>2513</v>
      </c>
      <c r="G3540" s="2" t="s">
        <v>3177</v>
      </c>
      <c r="H3540" s="2"/>
      <c r="I3540" s="8" t="s">
        <v>3305</v>
      </c>
      <c r="J3540" s="2"/>
      <c r="K3540" s="2">
        <v>91</v>
      </c>
      <c r="L3540" s="8" t="s">
        <v>3517</v>
      </c>
      <c r="M3540" s="2"/>
      <c r="N3540" s="8" t="s">
        <v>6863</v>
      </c>
      <c r="O3540" s="8" t="str">
        <f t="shared" si="334"/>
        <v>PDFを開く</v>
      </c>
      <c r="P3540" s="8" t="s">
        <v>2824</v>
      </c>
    </row>
    <row r="3541" spans="1:16" ht="33.950000000000003" customHeight="1">
      <c r="A3541" s="5" t="s">
        <v>2817</v>
      </c>
      <c r="B3541" s="5" t="s">
        <v>2430</v>
      </c>
      <c r="C3541" s="9" t="s">
        <v>2818</v>
      </c>
      <c r="D3541" s="5">
        <v>2</v>
      </c>
      <c r="E3541" s="9" t="s">
        <v>3188</v>
      </c>
      <c r="F3541" s="5" t="s">
        <v>447</v>
      </c>
      <c r="G3541" s="5" t="s">
        <v>3177</v>
      </c>
      <c r="H3541" s="5"/>
      <c r="I3541" s="9" t="s">
        <v>6864</v>
      </c>
      <c r="J3541" s="5"/>
      <c r="K3541" s="5"/>
      <c r="L3541" s="9" t="s">
        <v>3211</v>
      </c>
      <c r="M3541" s="5">
        <v>6.2</v>
      </c>
      <c r="N3541" s="9" t="s">
        <v>6439</v>
      </c>
      <c r="O3541" s="9" t="str">
        <f t="shared" si="334"/>
        <v>PDFを開く</v>
      </c>
      <c r="P3541" s="9" t="s">
        <v>2824</v>
      </c>
    </row>
    <row r="3542" spans="1:16" ht="33.950000000000003" customHeight="1">
      <c r="A3542" s="2" t="s">
        <v>2817</v>
      </c>
      <c r="B3542" s="2" t="s">
        <v>2430</v>
      </c>
      <c r="C3542" s="8" t="s">
        <v>2818</v>
      </c>
      <c r="D3542" s="2">
        <v>2</v>
      </c>
      <c r="E3542" s="8" t="s">
        <v>3188</v>
      </c>
      <c r="F3542" s="2" t="s">
        <v>447</v>
      </c>
      <c r="G3542" s="2" t="s">
        <v>3177</v>
      </c>
      <c r="H3542" s="2"/>
      <c r="I3542" s="8" t="s">
        <v>6865</v>
      </c>
      <c r="J3542" s="2"/>
      <c r="K3542" s="2"/>
      <c r="L3542" s="8" t="s">
        <v>6866</v>
      </c>
      <c r="M3542" s="2">
        <v>6.2</v>
      </c>
      <c r="N3542" s="8" t="s">
        <v>6439</v>
      </c>
      <c r="O3542" s="8" t="str">
        <f t="shared" si="334"/>
        <v>PDFを開く</v>
      </c>
      <c r="P3542" s="8" t="s">
        <v>2824</v>
      </c>
    </row>
    <row r="3543" spans="1:16" ht="33.950000000000003" customHeight="1">
      <c r="A3543" s="5" t="s">
        <v>2825</v>
      </c>
      <c r="B3543" s="5" t="s">
        <v>2430</v>
      </c>
      <c r="C3543" s="9" t="s">
        <v>2826</v>
      </c>
      <c r="D3543" s="5">
        <v>2</v>
      </c>
      <c r="E3543" s="9" t="s">
        <v>3176</v>
      </c>
      <c r="F3543" s="5" t="s">
        <v>447</v>
      </c>
      <c r="G3543" s="5" t="s">
        <v>3177</v>
      </c>
      <c r="H3543" s="5" t="s">
        <v>3178</v>
      </c>
      <c r="I3543" s="9" t="s">
        <v>3302</v>
      </c>
      <c r="J3543" s="5"/>
      <c r="K3543" s="5">
        <v>10345</v>
      </c>
      <c r="L3543" s="9" t="s">
        <v>6867</v>
      </c>
      <c r="M3543" s="5">
        <v>24.7</v>
      </c>
      <c r="N3543" s="9" t="s">
        <v>6868</v>
      </c>
      <c r="O3543" s="9" t="str">
        <f t="shared" ref="O3543:O3551" si="335">HYPERLINK("https://seichotoushi-hojo.jp/assets/pdf/koufu_3_4ji/outline_172.pdf","PDFを開く")</f>
        <v>PDFを開く</v>
      </c>
      <c r="P3543" s="9" t="s">
        <v>2832</v>
      </c>
    </row>
    <row r="3544" spans="1:16" ht="33.950000000000003" customHeight="1">
      <c r="A3544" s="2" t="s">
        <v>2825</v>
      </c>
      <c r="B3544" s="2" t="s">
        <v>2430</v>
      </c>
      <c r="C3544" s="8" t="s">
        <v>2826</v>
      </c>
      <c r="D3544" s="2">
        <v>2</v>
      </c>
      <c r="E3544" s="8" t="s">
        <v>3176</v>
      </c>
      <c r="F3544" s="2" t="s">
        <v>447</v>
      </c>
      <c r="G3544" s="2" t="s">
        <v>3177</v>
      </c>
      <c r="H3544" s="2" t="s">
        <v>3178</v>
      </c>
      <c r="I3544" s="8" t="s">
        <v>3305</v>
      </c>
      <c r="J3544" s="2"/>
      <c r="K3544" s="2">
        <v>20065</v>
      </c>
      <c r="L3544" s="8" t="s">
        <v>6869</v>
      </c>
      <c r="M3544" s="2">
        <v>24.7</v>
      </c>
      <c r="N3544" s="8" t="s">
        <v>6868</v>
      </c>
      <c r="O3544" s="8" t="str">
        <f t="shared" si="335"/>
        <v>PDFを開く</v>
      </c>
      <c r="P3544" s="8" t="s">
        <v>2832</v>
      </c>
    </row>
    <row r="3545" spans="1:16" ht="33.950000000000003" customHeight="1">
      <c r="A3545" s="5" t="s">
        <v>2825</v>
      </c>
      <c r="B3545" s="5" t="s">
        <v>2430</v>
      </c>
      <c r="C3545" s="9" t="s">
        <v>2826</v>
      </c>
      <c r="D3545" s="5">
        <v>2</v>
      </c>
      <c r="E3545" s="9" t="s">
        <v>3184</v>
      </c>
      <c r="F3545" s="5" t="s">
        <v>447</v>
      </c>
      <c r="G3545" s="5" t="s">
        <v>3177</v>
      </c>
      <c r="H3545" s="5"/>
      <c r="I3545" s="9" t="s">
        <v>3302</v>
      </c>
      <c r="J3545" s="5"/>
      <c r="K3545" s="5">
        <v>3869</v>
      </c>
      <c r="L3545" s="9" t="s">
        <v>6870</v>
      </c>
      <c r="M3545" s="5">
        <v>6.5</v>
      </c>
      <c r="N3545" s="9" t="s">
        <v>6871</v>
      </c>
      <c r="O3545" s="9" t="str">
        <f t="shared" si="335"/>
        <v>PDFを開く</v>
      </c>
      <c r="P3545" s="9" t="s">
        <v>2832</v>
      </c>
    </row>
    <row r="3546" spans="1:16" ht="33.950000000000003" customHeight="1">
      <c r="A3546" s="2" t="s">
        <v>2825</v>
      </c>
      <c r="B3546" s="2" t="s">
        <v>2430</v>
      </c>
      <c r="C3546" s="8" t="s">
        <v>2826</v>
      </c>
      <c r="D3546" s="2">
        <v>2</v>
      </c>
      <c r="E3546" s="8" t="s">
        <v>3184</v>
      </c>
      <c r="F3546" s="2" t="s">
        <v>447</v>
      </c>
      <c r="G3546" s="2" t="s">
        <v>3177</v>
      </c>
      <c r="H3546" s="2"/>
      <c r="I3546" s="8" t="s">
        <v>3305</v>
      </c>
      <c r="J3546" s="2"/>
      <c r="K3546" s="2">
        <v>4674</v>
      </c>
      <c r="L3546" s="8" t="s">
        <v>6872</v>
      </c>
      <c r="M3546" s="2">
        <v>6.5</v>
      </c>
      <c r="N3546" s="8" t="s">
        <v>6871</v>
      </c>
      <c r="O3546" s="8" t="str">
        <f t="shared" si="335"/>
        <v>PDFを開く</v>
      </c>
      <c r="P3546" s="8" t="s">
        <v>2832</v>
      </c>
    </row>
    <row r="3547" spans="1:16" ht="33.950000000000003" customHeight="1">
      <c r="A3547" s="5" t="s">
        <v>2825</v>
      </c>
      <c r="B3547" s="5" t="s">
        <v>2430</v>
      </c>
      <c r="C3547" s="9" t="s">
        <v>2826</v>
      </c>
      <c r="D3547" s="5">
        <v>2</v>
      </c>
      <c r="E3547" s="9" t="s">
        <v>3188</v>
      </c>
      <c r="F3547" s="5" t="s">
        <v>447</v>
      </c>
      <c r="G3547" s="19" t="s">
        <v>3189</v>
      </c>
      <c r="H3547" s="5"/>
      <c r="I3547" s="9"/>
      <c r="J3547" s="5"/>
      <c r="K3547" s="5"/>
      <c r="L3547" s="9"/>
      <c r="M3547" s="5">
        <v>5.8</v>
      </c>
      <c r="N3547" s="9" t="s">
        <v>6873</v>
      </c>
      <c r="O3547" s="9" t="str">
        <f t="shared" si="335"/>
        <v>PDFを開く</v>
      </c>
      <c r="P3547" s="9" t="s">
        <v>2832</v>
      </c>
    </row>
    <row r="3548" spans="1:16" ht="33.950000000000003" customHeight="1">
      <c r="A3548" s="2" t="s">
        <v>2825</v>
      </c>
      <c r="B3548" s="2" t="s">
        <v>2430</v>
      </c>
      <c r="C3548" s="8" t="s">
        <v>2826</v>
      </c>
      <c r="D3548" s="2">
        <v>2</v>
      </c>
      <c r="E3548" s="8" t="s">
        <v>3191</v>
      </c>
      <c r="F3548" s="2" t="s">
        <v>2513</v>
      </c>
      <c r="G3548" s="2" t="s">
        <v>3177</v>
      </c>
      <c r="H3548" s="2"/>
      <c r="I3548" s="8" t="s">
        <v>3302</v>
      </c>
      <c r="J3548" s="2"/>
      <c r="K3548" s="2">
        <v>55</v>
      </c>
      <c r="L3548" s="8" t="s">
        <v>3944</v>
      </c>
      <c r="M3548" s="2"/>
      <c r="N3548" s="8" t="s">
        <v>6874</v>
      </c>
      <c r="O3548" s="8" t="str">
        <f t="shared" si="335"/>
        <v>PDFを開く</v>
      </c>
      <c r="P3548" s="8" t="s">
        <v>2832</v>
      </c>
    </row>
    <row r="3549" spans="1:16" ht="33.950000000000003" customHeight="1">
      <c r="A3549" s="5" t="s">
        <v>2825</v>
      </c>
      <c r="B3549" s="5" t="s">
        <v>2430</v>
      </c>
      <c r="C3549" s="9" t="s">
        <v>2826</v>
      </c>
      <c r="D3549" s="5">
        <v>2</v>
      </c>
      <c r="E3549" s="9" t="s">
        <v>3191</v>
      </c>
      <c r="F3549" s="5" t="s">
        <v>2513</v>
      </c>
      <c r="G3549" s="5" t="s">
        <v>3177</v>
      </c>
      <c r="H3549" s="5"/>
      <c r="I3549" s="9" t="s">
        <v>3305</v>
      </c>
      <c r="J3549" s="5"/>
      <c r="K3549" s="5">
        <v>65</v>
      </c>
      <c r="L3549" s="9" t="s">
        <v>3642</v>
      </c>
      <c r="M3549" s="5"/>
      <c r="N3549" s="9" t="s">
        <v>6874</v>
      </c>
      <c r="O3549" s="9" t="str">
        <f t="shared" si="335"/>
        <v>PDFを開く</v>
      </c>
      <c r="P3549" s="9" t="s">
        <v>2832</v>
      </c>
    </row>
    <row r="3550" spans="1:16" ht="33.950000000000003" customHeight="1">
      <c r="A3550" s="2" t="s">
        <v>2825</v>
      </c>
      <c r="B3550" s="2" t="s">
        <v>2430</v>
      </c>
      <c r="C3550" s="8" t="s">
        <v>2826</v>
      </c>
      <c r="D3550" s="2">
        <v>2</v>
      </c>
      <c r="E3550" s="8" t="s">
        <v>3188</v>
      </c>
      <c r="F3550" s="2" t="s">
        <v>447</v>
      </c>
      <c r="G3550" s="2" t="s">
        <v>3177</v>
      </c>
      <c r="H3550" s="2"/>
      <c r="I3550" s="8" t="s">
        <v>6875</v>
      </c>
      <c r="J3550" s="2"/>
      <c r="K3550" s="2"/>
      <c r="L3550" s="8" t="s">
        <v>3211</v>
      </c>
      <c r="M3550" s="2">
        <v>5.8</v>
      </c>
      <c r="N3550" s="8" t="s">
        <v>6876</v>
      </c>
      <c r="O3550" s="8" t="str">
        <f t="shared" si="335"/>
        <v>PDFを開く</v>
      </c>
      <c r="P3550" s="8" t="s">
        <v>2832</v>
      </c>
    </row>
    <row r="3551" spans="1:16" ht="33.950000000000003" customHeight="1">
      <c r="A3551" s="5" t="s">
        <v>2825</v>
      </c>
      <c r="B3551" s="5" t="s">
        <v>2430</v>
      </c>
      <c r="C3551" s="9" t="s">
        <v>2826</v>
      </c>
      <c r="D3551" s="5">
        <v>2</v>
      </c>
      <c r="E3551" s="9" t="s">
        <v>3188</v>
      </c>
      <c r="F3551" s="5" t="s">
        <v>447</v>
      </c>
      <c r="G3551" s="5" t="s">
        <v>3177</v>
      </c>
      <c r="H3551" s="5"/>
      <c r="I3551" s="9" t="s">
        <v>6877</v>
      </c>
      <c r="J3551" s="5"/>
      <c r="K3551" s="5"/>
      <c r="L3551" s="9" t="s">
        <v>6878</v>
      </c>
      <c r="M3551" s="5">
        <v>5.8</v>
      </c>
      <c r="N3551" s="9" t="s">
        <v>6876</v>
      </c>
      <c r="O3551" s="9" t="str">
        <f t="shared" si="335"/>
        <v>PDFを開く</v>
      </c>
      <c r="P3551" s="9" t="s">
        <v>2832</v>
      </c>
    </row>
    <row r="3552" spans="1:16" ht="33.950000000000003" customHeight="1">
      <c r="A3552" s="2" t="s">
        <v>2833</v>
      </c>
      <c r="B3552" s="2" t="s">
        <v>2430</v>
      </c>
      <c r="C3552" s="8" t="s">
        <v>2834</v>
      </c>
      <c r="D3552" s="2">
        <v>2</v>
      </c>
      <c r="E3552" s="8" t="s">
        <v>3176</v>
      </c>
      <c r="F3552" s="2" t="s">
        <v>447</v>
      </c>
      <c r="G3552" s="2" t="s">
        <v>3177</v>
      </c>
      <c r="H3552" s="2"/>
      <c r="I3552" s="8" t="s">
        <v>3302</v>
      </c>
      <c r="J3552" s="2"/>
      <c r="K3552" s="2">
        <v>9956</v>
      </c>
      <c r="L3552" s="8" t="s">
        <v>6879</v>
      </c>
      <c r="M3552" s="2">
        <v>41.6</v>
      </c>
      <c r="N3552" s="8" t="s">
        <v>6880</v>
      </c>
      <c r="O3552" s="8" t="str">
        <f t="shared" ref="O3552:O3560" si="336">HYPERLINK("https://seichotoushi-hojo.jp/assets/pdf/koufu_3_4ji/outline_174.pdf","PDFを開く")</f>
        <v>PDFを開く</v>
      </c>
      <c r="P3552" s="8" t="s">
        <v>2840</v>
      </c>
    </row>
    <row r="3553" spans="1:16" ht="33.950000000000003" customHeight="1">
      <c r="A3553" s="5" t="s">
        <v>2833</v>
      </c>
      <c r="B3553" s="5" t="s">
        <v>2430</v>
      </c>
      <c r="C3553" s="9" t="s">
        <v>2834</v>
      </c>
      <c r="D3553" s="5">
        <v>2</v>
      </c>
      <c r="E3553" s="9" t="s">
        <v>3176</v>
      </c>
      <c r="F3553" s="5" t="s">
        <v>447</v>
      </c>
      <c r="G3553" s="5" t="s">
        <v>3177</v>
      </c>
      <c r="H3553" s="5"/>
      <c r="I3553" s="9" t="s">
        <v>3305</v>
      </c>
      <c r="J3553" s="5"/>
      <c r="K3553" s="5">
        <v>28294</v>
      </c>
      <c r="L3553" s="9" t="s">
        <v>6881</v>
      </c>
      <c r="M3553" s="5">
        <v>41.6</v>
      </c>
      <c r="N3553" s="9" t="s">
        <v>6880</v>
      </c>
      <c r="O3553" s="9" t="str">
        <f t="shared" si="336"/>
        <v>PDFを開く</v>
      </c>
      <c r="P3553" s="9" t="s">
        <v>2840</v>
      </c>
    </row>
    <row r="3554" spans="1:16" ht="33.950000000000003" customHeight="1">
      <c r="A3554" s="2" t="s">
        <v>2833</v>
      </c>
      <c r="B3554" s="2" t="s">
        <v>2430</v>
      </c>
      <c r="C3554" s="8" t="s">
        <v>2834</v>
      </c>
      <c r="D3554" s="2">
        <v>2</v>
      </c>
      <c r="E3554" s="8" t="s">
        <v>3184</v>
      </c>
      <c r="F3554" s="2" t="s">
        <v>447</v>
      </c>
      <c r="G3554" s="2" t="s">
        <v>3177</v>
      </c>
      <c r="H3554" s="2"/>
      <c r="I3554" s="8" t="s">
        <v>3302</v>
      </c>
      <c r="J3554" s="2"/>
      <c r="K3554" s="2">
        <v>6046</v>
      </c>
      <c r="L3554" s="8" t="s">
        <v>6882</v>
      </c>
      <c r="M3554" s="2">
        <v>6.5</v>
      </c>
      <c r="N3554" s="8" t="s">
        <v>6883</v>
      </c>
      <c r="O3554" s="8" t="str">
        <f t="shared" si="336"/>
        <v>PDFを開く</v>
      </c>
      <c r="P3554" s="8" t="s">
        <v>2840</v>
      </c>
    </row>
    <row r="3555" spans="1:16" ht="33.950000000000003" customHeight="1">
      <c r="A3555" s="5" t="s">
        <v>2833</v>
      </c>
      <c r="B3555" s="5" t="s">
        <v>2430</v>
      </c>
      <c r="C3555" s="9" t="s">
        <v>2834</v>
      </c>
      <c r="D3555" s="5">
        <v>2</v>
      </c>
      <c r="E3555" s="9" t="s">
        <v>3184</v>
      </c>
      <c r="F3555" s="5" t="s">
        <v>447</v>
      </c>
      <c r="G3555" s="5" t="s">
        <v>3177</v>
      </c>
      <c r="H3555" s="5"/>
      <c r="I3555" s="9" t="s">
        <v>3305</v>
      </c>
      <c r="J3555" s="5"/>
      <c r="K3555" s="5">
        <v>7305</v>
      </c>
      <c r="L3555" s="9" t="s">
        <v>6884</v>
      </c>
      <c r="M3555" s="5">
        <v>6.5</v>
      </c>
      <c r="N3555" s="9" t="s">
        <v>6883</v>
      </c>
      <c r="O3555" s="9" t="str">
        <f t="shared" si="336"/>
        <v>PDFを開く</v>
      </c>
      <c r="P3555" s="9" t="s">
        <v>2840</v>
      </c>
    </row>
    <row r="3556" spans="1:16" ht="33.950000000000003" customHeight="1">
      <c r="A3556" s="2" t="s">
        <v>2833</v>
      </c>
      <c r="B3556" s="2" t="s">
        <v>2430</v>
      </c>
      <c r="C3556" s="8" t="s">
        <v>2834</v>
      </c>
      <c r="D3556" s="2">
        <v>2</v>
      </c>
      <c r="E3556" s="8" t="s">
        <v>3188</v>
      </c>
      <c r="F3556" s="2" t="s">
        <v>447</v>
      </c>
      <c r="G3556" s="19" t="s">
        <v>3189</v>
      </c>
      <c r="H3556" s="2"/>
      <c r="I3556" s="8"/>
      <c r="J3556" s="2"/>
      <c r="K3556" s="2"/>
      <c r="L3556" s="8"/>
      <c r="M3556" s="2">
        <v>6.5</v>
      </c>
      <c r="N3556" s="8" t="s">
        <v>6727</v>
      </c>
      <c r="O3556" s="8" t="str">
        <f t="shared" si="336"/>
        <v>PDFを開く</v>
      </c>
      <c r="P3556" s="8" t="s">
        <v>2840</v>
      </c>
    </row>
    <row r="3557" spans="1:16" ht="33.950000000000003" customHeight="1">
      <c r="A3557" s="5" t="s">
        <v>2833</v>
      </c>
      <c r="B3557" s="5" t="s">
        <v>2430</v>
      </c>
      <c r="C3557" s="9" t="s">
        <v>2834</v>
      </c>
      <c r="D3557" s="5">
        <v>2</v>
      </c>
      <c r="E3557" s="9" t="s">
        <v>3191</v>
      </c>
      <c r="F3557" s="5" t="s">
        <v>2513</v>
      </c>
      <c r="G3557" s="5" t="s">
        <v>3177</v>
      </c>
      <c r="H3557" s="5"/>
      <c r="I3557" s="9" t="s">
        <v>3302</v>
      </c>
      <c r="J3557" s="5"/>
      <c r="K3557" s="5">
        <v>75</v>
      </c>
      <c r="L3557" s="9" t="s">
        <v>4098</v>
      </c>
      <c r="M3557" s="5"/>
      <c r="N3557" s="9" t="s">
        <v>6885</v>
      </c>
      <c r="O3557" s="9" t="str">
        <f t="shared" si="336"/>
        <v>PDFを開く</v>
      </c>
      <c r="P3557" s="9" t="s">
        <v>2840</v>
      </c>
    </row>
    <row r="3558" spans="1:16" ht="33.950000000000003" customHeight="1">
      <c r="A3558" s="2" t="s">
        <v>2833</v>
      </c>
      <c r="B3558" s="2" t="s">
        <v>2430</v>
      </c>
      <c r="C3558" s="8" t="s">
        <v>2834</v>
      </c>
      <c r="D3558" s="2">
        <v>2</v>
      </c>
      <c r="E3558" s="8" t="s">
        <v>3191</v>
      </c>
      <c r="F3558" s="2" t="s">
        <v>2513</v>
      </c>
      <c r="G3558" s="2" t="s">
        <v>3177</v>
      </c>
      <c r="H3558" s="2"/>
      <c r="I3558" s="8" t="s">
        <v>3305</v>
      </c>
      <c r="J3558" s="2"/>
      <c r="K3558" s="2">
        <v>90</v>
      </c>
      <c r="L3558" s="8" t="s">
        <v>5139</v>
      </c>
      <c r="M3558" s="2"/>
      <c r="N3558" s="8" t="s">
        <v>6885</v>
      </c>
      <c r="O3558" s="8" t="str">
        <f t="shared" si="336"/>
        <v>PDFを開く</v>
      </c>
      <c r="P3558" s="8" t="s">
        <v>2840</v>
      </c>
    </row>
    <row r="3559" spans="1:16" ht="33.950000000000003" customHeight="1">
      <c r="A3559" s="5" t="s">
        <v>2833</v>
      </c>
      <c r="B3559" s="5" t="s">
        <v>2430</v>
      </c>
      <c r="C3559" s="9" t="s">
        <v>2834</v>
      </c>
      <c r="D3559" s="5">
        <v>2</v>
      </c>
      <c r="E3559" s="9" t="s">
        <v>3188</v>
      </c>
      <c r="F3559" s="5" t="s">
        <v>447</v>
      </c>
      <c r="G3559" s="5" t="s">
        <v>3177</v>
      </c>
      <c r="H3559" s="5"/>
      <c r="I3559" s="9" t="s">
        <v>6886</v>
      </c>
      <c r="J3559" s="5"/>
      <c r="K3559" s="5"/>
      <c r="L3559" s="9" t="s">
        <v>3211</v>
      </c>
      <c r="M3559" s="5">
        <v>6.5</v>
      </c>
      <c r="N3559" s="9" t="s">
        <v>6330</v>
      </c>
      <c r="O3559" s="9" t="str">
        <f t="shared" si="336"/>
        <v>PDFを開く</v>
      </c>
      <c r="P3559" s="9" t="s">
        <v>2840</v>
      </c>
    </row>
    <row r="3560" spans="1:16" ht="33.950000000000003" customHeight="1">
      <c r="A3560" s="2" t="s">
        <v>2833</v>
      </c>
      <c r="B3560" s="2" t="s">
        <v>2430</v>
      </c>
      <c r="C3560" s="8" t="s">
        <v>2834</v>
      </c>
      <c r="D3560" s="2">
        <v>2</v>
      </c>
      <c r="E3560" s="8" t="s">
        <v>3188</v>
      </c>
      <c r="F3560" s="2" t="s">
        <v>447</v>
      </c>
      <c r="G3560" s="2" t="s">
        <v>3177</v>
      </c>
      <c r="H3560" s="2"/>
      <c r="I3560" s="8" t="s">
        <v>6887</v>
      </c>
      <c r="J3560" s="2"/>
      <c r="K3560" s="2"/>
      <c r="L3560" s="8" t="s">
        <v>5447</v>
      </c>
      <c r="M3560" s="2">
        <v>6.5</v>
      </c>
      <c r="N3560" s="8" t="s">
        <v>6330</v>
      </c>
      <c r="O3560" s="8" t="str">
        <f t="shared" si="336"/>
        <v>PDFを開く</v>
      </c>
      <c r="P3560" s="8" t="s">
        <v>2840</v>
      </c>
    </row>
    <row r="3561" spans="1:16" ht="33.950000000000003" customHeight="1">
      <c r="A3561" s="5" t="s">
        <v>2841</v>
      </c>
      <c r="B3561" s="5" t="s">
        <v>2430</v>
      </c>
      <c r="C3561" s="9" t="s">
        <v>2842</v>
      </c>
      <c r="D3561" s="5">
        <v>2</v>
      </c>
      <c r="E3561" s="9" t="s">
        <v>3176</v>
      </c>
      <c r="F3561" s="5" t="s">
        <v>447</v>
      </c>
      <c r="G3561" s="5" t="s">
        <v>3177</v>
      </c>
      <c r="H3561" s="5"/>
      <c r="I3561" s="9" t="s">
        <v>3302</v>
      </c>
      <c r="J3561" s="5"/>
      <c r="K3561" s="5">
        <v>9341</v>
      </c>
      <c r="L3561" s="9" t="s">
        <v>6888</v>
      </c>
      <c r="M3561" s="5">
        <v>21.3</v>
      </c>
      <c r="N3561" s="9" t="s">
        <v>6889</v>
      </c>
      <c r="O3561" s="9" t="str">
        <f t="shared" ref="O3561:O3569" si="337">HYPERLINK("https://seichotoushi-hojo.jp/assets/pdf/koufu_3_4ji/outline_175.pdf","PDFを開く")</f>
        <v>PDFを開く</v>
      </c>
      <c r="P3561" s="9" t="s">
        <v>2848</v>
      </c>
    </row>
    <row r="3562" spans="1:16" ht="33.950000000000003" customHeight="1">
      <c r="A3562" s="2" t="s">
        <v>2841</v>
      </c>
      <c r="B3562" s="2" t="s">
        <v>2430</v>
      </c>
      <c r="C3562" s="8" t="s">
        <v>2842</v>
      </c>
      <c r="D3562" s="2">
        <v>2</v>
      </c>
      <c r="E3562" s="8" t="s">
        <v>3176</v>
      </c>
      <c r="F3562" s="2" t="s">
        <v>447</v>
      </c>
      <c r="G3562" s="2" t="s">
        <v>3177</v>
      </c>
      <c r="H3562" s="2"/>
      <c r="I3562" s="8" t="s">
        <v>3305</v>
      </c>
      <c r="J3562" s="2"/>
      <c r="K3562" s="2">
        <v>16690</v>
      </c>
      <c r="L3562" s="8" t="s">
        <v>6890</v>
      </c>
      <c r="M3562" s="2">
        <v>21.3</v>
      </c>
      <c r="N3562" s="8" t="s">
        <v>6889</v>
      </c>
      <c r="O3562" s="8" t="str">
        <f t="shared" si="337"/>
        <v>PDFを開く</v>
      </c>
      <c r="P3562" s="8" t="s">
        <v>2848</v>
      </c>
    </row>
    <row r="3563" spans="1:16" ht="33.950000000000003" customHeight="1">
      <c r="A3563" s="5" t="s">
        <v>2841</v>
      </c>
      <c r="B3563" s="5" t="s">
        <v>2430</v>
      </c>
      <c r="C3563" s="9" t="s">
        <v>2842</v>
      </c>
      <c r="D3563" s="5">
        <v>2</v>
      </c>
      <c r="E3563" s="9" t="s">
        <v>3184</v>
      </c>
      <c r="F3563" s="5" t="s">
        <v>447</v>
      </c>
      <c r="G3563" s="5" t="s">
        <v>3177</v>
      </c>
      <c r="H3563" s="5"/>
      <c r="I3563" s="9" t="s">
        <v>3302</v>
      </c>
      <c r="J3563" s="5"/>
      <c r="K3563" s="5">
        <v>4136</v>
      </c>
      <c r="L3563" s="9" t="s">
        <v>6891</v>
      </c>
      <c r="M3563" s="5">
        <v>7</v>
      </c>
      <c r="N3563" s="9" t="s">
        <v>6892</v>
      </c>
      <c r="O3563" s="9" t="str">
        <f t="shared" si="337"/>
        <v>PDFを開く</v>
      </c>
      <c r="P3563" s="9" t="s">
        <v>2848</v>
      </c>
    </row>
    <row r="3564" spans="1:16" ht="33.950000000000003" customHeight="1">
      <c r="A3564" s="2" t="s">
        <v>2841</v>
      </c>
      <c r="B3564" s="2" t="s">
        <v>2430</v>
      </c>
      <c r="C3564" s="8" t="s">
        <v>2842</v>
      </c>
      <c r="D3564" s="2">
        <v>2</v>
      </c>
      <c r="E3564" s="8" t="s">
        <v>3184</v>
      </c>
      <c r="F3564" s="2" t="s">
        <v>447</v>
      </c>
      <c r="G3564" s="2" t="s">
        <v>3177</v>
      </c>
      <c r="H3564" s="2"/>
      <c r="I3564" s="8" t="s">
        <v>3305</v>
      </c>
      <c r="J3564" s="2"/>
      <c r="K3564" s="2">
        <v>5067</v>
      </c>
      <c r="L3564" s="8" t="s">
        <v>6848</v>
      </c>
      <c r="M3564" s="2">
        <v>7</v>
      </c>
      <c r="N3564" s="8" t="s">
        <v>6892</v>
      </c>
      <c r="O3564" s="8" t="str">
        <f t="shared" si="337"/>
        <v>PDFを開く</v>
      </c>
      <c r="P3564" s="8" t="s">
        <v>2848</v>
      </c>
    </row>
    <row r="3565" spans="1:16" ht="33.950000000000003" customHeight="1">
      <c r="A3565" s="5" t="s">
        <v>2841</v>
      </c>
      <c r="B3565" s="5" t="s">
        <v>2430</v>
      </c>
      <c r="C3565" s="9" t="s">
        <v>2842</v>
      </c>
      <c r="D3565" s="5">
        <v>2</v>
      </c>
      <c r="E3565" s="9" t="s">
        <v>3188</v>
      </c>
      <c r="F3565" s="5" t="s">
        <v>447</v>
      </c>
      <c r="G3565" s="19" t="s">
        <v>3189</v>
      </c>
      <c r="H3565" s="5"/>
      <c r="I3565" s="9"/>
      <c r="J3565" s="5"/>
      <c r="K3565" s="5"/>
      <c r="L3565" s="9"/>
      <c r="M3565" s="5">
        <v>5.3</v>
      </c>
      <c r="N3565" s="9" t="s">
        <v>6893</v>
      </c>
      <c r="O3565" s="9" t="str">
        <f t="shared" si="337"/>
        <v>PDFを開く</v>
      </c>
      <c r="P3565" s="9" t="s">
        <v>2848</v>
      </c>
    </row>
    <row r="3566" spans="1:16" ht="33.950000000000003" customHeight="1">
      <c r="A3566" s="2" t="s">
        <v>2841</v>
      </c>
      <c r="B3566" s="2" t="s">
        <v>2430</v>
      </c>
      <c r="C3566" s="8" t="s">
        <v>2842</v>
      </c>
      <c r="D3566" s="2">
        <v>2</v>
      </c>
      <c r="E3566" s="8" t="s">
        <v>3191</v>
      </c>
      <c r="F3566" s="2" t="s">
        <v>2513</v>
      </c>
      <c r="G3566" s="2" t="s">
        <v>3177</v>
      </c>
      <c r="H3566" s="2"/>
      <c r="I3566" s="8" t="s">
        <v>3302</v>
      </c>
      <c r="J3566" s="2"/>
      <c r="K3566" s="2">
        <v>190</v>
      </c>
      <c r="L3566" s="8" t="s">
        <v>5013</v>
      </c>
      <c r="M3566" s="2"/>
      <c r="N3566" s="8" t="s">
        <v>6894</v>
      </c>
      <c r="O3566" s="8" t="str">
        <f t="shared" si="337"/>
        <v>PDFを開く</v>
      </c>
      <c r="P3566" s="8" t="s">
        <v>2848</v>
      </c>
    </row>
    <row r="3567" spans="1:16" ht="33.950000000000003" customHeight="1">
      <c r="A3567" s="5" t="s">
        <v>2841</v>
      </c>
      <c r="B3567" s="5" t="s">
        <v>2430</v>
      </c>
      <c r="C3567" s="9" t="s">
        <v>2842</v>
      </c>
      <c r="D3567" s="5">
        <v>2</v>
      </c>
      <c r="E3567" s="9" t="s">
        <v>3191</v>
      </c>
      <c r="F3567" s="5" t="s">
        <v>2513</v>
      </c>
      <c r="G3567" s="5" t="s">
        <v>3177</v>
      </c>
      <c r="H3567" s="5"/>
      <c r="I3567" s="9" t="s">
        <v>3305</v>
      </c>
      <c r="J3567" s="5"/>
      <c r="K3567" s="5">
        <v>199</v>
      </c>
      <c r="L3567" s="9" t="s">
        <v>6895</v>
      </c>
      <c r="M3567" s="5"/>
      <c r="N3567" s="9" t="s">
        <v>6894</v>
      </c>
      <c r="O3567" s="9" t="str">
        <f t="shared" si="337"/>
        <v>PDFを開く</v>
      </c>
      <c r="P3567" s="9" t="s">
        <v>2848</v>
      </c>
    </row>
    <row r="3568" spans="1:16" ht="33.950000000000003" customHeight="1">
      <c r="A3568" s="2" t="s">
        <v>2841</v>
      </c>
      <c r="B3568" s="2" t="s">
        <v>2430</v>
      </c>
      <c r="C3568" s="8" t="s">
        <v>2842</v>
      </c>
      <c r="D3568" s="2">
        <v>2</v>
      </c>
      <c r="E3568" s="8" t="s">
        <v>3188</v>
      </c>
      <c r="F3568" s="2" t="s">
        <v>447</v>
      </c>
      <c r="G3568" s="2" t="s">
        <v>3177</v>
      </c>
      <c r="H3568" s="2"/>
      <c r="I3568" s="8" t="s">
        <v>6896</v>
      </c>
      <c r="J3568" s="2"/>
      <c r="K3568" s="2"/>
      <c r="L3568" s="8" t="s">
        <v>3211</v>
      </c>
      <c r="M3568" s="2">
        <v>5.3</v>
      </c>
      <c r="N3568" s="8" t="s">
        <v>6897</v>
      </c>
      <c r="O3568" s="8" t="str">
        <f t="shared" si="337"/>
        <v>PDFを開く</v>
      </c>
      <c r="P3568" s="8" t="s">
        <v>2848</v>
      </c>
    </row>
    <row r="3569" spans="1:16" ht="33.950000000000003" customHeight="1">
      <c r="A3569" s="5" t="s">
        <v>2841</v>
      </c>
      <c r="B3569" s="5" t="s">
        <v>2430</v>
      </c>
      <c r="C3569" s="9" t="s">
        <v>2842</v>
      </c>
      <c r="D3569" s="5">
        <v>2</v>
      </c>
      <c r="E3569" s="9" t="s">
        <v>3188</v>
      </c>
      <c r="F3569" s="5" t="s">
        <v>447</v>
      </c>
      <c r="G3569" s="5" t="s">
        <v>3177</v>
      </c>
      <c r="H3569" s="5"/>
      <c r="I3569" s="9" t="s">
        <v>6898</v>
      </c>
      <c r="J3569" s="5"/>
      <c r="K3569" s="5"/>
      <c r="L3569" s="9" t="s">
        <v>6899</v>
      </c>
      <c r="M3569" s="5">
        <v>5.3</v>
      </c>
      <c r="N3569" s="9" t="s">
        <v>6897</v>
      </c>
      <c r="O3569" s="9" t="str">
        <f t="shared" si="337"/>
        <v>PDFを開く</v>
      </c>
      <c r="P3569" s="9" t="s">
        <v>2848</v>
      </c>
    </row>
    <row r="3570" spans="1:16" ht="33.950000000000003" customHeight="1">
      <c r="A3570" s="2" t="s">
        <v>2849</v>
      </c>
      <c r="B3570" s="2" t="s">
        <v>2430</v>
      </c>
      <c r="C3570" s="8" t="s">
        <v>2850</v>
      </c>
      <c r="D3570" s="2">
        <v>2</v>
      </c>
      <c r="E3570" s="8" t="s">
        <v>3176</v>
      </c>
      <c r="F3570" s="2" t="s">
        <v>447</v>
      </c>
      <c r="G3570" s="2" t="s">
        <v>3177</v>
      </c>
      <c r="H3570" s="2"/>
      <c r="I3570" s="8" t="s">
        <v>3302</v>
      </c>
      <c r="J3570" s="2"/>
      <c r="K3570" s="2">
        <v>51556</v>
      </c>
      <c r="L3570" s="8" t="s">
        <v>6900</v>
      </c>
      <c r="M3570" s="2">
        <v>46.5</v>
      </c>
      <c r="N3570" s="8" t="s">
        <v>6901</v>
      </c>
      <c r="O3570" s="8" t="str">
        <f t="shared" ref="O3570:O3577" si="338">HYPERLINK("https://seichotoushi-hojo.jp/assets/pdf/koufu_3_4ji/outline_176.pdf","PDFを開く")</f>
        <v>PDFを開く</v>
      </c>
      <c r="P3570" s="8" t="s">
        <v>2856</v>
      </c>
    </row>
    <row r="3571" spans="1:16" ht="33.950000000000003" customHeight="1">
      <c r="A3571" s="5" t="s">
        <v>2849</v>
      </c>
      <c r="B3571" s="5" t="s">
        <v>2430</v>
      </c>
      <c r="C3571" s="9" t="s">
        <v>2850</v>
      </c>
      <c r="D3571" s="5">
        <v>2</v>
      </c>
      <c r="E3571" s="9" t="s">
        <v>3176</v>
      </c>
      <c r="F3571" s="5" t="s">
        <v>447</v>
      </c>
      <c r="G3571" s="5" t="s">
        <v>3177</v>
      </c>
      <c r="H3571" s="5"/>
      <c r="I3571" s="9" t="s">
        <v>3305</v>
      </c>
      <c r="J3571" s="5"/>
      <c r="K3571" s="5">
        <v>162123</v>
      </c>
      <c r="L3571" s="9" t="s">
        <v>6902</v>
      </c>
      <c r="M3571" s="5">
        <v>46.5</v>
      </c>
      <c r="N3571" s="9" t="s">
        <v>6901</v>
      </c>
      <c r="O3571" s="9" t="str">
        <f t="shared" si="338"/>
        <v>PDFを開く</v>
      </c>
      <c r="P3571" s="9" t="s">
        <v>2856</v>
      </c>
    </row>
    <row r="3572" spans="1:16" ht="33.950000000000003" customHeight="1">
      <c r="A3572" s="2" t="s">
        <v>2849</v>
      </c>
      <c r="B3572" s="2" t="s">
        <v>2430</v>
      </c>
      <c r="C3572" s="8" t="s">
        <v>2850</v>
      </c>
      <c r="D3572" s="2">
        <v>2</v>
      </c>
      <c r="E3572" s="8" t="s">
        <v>3184</v>
      </c>
      <c r="F3572" s="2" t="s">
        <v>447</v>
      </c>
      <c r="G3572" s="2" t="s">
        <v>3177</v>
      </c>
      <c r="H3572" s="2"/>
      <c r="I3572" s="8" t="s">
        <v>3302</v>
      </c>
      <c r="J3572" s="2"/>
      <c r="K3572" s="2">
        <v>2640</v>
      </c>
      <c r="L3572" s="8" t="s">
        <v>3581</v>
      </c>
      <c r="M3572" s="2">
        <v>20.6</v>
      </c>
      <c r="N3572" s="8" t="s">
        <v>6903</v>
      </c>
      <c r="O3572" s="8" t="str">
        <f t="shared" si="338"/>
        <v>PDFを開く</v>
      </c>
      <c r="P3572" s="8" t="s">
        <v>2856</v>
      </c>
    </row>
    <row r="3573" spans="1:16" ht="33.950000000000003" customHeight="1">
      <c r="A3573" s="5" t="s">
        <v>2849</v>
      </c>
      <c r="B3573" s="5" t="s">
        <v>2430</v>
      </c>
      <c r="C3573" s="9" t="s">
        <v>2850</v>
      </c>
      <c r="D3573" s="5">
        <v>2</v>
      </c>
      <c r="E3573" s="9" t="s">
        <v>3184</v>
      </c>
      <c r="F3573" s="5" t="s">
        <v>447</v>
      </c>
      <c r="G3573" s="5" t="s">
        <v>3177</v>
      </c>
      <c r="H3573" s="5"/>
      <c r="I3573" s="9" t="s">
        <v>3305</v>
      </c>
      <c r="J3573" s="5"/>
      <c r="K3573" s="5">
        <v>4630</v>
      </c>
      <c r="L3573" s="9" t="s">
        <v>6904</v>
      </c>
      <c r="M3573" s="5">
        <v>20.6</v>
      </c>
      <c r="N3573" s="9" t="s">
        <v>6903</v>
      </c>
      <c r="O3573" s="9" t="str">
        <f t="shared" si="338"/>
        <v>PDFを開く</v>
      </c>
      <c r="P3573" s="9" t="s">
        <v>2856</v>
      </c>
    </row>
    <row r="3574" spans="1:16" ht="33.950000000000003" customHeight="1">
      <c r="A3574" s="2" t="s">
        <v>2849</v>
      </c>
      <c r="B3574" s="2" t="s">
        <v>2430</v>
      </c>
      <c r="C3574" s="8" t="s">
        <v>2850</v>
      </c>
      <c r="D3574" s="2">
        <v>2</v>
      </c>
      <c r="E3574" s="8" t="s">
        <v>3188</v>
      </c>
      <c r="F3574" s="2" t="s">
        <v>447</v>
      </c>
      <c r="G3574" s="2" t="s">
        <v>3177</v>
      </c>
      <c r="H3574" s="2"/>
      <c r="I3574" s="8" t="s">
        <v>3302</v>
      </c>
      <c r="J3574" s="2"/>
      <c r="K3574" s="2">
        <v>18000</v>
      </c>
      <c r="L3574" s="8" t="s">
        <v>6905</v>
      </c>
      <c r="M3574" s="2">
        <v>49.4</v>
      </c>
      <c r="N3574" s="8" t="s">
        <v>6906</v>
      </c>
      <c r="O3574" s="8" t="str">
        <f t="shared" si="338"/>
        <v>PDFを開く</v>
      </c>
      <c r="P3574" s="8" t="s">
        <v>2856</v>
      </c>
    </row>
    <row r="3575" spans="1:16" ht="33.950000000000003" customHeight="1">
      <c r="A3575" s="5" t="s">
        <v>2849</v>
      </c>
      <c r="B3575" s="5" t="s">
        <v>2430</v>
      </c>
      <c r="C3575" s="9" t="s">
        <v>2850</v>
      </c>
      <c r="D3575" s="5">
        <v>2</v>
      </c>
      <c r="E3575" s="9" t="s">
        <v>3188</v>
      </c>
      <c r="F3575" s="5" t="s">
        <v>447</v>
      </c>
      <c r="G3575" s="5" t="s">
        <v>3177</v>
      </c>
      <c r="H3575" s="5"/>
      <c r="I3575" s="9" t="s">
        <v>3305</v>
      </c>
      <c r="J3575" s="5"/>
      <c r="K3575" s="5">
        <v>60000</v>
      </c>
      <c r="L3575" s="9" t="s">
        <v>6907</v>
      </c>
      <c r="M3575" s="5">
        <v>49.4</v>
      </c>
      <c r="N3575" s="9" t="s">
        <v>6906</v>
      </c>
      <c r="O3575" s="9" t="str">
        <f t="shared" si="338"/>
        <v>PDFを開く</v>
      </c>
      <c r="P3575" s="9" t="s">
        <v>2856</v>
      </c>
    </row>
    <row r="3576" spans="1:16" ht="33.950000000000003" customHeight="1">
      <c r="A3576" s="2" t="s">
        <v>2849</v>
      </c>
      <c r="B3576" s="2" t="s">
        <v>2430</v>
      </c>
      <c r="C3576" s="8" t="s">
        <v>2850</v>
      </c>
      <c r="D3576" s="2">
        <v>2</v>
      </c>
      <c r="E3576" s="8" t="s">
        <v>3191</v>
      </c>
      <c r="F3576" s="2" t="s">
        <v>2513</v>
      </c>
      <c r="G3576" s="2" t="s">
        <v>3177</v>
      </c>
      <c r="H3576" s="2"/>
      <c r="I3576" s="8" t="s">
        <v>3302</v>
      </c>
      <c r="J3576" s="2"/>
      <c r="K3576" s="2">
        <v>16</v>
      </c>
      <c r="L3576" s="8" t="s">
        <v>4114</v>
      </c>
      <c r="M3576" s="2"/>
      <c r="N3576" s="8" t="s">
        <v>6908</v>
      </c>
      <c r="O3576" s="8" t="str">
        <f t="shared" si="338"/>
        <v>PDFを開く</v>
      </c>
      <c r="P3576" s="8" t="s">
        <v>2856</v>
      </c>
    </row>
    <row r="3577" spans="1:16" ht="33.950000000000003" customHeight="1">
      <c r="A3577" s="5" t="s">
        <v>2849</v>
      </c>
      <c r="B3577" s="5" t="s">
        <v>2430</v>
      </c>
      <c r="C3577" s="9" t="s">
        <v>2850</v>
      </c>
      <c r="D3577" s="5">
        <v>2</v>
      </c>
      <c r="E3577" s="9" t="s">
        <v>3191</v>
      </c>
      <c r="F3577" s="5" t="s">
        <v>2513</v>
      </c>
      <c r="G3577" s="5" t="s">
        <v>3177</v>
      </c>
      <c r="H3577" s="5"/>
      <c r="I3577" s="9" t="s">
        <v>3305</v>
      </c>
      <c r="J3577" s="5"/>
      <c r="K3577" s="5">
        <v>33</v>
      </c>
      <c r="L3577" s="9" t="s">
        <v>3554</v>
      </c>
      <c r="M3577" s="5"/>
      <c r="N3577" s="9" t="s">
        <v>6908</v>
      </c>
      <c r="O3577" s="9" t="str">
        <f t="shared" si="338"/>
        <v>PDFを開く</v>
      </c>
      <c r="P3577" s="9" t="s">
        <v>2856</v>
      </c>
    </row>
    <row r="3578" spans="1:16" ht="33.950000000000003" customHeight="1">
      <c r="A3578" s="2" t="s">
        <v>2857</v>
      </c>
      <c r="B3578" s="2" t="s">
        <v>2430</v>
      </c>
      <c r="C3578" s="8" t="s">
        <v>2858</v>
      </c>
      <c r="D3578" s="2">
        <v>2</v>
      </c>
      <c r="E3578" s="8" t="s">
        <v>3176</v>
      </c>
      <c r="F3578" s="2" t="s">
        <v>447</v>
      </c>
      <c r="G3578" s="2" t="s">
        <v>3177</v>
      </c>
      <c r="H3578" s="2" t="s">
        <v>3178</v>
      </c>
      <c r="I3578" s="8" t="s">
        <v>3259</v>
      </c>
      <c r="J3578" s="2">
        <v>2027</v>
      </c>
      <c r="K3578" s="2">
        <v>-1881</v>
      </c>
      <c r="L3578" s="8" t="s">
        <v>6909</v>
      </c>
      <c r="M3578" s="2"/>
      <c r="N3578" s="8" t="s">
        <v>6910</v>
      </c>
      <c r="O3578" s="8" t="str">
        <f t="shared" ref="O3578:O3590" si="339">HYPERLINK("https://seichotoushi-hojo.jp/assets/pdf/koufu_3_4ji/outline_177.pdf","PDFを開く")</f>
        <v>PDFを開く</v>
      </c>
      <c r="P3578" s="8" t="s">
        <v>2864</v>
      </c>
    </row>
    <row r="3579" spans="1:16" ht="33.950000000000003" customHeight="1">
      <c r="A3579" s="5" t="s">
        <v>2857</v>
      </c>
      <c r="B3579" s="5" t="s">
        <v>2430</v>
      </c>
      <c r="C3579" s="9" t="s">
        <v>2858</v>
      </c>
      <c r="D3579" s="5">
        <v>2</v>
      </c>
      <c r="E3579" s="9" t="s">
        <v>3176</v>
      </c>
      <c r="F3579" s="5" t="s">
        <v>447</v>
      </c>
      <c r="G3579" s="5" t="s">
        <v>3177</v>
      </c>
      <c r="H3579" s="5" t="s">
        <v>3178</v>
      </c>
      <c r="I3579" s="9" t="s">
        <v>3262</v>
      </c>
      <c r="J3579" s="5">
        <v>2030</v>
      </c>
      <c r="K3579" s="5">
        <v>25212</v>
      </c>
      <c r="L3579" s="9" t="s">
        <v>6911</v>
      </c>
      <c r="M3579" s="5"/>
      <c r="N3579" s="9" t="s">
        <v>6910</v>
      </c>
      <c r="O3579" s="9" t="str">
        <f t="shared" si="339"/>
        <v>PDFを開く</v>
      </c>
      <c r="P3579" s="9" t="s">
        <v>2864</v>
      </c>
    </row>
    <row r="3580" spans="1:16" ht="33.950000000000003" customHeight="1">
      <c r="A3580" s="2" t="s">
        <v>2857</v>
      </c>
      <c r="B3580" s="2" t="s">
        <v>2430</v>
      </c>
      <c r="C3580" s="8" t="s">
        <v>2858</v>
      </c>
      <c r="D3580" s="2">
        <v>2</v>
      </c>
      <c r="E3580" s="8" t="s">
        <v>3184</v>
      </c>
      <c r="F3580" s="2" t="s">
        <v>447</v>
      </c>
      <c r="G3580" s="2" t="s">
        <v>3177</v>
      </c>
      <c r="H3580" s="2" t="s">
        <v>3178</v>
      </c>
      <c r="I3580" s="8" t="s">
        <v>3259</v>
      </c>
      <c r="J3580" s="2">
        <v>2027</v>
      </c>
      <c r="K3580" s="2">
        <v>8089</v>
      </c>
      <c r="L3580" s="8" t="s">
        <v>6912</v>
      </c>
      <c r="M3580" s="2">
        <v>3</v>
      </c>
      <c r="N3580" s="8" t="s">
        <v>6913</v>
      </c>
      <c r="O3580" s="8" t="str">
        <f t="shared" si="339"/>
        <v>PDFを開く</v>
      </c>
      <c r="P3580" s="8" t="s">
        <v>2864</v>
      </c>
    </row>
    <row r="3581" spans="1:16" ht="33.950000000000003" customHeight="1">
      <c r="A3581" s="5" t="s">
        <v>2857</v>
      </c>
      <c r="B3581" s="5" t="s">
        <v>2430</v>
      </c>
      <c r="C3581" s="9" t="s">
        <v>2858</v>
      </c>
      <c r="D3581" s="5">
        <v>2</v>
      </c>
      <c r="E3581" s="9" t="s">
        <v>3184</v>
      </c>
      <c r="F3581" s="5" t="s">
        <v>447</v>
      </c>
      <c r="G3581" s="5" t="s">
        <v>3177</v>
      </c>
      <c r="H3581" s="5" t="s">
        <v>3178</v>
      </c>
      <c r="I3581" s="9" t="s">
        <v>3262</v>
      </c>
      <c r="J3581" s="5">
        <v>2030</v>
      </c>
      <c r="K3581" s="5">
        <v>989</v>
      </c>
      <c r="L3581" s="9" t="s">
        <v>6914</v>
      </c>
      <c r="M3581" s="5">
        <v>3</v>
      </c>
      <c r="N3581" s="9" t="s">
        <v>6913</v>
      </c>
      <c r="O3581" s="9" t="str">
        <f t="shared" si="339"/>
        <v>PDFを開く</v>
      </c>
      <c r="P3581" s="9" t="s">
        <v>2864</v>
      </c>
    </row>
    <row r="3582" spans="1:16" ht="33.950000000000003" customHeight="1">
      <c r="A3582" s="2" t="s">
        <v>2857</v>
      </c>
      <c r="B3582" s="2" t="s">
        <v>2430</v>
      </c>
      <c r="C3582" s="8" t="s">
        <v>2858</v>
      </c>
      <c r="D3582" s="2">
        <v>2</v>
      </c>
      <c r="E3582" s="8" t="s">
        <v>3188</v>
      </c>
      <c r="F3582" s="2" t="s">
        <v>447</v>
      </c>
      <c r="G3582" s="19" t="s">
        <v>3189</v>
      </c>
      <c r="H3582" s="2" t="s">
        <v>3178</v>
      </c>
      <c r="I3582" s="8"/>
      <c r="J3582" s="2"/>
      <c r="K3582" s="2"/>
      <c r="L3582" s="8"/>
      <c r="M3582" s="2">
        <v>5.8</v>
      </c>
      <c r="N3582" s="8" t="s">
        <v>6915</v>
      </c>
      <c r="O3582" s="8" t="str">
        <f t="shared" si="339"/>
        <v>PDFを開く</v>
      </c>
      <c r="P3582" s="8" t="s">
        <v>2864</v>
      </c>
    </row>
    <row r="3583" spans="1:16" ht="33.950000000000003" customHeight="1">
      <c r="A3583" s="5" t="s">
        <v>2857</v>
      </c>
      <c r="B3583" s="5" t="s">
        <v>2430</v>
      </c>
      <c r="C3583" s="9" t="s">
        <v>2858</v>
      </c>
      <c r="D3583" s="5">
        <v>2</v>
      </c>
      <c r="E3583" s="9" t="s">
        <v>3191</v>
      </c>
      <c r="F3583" s="5" t="s">
        <v>2513</v>
      </c>
      <c r="G3583" s="5" t="s">
        <v>3177</v>
      </c>
      <c r="H3583" s="5" t="s">
        <v>3178</v>
      </c>
      <c r="I3583" s="9" t="s">
        <v>3259</v>
      </c>
      <c r="J3583" s="5">
        <v>2027</v>
      </c>
      <c r="K3583" s="5">
        <v>47</v>
      </c>
      <c r="L3583" s="9" t="s">
        <v>3707</v>
      </c>
      <c r="M3583" s="5">
        <v>43.2</v>
      </c>
      <c r="N3583" s="9" t="s">
        <v>6916</v>
      </c>
      <c r="O3583" s="9" t="str">
        <f t="shared" si="339"/>
        <v>PDFを開く</v>
      </c>
      <c r="P3583" s="9" t="s">
        <v>2864</v>
      </c>
    </row>
    <row r="3584" spans="1:16" ht="33.950000000000003" customHeight="1">
      <c r="A3584" s="2" t="s">
        <v>2857</v>
      </c>
      <c r="B3584" s="2" t="s">
        <v>2430</v>
      </c>
      <c r="C3584" s="8" t="s">
        <v>2858</v>
      </c>
      <c r="D3584" s="2">
        <v>2</v>
      </c>
      <c r="E3584" s="8" t="s">
        <v>3191</v>
      </c>
      <c r="F3584" s="2" t="s">
        <v>2513</v>
      </c>
      <c r="G3584" s="2" t="s">
        <v>3177</v>
      </c>
      <c r="H3584" s="2" t="s">
        <v>3178</v>
      </c>
      <c r="I3584" s="8" t="s">
        <v>3262</v>
      </c>
      <c r="J3584" s="2">
        <v>2030</v>
      </c>
      <c r="K3584" s="2">
        <v>138</v>
      </c>
      <c r="L3584" s="8" t="s">
        <v>6917</v>
      </c>
      <c r="M3584" s="2">
        <v>43.2</v>
      </c>
      <c r="N3584" s="8" t="s">
        <v>6916</v>
      </c>
      <c r="O3584" s="8" t="str">
        <f t="shared" si="339"/>
        <v>PDFを開く</v>
      </c>
      <c r="P3584" s="8" t="s">
        <v>2864</v>
      </c>
    </row>
    <row r="3585" spans="1:16" ht="33.950000000000003" customHeight="1">
      <c r="A3585" s="5" t="s">
        <v>2857</v>
      </c>
      <c r="B3585" s="5" t="s">
        <v>2430</v>
      </c>
      <c r="C3585" s="9" t="s">
        <v>2858</v>
      </c>
      <c r="D3585" s="5">
        <v>2</v>
      </c>
      <c r="E3585" s="9" t="s">
        <v>3176</v>
      </c>
      <c r="F3585" s="5" t="s">
        <v>86</v>
      </c>
      <c r="G3585" s="5" t="s">
        <v>3177</v>
      </c>
      <c r="H3585" s="5"/>
      <c r="I3585" s="9" t="s">
        <v>3686</v>
      </c>
      <c r="J3585" s="5">
        <v>2027</v>
      </c>
      <c r="K3585" s="5">
        <v>1881</v>
      </c>
      <c r="L3585" s="9" t="s">
        <v>6918</v>
      </c>
      <c r="M3585" s="5">
        <v>10.1</v>
      </c>
      <c r="N3585" s="9" t="s">
        <v>6919</v>
      </c>
      <c r="O3585" s="9" t="str">
        <f t="shared" si="339"/>
        <v>PDFを開く</v>
      </c>
      <c r="P3585" s="9" t="s">
        <v>2864</v>
      </c>
    </row>
    <row r="3586" spans="1:16" ht="33.950000000000003" customHeight="1">
      <c r="A3586" s="2" t="s">
        <v>2857</v>
      </c>
      <c r="B3586" s="2" t="s">
        <v>2430</v>
      </c>
      <c r="C3586" s="8" t="s">
        <v>2858</v>
      </c>
      <c r="D3586" s="2">
        <v>2</v>
      </c>
      <c r="E3586" s="8" t="s">
        <v>3176</v>
      </c>
      <c r="F3586" s="2" t="s">
        <v>86</v>
      </c>
      <c r="G3586" s="2" t="s">
        <v>3177</v>
      </c>
      <c r="H3586" s="2"/>
      <c r="I3586" s="8" t="s">
        <v>3688</v>
      </c>
      <c r="J3586" s="2">
        <v>2030</v>
      </c>
      <c r="K3586" s="2">
        <v>2512</v>
      </c>
      <c r="L3586" s="8" t="s">
        <v>6920</v>
      </c>
      <c r="M3586" s="2">
        <v>10.1</v>
      </c>
      <c r="N3586" s="8" t="s">
        <v>6919</v>
      </c>
      <c r="O3586" s="8" t="str">
        <f t="shared" si="339"/>
        <v>PDFを開く</v>
      </c>
      <c r="P3586" s="8" t="s">
        <v>2864</v>
      </c>
    </row>
    <row r="3587" spans="1:16" ht="33.950000000000003" customHeight="1">
      <c r="A3587" s="5" t="s">
        <v>2857</v>
      </c>
      <c r="B3587" s="5" t="s">
        <v>2430</v>
      </c>
      <c r="C3587" s="9" t="s">
        <v>2858</v>
      </c>
      <c r="D3587" s="5">
        <v>2</v>
      </c>
      <c r="E3587" s="9" t="s">
        <v>3184</v>
      </c>
      <c r="F3587" s="5" t="s">
        <v>86</v>
      </c>
      <c r="G3587" s="5" t="s">
        <v>3177</v>
      </c>
      <c r="H3587" s="5"/>
      <c r="I3587" s="9" t="s">
        <v>3686</v>
      </c>
      <c r="J3587" s="5">
        <v>2027</v>
      </c>
      <c r="K3587" s="5">
        <v>8089</v>
      </c>
      <c r="L3587" s="9" t="s">
        <v>6921</v>
      </c>
      <c r="M3587" s="5">
        <v>6.9</v>
      </c>
      <c r="N3587" s="9" t="s">
        <v>6922</v>
      </c>
      <c r="O3587" s="9" t="str">
        <f t="shared" si="339"/>
        <v>PDFを開く</v>
      </c>
      <c r="P3587" s="9" t="s">
        <v>2864</v>
      </c>
    </row>
    <row r="3588" spans="1:16" ht="33.950000000000003" customHeight="1">
      <c r="A3588" s="2" t="s">
        <v>2857</v>
      </c>
      <c r="B3588" s="2" t="s">
        <v>2430</v>
      </c>
      <c r="C3588" s="8" t="s">
        <v>2858</v>
      </c>
      <c r="D3588" s="2">
        <v>2</v>
      </c>
      <c r="E3588" s="8" t="s">
        <v>3184</v>
      </c>
      <c r="F3588" s="2" t="s">
        <v>86</v>
      </c>
      <c r="G3588" s="2" t="s">
        <v>3177</v>
      </c>
      <c r="H3588" s="2"/>
      <c r="I3588" s="8" t="s">
        <v>3688</v>
      </c>
      <c r="J3588" s="2">
        <v>2030</v>
      </c>
      <c r="K3588" s="2">
        <v>9893</v>
      </c>
      <c r="L3588" s="8" t="s">
        <v>6923</v>
      </c>
      <c r="M3588" s="2">
        <v>6.9</v>
      </c>
      <c r="N3588" s="8" t="s">
        <v>6922</v>
      </c>
      <c r="O3588" s="8" t="str">
        <f t="shared" si="339"/>
        <v>PDFを開く</v>
      </c>
      <c r="P3588" s="8" t="s">
        <v>2864</v>
      </c>
    </row>
    <row r="3589" spans="1:16" ht="33.950000000000003" customHeight="1">
      <c r="A3589" s="5" t="s">
        <v>2857</v>
      </c>
      <c r="B3589" s="5" t="s">
        <v>2430</v>
      </c>
      <c r="C3589" s="9" t="s">
        <v>2858</v>
      </c>
      <c r="D3589" s="5">
        <v>2</v>
      </c>
      <c r="E3589" s="9" t="s">
        <v>3191</v>
      </c>
      <c r="F3589" s="5" t="s">
        <v>2513</v>
      </c>
      <c r="G3589" s="5" t="s">
        <v>3177</v>
      </c>
      <c r="H3589" s="5"/>
      <c r="I3589" s="9" t="s">
        <v>3686</v>
      </c>
      <c r="J3589" s="5">
        <v>2027</v>
      </c>
      <c r="K3589" s="5">
        <v>47</v>
      </c>
      <c r="L3589" s="9" t="s">
        <v>3707</v>
      </c>
      <c r="M3589" s="5">
        <v>43.2</v>
      </c>
      <c r="N3589" s="9" t="s">
        <v>6924</v>
      </c>
      <c r="O3589" s="9" t="str">
        <f t="shared" si="339"/>
        <v>PDFを開く</v>
      </c>
      <c r="P3589" s="9" t="s">
        <v>2864</v>
      </c>
    </row>
    <row r="3590" spans="1:16" ht="33.950000000000003" customHeight="1">
      <c r="A3590" s="2" t="s">
        <v>2857</v>
      </c>
      <c r="B3590" s="2" t="s">
        <v>2430</v>
      </c>
      <c r="C3590" s="8" t="s">
        <v>2858</v>
      </c>
      <c r="D3590" s="2">
        <v>2</v>
      </c>
      <c r="E3590" s="8" t="s">
        <v>3191</v>
      </c>
      <c r="F3590" s="2" t="s">
        <v>2513</v>
      </c>
      <c r="G3590" s="2" t="s">
        <v>3177</v>
      </c>
      <c r="H3590" s="2"/>
      <c r="I3590" s="8" t="s">
        <v>3688</v>
      </c>
      <c r="J3590" s="2">
        <v>2030</v>
      </c>
      <c r="K3590" s="2">
        <v>138</v>
      </c>
      <c r="L3590" s="8" t="s">
        <v>6917</v>
      </c>
      <c r="M3590" s="2">
        <v>43.2</v>
      </c>
      <c r="N3590" s="8" t="s">
        <v>6924</v>
      </c>
      <c r="O3590" s="8" t="str">
        <f t="shared" si="339"/>
        <v>PDFを開く</v>
      </c>
      <c r="P3590" s="8" t="s">
        <v>2864</v>
      </c>
    </row>
    <row r="3591" spans="1:16" ht="33.950000000000003" customHeight="1">
      <c r="A3591" s="5" t="s">
        <v>2865</v>
      </c>
      <c r="B3591" s="5" t="s">
        <v>2430</v>
      </c>
      <c r="C3591" s="9" t="s">
        <v>2866</v>
      </c>
      <c r="D3591" s="5">
        <v>2</v>
      </c>
      <c r="E3591" s="9" t="s">
        <v>3176</v>
      </c>
      <c r="F3591" s="5" t="s">
        <v>447</v>
      </c>
      <c r="G3591" s="5" t="s">
        <v>3177</v>
      </c>
      <c r="H3591" s="5"/>
      <c r="I3591" s="9" t="s">
        <v>3302</v>
      </c>
      <c r="J3591" s="5"/>
      <c r="K3591" s="5">
        <v>9008</v>
      </c>
      <c r="L3591" s="9" t="s">
        <v>6925</v>
      </c>
      <c r="M3591" s="5">
        <v>16.8</v>
      </c>
      <c r="N3591" s="9" t="s">
        <v>6926</v>
      </c>
      <c r="O3591" s="9" t="str">
        <f t="shared" ref="O3591:O3599" si="340">HYPERLINK("https://seichotoushi-hojo.jp/assets/pdf/koufu_3_4ji/outline_178.pdf","PDFを開く")</f>
        <v>PDFを開く</v>
      </c>
      <c r="P3591" s="9" t="s">
        <v>2872</v>
      </c>
    </row>
    <row r="3592" spans="1:16" ht="33.950000000000003" customHeight="1">
      <c r="A3592" s="2" t="s">
        <v>2865</v>
      </c>
      <c r="B3592" s="2" t="s">
        <v>2430</v>
      </c>
      <c r="C3592" s="8" t="s">
        <v>2866</v>
      </c>
      <c r="D3592" s="2">
        <v>2</v>
      </c>
      <c r="E3592" s="8" t="s">
        <v>3176</v>
      </c>
      <c r="F3592" s="2" t="s">
        <v>447</v>
      </c>
      <c r="G3592" s="2" t="s">
        <v>3177</v>
      </c>
      <c r="H3592" s="2"/>
      <c r="I3592" s="8" t="s">
        <v>3305</v>
      </c>
      <c r="J3592" s="2"/>
      <c r="K3592" s="2">
        <v>14366</v>
      </c>
      <c r="L3592" s="8" t="s">
        <v>6927</v>
      </c>
      <c r="M3592" s="2">
        <v>16.8</v>
      </c>
      <c r="N3592" s="8" t="s">
        <v>6926</v>
      </c>
      <c r="O3592" s="8" t="str">
        <f t="shared" si="340"/>
        <v>PDFを開く</v>
      </c>
      <c r="P3592" s="8" t="s">
        <v>2872</v>
      </c>
    </row>
    <row r="3593" spans="1:16" ht="33.950000000000003" customHeight="1">
      <c r="A3593" s="5" t="s">
        <v>2865</v>
      </c>
      <c r="B3593" s="5" t="s">
        <v>2430</v>
      </c>
      <c r="C3593" s="9" t="s">
        <v>2866</v>
      </c>
      <c r="D3593" s="5">
        <v>2</v>
      </c>
      <c r="E3593" s="9" t="s">
        <v>3184</v>
      </c>
      <c r="F3593" s="5" t="s">
        <v>447</v>
      </c>
      <c r="G3593" s="5" t="s">
        <v>3177</v>
      </c>
      <c r="H3593" s="5"/>
      <c r="I3593" s="9" t="s">
        <v>3302</v>
      </c>
      <c r="J3593" s="5"/>
      <c r="K3593" s="5">
        <v>6037</v>
      </c>
      <c r="L3593" s="9" t="s">
        <v>6928</v>
      </c>
      <c r="M3593" s="5">
        <v>5.5</v>
      </c>
      <c r="N3593" s="9" t="s">
        <v>6929</v>
      </c>
      <c r="O3593" s="9" t="str">
        <f t="shared" si="340"/>
        <v>PDFを開く</v>
      </c>
      <c r="P3593" s="9" t="s">
        <v>2872</v>
      </c>
    </row>
    <row r="3594" spans="1:16" ht="33.950000000000003" customHeight="1">
      <c r="A3594" s="2" t="s">
        <v>2865</v>
      </c>
      <c r="B3594" s="2" t="s">
        <v>2430</v>
      </c>
      <c r="C3594" s="8" t="s">
        <v>2866</v>
      </c>
      <c r="D3594" s="2">
        <v>2</v>
      </c>
      <c r="E3594" s="8" t="s">
        <v>3184</v>
      </c>
      <c r="F3594" s="2" t="s">
        <v>447</v>
      </c>
      <c r="G3594" s="2" t="s">
        <v>3177</v>
      </c>
      <c r="H3594" s="2"/>
      <c r="I3594" s="8" t="s">
        <v>3305</v>
      </c>
      <c r="J3594" s="2"/>
      <c r="K3594" s="2">
        <v>7089</v>
      </c>
      <c r="L3594" s="8" t="s">
        <v>6930</v>
      </c>
      <c r="M3594" s="2">
        <v>5.5</v>
      </c>
      <c r="N3594" s="8" t="s">
        <v>6929</v>
      </c>
      <c r="O3594" s="8" t="str">
        <f t="shared" si="340"/>
        <v>PDFを開く</v>
      </c>
      <c r="P3594" s="8" t="s">
        <v>2872</v>
      </c>
    </row>
    <row r="3595" spans="1:16" ht="33.950000000000003" customHeight="1">
      <c r="A3595" s="5" t="s">
        <v>2865</v>
      </c>
      <c r="B3595" s="5" t="s">
        <v>2430</v>
      </c>
      <c r="C3595" s="9" t="s">
        <v>2866</v>
      </c>
      <c r="D3595" s="5">
        <v>2</v>
      </c>
      <c r="E3595" s="9" t="s">
        <v>3188</v>
      </c>
      <c r="F3595" s="5" t="s">
        <v>447</v>
      </c>
      <c r="G3595" s="19" t="s">
        <v>3189</v>
      </c>
      <c r="H3595" s="5"/>
      <c r="I3595" s="9"/>
      <c r="J3595" s="5"/>
      <c r="K3595" s="5"/>
      <c r="L3595" s="9"/>
      <c r="M3595" s="5">
        <v>5</v>
      </c>
      <c r="N3595" s="9" t="s">
        <v>6646</v>
      </c>
      <c r="O3595" s="9" t="str">
        <f t="shared" si="340"/>
        <v>PDFを開く</v>
      </c>
      <c r="P3595" s="9" t="s">
        <v>2872</v>
      </c>
    </row>
    <row r="3596" spans="1:16" ht="33.950000000000003" customHeight="1">
      <c r="A3596" s="2" t="s">
        <v>2865</v>
      </c>
      <c r="B3596" s="2" t="s">
        <v>2430</v>
      </c>
      <c r="C3596" s="8" t="s">
        <v>2866</v>
      </c>
      <c r="D3596" s="2">
        <v>2</v>
      </c>
      <c r="E3596" s="8" t="s">
        <v>3191</v>
      </c>
      <c r="F3596" s="2" t="s">
        <v>2513</v>
      </c>
      <c r="G3596" s="2" t="s">
        <v>3177</v>
      </c>
      <c r="H3596" s="2"/>
      <c r="I3596" s="8" t="s">
        <v>3302</v>
      </c>
      <c r="J3596" s="2"/>
      <c r="K3596" s="2">
        <v>442</v>
      </c>
      <c r="L3596" s="8" t="s">
        <v>5383</v>
      </c>
      <c r="M3596" s="2"/>
      <c r="N3596" s="8" t="s">
        <v>6931</v>
      </c>
      <c r="O3596" s="8" t="str">
        <f t="shared" si="340"/>
        <v>PDFを開く</v>
      </c>
      <c r="P3596" s="8" t="s">
        <v>2872</v>
      </c>
    </row>
    <row r="3597" spans="1:16" ht="33.950000000000003" customHeight="1">
      <c r="A3597" s="5" t="s">
        <v>2865</v>
      </c>
      <c r="B3597" s="5" t="s">
        <v>2430</v>
      </c>
      <c r="C3597" s="9" t="s">
        <v>2866</v>
      </c>
      <c r="D3597" s="5">
        <v>2</v>
      </c>
      <c r="E3597" s="9" t="s">
        <v>3191</v>
      </c>
      <c r="F3597" s="5" t="s">
        <v>2513</v>
      </c>
      <c r="G3597" s="5" t="s">
        <v>3177</v>
      </c>
      <c r="H3597" s="5"/>
      <c r="I3597" s="9" t="s">
        <v>3305</v>
      </c>
      <c r="J3597" s="5"/>
      <c r="K3597" s="5">
        <v>451</v>
      </c>
      <c r="L3597" s="9" t="s">
        <v>3665</v>
      </c>
      <c r="M3597" s="5"/>
      <c r="N3597" s="9" t="s">
        <v>6931</v>
      </c>
      <c r="O3597" s="9" t="str">
        <f t="shared" si="340"/>
        <v>PDFを開く</v>
      </c>
      <c r="P3597" s="9" t="s">
        <v>2872</v>
      </c>
    </row>
    <row r="3598" spans="1:16" ht="33.950000000000003" customHeight="1">
      <c r="A3598" s="2" t="s">
        <v>2865</v>
      </c>
      <c r="B3598" s="2" t="s">
        <v>2430</v>
      </c>
      <c r="C3598" s="8" t="s">
        <v>2866</v>
      </c>
      <c r="D3598" s="2">
        <v>2</v>
      </c>
      <c r="E3598" s="8" t="s">
        <v>3188</v>
      </c>
      <c r="F3598" s="2" t="s">
        <v>447</v>
      </c>
      <c r="G3598" s="2" t="s">
        <v>3177</v>
      </c>
      <c r="H3598" s="2"/>
      <c r="I3598" s="8" t="s">
        <v>6932</v>
      </c>
      <c r="J3598" s="2"/>
      <c r="K3598" s="2"/>
      <c r="L3598" s="8" t="s">
        <v>3211</v>
      </c>
      <c r="M3598" s="2">
        <v>5</v>
      </c>
      <c r="N3598" s="8" t="s">
        <v>6384</v>
      </c>
      <c r="O3598" s="8" t="str">
        <f t="shared" si="340"/>
        <v>PDFを開く</v>
      </c>
      <c r="P3598" s="8" t="s">
        <v>2872</v>
      </c>
    </row>
    <row r="3599" spans="1:16" ht="33.950000000000003" customHeight="1">
      <c r="A3599" s="5" t="s">
        <v>2865</v>
      </c>
      <c r="B3599" s="5" t="s">
        <v>2430</v>
      </c>
      <c r="C3599" s="9" t="s">
        <v>2866</v>
      </c>
      <c r="D3599" s="5">
        <v>2</v>
      </c>
      <c r="E3599" s="9" t="s">
        <v>3188</v>
      </c>
      <c r="F3599" s="5" t="s">
        <v>447</v>
      </c>
      <c r="G3599" s="5" t="s">
        <v>3177</v>
      </c>
      <c r="H3599" s="5"/>
      <c r="I3599" s="9" t="s">
        <v>6933</v>
      </c>
      <c r="J3599" s="5"/>
      <c r="K3599" s="5"/>
      <c r="L3599" s="9" t="s">
        <v>3384</v>
      </c>
      <c r="M3599" s="5">
        <v>5</v>
      </c>
      <c r="N3599" s="9" t="s">
        <v>6384</v>
      </c>
      <c r="O3599" s="9" t="str">
        <f t="shared" si="340"/>
        <v>PDFを開く</v>
      </c>
      <c r="P3599" s="9" t="s">
        <v>2872</v>
      </c>
    </row>
    <row r="3600" spans="1:16" ht="33.950000000000003" customHeight="1">
      <c r="A3600" s="2" t="s">
        <v>2873</v>
      </c>
      <c r="B3600" s="2" t="s">
        <v>2430</v>
      </c>
      <c r="C3600" s="8" t="s">
        <v>2874</v>
      </c>
      <c r="D3600" s="2">
        <v>2</v>
      </c>
      <c r="E3600" s="8" t="s">
        <v>3176</v>
      </c>
      <c r="F3600" s="2" t="s">
        <v>447</v>
      </c>
      <c r="G3600" s="2" t="s">
        <v>3177</v>
      </c>
      <c r="H3600" s="2"/>
      <c r="I3600" s="8" t="s">
        <v>3302</v>
      </c>
      <c r="J3600" s="2"/>
      <c r="K3600" s="2">
        <v>9985</v>
      </c>
      <c r="L3600" s="8" t="s">
        <v>6934</v>
      </c>
      <c r="M3600" s="2">
        <v>32.4</v>
      </c>
      <c r="N3600" s="8" t="s">
        <v>6935</v>
      </c>
      <c r="O3600" s="8" t="str">
        <f t="shared" ref="O3600:O3608" si="341">HYPERLINK("https://seichotoushi-hojo.jp/assets/pdf/koufu_3_4ji/outline_179.pdf","PDFを開く")</f>
        <v>PDFを開く</v>
      </c>
      <c r="P3600" s="8" t="s">
        <v>2880</v>
      </c>
    </row>
    <row r="3601" spans="1:16" ht="33.950000000000003" customHeight="1">
      <c r="A3601" s="5" t="s">
        <v>2873</v>
      </c>
      <c r="B3601" s="5" t="s">
        <v>2430</v>
      </c>
      <c r="C3601" s="9" t="s">
        <v>2874</v>
      </c>
      <c r="D3601" s="5">
        <v>2</v>
      </c>
      <c r="E3601" s="9" t="s">
        <v>3176</v>
      </c>
      <c r="F3601" s="5" t="s">
        <v>447</v>
      </c>
      <c r="G3601" s="5" t="s">
        <v>3177</v>
      </c>
      <c r="H3601" s="5"/>
      <c r="I3601" s="9" t="s">
        <v>3305</v>
      </c>
      <c r="J3601" s="5"/>
      <c r="K3601" s="5">
        <v>23175</v>
      </c>
      <c r="L3601" s="9" t="s">
        <v>6936</v>
      </c>
      <c r="M3601" s="5">
        <v>32.4</v>
      </c>
      <c r="N3601" s="9" t="s">
        <v>6935</v>
      </c>
      <c r="O3601" s="9" t="str">
        <f t="shared" si="341"/>
        <v>PDFを開く</v>
      </c>
      <c r="P3601" s="9" t="s">
        <v>2880</v>
      </c>
    </row>
    <row r="3602" spans="1:16" ht="33.950000000000003" customHeight="1">
      <c r="A3602" s="2" t="s">
        <v>2873</v>
      </c>
      <c r="B3602" s="2" t="s">
        <v>2430</v>
      </c>
      <c r="C3602" s="8" t="s">
        <v>2874</v>
      </c>
      <c r="D3602" s="2">
        <v>2</v>
      </c>
      <c r="E3602" s="8" t="s">
        <v>3184</v>
      </c>
      <c r="F3602" s="2" t="s">
        <v>447</v>
      </c>
      <c r="G3602" s="2" t="s">
        <v>3177</v>
      </c>
      <c r="H3602" s="2"/>
      <c r="I3602" s="8" t="s">
        <v>3302</v>
      </c>
      <c r="J3602" s="2"/>
      <c r="K3602" s="2">
        <v>4748</v>
      </c>
      <c r="L3602" s="8" t="s">
        <v>6937</v>
      </c>
      <c r="M3602" s="2">
        <v>8.1</v>
      </c>
      <c r="N3602" s="8" t="s">
        <v>6938</v>
      </c>
      <c r="O3602" s="8" t="str">
        <f t="shared" si="341"/>
        <v>PDFを開く</v>
      </c>
      <c r="P3602" s="8" t="s">
        <v>2880</v>
      </c>
    </row>
    <row r="3603" spans="1:16" ht="33.950000000000003" customHeight="1">
      <c r="A3603" s="5" t="s">
        <v>2873</v>
      </c>
      <c r="B3603" s="5" t="s">
        <v>2430</v>
      </c>
      <c r="C3603" s="9" t="s">
        <v>2874</v>
      </c>
      <c r="D3603" s="5">
        <v>2</v>
      </c>
      <c r="E3603" s="9" t="s">
        <v>3184</v>
      </c>
      <c r="F3603" s="5" t="s">
        <v>447</v>
      </c>
      <c r="G3603" s="5" t="s">
        <v>3177</v>
      </c>
      <c r="H3603" s="5"/>
      <c r="I3603" s="9" t="s">
        <v>3305</v>
      </c>
      <c r="J3603" s="5"/>
      <c r="K3603" s="5">
        <v>5998</v>
      </c>
      <c r="L3603" s="9" t="s">
        <v>6939</v>
      </c>
      <c r="M3603" s="5">
        <v>8.1</v>
      </c>
      <c r="N3603" s="9" t="s">
        <v>6938</v>
      </c>
      <c r="O3603" s="9" t="str">
        <f t="shared" si="341"/>
        <v>PDFを開く</v>
      </c>
      <c r="P3603" s="9" t="s">
        <v>2880</v>
      </c>
    </row>
    <row r="3604" spans="1:16" ht="33.950000000000003" customHeight="1">
      <c r="A3604" s="2" t="s">
        <v>2873</v>
      </c>
      <c r="B3604" s="2" t="s">
        <v>2430</v>
      </c>
      <c r="C3604" s="8" t="s">
        <v>2874</v>
      </c>
      <c r="D3604" s="2">
        <v>2</v>
      </c>
      <c r="E3604" s="8" t="s">
        <v>3188</v>
      </c>
      <c r="F3604" s="2" t="s">
        <v>447</v>
      </c>
      <c r="G3604" s="19" t="s">
        <v>3189</v>
      </c>
      <c r="H3604" s="2"/>
      <c r="I3604" s="8"/>
      <c r="J3604" s="2"/>
      <c r="K3604" s="2"/>
      <c r="L3604" s="8"/>
      <c r="M3604" s="2">
        <v>5.5</v>
      </c>
      <c r="N3604" s="8" t="s">
        <v>6678</v>
      </c>
      <c r="O3604" s="8" t="str">
        <f t="shared" si="341"/>
        <v>PDFを開く</v>
      </c>
      <c r="P3604" s="8" t="s">
        <v>2880</v>
      </c>
    </row>
    <row r="3605" spans="1:16" ht="33.950000000000003" customHeight="1">
      <c r="A3605" s="5" t="s">
        <v>2873</v>
      </c>
      <c r="B3605" s="5" t="s">
        <v>2430</v>
      </c>
      <c r="C3605" s="9" t="s">
        <v>2874</v>
      </c>
      <c r="D3605" s="5">
        <v>2</v>
      </c>
      <c r="E3605" s="9" t="s">
        <v>3191</v>
      </c>
      <c r="F3605" s="5" t="s">
        <v>2513</v>
      </c>
      <c r="G3605" s="5" t="s">
        <v>3177</v>
      </c>
      <c r="H3605" s="5"/>
      <c r="I3605" s="9" t="s">
        <v>3302</v>
      </c>
      <c r="J3605" s="5"/>
      <c r="K3605" s="5">
        <v>83</v>
      </c>
      <c r="L3605" s="9" t="s">
        <v>4343</v>
      </c>
      <c r="M3605" s="5"/>
      <c r="N3605" s="9" t="s">
        <v>6940</v>
      </c>
      <c r="O3605" s="9" t="str">
        <f t="shared" si="341"/>
        <v>PDFを開く</v>
      </c>
      <c r="P3605" s="9" t="s">
        <v>2880</v>
      </c>
    </row>
    <row r="3606" spans="1:16" ht="33.950000000000003" customHeight="1">
      <c r="A3606" s="2" t="s">
        <v>2873</v>
      </c>
      <c r="B3606" s="2" t="s">
        <v>2430</v>
      </c>
      <c r="C3606" s="8" t="s">
        <v>2874</v>
      </c>
      <c r="D3606" s="2">
        <v>2</v>
      </c>
      <c r="E3606" s="8" t="s">
        <v>3191</v>
      </c>
      <c r="F3606" s="2" t="s">
        <v>2513</v>
      </c>
      <c r="G3606" s="2" t="s">
        <v>3177</v>
      </c>
      <c r="H3606" s="2"/>
      <c r="I3606" s="8" t="s">
        <v>3305</v>
      </c>
      <c r="J3606" s="2"/>
      <c r="K3606" s="2">
        <v>94</v>
      </c>
      <c r="L3606" s="8" t="s">
        <v>4810</v>
      </c>
      <c r="M3606" s="2"/>
      <c r="N3606" s="8" t="s">
        <v>6940</v>
      </c>
      <c r="O3606" s="8" t="str">
        <f t="shared" si="341"/>
        <v>PDFを開く</v>
      </c>
      <c r="P3606" s="8" t="s">
        <v>2880</v>
      </c>
    </row>
    <row r="3607" spans="1:16" ht="33.950000000000003" customHeight="1">
      <c r="A3607" s="5" t="s">
        <v>2873</v>
      </c>
      <c r="B3607" s="5" t="s">
        <v>2430</v>
      </c>
      <c r="C3607" s="9" t="s">
        <v>2874</v>
      </c>
      <c r="D3607" s="5">
        <v>2</v>
      </c>
      <c r="E3607" s="9" t="s">
        <v>3188</v>
      </c>
      <c r="F3607" s="5" t="s">
        <v>447</v>
      </c>
      <c r="G3607" s="5" t="s">
        <v>3177</v>
      </c>
      <c r="H3607" s="5"/>
      <c r="I3607" s="9" t="s">
        <v>6941</v>
      </c>
      <c r="J3607" s="5"/>
      <c r="K3607" s="5"/>
      <c r="L3607" s="9" t="s">
        <v>3211</v>
      </c>
      <c r="M3607" s="5">
        <v>5.5</v>
      </c>
      <c r="N3607" s="9" t="s">
        <v>6681</v>
      </c>
      <c r="O3607" s="9" t="str">
        <f t="shared" si="341"/>
        <v>PDFを開く</v>
      </c>
      <c r="P3607" s="9" t="s">
        <v>2880</v>
      </c>
    </row>
    <row r="3608" spans="1:16" ht="33.950000000000003" customHeight="1">
      <c r="A3608" s="2" t="s">
        <v>2873</v>
      </c>
      <c r="B3608" s="2" t="s">
        <v>2430</v>
      </c>
      <c r="C3608" s="8" t="s">
        <v>2874</v>
      </c>
      <c r="D3608" s="2">
        <v>2</v>
      </c>
      <c r="E3608" s="8" t="s">
        <v>3188</v>
      </c>
      <c r="F3608" s="2" t="s">
        <v>447</v>
      </c>
      <c r="G3608" s="2" t="s">
        <v>3177</v>
      </c>
      <c r="H3608" s="2"/>
      <c r="I3608" s="8" t="s">
        <v>6942</v>
      </c>
      <c r="J3608" s="2"/>
      <c r="K3608" s="2"/>
      <c r="L3608" s="8" t="s">
        <v>5499</v>
      </c>
      <c r="M3608" s="2">
        <v>5.5</v>
      </c>
      <c r="N3608" s="8" t="s">
        <v>6681</v>
      </c>
      <c r="O3608" s="8" t="str">
        <f t="shared" si="341"/>
        <v>PDFを開く</v>
      </c>
      <c r="P3608" s="8" t="s">
        <v>2880</v>
      </c>
    </row>
    <row r="3609" spans="1:16" ht="33.950000000000003" customHeight="1">
      <c r="A3609" s="5" t="s">
        <v>2881</v>
      </c>
      <c r="B3609" s="5" t="s">
        <v>2430</v>
      </c>
      <c r="C3609" s="9" t="s">
        <v>2882</v>
      </c>
      <c r="D3609" s="5">
        <v>2</v>
      </c>
      <c r="E3609" s="9" t="s">
        <v>3176</v>
      </c>
      <c r="F3609" s="5" t="s">
        <v>447</v>
      </c>
      <c r="G3609" s="5" t="s">
        <v>3177</v>
      </c>
      <c r="H3609" s="5" t="s">
        <v>3178</v>
      </c>
      <c r="I3609" s="9" t="s">
        <v>3546</v>
      </c>
      <c r="J3609" s="5">
        <v>2027</v>
      </c>
      <c r="K3609" s="5">
        <v>5804</v>
      </c>
      <c r="L3609" s="9" t="s">
        <v>6943</v>
      </c>
      <c r="M3609" s="5">
        <v>20</v>
      </c>
      <c r="N3609" s="9" t="s">
        <v>6944</v>
      </c>
      <c r="O3609" s="9" t="str">
        <f t="shared" ref="O3609:O3617" si="342">HYPERLINK("https://seichotoushi-hojo.jp/assets/pdf/koufu_3_4ji/outline_180.pdf","PDFを開く")</f>
        <v>PDFを開く</v>
      </c>
      <c r="P3609" s="9" t="s">
        <v>2888</v>
      </c>
    </row>
    <row r="3610" spans="1:16" ht="33.950000000000003" customHeight="1">
      <c r="A3610" s="2" t="s">
        <v>2881</v>
      </c>
      <c r="B3610" s="2" t="s">
        <v>2430</v>
      </c>
      <c r="C3610" s="8" t="s">
        <v>2882</v>
      </c>
      <c r="D3610" s="2">
        <v>2</v>
      </c>
      <c r="E3610" s="8" t="s">
        <v>3176</v>
      </c>
      <c r="F3610" s="2" t="s">
        <v>447</v>
      </c>
      <c r="G3610" s="2" t="s">
        <v>3177</v>
      </c>
      <c r="H3610" s="2" t="s">
        <v>3178</v>
      </c>
      <c r="I3610" s="8" t="s">
        <v>6418</v>
      </c>
      <c r="J3610" s="2">
        <v>2030</v>
      </c>
      <c r="K3610" s="2">
        <v>10024</v>
      </c>
      <c r="L3610" s="8" t="s">
        <v>6945</v>
      </c>
      <c r="M3610" s="2">
        <v>20</v>
      </c>
      <c r="N3610" s="8" t="s">
        <v>6944</v>
      </c>
      <c r="O3610" s="8" t="str">
        <f t="shared" si="342"/>
        <v>PDFを開く</v>
      </c>
      <c r="P3610" s="8" t="s">
        <v>2888</v>
      </c>
    </row>
    <row r="3611" spans="1:16" ht="33.950000000000003" customHeight="1">
      <c r="A3611" s="5" t="s">
        <v>2881</v>
      </c>
      <c r="B3611" s="5" t="s">
        <v>2430</v>
      </c>
      <c r="C3611" s="9" t="s">
        <v>2882</v>
      </c>
      <c r="D3611" s="5">
        <v>2</v>
      </c>
      <c r="E3611" s="9" t="s">
        <v>3184</v>
      </c>
      <c r="F3611" s="5" t="s">
        <v>447</v>
      </c>
      <c r="G3611" s="5" t="s">
        <v>3177</v>
      </c>
      <c r="H3611" s="5" t="s">
        <v>3178</v>
      </c>
      <c r="I3611" s="9" t="s">
        <v>3546</v>
      </c>
      <c r="J3611" s="5">
        <v>2027</v>
      </c>
      <c r="K3611" s="5">
        <v>3942</v>
      </c>
      <c r="L3611" s="9" t="s">
        <v>6946</v>
      </c>
      <c r="M3611" s="5">
        <v>5.4</v>
      </c>
      <c r="N3611" s="9" t="s">
        <v>6947</v>
      </c>
      <c r="O3611" s="9" t="str">
        <f t="shared" si="342"/>
        <v>PDFを開く</v>
      </c>
      <c r="P3611" s="9" t="s">
        <v>2888</v>
      </c>
    </row>
    <row r="3612" spans="1:16" ht="33.950000000000003" customHeight="1">
      <c r="A3612" s="2" t="s">
        <v>2881</v>
      </c>
      <c r="B3612" s="2" t="s">
        <v>2430</v>
      </c>
      <c r="C3612" s="8" t="s">
        <v>2882</v>
      </c>
      <c r="D3612" s="2">
        <v>2</v>
      </c>
      <c r="E3612" s="8" t="s">
        <v>3184</v>
      </c>
      <c r="F3612" s="2" t="s">
        <v>447</v>
      </c>
      <c r="G3612" s="2" t="s">
        <v>3177</v>
      </c>
      <c r="H3612" s="2" t="s">
        <v>3178</v>
      </c>
      <c r="I3612" s="8" t="s">
        <v>6418</v>
      </c>
      <c r="J3612" s="2">
        <v>2030</v>
      </c>
      <c r="K3612" s="2">
        <v>4619</v>
      </c>
      <c r="L3612" s="8" t="s">
        <v>6948</v>
      </c>
      <c r="M3612" s="2">
        <v>5.4</v>
      </c>
      <c r="N3612" s="8" t="s">
        <v>6947</v>
      </c>
      <c r="O3612" s="8" t="str">
        <f t="shared" si="342"/>
        <v>PDFを開く</v>
      </c>
      <c r="P3612" s="8" t="s">
        <v>2888</v>
      </c>
    </row>
    <row r="3613" spans="1:16" ht="33.950000000000003" customHeight="1">
      <c r="A3613" s="5" t="s">
        <v>2881</v>
      </c>
      <c r="B3613" s="5" t="s">
        <v>2430</v>
      </c>
      <c r="C3613" s="9" t="s">
        <v>2882</v>
      </c>
      <c r="D3613" s="5">
        <v>2</v>
      </c>
      <c r="E3613" s="9" t="s">
        <v>3188</v>
      </c>
      <c r="F3613" s="5" t="s">
        <v>447</v>
      </c>
      <c r="G3613" s="19" t="s">
        <v>3189</v>
      </c>
      <c r="H3613" s="5" t="s">
        <v>3178</v>
      </c>
      <c r="I3613" s="9"/>
      <c r="J3613" s="5"/>
      <c r="K3613" s="5"/>
      <c r="L3613" s="9"/>
      <c r="M3613" s="5">
        <v>7</v>
      </c>
      <c r="N3613" s="9" t="s">
        <v>6949</v>
      </c>
      <c r="O3613" s="9" t="str">
        <f t="shared" si="342"/>
        <v>PDFを開く</v>
      </c>
      <c r="P3613" s="9" t="s">
        <v>2888</v>
      </c>
    </row>
    <row r="3614" spans="1:16" ht="33.950000000000003" customHeight="1">
      <c r="A3614" s="2" t="s">
        <v>2881</v>
      </c>
      <c r="B3614" s="2" t="s">
        <v>2430</v>
      </c>
      <c r="C3614" s="8" t="s">
        <v>2882</v>
      </c>
      <c r="D3614" s="2">
        <v>2</v>
      </c>
      <c r="E3614" s="8" t="s">
        <v>3191</v>
      </c>
      <c r="F3614" s="2" t="s">
        <v>2513</v>
      </c>
      <c r="G3614" s="2" t="s">
        <v>3177</v>
      </c>
      <c r="H3614" s="2" t="s">
        <v>3178</v>
      </c>
      <c r="I3614" s="8" t="s">
        <v>3546</v>
      </c>
      <c r="J3614" s="2">
        <v>2027</v>
      </c>
      <c r="K3614" s="2">
        <v>554</v>
      </c>
      <c r="L3614" s="8" t="s">
        <v>6950</v>
      </c>
      <c r="M3614" s="2"/>
      <c r="N3614" s="8" t="s">
        <v>6951</v>
      </c>
      <c r="O3614" s="8" t="str">
        <f t="shared" si="342"/>
        <v>PDFを開く</v>
      </c>
      <c r="P3614" s="8" t="s">
        <v>2888</v>
      </c>
    </row>
    <row r="3615" spans="1:16" ht="33.950000000000003" customHeight="1">
      <c r="A3615" s="5" t="s">
        <v>2881</v>
      </c>
      <c r="B3615" s="5" t="s">
        <v>2430</v>
      </c>
      <c r="C3615" s="9" t="s">
        <v>2882</v>
      </c>
      <c r="D3615" s="5">
        <v>2</v>
      </c>
      <c r="E3615" s="9" t="s">
        <v>3191</v>
      </c>
      <c r="F3615" s="5" t="s">
        <v>2513</v>
      </c>
      <c r="G3615" s="5" t="s">
        <v>3177</v>
      </c>
      <c r="H3615" s="5" t="s">
        <v>3178</v>
      </c>
      <c r="I3615" s="9" t="s">
        <v>6418</v>
      </c>
      <c r="J3615" s="5">
        <v>2030</v>
      </c>
      <c r="K3615" s="5">
        <v>599</v>
      </c>
      <c r="L3615" s="9" t="s">
        <v>5330</v>
      </c>
      <c r="M3615" s="5"/>
      <c r="N3615" s="9" t="s">
        <v>6951</v>
      </c>
      <c r="O3615" s="9" t="str">
        <f t="shared" si="342"/>
        <v>PDFを開く</v>
      </c>
      <c r="P3615" s="9" t="s">
        <v>2888</v>
      </c>
    </row>
    <row r="3616" spans="1:16" ht="33.950000000000003" customHeight="1">
      <c r="A3616" s="2" t="s">
        <v>2881</v>
      </c>
      <c r="B3616" s="2" t="s">
        <v>2430</v>
      </c>
      <c r="C3616" s="8" t="s">
        <v>2882</v>
      </c>
      <c r="D3616" s="2">
        <v>2</v>
      </c>
      <c r="E3616" s="8" t="s">
        <v>3188</v>
      </c>
      <c r="F3616" s="2" t="s">
        <v>447</v>
      </c>
      <c r="G3616" s="2" t="s">
        <v>3177</v>
      </c>
      <c r="H3616" s="2"/>
      <c r="I3616" s="8" t="s">
        <v>6952</v>
      </c>
      <c r="J3616" s="2">
        <v>2027</v>
      </c>
      <c r="K3616" s="2"/>
      <c r="L3616" s="8" t="s">
        <v>3211</v>
      </c>
      <c r="M3616" s="2">
        <v>7</v>
      </c>
      <c r="N3616" s="8" t="s">
        <v>6372</v>
      </c>
      <c r="O3616" s="8" t="str">
        <f t="shared" si="342"/>
        <v>PDFを開く</v>
      </c>
      <c r="P3616" s="8" t="s">
        <v>2888</v>
      </c>
    </row>
    <row r="3617" spans="1:16" ht="33.950000000000003" customHeight="1">
      <c r="A3617" s="5" t="s">
        <v>2881</v>
      </c>
      <c r="B3617" s="5" t="s">
        <v>2430</v>
      </c>
      <c r="C3617" s="9" t="s">
        <v>2882</v>
      </c>
      <c r="D3617" s="5">
        <v>2</v>
      </c>
      <c r="E3617" s="9" t="s">
        <v>3188</v>
      </c>
      <c r="F3617" s="5" t="s">
        <v>447</v>
      </c>
      <c r="G3617" s="5" t="s">
        <v>3177</v>
      </c>
      <c r="H3617" s="5"/>
      <c r="I3617" s="9" t="s">
        <v>6953</v>
      </c>
      <c r="J3617" s="5">
        <v>2030</v>
      </c>
      <c r="K3617" s="5"/>
      <c r="L3617" s="9" t="s">
        <v>6374</v>
      </c>
      <c r="M3617" s="5">
        <v>7</v>
      </c>
      <c r="N3617" s="9" t="s">
        <v>6372</v>
      </c>
      <c r="O3617" s="9" t="str">
        <f t="shared" si="342"/>
        <v>PDFを開く</v>
      </c>
      <c r="P3617" s="9" t="s">
        <v>2888</v>
      </c>
    </row>
    <row r="3618" spans="1:16" ht="33.950000000000003" customHeight="1">
      <c r="A3618" s="2" t="s">
        <v>2889</v>
      </c>
      <c r="B3618" s="2" t="s">
        <v>2430</v>
      </c>
      <c r="C3618" s="8" t="s">
        <v>2890</v>
      </c>
      <c r="D3618" s="2">
        <v>2</v>
      </c>
      <c r="E3618" s="8" t="s">
        <v>3176</v>
      </c>
      <c r="F3618" s="2" t="s">
        <v>447</v>
      </c>
      <c r="G3618" s="2" t="s">
        <v>3177</v>
      </c>
      <c r="H3618" s="2" t="s">
        <v>3178</v>
      </c>
      <c r="I3618" s="8" t="s">
        <v>3302</v>
      </c>
      <c r="J3618" s="2"/>
      <c r="K3618" s="2">
        <v>5394</v>
      </c>
      <c r="L3618" s="8" t="s">
        <v>6954</v>
      </c>
      <c r="M3618" s="2">
        <v>16.3</v>
      </c>
      <c r="N3618" s="8" t="s">
        <v>6955</v>
      </c>
      <c r="O3618" s="8" t="str">
        <f t="shared" ref="O3618:O3624" si="343">HYPERLINK("https://seichotoushi-hojo.jp/assets/pdf/koufu_3_4ji/outline_181.pdf","PDFを開く")</f>
        <v>PDFを開く</v>
      </c>
      <c r="P3618" s="8" t="s">
        <v>2896</v>
      </c>
    </row>
    <row r="3619" spans="1:16" ht="33.950000000000003" customHeight="1">
      <c r="A3619" s="5" t="s">
        <v>2889</v>
      </c>
      <c r="B3619" s="5" t="s">
        <v>2430</v>
      </c>
      <c r="C3619" s="9" t="s">
        <v>2890</v>
      </c>
      <c r="D3619" s="5">
        <v>2</v>
      </c>
      <c r="E3619" s="9" t="s">
        <v>3176</v>
      </c>
      <c r="F3619" s="5" t="s">
        <v>447</v>
      </c>
      <c r="G3619" s="5" t="s">
        <v>3177</v>
      </c>
      <c r="H3619" s="5" t="s">
        <v>3178</v>
      </c>
      <c r="I3619" s="9" t="s">
        <v>3305</v>
      </c>
      <c r="J3619" s="5"/>
      <c r="K3619" s="5">
        <v>8492</v>
      </c>
      <c r="L3619" s="9" t="s">
        <v>6956</v>
      </c>
      <c r="M3619" s="5">
        <v>16.3</v>
      </c>
      <c r="N3619" s="9" t="s">
        <v>6955</v>
      </c>
      <c r="O3619" s="9" t="str">
        <f t="shared" si="343"/>
        <v>PDFを開く</v>
      </c>
      <c r="P3619" s="9" t="s">
        <v>2896</v>
      </c>
    </row>
    <row r="3620" spans="1:16" ht="33.950000000000003" customHeight="1">
      <c r="A3620" s="2" t="s">
        <v>2889</v>
      </c>
      <c r="B3620" s="2" t="s">
        <v>2430</v>
      </c>
      <c r="C3620" s="8" t="s">
        <v>2890</v>
      </c>
      <c r="D3620" s="2">
        <v>2</v>
      </c>
      <c r="E3620" s="8" t="s">
        <v>3184</v>
      </c>
      <c r="F3620" s="2" t="s">
        <v>447</v>
      </c>
      <c r="G3620" s="2" t="s">
        <v>3177</v>
      </c>
      <c r="H3620" s="2" t="s">
        <v>3178</v>
      </c>
      <c r="I3620" s="8" t="s">
        <v>3302</v>
      </c>
      <c r="J3620" s="2"/>
      <c r="K3620" s="2">
        <v>2625</v>
      </c>
      <c r="L3620" s="8" t="s">
        <v>6957</v>
      </c>
      <c r="M3620" s="2">
        <v>8.1999999999999993</v>
      </c>
      <c r="N3620" s="8" t="s">
        <v>6958</v>
      </c>
      <c r="O3620" s="8" t="str">
        <f t="shared" si="343"/>
        <v>PDFを開く</v>
      </c>
      <c r="P3620" s="8" t="s">
        <v>2896</v>
      </c>
    </row>
    <row r="3621" spans="1:16" ht="33.950000000000003" customHeight="1">
      <c r="A3621" s="5" t="s">
        <v>2889</v>
      </c>
      <c r="B3621" s="5" t="s">
        <v>2430</v>
      </c>
      <c r="C3621" s="9" t="s">
        <v>2890</v>
      </c>
      <c r="D3621" s="5">
        <v>2</v>
      </c>
      <c r="E3621" s="9" t="s">
        <v>3184</v>
      </c>
      <c r="F3621" s="5" t="s">
        <v>447</v>
      </c>
      <c r="G3621" s="5" t="s">
        <v>3177</v>
      </c>
      <c r="H3621" s="5" t="s">
        <v>3178</v>
      </c>
      <c r="I3621" s="9" t="s">
        <v>3305</v>
      </c>
      <c r="J3621" s="5"/>
      <c r="K3621" s="5">
        <v>3329</v>
      </c>
      <c r="L3621" s="9" t="s">
        <v>6959</v>
      </c>
      <c r="M3621" s="5">
        <v>8.1999999999999993</v>
      </c>
      <c r="N3621" s="9" t="s">
        <v>6958</v>
      </c>
      <c r="O3621" s="9" t="str">
        <f t="shared" si="343"/>
        <v>PDFを開く</v>
      </c>
      <c r="P3621" s="9" t="s">
        <v>2896</v>
      </c>
    </row>
    <row r="3622" spans="1:16" ht="33.950000000000003" customHeight="1">
      <c r="A3622" s="2" t="s">
        <v>2889</v>
      </c>
      <c r="B3622" s="2" t="s">
        <v>2430</v>
      </c>
      <c r="C3622" s="8" t="s">
        <v>2890</v>
      </c>
      <c r="D3622" s="2">
        <v>2</v>
      </c>
      <c r="E3622" s="8" t="s">
        <v>3188</v>
      </c>
      <c r="F3622" s="2" t="s">
        <v>447</v>
      </c>
      <c r="G3622" s="19" t="s">
        <v>3189</v>
      </c>
      <c r="H3622" s="2"/>
      <c r="I3622" s="8"/>
      <c r="J3622" s="2"/>
      <c r="K3622" s="2"/>
      <c r="L3622" s="8"/>
      <c r="M3622" s="2"/>
      <c r="N3622" s="8" t="s">
        <v>6960</v>
      </c>
      <c r="O3622" s="8" t="str">
        <f t="shared" si="343"/>
        <v>PDFを開く</v>
      </c>
      <c r="P3622" s="8" t="s">
        <v>2896</v>
      </c>
    </row>
    <row r="3623" spans="1:16" ht="33.950000000000003" customHeight="1">
      <c r="A3623" s="5" t="s">
        <v>2889</v>
      </c>
      <c r="B3623" s="5" t="s">
        <v>2430</v>
      </c>
      <c r="C3623" s="9" t="s">
        <v>2890</v>
      </c>
      <c r="D3623" s="5">
        <v>2</v>
      </c>
      <c r="E3623" s="9" t="s">
        <v>3191</v>
      </c>
      <c r="F3623" s="5" t="s">
        <v>2513</v>
      </c>
      <c r="G3623" s="5" t="s">
        <v>3177</v>
      </c>
      <c r="H3623" s="5"/>
      <c r="I3623" s="9" t="s">
        <v>3305</v>
      </c>
      <c r="J3623" s="5"/>
      <c r="K3623" s="5">
        <v>359</v>
      </c>
      <c r="L3623" s="9" t="s">
        <v>6961</v>
      </c>
      <c r="M3623" s="5"/>
      <c r="N3623" s="9" t="s">
        <v>6962</v>
      </c>
      <c r="O3623" s="9" t="str">
        <f t="shared" si="343"/>
        <v>PDFを開く</v>
      </c>
      <c r="P3623" s="9" t="s">
        <v>2896</v>
      </c>
    </row>
    <row r="3624" spans="1:16" ht="33.950000000000003" customHeight="1">
      <c r="A3624" s="2" t="s">
        <v>2889</v>
      </c>
      <c r="B3624" s="2" t="s">
        <v>2430</v>
      </c>
      <c r="C3624" s="8" t="s">
        <v>2890</v>
      </c>
      <c r="D3624" s="2">
        <v>2</v>
      </c>
      <c r="E3624" s="8" t="s">
        <v>3191</v>
      </c>
      <c r="F3624" s="2" t="s">
        <v>2513</v>
      </c>
      <c r="G3624" s="2" t="s">
        <v>3177</v>
      </c>
      <c r="H3624" s="2"/>
      <c r="I3624" s="8" t="s">
        <v>3302</v>
      </c>
      <c r="J3624" s="2"/>
      <c r="K3624" s="2">
        <v>329</v>
      </c>
      <c r="L3624" s="8" t="s">
        <v>6963</v>
      </c>
      <c r="M3624" s="2"/>
      <c r="N3624" s="8" t="s">
        <v>6962</v>
      </c>
      <c r="O3624" s="8" t="str">
        <f t="shared" si="343"/>
        <v>PDFを開く</v>
      </c>
      <c r="P3624" s="8" t="s">
        <v>2896</v>
      </c>
    </row>
    <row r="3625" spans="1:16" ht="33.950000000000003" customHeight="1">
      <c r="A3625" s="5" t="s">
        <v>2897</v>
      </c>
      <c r="B3625" s="5" t="s">
        <v>2430</v>
      </c>
      <c r="C3625" s="9" t="s">
        <v>2898</v>
      </c>
      <c r="D3625" s="5">
        <v>2</v>
      </c>
      <c r="E3625" s="9" t="s">
        <v>3176</v>
      </c>
      <c r="F3625" s="5" t="s">
        <v>86</v>
      </c>
      <c r="G3625" s="5" t="s">
        <v>3177</v>
      </c>
      <c r="H3625" s="5" t="s">
        <v>3178</v>
      </c>
      <c r="I3625" s="9" t="s">
        <v>3259</v>
      </c>
      <c r="J3625" s="5">
        <v>2027</v>
      </c>
      <c r="K3625" s="5">
        <v>1074</v>
      </c>
      <c r="L3625" s="9" t="s">
        <v>4081</v>
      </c>
      <c r="M3625" s="5">
        <v>38</v>
      </c>
      <c r="N3625" s="9" t="s">
        <v>6964</v>
      </c>
      <c r="O3625" s="9" t="str">
        <f t="shared" ref="O3625:O3633" si="344">HYPERLINK("https://seichotoushi-hojo.jp/assets/pdf/koufu_3_4ji/outline_182.pdf","PDFを開く")</f>
        <v>PDFを開く</v>
      </c>
      <c r="P3625" s="9" t="s">
        <v>2902</v>
      </c>
    </row>
    <row r="3626" spans="1:16" ht="33.950000000000003" customHeight="1">
      <c r="A3626" s="2" t="s">
        <v>2897</v>
      </c>
      <c r="B3626" s="2" t="s">
        <v>2430</v>
      </c>
      <c r="C3626" s="8" t="s">
        <v>2898</v>
      </c>
      <c r="D3626" s="2">
        <v>2</v>
      </c>
      <c r="E3626" s="8" t="s">
        <v>3176</v>
      </c>
      <c r="F3626" s="2" t="s">
        <v>86</v>
      </c>
      <c r="G3626" s="2" t="s">
        <v>3177</v>
      </c>
      <c r="H3626" s="2" t="s">
        <v>3178</v>
      </c>
      <c r="I3626" s="8" t="s">
        <v>3262</v>
      </c>
      <c r="J3626" s="2">
        <v>2030</v>
      </c>
      <c r="K3626" s="2">
        <v>2821</v>
      </c>
      <c r="L3626" s="8" t="s">
        <v>6965</v>
      </c>
      <c r="M3626" s="2">
        <v>38</v>
      </c>
      <c r="N3626" s="8" t="s">
        <v>6964</v>
      </c>
      <c r="O3626" s="8" t="str">
        <f t="shared" si="344"/>
        <v>PDFを開く</v>
      </c>
      <c r="P3626" s="8" t="s">
        <v>2902</v>
      </c>
    </row>
    <row r="3627" spans="1:16" ht="33.950000000000003" customHeight="1">
      <c r="A3627" s="5" t="s">
        <v>2897</v>
      </c>
      <c r="B3627" s="5" t="s">
        <v>2430</v>
      </c>
      <c r="C3627" s="9" t="s">
        <v>2898</v>
      </c>
      <c r="D3627" s="5">
        <v>2</v>
      </c>
      <c r="E3627" s="9" t="s">
        <v>3184</v>
      </c>
      <c r="F3627" s="5" t="s">
        <v>86</v>
      </c>
      <c r="G3627" s="5" t="s">
        <v>3177</v>
      </c>
      <c r="H3627" s="5" t="s">
        <v>3178</v>
      </c>
      <c r="I3627" s="9" t="s">
        <v>3259</v>
      </c>
      <c r="J3627" s="5">
        <v>2027</v>
      </c>
      <c r="K3627" s="5">
        <v>445</v>
      </c>
      <c r="L3627" s="9" t="s">
        <v>6966</v>
      </c>
      <c r="M3627" s="5">
        <v>8.5</v>
      </c>
      <c r="N3627" s="9" t="s">
        <v>6967</v>
      </c>
      <c r="O3627" s="9" t="str">
        <f t="shared" si="344"/>
        <v>PDFを開く</v>
      </c>
      <c r="P3627" s="9" t="s">
        <v>2902</v>
      </c>
    </row>
    <row r="3628" spans="1:16" ht="33.950000000000003" customHeight="1">
      <c r="A3628" s="2" t="s">
        <v>2897</v>
      </c>
      <c r="B3628" s="2" t="s">
        <v>2430</v>
      </c>
      <c r="C3628" s="8" t="s">
        <v>2898</v>
      </c>
      <c r="D3628" s="2">
        <v>2</v>
      </c>
      <c r="E3628" s="8" t="s">
        <v>3184</v>
      </c>
      <c r="F3628" s="2" t="s">
        <v>86</v>
      </c>
      <c r="G3628" s="2" t="s">
        <v>3177</v>
      </c>
      <c r="H3628" s="2" t="s">
        <v>3178</v>
      </c>
      <c r="I3628" s="8" t="s">
        <v>3262</v>
      </c>
      <c r="J3628" s="2">
        <v>2030</v>
      </c>
      <c r="K3628" s="2">
        <v>568</v>
      </c>
      <c r="L3628" s="8" t="s">
        <v>3772</v>
      </c>
      <c r="M3628" s="2">
        <v>8.5</v>
      </c>
      <c r="N3628" s="8" t="s">
        <v>6967</v>
      </c>
      <c r="O3628" s="8" t="str">
        <f t="shared" si="344"/>
        <v>PDFを開く</v>
      </c>
      <c r="P3628" s="8" t="s">
        <v>2902</v>
      </c>
    </row>
    <row r="3629" spans="1:16" ht="33.950000000000003" customHeight="1">
      <c r="A3629" s="5" t="s">
        <v>2897</v>
      </c>
      <c r="B3629" s="5" t="s">
        <v>2430</v>
      </c>
      <c r="C3629" s="9" t="s">
        <v>2898</v>
      </c>
      <c r="D3629" s="5">
        <v>2</v>
      </c>
      <c r="E3629" s="9" t="s">
        <v>3188</v>
      </c>
      <c r="F3629" s="5" t="s">
        <v>86</v>
      </c>
      <c r="G3629" s="19" t="s">
        <v>3189</v>
      </c>
      <c r="H3629" s="5" t="s">
        <v>3178</v>
      </c>
      <c r="I3629" s="9"/>
      <c r="J3629" s="5"/>
      <c r="K3629" s="5"/>
      <c r="L3629" s="9"/>
      <c r="M3629" s="5">
        <v>7</v>
      </c>
      <c r="N3629" s="9" t="s">
        <v>5324</v>
      </c>
      <c r="O3629" s="9" t="str">
        <f t="shared" si="344"/>
        <v>PDFを開く</v>
      </c>
      <c r="P3629" s="9" t="s">
        <v>2902</v>
      </c>
    </row>
    <row r="3630" spans="1:16" ht="33.950000000000003" customHeight="1">
      <c r="A3630" s="2" t="s">
        <v>2897</v>
      </c>
      <c r="B3630" s="2" t="s">
        <v>2430</v>
      </c>
      <c r="C3630" s="8" t="s">
        <v>2898</v>
      </c>
      <c r="D3630" s="2">
        <v>2</v>
      </c>
      <c r="E3630" s="8" t="s">
        <v>3191</v>
      </c>
      <c r="F3630" s="2" t="s">
        <v>2513</v>
      </c>
      <c r="G3630" s="2" t="s">
        <v>3177</v>
      </c>
      <c r="H3630" s="2" t="s">
        <v>3178</v>
      </c>
      <c r="I3630" s="8" t="s">
        <v>3259</v>
      </c>
      <c r="J3630" s="2">
        <v>2027</v>
      </c>
      <c r="K3630" s="2">
        <v>12</v>
      </c>
      <c r="L3630" s="8" t="s">
        <v>4395</v>
      </c>
      <c r="M3630" s="2"/>
      <c r="N3630" s="8" t="s">
        <v>6968</v>
      </c>
      <c r="O3630" s="8" t="str">
        <f t="shared" si="344"/>
        <v>PDFを開く</v>
      </c>
      <c r="P3630" s="8" t="s">
        <v>2902</v>
      </c>
    </row>
    <row r="3631" spans="1:16" ht="33.950000000000003" customHeight="1">
      <c r="A3631" s="5" t="s">
        <v>2897</v>
      </c>
      <c r="B3631" s="5" t="s">
        <v>2430</v>
      </c>
      <c r="C3631" s="9" t="s">
        <v>2898</v>
      </c>
      <c r="D3631" s="5">
        <v>2</v>
      </c>
      <c r="E3631" s="9" t="s">
        <v>3191</v>
      </c>
      <c r="F3631" s="5" t="s">
        <v>2513</v>
      </c>
      <c r="G3631" s="5" t="s">
        <v>3177</v>
      </c>
      <c r="H3631" s="5" t="s">
        <v>3178</v>
      </c>
      <c r="I3631" s="9" t="s">
        <v>3262</v>
      </c>
      <c r="J3631" s="5">
        <v>2030</v>
      </c>
      <c r="K3631" s="5">
        <v>18</v>
      </c>
      <c r="L3631" s="9" t="s">
        <v>3659</v>
      </c>
      <c r="M3631" s="5"/>
      <c r="N3631" s="9" t="s">
        <v>6968</v>
      </c>
      <c r="O3631" s="9" t="str">
        <f t="shared" si="344"/>
        <v>PDFを開く</v>
      </c>
      <c r="P3631" s="9" t="s">
        <v>2902</v>
      </c>
    </row>
    <row r="3632" spans="1:16" ht="33.950000000000003" customHeight="1">
      <c r="A3632" s="2" t="s">
        <v>2897</v>
      </c>
      <c r="B3632" s="2" t="s">
        <v>2430</v>
      </c>
      <c r="C3632" s="8" t="s">
        <v>2898</v>
      </c>
      <c r="D3632" s="2">
        <v>2</v>
      </c>
      <c r="E3632" s="8" t="s">
        <v>3188</v>
      </c>
      <c r="F3632" s="2" t="s">
        <v>86</v>
      </c>
      <c r="G3632" s="2" t="s">
        <v>3177</v>
      </c>
      <c r="H3632" s="2"/>
      <c r="I3632" s="8" t="s">
        <v>6969</v>
      </c>
      <c r="J3632" s="2">
        <v>2027</v>
      </c>
      <c r="K3632" s="2"/>
      <c r="L3632" s="8" t="s">
        <v>3211</v>
      </c>
      <c r="M3632" s="2">
        <v>7</v>
      </c>
      <c r="N3632" s="8" t="s">
        <v>5327</v>
      </c>
      <c r="O3632" s="8" t="str">
        <f t="shared" si="344"/>
        <v>PDFを開く</v>
      </c>
      <c r="P3632" s="8" t="s">
        <v>2902</v>
      </c>
    </row>
    <row r="3633" spans="1:16" ht="33.950000000000003" customHeight="1">
      <c r="A3633" s="5" t="s">
        <v>2897</v>
      </c>
      <c r="B3633" s="5" t="s">
        <v>2430</v>
      </c>
      <c r="C3633" s="9" t="s">
        <v>2898</v>
      </c>
      <c r="D3633" s="5">
        <v>2</v>
      </c>
      <c r="E3633" s="9" t="s">
        <v>3188</v>
      </c>
      <c r="F3633" s="5" t="s">
        <v>86</v>
      </c>
      <c r="G3633" s="5" t="s">
        <v>3177</v>
      </c>
      <c r="H3633" s="5"/>
      <c r="I3633" s="9" t="s">
        <v>6970</v>
      </c>
      <c r="J3633" s="5">
        <v>2030</v>
      </c>
      <c r="K3633" s="5"/>
      <c r="L3633" s="9" t="s">
        <v>6374</v>
      </c>
      <c r="M3633" s="5">
        <v>7</v>
      </c>
      <c r="N3633" s="9" t="s">
        <v>5327</v>
      </c>
      <c r="O3633" s="9" t="str">
        <f t="shared" si="344"/>
        <v>PDFを開く</v>
      </c>
      <c r="P3633" s="9" t="s">
        <v>2902</v>
      </c>
    </row>
    <row r="3634" spans="1:16" ht="33.950000000000003" customHeight="1">
      <c r="A3634" s="2" t="s">
        <v>2903</v>
      </c>
      <c r="B3634" s="2" t="s">
        <v>2430</v>
      </c>
      <c r="C3634" s="8" t="s">
        <v>2904</v>
      </c>
      <c r="D3634" s="2">
        <v>5</v>
      </c>
      <c r="E3634" s="8" t="s">
        <v>3176</v>
      </c>
      <c r="F3634" s="2" t="s">
        <v>447</v>
      </c>
      <c r="G3634" s="2" t="s">
        <v>3177</v>
      </c>
      <c r="H3634" s="2" t="s">
        <v>3178</v>
      </c>
      <c r="I3634" s="8" t="s">
        <v>3259</v>
      </c>
      <c r="J3634" s="2">
        <v>2027</v>
      </c>
      <c r="K3634" s="2">
        <v>15758</v>
      </c>
      <c r="L3634" s="8" t="s">
        <v>6971</v>
      </c>
      <c r="M3634" s="2">
        <v>12.6</v>
      </c>
      <c r="N3634" s="8" t="s">
        <v>6972</v>
      </c>
      <c r="O3634" s="8" t="str">
        <f t="shared" ref="O3634:O3642" si="345">HYPERLINK("https://seichotoushi-hojo.jp/assets/pdf/koufu_3_4ji/outline_183.pdf","PDFを開く")</f>
        <v>PDFを開く</v>
      </c>
      <c r="P3634" s="8" t="s">
        <v>2909</v>
      </c>
    </row>
    <row r="3635" spans="1:16" ht="33.950000000000003" customHeight="1">
      <c r="A3635" s="5" t="s">
        <v>2903</v>
      </c>
      <c r="B3635" s="5" t="s">
        <v>2430</v>
      </c>
      <c r="C3635" s="9" t="s">
        <v>2904</v>
      </c>
      <c r="D3635" s="5">
        <v>5</v>
      </c>
      <c r="E3635" s="9" t="s">
        <v>3176</v>
      </c>
      <c r="F3635" s="5" t="s">
        <v>447</v>
      </c>
      <c r="G3635" s="5" t="s">
        <v>3177</v>
      </c>
      <c r="H3635" s="5" t="s">
        <v>3178</v>
      </c>
      <c r="I3635" s="9" t="s">
        <v>3262</v>
      </c>
      <c r="J3635" s="5">
        <v>2030</v>
      </c>
      <c r="K3635" s="5">
        <v>22484</v>
      </c>
      <c r="L3635" s="9" t="s">
        <v>6973</v>
      </c>
      <c r="M3635" s="5">
        <v>12.6</v>
      </c>
      <c r="N3635" s="9" t="s">
        <v>6972</v>
      </c>
      <c r="O3635" s="9" t="str">
        <f t="shared" si="345"/>
        <v>PDFを開く</v>
      </c>
      <c r="P3635" s="9" t="s">
        <v>2909</v>
      </c>
    </row>
    <row r="3636" spans="1:16" ht="33.950000000000003" customHeight="1">
      <c r="A3636" s="2" t="s">
        <v>2903</v>
      </c>
      <c r="B3636" s="2" t="s">
        <v>2430</v>
      </c>
      <c r="C3636" s="8" t="s">
        <v>2904</v>
      </c>
      <c r="D3636" s="2">
        <v>5</v>
      </c>
      <c r="E3636" s="8" t="s">
        <v>3184</v>
      </c>
      <c r="F3636" s="2" t="s">
        <v>447</v>
      </c>
      <c r="G3636" s="2" t="s">
        <v>3177</v>
      </c>
      <c r="H3636" s="2" t="s">
        <v>3178</v>
      </c>
      <c r="I3636" s="8" t="s">
        <v>3259</v>
      </c>
      <c r="J3636" s="2">
        <v>2027</v>
      </c>
      <c r="K3636" s="2">
        <v>6164</v>
      </c>
      <c r="L3636" s="8" t="s">
        <v>6974</v>
      </c>
      <c r="M3636" s="2">
        <v>6.5</v>
      </c>
      <c r="N3636" s="8" t="s">
        <v>6975</v>
      </c>
      <c r="O3636" s="8" t="str">
        <f t="shared" si="345"/>
        <v>PDFを開く</v>
      </c>
      <c r="P3636" s="8" t="s">
        <v>2909</v>
      </c>
    </row>
    <row r="3637" spans="1:16" ht="33.950000000000003" customHeight="1">
      <c r="A3637" s="5" t="s">
        <v>2903</v>
      </c>
      <c r="B3637" s="5" t="s">
        <v>2430</v>
      </c>
      <c r="C3637" s="9" t="s">
        <v>2904</v>
      </c>
      <c r="D3637" s="5">
        <v>5</v>
      </c>
      <c r="E3637" s="9" t="s">
        <v>3184</v>
      </c>
      <c r="F3637" s="5" t="s">
        <v>447</v>
      </c>
      <c r="G3637" s="5" t="s">
        <v>3177</v>
      </c>
      <c r="H3637" s="5" t="s">
        <v>3178</v>
      </c>
      <c r="I3637" s="9" t="s">
        <v>3262</v>
      </c>
      <c r="J3637" s="5">
        <v>2030</v>
      </c>
      <c r="K3637" s="5">
        <v>7445</v>
      </c>
      <c r="L3637" s="9" t="s">
        <v>6976</v>
      </c>
      <c r="M3637" s="5">
        <v>6.5</v>
      </c>
      <c r="N3637" s="9" t="s">
        <v>6975</v>
      </c>
      <c r="O3637" s="9" t="str">
        <f t="shared" si="345"/>
        <v>PDFを開く</v>
      </c>
      <c r="P3637" s="9" t="s">
        <v>2909</v>
      </c>
    </row>
    <row r="3638" spans="1:16" ht="33.950000000000003" customHeight="1">
      <c r="A3638" s="2" t="s">
        <v>2903</v>
      </c>
      <c r="B3638" s="2" t="s">
        <v>2430</v>
      </c>
      <c r="C3638" s="8" t="s">
        <v>2904</v>
      </c>
      <c r="D3638" s="2">
        <v>5</v>
      </c>
      <c r="E3638" s="8" t="s">
        <v>3188</v>
      </c>
      <c r="F3638" s="2" t="s">
        <v>447</v>
      </c>
      <c r="G3638" s="19" t="s">
        <v>3189</v>
      </c>
      <c r="H3638" s="2" t="s">
        <v>3178</v>
      </c>
      <c r="I3638" s="8"/>
      <c r="J3638" s="2"/>
      <c r="K3638" s="2"/>
      <c r="L3638" s="8"/>
      <c r="M3638" s="2">
        <v>6.5</v>
      </c>
      <c r="N3638" s="8" t="s">
        <v>6327</v>
      </c>
      <c r="O3638" s="8" t="str">
        <f t="shared" si="345"/>
        <v>PDFを開く</v>
      </c>
      <c r="P3638" s="8" t="s">
        <v>2909</v>
      </c>
    </row>
    <row r="3639" spans="1:16" ht="33.950000000000003" customHeight="1">
      <c r="A3639" s="5" t="s">
        <v>2903</v>
      </c>
      <c r="B3639" s="5" t="s">
        <v>2430</v>
      </c>
      <c r="C3639" s="9" t="s">
        <v>2904</v>
      </c>
      <c r="D3639" s="5">
        <v>5</v>
      </c>
      <c r="E3639" s="9" t="s">
        <v>3191</v>
      </c>
      <c r="F3639" s="5" t="s">
        <v>2513</v>
      </c>
      <c r="G3639" s="5" t="s">
        <v>3177</v>
      </c>
      <c r="H3639" s="5" t="s">
        <v>3178</v>
      </c>
      <c r="I3639" s="9" t="s">
        <v>3259</v>
      </c>
      <c r="J3639" s="5">
        <v>2027</v>
      </c>
      <c r="K3639" s="5">
        <v>425</v>
      </c>
      <c r="L3639" s="9" t="s">
        <v>4527</v>
      </c>
      <c r="M3639" s="5"/>
      <c r="N3639" s="9" t="s">
        <v>6977</v>
      </c>
      <c r="O3639" s="9" t="str">
        <f t="shared" si="345"/>
        <v>PDFを開く</v>
      </c>
      <c r="P3639" s="9" t="s">
        <v>2909</v>
      </c>
    </row>
    <row r="3640" spans="1:16" ht="33.950000000000003" customHeight="1">
      <c r="A3640" s="2" t="s">
        <v>2903</v>
      </c>
      <c r="B3640" s="2" t="s">
        <v>2430</v>
      </c>
      <c r="C3640" s="8" t="s">
        <v>2904</v>
      </c>
      <c r="D3640" s="2">
        <v>5</v>
      </c>
      <c r="E3640" s="8" t="s">
        <v>3191</v>
      </c>
      <c r="F3640" s="2" t="s">
        <v>2513</v>
      </c>
      <c r="G3640" s="2" t="s">
        <v>3177</v>
      </c>
      <c r="H3640" s="2" t="s">
        <v>3178</v>
      </c>
      <c r="I3640" s="8" t="s">
        <v>3262</v>
      </c>
      <c r="J3640" s="2">
        <v>2030</v>
      </c>
      <c r="K3640" s="2">
        <v>613</v>
      </c>
      <c r="L3640" s="8" t="s">
        <v>6978</v>
      </c>
      <c r="M3640" s="2"/>
      <c r="N3640" s="8" t="s">
        <v>6977</v>
      </c>
      <c r="O3640" s="8" t="str">
        <f t="shared" si="345"/>
        <v>PDFを開く</v>
      </c>
      <c r="P3640" s="8" t="s">
        <v>2909</v>
      </c>
    </row>
    <row r="3641" spans="1:16" ht="33.950000000000003" customHeight="1">
      <c r="A3641" s="5" t="s">
        <v>2903</v>
      </c>
      <c r="B3641" s="5" t="s">
        <v>2430</v>
      </c>
      <c r="C3641" s="9" t="s">
        <v>2904</v>
      </c>
      <c r="D3641" s="5">
        <v>5</v>
      </c>
      <c r="E3641" s="9" t="s">
        <v>3188</v>
      </c>
      <c r="F3641" s="5" t="s">
        <v>447</v>
      </c>
      <c r="G3641" s="5" t="s">
        <v>3177</v>
      </c>
      <c r="H3641" s="5"/>
      <c r="I3641" s="9" t="s">
        <v>6979</v>
      </c>
      <c r="J3641" s="5">
        <v>2027</v>
      </c>
      <c r="K3641" s="5"/>
      <c r="L3641" s="9" t="s">
        <v>3211</v>
      </c>
      <c r="M3641" s="5">
        <v>6.5</v>
      </c>
      <c r="N3641" s="9" t="s">
        <v>6330</v>
      </c>
      <c r="O3641" s="9" t="str">
        <f t="shared" si="345"/>
        <v>PDFを開く</v>
      </c>
      <c r="P3641" s="9" t="s">
        <v>2909</v>
      </c>
    </row>
    <row r="3642" spans="1:16" ht="33.950000000000003" customHeight="1">
      <c r="A3642" s="2" t="s">
        <v>2903</v>
      </c>
      <c r="B3642" s="2" t="s">
        <v>2430</v>
      </c>
      <c r="C3642" s="8" t="s">
        <v>2904</v>
      </c>
      <c r="D3642" s="2">
        <v>5</v>
      </c>
      <c r="E3642" s="8" t="s">
        <v>3188</v>
      </c>
      <c r="F3642" s="2" t="s">
        <v>447</v>
      </c>
      <c r="G3642" s="2" t="s">
        <v>3177</v>
      </c>
      <c r="H3642" s="2"/>
      <c r="I3642" s="8" t="s">
        <v>6980</v>
      </c>
      <c r="J3642" s="2">
        <v>2030</v>
      </c>
      <c r="K3642" s="2"/>
      <c r="L3642" s="8" t="s">
        <v>5447</v>
      </c>
      <c r="M3642" s="2">
        <v>6.5</v>
      </c>
      <c r="N3642" s="8" t="s">
        <v>6330</v>
      </c>
      <c r="O3642" s="8" t="str">
        <f t="shared" si="345"/>
        <v>PDFを開く</v>
      </c>
      <c r="P3642" s="8" t="s">
        <v>2909</v>
      </c>
    </row>
    <row r="3643" spans="1:16" ht="33.950000000000003" customHeight="1">
      <c r="A3643" s="5" t="s">
        <v>2910</v>
      </c>
      <c r="B3643" s="5" t="s">
        <v>2430</v>
      </c>
      <c r="C3643" s="9" t="s">
        <v>2911</v>
      </c>
      <c r="D3643" s="5">
        <v>2</v>
      </c>
      <c r="E3643" s="9" t="s">
        <v>3176</v>
      </c>
      <c r="F3643" s="5" t="s">
        <v>447</v>
      </c>
      <c r="G3643" s="19" t="s">
        <v>3189</v>
      </c>
      <c r="H3643" s="5"/>
      <c r="I3643" s="9"/>
      <c r="J3643" s="5"/>
      <c r="K3643" s="5"/>
      <c r="L3643" s="9"/>
      <c r="M3643" s="5"/>
      <c r="N3643" s="9" t="s">
        <v>6981</v>
      </c>
      <c r="O3643" s="9" t="str">
        <f t="shared" ref="O3643:O3650" si="346">HYPERLINK("https://seichotoushi-hojo.jp/assets/pdf/koufu_3_4ji/outline_184.pdf","PDFを開く")</f>
        <v>PDFを開く</v>
      </c>
      <c r="P3643" s="9" t="s">
        <v>2917</v>
      </c>
    </row>
    <row r="3644" spans="1:16" ht="33.950000000000003" customHeight="1">
      <c r="A3644" s="2" t="s">
        <v>2910</v>
      </c>
      <c r="B3644" s="2" t="s">
        <v>2430</v>
      </c>
      <c r="C3644" s="8" t="s">
        <v>2911</v>
      </c>
      <c r="D3644" s="2">
        <v>2</v>
      </c>
      <c r="E3644" s="8" t="s">
        <v>3191</v>
      </c>
      <c r="F3644" s="2" t="s">
        <v>2513</v>
      </c>
      <c r="G3644" s="19" t="s">
        <v>3189</v>
      </c>
      <c r="H3644" s="2"/>
      <c r="I3644" s="8"/>
      <c r="J3644" s="2"/>
      <c r="K3644" s="2"/>
      <c r="L3644" s="8"/>
      <c r="M3644" s="2"/>
      <c r="N3644" s="8" t="s">
        <v>6982</v>
      </c>
      <c r="O3644" s="8" t="str">
        <f t="shared" si="346"/>
        <v>PDFを開く</v>
      </c>
      <c r="P3644" s="8" t="s">
        <v>2917</v>
      </c>
    </row>
    <row r="3645" spans="1:16" ht="33.950000000000003" customHeight="1">
      <c r="A3645" s="5" t="s">
        <v>2910</v>
      </c>
      <c r="B3645" s="5" t="s">
        <v>2430</v>
      </c>
      <c r="C3645" s="9" t="s">
        <v>2911</v>
      </c>
      <c r="D3645" s="5">
        <v>2</v>
      </c>
      <c r="E3645" s="9" t="s">
        <v>3176</v>
      </c>
      <c r="F3645" s="5" t="s">
        <v>447</v>
      </c>
      <c r="G3645" s="5" t="s">
        <v>3177</v>
      </c>
      <c r="H3645" s="5"/>
      <c r="I3645" s="9" t="s">
        <v>5942</v>
      </c>
      <c r="J3645" s="5"/>
      <c r="K3645" s="5">
        <v>6972</v>
      </c>
      <c r="L3645" s="9" t="s">
        <v>6983</v>
      </c>
      <c r="M3645" s="5">
        <v>27.8</v>
      </c>
      <c r="N3645" s="9" t="s">
        <v>6984</v>
      </c>
      <c r="O3645" s="9" t="str">
        <f t="shared" si="346"/>
        <v>PDFを開く</v>
      </c>
      <c r="P3645" s="9" t="s">
        <v>2917</v>
      </c>
    </row>
    <row r="3646" spans="1:16" ht="33.950000000000003" customHeight="1">
      <c r="A3646" s="2" t="s">
        <v>2910</v>
      </c>
      <c r="B3646" s="2" t="s">
        <v>2430</v>
      </c>
      <c r="C3646" s="8" t="s">
        <v>2911</v>
      </c>
      <c r="D3646" s="2">
        <v>2</v>
      </c>
      <c r="E3646" s="8" t="s">
        <v>3176</v>
      </c>
      <c r="F3646" s="2" t="s">
        <v>447</v>
      </c>
      <c r="G3646" s="2" t="s">
        <v>3177</v>
      </c>
      <c r="H3646" s="2"/>
      <c r="I3646" s="8" t="s">
        <v>5945</v>
      </c>
      <c r="J3646" s="2"/>
      <c r="K3646" s="2">
        <v>14561</v>
      </c>
      <c r="L3646" s="8" t="s">
        <v>6985</v>
      </c>
      <c r="M3646" s="2">
        <v>27.8</v>
      </c>
      <c r="N3646" s="8" t="s">
        <v>6984</v>
      </c>
      <c r="O3646" s="8" t="str">
        <f t="shared" si="346"/>
        <v>PDFを開く</v>
      </c>
      <c r="P3646" s="8" t="s">
        <v>2917</v>
      </c>
    </row>
    <row r="3647" spans="1:16" ht="33.950000000000003" customHeight="1">
      <c r="A3647" s="5" t="s">
        <v>2910</v>
      </c>
      <c r="B3647" s="5" t="s">
        <v>2430</v>
      </c>
      <c r="C3647" s="9" t="s">
        <v>2911</v>
      </c>
      <c r="D3647" s="5">
        <v>2</v>
      </c>
      <c r="E3647" s="9" t="s">
        <v>3184</v>
      </c>
      <c r="F3647" s="5" t="s">
        <v>447</v>
      </c>
      <c r="G3647" s="5" t="s">
        <v>3177</v>
      </c>
      <c r="H3647" s="5"/>
      <c r="I3647" s="9" t="s">
        <v>5942</v>
      </c>
      <c r="J3647" s="5"/>
      <c r="K3647" s="5">
        <v>5031</v>
      </c>
      <c r="L3647" s="9" t="s">
        <v>6986</v>
      </c>
      <c r="M3647" s="5">
        <v>7</v>
      </c>
      <c r="N3647" s="9" t="s">
        <v>6987</v>
      </c>
      <c r="O3647" s="9" t="str">
        <f t="shared" si="346"/>
        <v>PDFを開く</v>
      </c>
      <c r="P3647" s="9" t="s">
        <v>2917</v>
      </c>
    </row>
    <row r="3648" spans="1:16" ht="33.950000000000003" customHeight="1">
      <c r="A3648" s="2" t="s">
        <v>2910</v>
      </c>
      <c r="B3648" s="2" t="s">
        <v>2430</v>
      </c>
      <c r="C3648" s="8" t="s">
        <v>2911</v>
      </c>
      <c r="D3648" s="2">
        <v>2</v>
      </c>
      <c r="E3648" s="8" t="s">
        <v>3184</v>
      </c>
      <c r="F3648" s="2" t="s">
        <v>447</v>
      </c>
      <c r="G3648" s="2" t="s">
        <v>3177</v>
      </c>
      <c r="H3648" s="2"/>
      <c r="I3648" s="8" t="s">
        <v>5945</v>
      </c>
      <c r="J3648" s="2"/>
      <c r="K3648" s="2">
        <v>6163</v>
      </c>
      <c r="L3648" s="8" t="s">
        <v>6988</v>
      </c>
      <c r="M3648" s="2">
        <v>7</v>
      </c>
      <c r="N3648" s="8" t="s">
        <v>6987</v>
      </c>
      <c r="O3648" s="8" t="str">
        <f t="shared" si="346"/>
        <v>PDFを開く</v>
      </c>
      <c r="P3648" s="8" t="s">
        <v>2917</v>
      </c>
    </row>
    <row r="3649" spans="1:16" ht="33.950000000000003" customHeight="1">
      <c r="A3649" s="5" t="s">
        <v>2910</v>
      </c>
      <c r="B3649" s="5" t="s">
        <v>2430</v>
      </c>
      <c r="C3649" s="9" t="s">
        <v>2911</v>
      </c>
      <c r="D3649" s="5">
        <v>2</v>
      </c>
      <c r="E3649" s="9" t="s">
        <v>3191</v>
      </c>
      <c r="F3649" s="5" t="s">
        <v>2513</v>
      </c>
      <c r="G3649" s="5" t="s">
        <v>3177</v>
      </c>
      <c r="H3649" s="5"/>
      <c r="I3649" s="9" t="s">
        <v>5942</v>
      </c>
      <c r="J3649" s="5"/>
      <c r="K3649" s="5">
        <v>240</v>
      </c>
      <c r="L3649" s="9" t="s">
        <v>3527</v>
      </c>
      <c r="M3649" s="5">
        <v>2.8</v>
      </c>
      <c r="N3649" s="9" t="s">
        <v>6989</v>
      </c>
      <c r="O3649" s="9" t="str">
        <f t="shared" si="346"/>
        <v>PDFを開く</v>
      </c>
      <c r="P3649" s="9" t="s">
        <v>2917</v>
      </c>
    </row>
    <row r="3650" spans="1:16" ht="33.950000000000003" customHeight="1">
      <c r="A3650" s="2" t="s">
        <v>2910</v>
      </c>
      <c r="B3650" s="2" t="s">
        <v>2430</v>
      </c>
      <c r="C3650" s="8" t="s">
        <v>2911</v>
      </c>
      <c r="D3650" s="2">
        <v>2</v>
      </c>
      <c r="E3650" s="8" t="s">
        <v>3191</v>
      </c>
      <c r="F3650" s="2" t="s">
        <v>2513</v>
      </c>
      <c r="G3650" s="2" t="s">
        <v>3177</v>
      </c>
      <c r="H3650" s="2"/>
      <c r="I3650" s="8" t="s">
        <v>5945</v>
      </c>
      <c r="J3650" s="2"/>
      <c r="K3650" s="2">
        <v>261</v>
      </c>
      <c r="L3650" s="8" t="s">
        <v>3293</v>
      </c>
      <c r="M3650" s="2">
        <v>2.8</v>
      </c>
      <c r="N3650" s="8" t="s">
        <v>6989</v>
      </c>
      <c r="O3650" s="8" t="str">
        <f t="shared" si="346"/>
        <v>PDFを開く</v>
      </c>
      <c r="P3650" s="8" t="s">
        <v>2917</v>
      </c>
    </row>
    <row r="3651" spans="1:16" ht="33.950000000000003" customHeight="1">
      <c r="A3651" s="5" t="s">
        <v>2918</v>
      </c>
      <c r="B3651" s="5" t="s">
        <v>2430</v>
      </c>
      <c r="C3651" s="9" t="s">
        <v>2919</v>
      </c>
      <c r="D3651" s="5">
        <v>2</v>
      </c>
      <c r="E3651" s="9" t="s">
        <v>3176</v>
      </c>
      <c r="F3651" s="5" t="s">
        <v>447</v>
      </c>
      <c r="G3651" s="19" t="s">
        <v>3189</v>
      </c>
      <c r="H3651" s="5"/>
      <c r="I3651" s="9" t="s">
        <v>3302</v>
      </c>
      <c r="J3651" s="5"/>
      <c r="K3651" s="5">
        <v>32134</v>
      </c>
      <c r="L3651" s="9" t="s">
        <v>6990</v>
      </c>
      <c r="M3651" s="5">
        <v>28.5</v>
      </c>
      <c r="N3651" s="9" t="s">
        <v>6991</v>
      </c>
      <c r="O3651" s="9" t="str">
        <f t="shared" ref="O3651:O3665" si="347">HYPERLINK("https://seichotoushi-hojo.jp/assets/pdf/koufu_3_4ji/outline_187.pdf","PDFを開く")</f>
        <v>PDFを開く</v>
      </c>
      <c r="P3651" s="9" t="s">
        <v>2925</v>
      </c>
    </row>
    <row r="3652" spans="1:16" ht="33.950000000000003" customHeight="1">
      <c r="A3652" s="2" t="s">
        <v>2918</v>
      </c>
      <c r="B3652" s="2" t="s">
        <v>2430</v>
      </c>
      <c r="C3652" s="8" t="s">
        <v>2919</v>
      </c>
      <c r="D3652" s="2">
        <v>2</v>
      </c>
      <c r="E3652" s="8" t="s">
        <v>3176</v>
      </c>
      <c r="F3652" s="2" t="s">
        <v>447</v>
      </c>
      <c r="G3652" s="19" t="s">
        <v>3189</v>
      </c>
      <c r="H3652" s="2"/>
      <c r="I3652" s="8" t="s">
        <v>3302</v>
      </c>
      <c r="J3652" s="2"/>
      <c r="K3652" s="2">
        <v>15160</v>
      </c>
      <c r="L3652" s="8" t="s">
        <v>6992</v>
      </c>
      <c r="M3652" s="2">
        <v>28.5</v>
      </c>
      <c r="N3652" s="8" t="s">
        <v>6991</v>
      </c>
      <c r="O3652" s="8" t="str">
        <f t="shared" si="347"/>
        <v>PDFを開く</v>
      </c>
      <c r="P3652" s="8" t="s">
        <v>2925</v>
      </c>
    </row>
    <row r="3653" spans="1:16" ht="33.950000000000003" customHeight="1">
      <c r="A3653" s="5" t="s">
        <v>2918</v>
      </c>
      <c r="B3653" s="5" t="s">
        <v>2430</v>
      </c>
      <c r="C3653" s="9" t="s">
        <v>2919</v>
      </c>
      <c r="D3653" s="5">
        <v>2</v>
      </c>
      <c r="E3653" s="9" t="s">
        <v>3184</v>
      </c>
      <c r="F3653" s="5" t="s">
        <v>447</v>
      </c>
      <c r="G3653" s="19" t="s">
        <v>3189</v>
      </c>
      <c r="H3653" s="5"/>
      <c r="I3653" s="9" t="s">
        <v>3302</v>
      </c>
      <c r="J3653" s="5"/>
      <c r="K3653" s="5">
        <v>7891</v>
      </c>
      <c r="L3653" s="9" t="s">
        <v>6993</v>
      </c>
      <c r="M3653" s="5">
        <v>8</v>
      </c>
      <c r="N3653" s="9" t="s">
        <v>6994</v>
      </c>
      <c r="O3653" s="9" t="str">
        <f t="shared" si="347"/>
        <v>PDFを開く</v>
      </c>
      <c r="P3653" s="9" t="s">
        <v>2925</v>
      </c>
    </row>
    <row r="3654" spans="1:16" ht="33.950000000000003" customHeight="1">
      <c r="A3654" s="2" t="s">
        <v>2918</v>
      </c>
      <c r="B3654" s="2" t="s">
        <v>2430</v>
      </c>
      <c r="C3654" s="8" t="s">
        <v>2919</v>
      </c>
      <c r="D3654" s="2">
        <v>2</v>
      </c>
      <c r="E3654" s="8" t="s">
        <v>3184</v>
      </c>
      <c r="F3654" s="2" t="s">
        <v>447</v>
      </c>
      <c r="G3654" s="19" t="s">
        <v>3189</v>
      </c>
      <c r="H3654" s="2"/>
      <c r="I3654" s="8" t="s">
        <v>3302</v>
      </c>
      <c r="J3654" s="2"/>
      <c r="K3654" s="2">
        <v>6264</v>
      </c>
      <c r="L3654" s="8" t="s">
        <v>6995</v>
      </c>
      <c r="M3654" s="2">
        <v>8</v>
      </c>
      <c r="N3654" s="8" t="s">
        <v>6994</v>
      </c>
      <c r="O3654" s="8" t="str">
        <f t="shared" si="347"/>
        <v>PDFを開く</v>
      </c>
      <c r="P3654" s="8" t="s">
        <v>2925</v>
      </c>
    </row>
    <row r="3655" spans="1:16" ht="33.950000000000003" customHeight="1">
      <c r="A3655" s="5" t="s">
        <v>2918</v>
      </c>
      <c r="B3655" s="5" t="s">
        <v>2430</v>
      </c>
      <c r="C3655" s="9" t="s">
        <v>2919</v>
      </c>
      <c r="D3655" s="5">
        <v>2</v>
      </c>
      <c r="E3655" s="9" t="s">
        <v>3188</v>
      </c>
      <c r="F3655" s="5" t="s">
        <v>447</v>
      </c>
      <c r="G3655" s="19" t="s">
        <v>3189</v>
      </c>
      <c r="H3655" s="5"/>
      <c r="I3655" s="9"/>
      <c r="J3655" s="5"/>
      <c r="K3655" s="5"/>
      <c r="L3655" s="9"/>
      <c r="M3655" s="5">
        <v>6</v>
      </c>
      <c r="N3655" s="9" t="s">
        <v>6776</v>
      </c>
      <c r="O3655" s="9" t="str">
        <f t="shared" si="347"/>
        <v>PDFを開く</v>
      </c>
      <c r="P3655" s="9" t="s">
        <v>2925</v>
      </c>
    </row>
    <row r="3656" spans="1:16" ht="33.950000000000003" customHeight="1">
      <c r="A3656" s="2" t="s">
        <v>2918</v>
      </c>
      <c r="B3656" s="2" t="s">
        <v>2430</v>
      </c>
      <c r="C3656" s="8" t="s">
        <v>2919</v>
      </c>
      <c r="D3656" s="2">
        <v>2</v>
      </c>
      <c r="E3656" s="8" t="s">
        <v>3191</v>
      </c>
      <c r="F3656" s="2" t="s">
        <v>2513</v>
      </c>
      <c r="G3656" s="19" t="s">
        <v>3189</v>
      </c>
      <c r="H3656" s="2"/>
      <c r="I3656" s="8" t="s">
        <v>3302</v>
      </c>
      <c r="J3656" s="2"/>
      <c r="K3656" s="2">
        <v>145</v>
      </c>
      <c r="L3656" s="8" t="s">
        <v>3455</v>
      </c>
      <c r="M3656" s="2"/>
      <c r="N3656" s="8" t="s">
        <v>6996</v>
      </c>
      <c r="O3656" s="8" t="str">
        <f t="shared" si="347"/>
        <v>PDFを開く</v>
      </c>
      <c r="P3656" s="8" t="s">
        <v>2925</v>
      </c>
    </row>
    <row r="3657" spans="1:16" ht="33.950000000000003" customHeight="1">
      <c r="A3657" s="5" t="s">
        <v>2918</v>
      </c>
      <c r="B3657" s="5" t="s">
        <v>2430</v>
      </c>
      <c r="C3657" s="9" t="s">
        <v>2919</v>
      </c>
      <c r="D3657" s="5">
        <v>2</v>
      </c>
      <c r="E3657" s="9" t="s">
        <v>3191</v>
      </c>
      <c r="F3657" s="5" t="s">
        <v>2513</v>
      </c>
      <c r="G3657" s="19" t="s">
        <v>3189</v>
      </c>
      <c r="H3657" s="5"/>
      <c r="I3657" s="9" t="s">
        <v>3302</v>
      </c>
      <c r="J3657" s="5"/>
      <c r="K3657" s="5">
        <v>180</v>
      </c>
      <c r="L3657" s="9" t="s">
        <v>5088</v>
      </c>
      <c r="M3657" s="5"/>
      <c r="N3657" s="9" t="s">
        <v>6996</v>
      </c>
      <c r="O3657" s="9" t="str">
        <f t="shared" si="347"/>
        <v>PDFを開く</v>
      </c>
      <c r="P3657" s="9" t="s">
        <v>2925</v>
      </c>
    </row>
    <row r="3658" spans="1:16" ht="33.950000000000003" customHeight="1">
      <c r="A3658" s="2" t="s">
        <v>2918</v>
      </c>
      <c r="B3658" s="2" t="s">
        <v>2430</v>
      </c>
      <c r="C3658" s="8" t="s">
        <v>2919</v>
      </c>
      <c r="D3658" s="2">
        <v>2</v>
      </c>
      <c r="E3658" s="8" t="s">
        <v>3176</v>
      </c>
      <c r="F3658" s="2" t="s">
        <v>447</v>
      </c>
      <c r="G3658" s="2" t="s">
        <v>3177</v>
      </c>
      <c r="H3658" s="2"/>
      <c r="I3658" s="8" t="s">
        <v>5942</v>
      </c>
      <c r="J3658" s="2"/>
      <c r="K3658" s="2">
        <v>15160</v>
      </c>
      <c r="L3658" s="8" t="s">
        <v>6997</v>
      </c>
      <c r="M3658" s="2">
        <v>28.5</v>
      </c>
      <c r="N3658" s="8" t="s">
        <v>6998</v>
      </c>
      <c r="O3658" s="8" t="str">
        <f t="shared" si="347"/>
        <v>PDFを開く</v>
      </c>
      <c r="P3658" s="8" t="s">
        <v>2925</v>
      </c>
    </row>
    <row r="3659" spans="1:16" ht="33.950000000000003" customHeight="1">
      <c r="A3659" s="5" t="s">
        <v>2918</v>
      </c>
      <c r="B3659" s="5" t="s">
        <v>2430</v>
      </c>
      <c r="C3659" s="9" t="s">
        <v>2919</v>
      </c>
      <c r="D3659" s="5">
        <v>2</v>
      </c>
      <c r="E3659" s="9" t="s">
        <v>3176</v>
      </c>
      <c r="F3659" s="5" t="s">
        <v>447</v>
      </c>
      <c r="G3659" s="5" t="s">
        <v>3177</v>
      </c>
      <c r="H3659" s="5"/>
      <c r="I3659" s="9" t="s">
        <v>5945</v>
      </c>
      <c r="J3659" s="5"/>
      <c r="K3659" s="5">
        <v>32134</v>
      </c>
      <c r="L3659" s="9" t="s">
        <v>6999</v>
      </c>
      <c r="M3659" s="5">
        <v>28.5</v>
      </c>
      <c r="N3659" s="9" t="s">
        <v>6998</v>
      </c>
      <c r="O3659" s="9" t="str">
        <f t="shared" si="347"/>
        <v>PDFを開く</v>
      </c>
      <c r="P3659" s="9" t="s">
        <v>2925</v>
      </c>
    </row>
    <row r="3660" spans="1:16" ht="33.950000000000003" customHeight="1">
      <c r="A3660" s="2" t="s">
        <v>2918</v>
      </c>
      <c r="B3660" s="2" t="s">
        <v>2430</v>
      </c>
      <c r="C3660" s="8" t="s">
        <v>2919</v>
      </c>
      <c r="D3660" s="2">
        <v>2</v>
      </c>
      <c r="E3660" s="8" t="s">
        <v>3184</v>
      </c>
      <c r="F3660" s="2" t="s">
        <v>447</v>
      </c>
      <c r="G3660" s="2" t="s">
        <v>3177</v>
      </c>
      <c r="H3660" s="2"/>
      <c r="I3660" s="8" t="s">
        <v>5942</v>
      </c>
      <c r="J3660" s="2"/>
      <c r="K3660" s="2">
        <v>6264</v>
      </c>
      <c r="L3660" s="8" t="s">
        <v>7000</v>
      </c>
      <c r="M3660" s="2">
        <v>8</v>
      </c>
      <c r="N3660" s="8" t="s">
        <v>7001</v>
      </c>
      <c r="O3660" s="8" t="str">
        <f t="shared" si="347"/>
        <v>PDFを開く</v>
      </c>
      <c r="P3660" s="8" t="s">
        <v>2925</v>
      </c>
    </row>
    <row r="3661" spans="1:16" ht="33.950000000000003" customHeight="1">
      <c r="A3661" s="5" t="s">
        <v>2918</v>
      </c>
      <c r="B3661" s="5" t="s">
        <v>2430</v>
      </c>
      <c r="C3661" s="9" t="s">
        <v>2919</v>
      </c>
      <c r="D3661" s="5">
        <v>2</v>
      </c>
      <c r="E3661" s="9" t="s">
        <v>3184</v>
      </c>
      <c r="F3661" s="5" t="s">
        <v>447</v>
      </c>
      <c r="G3661" s="5" t="s">
        <v>3177</v>
      </c>
      <c r="H3661" s="5"/>
      <c r="I3661" s="9" t="s">
        <v>5945</v>
      </c>
      <c r="J3661" s="5"/>
      <c r="K3661" s="5">
        <v>7891</v>
      </c>
      <c r="L3661" s="9" t="s">
        <v>7002</v>
      </c>
      <c r="M3661" s="5">
        <v>8</v>
      </c>
      <c r="N3661" s="9" t="s">
        <v>7001</v>
      </c>
      <c r="O3661" s="9" t="str">
        <f t="shared" si="347"/>
        <v>PDFを開く</v>
      </c>
      <c r="P3661" s="9" t="s">
        <v>2925</v>
      </c>
    </row>
    <row r="3662" spans="1:16" ht="33.950000000000003" customHeight="1">
      <c r="A3662" s="2" t="s">
        <v>2918</v>
      </c>
      <c r="B3662" s="2" t="s">
        <v>2430</v>
      </c>
      <c r="C3662" s="8" t="s">
        <v>2919</v>
      </c>
      <c r="D3662" s="2">
        <v>2</v>
      </c>
      <c r="E3662" s="8" t="s">
        <v>3191</v>
      </c>
      <c r="F3662" s="2" t="s">
        <v>2513</v>
      </c>
      <c r="G3662" s="2" t="s">
        <v>3177</v>
      </c>
      <c r="H3662" s="2"/>
      <c r="I3662" s="8" t="s">
        <v>5942</v>
      </c>
      <c r="J3662" s="2"/>
      <c r="K3662" s="2">
        <v>145</v>
      </c>
      <c r="L3662" s="8" t="s">
        <v>3455</v>
      </c>
      <c r="M3662" s="2"/>
      <c r="N3662" s="8" t="s">
        <v>7003</v>
      </c>
      <c r="O3662" s="8" t="str">
        <f t="shared" si="347"/>
        <v>PDFを開く</v>
      </c>
      <c r="P3662" s="8" t="s">
        <v>2925</v>
      </c>
    </row>
    <row r="3663" spans="1:16" ht="33.950000000000003" customHeight="1">
      <c r="A3663" s="5" t="s">
        <v>2918</v>
      </c>
      <c r="B3663" s="5" t="s">
        <v>2430</v>
      </c>
      <c r="C3663" s="9" t="s">
        <v>2919</v>
      </c>
      <c r="D3663" s="5">
        <v>2</v>
      </c>
      <c r="E3663" s="9" t="s">
        <v>3191</v>
      </c>
      <c r="F3663" s="5" t="s">
        <v>2513</v>
      </c>
      <c r="G3663" s="5" t="s">
        <v>3177</v>
      </c>
      <c r="H3663" s="5"/>
      <c r="I3663" s="9" t="s">
        <v>5945</v>
      </c>
      <c r="J3663" s="5"/>
      <c r="K3663" s="5">
        <v>180</v>
      </c>
      <c r="L3663" s="9" t="s">
        <v>5088</v>
      </c>
      <c r="M3663" s="5"/>
      <c r="N3663" s="9" t="s">
        <v>7003</v>
      </c>
      <c r="O3663" s="9" t="str">
        <f t="shared" si="347"/>
        <v>PDFを開く</v>
      </c>
      <c r="P3663" s="9" t="s">
        <v>2925</v>
      </c>
    </row>
    <row r="3664" spans="1:16" ht="33.950000000000003" customHeight="1">
      <c r="A3664" s="2" t="s">
        <v>2918</v>
      </c>
      <c r="B3664" s="2" t="s">
        <v>2430</v>
      </c>
      <c r="C3664" s="8" t="s">
        <v>2919</v>
      </c>
      <c r="D3664" s="2">
        <v>2</v>
      </c>
      <c r="E3664" s="8" t="s">
        <v>3188</v>
      </c>
      <c r="F3664" s="2" t="s">
        <v>447</v>
      </c>
      <c r="G3664" s="2" t="s">
        <v>3177</v>
      </c>
      <c r="H3664" s="2"/>
      <c r="I3664" s="8" t="s">
        <v>7004</v>
      </c>
      <c r="J3664" s="2"/>
      <c r="K3664" s="2"/>
      <c r="L3664" s="8" t="s">
        <v>3211</v>
      </c>
      <c r="M3664" s="2">
        <v>6</v>
      </c>
      <c r="N3664" s="8" t="s">
        <v>6473</v>
      </c>
      <c r="O3664" s="8" t="str">
        <f t="shared" si="347"/>
        <v>PDFを開く</v>
      </c>
      <c r="P3664" s="8" t="s">
        <v>2925</v>
      </c>
    </row>
    <row r="3665" spans="1:16" ht="33.950000000000003" customHeight="1">
      <c r="A3665" s="5" t="s">
        <v>2918</v>
      </c>
      <c r="B3665" s="5" t="s">
        <v>2430</v>
      </c>
      <c r="C3665" s="9" t="s">
        <v>2919</v>
      </c>
      <c r="D3665" s="5">
        <v>2</v>
      </c>
      <c r="E3665" s="9" t="s">
        <v>3188</v>
      </c>
      <c r="F3665" s="5" t="s">
        <v>447</v>
      </c>
      <c r="G3665" s="5" t="s">
        <v>3177</v>
      </c>
      <c r="H3665" s="5"/>
      <c r="I3665" s="9" t="s">
        <v>7005</v>
      </c>
      <c r="J3665" s="5"/>
      <c r="K3665" s="5"/>
      <c r="L3665" s="9" t="s">
        <v>5378</v>
      </c>
      <c r="M3665" s="5">
        <v>6</v>
      </c>
      <c r="N3665" s="9" t="s">
        <v>6473</v>
      </c>
      <c r="O3665" s="9" t="str">
        <f t="shared" si="347"/>
        <v>PDFを開く</v>
      </c>
      <c r="P3665" s="9" t="s">
        <v>2925</v>
      </c>
    </row>
    <row r="3666" spans="1:16" ht="33.950000000000003" customHeight="1">
      <c r="A3666" s="2" t="s">
        <v>2926</v>
      </c>
      <c r="B3666" s="2" t="s">
        <v>2430</v>
      </c>
      <c r="C3666" s="8" t="s">
        <v>2927</v>
      </c>
      <c r="D3666" s="2">
        <v>2</v>
      </c>
      <c r="E3666" s="8" t="s">
        <v>3176</v>
      </c>
      <c r="F3666" s="2"/>
      <c r="G3666" s="2" t="s">
        <v>3177</v>
      </c>
      <c r="H3666" s="2" t="s">
        <v>3178</v>
      </c>
      <c r="I3666" s="8" t="s">
        <v>5265</v>
      </c>
      <c r="J3666" s="2">
        <v>2027</v>
      </c>
      <c r="K3666" s="2">
        <v>4602</v>
      </c>
      <c r="L3666" s="8" t="s">
        <v>7006</v>
      </c>
      <c r="M3666" s="2">
        <v>25.2</v>
      </c>
      <c r="N3666" s="8" t="s">
        <v>7007</v>
      </c>
      <c r="O3666" s="8" t="str">
        <f t="shared" ref="O3666:O3676" si="348">HYPERLINK("https://seichotoushi-hojo.jp/assets/pdf/koufu_3_4ji/outline_189.pdf","PDFを開く")</f>
        <v>PDFを開く</v>
      </c>
      <c r="P3666" s="8" t="s">
        <v>2934</v>
      </c>
    </row>
    <row r="3667" spans="1:16" ht="33.950000000000003" customHeight="1">
      <c r="A3667" s="5" t="s">
        <v>2926</v>
      </c>
      <c r="B3667" s="5" t="s">
        <v>2430</v>
      </c>
      <c r="C3667" s="9" t="s">
        <v>2927</v>
      </c>
      <c r="D3667" s="5">
        <v>2</v>
      </c>
      <c r="E3667" s="9" t="s">
        <v>3176</v>
      </c>
      <c r="F3667" s="5"/>
      <c r="G3667" s="5" t="s">
        <v>3177</v>
      </c>
      <c r="H3667" s="5" t="s">
        <v>3178</v>
      </c>
      <c r="I3667" s="9" t="s">
        <v>5261</v>
      </c>
      <c r="J3667" s="5">
        <v>2030</v>
      </c>
      <c r="K3667" s="5">
        <v>9039</v>
      </c>
      <c r="L3667" s="9" t="s">
        <v>7008</v>
      </c>
      <c r="M3667" s="5">
        <v>25.2</v>
      </c>
      <c r="N3667" s="9" t="s">
        <v>7007</v>
      </c>
      <c r="O3667" s="9" t="str">
        <f t="shared" si="348"/>
        <v>PDFを開く</v>
      </c>
      <c r="P3667" s="9" t="s">
        <v>2934</v>
      </c>
    </row>
    <row r="3668" spans="1:16" ht="33.950000000000003" customHeight="1">
      <c r="A3668" s="2" t="s">
        <v>2926</v>
      </c>
      <c r="B3668" s="2" t="s">
        <v>2430</v>
      </c>
      <c r="C3668" s="8" t="s">
        <v>2927</v>
      </c>
      <c r="D3668" s="2">
        <v>2</v>
      </c>
      <c r="E3668" s="8" t="s">
        <v>3191</v>
      </c>
      <c r="F3668" s="2" t="s">
        <v>2513</v>
      </c>
      <c r="G3668" s="19" t="s">
        <v>3189</v>
      </c>
      <c r="H3668" s="2"/>
      <c r="I3668" s="8"/>
      <c r="J3668" s="2"/>
      <c r="K3668" s="2"/>
      <c r="L3668" s="8"/>
      <c r="M3668" s="2"/>
      <c r="N3668" s="8" t="s">
        <v>7009</v>
      </c>
      <c r="O3668" s="8" t="str">
        <f t="shared" si="348"/>
        <v>PDFを開く</v>
      </c>
      <c r="P3668" s="8" t="s">
        <v>2934</v>
      </c>
    </row>
    <row r="3669" spans="1:16" ht="33.950000000000003" customHeight="1">
      <c r="A3669" s="5" t="s">
        <v>2926</v>
      </c>
      <c r="B3669" s="5" t="s">
        <v>2430</v>
      </c>
      <c r="C3669" s="9" t="s">
        <v>2927</v>
      </c>
      <c r="D3669" s="5">
        <v>2</v>
      </c>
      <c r="E3669" s="9" t="s">
        <v>3176</v>
      </c>
      <c r="F3669" s="5" t="s">
        <v>86</v>
      </c>
      <c r="G3669" s="5" t="s">
        <v>3177</v>
      </c>
      <c r="H3669" s="5"/>
      <c r="I3669" s="9" t="s">
        <v>3686</v>
      </c>
      <c r="J3669" s="5">
        <v>2027</v>
      </c>
      <c r="K3669" s="5">
        <v>4602</v>
      </c>
      <c r="L3669" s="9" t="s">
        <v>7010</v>
      </c>
      <c r="M3669" s="5">
        <v>25.2</v>
      </c>
      <c r="N3669" s="9" t="s">
        <v>7011</v>
      </c>
      <c r="O3669" s="9" t="str">
        <f t="shared" si="348"/>
        <v>PDFを開く</v>
      </c>
      <c r="P3669" s="9" t="s">
        <v>2934</v>
      </c>
    </row>
    <row r="3670" spans="1:16" ht="33.950000000000003" customHeight="1">
      <c r="A3670" s="2" t="s">
        <v>2926</v>
      </c>
      <c r="B3670" s="2" t="s">
        <v>2430</v>
      </c>
      <c r="C3670" s="8" t="s">
        <v>2927</v>
      </c>
      <c r="D3670" s="2">
        <v>2</v>
      </c>
      <c r="E3670" s="8" t="s">
        <v>3176</v>
      </c>
      <c r="F3670" s="2" t="s">
        <v>86</v>
      </c>
      <c r="G3670" s="2" t="s">
        <v>3177</v>
      </c>
      <c r="H3670" s="2"/>
      <c r="I3670" s="8" t="s">
        <v>3688</v>
      </c>
      <c r="J3670" s="2">
        <v>2030</v>
      </c>
      <c r="K3670" s="2">
        <v>9039</v>
      </c>
      <c r="L3670" s="8" t="s">
        <v>7012</v>
      </c>
      <c r="M3670" s="2">
        <v>25.2</v>
      </c>
      <c r="N3670" s="8" t="s">
        <v>7011</v>
      </c>
      <c r="O3670" s="8" t="str">
        <f t="shared" si="348"/>
        <v>PDFを開く</v>
      </c>
      <c r="P3670" s="8" t="s">
        <v>2934</v>
      </c>
    </row>
    <row r="3671" spans="1:16" ht="33.950000000000003" customHeight="1">
      <c r="A3671" s="5" t="s">
        <v>2926</v>
      </c>
      <c r="B3671" s="5" t="s">
        <v>2430</v>
      </c>
      <c r="C3671" s="9" t="s">
        <v>2927</v>
      </c>
      <c r="D3671" s="5">
        <v>2</v>
      </c>
      <c r="E3671" s="9" t="s">
        <v>3184</v>
      </c>
      <c r="F3671" s="5" t="s">
        <v>86</v>
      </c>
      <c r="G3671" s="5" t="s">
        <v>3177</v>
      </c>
      <c r="H3671" s="5"/>
      <c r="I3671" s="9" t="s">
        <v>3686</v>
      </c>
      <c r="J3671" s="5">
        <v>2027</v>
      </c>
      <c r="K3671" s="5">
        <v>3298</v>
      </c>
      <c r="L3671" s="9" t="s">
        <v>7013</v>
      </c>
      <c r="M3671" s="5">
        <v>7</v>
      </c>
      <c r="N3671" s="9" t="s">
        <v>7014</v>
      </c>
      <c r="O3671" s="9" t="str">
        <f t="shared" si="348"/>
        <v>PDFを開く</v>
      </c>
      <c r="P3671" s="9" t="s">
        <v>2934</v>
      </c>
    </row>
    <row r="3672" spans="1:16" ht="33.950000000000003" customHeight="1">
      <c r="A3672" s="2" t="s">
        <v>2926</v>
      </c>
      <c r="B3672" s="2" t="s">
        <v>2430</v>
      </c>
      <c r="C3672" s="8" t="s">
        <v>2927</v>
      </c>
      <c r="D3672" s="2">
        <v>2</v>
      </c>
      <c r="E3672" s="8" t="s">
        <v>3184</v>
      </c>
      <c r="F3672" s="2" t="s">
        <v>86</v>
      </c>
      <c r="G3672" s="2" t="s">
        <v>3177</v>
      </c>
      <c r="H3672" s="2"/>
      <c r="I3672" s="8" t="s">
        <v>3688</v>
      </c>
      <c r="J3672" s="2">
        <v>2030</v>
      </c>
      <c r="K3672" s="2">
        <v>4040</v>
      </c>
      <c r="L3672" s="8" t="s">
        <v>7015</v>
      </c>
      <c r="M3672" s="2">
        <v>7</v>
      </c>
      <c r="N3672" s="8" t="s">
        <v>7014</v>
      </c>
      <c r="O3672" s="8" t="str">
        <f t="shared" si="348"/>
        <v>PDFを開く</v>
      </c>
      <c r="P3672" s="8" t="s">
        <v>2934</v>
      </c>
    </row>
    <row r="3673" spans="1:16" ht="33.950000000000003" customHeight="1">
      <c r="A3673" s="5" t="s">
        <v>2926</v>
      </c>
      <c r="B3673" s="5" t="s">
        <v>2430</v>
      </c>
      <c r="C3673" s="9" t="s">
        <v>2927</v>
      </c>
      <c r="D3673" s="5">
        <v>2</v>
      </c>
      <c r="E3673" s="9" t="s">
        <v>3188</v>
      </c>
      <c r="F3673" s="5" t="s">
        <v>86</v>
      </c>
      <c r="G3673" s="5" t="s">
        <v>3177</v>
      </c>
      <c r="H3673" s="5"/>
      <c r="I3673" s="9" t="s">
        <v>3686</v>
      </c>
      <c r="J3673" s="5">
        <v>2027</v>
      </c>
      <c r="K3673" s="5">
        <v>10000</v>
      </c>
      <c r="L3673" s="9" t="s">
        <v>7016</v>
      </c>
      <c r="M3673" s="5">
        <v>7</v>
      </c>
      <c r="N3673" s="9" t="s">
        <v>7017</v>
      </c>
      <c r="O3673" s="9" t="str">
        <f t="shared" si="348"/>
        <v>PDFを開く</v>
      </c>
      <c r="P3673" s="9" t="s">
        <v>2934</v>
      </c>
    </row>
    <row r="3674" spans="1:16" ht="33.950000000000003" customHeight="1">
      <c r="A3674" s="2" t="s">
        <v>2926</v>
      </c>
      <c r="B3674" s="2" t="s">
        <v>2430</v>
      </c>
      <c r="C3674" s="8" t="s">
        <v>2927</v>
      </c>
      <c r="D3674" s="2">
        <v>2</v>
      </c>
      <c r="E3674" s="8" t="s">
        <v>3188</v>
      </c>
      <c r="F3674" s="2" t="s">
        <v>86</v>
      </c>
      <c r="G3674" s="2" t="s">
        <v>3177</v>
      </c>
      <c r="H3674" s="2"/>
      <c r="I3674" s="8" t="s">
        <v>3688</v>
      </c>
      <c r="J3674" s="2">
        <v>2030</v>
      </c>
      <c r="K3674" s="2">
        <v>12250</v>
      </c>
      <c r="L3674" s="8" t="s">
        <v>7018</v>
      </c>
      <c r="M3674" s="2">
        <v>7</v>
      </c>
      <c r="N3674" s="8" t="s">
        <v>7017</v>
      </c>
      <c r="O3674" s="8" t="str">
        <f t="shared" si="348"/>
        <v>PDFを開く</v>
      </c>
      <c r="P3674" s="8" t="s">
        <v>2934</v>
      </c>
    </row>
    <row r="3675" spans="1:16" ht="33.950000000000003" customHeight="1">
      <c r="A3675" s="5" t="s">
        <v>2926</v>
      </c>
      <c r="B3675" s="5" t="s">
        <v>2430</v>
      </c>
      <c r="C3675" s="9" t="s">
        <v>2927</v>
      </c>
      <c r="D3675" s="5">
        <v>2</v>
      </c>
      <c r="E3675" s="9" t="s">
        <v>3191</v>
      </c>
      <c r="F3675" s="5" t="s">
        <v>2513</v>
      </c>
      <c r="G3675" s="5" t="s">
        <v>3177</v>
      </c>
      <c r="H3675" s="5"/>
      <c r="I3675" s="9" t="s">
        <v>3686</v>
      </c>
      <c r="J3675" s="5">
        <v>2027</v>
      </c>
      <c r="K3675" s="5">
        <v>687</v>
      </c>
      <c r="L3675" s="9" t="s">
        <v>7019</v>
      </c>
      <c r="M3675" s="5"/>
      <c r="N3675" s="9" t="s">
        <v>7020</v>
      </c>
      <c r="O3675" s="9" t="str">
        <f t="shared" si="348"/>
        <v>PDFを開く</v>
      </c>
      <c r="P3675" s="9" t="s">
        <v>2934</v>
      </c>
    </row>
    <row r="3676" spans="1:16" ht="33.950000000000003" customHeight="1">
      <c r="A3676" s="2" t="s">
        <v>2926</v>
      </c>
      <c r="B3676" s="2" t="s">
        <v>2430</v>
      </c>
      <c r="C3676" s="8" t="s">
        <v>2927</v>
      </c>
      <c r="D3676" s="2">
        <v>2</v>
      </c>
      <c r="E3676" s="8" t="s">
        <v>3191</v>
      </c>
      <c r="F3676" s="2" t="s">
        <v>2513</v>
      </c>
      <c r="G3676" s="2" t="s">
        <v>3177</v>
      </c>
      <c r="H3676" s="2"/>
      <c r="I3676" s="8" t="s">
        <v>3688</v>
      </c>
      <c r="J3676" s="2">
        <v>2030</v>
      </c>
      <c r="K3676" s="2">
        <v>724</v>
      </c>
      <c r="L3676" s="8" t="s">
        <v>4774</v>
      </c>
      <c r="M3676" s="2"/>
      <c r="N3676" s="8" t="s">
        <v>7020</v>
      </c>
      <c r="O3676" s="8" t="str">
        <f t="shared" si="348"/>
        <v>PDFを開く</v>
      </c>
      <c r="P3676" s="8" t="s">
        <v>2934</v>
      </c>
    </row>
    <row r="3677" spans="1:16" ht="33.950000000000003" customHeight="1">
      <c r="A3677" s="5" t="s">
        <v>2935</v>
      </c>
      <c r="B3677" s="5" t="s">
        <v>2430</v>
      </c>
      <c r="C3677" s="9" t="s">
        <v>2936</v>
      </c>
      <c r="D3677" s="5">
        <v>2</v>
      </c>
      <c r="E3677" s="9" t="s">
        <v>3176</v>
      </c>
      <c r="F3677" s="5" t="s">
        <v>447</v>
      </c>
      <c r="G3677" s="5" t="s">
        <v>3177</v>
      </c>
      <c r="H3677" s="5"/>
      <c r="I3677" s="9" t="s">
        <v>3302</v>
      </c>
      <c r="J3677" s="5"/>
      <c r="K3677" s="5">
        <v>36767</v>
      </c>
      <c r="L3677" s="9" t="s">
        <v>7021</v>
      </c>
      <c r="M3677" s="5">
        <v>21.6</v>
      </c>
      <c r="N3677" s="9" t="s">
        <v>7022</v>
      </c>
      <c r="O3677" s="9" t="str">
        <f t="shared" ref="O3677:O3691" si="349">HYPERLINK("https://seichotoushi-hojo.jp/assets/pdf/koufu_3_4ji/outline_191.pdf","PDFを開く")</f>
        <v>PDFを開く</v>
      </c>
      <c r="P3677" s="9" t="s">
        <v>2942</v>
      </c>
    </row>
    <row r="3678" spans="1:16" ht="33.950000000000003" customHeight="1">
      <c r="A3678" s="2" t="s">
        <v>2935</v>
      </c>
      <c r="B3678" s="2" t="s">
        <v>2430</v>
      </c>
      <c r="C3678" s="8" t="s">
        <v>2936</v>
      </c>
      <c r="D3678" s="2">
        <v>2</v>
      </c>
      <c r="E3678" s="8" t="s">
        <v>3176</v>
      </c>
      <c r="F3678" s="2" t="s">
        <v>447</v>
      </c>
      <c r="G3678" s="2" t="s">
        <v>3177</v>
      </c>
      <c r="H3678" s="2"/>
      <c r="I3678" s="8" t="s">
        <v>3305</v>
      </c>
      <c r="J3678" s="2"/>
      <c r="K3678" s="2">
        <v>66038</v>
      </c>
      <c r="L3678" s="8" t="s">
        <v>7023</v>
      </c>
      <c r="M3678" s="2">
        <v>21.6</v>
      </c>
      <c r="N3678" s="8" t="s">
        <v>7022</v>
      </c>
      <c r="O3678" s="8" t="str">
        <f t="shared" si="349"/>
        <v>PDFを開く</v>
      </c>
      <c r="P3678" s="8" t="s">
        <v>2942</v>
      </c>
    </row>
    <row r="3679" spans="1:16" ht="33.950000000000003" customHeight="1">
      <c r="A3679" s="5" t="s">
        <v>2935</v>
      </c>
      <c r="B3679" s="5" t="s">
        <v>2430</v>
      </c>
      <c r="C3679" s="9" t="s">
        <v>2936</v>
      </c>
      <c r="D3679" s="5">
        <v>2</v>
      </c>
      <c r="E3679" s="9" t="s">
        <v>3184</v>
      </c>
      <c r="F3679" s="5" t="s">
        <v>447</v>
      </c>
      <c r="G3679" s="5" t="s">
        <v>3177</v>
      </c>
      <c r="H3679" s="5"/>
      <c r="I3679" s="9" t="s">
        <v>3305</v>
      </c>
      <c r="J3679" s="5"/>
      <c r="K3679" s="5">
        <v>5470</v>
      </c>
      <c r="L3679" s="9" t="s">
        <v>7024</v>
      </c>
      <c r="M3679" s="5">
        <v>8</v>
      </c>
      <c r="N3679" s="9" t="s">
        <v>7025</v>
      </c>
      <c r="O3679" s="9" t="str">
        <f t="shared" si="349"/>
        <v>PDFを開く</v>
      </c>
      <c r="P3679" s="9" t="s">
        <v>2942</v>
      </c>
    </row>
    <row r="3680" spans="1:16" ht="33.950000000000003" customHeight="1">
      <c r="A3680" s="2" t="s">
        <v>2935</v>
      </c>
      <c r="B3680" s="2" t="s">
        <v>2430</v>
      </c>
      <c r="C3680" s="8" t="s">
        <v>2936</v>
      </c>
      <c r="D3680" s="2">
        <v>2</v>
      </c>
      <c r="E3680" s="8" t="s">
        <v>3184</v>
      </c>
      <c r="F3680" s="2" t="s">
        <v>447</v>
      </c>
      <c r="G3680" s="2" t="s">
        <v>3177</v>
      </c>
      <c r="H3680" s="2"/>
      <c r="I3680" s="8" t="s">
        <v>3302</v>
      </c>
      <c r="J3680" s="2"/>
      <c r="K3680" s="2">
        <v>4.3419999999999996</v>
      </c>
      <c r="L3680" s="8" t="s">
        <v>7026</v>
      </c>
      <c r="M3680" s="2">
        <v>8</v>
      </c>
      <c r="N3680" s="8" t="s">
        <v>7025</v>
      </c>
      <c r="O3680" s="8" t="str">
        <f t="shared" si="349"/>
        <v>PDFを開く</v>
      </c>
      <c r="P3680" s="8" t="s">
        <v>2942</v>
      </c>
    </row>
    <row r="3681" spans="1:16" ht="33.950000000000003" customHeight="1">
      <c r="A3681" s="5" t="s">
        <v>2935</v>
      </c>
      <c r="B3681" s="5" t="s">
        <v>2430</v>
      </c>
      <c r="C3681" s="9" t="s">
        <v>2936</v>
      </c>
      <c r="D3681" s="5">
        <v>2</v>
      </c>
      <c r="E3681" s="9" t="s">
        <v>3188</v>
      </c>
      <c r="F3681" s="5" t="s">
        <v>447</v>
      </c>
      <c r="G3681" s="19" t="s">
        <v>3189</v>
      </c>
      <c r="H3681" s="5"/>
      <c r="I3681" s="9"/>
      <c r="J3681" s="5"/>
      <c r="K3681" s="5"/>
      <c r="L3681" s="9"/>
      <c r="M3681" s="5">
        <v>8</v>
      </c>
      <c r="N3681" s="9" t="s">
        <v>7027</v>
      </c>
      <c r="O3681" s="9" t="str">
        <f t="shared" si="349"/>
        <v>PDFを開く</v>
      </c>
      <c r="P3681" s="9" t="s">
        <v>2942</v>
      </c>
    </row>
    <row r="3682" spans="1:16" ht="33.950000000000003" customHeight="1">
      <c r="A3682" s="2" t="s">
        <v>2935</v>
      </c>
      <c r="B3682" s="2" t="s">
        <v>2430</v>
      </c>
      <c r="C3682" s="8" t="s">
        <v>2936</v>
      </c>
      <c r="D3682" s="2">
        <v>2</v>
      </c>
      <c r="E3682" s="8" t="s">
        <v>3191</v>
      </c>
      <c r="F3682" s="2" t="s">
        <v>2513</v>
      </c>
      <c r="G3682" s="2" t="s">
        <v>3177</v>
      </c>
      <c r="H3682" s="2"/>
      <c r="I3682" s="8" t="s">
        <v>3302</v>
      </c>
      <c r="J3682" s="2"/>
      <c r="K3682" s="2">
        <v>35</v>
      </c>
      <c r="L3682" s="8" t="s">
        <v>3269</v>
      </c>
      <c r="M3682" s="2"/>
      <c r="N3682" s="8" t="s">
        <v>7028</v>
      </c>
      <c r="O3682" s="8" t="str">
        <f t="shared" si="349"/>
        <v>PDFを開く</v>
      </c>
      <c r="P3682" s="8" t="s">
        <v>2942</v>
      </c>
    </row>
    <row r="3683" spans="1:16" ht="33.950000000000003" customHeight="1">
      <c r="A3683" s="5" t="s">
        <v>2935</v>
      </c>
      <c r="B3683" s="5" t="s">
        <v>2430</v>
      </c>
      <c r="C3683" s="9" t="s">
        <v>2936</v>
      </c>
      <c r="D3683" s="5">
        <v>2</v>
      </c>
      <c r="E3683" s="9" t="s">
        <v>3191</v>
      </c>
      <c r="F3683" s="5" t="s">
        <v>2513</v>
      </c>
      <c r="G3683" s="5" t="s">
        <v>3177</v>
      </c>
      <c r="H3683" s="5"/>
      <c r="I3683" s="9" t="s">
        <v>3305</v>
      </c>
      <c r="J3683" s="5"/>
      <c r="K3683" s="5">
        <v>100</v>
      </c>
      <c r="L3683" s="9" t="s">
        <v>3417</v>
      </c>
      <c r="M3683" s="5"/>
      <c r="N3683" s="9" t="s">
        <v>7028</v>
      </c>
      <c r="O3683" s="9" t="str">
        <f t="shared" si="349"/>
        <v>PDFを開く</v>
      </c>
      <c r="P3683" s="9" t="s">
        <v>2942</v>
      </c>
    </row>
    <row r="3684" spans="1:16" ht="33.950000000000003" customHeight="1">
      <c r="A3684" s="2" t="s">
        <v>2935</v>
      </c>
      <c r="B3684" s="2" t="s">
        <v>2430</v>
      </c>
      <c r="C3684" s="8" t="s">
        <v>2936</v>
      </c>
      <c r="D3684" s="2">
        <v>2</v>
      </c>
      <c r="E3684" s="8" t="s">
        <v>3176</v>
      </c>
      <c r="F3684" s="2" t="s">
        <v>86</v>
      </c>
      <c r="G3684" s="2" t="s">
        <v>3177</v>
      </c>
      <c r="H3684" s="2"/>
      <c r="I3684" s="8" t="s">
        <v>5351</v>
      </c>
      <c r="J3684" s="2">
        <v>2028</v>
      </c>
      <c r="K3684" s="2">
        <v>36767</v>
      </c>
      <c r="L3684" s="8" t="s">
        <v>7029</v>
      </c>
      <c r="M3684" s="2">
        <v>21.6</v>
      </c>
      <c r="N3684" s="8" t="s">
        <v>7030</v>
      </c>
      <c r="O3684" s="8" t="str">
        <f t="shared" si="349"/>
        <v>PDFを開く</v>
      </c>
      <c r="P3684" s="8" t="s">
        <v>2942</v>
      </c>
    </row>
    <row r="3685" spans="1:16" ht="33.950000000000003" customHeight="1">
      <c r="A3685" s="5" t="s">
        <v>2935</v>
      </c>
      <c r="B3685" s="5" t="s">
        <v>2430</v>
      </c>
      <c r="C3685" s="9" t="s">
        <v>2936</v>
      </c>
      <c r="D3685" s="5">
        <v>2</v>
      </c>
      <c r="E3685" s="9" t="s">
        <v>3176</v>
      </c>
      <c r="F3685" s="5" t="s">
        <v>86</v>
      </c>
      <c r="G3685" s="5" t="s">
        <v>3177</v>
      </c>
      <c r="H3685" s="5"/>
      <c r="I3685" s="9" t="s">
        <v>5353</v>
      </c>
      <c r="J3685" s="5">
        <v>2031</v>
      </c>
      <c r="K3685" s="5">
        <v>66038</v>
      </c>
      <c r="L3685" s="9" t="s">
        <v>7031</v>
      </c>
      <c r="M3685" s="5">
        <v>21.6</v>
      </c>
      <c r="N3685" s="9" t="s">
        <v>7030</v>
      </c>
      <c r="O3685" s="9" t="str">
        <f t="shared" si="349"/>
        <v>PDFを開く</v>
      </c>
      <c r="P3685" s="9" t="s">
        <v>2942</v>
      </c>
    </row>
    <row r="3686" spans="1:16" ht="33.950000000000003" customHeight="1">
      <c r="A3686" s="2" t="s">
        <v>2935</v>
      </c>
      <c r="B3686" s="2" t="s">
        <v>2430</v>
      </c>
      <c r="C3686" s="8" t="s">
        <v>2936</v>
      </c>
      <c r="D3686" s="2">
        <v>2</v>
      </c>
      <c r="E3686" s="8" t="s">
        <v>3184</v>
      </c>
      <c r="F3686" s="2" t="s">
        <v>86</v>
      </c>
      <c r="G3686" s="2" t="s">
        <v>3177</v>
      </c>
      <c r="H3686" s="2"/>
      <c r="I3686" s="8" t="s">
        <v>5351</v>
      </c>
      <c r="J3686" s="2">
        <v>2028</v>
      </c>
      <c r="K3686" s="2">
        <v>4342</v>
      </c>
      <c r="L3686" s="8" t="s">
        <v>7032</v>
      </c>
      <c r="M3686" s="2">
        <v>8</v>
      </c>
      <c r="N3686" s="8" t="s">
        <v>7033</v>
      </c>
      <c r="O3686" s="8" t="str">
        <f t="shared" si="349"/>
        <v>PDFを開く</v>
      </c>
      <c r="P3686" s="8" t="s">
        <v>2942</v>
      </c>
    </row>
    <row r="3687" spans="1:16" ht="33.950000000000003" customHeight="1">
      <c r="A3687" s="5" t="s">
        <v>2935</v>
      </c>
      <c r="B3687" s="5" t="s">
        <v>2430</v>
      </c>
      <c r="C3687" s="9" t="s">
        <v>2936</v>
      </c>
      <c r="D3687" s="5">
        <v>2</v>
      </c>
      <c r="E3687" s="9" t="s">
        <v>3184</v>
      </c>
      <c r="F3687" s="5" t="s">
        <v>86</v>
      </c>
      <c r="G3687" s="5" t="s">
        <v>3177</v>
      </c>
      <c r="H3687" s="5"/>
      <c r="I3687" s="9" t="s">
        <v>5353</v>
      </c>
      <c r="J3687" s="5">
        <v>2031</v>
      </c>
      <c r="K3687" s="5">
        <v>5470</v>
      </c>
      <c r="L3687" s="9" t="s">
        <v>7034</v>
      </c>
      <c r="M3687" s="5">
        <v>8</v>
      </c>
      <c r="N3687" s="9" t="s">
        <v>7033</v>
      </c>
      <c r="O3687" s="9" t="str">
        <f t="shared" si="349"/>
        <v>PDFを開く</v>
      </c>
      <c r="P3687" s="9" t="s">
        <v>2942</v>
      </c>
    </row>
    <row r="3688" spans="1:16" ht="33.950000000000003" customHeight="1">
      <c r="A3688" s="2" t="s">
        <v>2935</v>
      </c>
      <c r="B3688" s="2" t="s">
        <v>2430</v>
      </c>
      <c r="C3688" s="8" t="s">
        <v>2936</v>
      </c>
      <c r="D3688" s="2">
        <v>2</v>
      </c>
      <c r="E3688" s="8" t="s">
        <v>3191</v>
      </c>
      <c r="F3688" s="2" t="s">
        <v>2513</v>
      </c>
      <c r="G3688" s="2" t="s">
        <v>3177</v>
      </c>
      <c r="H3688" s="2"/>
      <c r="I3688" s="8" t="s">
        <v>5351</v>
      </c>
      <c r="J3688" s="2">
        <v>2028</v>
      </c>
      <c r="K3688" s="2">
        <v>35</v>
      </c>
      <c r="L3688" s="8" t="s">
        <v>3269</v>
      </c>
      <c r="M3688" s="2"/>
      <c r="N3688" s="8" t="s">
        <v>7035</v>
      </c>
      <c r="O3688" s="8" t="str">
        <f t="shared" si="349"/>
        <v>PDFを開く</v>
      </c>
      <c r="P3688" s="8" t="s">
        <v>2942</v>
      </c>
    </row>
    <row r="3689" spans="1:16" ht="33.950000000000003" customHeight="1">
      <c r="A3689" s="5" t="s">
        <v>2935</v>
      </c>
      <c r="B3689" s="5" t="s">
        <v>2430</v>
      </c>
      <c r="C3689" s="9" t="s">
        <v>2936</v>
      </c>
      <c r="D3689" s="5">
        <v>2</v>
      </c>
      <c r="E3689" s="9" t="s">
        <v>3191</v>
      </c>
      <c r="F3689" s="5" t="s">
        <v>2513</v>
      </c>
      <c r="G3689" s="5" t="s">
        <v>3177</v>
      </c>
      <c r="H3689" s="5"/>
      <c r="I3689" s="9" t="s">
        <v>5353</v>
      </c>
      <c r="J3689" s="5">
        <v>2031</v>
      </c>
      <c r="K3689" s="5">
        <v>100</v>
      </c>
      <c r="L3689" s="9" t="s">
        <v>3417</v>
      </c>
      <c r="M3689" s="5"/>
      <c r="N3689" s="9" t="s">
        <v>7035</v>
      </c>
      <c r="O3689" s="9" t="str">
        <f t="shared" si="349"/>
        <v>PDFを開く</v>
      </c>
      <c r="P3689" s="9" t="s">
        <v>2942</v>
      </c>
    </row>
    <row r="3690" spans="1:16" ht="33.950000000000003" customHeight="1">
      <c r="A3690" s="2" t="s">
        <v>2935</v>
      </c>
      <c r="B3690" s="2" t="s">
        <v>2430</v>
      </c>
      <c r="C3690" s="8" t="s">
        <v>2936</v>
      </c>
      <c r="D3690" s="2">
        <v>2</v>
      </c>
      <c r="E3690" s="8" t="s">
        <v>3188</v>
      </c>
      <c r="F3690" s="2" t="s">
        <v>447</v>
      </c>
      <c r="G3690" s="2" t="s">
        <v>3177</v>
      </c>
      <c r="H3690" s="2"/>
      <c r="I3690" s="8" t="s">
        <v>7036</v>
      </c>
      <c r="J3690" s="2"/>
      <c r="K3690" s="2"/>
      <c r="L3690" s="8" t="s">
        <v>3211</v>
      </c>
      <c r="M3690" s="2">
        <v>8</v>
      </c>
      <c r="N3690" s="8" t="s">
        <v>7037</v>
      </c>
      <c r="O3690" s="8" t="str">
        <f t="shared" si="349"/>
        <v>PDFを開く</v>
      </c>
      <c r="P3690" s="8" t="s">
        <v>2942</v>
      </c>
    </row>
    <row r="3691" spans="1:16" ht="33.950000000000003" customHeight="1">
      <c r="A3691" s="5" t="s">
        <v>2935</v>
      </c>
      <c r="B3691" s="5" t="s">
        <v>2430</v>
      </c>
      <c r="C3691" s="9" t="s">
        <v>2936</v>
      </c>
      <c r="D3691" s="5">
        <v>2</v>
      </c>
      <c r="E3691" s="9" t="s">
        <v>3188</v>
      </c>
      <c r="F3691" s="5" t="s">
        <v>447</v>
      </c>
      <c r="G3691" s="5" t="s">
        <v>3177</v>
      </c>
      <c r="H3691" s="5"/>
      <c r="I3691" s="9" t="s">
        <v>7038</v>
      </c>
      <c r="J3691" s="5"/>
      <c r="K3691" s="5"/>
      <c r="L3691" s="9" t="s">
        <v>6125</v>
      </c>
      <c r="M3691" s="5">
        <v>8</v>
      </c>
      <c r="N3691" s="9" t="s">
        <v>7037</v>
      </c>
      <c r="O3691" s="9" t="str">
        <f t="shared" si="349"/>
        <v>PDFを開く</v>
      </c>
      <c r="P3691" s="9" t="s">
        <v>2942</v>
      </c>
    </row>
    <row r="3692" spans="1:16" ht="33.950000000000003" customHeight="1">
      <c r="A3692" s="2" t="s">
        <v>2943</v>
      </c>
      <c r="B3692" s="2" t="s">
        <v>2430</v>
      </c>
      <c r="C3692" s="8" t="s">
        <v>2944</v>
      </c>
      <c r="D3692" s="2">
        <v>2</v>
      </c>
      <c r="E3692" s="8" t="s">
        <v>3176</v>
      </c>
      <c r="F3692" s="2" t="s">
        <v>447</v>
      </c>
      <c r="G3692" s="2" t="s">
        <v>3177</v>
      </c>
      <c r="H3692" s="2" t="s">
        <v>3178</v>
      </c>
      <c r="I3692" s="8" t="s">
        <v>3302</v>
      </c>
      <c r="J3692" s="2"/>
      <c r="K3692" s="2">
        <v>17445</v>
      </c>
      <c r="L3692" s="8" t="s">
        <v>7039</v>
      </c>
      <c r="M3692" s="2">
        <v>23.4</v>
      </c>
      <c r="N3692" s="8" t="s">
        <v>7040</v>
      </c>
      <c r="O3692" s="8" t="str">
        <f t="shared" ref="O3692:O3700" si="350">HYPERLINK("https://seichotoushi-hojo.jp/assets/pdf/koufu_3_4ji/outline_192.pdf","PDFを開く")</f>
        <v>PDFを開く</v>
      </c>
      <c r="P3692" s="8" t="s">
        <v>2949</v>
      </c>
    </row>
    <row r="3693" spans="1:16" ht="33.950000000000003" customHeight="1">
      <c r="A3693" s="5" t="s">
        <v>2943</v>
      </c>
      <c r="B3693" s="5" t="s">
        <v>2430</v>
      </c>
      <c r="C3693" s="9" t="s">
        <v>2944</v>
      </c>
      <c r="D3693" s="5">
        <v>2</v>
      </c>
      <c r="E3693" s="9" t="s">
        <v>3176</v>
      </c>
      <c r="F3693" s="5" t="s">
        <v>447</v>
      </c>
      <c r="G3693" s="5" t="s">
        <v>3177</v>
      </c>
      <c r="H3693" s="5" t="s">
        <v>3178</v>
      </c>
      <c r="I3693" s="9" t="s">
        <v>3305</v>
      </c>
      <c r="J3693" s="5"/>
      <c r="K3693" s="5">
        <v>32752</v>
      </c>
      <c r="L3693" s="9" t="s">
        <v>7041</v>
      </c>
      <c r="M3693" s="5">
        <v>23.4</v>
      </c>
      <c r="N3693" s="9" t="s">
        <v>7040</v>
      </c>
      <c r="O3693" s="9" t="str">
        <f t="shared" si="350"/>
        <v>PDFを開く</v>
      </c>
      <c r="P3693" s="9" t="s">
        <v>2949</v>
      </c>
    </row>
    <row r="3694" spans="1:16" ht="33.950000000000003" customHeight="1">
      <c r="A3694" s="2" t="s">
        <v>2943</v>
      </c>
      <c r="B3694" s="2" t="s">
        <v>2430</v>
      </c>
      <c r="C3694" s="8" t="s">
        <v>2944</v>
      </c>
      <c r="D3694" s="2">
        <v>2</v>
      </c>
      <c r="E3694" s="8" t="s">
        <v>3184</v>
      </c>
      <c r="F3694" s="2" t="s">
        <v>447</v>
      </c>
      <c r="G3694" s="2" t="s">
        <v>3177</v>
      </c>
      <c r="H3694" s="2"/>
      <c r="I3694" s="8" t="s">
        <v>3302</v>
      </c>
      <c r="J3694" s="2"/>
      <c r="K3694" s="2">
        <v>5242</v>
      </c>
      <c r="L3694" s="8" t="s">
        <v>7042</v>
      </c>
      <c r="M3694" s="2">
        <v>6.2</v>
      </c>
      <c r="N3694" s="8" t="s">
        <v>7043</v>
      </c>
      <c r="O3694" s="8" t="str">
        <f t="shared" si="350"/>
        <v>PDFを開く</v>
      </c>
      <c r="P3694" s="8" t="s">
        <v>2949</v>
      </c>
    </row>
    <row r="3695" spans="1:16" ht="33.950000000000003" customHeight="1">
      <c r="A3695" s="5" t="s">
        <v>2943</v>
      </c>
      <c r="B3695" s="5" t="s">
        <v>2430</v>
      </c>
      <c r="C3695" s="9" t="s">
        <v>2944</v>
      </c>
      <c r="D3695" s="5">
        <v>2</v>
      </c>
      <c r="E3695" s="9" t="s">
        <v>3184</v>
      </c>
      <c r="F3695" s="5" t="s">
        <v>447</v>
      </c>
      <c r="G3695" s="5" t="s">
        <v>3177</v>
      </c>
      <c r="H3695" s="5"/>
      <c r="I3695" s="9" t="s">
        <v>3305</v>
      </c>
      <c r="J3695" s="5"/>
      <c r="K3695" s="5">
        <v>6279</v>
      </c>
      <c r="L3695" s="9" t="s">
        <v>7044</v>
      </c>
      <c r="M3695" s="5">
        <v>6.2</v>
      </c>
      <c r="N3695" s="9" t="s">
        <v>7043</v>
      </c>
      <c r="O3695" s="9" t="str">
        <f t="shared" si="350"/>
        <v>PDFを開く</v>
      </c>
      <c r="P3695" s="9" t="s">
        <v>2949</v>
      </c>
    </row>
    <row r="3696" spans="1:16" ht="33.950000000000003" customHeight="1">
      <c r="A3696" s="2" t="s">
        <v>2943</v>
      </c>
      <c r="B3696" s="2" t="s">
        <v>2430</v>
      </c>
      <c r="C3696" s="8" t="s">
        <v>2944</v>
      </c>
      <c r="D3696" s="2">
        <v>2</v>
      </c>
      <c r="E3696" s="8" t="s">
        <v>3188</v>
      </c>
      <c r="F3696" s="2" t="s">
        <v>447</v>
      </c>
      <c r="G3696" s="19" t="s">
        <v>3189</v>
      </c>
      <c r="H3696" s="2"/>
      <c r="I3696" s="8"/>
      <c r="J3696" s="2"/>
      <c r="K3696" s="2"/>
      <c r="L3696" s="8"/>
      <c r="M3696" s="2">
        <v>6.2</v>
      </c>
      <c r="N3696" s="8" t="s">
        <v>7045</v>
      </c>
      <c r="O3696" s="8" t="str">
        <f t="shared" si="350"/>
        <v>PDFを開く</v>
      </c>
      <c r="P3696" s="8" t="s">
        <v>2949</v>
      </c>
    </row>
    <row r="3697" spans="1:16" ht="33.950000000000003" customHeight="1">
      <c r="A3697" s="5" t="s">
        <v>2943</v>
      </c>
      <c r="B3697" s="5" t="s">
        <v>2430</v>
      </c>
      <c r="C3697" s="9" t="s">
        <v>2944</v>
      </c>
      <c r="D3697" s="5">
        <v>2</v>
      </c>
      <c r="E3697" s="9" t="s">
        <v>3191</v>
      </c>
      <c r="F3697" s="5" t="s">
        <v>2513</v>
      </c>
      <c r="G3697" s="5" t="s">
        <v>3177</v>
      </c>
      <c r="H3697" s="5"/>
      <c r="I3697" s="9" t="s">
        <v>3302</v>
      </c>
      <c r="J3697" s="5"/>
      <c r="K3697" s="5">
        <v>40</v>
      </c>
      <c r="L3697" s="9" t="s">
        <v>4235</v>
      </c>
      <c r="M3697" s="5"/>
      <c r="N3697" s="9" t="s">
        <v>7046</v>
      </c>
      <c r="O3697" s="9" t="str">
        <f t="shared" si="350"/>
        <v>PDFを開く</v>
      </c>
      <c r="P3697" s="9" t="s">
        <v>2949</v>
      </c>
    </row>
    <row r="3698" spans="1:16" ht="33.950000000000003" customHeight="1">
      <c r="A3698" s="2" t="s">
        <v>2943</v>
      </c>
      <c r="B3698" s="2" t="s">
        <v>2430</v>
      </c>
      <c r="C3698" s="8" t="s">
        <v>2944</v>
      </c>
      <c r="D3698" s="2">
        <v>2</v>
      </c>
      <c r="E3698" s="8" t="s">
        <v>3191</v>
      </c>
      <c r="F3698" s="2" t="s">
        <v>2513</v>
      </c>
      <c r="G3698" s="2" t="s">
        <v>3177</v>
      </c>
      <c r="H3698" s="2"/>
      <c r="I3698" s="8" t="s">
        <v>3305</v>
      </c>
      <c r="J3698" s="2"/>
      <c r="K3698" s="2">
        <v>60</v>
      </c>
      <c r="L3698" s="8" t="s">
        <v>3406</v>
      </c>
      <c r="M3698" s="2"/>
      <c r="N3698" s="8" t="s">
        <v>7046</v>
      </c>
      <c r="O3698" s="8" t="str">
        <f t="shared" si="350"/>
        <v>PDFを開く</v>
      </c>
      <c r="P3698" s="8" t="s">
        <v>2949</v>
      </c>
    </row>
    <row r="3699" spans="1:16" ht="33.950000000000003" customHeight="1">
      <c r="A3699" s="5" t="s">
        <v>2943</v>
      </c>
      <c r="B3699" s="5" t="s">
        <v>2430</v>
      </c>
      <c r="C3699" s="9" t="s">
        <v>2944</v>
      </c>
      <c r="D3699" s="5">
        <v>2</v>
      </c>
      <c r="E3699" s="9" t="s">
        <v>3188</v>
      </c>
      <c r="F3699" s="5" t="s">
        <v>447</v>
      </c>
      <c r="G3699" s="5" t="s">
        <v>3177</v>
      </c>
      <c r="H3699" s="5"/>
      <c r="I3699" s="9" t="s">
        <v>7047</v>
      </c>
      <c r="J3699" s="5"/>
      <c r="K3699" s="5"/>
      <c r="L3699" s="9" t="s">
        <v>3211</v>
      </c>
      <c r="M3699" s="5">
        <v>6.2</v>
      </c>
      <c r="N3699" s="9" t="s">
        <v>6439</v>
      </c>
      <c r="O3699" s="9" t="str">
        <f t="shared" si="350"/>
        <v>PDFを開く</v>
      </c>
      <c r="P3699" s="9" t="s">
        <v>2949</v>
      </c>
    </row>
    <row r="3700" spans="1:16" ht="33.950000000000003" customHeight="1">
      <c r="A3700" s="2" t="s">
        <v>2943</v>
      </c>
      <c r="B3700" s="2" t="s">
        <v>2430</v>
      </c>
      <c r="C3700" s="8" t="s">
        <v>2944</v>
      </c>
      <c r="D3700" s="2">
        <v>2</v>
      </c>
      <c r="E3700" s="8" t="s">
        <v>3188</v>
      </c>
      <c r="F3700" s="2" t="s">
        <v>447</v>
      </c>
      <c r="G3700" s="2" t="s">
        <v>3177</v>
      </c>
      <c r="H3700" s="2"/>
      <c r="I3700" s="8" t="s">
        <v>7048</v>
      </c>
      <c r="J3700" s="2"/>
      <c r="K3700" s="2"/>
      <c r="L3700" s="8" t="s">
        <v>5416</v>
      </c>
      <c r="M3700" s="2">
        <v>6.2</v>
      </c>
      <c r="N3700" s="8" t="s">
        <v>6439</v>
      </c>
      <c r="O3700" s="8" t="str">
        <f t="shared" si="350"/>
        <v>PDFを開く</v>
      </c>
      <c r="P3700" s="8" t="s">
        <v>2949</v>
      </c>
    </row>
    <row r="3701" spans="1:16" ht="33.950000000000003" customHeight="1">
      <c r="A3701" s="5" t="s">
        <v>2950</v>
      </c>
      <c r="B3701" s="5" t="s">
        <v>2430</v>
      </c>
      <c r="C3701" s="9" t="s">
        <v>2951</v>
      </c>
      <c r="D3701" s="5">
        <v>2</v>
      </c>
      <c r="E3701" s="9" t="s">
        <v>3176</v>
      </c>
      <c r="F3701" s="5" t="s">
        <v>447</v>
      </c>
      <c r="G3701" s="5" t="s">
        <v>3177</v>
      </c>
      <c r="H3701" s="5"/>
      <c r="I3701" s="9" t="s">
        <v>3302</v>
      </c>
      <c r="J3701" s="5"/>
      <c r="K3701" s="5">
        <v>10270</v>
      </c>
      <c r="L3701" s="9" t="s">
        <v>7049</v>
      </c>
      <c r="M3701" s="5">
        <v>23.4</v>
      </c>
      <c r="N3701" s="9" t="s">
        <v>7050</v>
      </c>
      <c r="O3701" s="9" t="str">
        <f t="shared" ref="O3701:O3709" si="351">HYPERLINK("https://seichotoushi-hojo.jp/assets/pdf/koufu_3_4ji/outline_193.pdf","PDFを開く")</f>
        <v>PDFを開く</v>
      </c>
      <c r="P3701" s="9" t="s">
        <v>2957</v>
      </c>
    </row>
    <row r="3702" spans="1:16" ht="33.950000000000003" customHeight="1">
      <c r="A3702" s="2" t="s">
        <v>2950</v>
      </c>
      <c r="B3702" s="2" t="s">
        <v>2430</v>
      </c>
      <c r="C3702" s="8" t="s">
        <v>2951</v>
      </c>
      <c r="D3702" s="2">
        <v>2</v>
      </c>
      <c r="E3702" s="8" t="s">
        <v>3176</v>
      </c>
      <c r="F3702" s="2" t="s">
        <v>447</v>
      </c>
      <c r="G3702" s="2" t="s">
        <v>3177</v>
      </c>
      <c r="H3702" s="2"/>
      <c r="I3702" s="8" t="s">
        <v>3305</v>
      </c>
      <c r="J3702" s="2"/>
      <c r="K3702" s="2">
        <v>19298</v>
      </c>
      <c r="L3702" s="8" t="s">
        <v>7051</v>
      </c>
      <c r="M3702" s="2">
        <v>23.4</v>
      </c>
      <c r="N3702" s="8" t="s">
        <v>7050</v>
      </c>
      <c r="O3702" s="8" t="str">
        <f t="shared" si="351"/>
        <v>PDFを開く</v>
      </c>
      <c r="P3702" s="8" t="s">
        <v>2957</v>
      </c>
    </row>
    <row r="3703" spans="1:16" ht="33.950000000000003" customHeight="1">
      <c r="A3703" s="5" t="s">
        <v>2950</v>
      </c>
      <c r="B3703" s="5" t="s">
        <v>2430</v>
      </c>
      <c r="C3703" s="9" t="s">
        <v>2951</v>
      </c>
      <c r="D3703" s="5">
        <v>2</v>
      </c>
      <c r="E3703" s="9" t="s">
        <v>3184</v>
      </c>
      <c r="F3703" s="5" t="s">
        <v>447</v>
      </c>
      <c r="G3703" s="5" t="s">
        <v>3177</v>
      </c>
      <c r="H3703" s="5"/>
      <c r="I3703" s="9" t="s">
        <v>3302</v>
      </c>
      <c r="J3703" s="5"/>
      <c r="K3703" s="5">
        <v>5497</v>
      </c>
      <c r="L3703" s="9" t="s">
        <v>7052</v>
      </c>
      <c r="M3703" s="5">
        <v>6.5</v>
      </c>
      <c r="N3703" s="9" t="s">
        <v>7053</v>
      </c>
      <c r="O3703" s="9" t="str">
        <f t="shared" si="351"/>
        <v>PDFを開く</v>
      </c>
      <c r="P3703" s="9" t="s">
        <v>2957</v>
      </c>
    </row>
    <row r="3704" spans="1:16" ht="33.950000000000003" customHeight="1">
      <c r="A3704" s="2" t="s">
        <v>2950</v>
      </c>
      <c r="B3704" s="2" t="s">
        <v>2430</v>
      </c>
      <c r="C3704" s="8" t="s">
        <v>2951</v>
      </c>
      <c r="D3704" s="2">
        <v>2</v>
      </c>
      <c r="E3704" s="8" t="s">
        <v>3184</v>
      </c>
      <c r="F3704" s="2" t="s">
        <v>447</v>
      </c>
      <c r="G3704" s="2" t="s">
        <v>3177</v>
      </c>
      <c r="H3704" s="2"/>
      <c r="I3704" s="8" t="s">
        <v>3305</v>
      </c>
      <c r="J3704" s="2"/>
      <c r="K3704" s="2">
        <v>6640</v>
      </c>
      <c r="L3704" s="8" t="s">
        <v>7054</v>
      </c>
      <c r="M3704" s="2">
        <v>6.5</v>
      </c>
      <c r="N3704" s="8" t="s">
        <v>7053</v>
      </c>
      <c r="O3704" s="8" t="str">
        <f t="shared" si="351"/>
        <v>PDFを開く</v>
      </c>
      <c r="P3704" s="8" t="s">
        <v>2957</v>
      </c>
    </row>
    <row r="3705" spans="1:16" ht="33.950000000000003" customHeight="1">
      <c r="A3705" s="5" t="s">
        <v>2950</v>
      </c>
      <c r="B3705" s="5" t="s">
        <v>2430</v>
      </c>
      <c r="C3705" s="9" t="s">
        <v>2951</v>
      </c>
      <c r="D3705" s="5">
        <v>2</v>
      </c>
      <c r="E3705" s="9" t="s">
        <v>3188</v>
      </c>
      <c r="F3705" s="5" t="s">
        <v>447</v>
      </c>
      <c r="G3705" s="19" t="s">
        <v>3189</v>
      </c>
      <c r="H3705" s="5"/>
      <c r="I3705" s="9"/>
      <c r="J3705" s="5"/>
      <c r="K3705" s="5"/>
      <c r="L3705" s="9"/>
      <c r="M3705" s="5">
        <v>5</v>
      </c>
      <c r="N3705" s="9" t="s">
        <v>6646</v>
      </c>
      <c r="O3705" s="9" t="str">
        <f t="shared" si="351"/>
        <v>PDFを開く</v>
      </c>
      <c r="P3705" s="9" t="s">
        <v>2957</v>
      </c>
    </row>
    <row r="3706" spans="1:16" ht="33.950000000000003" customHeight="1">
      <c r="A3706" s="2" t="s">
        <v>2950</v>
      </c>
      <c r="B3706" s="2" t="s">
        <v>2430</v>
      </c>
      <c r="C3706" s="8" t="s">
        <v>2951</v>
      </c>
      <c r="D3706" s="2">
        <v>2</v>
      </c>
      <c r="E3706" s="8" t="s">
        <v>3191</v>
      </c>
      <c r="F3706" s="2" t="s">
        <v>2513</v>
      </c>
      <c r="G3706" s="2" t="s">
        <v>3177</v>
      </c>
      <c r="H3706" s="2"/>
      <c r="I3706" s="8" t="s">
        <v>3302</v>
      </c>
      <c r="J3706" s="2"/>
      <c r="K3706" s="2">
        <v>595</v>
      </c>
      <c r="L3706" s="8" t="s">
        <v>7055</v>
      </c>
      <c r="M3706" s="2"/>
      <c r="N3706" s="8" t="s">
        <v>7056</v>
      </c>
      <c r="O3706" s="8" t="str">
        <f t="shared" si="351"/>
        <v>PDFを開く</v>
      </c>
      <c r="P3706" s="8" t="s">
        <v>2957</v>
      </c>
    </row>
    <row r="3707" spans="1:16" ht="33.950000000000003" customHeight="1">
      <c r="A3707" s="5" t="s">
        <v>2950</v>
      </c>
      <c r="B3707" s="5" t="s">
        <v>2430</v>
      </c>
      <c r="C3707" s="9" t="s">
        <v>2951</v>
      </c>
      <c r="D3707" s="5">
        <v>2</v>
      </c>
      <c r="E3707" s="9" t="s">
        <v>3191</v>
      </c>
      <c r="F3707" s="5" t="s">
        <v>2513</v>
      </c>
      <c r="G3707" s="5" t="s">
        <v>3177</v>
      </c>
      <c r="H3707" s="5"/>
      <c r="I3707" s="9" t="s">
        <v>3305</v>
      </c>
      <c r="J3707" s="5"/>
      <c r="K3707" s="5">
        <v>631</v>
      </c>
      <c r="L3707" s="9" t="s">
        <v>3235</v>
      </c>
      <c r="M3707" s="5"/>
      <c r="N3707" s="9" t="s">
        <v>7056</v>
      </c>
      <c r="O3707" s="9" t="str">
        <f t="shared" si="351"/>
        <v>PDFを開く</v>
      </c>
      <c r="P3707" s="9" t="s">
        <v>2957</v>
      </c>
    </row>
    <row r="3708" spans="1:16" ht="33.950000000000003" customHeight="1">
      <c r="A3708" s="2" t="s">
        <v>2950</v>
      </c>
      <c r="B3708" s="2" t="s">
        <v>2430</v>
      </c>
      <c r="C3708" s="8" t="s">
        <v>2951</v>
      </c>
      <c r="D3708" s="2">
        <v>2</v>
      </c>
      <c r="E3708" s="8" t="s">
        <v>3188</v>
      </c>
      <c r="F3708" s="2" t="s">
        <v>447</v>
      </c>
      <c r="G3708" s="2" t="s">
        <v>3177</v>
      </c>
      <c r="H3708" s="2"/>
      <c r="I3708" s="8" t="s">
        <v>7057</v>
      </c>
      <c r="J3708" s="2"/>
      <c r="K3708" s="2"/>
      <c r="L3708" s="8" t="s">
        <v>3211</v>
      </c>
      <c r="M3708" s="2">
        <v>5</v>
      </c>
      <c r="N3708" s="8" t="s">
        <v>6384</v>
      </c>
      <c r="O3708" s="8" t="str">
        <f t="shared" si="351"/>
        <v>PDFを開く</v>
      </c>
      <c r="P3708" s="8" t="s">
        <v>2957</v>
      </c>
    </row>
    <row r="3709" spans="1:16" ht="33.950000000000003" customHeight="1">
      <c r="A3709" s="5" t="s">
        <v>2950</v>
      </c>
      <c r="B3709" s="5" t="s">
        <v>2430</v>
      </c>
      <c r="C3709" s="9" t="s">
        <v>2951</v>
      </c>
      <c r="D3709" s="5">
        <v>2</v>
      </c>
      <c r="E3709" s="9" t="s">
        <v>3188</v>
      </c>
      <c r="F3709" s="5" t="s">
        <v>447</v>
      </c>
      <c r="G3709" s="5" t="s">
        <v>3177</v>
      </c>
      <c r="H3709" s="5"/>
      <c r="I3709" s="9" t="s">
        <v>7058</v>
      </c>
      <c r="J3709" s="5"/>
      <c r="K3709" s="5"/>
      <c r="L3709" s="9" t="s">
        <v>3384</v>
      </c>
      <c r="M3709" s="5">
        <v>5</v>
      </c>
      <c r="N3709" s="9" t="s">
        <v>6384</v>
      </c>
      <c r="O3709" s="9" t="str">
        <f t="shared" si="351"/>
        <v>PDFを開く</v>
      </c>
      <c r="P3709" s="9" t="s">
        <v>2957</v>
      </c>
    </row>
    <row r="3710" spans="1:16" ht="33.950000000000003" customHeight="1">
      <c r="A3710" s="2" t="s">
        <v>2958</v>
      </c>
      <c r="B3710" s="2" t="s">
        <v>2430</v>
      </c>
      <c r="C3710" s="8" t="s">
        <v>2959</v>
      </c>
      <c r="D3710" s="2">
        <v>2</v>
      </c>
      <c r="E3710" s="8" t="s">
        <v>3176</v>
      </c>
      <c r="F3710" s="2" t="s">
        <v>447</v>
      </c>
      <c r="G3710" s="2" t="s">
        <v>3177</v>
      </c>
      <c r="H3710" s="2" t="s">
        <v>3178</v>
      </c>
      <c r="I3710" s="8" t="s">
        <v>3302</v>
      </c>
      <c r="J3710" s="2"/>
      <c r="K3710" s="2">
        <v>10647</v>
      </c>
      <c r="L3710" s="8" t="s">
        <v>7059</v>
      </c>
      <c r="M3710" s="2">
        <v>7.4</v>
      </c>
      <c r="N3710" s="8" t="s">
        <v>7060</v>
      </c>
      <c r="O3710" s="8" t="str">
        <f t="shared" ref="O3710:O3718" si="352">HYPERLINK("https://seichotoushi-hojo.jp/assets/pdf/koufu_3_4ji/outline_194.pdf","PDFを開く")</f>
        <v>PDFを開く</v>
      </c>
      <c r="P3710" s="8" t="s">
        <v>2964</v>
      </c>
    </row>
    <row r="3711" spans="1:16" ht="33.950000000000003" customHeight="1">
      <c r="A3711" s="5" t="s">
        <v>2958</v>
      </c>
      <c r="B3711" s="5" t="s">
        <v>2430</v>
      </c>
      <c r="C3711" s="9" t="s">
        <v>2959</v>
      </c>
      <c r="D3711" s="5">
        <v>2</v>
      </c>
      <c r="E3711" s="9" t="s">
        <v>3176</v>
      </c>
      <c r="F3711" s="5" t="s">
        <v>447</v>
      </c>
      <c r="G3711" s="5" t="s">
        <v>3177</v>
      </c>
      <c r="H3711" s="5" t="s">
        <v>3178</v>
      </c>
      <c r="I3711" s="9" t="s">
        <v>3305</v>
      </c>
      <c r="J3711" s="5"/>
      <c r="K3711" s="5">
        <v>13174</v>
      </c>
      <c r="L3711" s="9" t="s">
        <v>7061</v>
      </c>
      <c r="M3711" s="5">
        <v>7.4</v>
      </c>
      <c r="N3711" s="9" t="s">
        <v>7060</v>
      </c>
      <c r="O3711" s="9" t="str">
        <f t="shared" si="352"/>
        <v>PDFを開く</v>
      </c>
      <c r="P3711" s="9" t="s">
        <v>2964</v>
      </c>
    </row>
    <row r="3712" spans="1:16" ht="33.950000000000003" customHeight="1">
      <c r="A3712" s="2" t="s">
        <v>2958</v>
      </c>
      <c r="B3712" s="2" t="s">
        <v>2430</v>
      </c>
      <c r="C3712" s="8" t="s">
        <v>2959</v>
      </c>
      <c r="D3712" s="2">
        <v>2</v>
      </c>
      <c r="E3712" s="8" t="s">
        <v>3184</v>
      </c>
      <c r="F3712" s="2" t="s">
        <v>447</v>
      </c>
      <c r="G3712" s="2" t="s">
        <v>3177</v>
      </c>
      <c r="H3712" s="2" t="s">
        <v>3178</v>
      </c>
      <c r="I3712" s="8" t="s">
        <v>3302</v>
      </c>
      <c r="J3712" s="2"/>
      <c r="K3712" s="2">
        <v>3728</v>
      </c>
      <c r="L3712" s="8" t="s">
        <v>7062</v>
      </c>
      <c r="M3712" s="2">
        <v>7.3</v>
      </c>
      <c r="N3712" s="8" t="s">
        <v>7063</v>
      </c>
      <c r="O3712" s="8" t="str">
        <f t="shared" si="352"/>
        <v>PDFを開く</v>
      </c>
      <c r="P3712" s="8" t="s">
        <v>2964</v>
      </c>
    </row>
    <row r="3713" spans="1:16" ht="33.950000000000003" customHeight="1">
      <c r="A3713" s="5" t="s">
        <v>2958</v>
      </c>
      <c r="B3713" s="5" t="s">
        <v>2430</v>
      </c>
      <c r="C3713" s="9" t="s">
        <v>2959</v>
      </c>
      <c r="D3713" s="5">
        <v>2</v>
      </c>
      <c r="E3713" s="9" t="s">
        <v>3184</v>
      </c>
      <c r="F3713" s="5" t="s">
        <v>447</v>
      </c>
      <c r="G3713" s="5" t="s">
        <v>3177</v>
      </c>
      <c r="H3713" s="5" t="s">
        <v>3178</v>
      </c>
      <c r="I3713" s="9" t="s">
        <v>3305</v>
      </c>
      <c r="J3713" s="5"/>
      <c r="K3713" s="5">
        <v>4609</v>
      </c>
      <c r="L3713" s="9" t="s">
        <v>7064</v>
      </c>
      <c r="M3713" s="5">
        <v>7.3</v>
      </c>
      <c r="N3713" s="9" t="s">
        <v>7063</v>
      </c>
      <c r="O3713" s="9" t="str">
        <f t="shared" si="352"/>
        <v>PDFを開く</v>
      </c>
      <c r="P3713" s="9" t="s">
        <v>2964</v>
      </c>
    </row>
    <row r="3714" spans="1:16" ht="33.950000000000003" customHeight="1">
      <c r="A3714" s="2" t="s">
        <v>2958</v>
      </c>
      <c r="B3714" s="2" t="s">
        <v>2430</v>
      </c>
      <c r="C3714" s="8" t="s">
        <v>2959</v>
      </c>
      <c r="D3714" s="2">
        <v>2</v>
      </c>
      <c r="E3714" s="8" t="s">
        <v>3188</v>
      </c>
      <c r="F3714" s="2" t="s">
        <v>447</v>
      </c>
      <c r="G3714" s="19" t="s">
        <v>3189</v>
      </c>
      <c r="H3714" s="2"/>
      <c r="I3714" s="8"/>
      <c r="J3714" s="2"/>
      <c r="K3714" s="2"/>
      <c r="L3714" s="8"/>
      <c r="M3714" s="2">
        <v>6</v>
      </c>
      <c r="N3714" s="8" t="s">
        <v>7065</v>
      </c>
      <c r="O3714" s="8" t="str">
        <f t="shared" si="352"/>
        <v>PDFを開く</v>
      </c>
      <c r="P3714" s="8" t="s">
        <v>2964</v>
      </c>
    </row>
    <row r="3715" spans="1:16" ht="33.950000000000003" customHeight="1">
      <c r="A3715" s="5" t="s">
        <v>2958</v>
      </c>
      <c r="B3715" s="5" t="s">
        <v>2430</v>
      </c>
      <c r="C3715" s="9" t="s">
        <v>2959</v>
      </c>
      <c r="D3715" s="5">
        <v>2</v>
      </c>
      <c r="E3715" s="9" t="s">
        <v>3191</v>
      </c>
      <c r="F3715" s="5" t="s">
        <v>2513</v>
      </c>
      <c r="G3715" s="5" t="s">
        <v>3177</v>
      </c>
      <c r="H3715" s="5"/>
      <c r="I3715" s="9" t="s">
        <v>3302</v>
      </c>
      <c r="J3715" s="5"/>
      <c r="K3715" s="5">
        <v>120</v>
      </c>
      <c r="L3715" s="9" t="s">
        <v>4080</v>
      </c>
      <c r="M3715" s="5"/>
      <c r="N3715" s="9" t="s">
        <v>7066</v>
      </c>
      <c r="O3715" s="9" t="str">
        <f t="shared" si="352"/>
        <v>PDFを開く</v>
      </c>
      <c r="P3715" s="9" t="s">
        <v>2964</v>
      </c>
    </row>
    <row r="3716" spans="1:16" ht="33.950000000000003" customHeight="1">
      <c r="A3716" s="2" t="s">
        <v>2958</v>
      </c>
      <c r="B3716" s="2" t="s">
        <v>2430</v>
      </c>
      <c r="C3716" s="8" t="s">
        <v>2959</v>
      </c>
      <c r="D3716" s="2">
        <v>2</v>
      </c>
      <c r="E3716" s="8" t="s">
        <v>3191</v>
      </c>
      <c r="F3716" s="2" t="s">
        <v>2513</v>
      </c>
      <c r="G3716" s="2" t="s">
        <v>3177</v>
      </c>
      <c r="H3716" s="2"/>
      <c r="I3716" s="8" t="s">
        <v>3305</v>
      </c>
      <c r="J3716" s="2"/>
      <c r="K3716" s="2">
        <v>135</v>
      </c>
      <c r="L3716" s="8" t="s">
        <v>4992</v>
      </c>
      <c r="M3716" s="2"/>
      <c r="N3716" s="8" t="s">
        <v>7066</v>
      </c>
      <c r="O3716" s="8" t="str">
        <f t="shared" si="352"/>
        <v>PDFを開く</v>
      </c>
      <c r="P3716" s="8" t="s">
        <v>2964</v>
      </c>
    </row>
    <row r="3717" spans="1:16" ht="33.950000000000003" customHeight="1">
      <c r="A3717" s="5" t="s">
        <v>2958</v>
      </c>
      <c r="B3717" s="5" t="s">
        <v>2430</v>
      </c>
      <c r="C3717" s="9" t="s">
        <v>2959</v>
      </c>
      <c r="D3717" s="5">
        <v>2</v>
      </c>
      <c r="E3717" s="9" t="s">
        <v>3188</v>
      </c>
      <c r="F3717" s="5" t="s">
        <v>447</v>
      </c>
      <c r="G3717" s="5" t="s">
        <v>3177</v>
      </c>
      <c r="H3717" s="5"/>
      <c r="I3717" s="9" t="s">
        <v>7067</v>
      </c>
      <c r="J3717" s="5"/>
      <c r="K3717" s="5"/>
      <c r="L3717" s="9" t="s">
        <v>3211</v>
      </c>
      <c r="M3717" s="5">
        <v>6</v>
      </c>
      <c r="N3717" s="9" t="s">
        <v>6473</v>
      </c>
      <c r="O3717" s="9" t="str">
        <f t="shared" si="352"/>
        <v>PDFを開く</v>
      </c>
      <c r="P3717" s="9" t="s">
        <v>2964</v>
      </c>
    </row>
    <row r="3718" spans="1:16" ht="33.950000000000003" customHeight="1">
      <c r="A3718" s="2" t="s">
        <v>2958</v>
      </c>
      <c r="B3718" s="2" t="s">
        <v>2430</v>
      </c>
      <c r="C3718" s="8" t="s">
        <v>2959</v>
      </c>
      <c r="D3718" s="2">
        <v>2</v>
      </c>
      <c r="E3718" s="8" t="s">
        <v>3188</v>
      </c>
      <c r="F3718" s="2" t="s">
        <v>447</v>
      </c>
      <c r="G3718" s="2" t="s">
        <v>3177</v>
      </c>
      <c r="H3718" s="2"/>
      <c r="I3718" s="8" t="s">
        <v>7068</v>
      </c>
      <c r="J3718" s="2"/>
      <c r="K3718" s="2"/>
      <c r="L3718" s="8" t="s">
        <v>5378</v>
      </c>
      <c r="M3718" s="2">
        <v>6</v>
      </c>
      <c r="N3718" s="8" t="s">
        <v>6473</v>
      </c>
      <c r="O3718" s="8" t="str">
        <f t="shared" si="352"/>
        <v>PDFを開く</v>
      </c>
      <c r="P3718" s="8" t="s">
        <v>2964</v>
      </c>
    </row>
    <row r="3719" spans="1:16" ht="33.950000000000003" customHeight="1">
      <c r="A3719" s="5" t="s">
        <v>2965</v>
      </c>
      <c r="B3719" s="5" t="s">
        <v>2430</v>
      </c>
      <c r="C3719" s="9" t="s">
        <v>2966</v>
      </c>
      <c r="D3719" s="5">
        <v>2</v>
      </c>
      <c r="E3719" s="9" t="s">
        <v>3176</v>
      </c>
      <c r="F3719" s="5" t="s">
        <v>86</v>
      </c>
      <c r="G3719" s="5" t="s">
        <v>3177</v>
      </c>
      <c r="H3719" s="5" t="s">
        <v>3178</v>
      </c>
      <c r="I3719" s="9" t="s">
        <v>3179</v>
      </c>
      <c r="J3719" s="5">
        <v>2026</v>
      </c>
      <c r="K3719" s="5">
        <v>410</v>
      </c>
      <c r="L3719" s="9" t="s">
        <v>3617</v>
      </c>
      <c r="M3719" s="5">
        <v>24.7</v>
      </c>
      <c r="N3719" s="9" t="s">
        <v>7069</v>
      </c>
      <c r="O3719" s="9" t="str">
        <f t="shared" ref="O3719:O3725" si="353">HYPERLINK("https://seichotoushi-hojo.jp/assets/pdf/koufu_3_4ji/outline_195.pdf","PDFを開く")</f>
        <v>PDFを開く</v>
      </c>
      <c r="P3719" s="9" t="s">
        <v>2971</v>
      </c>
    </row>
    <row r="3720" spans="1:16" ht="33.950000000000003" customHeight="1">
      <c r="A3720" s="2" t="s">
        <v>2965</v>
      </c>
      <c r="B3720" s="2" t="s">
        <v>2430</v>
      </c>
      <c r="C3720" s="8" t="s">
        <v>2966</v>
      </c>
      <c r="D3720" s="2">
        <v>2</v>
      </c>
      <c r="E3720" s="8" t="s">
        <v>3176</v>
      </c>
      <c r="F3720" s="2" t="s">
        <v>86</v>
      </c>
      <c r="G3720" s="2" t="s">
        <v>3177</v>
      </c>
      <c r="H3720" s="2" t="s">
        <v>3178</v>
      </c>
      <c r="I3720" s="8" t="s">
        <v>3182</v>
      </c>
      <c r="J3720" s="2">
        <v>2029</v>
      </c>
      <c r="K3720" s="2">
        <v>795</v>
      </c>
      <c r="L3720" s="8" t="s">
        <v>3240</v>
      </c>
      <c r="M3720" s="2">
        <v>24.7</v>
      </c>
      <c r="N3720" s="8" t="s">
        <v>7069</v>
      </c>
      <c r="O3720" s="8" t="str">
        <f t="shared" si="353"/>
        <v>PDFを開く</v>
      </c>
      <c r="P3720" s="8" t="s">
        <v>2971</v>
      </c>
    </row>
    <row r="3721" spans="1:16" ht="33.950000000000003" customHeight="1">
      <c r="A3721" s="5" t="s">
        <v>2965</v>
      </c>
      <c r="B3721" s="5" t="s">
        <v>2430</v>
      </c>
      <c r="C3721" s="9" t="s">
        <v>2966</v>
      </c>
      <c r="D3721" s="5">
        <v>2</v>
      </c>
      <c r="E3721" s="9" t="s">
        <v>3184</v>
      </c>
      <c r="F3721" s="5" t="s">
        <v>86</v>
      </c>
      <c r="G3721" s="5" t="s">
        <v>3177</v>
      </c>
      <c r="H3721" s="5" t="s">
        <v>3178</v>
      </c>
      <c r="I3721" s="9" t="s">
        <v>3179</v>
      </c>
      <c r="J3721" s="5">
        <v>2026</v>
      </c>
      <c r="K3721" s="5">
        <v>331</v>
      </c>
      <c r="L3721" s="9" t="s">
        <v>3807</v>
      </c>
      <c r="M3721" s="5">
        <v>6.2</v>
      </c>
      <c r="N3721" s="9" t="s">
        <v>7070</v>
      </c>
      <c r="O3721" s="9" t="str">
        <f t="shared" si="353"/>
        <v>PDFを開く</v>
      </c>
      <c r="P3721" s="9" t="s">
        <v>2971</v>
      </c>
    </row>
    <row r="3722" spans="1:16" ht="33.950000000000003" customHeight="1">
      <c r="A3722" s="2" t="s">
        <v>2965</v>
      </c>
      <c r="B3722" s="2" t="s">
        <v>2430</v>
      </c>
      <c r="C3722" s="8" t="s">
        <v>2966</v>
      </c>
      <c r="D3722" s="2">
        <v>2</v>
      </c>
      <c r="E3722" s="8" t="s">
        <v>3184</v>
      </c>
      <c r="F3722" s="2" t="s">
        <v>86</v>
      </c>
      <c r="G3722" s="2" t="s">
        <v>3177</v>
      </c>
      <c r="H3722" s="2" t="s">
        <v>3178</v>
      </c>
      <c r="I3722" s="8" t="s">
        <v>3182</v>
      </c>
      <c r="J3722" s="2">
        <v>2029</v>
      </c>
      <c r="K3722" s="2">
        <v>397</v>
      </c>
      <c r="L3722" s="8" t="s">
        <v>3877</v>
      </c>
      <c r="M3722" s="2">
        <v>6.2</v>
      </c>
      <c r="N3722" s="8" t="s">
        <v>7070</v>
      </c>
      <c r="O3722" s="8" t="str">
        <f t="shared" si="353"/>
        <v>PDFを開く</v>
      </c>
      <c r="P3722" s="8" t="s">
        <v>2971</v>
      </c>
    </row>
    <row r="3723" spans="1:16" ht="33.950000000000003" customHeight="1">
      <c r="A3723" s="5" t="s">
        <v>2965</v>
      </c>
      <c r="B3723" s="5" t="s">
        <v>2430</v>
      </c>
      <c r="C3723" s="9" t="s">
        <v>2966</v>
      </c>
      <c r="D3723" s="5">
        <v>2</v>
      </c>
      <c r="E3723" s="9" t="s">
        <v>3188</v>
      </c>
      <c r="F3723" s="5" t="s">
        <v>86</v>
      </c>
      <c r="G3723" s="19" t="s">
        <v>3189</v>
      </c>
      <c r="H3723" s="5" t="s">
        <v>3178</v>
      </c>
      <c r="I3723" s="9"/>
      <c r="J3723" s="5"/>
      <c r="K3723" s="5"/>
      <c r="L3723" s="9"/>
      <c r="M3723" s="5"/>
      <c r="N3723" s="9" t="s">
        <v>3488</v>
      </c>
      <c r="O3723" s="9" t="str">
        <f t="shared" si="353"/>
        <v>PDFを開く</v>
      </c>
      <c r="P3723" s="9" t="s">
        <v>2971</v>
      </c>
    </row>
    <row r="3724" spans="1:16" ht="33.950000000000003" customHeight="1">
      <c r="A3724" s="2" t="s">
        <v>2965</v>
      </c>
      <c r="B3724" s="2" t="s">
        <v>2430</v>
      </c>
      <c r="C3724" s="8" t="s">
        <v>2966</v>
      </c>
      <c r="D3724" s="2">
        <v>2</v>
      </c>
      <c r="E3724" s="8" t="s">
        <v>3191</v>
      </c>
      <c r="F3724" s="2" t="s">
        <v>2513</v>
      </c>
      <c r="G3724" s="2" t="s">
        <v>3177</v>
      </c>
      <c r="H3724" s="2" t="s">
        <v>3178</v>
      </c>
      <c r="I3724" s="8" t="s">
        <v>3179</v>
      </c>
      <c r="J3724" s="2">
        <v>2026</v>
      </c>
      <c r="K3724" s="2">
        <v>102</v>
      </c>
      <c r="L3724" s="8" t="s">
        <v>3735</v>
      </c>
      <c r="M3724" s="2"/>
      <c r="N3724" s="8" t="s">
        <v>7071</v>
      </c>
      <c r="O3724" s="8" t="str">
        <f t="shared" si="353"/>
        <v>PDFを開く</v>
      </c>
      <c r="P3724" s="8" t="s">
        <v>2971</v>
      </c>
    </row>
    <row r="3725" spans="1:16" ht="33.950000000000003" customHeight="1">
      <c r="A3725" s="5" t="s">
        <v>2965</v>
      </c>
      <c r="B3725" s="5" t="s">
        <v>2430</v>
      </c>
      <c r="C3725" s="9" t="s">
        <v>2966</v>
      </c>
      <c r="D3725" s="5">
        <v>2</v>
      </c>
      <c r="E3725" s="9" t="s">
        <v>3191</v>
      </c>
      <c r="F3725" s="5" t="s">
        <v>2513</v>
      </c>
      <c r="G3725" s="5" t="s">
        <v>3177</v>
      </c>
      <c r="H3725" s="5" t="s">
        <v>3178</v>
      </c>
      <c r="I3725" s="9" t="s">
        <v>3182</v>
      </c>
      <c r="J3725" s="5">
        <v>2029</v>
      </c>
      <c r="K3725" s="5">
        <v>108</v>
      </c>
      <c r="L3725" s="9" t="s">
        <v>5518</v>
      </c>
      <c r="M3725" s="5"/>
      <c r="N3725" s="9" t="s">
        <v>7071</v>
      </c>
      <c r="O3725" s="9" t="str">
        <f t="shared" si="353"/>
        <v>PDFを開く</v>
      </c>
      <c r="P3725" s="9" t="s">
        <v>2971</v>
      </c>
    </row>
    <row r="3726" spans="1:16" ht="33.950000000000003" customHeight="1">
      <c r="A3726" s="2" t="s">
        <v>2972</v>
      </c>
      <c r="B3726" s="2" t="s">
        <v>2430</v>
      </c>
      <c r="C3726" s="8" t="s">
        <v>2973</v>
      </c>
      <c r="D3726" s="2">
        <v>2</v>
      </c>
      <c r="E3726" s="8" t="s">
        <v>3176</v>
      </c>
      <c r="F3726" s="2" t="s">
        <v>447</v>
      </c>
      <c r="G3726" s="2" t="s">
        <v>3177</v>
      </c>
      <c r="H3726" s="2"/>
      <c r="I3726" s="8" t="s">
        <v>3302</v>
      </c>
      <c r="J3726" s="2"/>
      <c r="K3726" s="2">
        <v>4766</v>
      </c>
      <c r="L3726" s="8" t="s">
        <v>7072</v>
      </c>
      <c r="M3726" s="2">
        <v>31.4</v>
      </c>
      <c r="N3726" s="8" t="s">
        <v>7073</v>
      </c>
      <c r="O3726" s="8" t="str">
        <f t="shared" ref="O3726:O3734" si="354">HYPERLINK("https://seichotoushi-hojo.jp/assets/pdf/koufu_3_4ji/outline_196.pdf","PDFを開く")</f>
        <v>PDFを開く</v>
      </c>
      <c r="P3726" s="8" t="s">
        <v>2979</v>
      </c>
    </row>
    <row r="3727" spans="1:16" ht="33.950000000000003" customHeight="1">
      <c r="A3727" s="5" t="s">
        <v>2972</v>
      </c>
      <c r="B3727" s="5" t="s">
        <v>2430</v>
      </c>
      <c r="C3727" s="9" t="s">
        <v>2973</v>
      </c>
      <c r="D3727" s="5">
        <v>2</v>
      </c>
      <c r="E3727" s="9" t="s">
        <v>3176</v>
      </c>
      <c r="F3727" s="5" t="s">
        <v>447</v>
      </c>
      <c r="G3727" s="5" t="s">
        <v>3177</v>
      </c>
      <c r="H3727" s="5"/>
      <c r="I3727" s="9" t="s">
        <v>3305</v>
      </c>
      <c r="J3727" s="5"/>
      <c r="K3727" s="5">
        <v>10804</v>
      </c>
      <c r="L3727" s="9" t="s">
        <v>7074</v>
      </c>
      <c r="M3727" s="5">
        <v>31.4</v>
      </c>
      <c r="N3727" s="9" t="s">
        <v>7073</v>
      </c>
      <c r="O3727" s="9" t="str">
        <f t="shared" si="354"/>
        <v>PDFを開く</v>
      </c>
      <c r="P3727" s="9" t="s">
        <v>2979</v>
      </c>
    </row>
    <row r="3728" spans="1:16" ht="33.950000000000003" customHeight="1">
      <c r="A3728" s="2" t="s">
        <v>2972</v>
      </c>
      <c r="B3728" s="2" t="s">
        <v>2430</v>
      </c>
      <c r="C3728" s="8" t="s">
        <v>2973</v>
      </c>
      <c r="D3728" s="2">
        <v>2</v>
      </c>
      <c r="E3728" s="8" t="s">
        <v>3184</v>
      </c>
      <c r="F3728" s="2" t="s">
        <v>447</v>
      </c>
      <c r="G3728" s="2" t="s">
        <v>3177</v>
      </c>
      <c r="H3728" s="2"/>
      <c r="I3728" s="8" t="s">
        <v>3302</v>
      </c>
      <c r="J3728" s="2"/>
      <c r="K3728" s="2">
        <v>4007</v>
      </c>
      <c r="L3728" s="8" t="s">
        <v>7075</v>
      </c>
      <c r="M3728" s="2">
        <v>5.4</v>
      </c>
      <c r="N3728" s="8" t="s">
        <v>7076</v>
      </c>
      <c r="O3728" s="8" t="str">
        <f t="shared" si="354"/>
        <v>PDFを開く</v>
      </c>
      <c r="P3728" s="8" t="s">
        <v>2979</v>
      </c>
    </row>
    <row r="3729" spans="1:16" ht="33.950000000000003" customHeight="1">
      <c r="A3729" s="5" t="s">
        <v>2972</v>
      </c>
      <c r="B3729" s="5" t="s">
        <v>2430</v>
      </c>
      <c r="C3729" s="9" t="s">
        <v>2973</v>
      </c>
      <c r="D3729" s="5">
        <v>2</v>
      </c>
      <c r="E3729" s="9" t="s">
        <v>3184</v>
      </c>
      <c r="F3729" s="5" t="s">
        <v>447</v>
      </c>
      <c r="G3729" s="5" t="s">
        <v>3177</v>
      </c>
      <c r="H3729" s="5"/>
      <c r="I3729" s="9" t="s">
        <v>3305</v>
      </c>
      <c r="J3729" s="5"/>
      <c r="K3729" s="5">
        <v>4694</v>
      </c>
      <c r="L3729" s="9" t="s">
        <v>7077</v>
      </c>
      <c r="M3729" s="5">
        <v>5.4</v>
      </c>
      <c r="N3729" s="9" t="s">
        <v>7076</v>
      </c>
      <c r="O3729" s="9" t="str">
        <f t="shared" si="354"/>
        <v>PDFを開く</v>
      </c>
      <c r="P3729" s="9" t="s">
        <v>2979</v>
      </c>
    </row>
    <row r="3730" spans="1:16" ht="33.950000000000003" customHeight="1">
      <c r="A3730" s="2" t="s">
        <v>2972</v>
      </c>
      <c r="B3730" s="2" t="s">
        <v>2430</v>
      </c>
      <c r="C3730" s="8" t="s">
        <v>2973</v>
      </c>
      <c r="D3730" s="2">
        <v>2</v>
      </c>
      <c r="E3730" s="8" t="s">
        <v>3188</v>
      </c>
      <c r="F3730" s="2" t="s">
        <v>447</v>
      </c>
      <c r="G3730" s="19" t="s">
        <v>3189</v>
      </c>
      <c r="H3730" s="2"/>
      <c r="I3730" s="8" t="s">
        <v>3305</v>
      </c>
      <c r="J3730" s="2"/>
      <c r="K3730" s="2">
        <v>6</v>
      </c>
      <c r="L3730" s="8" t="s">
        <v>4128</v>
      </c>
      <c r="M3730" s="2">
        <v>4</v>
      </c>
      <c r="N3730" s="8" t="s">
        <v>7078</v>
      </c>
      <c r="O3730" s="8" t="str">
        <f t="shared" si="354"/>
        <v>PDFを開く</v>
      </c>
      <c r="P3730" s="8" t="s">
        <v>2979</v>
      </c>
    </row>
    <row r="3731" spans="1:16" ht="33.950000000000003" customHeight="1">
      <c r="A3731" s="5" t="s">
        <v>2972</v>
      </c>
      <c r="B3731" s="5" t="s">
        <v>2430</v>
      </c>
      <c r="C3731" s="9" t="s">
        <v>2973</v>
      </c>
      <c r="D3731" s="5">
        <v>2</v>
      </c>
      <c r="E3731" s="9" t="s">
        <v>3191</v>
      </c>
      <c r="F3731" s="5" t="s">
        <v>2513</v>
      </c>
      <c r="G3731" s="5" t="s">
        <v>3177</v>
      </c>
      <c r="H3731" s="5"/>
      <c r="I3731" s="9" t="s">
        <v>3302</v>
      </c>
      <c r="J3731" s="5"/>
      <c r="K3731" s="5">
        <v>306</v>
      </c>
      <c r="L3731" s="9" t="s">
        <v>3924</v>
      </c>
      <c r="M3731" s="5"/>
      <c r="N3731" s="9" t="s">
        <v>7079</v>
      </c>
      <c r="O3731" s="9" t="str">
        <f t="shared" si="354"/>
        <v>PDFを開く</v>
      </c>
      <c r="P3731" s="9" t="s">
        <v>2979</v>
      </c>
    </row>
    <row r="3732" spans="1:16" ht="33.950000000000003" customHeight="1">
      <c r="A3732" s="2" t="s">
        <v>2972</v>
      </c>
      <c r="B3732" s="2" t="s">
        <v>2430</v>
      </c>
      <c r="C3732" s="8" t="s">
        <v>2973</v>
      </c>
      <c r="D3732" s="2">
        <v>2</v>
      </c>
      <c r="E3732" s="8" t="s">
        <v>3191</v>
      </c>
      <c r="F3732" s="2" t="s">
        <v>2513</v>
      </c>
      <c r="G3732" s="2" t="s">
        <v>3177</v>
      </c>
      <c r="H3732" s="2"/>
      <c r="I3732" s="8" t="s">
        <v>3305</v>
      </c>
      <c r="J3732" s="2"/>
      <c r="K3732" s="2">
        <v>393</v>
      </c>
      <c r="L3732" s="8" t="s">
        <v>3874</v>
      </c>
      <c r="M3732" s="2"/>
      <c r="N3732" s="8" t="s">
        <v>7079</v>
      </c>
      <c r="O3732" s="8" t="str">
        <f t="shared" si="354"/>
        <v>PDFを開く</v>
      </c>
      <c r="P3732" s="8" t="s">
        <v>2979</v>
      </c>
    </row>
    <row r="3733" spans="1:16" ht="33.950000000000003" customHeight="1">
      <c r="A3733" s="5" t="s">
        <v>2972</v>
      </c>
      <c r="B3733" s="5" t="s">
        <v>2430</v>
      </c>
      <c r="C3733" s="9" t="s">
        <v>2973</v>
      </c>
      <c r="D3733" s="5">
        <v>2</v>
      </c>
      <c r="E3733" s="9" t="s">
        <v>3188</v>
      </c>
      <c r="F3733" s="5" t="s">
        <v>447</v>
      </c>
      <c r="G3733" s="5" t="s">
        <v>3177</v>
      </c>
      <c r="H3733" s="5"/>
      <c r="I3733" s="9" t="s">
        <v>7080</v>
      </c>
      <c r="J3733" s="5"/>
      <c r="K3733" s="5"/>
      <c r="L3733" s="9" t="s">
        <v>3211</v>
      </c>
      <c r="M3733" s="5">
        <v>4.5999999999999996</v>
      </c>
      <c r="N3733" s="9" t="s">
        <v>7081</v>
      </c>
      <c r="O3733" s="9" t="str">
        <f t="shared" si="354"/>
        <v>PDFを開く</v>
      </c>
      <c r="P3733" s="9" t="s">
        <v>2979</v>
      </c>
    </row>
    <row r="3734" spans="1:16" ht="33.950000000000003" customHeight="1">
      <c r="A3734" s="2" t="s">
        <v>2972</v>
      </c>
      <c r="B3734" s="2" t="s">
        <v>2430</v>
      </c>
      <c r="C3734" s="8" t="s">
        <v>2973</v>
      </c>
      <c r="D3734" s="2">
        <v>2</v>
      </c>
      <c r="E3734" s="8" t="s">
        <v>3188</v>
      </c>
      <c r="F3734" s="2" t="s">
        <v>447</v>
      </c>
      <c r="G3734" s="2" t="s">
        <v>3177</v>
      </c>
      <c r="H3734" s="2"/>
      <c r="I3734" s="8" t="s">
        <v>7082</v>
      </c>
      <c r="J3734" s="2"/>
      <c r="K3734" s="2"/>
      <c r="L3734" s="8" t="s">
        <v>7083</v>
      </c>
      <c r="M3734" s="2">
        <v>4.5999999999999996</v>
      </c>
      <c r="N3734" s="8" t="s">
        <v>7081</v>
      </c>
      <c r="O3734" s="8" t="str">
        <f t="shared" si="354"/>
        <v>PDFを開く</v>
      </c>
      <c r="P3734" s="8" t="s">
        <v>2979</v>
      </c>
    </row>
    <row r="3735" spans="1:16" ht="33.950000000000003" customHeight="1">
      <c r="A3735" s="5" t="s">
        <v>2980</v>
      </c>
      <c r="B3735" s="5" t="s">
        <v>2430</v>
      </c>
      <c r="C3735" s="9" t="s">
        <v>2981</v>
      </c>
      <c r="D3735" s="5">
        <v>2</v>
      </c>
      <c r="E3735" s="9" t="s">
        <v>3176</v>
      </c>
      <c r="F3735" s="5" t="s">
        <v>447</v>
      </c>
      <c r="G3735" s="5" t="s">
        <v>3177</v>
      </c>
      <c r="H3735" s="5" t="s">
        <v>3178</v>
      </c>
      <c r="I3735" s="9" t="s">
        <v>3302</v>
      </c>
      <c r="J3735" s="5"/>
      <c r="K3735" s="5">
        <v>14945</v>
      </c>
      <c r="L3735" s="9" t="s">
        <v>7084</v>
      </c>
      <c r="M3735" s="5">
        <v>16.2</v>
      </c>
      <c r="N3735" s="9" t="s">
        <v>7085</v>
      </c>
      <c r="O3735" s="9" t="str">
        <f t="shared" ref="O3735:O3743" si="355">HYPERLINK("https://seichotoushi-hojo.jp/assets/pdf/koufu_3_4ji/outline_199.pdf","PDFを開く")</f>
        <v>PDFを開く</v>
      </c>
      <c r="P3735" s="9" t="s">
        <v>2986</v>
      </c>
    </row>
    <row r="3736" spans="1:16" ht="33.950000000000003" customHeight="1">
      <c r="A3736" s="2" t="s">
        <v>2980</v>
      </c>
      <c r="B3736" s="2" t="s">
        <v>2430</v>
      </c>
      <c r="C3736" s="8" t="s">
        <v>2981</v>
      </c>
      <c r="D3736" s="2">
        <v>2</v>
      </c>
      <c r="E3736" s="8" t="s">
        <v>3176</v>
      </c>
      <c r="F3736" s="2" t="s">
        <v>447</v>
      </c>
      <c r="G3736" s="2" t="s">
        <v>3177</v>
      </c>
      <c r="H3736" s="2" t="s">
        <v>3178</v>
      </c>
      <c r="I3736" s="8" t="s">
        <v>3305</v>
      </c>
      <c r="J3736" s="2"/>
      <c r="K3736" s="2">
        <v>23446</v>
      </c>
      <c r="L3736" s="8" t="s">
        <v>7086</v>
      </c>
      <c r="M3736" s="2">
        <v>16.2</v>
      </c>
      <c r="N3736" s="8" t="s">
        <v>7085</v>
      </c>
      <c r="O3736" s="8" t="str">
        <f t="shared" si="355"/>
        <v>PDFを開く</v>
      </c>
      <c r="P3736" s="8" t="s">
        <v>2986</v>
      </c>
    </row>
    <row r="3737" spans="1:16" ht="33.950000000000003" customHeight="1">
      <c r="A3737" s="5" t="s">
        <v>2980</v>
      </c>
      <c r="B3737" s="5" t="s">
        <v>2430</v>
      </c>
      <c r="C3737" s="9" t="s">
        <v>2981</v>
      </c>
      <c r="D3737" s="5">
        <v>2</v>
      </c>
      <c r="E3737" s="9" t="s">
        <v>3184</v>
      </c>
      <c r="F3737" s="5" t="s">
        <v>447</v>
      </c>
      <c r="G3737" s="5" t="s">
        <v>3177</v>
      </c>
      <c r="H3737" s="5"/>
      <c r="I3737" s="9" t="s">
        <v>3302</v>
      </c>
      <c r="J3737" s="5"/>
      <c r="K3737" s="5">
        <v>7029</v>
      </c>
      <c r="L3737" s="9" t="s">
        <v>7087</v>
      </c>
      <c r="M3737" s="5">
        <v>6.2</v>
      </c>
      <c r="N3737" s="9" t="s">
        <v>7088</v>
      </c>
      <c r="O3737" s="9" t="str">
        <f t="shared" si="355"/>
        <v>PDFを開く</v>
      </c>
      <c r="P3737" s="9" t="s">
        <v>2986</v>
      </c>
    </row>
    <row r="3738" spans="1:16" ht="33.950000000000003" customHeight="1">
      <c r="A3738" s="2" t="s">
        <v>2980</v>
      </c>
      <c r="B3738" s="2" t="s">
        <v>2430</v>
      </c>
      <c r="C3738" s="8" t="s">
        <v>2981</v>
      </c>
      <c r="D3738" s="2">
        <v>2</v>
      </c>
      <c r="E3738" s="8" t="s">
        <v>3184</v>
      </c>
      <c r="F3738" s="2" t="s">
        <v>447</v>
      </c>
      <c r="G3738" s="2" t="s">
        <v>3177</v>
      </c>
      <c r="H3738" s="2"/>
      <c r="I3738" s="8" t="s">
        <v>3305</v>
      </c>
      <c r="J3738" s="2"/>
      <c r="K3738" s="2">
        <v>8424</v>
      </c>
      <c r="L3738" s="8" t="s">
        <v>7089</v>
      </c>
      <c r="M3738" s="2">
        <v>6.2</v>
      </c>
      <c r="N3738" s="8" t="s">
        <v>7088</v>
      </c>
      <c r="O3738" s="8" t="str">
        <f t="shared" si="355"/>
        <v>PDFを開く</v>
      </c>
      <c r="P3738" s="8" t="s">
        <v>2986</v>
      </c>
    </row>
    <row r="3739" spans="1:16" ht="33.950000000000003" customHeight="1">
      <c r="A3739" s="5" t="s">
        <v>2980</v>
      </c>
      <c r="B3739" s="5" t="s">
        <v>2430</v>
      </c>
      <c r="C3739" s="9" t="s">
        <v>2981</v>
      </c>
      <c r="D3739" s="5">
        <v>2</v>
      </c>
      <c r="E3739" s="9" t="s">
        <v>3188</v>
      </c>
      <c r="F3739" s="5" t="s">
        <v>447</v>
      </c>
      <c r="G3739" s="19" t="s">
        <v>3189</v>
      </c>
      <c r="H3739" s="5"/>
      <c r="I3739" s="9"/>
      <c r="J3739" s="5"/>
      <c r="K3739" s="5"/>
      <c r="L3739" s="9"/>
      <c r="M3739" s="5">
        <v>5</v>
      </c>
      <c r="N3739" s="9" t="s">
        <v>6646</v>
      </c>
      <c r="O3739" s="9" t="str">
        <f t="shared" si="355"/>
        <v>PDFを開く</v>
      </c>
      <c r="P3739" s="9" t="s">
        <v>2986</v>
      </c>
    </row>
    <row r="3740" spans="1:16" ht="33.950000000000003" customHeight="1">
      <c r="A3740" s="2" t="s">
        <v>2980</v>
      </c>
      <c r="B3740" s="2" t="s">
        <v>2430</v>
      </c>
      <c r="C3740" s="8" t="s">
        <v>2981</v>
      </c>
      <c r="D3740" s="2">
        <v>2</v>
      </c>
      <c r="E3740" s="8" t="s">
        <v>3191</v>
      </c>
      <c r="F3740" s="2" t="s">
        <v>2513</v>
      </c>
      <c r="G3740" s="2" t="s">
        <v>3177</v>
      </c>
      <c r="H3740" s="2"/>
      <c r="I3740" s="8" t="s">
        <v>3302</v>
      </c>
      <c r="J3740" s="2"/>
      <c r="K3740" s="2">
        <v>340</v>
      </c>
      <c r="L3740" s="8" t="s">
        <v>7090</v>
      </c>
      <c r="M3740" s="2"/>
      <c r="N3740" s="8" t="s">
        <v>7091</v>
      </c>
      <c r="O3740" s="8" t="str">
        <f t="shared" si="355"/>
        <v>PDFを開く</v>
      </c>
      <c r="P3740" s="8" t="s">
        <v>2986</v>
      </c>
    </row>
    <row r="3741" spans="1:16" ht="33.950000000000003" customHeight="1">
      <c r="A3741" s="5" t="s">
        <v>2980</v>
      </c>
      <c r="B3741" s="5" t="s">
        <v>2430</v>
      </c>
      <c r="C3741" s="9" t="s">
        <v>2981</v>
      </c>
      <c r="D3741" s="5">
        <v>2</v>
      </c>
      <c r="E3741" s="9" t="s">
        <v>3191</v>
      </c>
      <c r="F3741" s="5" t="s">
        <v>2513</v>
      </c>
      <c r="G3741" s="5" t="s">
        <v>3177</v>
      </c>
      <c r="H3741" s="5"/>
      <c r="I3741" s="9" t="s">
        <v>3305</v>
      </c>
      <c r="J3741" s="5"/>
      <c r="K3741" s="5">
        <v>330</v>
      </c>
      <c r="L3741" s="9" t="s">
        <v>3851</v>
      </c>
      <c r="M3741" s="5"/>
      <c r="N3741" s="9" t="s">
        <v>7091</v>
      </c>
      <c r="O3741" s="9" t="str">
        <f t="shared" si="355"/>
        <v>PDFを開く</v>
      </c>
      <c r="P3741" s="9" t="s">
        <v>2986</v>
      </c>
    </row>
    <row r="3742" spans="1:16" ht="33.950000000000003" customHeight="1">
      <c r="A3742" s="2" t="s">
        <v>2980</v>
      </c>
      <c r="B3742" s="2" t="s">
        <v>2430</v>
      </c>
      <c r="C3742" s="8" t="s">
        <v>2981</v>
      </c>
      <c r="D3742" s="2">
        <v>2</v>
      </c>
      <c r="E3742" s="8" t="s">
        <v>3188</v>
      </c>
      <c r="F3742" s="2" t="s">
        <v>447</v>
      </c>
      <c r="G3742" s="2" t="s">
        <v>3177</v>
      </c>
      <c r="H3742" s="2"/>
      <c r="I3742" s="8" t="s">
        <v>7092</v>
      </c>
      <c r="J3742" s="2"/>
      <c r="K3742" s="2"/>
      <c r="L3742" s="8" t="s">
        <v>3211</v>
      </c>
      <c r="M3742" s="2">
        <v>5</v>
      </c>
      <c r="N3742" s="8" t="s">
        <v>6384</v>
      </c>
      <c r="O3742" s="8" t="str">
        <f t="shared" si="355"/>
        <v>PDFを開く</v>
      </c>
      <c r="P3742" s="8" t="s">
        <v>2986</v>
      </c>
    </row>
    <row r="3743" spans="1:16" ht="33.950000000000003" customHeight="1">
      <c r="A3743" s="5" t="s">
        <v>2980</v>
      </c>
      <c r="B3743" s="5" t="s">
        <v>2430</v>
      </c>
      <c r="C3743" s="9" t="s">
        <v>2981</v>
      </c>
      <c r="D3743" s="5">
        <v>2</v>
      </c>
      <c r="E3743" s="9" t="s">
        <v>3188</v>
      </c>
      <c r="F3743" s="5" t="s">
        <v>447</v>
      </c>
      <c r="G3743" s="5" t="s">
        <v>3177</v>
      </c>
      <c r="H3743" s="5"/>
      <c r="I3743" s="9" t="s">
        <v>7093</v>
      </c>
      <c r="J3743" s="5"/>
      <c r="K3743" s="5"/>
      <c r="L3743" s="9" t="s">
        <v>3384</v>
      </c>
      <c r="M3743" s="5">
        <v>5</v>
      </c>
      <c r="N3743" s="9" t="s">
        <v>6384</v>
      </c>
      <c r="O3743" s="9" t="str">
        <f t="shared" si="355"/>
        <v>PDFを開く</v>
      </c>
      <c r="P3743" s="9" t="s">
        <v>2986</v>
      </c>
    </row>
    <row r="3744" spans="1:16" ht="33.950000000000003" customHeight="1">
      <c r="A3744" s="2" t="s">
        <v>2987</v>
      </c>
      <c r="B3744" s="2" t="s">
        <v>2430</v>
      </c>
      <c r="C3744" s="8" t="s">
        <v>2988</v>
      </c>
      <c r="D3744" s="2">
        <v>2</v>
      </c>
      <c r="E3744" s="8" t="s">
        <v>3176</v>
      </c>
      <c r="F3744" s="2" t="s">
        <v>447</v>
      </c>
      <c r="G3744" s="2" t="s">
        <v>3177</v>
      </c>
      <c r="H3744" s="2" t="s">
        <v>3178</v>
      </c>
      <c r="I3744" s="8" t="s">
        <v>3259</v>
      </c>
      <c r="J3744" s="2">
        <v>2027</v>
      </c>
      <c r="K3744" s="2">
        <v>8512</v>
      </c>
      <c r="L3744" s="8" t="s">
        <v>7094</v>
      </c>
      <c r="M3744" s="2">
        <v>14.7</v>
      </c>
      <c r="N3744" s="8" t="s">
        <v>7095</v>
      </c>
      <c r="O3744" s="8" t="str">
        <f t="shared" ref="O3744:O3752" si="356">HYPERLINK("https://seichotoushi-hojo.jp/assets/pdf/koufu_3_4ji/outline_200.pdf","PDFを開く")</f>
        <v>PDFを開く</v>
      </c>
      <c r="P3744" s="8" t="s">
        <v>2994</v>
      </c>
    </row>
    <row r="3745" spans="1:16" ht="33.950000000000003" customHeight="1">
      <c r="A3745" s="5" t="s">
        <v>2987</v>
      </c>
      <c r="B3745" s="5" t="s">
        <v>2430</v>
      </c>
      <c r="C3745" s="9" t="s">
        <v>2988</v>
      </c>
      <c r="D3745" s="5">
        <v>2</v>
      </c>
      <c r="E3745" s="9" t="s">
        <v>3176</v>
      </c>
      <c r="F3745" s="5" t="s">
        <v>447</v>
      </c>
      <c r="G3745" s="5" t="s">
        <v>3177</v>
      </c>
      <c r="H3745" s="5" t="s">
        <v>3178</v>
      </c>
      <c r="I3745" s="9" t="s">
        <v>3262</v>
      </c>
      <c r="J3745" s="5">
        <v>2030</v>
      </c>
      <c r="K3745" s="5">
        <v>12833</v>
      </c>
      <c r="L3745" s="9" t="s">
        <v>7096</v>
      </c>
      <c r="M3745" s="5">
        <v>14.7</v>
      </c>
      <c r="N3745" s="9" t="s">
        <v>7095</v>
      </c>
      <c r="O3745" s="9" t="str">
        <f t="shared" si="356"/>
        <v>PDFを開く</v>
      </c>
      <c r="P3745" s="9" t="s">
        <v>2994</v>
      </c>
    </row>
    <row r="3746" spans="1:16" ht="33.950000000000003" customHeight="1">
      <c r="A3746" s="2" t="s">
        <v>2987</v>
      </c>
      <c r="B3746" s="2" t="s">
        <v>2430</v>
      </c>
      <c r="C3746" s="8" t="s">
        <v>2988</v>
      </c>
      <c r="D3746" s="2">
        <v>2</v>
      </c>
      <c r="E3746" s="8" t="s">
        <v>3184</v>
      </c>
      <c r="F3746" s="2" t="s">
        <v>447</v>
      </c>
      <c r="G3746" s="2" t="s">
        <v>3177</v>
      </c>
      <c r="H3746" s="2" t="s">
        <v>3178</v>
      </c>
      <c r="I3746" s="8" t="s">
        <v>3259</v>
      </c>
      <c r="J3746" s="2">
        <v>2027</v>
      </c>
      <c r="K3746" s="2">
        <v>5629</v>
      </c>
      <c r="L3746" s="8" t="s">
        <v>7097</v>
      </c>
      <c r="M3746" s="2">
        <v>7</v>
      </c>
      <c r="N3746" s="8" t="s">
        <v>7098</v>
      </c>
      <c r="O3746" s="8" t="str">
        <f t="shared" si="356"/>
        <v>PDFを開く</v>
      </c>
      <c r="P3746" s="8" t="s">
        <v>2994</v>
      </c>
    </row>
    <row r="3747" spans="1:16" ht="33.950000000000003" customHeight="1">
      <c r="A3747" s="5" t="s">
        <v>2987</v>
      </c>
      <c r="B3747" s="5" t="s">
        <v>2430</v>
      </c>
      <c r="C3747" s="9" t="s">
        <v>2988</v>
      </c>
      <c r="D3747" s="5">
        <v>2</v>
      </c>
      <c r="E3747" s="9" t="s">
        <v>3184</v>
      </c>
      <c r="F3747" s="5" t="s">
        <v>447</v>
      </c>
      <c r="G3747" s="5" t="s">
        <v>3177</v>
      </c>
      <c r="H3747" s="5" t="s">
        <v>3178</v>
      </c>
      <c r="I3747" s="9" t="s">
        <v>3262</v>
      </c>
      <c r="J3747" s="5">
        <v>2030</v>
      </c>
      <c r="K3747" s="5">
        <v>6898</v>
      </c>
      <c r="L3747" s="9" t="s">
        <v>7099</v>
      </c>
      <c r="M3747" s="5">
        <v>7</v>
      </c>
      <c r="N3747" s="9" t="s">
        <v>7098</v>
      </c>
      <c r="O3747" s="9" t="str">
        <f t="shared" si="356"/>
        <v>PDFを開く</v>
      </c>
      <c r="P3747" s="9" t="s">
        <v>2994</v>
      </c>
    </row>
    <row r="3748" spans="1:16" ht="33.950000000000003" customHeight="1">
      <c r="A3748" s="2" t="s">
        <v>2987</v>
      </c>
      <c r="B3748" s="2" t="s">
        <v>2430</v>
      </c>
      <c r="C3748" s="8" t="s">
        <v>2988</v>
      </c>
      <c r="D3748" s="2">
        <v>2</v>
      </c>
      <c r="E3748" s="8" t="s">
        <v>3188</v>
      </c>
      <c r="F3748" s="2" t="s">
        <v>447</v>
      </c>
      <c r="G3748" s="19" t="s">
        <v>3189</v>
      </c>
      <c r="H3748" s="2" t="s">
        <v>3178</v>
      </c>
      <c r="I3748" s="8"/>
      <c r="J3748" s="2"/>
      <c r="K3748" s="2"/>
      <c r="L3748" s="8"/>
      <c r="M3748" s="2">
        <v>5</v>
      </c>
      <c r="N3748" s="8" t="s">
        <v>7100</v>
      </c>
      <c r="O3748" s="8" t="str">
        <f t="shared" si="356"/>
        <v>PDFを開く</v>
      </c>
      <c r="P3748" s="8" t="s">
        <v>2994</v>
      </c>
    </row>
    <row r="3749" spans="1:16" ht="33.950000000000003" customHeight="1">
      <c r="A3749" s="5" t="s">
        <v>2987</v>
      </c>
      <c r="B3749" s="5" t="s">
        <v>2430</v>
      </c>
      <c r="C3749" s="9" t="s">
        <v>2988</v>
      </c>
      <c r="D3749" s="5">
        <v>2</v>
      </c>
      <c r="E3749" s="9" t="s">
        <v>3191</v>
      </c>
      <c r="F3749" s="5" t="s">
        <v>2513</v>
      </c>
      <c r="G3749" s="5" t="s">
        <v>3177</v>
      </c>
      <c r="H3749" s="5" t="s">
        <v>3178</v>
      </c>
      <c r="I3749" s="9" t="s">
        <v>3259</v>
      </c>
      <c r="J3749" s="5">
        <v>2027</v>
      </c>
      <c r="K3749" s="5">
        <v>150</v>
      </c>
      <c r="L3749" s="9" t="s">
        <v>4088</v>
      </c>
      <c r="M3749" s="5"/>
      <c r="N3749" s="9" t="s">
        <v>7101</v>
      </c>
      <c r="O3749" s="9" t="str">
        <f t="shared" si="356"/>
        <v>PDFを開く</v>
      </c>
      <c r="P3749" s="9" t="s">
        <v>2994</v>
      </c>
    </row>
    <row r="3750" spans="1:16" ht="33.950000000000003" customHeight="1">
      <c r="A3750" s="2" t="s">
        <v>2987</v>
      </c>
      <c r="B3750" s="2" t="s">
        <v>2430</v>
      </c>
      <c r="C3750" s="8" t="s">
        <v>2988</v>
      </c>
      <c r="D3750" s="2">
        <v>2</v>
      </c>
      <c r="E3750" s="8" t="s">
        <v>3191</v>
      </c>
      <c r="F3750" s="2" t="s">
        <v>2513</v>
      </c>
      <c r="G3750" s="2" t="s">
        <v>3177</v>
      </c>
      <c r="H3750" s="2" t="s">
        <v>3178</v>
      </c>
      <c r="I3750" s="8" t="s">
        <v>3262</v>
      </c>
      <c r="J3750" s="2">
        <v>2030</v>
      </c>
      <c r="K3750" s="2">
        <v>212</v>
      </c>
      <c r="L3750" s="8" t="s">
        <v>7102</v>
      </c>
      <c r="M3750" s="2"/>
      <c r="N3750" s="8" t="s">
        <v>7101</v>
      </c>
      <c r="O3750" s="8" t="str">
        <f t="shared" si="356"/>
        <v>PDFを開く</v>
      </c>
      <c r="P3750" s="8" t="s">
        <v>2994</v>
      </c>
    </row>
    <row r="3751" spans="1:16" ht="33.950000000000003" customHeight="1">
      <c r="A3751" s="5" t="s">
        <v>2987</v>
      </c>
      <c r="B3751" s="5" t="s">
        <v>2430</v>
      </c>
      <c r="C3751" s="9" t="s">
        <v>2988</v>
      </c>
      <c r="D3751" s="5">
        <v>2</v>
      </c>
      <c r="E3751" s="9" t="s">
        <v>3188</v>
      </c>
      <c r="F3751" s="5" t="s">
        <v>447</v>
      </c>
      <c r="G3751" s="5" t="s">
        <v>3177</v>
      </c>
      <c r="H3751" s="5"/>
      <c r="I3751" s="9" t="s">
        <v>7103</v>
      </c>
      <c r="J3751" s="5">
        <v>2027</v>
      </c>
      <c r="K3751" s="5"/>
      <c r="L3751" s="9" t="s">
        <v>3211</v>
      </c>
      <c r="M3751" s="5">
        <v>5</v>
      </c>
      <c r="N3751" s="9" t="s">
        <v>6384</v>
      </c>
      <c r="O3751" s="9" t="str">
        <f t="shared" si="356"/>
        <v>PDFを開く</v>
      </c>
      <c r="P3751" s="9" t="s">
        <v>2994</v>
      </c>
    </row>
    <row r="3752" spans="1:16" ht="33.950000000000003" customHeight="1">
      <c r="A3752" s="2" t="s">
        <v>2987</v>
      </c>
      <c r="B3752" s="2" t="s">
        <v>2430</v>
      </c>
      <c r="C3752" s="8" t="s">
        <v>2988</v>
      </c>
      <c r="D3752" s="2">
        <v>2</v>
      </c>
      <c r="E3752" s="8" t="s">
        <v>3188</v>
      </c>
      <c r="F3752" s="2" t="s">
        <v>447</v>
      </c>
      <c r="G3752" s="2" t="s">
        <v>3177</v>
      </c>
      <c r="H3752" s="2"/>
      <c r="I3752" s="8" t="s">
        <v>7104</v>
      </c>
      <c r="J3752" s="2">
        <v>2030</v>
      </c>
      <c r="K3752" s="2"/>
      <c r="L3752" s="8" t="s">
        <v>3384</v>
      </c>
      <c r="M3752" s="2">
        <v>5</v>
      </c>
      <c r="N3752" s="8" t="s">
        <v>6384</v>
      </c>
      <c r="O3752" s="8" t="str">
        <f t="shared" si="356"/>
        <v>PDFを開く</v>
      </c>
      <c r="P3752" s="8" t="s">
        <v>2994</v>
      </c>
    </row>
    <row r="3753" spans="1:16" ht="33.950000000000003" customHeight="1">
      <c r="A3753" s="5" t="s">
        <v>2995</v>
      </c>
      <c r="B3753" s="5" t="s">
        <v>2430</v>
      </c>
      <c r="C3753" s="9" t="s">
        <v>2996</v>
      </c>
      <c r="D3753" s="5">
        <v>3</v>
      </c>
      <c r="E3753" s="9" t="s">
        <v>3176</v>
      </c>
      <c r="F3753" s="5" t="s">
        <v>86</v>
      </c>
      <c r="G3753" s="5" t="s">
        <v>3177</v>
      </c>
      <c r="H3753" s="5" t="s">
        <v>3178</v>
      </c>
      <c r="I3753" s="9" t="s">
        <v>3259</v>
      </c>
      <c r="J3753" s="5">
        <v>2027</v>
      </c>
      <c r="K3753" s="5">
        <v>811</v>
      </c>
      <c r="L3753" s="9" t="s">
        <v>4479</v>
      </c>
      <c r="M3753" s="5">
        <v>25.6</v>
      </c>
      <c r="N3753" s="9" t="s">
        <v>7105</v>
      </c>
      <c r="O3753" s="9" t="str">
        <f t="shared" ref="O3753:O3759" si="357">HYPERLINK("https://seichotoushi-hojo.jp/assets/pdf/koufu_3_4ji/outline_201.pdf","PDFを開く")</f>
        <v>PDFを開く</v>
      </c>
      <c r="P3753" s="9" t="s">
        <v>3001</v>
      </c>
    </row>
    <row r="3754" spans="1:16" ht="33.950000000000003" customHeight="1">
      <c r="A3754" s="2" t="s">
        <v>2995</v>
      </c>
      <c r="B3754" s="2" t="s">
        <v>2430</v>
      </c>
      <c r="C3754" s="8" t="s">
        <v>2996</v>
      </c>
      <c r="D3754" s="2">
        <v>3</v>
      </c>
      <c r="E3754" s="8" t="s">
        <v>3176</v>
      </c>
      <c r="F3754" s="2" t="s">
        <v>86</v>
      </c>
      <c r="G3754" s="2" t="s">
        <v>3177</v>
      </c>
      <c r="H3754" s="2" t="s">
        <v>3178</v>
      </c>
      <c r="I3754" s="8" t="s">
        <v>3262</v>
      </c>
      <c r="J3754" s="2">
        <v>2030</v>
      </c>
      <c r="K3754" s="2">
        <v>1608</v>
      </c>
      <c r="L3754" s="8" t="s">
        <v>4298</v>
      </c>
      <c r="M3754" s="2">
        <v>25.6</v>
      </c>
      <c r="N3754" s="8" t="s">
        <v>7105</v>
      </c>
      <c r="O3754" s="8" t="str">
        <f t="shared" si="357"/>
        <v>PDFを開く</v>
      </c>
      <c r="P3754" s="8" t="s">
        <v>3001</v>
      </c>
    </row>
    <row r="3755" spans="1:16" ht="33.950000000000003" customHeight="1">
      <c r="A3755" s="5" t="s">
        <v>2995</v>
      </c>
      <c r="B3755" s="5" t="s">
        <v>2430</v>
      </c>
      <c r="C3755" s="9" t="s">
        <v>2996</v>
      </c>
      <c r="D3755" s="5">
        <v>3</v>
      </c>
      <c r="E3755" s="9" t="s">
        <v>3184</v>
      </c>
      <c r="F3755" s="5" t="s">
        <v>86</v>
      </c>
      <c r="G3755" s="5" t="s">
        <v>3177</v>
      </c>
      <c r="H3755" s="5" t="s">
        <v>3178</v>
      </c>
      <c r="I3755" s="9" t="s">
        <v>3259</v>
      </c>
      <c r="J3755" s="5">
        <v>2027</v>
      </c>
      <c r="K3755" s="5">
        <v>457</v>
      </c>
      <c r="L3755" s="9" t="s">
        <v>3497</v>
      </c>
      <c r="M3755" s="5">
        <v>6.5</v>
      </c>
      <c r="N3755" s="9" t="s">
        <v>7106</v>
      </c>
      <c r="O3755" s="9" t="str">
        <f t="shared" si="357"/>
        <v>PDFを開く</v>
      </c>
      <c r="P3755" s="9" t="s">
        <v>3001</v>
      </c>
    </row>
    <row r="3756" spans="1:16" ht="33.950000000000003" customHeight="1">
      <c r="A3756" s="2" t="s">
        <v>2995</v>
      </c>
      <c r="B3756" s="2" t="s">
        <v>2430</v>
      </c>
      <c r="C3756" s="8" t="s">
        <v>2996</v>
      </c>
      <c r="D3756" s="2">
        <v>3</v>
      </c>
      <c r="E3756" s="8" t="s">
        <v>3184</v>
      </c>
      <c r="F3756" s="2" t="s">
        <v>86</v>
      </c>
      <c r="G3756" s="2" t="s">
        <v>3177</v>
      </c>
      <c r="H3756" s="2" t="s">
        <v>3178</v>
      </c>
      <c r="I3756" s="8" t="s">
        <v>3262</v>
      </c>
      <c r="J3756" s="2">
        <v>2030</v>
      </c>
      <c r="K3756" s="2">
        <v>552</v>
      </c>
      <c r="L3756" s="8" t="s">
        <v>4191</v>
      </c>
      <c r="M3756" s="2">
        <v>6.5</v>
      </c>
      <c r="N3756" s="8" t="s">
        <v>7106</v>
      </c>
      <c r="O3756" s="8" t="str">
        <f t="shared" si="357"/>
        <v>PDFを開く</v>
      </c>
      <c r="P3756" s="8" t="s">
        <v>3001</v>
      </c>
    </row>
    <row r="3757" spans="1:16" ht="33.950000000000003" customHeight="1">
      <c r="A3757" s="5" t="s">
        <v>2995</v>
      </c>
      <c r="B3757" s="5" t="s">
        <v>2430</v>
      </c>
      <c r="C3757" s="9" t="s">
        <v>2996</v>
      </c>
      <c r="D3757" s="5">
        <v>3</v>
      </c>
      <c r="E3757" s="9" t="s">
        <v>3188</v>
      </c>
      <c r="F3757" s="5" t="s">
        <v>86</v>
      </c>
      <c r="G3757" s="19" t="s">
        <v>3189</v>
      </c>
      <c r="H3757" s="5" t="s">
        <v>3178</v>
      </c>
      <c r="I3757" s="9"/>
      <c r="J3757" s="5"/>
      <c r="K3757" s="5"/>
      <c r="L3757" s="9"/>
      <c r="M3757" s="5">
        <v>5</v>
      </c>
      <c r="N3757" s="9" t="s">
        <v>7107</v>
      </c>
      <c r="O3757" s="9" t="str">
        <f t="shared" si="357"/>
        <v>PDFを開く</v>
      </c>
      <c r="P3757" s="9" t="s">
        <v>3001</v>
      </c>
    </row>
    <row r="3758" spans="1:16" ht="33.950000000000003" customHeight="1">
      <c r="A3758" s="2" t="s">
        <v>2995</v>
      </c>
      <c r="B3758" s="2" t="s">
        <v>2430</v>
      </c>
      <c r="C3758" s="8" t="s">
        <v>2996</v>
      </c>
      <c r="D3758" s="2">
        <v>3</v>
      </c>
      <c r="E3758" s="8" t="s">
        <v>3191</v>
      </c>
      <c r="F3758" s="2" t="s">
        <v>2513</v>
      </c>
      <c r="G3758" s="2" t="s">
        <v>3177</v>
      </c>
      <c r="H3758" s="2" t="s">
        <v>3178</v>
      </c>
      <c r="I3758" s="8" t="s">
        <v>3259</v>
      </c>
      <c r="J3758" s="2">
        <v>2027</v>
      </c>
      <c r="K3758" s="2">
        <v>205</v>
      </c>
      <c r="L3758" s="8" t="s">
        <v>5609</v>
      </c>
      <c r="M3758" s="2"/>
      <c r="N3758" s="8" t="s">
        <v>7108</v>
      </c>
      <c r="O3758" s="8" t="str">
        <f t="shared" si="357"/>
        <v>PDFを開く</v>
      </c>
      <c r="P3758" s="8" t="s">
        <v>3001</v>
      </c>
    </row>
    <row r="3759" spans="1:16" ht="33.950000000000003" customHeight="1">
      <c r="A3759" s="5" t="s">
        <v>2995</v>
      </c>
      <c r="B3759" s="5" t="s">
        <v>2430</v>
      </c>
      <c r="C3759" s="9" t="s">
        <v>2996</v>
      </c>
      <c r="D3759" s="5">
        <v>3</v>
      </c>
      <c r="E3759" s="9" t="s">
        <v>3191</v>
      </c>
      <c r="F3759" s="5" t="s">
        <v>2513</v>
      </c>
      <c r="G3759" s="5" t="s">
        <v>3177</v>
      </c>
      <c r="H3759" s="5" t="s">
        <v>3178</v>
      </c>
      <c r="I3759" s="9" t="s">
        <v>3262</v>
      </c>
      <c r="J3759" s="5">
        <v>2030</v>
      </c>
      <c r="K3759" s="5">
        <v>227</v>
      </c>
      <c r="L3759" s="9" t="s">
        <v>3429</v>
      </c>
      <c r="M3759" s="5"/>
      <c r="N3759" s="9" t="s">
        <v>7108</v>
      </c>
      <c r="O3759" s="9" t="str">
        <f t="shared" si="357"/>
        <v>PDFを開く</v>
      </c>
      <c r="P3759" s="9" t="s">
        <v>3001</v>
      </c>
    </row>
    <row r="3760" spans="1:16" ht="33.950000000000003" customHeight="1">
      <c r="A3760" s="2" t="s">
        <v>3002</v>
      </c>
      <c r="B3760" s="2" t="s">
        <v>2430</v>
      </c>
      <c r="C3760" s="8" t="s">
        <v>3003</v>
      </c>
      <c r="D3760" s="2">
        <v>2</v>
      </c>
      <c r="E3760" s="8" t="s">
        <v>3176</v>
      </c>
      <c r="F3760" s="2" t="s">
        <v>447</v>
      </c>
      <c r="G3760" s="2" t="s">
        <v>3177</v>
      </c>
      <c r="H3760" s="2"/>
      <c r="I3760" s="8" t="s">
        <v>3302</v>
      </c>
      <c r="J3760" s="2"/>
      <c r="K3760" s="2">
        <v>11134</v>
      </c>
      <c r="L3760" s="8" t="s">
        <v>7109</v>
      </c>
      <c r="M3760" s="2">
        <v>63</v>
      </c>
      <c r="N3760" s="8" t="s">
        <v>7110</v>
      </c>
      <c r="O3760" s="8" t="str">
        <f t="shared" ref="O3760:O3768" si="358">HYPERLINK("https://seichotoushi-hojo.jp/assets/pdf/koufu_3_4ji/outline_202.pdf","PDFを開く")</f>
        <v>PDFを開く</v>
      </c>
      <c r="P3760" s="8" t="s">
        <v>3009</v>
      </c>
    </row>
    <row r="3761" spans="1:16" ht="33.950000000000003" customHeight="1">
      <c r="A3761" s="5" t="s">
        <v>3002</v>
      </c>
      <c r="B3761" s="5" t="s">
        <v>2430</v>
      </c>
      <c r="C3761" s="9" t="s">
        <v>3003</v>
      </c>
      <c r="D3761" s="5">
        <v>2</v>
      </c>
      <c r="E3761" s="9" t="s">
        <v>3176</v>
      </c>
      <c r="F3761" s="5" t="s">
        <v>447</v>
      </c>
      <c r="G3761" s="5" t="s">
        <v>3177</v>
      </c>
      <c r="H3761" s="5"/>
      <c r="I3761" s="9" t="s">
        <v>3305</v>
      </c>
      <c r="J3761" s="5"/>
      <c r="K3761" s="5">
        <v>48228</v>
      </c>
      <c r="L3761" s="9" t="s">
        <v>7111</v>
      </c>
      <c r="M3761" s="5">
        <v>63</v>
      </c>
      <c r="N3761" s="9" t="s">
        <v>7110</v>
      </c>
      <c r="O3761" s="9" t="str">
        <f t="shared" si="358"/>
        <v>PDFを開く</v>
      </c>
      <c r="P3761" s="9" t="s">
        <v>3009</v>
      </c>
    </row>
    <row r="3762" spans="1:16" ht="33.950000000000003" customHeight="1">
      <c r="A3762" s="2" t="s">
        <v>3002</v>
      </c>
      <c r="B3762" s="2" t="s">
        <v>2430</v>
      </c>
      <c r="C3762" s="8" t="s">
        <v>3003</v>
      </c>
      <c r="D3762" s="2">
        <v>2</v>
      </c>
      <c r="E3762" s="8" t="s">
        <v>3184</v>
      </c>
      <c r="F3762" s="2" t="s">
        <v>447</v>
      </c>
      <c r="G3762" s="2" t="s">
        <v>3177</v>
      </c>
      <c r="H3762" s="2"/>
      <c r="I3762" s="8" t="s">
        <v>3302</v>
      </c>
      <c r="J3762" s="2"/>
      <c r="K3762" s="2">
        <v>4833</v>
      </c>
      <c r="L3762" s="8" t="s">
        <v>7112</v>
      </c>
      <c r="M3762" s="2">
        <v>6.5</v>
      </c>
      <c r="N3762" s="8" t="s">
        <v>7113</v>
      </c>
      <c r="O3762" s="8" t="str">
        <f t="shared" si="358"/>
        <v>PDFを開く</v>
      </c>
      <c r="P3762" s="8" t="s">
        <v>3009</v>
      </c>
    </row>
    <row r="3763" spans="1:16" ht="33.950000000000003" customHeight="1">
      <c r="A3763" s="5" t="s">
        <v>3002</v>
      </c>
      <c r="B3763" s="5" t="s">
        <v>2430</v>
      </c>
      <c r="C3763" s="9" t="s">
        <v>3003</v>
      </c>
      <c r="D3763" s="5">
        <v>2</v>
      </c>
      <c r="E3763" s="9" t="s">
        <v>3184</v>
      </c>
      <c r="F3763" s="5" t="s">
        <v>447</v>
      </c>
      <c r="G3763" s="5" t="s">
        <v>3177</v>
      </c>
      <c r="H3763" s="5"/>
      <c r="I3763" s="9" t="s">
        <v>3305</v>
      </c>
      <c r="J3763" s="5"/>
      <c r="K3763" s="5">
        <v>5838</v>
      </c>
      <c r="L3763" s="9" t="s">
        <v>7114</v>
      </c>
      <c r="M3763" s="5">
        <v>6.5</v>
      </c>
      <c r="N3763" s="9" t="s">
        <v>7113</v>
      </c>
      <c r="O3763" s="9" t="str">
        <f t="shared" si="358"/>
        <v>PDFを開く</v>
      </c>
      <c r="P3763" s="9" t="s">
        <v>3009</v>
      </c>
    </row>
    <row r="3764" spans="1:16" ht="33.950000000000003" customHeight="1">
      <c r="A3764" s="2" t="s">
        <v>3002</v>
      </c>
      <c r="B3764" s="2" t="s">
        <v>2430</v>
      </c>
      <c r="C3764" s="8" t="s">
        <v>3003</v>
      </c>
      <c r="D3764" s="2">
        <v>2</v>
      </c>
      <c r="E3764" s="8" t="s">
        <v>3188</v>
      </c>
      <c r="F3764" s="2" t="s">
        <v>447</v>
      </c>
      <c r="G3764" s="19" t="s">
        <v>3189</v>
      </c>
      <c r="H3764" s="2"/>
      <c r="I3764" s="8"/>
      <c r="J3764" s="2"/>
      <c r="K3764" s="2"/>
      <c r="L3764" s="8"/>
      <c r="M3764" s="2">
        <v>6.5</v>
      </c>
      <c r="N3764" s="8" t="s">
        <v>6727</v>
      </c>
      <c r="O3764" s="8" t="str">
        <f t="shared" si="358"/>
        <v>PDFを開く</v>
      </c>
      <c r="P3764" s="8" t="s">
        <v>3009</v>
      </c>
    </row>
    <row r="3765" spans="1:16" ht="33.950000000000003" customHeight="1">
      <c r="A3765" s="5" t="s">
        <v>3002</v>
      </c>
      <c r="B3765" s="5" t="s">
        <v>2430</v>
      </c>
      <c r="C3765" s="9" t="s">
        <v>3003</v>
      </c>
      <c r="D3765" s="5">
        <v>2</v>
      </c>
      <c r="E3765" s="9" t="s">
        <v>3191</v>
      </c>
      <c r="F3765" s="5" t="s">
        <v>2513</v>
      </c>
      <c r="G3765" s="5" t="s">
        <v>3177</v>
      </c>
      <c r="H3765" s="5"/>
      <c r="I3765" s="9" t="s">
        <v>3302</v>
      </c>
      <c r="J3765" s="5"/>
      <c r="K3765" s="5">
        <v>11</v>
      </c>
      <c r="L3765" s="9" t="s">
        <v>6401</v>
      </c>
      <c r="M3765" s="5"/>
      <c r="N3765" s="9" t="s">
        <v>7115</v>
      </c>
      <c r="O3765" s="9" t="str">
        <f t="shared" si="358"/>
        <v>PDFを開く</v>
      </c>
      <c r="P3765" s="9" t="s">
        <v>3009</v>
      </c>
    </row>
    <row r="3766" spans="1:16" ht="33.950000000000003" customHeight="1">
      <c r="A3766" s="2" t="s">
        <v>3002</v>
      </c>
      <c r="B3766" s="2" t="s">
        <v>2430</v>
      </c>
      <c r="C3766" s="8" t="s">
        <v>3003</v>
      </c>
      <c r="D3766" s="2">
        <v>2</v>
      </c>
      <c r="E3766" s="8" t="s">
        <v>3191</v>
      </c>
      <c r="F3766" s="2" t="s">
        <v>2513</v>
      </c>
      <c r="G3766" s="2" t="s">
        <v>3177</v>
      </c>
      <c r="H3766" s="2"/>
      <c r="I3766" s="8" t="s">
        <v>3305</v>
      </c>
      <c r="J3766" s="2"/>
      <c r="K3766" s="2">
        <v>23</v>
      </c>
      <c r="L3766" s="8" t="s">
        <v>3543</v>
      </c>
      <c r="M3766" s="2"/>
      <c r="N3766" s="8" t="s">
        <v>7115</v>
      </c>
      <c r="O3766" s="8" t="str">
        <f t="shared" si="358"/>
        <v>PDFを開く</v>
      </c>
      <c r="P3766" s="8" t="s">
        <v>3009</v>
      </c>
    </row>
    <row r="3767" spans="1:16" ht="33.950000000000003" customHeight="1">
      <c r="A3767" s="5" t="s">
        <v>3002</v>
      </c>
      <c r="B3767" s="5" t="s">
        <v>2430</v>
      </c>
      <c r="C3767" s="9" t="s">
        <v>3003</v>
      </c>
      <c r="D3767" s="5">
        <v>2</v>
      </c>
      <c r="E3767" s="9" t="s">
        <v>3188</v>
      </c>
      <c r="F3767" s="5" t="s">
        <v>447</v>
      </c>
      <c r="G3767" s="5" t="s">
        <v>3177</v>
      </c>
      <c r="H3767" s="5"/>
      <c r="I3767" s="9" t="s">
        <v>7116</v>
      </c>
      <c r="J3767" s="5"/>
      <c r="K3767" s="5"/>
      <c r="L3767" s="9" t="s">
        <v>3211</v>
      </c>
      <c r="M3767" s="5">
        <v>6.5</v>
      </c>
      <c r="N3767" s="9" t="s">
        <v>6330</v>
      </c>
      <c r="O3767" s="9" t="str">
        <f t="shared" si="358"/>
        <v>PDFを開く</v>
      </c>
      <c r="P3767" s="9" t="s">
        <v>3009</v>
      </c>
    </row>
    <row r="3768" spans="1:16" ht="33.950000000000003" customHeight="1">
      <c r="A3768" s="2" t="s">
        <v>3002</v>
      </c>
      <c r="B3768" s="2" t="s">
        <v>2430</v>
      </c>
      <c r="C3768" s="8" t="s">
        <v>3003</v>
      </c>
      <c r="D3768" s="2">
        <v>2</v>
      </c>
      <c r="E3768" s="8" t="s">
        <v>3188</v>
      </c>
      <c r="F3768" s="2" t="s">
        <v>447</v>
      </c>
      <c r="G3768" s="2" t="s">
        <v>3177</v>
      </c>
      <c r="H3768" s="2"/>
      <c r="I3768" s="8" t="s">
        <v>7117</v>
      </c>
      <c r="J3768" s="2"/>
      <c r="K3768" s="2"/>
      <c r="L3768" s="8" t="s">
        <v>5447</v>
      </c>
      <c r="M3768" s="2">
        <v>6.5</v>
      </c>
      <c r="N3768" s="8" t="s">
        <v>6330</v>
      </c>
      <c r="O3768" s="8" t="str">
        <f t="shared" si="358"/>
        <v>PDFを開く</v>
      </c>
      <c r="P3768" s="8" t="s">
        <v>3009</v>
      </c>
    </row>
    <row r="3769" spans="1:16" ht="33.950000000000003" customHeight="1">
      <c r="A3769" s="5" t="s">
        <v>3010</v>
      </c>
      <c r="B3769" s="5" t="s">
        <v>2430</v>
      </c>
      <c r="C3769" s="9" t="s">
        <v>3011</v>
      </c>
      <c r="D3769" s="5">
        <v>2</v>
      </c>
      <c r="E3769" s="9" t="s">
        <v>3176</v>
      </c>
      <c r="F3769" s="5" t="s">
        <v>86</v>
      </c>
      <c r="G3769" s="5" t="s">
        <v>3177</v>
      </c>
      <c r="H3769" s="5"/>
      <c r="I3769" s="9" t="s">
        <v>3546</v>
      </c>
      <c r="J3769" s="5">
        <v>2027</v>
      </c>
      <c r="K3769" s="5">
        <v>1997</v>
      </c>
      <c r="L3769" s="9" t="s">
        <v>7118</v>
      </c>
      <c r="M3769" s="5">
        <v>16.600000000000001</v>
      </c>
      <c r="N3769" s="9" t="s">
        <v>7119</v>
      </c>
      <c r="O3769" s="9" t="str">
        <f t="shared" ref="O3769:O3775" si="359">HYPERLINK("https://seichotoushi-hojo.jp/assets/pdf/koufu_3_4ji/outline_204.pdf","PDFを開く")</f>
        <v>PDFを開く</v>
      </c>
      <c r="P3769" s="9" t="s">
        <v>3018</v>
      </c>
    </row>
    <row r="3770" spans="1:16" ht="33.950000000000003" customHeight="1">
      <c r="A3770" s="2" t="s">
        <v>3010</v>
      </c>
      <c r="B3770" s="2" t="s">
        <v>2430</v>
      </c>
      <c r="C3770" s="8" t="s">
        <v>3011</v>
      </c>
      <c r="D3770" s="2">
        <v>2</v>
      </c>
      <c r="E3770" s="8" t="s">
        <v>3176</v>
      </c>
      <c r="F3770" s="2" t="s">
        <v>86</v>
      </c>
      <c r="G3770" s="2" t="s">
        <v>3177</v>
      </c>
      <c r="H3770" s="2"/>
      <c r="I3770" s="8" t="s">
        <v>5261</v>
      </c>
      <c r="J3770" s="2">
        <v>2030</v>
      </c>
      <c r="K3770" s="2">
        <v>3167</v>
      </c>
      <c r="L3770" s="8" t="s">
        <v>7120</v>
      </c>
      <c r="M3770" s="2">
        <v>16.600000000000001</v>
      </c>
      <c r="N3770" s="8" t="s">
        <v>7119</v>
      </c>
      <c r="O3770" s="8" t="str">
        <f t="shared" si="359"/>
        <v>PDFを開く</v>
      </c>
      <c r="P3770" s="8" t="s">
        <v>3018</v>
      </c>
    </row>
    <row r="3771" spans="1:16" ht="33.950000000000003" customHeight="1">
      <c r="A3771" s="5" t="s">
        <v>3010</v>
      </c>
      <c r="B3771" s="5" t="s">
        <v>2430</v>
      </c>
      <c r="C3771" s="9" t="s">
        <v>3011</v>
      </c>
      <c r="D3771" s="5">
        <v>2</v>
      </c>
      <c r="E3771" s="9" t="s">
        <v>3184</v>
      </c>
      <c r="F3771" s="5" t="s">
        <v>86</v>
      </c>
      <c r="G3771" s="5" t="s">
        <v>3177</v>
      </c>
      <c r="H3771" s="5"/>
      <c r="I3771" s="9" t="s">
        <v>3546</v>
      </c>
      <c r="J3771" s="5">
        <v>2027</v>
      </c>
      <c r="K3771" s="5">
        <v>780</v>
      </c>
      <c r="L3771" s="9" t="s">
        <v>4208</v>
      </c>
      <c r="M3771" s="5">
        <v>6.5</v>
      </c>
      <c r="N3771" s="9" t="s">
        <v>7121</v>
      </c>
      <c r="O3771" s="9" t="str">
        <f t="shared" si="359"/>
        <v>PDFを開く</v>
      </c>
      <c r="P3771" s="9" t="s">
        <v>3018</v>
      </c>
    </row>
    <row r="3772" spans="1:16" ht="33.950000000000003" customHeight="1">
      <c r="A3772" s="2" t="s">
        <v>3010</v>
      </c>
      <c r="B3772" s="2" t="s">
        <v>2430</v>
      </c>
      <c r="C3772" s="8" t="s">
        <v>3011</v>
      </c>
      <c r="D3772" s="2">
        <v>2</v>
      </c>
      <c r="E3772" s="8" t="s">
        <v>3184</v>
      </c>
      <c r="F3772" s="2" t="s">
        <v>86</v>
      </c>
      <c r="G3772" s="2" t="s">
        <v>3177</v>
      </c>
      <c r="H3772" s="2"/>
      <c r="I3772" s="8" t="s">
        <v>5261</v>
      </c>
      <c r="J3772" s="2">
        <v>2030</v>
      </c>
      <c r="K3772" s="2">
        <v>942</v>
      </c>
      <c r="L3772" s="8" t="s">
        <v>7122</v>
      </c>
      <c r="M3772" s="2">
        <v>6.5</v>
      </c>
      <c r="N3772" s="8" t="s">
        <v>7121</v>
      </c>
      <c r="O3772" s="8" t="str">
        <f t="shared" si="359"/>
        <v>PDFを開く</v>
      </c>
      <c r="P3772" s="8" t="s">
        <v>3018</v>
      </c>
    </row>
    <row r="3773" spans="1:16" ht="33.950000000000003" customHeight="1">
      <c r="A3773" s="5" t="s">
        <v>3010</v>
      </c>
      <c r="B3773" s="5" t="s">
        <v>2430</v>
      </c>
      <c r="C3773" s="9" t="s">
        <v>3011</v>
      </c>
      <c r="D3773" s="5">
        <v>2</v>
      </c>
      <c r="E3773" s="9" t="s">
        <v>3188</v>
      </c>
      <c r="F3773" s="5" t="s">
        <v>86</v>
      </c>
      <c r="G3773" s="19" t="s">
        <v>3494</v>
      </c>
      <c r="H3773" s="5"/>
      <c r="I3773" s="9"/>
      <c r="J3773" s="5"/>
      <c r="K3773" s="5"/>
      <c r="L3773" s="9"/>
      <c r="M3773" s="5"/>
      <c r="N3773" s="9" t="s">
        <v>7123</v>
      </c>
      <c r="O3773" s="9" t="str">
        <f t="shared" si="359"/>
        <v>PDFを開く</v>
      </c>
      <c r="P3773" s="9" t="s">
        <v>3018</v>
      </c>
    </row>
    <row r="3774" spans="1:16" ht="33.950000000000003" customHeight="1">
      <c r="A3774" s="2" t="s">
        <v>3010</v>
      </c>
      <c r="B3774" s="2" t="s">
        <v>2430</v>
      </c>
      <c r="C3774" s="8" t="s">
        <v>3011</v>
      </c>
      <c r="D3774" s="2">
        <v>2</v>
      </c>
      <c r="E3774" s="8" t="s">
        <v>3191</v>
      </c>
      <c r="F3774" s="2" t="s">
        <v>2513</v>
      </c>
      <c r="G3774" s="2" t="s">
        <v>3177</v>
      </c>
      <c r="H3774" s="2"/>
      <c r="I3774" s="8" t="s">
        <v>3546</v>
      </c>
      <c r="J3774" s="2">
        <v>2027</v>
      </c>
      <c r="K3774" s="2">
        <v>801</v>
      </c>
      <c r="L3774" s="8" t="s">
        <v>4926</v>
      </c>
      <c r="M3774" s="2"/>
      <c r="N3774" s="8" t="s">
        <v>7124</v>
      </c>
      <c r="O3774" s="8" t="str">
        <f t="shared" si="359"/>
        <v>PDFを開く</v>
      </c>
      <c r="P3774" s="8" t="s">
        <v>3018</v>
      </c>
    </row>
    <row r="3775" spans="1:16" ht="33.950000000000003" customHeight="1">
      <c r="A3775" s="5" t="s">
        <v>3010</v>
      </c>
      <c r="B3775" s="5" t="s">
        <v>2430</v>
      </c>
      <c r="C3775" s="9" t="s">
        <v>3011</v>
      </c>
      <c r="D3775" s="5">
        <v>2</v>
      </c>
      <c r="E3775" s="9" t="s">
        <v>3191</v>
      </c>
      <c r="F3775" s="5" t="s">
        <v>2513</v>
      </c>
      <c r="G3775" s="5" t="s">
        <v>3177</v>
      </c>
      <c r="H3775" s="5"/>
      <c r="I3775" s="9" t="s">
        <v>5261</v>
      </c>
      <c r="J3775" s="5">
        <v>2030</v>
      </c>
      <c r="K3775" s="5">
        <v>890</v>
      </c>
      <c r="L3775" s="9" t="s">
        <v>7125</v>
      </c>
      <c r="M3775" s="5"/>
      <c r="N3775" s="9" t="s">
        <v>7124</v>
      </c>
      <c r="O3775" s="9" t="str">
        <f t="shared" si="359"/>
        <v>PDFを開く</v>
      </c>
      <c r="P3775" s="9" t="s">
        <v>3018</v>
      </c>
    </row>
    <row r="3776" spans="1:16" ht="33.950000000000003" customHeight="1">
      <c r="A3776" s="2" t="s">
        <v>3019</v>
      </c>
      <c r="B3776" s="2" t="s">
        <v>2430</v>
      </c>
      <c r="C3776" s="8" t="s">
        <v>3020</v>
      </c>
      <c r="D3776" s="2">
        <v>2</v>
      </c>
      <c r="E3776" s="8" t="s">
        <v>3176</v>
      </c>
      <c r="F3776" s="2" t="s">
        <v>447</v>
      </c>
      <c r="G3776" s="2" t="s">
        <v>3177</v>
      </c>
      <c r="H3776" s="2"/>
      <c r="I3776" s="8" t="s">
        <v>3302</v>
      </c>
      <c r="J3776" s="2"/>
      <c r="K3776" s="2">
        <v>9529</v>
      </c>
      <c r="L3776" s="8" t="s">
        <v>7126</v>
      </c>
      <c r="M3776" s="2">
        <v>27.1</v>
      </c>
      <c r="N3776" s="8" t="s">
        <v>7127</v>
      </c>
      <c r="O3776" s="8" t="str">
        <f t="shared" ref="O3776:O3782" si="360">HYPERLINK("https://seichotoushi-hojo.jp/assets/pdf/koufu_3_4ji/outline_206.pdf","PDFを開く")</f>
        <v>PDFを開く</v>
      </c>
      <c r="P3776" s="8" t="s">
        <v>3025</v>
      </c>
    </row>
    <row r="3777" spans="1:16" ht="33.950000000000003" customHeight="1">
      <c r="A3777" s="5" t="s">
        <v>3019</v>
      </c>
      <c r="B3777" s="5" t="s">
        <v>2430</v>
      </c>
      <c r="C3777" s="9" t="s">
        <v>3020</v>
      </c>
      <c r="D3777" s="5">
        <v>2</v>
      </c>
      <c r="E3777" s="9" t="s">
        <v>3176</v>
      </c>
      <c r="F3777" s="5" t="s">
        <v>447</v>
      </c>
      <c r="G3777" s="5" t="s">
        <v>3177</v>
      </c>
      <c r="H3777" s="5"/>
      <c r="I3777" s="9" t="s">
        <v>3305</v>
      </c>
      <c r="J3777" s="5"/>
      <c r="K3777" s="5">
        <v>19550</v>
      </c>
      <c r="L3777" s="9" t="s">
        <v>7128</v>
      </c>
      <c r="M3777" s="5">
        <v>27.1</v>
      </c>
      <c r="N3777" s="9" t="s">
        <v>7127</v>
      </c>
      <c r="O3777" s="9" t="str">
        <f t="shared" si="360"/>
        <v>PDFを開く</v>
      </c>
      <c r="P3777" s="9" t="s">
        <v>3025</v>
      </c>
    </row>
    <row r="3778" spans="1:16" ht="33.950000000000003" customHeight="1">
      <c r="A3778" s="2" t="s">
        <v>3019</v>
      </c>
      <c r="B3778" s="2" t="s">
        <v>2430</v>
      </c>
      <c r="C3778" s="8" t="s">
        <v>3020</v>
      </c>
      <c r="D3778" s="2">
        <v>2</v>
      </c>
      <c r="E3778" s="8" t="s">
        <v>3184</v>
      </c>
      <c r="F3778" s="2" t="s">
        <v>447</v>
      </c>
      <c r="G3778" s="2" t="s">
        <v>3177</v>
      </c>
      <c r="H3778" s="2"/>
      <c r="I3778" s="8" t="s">
        <v>3302</v>
      </c>
      <c r="J3778" s="2"/>
      <c r="K3778" s="2">
        <v>3873</v>
      </c>
      <c r="L3778" s="8" t="s">
        <v>7129</v>
      </c>
      <c r="M3778" s="2">
        <v>6.6</v>
      </c>
      <c r="N3778" s="8" t="s">
        <v>7130</v>
      </c>
      <c r="O3778" s="8" t="str">
        <f t="shared" si="360"/>
        <v>PDFを開く</v>
      </c>
      <c r="P3778" s="8" t="s">
        <v>3025</v>
      </c>
    </row>
    <row r="3779" spans="1:16" ht="33.950000000000003" customHeight="1">
      <c r="A3779" s="5" t="s">
        <v>3019</v>
      </c>
      <c r="B3779" s="5" t="s">
        <v>2430</v>
      </c>
      <c r="C3779" s="9" t="s">
        <v>3020</v>
      </c>
      <c r="D3779" s="5">
        <v>2</v>
      </c>
      <c r="E3779" s="9" t="s">
        <v>3184</v>
      </c>
      <c r="F3779" s="5" t="s">
        <v>447</v>
      </c>
      <c r="G3779" s="5" t="s">
        <v>3177</v>
      </c>
      <c r="H3779" s="5"/>
      <c r="I3779" s="9" t="s">
        <v>3305</v>
      </c>
      <c r="J3779" s="5"/>
      <c r="K3779" s="5">
        <v>4687</v>
      </c>
      <c r="L3779" s="9" t="s">
        <v>7131</v>
      </c>
      <c r="M3779" s="5">
        <v>6.6</v>
      </c>
      <c r="N3779" s="9" t="s">
        <v>7130</v>
      </c>
      <c r="O3779" s="9" t="str">
        <f t="shared" si="360"/>
        <v>PDFを開く</v>
      </c>
      <c r="P3779" s="9" t="s">
        <v>3025</v>
      </c>
    </row>
    <row r="3780" spans="1:16" ht="33.950000000000003" customHeight="1">
      <c r="A3780" s="2" t="s">
        <v>3019</v>
      </c>
      <c r="B3780" s="2" t="s">
        <v>2430</v>
      </c>
      <c r="C3780" s="8" t="s">
        <v>3020</v>
      </c>
      <c r="D3780" s="2">
        <v>2</v>
      </c>
      <c r="E3780" s="8" t="s">
        <v>3188</v>
      </c>
      <c r="F3780" s="2" t="s">
        <v>447</v>
      </c>
      <c r="G3780" s="19" t="s">
        <v>3189</v>
      </c>
      <c r="H3780" s="2"/>
      <c r="I3780" s="8"/>
      <c r="J3780" s="2"/>
      <c r="K3780" s="2"/>
      <c r="L3780" s="8"/>
      <c r="M3780" s="2">
        <v>8.6</v>
      </c>
      <c r="N3780" s="8" t="s">
        <v>7132</v>
      </c>
      <c r="O3780" s="8" t="str">
        <f t="shared" si="360"/>
        <v>PDFを開く</v>
      </c>
      <c r="P3780" s="8" t="s">
        <v>3025</v>
      </c>
    </row>
    <row r="3781" spans="1:16" ht="33.950000000000003" customHeight="1">
      <c r="A3781" s="5" t="s">
        <v>3019</v>
      </c>
      <c r="B3781" s="5" t="s">
        <v>2430</v>
      </c>
      <c r="C3781" s="9" t="s">
        <v>3020</v>
      </c>
      <c r="D3781" s="5">
        <v>2</v>
      </c>
      <c r="E3781" s="9" t="s">
        <v>3191</v>
      </c>
      <c r="F3781" s="5" t="s">
        <v>2513</v>
      </c>
      <c r="G3781" s="5" t="s">
        <v>3177</v>
      </c>
      <c r="H3781" s="5"/>
      <c r="I3781" s="9" t="s">
        <v>3305</v>
      </c>
      <c r="J3781" s="5"/>
      <c r="K3781" s="5">
        <v>54</v>
      </c>
      <c r="L3781" s="9" t="s">
        <v>3311</v>
      </c>
      <c r="M3781" s="5"/>
      <c r="N3781" s="9" t="s">
        <v>7133</v>
      </c>
      <c r="O3781" s="9" t="str">
        <f t="shared" si="360"/>
        <v>PDFを開く</v>
      </c>
      <c r="P3781" s="9" t="s">
        <v>3025</v>
      </c>
    </row>
    <row r="3782" spans="1:16" ht="33.950000000000003" customHeight="1">
      <c r="A3782" s="2" t="s">
        <v>3019</v>
      </c>
      <c r="B3782" s="2" t="s">
        <v>2430</v>
      </c>
      <c r="C3782" s="8" t="s">
        <v>3020</v>
      </c>
      <c r="D3782" s="2">
        <v>2</v>
      </c>
      <c r="E3782" s="8" t="s">
        <v>3191</v>
      </c>
      <c r="F3782" s="2" t="s">
        <v>2513</v>
      </c>
      <c r="G3782" s="2" t="s">
        <v>3177</v>
      </c>
      <c r="H3782" s="2"/>
      <c r="I3782" s="8" t="s">
        <v>3302</v>
      </c>
      <c r="J3782" s="2"/>
      <c r="K3782" s="2">
        <v>31</v>
      </c>
      <c r="L3782" s="8" t="s">
        <v>3588</v>
      </c>
      <c r="M3782" s="2"/>
      <c r="N3782" s="8" t="s">
        <v>7133</v>
      </c>
      <c r="O3782" s="8" t="str">
        <f t="shared" si="360"/>
        <v>PDFを開く</v>
      </c>
      <c r="P3782" s="8" t="s">
        <v>3025</v>
      </c>
    </row>
    <row r="3783" spans="1:16" ht="33.950000000000003" customHeight="1">
      <c r="A3783" s="5" t="s">
        <v>3026</v>
      </c>
      <c r="B3783" s="5" t="s">
        <v>2430</v>
      </c>
      <c r="C3783" s="9" t="s">
        <v>3027</v>
      </c>
      <c r="D3783" s="5">
        <v>2</v>
      </c>
      <c r="E3783" s="9" t="s">
        <v>3176</v>
      </c>
      <c r="F3783" s="5" t="s">
        <v>447</v>
      </c>
      <c r="G3783" s="5" t="s">
        <v>3177</v>
      </c>
      <c r="H3783" s="5"/>
      <c r="I3783" s="9" t="s">
        <v>3302</v>
      </c>
      <c r="J3783" s="5"/>
      <c r="K3783" s="5">
        <v>8985</v>
      </c>
      <c r="L3783" s="9" t="s">
        <v>7134</v>
      </c>
      <c r="M3783" s="5">
        <v>24.5</v>
      </c>
      <c r="N3783" s="9" t="s">
        <v>7135</v>
      </c>
      <c r="O3783" s="9" t="str">
        <f t="shared" ref="O3783:O3790" si="361">HYPERLINK("https://seichotoushi-hojo.jp/assets/pdf/koufu_3_4ji/outline_207.pdf","PDFを開く")</f>
        <v>PDFを開く</v>
      </c>
      <c r="P3783" s="9" t="s">
        <v>3033</v>
      </c>
    </row>
    <row r="3784" spans="1:16" ht="33.950000000000003" customHeight="1">
      <c r="A3784" s="2" t="s">
        <v>3026</v>
      </c>
      <c r="B3784" s="2" t="s">
        <v>2430</v>
      </c>
      <c r="C3784" s="8" t="s">
        <v>3027</v>
      </c>
      <c r="D3784" s="2">
        <v>2</v>
      </c>
      <c r="E3784" s="8" t="s">
        <v>3176</v>
      </c>
      <c r="F3784" s="2" t="s">
        <v>447</v>
      </c>
      <c r="G3784" s="2" t="s">
        <v>3177</v>
      </c>
      <c r="H3784" s="2"/>
      <c r="I3784" s="8" t="s">
        <v>3305</v>
      </c>
      <c r="J3784" s="2"/>
      <c r="K3784" s="2">
        <v>17343</v>
      </c>
      <c r="L3784" s="8" t="s">
        <v>7136</v>
      </c>
      <c r="M3784" s="2">
        <v>24.5</v>
      </c>
      <c r="N3784" s="8" t="s">
        <v>7135</v>
      </c>
      <c r="O3784" s="8" t="str">
        <f t="shared" si="361"/>
        <v>PDFを開く</v>
      </c>
      <c r="P3784" s="8" t="s">
        <v>3033</v>
      </c>
    </row>
    <row r="3785" spans="1:16" ht="33.950000000000003" customHeight="1">
      <c r="A3785" s="5" t="s">
        <v>3026</v>
      </c>
      <c r="B3785" s="5" t="s">
        <v>2430</v>
      </c>
      <c r="C3785" s="9" t="s">
        <v>3027</v>
      </c>
      <c r="D3785" s="5">
        <v>2</v>
      </c>
      <c r="E3785" s="9" t="s">
        <v>3184</v>
      </c>
      <c r="F3785" s="5" t="s">
        <v>447</v>
      </c>
      <c r="G3785" s="5" t="s">
        <v>3177</v>
      </c>
      <c r="H3785" s="5"/>
      <c r="I3785" s="9" t="s">
        <v>3302</v>
      </c>
      <c r="J3785" s="5"/>
      <c r="K3785" s="5">
        <v>6130</v>
      </c>
      <c r="L3785" s="9" t="s">
        <v>7137</v>
      </c>
      <c r="M3785" s="5">
        <v>6.2</v>
      </c>
      <c r="N3785" s="9" t="s">
        <v>7138</v>
      </c>
      <c r="O3785" s="9" t="str">
        <f t="shared" si="361"/>
        <v>PDFを開く</v>
      </c>
      <c r="P3785" s="9" t="s">
        <v>3033</v>
      </c>
    </row>
    <row r="3786" spans="1:16" ht="33.950000000000003" customHeight="1">
      <c r="A3786" s="2" t="s">
        <v>3026</v>
      </c>
      <c r="B3786" s="2" t="s">
        <v>2430</v>
      </c>
      <c r="C3786" s="8" t="s">
        <v>3027</v>
      </c>
      <c r="D3786" s="2">
        <v>2</v>
      </c>
      <c r="E3786" s="8" t="s">
        <v>3184</v>
      </c>
      <c r="F3786" s="2" t="s">
        <v>447</v>
      </c>
      <c r="G3786" s="2" t="s">
        <v>3177</v>
      </c>
      <c r="H3786" s="2"/>
      <c r="I3786" s="8" t="s">
        <v>3305</v>
      </c>
      <c r="J3786" s="2"/>
      <c r="K3786" s="2">
        <v>7342</v>
      </c>
      <c r="L3786" s="8" t="s">
        <v>7139</v>
      </c>
      <c r="M3786" s="2">
        <v>6.2</v>
      </c>
      <c r="N3786" s="8" t="s">
        <v>7138</v>
      </c>
      <c r="O3786" s="8" t="str">
        <f t="shared" si="361"/>
        <v>PDFを開く</v>
      </c>
      <c r="P3786" s="8" t="s">
        <v>3033</v>
      </c>
    </row>
    <row r="3787" spans="1:16" ht="33.950000000000003" customHeight="1">
      <c r="A3787" s="5" t="s">
        <v>3026</v>
      </c>
      <c r="B3787" s="5" t="s">
        <v>2430</v>
      </c>
      <c r="C3787" s="9" t="s">
        <v>3027</v>
      </c>
      <c r="D3787" s="5">
        <v>2</v>
      </c>
      <c r="E3787" s="9" t="s">
        <v>3188</v>
      </c>
      <c r="F3787" s="5" t="s">
        <v>447</v>
      </c>
      <c r="G3787" s="5" t="s">
        <v>3177</v>
      </c>
      <c r="H3787" s="5"/>
      <c r="I3787" s="9" t="s">
        <v>3302</v>
      </c>
      <c r="J3787" s="5"/>
      <c r="K3787" s="5">
        <v>11143</v>
      </c>
      <c r="L3787" s="9" t="s">
        <v>7140</v>
      </c>
      <c r="M3787" s="5">
        <v>5</v>
      </c>
      <c r="N3787" s="9" t="s">
        <v>7141</v>
      </c>
      <c r="O3787" s="9" t="str">
        <f t="shared" si="361"/>
        <v>PDFを開く</v>
      </c>
      <c r="P3787" s="9" t="s">
        <v>3033</v>
      </c>
    </row>
    <row r="3788" spans="1:16" ht="33.950000000000003" customHeight="1">
      <c r="A3788" s="2" t="s">
        <v>3026</v>
      </c>
      <c r="B3788" s="2" t="s">
        <v>2430</v>
      </c>
      <c r="C3788" s="8" t="s">
        <v>3027</v>
      </c>
      <c r="D3788" s="2">
        <v>2</v>
      </c>
      <c r="E3788" s="8" t="s">
        <v>3188</v>
      </c>
      <c r="F3788" s="2" t="s">
        <v>447</v>
      </c>
      <c r="G3788" s="2" t="s">
        <v>3177</v>
      </c>
      <c r="H3788" s="2"/>
      <c r="I3788" s="8" t="s">
        <v>3305</v>
      </c>
      <c r="J3788" s="2"/>
      <c r="K3788" s="2">
        <v>12899</v>
      </c>
      <c r="L3788" s="8" t="s">
        <v>7142</v>
      </c>
      <c r="M3788" s="2">
        <v>5</v>
      </c>
      <c r="N3788" s="8" t="s">
        <v>7141</v>
      </c>
      <c r="O3788" s="8" t="str">
        <f t="shared" si="361"/>
        <v>PDFを開く</v>
      </c>
      <c r="P3788" s="8" t="s">
        <v>3033</v>
      </c>
    </row>
    <row r="3789" spans="1:16" ht="33.950000000000003" customHeight="1">
      <c r="A3789" s="5" t="s">
        <v>3026</v>
      </c>
      <c r="B3789" s="5" t="s">
        <v>2430</v>
      </c>
      <c r="C3789" s="9" t="s">
        <v>3027</v>
      </c>
      <c r="D3789" s="5">
        <v>2</v>
      </c>
      <c r="E3789" s="9" t="s">
        <v>3191</v>
      </c>
      <c r="F3789" s="5" t="s">
        <v>2513</v>
      </c>
      <c r="G3789" s="5" t="s">
        <v>3177</v>
      </c>
      <c r="H3789" s="5"/>
      <c r="I3789" s="9" t="s">
        <v>3302</v>
      </c>
      <c r="J3789" s="5"/>
      <c r="K3789" s="5">
        <v>280</v>
      </c>
      <c r="L3789" s="9" t="s">
        <v>3353</v>
      </c>
      <c r="M3789" s="5"/>
      <c r="N3789" s="9" t="s">
        <v>7143</v>
      </c>
      <c r="O3789" s="9" t="str">
        <f t="shared" si="361"/>
        <v>PDFを開く</v>
      </c>
      <c r="P3789" s="9" t="s">
        <v>3033</v>
      </c>
    </row>
    <row r="3790" spans="1:16" ht="33.950000000000003" customHeight="1">
      <c r="A3790" s="2" t="s">
        <v>3026</v>
      </c>
      <c r="B3790" s="2" t="s">
        <v>2430</v>
      </c>
      <c r="C3790" s="8" t="s">
        <v>3027</v>
      </c>
      <c r="D3790" s="2">
        <v>2</v>
      </c>
      <c r="E3790" s="8" t="s">
        <v>3191</v>
      </c>
      <c r="F3790" s="2" t="s">
        <v>2513</v>
      </c>
      <c r="G3790" s="2" t="s">
        <v>3177</v>
      </c>
      <c r="H3790" s="2"/>
      <c r="I3790" s="8" t="s">
        <v>3305</v>
      </c>
      <c r="J3790" s="2"/>
      <c r="K3790" s="2">
        <v>300</v>
      </c>
      <c r="L3790" s="8" t="s">
        <v>7144</v>
      </c>
      <c r="M3790" s="2"/>
      <c r="N3790" s="8" t="s">
        <v>7143</v>
      </c>
      <c r="O3790" s="8" t="str">
        <f t="shared" si="361"/>
        <v>PDFを開く</v>
      </c>
      <c r="P3790" s="8" t="s">
        <v>3033</v>
      </c>
    </row>
    <row r="3791" spans="1:16" ht="33.950000000000003" customHeight="1">
      <c r="A3791" s="5" t="s">
        <v>3034</v>
      </c>
      <c r="B3791" s="5" t="s">
        <v>2430</v>
      </c>
      <c r="C3791" s="9" t="s">
        <v>3035</v>
      </c>
      <c r="D3791" s="5">
        <v>2</v>
      </c>
      <c r="E3791" s="9" t="s">
        <v>3176</v>
      </c>
      <c r="F3791" s="5" t="s">
        <v>447</v>
      </c>
      <c r="G3791" s="5" t="s">
        <v>3177</v>
      </c>
      <c r="H3791" s="5"/>
      <c r="I3791" s="9" t="s">
        <v>3302</v>
      </c>
      <c r="J3791" s="5"/>
      <c r="K3791" s="5">
        <v>9331</v>
      </c>
      <c r="L3791" s="9" t="s">
        <v>7145</v>
      </c>
      <c r="M3791" s="5">
        <v>35.4</v>
      </c>
      <c r="N3791" s="9" t="s">
        <v>7146</v>
      </c>
      <c r="O3791" s="9" t="str">
        <f t="shared" ref="O3791:O3797" si="362">HYPERLINK("https://seichotoushi-hojo.jp/assets/pdf/koufu_3_4ji/outline_208.pdf","PDFを開く")</f>
        <v>PDFを開く</v>
      </c>
      <c r="P3791" s="9" t="s">
        <v>3040</v>
      </c>
    </row>
    <row r="3792" spans="1:16" ht="33.950000000000003" customHeight="1">
      <c r="A3792" s="2" t="s">
        <v>3034</v>
      </c>
      <c r="B3792" s="2" t="s">
        <v>2430</v>
      </c>
      <c r="C3792" s="8" t="s">
        <v>3035</v>
      </c>
      <c r="D3792" s="2">
        <v>2</v>
      </c>
      <c r="E3792" s="8" t="s">
        <v>3176</v>
      </c>
      <c r="F3792" s="2" t="s">
        <v>447</v>
      </c>
      <c r="G3792" s="2" t="s">
        <v>3177</v>
      </c>
      <c r="H3792" s="2"/>
      <c r="I3792" s="8" t="s">
        <v>3305</v>
      </c>
      <c r="J3792" s="2"/>
      <c r="K3792" s="2">
        <v>23183</v>
      </c>
      <c r="L3792" s="8" t="s">
        <v>7147</v>
      </c>
      <c r="M3792" s="2">
        <v>35.4</v>
      </c>
      <c r="N3792" s="8" t="s">
        <v>7146</v>
      </c>
      <c r="O3792" s="8" t="str">
        <f t="shared" si="362"/>
        <v>PDFを開く</v>
      </c>
      <c r="P3792" s="8" t="s">
        <v>3040</v>
      </c>
    </row>
    <row r="3793" spans="1:16" ht="33.950000000000003" customHeight="1">
      <c r="A3793" s="5" t="s">
        <v>3034</v>
      </c>
      <c r="B3793" s="5" t="s">
        <v>2430</v>
      </c>
      <c r="C3793" s="9" t="s">
        <v>3035</v>
      </c>
      <c r="D3793" s="5">
        <v>2</v>
      </c>
      <c r="E3793" s="9" t="s">
        <v>3184</v>
      </c>
      <c r="F3793" s="5" t="s">
        <v>447</v>
      </c>
      <c r="G3793" s="5" t="s">
        <v>3177</v>
      </c>
      <c r="H3793" s="5"/>
      <c r="I3793" s="9" t="s">
        <v>3302</v>
      </c>
      <c r="J3793" s="5"/>
      <c r="K3793" s="5">
        <v>4581</v>
      </c>
      <c r="L3793" s="9" t="s">
        <v>7148</v>
      </c>
      <c r="M3793" s="5">
        <v>7</v>
      </c>
      <c r="N3793" s="9" t="s">
        <v>7149</v>
      </c>
      <c r="O3793" s="9" t="str">
        <f t="shared" si="362"/>
        <v>PDFを開く</v>
      </c>
      <c r="P3793" s="9" t="s">
        <v>3040</v>
      </c>
    </row>
    <row r="3794" spans="1:16" ht="33.950000000000003" customHeight="1">
      <c r="A3794" s="2" t="s">
        <v>3034</v>
      </c>
      <c r="B3794" s="2" t="s">
        <v>2430</v>
      </c>
      <c r="C3794" s="8" t="s">
        <v>3035</v>
      </c>
      <c r="D3794" s="2">
        <v>2</v>
      </c>
      <c r="E3794" s="8" t="s">
        <v>3184</v>
      </c>
      <c r="F3794" s="2" t="s">
        <v>447</v>
      </c>
      <c r="G3794" s="2" t="s">
        <v>3177</v>
      </c>
      <c r="H3794" s="2"/>
      <c r="I3794" s="8" t="s">
        <v>3305</v>
      </c>
      <c r="J3794" s="2"/>
      <c r="K3794" s="2">
        <v>5611</v>
      </c>
      <c r="L3794" s="8" t="s">
        <v>7150</v>
      </c>
      <c r="M3794" s="2">
        <v>7</v>
      </c>
      <c r="N3794" s="8" t="s">
        <v>7149</v>
      </c>
      <c r="O3794" s="8" t="str">
        <f t="shared" si="362"/>
        <v>PDFを開く</v>
      </c>
      <c r="P3794" s="8" t="s">
        <v>3040</v>
      </c>
    </row>
    <row r="3795" spans="1:16" ht="33.950000000000003" customHeight="1">
      <c r="A3795" s="5" t="s">
        <v>3034</v>
      </c>
      <c r="B3795" s="5" t="s">
        <v>2430</v>
      </c>
      <c r="C3795" s="9" t="s">
        <v>3035</v>
      </c>
      <c r="D3795" s="5">
        <v>2</v>
      </c>
      <c r="E3795" s="9" t="s">
        <v>3188</v>
      </c>
      <c r="F3795" s="5" t="s">
        <v>447</v>
      </c>
      <c r="G3795" s="19" t="s">
        <v>3189</v>
      </c>
      <c r="H3795" s="5"/>
      <c r="I3795" s="9"/>
      <c r="J3795" s="5"/>
      <c r="K3795" s="5"/>
      <c r="L3795" s="9"/>
      <c r="M3795" s="5"/>
      <c r="N3795" s="9" t="s">
        <v>7151</v>
      </c>
      <c r="O3795" s="9" t="str">
        <f t="shared" si="362"/>
        <v>PDFを開く</v>
      </c>
      <c r="P3795" s="9" t="s">
        <v>3040</v>
      </c>
    </row>
    <row r="3796" spans="1:16" ht="33.950000000000003" customHeight="1">
      <c r="A3796" s="2" t="s">
        <v>3034</v>
      </c>
      <c r="B3796" s="2" t="s">
        <v>2430</v>
      </c>
      <c r="C3796" s="8" t="s">
        <v>3035</v>
      </c>
      <c r="D3796" s="2">
        <v>2</v>
      </c>
      <c r="E3796" s="8" t="s">
        <v>3191</v>
      </c>
      <c r="F3796" s="2" t="s">
        <v>2513</v>
      </c>
      <c r="G3796" s="2" t="s">
        <v>3177</v>
      </c>
      <c r="H3796" s="2"/>
      <c r="I3796" s="8" t="s">
        <v>3302</v>
      </c>
      <c r="J3796" s="2"/>
      <c r="K3796" s="2">
        <v>91</v>
      </c>
      <c r="L3796" s="8" t="s">
        <v>3517</v>
      </c>
      <c r="M3796" s="2"/>
      <c r="N3796" s="8" t="s">
        <v>7152</v>
      </c>
      <c r="O3796" s="8" t="str">
        <f t="shared" si="362"/>
        <v>PDFを開く</v>
      </c>
      <c r="P3796" s="8" t="s">
        <v>3040</v>
      </c>
    </row>
    <row r="3797" spans="1:16" ht="33.950000000000003" customHeight="1">
      <c r="A3797" s="5" t="s">
        <v>3034</v>
      </c>
      <c r="B3797" s="5" t="s">
        <v>2430</v>
      </c>
      <c r="C3797" s="9" t="s">
        <v>3035</v>
      </c>
      <c r="D3797" s="5">
        <v>2</v>
      </c>
      <c r="E3797" s="9" t="s">
        <v>3191</v>
      </c>
      <c r="F3797" s="5" t="s">
        <v>2513</v>
      </c>
      <c r="G3797" s="5" t="s">
        <v>3177</v>
      </c>
      <c r="H3797" s="5"/>
      <c r="I3797" s="9" t="s">
        <v>3305</v>
      </c>
      <c r="J3797" s="5"/>
      <c r="K3797" s="5">
        <v>118</v>
      </c>
      <c r="L3797" s="9" t="s">
        <v>3989</v>
      </c>
      <c r="M3797" s="5"/>
      <c r="N3797" s="9" t="s">
        <v>7152</v>
      </c>
      <c r="O3797" s="9" t="str">
        <f t="shared" si="362"/>
        <v>PDFを開く</v>
      </c>
      <c r="P3797" s="9" t="s">
        <v>3040</v>
      </c>
    </row>
    <row r="3798" spans="1:16" ht="33.950000000000003" customHeight="1">
      <c r="A3798" s="2" t="s">
        <v>3041</v>
      </c>
      <c r="B3798" s="2" t="s">
        <v>2430</v>
      </c>
      <c r="C3798" s="8" t="s">
        <v>3042</v>
      </c>
      <c r="D3798" s="2">
        <v>2</v>
      </c>
      <c r="E3798" s="8" t="s">
        <v>3176</v>
      </c>
      <c r="F3798" s="2" t="s">
        <v>447</v>
      </c>
      <c r="G3798" s="2" t="s">
        <v>3177</v>
      </c>
      <c r="H3798" s="2"/>
      <c r="I3798" s="8" t="s">
        <v>3302</v>
      </c>
      <c r="J3798" s="2"/>
      <c r="K3798" s="2">
        <v>4733</v>
      </c>
      <c r="L3798" s="8" t="s">
        <v>7153</v>
      </c>
      <c r="M3798" s="2">
        <v>23.1</v>
      </c>
      <c r="N3798" s="8" t="s">
        <v>7154</v>
      </c>
      <c r="O3798" s="8" t="str">
        <f t="shared" ref="O3798:O3806" si="363">HYPERLINK("https://seichotoushi-hojo.jp/assets/pdf/koufu_3_4ji/outline_210.pdf","PDFを開く")</f>
        <v>PDFを開く</v>
      </c>
      <c r="P3798" s="8" t="s">
        <v>3048</v>
      </c>
    </row>
    <row r="3799" spans="1:16" ht="33.950000000000003" customHeight="1">
      <c r="A3799" s="5" t="s">
        <v>3041</v>
      </c>
      <c r="B3799" s="5" t="s">
        <v>2430</v>
      </c>
      <c r="C3799" s="9" t="s">
        <v>3042</v>
      </c>
      <c r="D3799" s="5">
        <v>2</v>
      </c>
      <c r="E3799" s="9" t="s">
        <v>3176</v>
      </c>
      <c r="F3799" s="5" t="s">
        <v>447</v>
      </c>
      <c r="G3799" s="5" t="s">
        <v>3177</v>
      </c>
      <c r="H3799" s="5"/>
      <c r="I3799" s="9" t="s">
        <v>3305</v>
      </c>
      <c r="J3799" s="5"/>
      <c r="K3799" s="5">
        <v>8839</v>
      </c>
      <c r="L3799" s="9" t="s">
        <v>7155</v>
      </c>
      <c r="M3799" s="5">
        <v>23.1</v>
      </c>
      <c r="N3799" s="9" t="s">
        <v>7154</v>
      </c>
      <c r="O3799" s="9" t="str">
        <f t="shared" si="363"/>
        <v>PDFを開く</v>
      </c>
      <c r="P3799" s="9" t="s">
        <v>3048</v>
      </c>
    </row>
    <row r="3800" spans="1:16" ht="33.950000000000003" customHeight="1">
      <c r="A3800" s="2" t="s">
        <v>3041</v>
      </c>
      <c r="B3800" s="2" t="s">
        <v>2430</v>
      </c>
      <c r="C3800" s="8" t="s">
        <v>3042</v>
      </c>
      <c r="D3800" s="2">
        <v>2</v>
      </c>
      <c r="E3800" s="8" t="s">
        <v>3184</v>
      </c>
      <c r="F3800" s="2" t="s">
        <v>447</v>
      </c>
      <c r="G3800" s="2" t="s">
        <v>3177</v>
      </c>
      <c r="H3800" s="2"/>
      <c r="I3800" s="8" t="s">
        <v>3302</v>
      </c>
      <c r="J3800" s="2"/>
      <c r="K3800" s="2">
        <v>4402</v>
      </c>
      <c r="L3800" s="8" t="s">
        <v>7156</v>
      </c>
      <c r="M3800" s="2">
        <v>6.5</v>
      </c>
      <c r="N3800" s="8" t="s">
        <v>7157</v>
      </c>
      <c r="O3800" s="8" t="str">
        <f t="shared" si="363"/>
        <v>PDFを開く</v>
      </c>
      <c r="P3800" s="8" t="s">
        <v>3048</v>
      </c>
    </row>
    <row r="3801" spans="1:16" ht="33.950000000000003" customHeight="1">
      <c r="A3801" s="5" t="s">
        <v>3041</v>
      </c>
      <c r="B3801" s="5" t="s">
        <v>2430</v>
      </c>
      <c r="C3801" s="9" t="s">
        <v>3042</v>
      </c>
      <c r="D3801" s="5">
        <v>2</v>
      </c>
      <c r="E3801" s="9" t="s">
        <v>3184</v>
      </c>
      <c r="F3801" s="5" t="s">
        <v>447</v>
      </c>
      <c r="G3801" s="5" t="s">
        <v>3177</v>
      </c>
      <c r="H3801" s="5"/>
      <c r="I3801" s="9" t="s">
        <v>3305</v>
      </c>
      <c r="J3801" s="5"/>
      <c r="K3801" s="5">
        <v>5318</v>
      </c>
      <c r="L3801" s="9" t="s">
        <v>7158</v>
      </c>
      <c r="M3801" s="5">
        <v>6.5</v>
      </c>
      <c r="N3801" s="9" t="s">
        <v>7157</v>
      </c>
      <c r="O3801" s="9" t="str">
        <f t="shared" si="363"/>
        <v>PDFを開く</v>
      </c>
      <c r="P3801" s="9" t="s">
        <v>3048</v>
      </c>
    </row>
    <row r="3802" spans="1:16" ht="33.950000000000003" customHeight="1">
      <c r="A3802" s="2" t="s">
        <v>3041</v>
      </c>
      <c r="B3802" s="2" t="s">
        <v>2430</v>
      </c>
      <c r="C3802" s="8" t="s">
        <v>3042</v>
      </c>
      <c r="D3802" s="2">
        <v>2</v>
      </c>
      <c r="E3802" s="8" t="s">
        <v>3188</v>
      </c>
      <c r="F3802" s="2" t="s">
        <v>447</v>
      </c>
      <c r="G3802" s="19" t="s">
        <v>3189</v>
      </c>
      <c r="H3802" s="2"/>
      <c r="I3802" s="8"/>
      <c r="J3802" s="2"/>
      <c r="K3802" s="2"/>
      <c r="L3802" s="8"/>
      <c r="M3802" s="2">
        <v>5</v>
      </c>
      <c r="N3802" s="8" t="s">
        <v>6646</v>
      </c>
      <c r="O3802" s="8" t="str">
        <f t="shared" si="363"/>
        <v>PDFを開く</v>
      </c>
      <c r="P3802" s="8" t="s">
        <v>3048</v>
      </c>
    </row>
    <row r="3803" spans="1:16" ht="33.950000000000003" customHeight="1">
      <c r="A3803" s="5" t="s">
        <v>3041</v>
      </c>
      <c r="B3803" s="5" t="s">
        <v>2430</v>
      </c>
      <c r="C3803" s="9" t="s">
        <v>3042</v>
      </c>
      <c r="D3803" s="5">
        <v>2</v>
      </c>
      <c r="E3803" s="9" t="s">
        <v>3191</v>
      </c>
      <c r="F3803" s="5" t="s">
        <v>2513</v>
      </c>
      <c r="G3803" s="5" t="s">
        <v>3177</v>
      </c>
      <c r="H3803" s="5"/>
      <c r="I3803" s="9" t="s">
        <v>3302</v>
      </c>
      <c r="J3803" s="5"/>
      <c r="K3803" s="5">
        <v>114</v>
      </c>
      <c r="L3803" s="9" t="s">
        <v>3970</v>
      </c>
      <c r="M3803" s="5"/>
      <c r="N3803" s="9" t="s">
        <v>7159</v>
      </c>
      <c r="O3803" s="9" t="str">
        <f t="shared" si="363"/>
        <v>PDFを開く</v>
      </c>
      <c r="P3803" s="9" t="s">
        <v>3048</v>
      </c>
    </row>
    <row r="3804" spans="1:16" ht="33.950000000000003" customHeight="1">
      <c r="A3804" s="2" t="s">
        <v>3041</v>
      </c>
      <c r="B3804" s="2" t="s">
        <v>2430</v>
      </c>
      <c r="C3804" s="8" t="s">
        <v>3042</v>
      </c>
      <c r="D3804" s="2">
        <v>2</v>
      </c>
      <c r="E3804" s="8" t="s">
        <v>3191</v>
      </c>
      <c r="F3804" s="2" t="s">
        <v>2513</v>
      </c>
      <c r="G3804" s="2" t="s">
        <v>3177</v>
      </c>
      <c r="H3804" s="2"/>
      <c r="I3804" s="8" t="s">
        <v>3305</v>
      </c>
      <c r="J3804" s="2"/>
      <c r="K3804" s="2">
        <v>128</v>
      </c>
      <c r="L3804" s="8" t="s">
        <v>3297</v>
      </c>
      <c r="M3804" s="2"/>
      <c r="N3804" s="8" t="s">
        <v>7159</v>
      </c>
      <c r="O3804" s="8" t="str">
        <f t="shared" si="363"/>
        <v>PDFを開く</v>
      </c>
      <c r="P3804" s="8" t="s">
        <v>3048</v>
      </c>
    </row>
    <row r="3805" spans="1:16" ht="33.950000000000003" customHeight="1">
      <c r="A3805" s="5" t="s">
        <v>3041</v>
      </c>
      <c r="B3805" s="5" t="s">
        <v>2430</v>
      </c>
      <c r="C3805" s="9" t="s">
        <v>3042</v>
      </c>
      <c r="D3805" s="5">
        <v>2</v>
      </c>
      <c r="E3805" s="9" t="s">
        <v>3188</v>
      </c>
      <c r="F3805" s="5" t="s">
        <v>447</v>
      </c>
      <c r="G3805" s="5" t="s">
        <v>3177</v>
      </c>
      <c r="H3805" s="5"/>
      <c r="I3805" s="9" t="s">
        <v>7160</v>
      </c>
      <c r="J3805" s="5"/>
      <c r="K3805" s="5"/>
      <c r="L3805" s="9" t="s">
        <v>3211</v>
      </c>
      <c r="M3805" s="5">
        <v>5</v>
      </c>
      <c r="N3805" s="9" t="s">
        <v>6384</v>
      </c>
      <c r="O3805" s="9" t="str">
        <f t="shared" si="363"/>
        <v>PDFを開く</v>
      </c>
      <c r="P3805" s="9" t="s">
        <v>3048</v>
      </c>
    </row>
    <row r="3806" spans="1:16" ht="33.950000000000003" customHeight="1">
      <c r="A3806" s="2" t="s">
        <v>3041</v>
      </c>
      <c r="B3806" s="2" t="s">
        <v>2430</v>
      </c>
      <c r="C3806" s="8" t="s">
        <v>3042</v>
      </c>
      <c r="D3806" s="2">
        <v>2</v>
      </c>
      <c r="E3806" s="8" t="s">
        <v>3188</v>
      </c>
      <c r="F3806" s="2" t="s">
        <v>447</v>
      </c>
      <c r="G3806" s="2" t="s">
        <v>3177</v>
      </c>
      <c r="H3806" s="2"/>
      <c r="I3806" s="8" t="s">
        <v>7161</v>
      </c>
      <c r="J3806" s="2"/>
      <c r="K3806" s="2"/>
      <c r="L3806" s="8" t="s">
        <v>3384</v>
      </c>
      <c r="M3806" s="2">
        <v>5</v>
      </c>
      <c r="N3806" s="8" t="s">
        <v>6384</v>
      </c>
      <c r="O3806" s="8" t="str">
        <f t="shared" si="363"/>
        <v>PDFを開く</v>
      </c>
      <c r="P3806" s="8" t="s">
        <v>3048</v>
      </c>
    </row>
    <row r="3807" spans="1:16" ht="33.950000000000003" customHeight="1">
      <c r="A3807" s="5" t="s">
        <v>3049</v>
      </c>
      <c r="B3807" s="5" t="s">
        <v>2430</v>
      </c>
      <c r="C3807" s="9" t="s">
        <v>3050</v>
      </c>
      <c r="D3807" s="5">
        <v>2</v>
      </c>
      <c r="E3807" s="9" t="s">
        <v>3176</v>
      </c>
      <c r="F3807" s="5" t="s">
        <v>86</v>
      </c>
      <c r="G3807" s="5" t="s">
        <v>3177</v>
      </c>
      <c r="H3807" s="5" t="s">
        <v>3178</v>
      </c>
      <c r="I3807" s="9" t="s">
        <v>6068</v>
      </c>
      <c r="J3807" s="5">
        <v>2028</v>
      </c>
      <c r="K3807" s="5">
        <v>3059</v>
      </c>
      <c r="L3807" s="9" t="s">
        <v>4042</v>
      </c>
      <c r="M3807" s="5">
        <v>6.9</v>
      </c>
      <c r="N3807" s="9" t="s">
        <v>7162</v>
      </c>
      <c r="O3807" s="9" t="str">
        <f t="shared" ref="O3807:O3815" si="364">HYPERLINK("https://seichotoushi-hojo.jp/assets/pdf/koufu_3_4ji/outline_211.pdf","PDFを開く")</f>
        <v>PDFを開く</v>
      </c>
      <c r="P3807" s="9" t="s">
        <v>3056</v>
      </c>
    </row>
    <row r="3808" spans="1:16" ht="33.950000000000003" customHeight="1">
      <c r="A3808" s="2" t="s">
        <v>3049</v>
      </c>
      <c r="B3808" s="2" t="s">
        <v>2430</v>
      </c>
      <c r="C3808" s="8" t="s">
        <v>3050</v>
      </c>
      <c r="D3808" s="2">
        <v>2</v>
      </c>
      <c r="E3808" s="8" t="s">
        <v>3176</v>
      </c>
      <c r="F3808" s="2" t="s">
        <v>86</v>
      </c>
      <c r="G3808" s="2" t="s">
        <v>3177</v>
      </c>
      <c r="H3808" s="2" t="s">
        <v>3178</v>
      </c>
      <c r="I3808" s="8" t="s">
        <v>7163</v>
      </c>
      <c r="J3808" s="2">
        <v>2031</v>
      </c>
      <c r="K3808" s="2">
        <v>3736</v>
      </c>
      <c r="L3808" s="8" t="s">
        <v>7164</v>
      </c>
      <c r="M3808" s="2">
        <v>6.9</v>
      </c>
      <c r="N3808" s="8" t="s">
        <v>7162</v>
      </c>
      <c r="O3808" s="8" t="str">
        <f t="shared" si="364"/>
        <v>PDFを開く</v>
      </c>
      <c r="P3808" s="8" t="s">
        <v>3056</v>
      </c>
    </row>
    <row r="3809" spans="1:16" ht="33.950000000000003" customHeight="1">
      <c r="A3809" s="5" t="s">
        <v>3049</v>
      </c>
      <c r="B3809" s="5" t="s">
        <v>2430</v>
      </c>
      <c r="C3809" s="9" t="s">
        <v>3050</v>
      </c>
      <c r="D3809" s="5">
        <v>2</v>
      </c>
      <c r="E3809" s="9" t="s">
        <v>3184</v>
      </c>
      <c r="F3809" s="5" t="s">
        <v>86</v>
      </c>
      <c r="G3809" s="5" t="s">
        <v>3177</v>
      </c>
      <c r="H3809" s="5" t="s">
        <v>3178</v>
      </c>
      <c r="I3809" s="9" t="s">
        <v>6068</v>
      </c>
      <c r="J3809" s="5">
        <v>2028</v>
      </c>
      <c r="K3809" s="5">
        <v>652</v>
      </c>
      <c r="L3809" s="9" t="s">
        <v>4695</v>
      </c>
      <c r="M3809" s="5">
        <v>6.5</v>
      </c>
      <c r="N3809" s="9" t="s">
        <v>7165</v>
      </c>
      <c r="O3809" s="9" t="str">
        <f t="shared" si="364"/>
        <v>PDFを開く</v>
      </c>
      <c r="P3809" s="9" t="s">
        <v>3056</v>
      </c>
    </row>
    <row r="3810" spans="1:16" ht="33.950000000000003" customHeight="1">
      <c r="A3810" s="2" t="s">
        <v>3049</v>
      </c>
      <c r="B3810" s="2" t="s">
        <v>2430</v>
      </c>
      <c r="C3810" s="8" t="s">
        <v>3050</v>
      </c>
      <c r="D3810" s="2">
        <v>2</v>
      </c>
      <c r="E3810" s="8" t="s">
        <v>3184</v>
      </c>
      <c r="F3810" s="2" t="s">
        <v>86</v>
      </c>
      <c r="G3810" s="2" t="s">
        <v>3177</v>
      </c>
      <c r="H3810" s="2" t="s">
        <v>3178</v>
      </c>
      <c r="I3810" s="8" t="s">
        <v>7163</v>
      </c>
      <c r="J3810" s="2">
        <v>2031</v>
      </c>
      <c r="K3810" s="2">
        <v>787</v>
      </c>
      <c r="L3810" s="8" t="s">
        <v>6222</v>
      </c>
      <c r="M3810" s="2">
        <v>6.5</v>
      </c>
      <c r="N3810" s="8" t="s">
        <v>7165</v>
      </c>
      <c r="O3810" s="8" t="str">
        <f t="shared" si="364"/>
        <v>PDFを開く</v>
      </c>
      <c r="P3810" s="8" t="s">
        <v>3056</v>
      </c>
    </row>
    <row r="3811" spans="1:16" ht="33.950000000000003" customHeight="1">
      <c r="A3811" s="5" t="s">
        <v>3049</v>
      </c>
      <c r="B3811" s="5" t="s">
        <v>2430</v>
      </c>
      <c r="C3811" s="9" t="s">
        <v>3050</v>
      </c>
      <c r="D3811" s="5">
        <v>2</v>
      </c>
      <c r="E3811" s="9" t="s">
        <v>3188</v>
      </c>
      <c r="F3811" s="5" t="s">
        <v>86</v>
      </c>
      <c r="G3811" s="19" t="s">
        <v>3189</v>
      </c>
      <c r="H3811" s="5" t="s">
        <v>3178</v>
      </c>
      <c r="I3811" s="9"/>
      <c r="J3811" s="5"/>
      <c r="K3811" s="5"/>
      <c r="L3811" s="9"/>
      <c r="M3811" s="5">
        <v>6.5</v>
      </c>
      <c r="N3811" s="9" t="s">
        <v>5442</v>
      </c>
      <c r="O3811" s="9" t="str">
        <f t="shared" si="364"/>
        <v>PDFを開く</v>
      </c>
      <c r="P3811" s="9" t="s">
        <v>3056</v>
      </c>
    </row>
    <row r="3812" spans="1:16" ht="33.950000000000003" customHeight="1">
      <c r="A3812" s="2" t="s">
        <v>3049</v>
      </c>
      <c r="B3812" s="2" t="s">
        <v>2430</v>
      </c>
      <c r="C3812" s="8" t="s">
        <v>3050</v>
      </c>
      <c r="D3812" s="2">
        <v>2</v>
      </c>
      <c r="E3812" s="8" t="s">
        <v>3191</v>
      </c>
      <c r="F3812" s="2" t="s">
        <v>2513</v>
      </c>
      <c r="G3812" s="2" t="s">
        <v>3177</v>
      </c>
      <c r="H3812" s="2" t="s">
        <v>3178</v>
      </c>
      <c r="I3812" s="8" t="s">
        <v>6068</v>
      </c>
      <c r="J3812" s="2">
        <v>2028</v>
      </c>
      <c r="K3812" s="2">
        <v>548</v>
      </c>
      <c r="L3812" s="8" t="s">
        <v>5110</v>
      </c>
      <c r="M3812" s="2"/>
      <c r="N3812" s="8" t="s">
        <v>7166</v>
      </c>
      <c r="O3812" s="8" t="str">
        <f t="shared" si="364"/>
        <v>PDFを開く</v>
      </c>
      <c r="P3812" s="8" t="s">
        <v>3056</v>
      </c>
    </row>
    <row r="3813" spans="1:16" ht="33.950000000000003" customHeight="1">
      <c r="A3813" s="5" t="s">
        <v>3049</v>
      </c>
      <c r="B3813" s="5" t="s">
        <v>2430</v>
      </c>
      <c r="C3813" s="9" t="s">
        <v>3050</v>
      </c>
      <c r="D3813" s="5">
        <v>2</v>
      </c>
      <c r="E3813" s="9" t="s">
        <v>3191</v>
      </c>
      <c r="F3813" s="5" t="s">
        <v>2513</v>
      </c>
      <c r="G3813" s="5" t="s">
        <v>3177</v>
      </c>
      <c r="H3813" s="5" t="s">
        <v>3178</v>
      </c>
      <c r="I3813" s="9" t="s">
        <v>7163</v>
      </c>
      <c r="J3813" s="5">
        <v>2031</v>
      </c>
      <c r="K3813" s="5">
        <v>542</v>
      </c>
      <c r="L3813" s="9" t="s">
        <v>5523</v>
      </c>
      <c r="M3813" s="5"/>
      <c r="N3813" s="9" t="s">
        <v>7166</v>
      </c>
      <c r="O3813" s="9" t="str">
        <f t="shared" si="364"/>
        <v>PDFを開く</v>
      </c>
      <c r="P3813" s="9" t="s">
        <v>3056</v>
      </c>
    </row>
    <row r="3814" spans="1:16" ht="33.950000000000003" customHeight="1">
      <c r="A3814" s="2" t="s">
        <v>3049</v>
      </c>
      <c r="B3814" s="2" t="s">
        <v>2430</v>
      </c>
      <c r="C3814" s="8" t="s">
        <v>3050</v>
      </c>
      <c r="D3814" s="2">
        <v>2</v>
      </c>
      <c r="E3814" s="8" t="s">
        <v>3188</v>
      </c>
      <c r="F3814" s="2" t="s">
        <v>86</v>
      </c>
      <c r="G3814" s="2" t="s">
        <v>3177</v>
      </c>
      <c r="H3814" s="2"/>
      <c r="I3814" s="8" t="s">
        <v>7167</v>
      </c>
      <c r="J3814" s="2">
        <v>2028</v>
      </c>
      <c r="K3814" s="2"/>
      <c r="L3814" s="8" t="s">
        <v>3211</v>
      </c>
      <c r="M3814" s="2">
        <v>6.5</v>
      </c>
      <c r="N3814" s="8" t="s">
        <v>5445</v>
      </c>
      <c r="O3814" s="8" t="str">
        <f t="shared" si="364"/>
        <v>PDFを開く</v>
      </c>
      <c r="P3814" s="8" t="s">
        <v>3056</v>
      </c>
    </row>
    <row r="3815" spans="1:16" ht="33.950000000000003" customHeight="1">
      <c r="A3815" s="5" t="s">
        <v>3049</v>
      </c>
      <c r="B3815" s="5" t="s">
        <v>2430</v>
      </c>
      <c r="C3815" s="9" t="s">
        <v>3050</v>
      </c>
      <c r="D3815" s="5">
        <v>2</v>
      </c>
      <c r="E3815" s="9" t="s">
        <v>3188</v>
      </c>
      <c r="F3815" s="5" t="s">
        <v>86</v>
      </c>
      <c r="G3815" s="5" t="s">
        <v>3177</v>
      </c>
      <c r="H3815" s="5"/>
      <c r="I3815" s="9" t="s">
        <v>7168</v>
      </c>
      <c r="J3815" s="5">
        <v>2031</v>
      </c>
      <c r="K3815" s="5"/>
      <c r="L3815" s="9" t="s">
        <v>7169</v>
      </c>
      <c r="M3815" s="5">
        <v>6.5</v>
      </c>
      <c r="N3815" s="9" t="s">
        <v>5445</v>
      </c>
      <c r="O3815" s="9" t="str">
        <f t="shared" si="364"/>
        <v>PDFを開く</v>
      </c>
      <c r="P3815" s="9" t="s">
        <v>3056</v>
      </c>
    </row>
    <row r="3816" spans="1:16" ht="33.950000000000003" customHeight="1">
      <c r="A3816" s="2" t="s">
        <v>3057</v>
      </c>
      <c r="B3816" s="2" t="s">
        <v>2430</v>
      </c>
      <c r="C3816" s="8" t="s">
        <v>3058</v>
      </c>
      <c r="D3816" s="2">
        <v>2</v>
      </c>
      <c r="E3816" s="8" t="s">
        <v>3176</v>
      </c>
      <c r="F3816" s="2" t="s">
        <v>447</v>
      </c>
      <c r="G3816" s="2" t="s">
        <v>3177</v>
      </c>
      <c r="H3816" s="2" t="s">
        <v>3178</v>
      </c>
      <c r="I3816" s="8" t="s">
        <v>7170</v>
      </c>
      <c r="J3816" s="2">
        <v>2028</v>
      </c>
      <c r="K3816" s="2">
        <v>6499</v>
      </c>
      <c r="L3816" s="8" t="s">
        <v>7171</v>
      </c>
      <c r="M3816" s="2">
        <v>33.4</v>
      </c>
      <c r="N3816" s="8" t="s">
        <v>7172</v>
      </c>
      <c r="O3816" s="8" t="str">
        <f t="shared" ref="O3816:O3824" si="365">HYPERLINK("https://seichotoushi-hojo.jp/assets/pdf/koufu_3_4ji/outline_213.pdf","PDFを開く")</f>
        <v>PDFを開く</v>
      </c>
      <c r="P3816" s="8" t="s">
        <v>3064</v>
      </c>
    </row>
    <row r="3817" spans="1:16" ht="33.950000000000003" customHeight="1">
      <c r="A3817" s="5" t="s">
        <v>3057</v>
      </c>
      <c r="B3817" s="5" t="s">
        <v>2430</v>
      </c>
      <c r="C3817" s="9" t="s">
        <v>3058</v>
      </c>
      <c r="D3817" s="5">
        <v>2</v>
      </c>
      <c r="E3817" s="9" t="s">
        <v>3176</v>
      </c>
      <c r="F3817" s="5" t="s">
        <v>447</v>
      </c>
      <c r="G3817" s="5" t="s">
        <v>3177</v>
      </c>
      <c r="H3817" s="5" t="s">
        <v>3178</v>
      </c>
      <c r="I3817" s="9" t="s">
        <v>7173</v>
      </c>
      <c r="J3817" s="5">
        <v>2031</v>
      </c>
      <c r="K3817" s="5">
        <v>15439</v>
      </c>
      <c r="L3817" s="9" t="s">
        <v>7174</v>
      </c>
      <c r="M3817" s="5">
        <v>33.4</v>
      </c>
      <c r="N3817" s="9" t="s">
        <v>7172</v>
      </c>
      <c r="O3817" s="9" t="str">
        <f t="shared" si="365"/>
        <v>PDFを開く</v>
      </c>
      <c r="P3817" s="9" t="s">
        <v>3064</v>
      </c>
    </row>
    <row r="3818" spans="1:16" ht="33.950000000000003" customHeight="1">
      <c r="A3818" s="2" t="s">
        <v>3057</v>
      </c>
      <c r="B3818" s="2" t="s">
        <v>2430</v>
      </c>
      <c r="C3818" s="8" t="s">
        <v>3058</v>
      </c>
      <c r="D3818" s="2">
        <v>2</v>
      </c>
      <c r="E3818" s="8" t="s">
        <v>3184</v>
      </c>
      <c r="F3818" s="2" t="s">
        <v>447</v>
      </c>
      <c r="G3818" s="2" t="s">
        <v>3177</v>
      </c>
      <c r="H3818" s="2" t="s">
        <v>3178</v>
      </c>
      <c r="I3818" s="8" t="s">
        <v>7170</v>
      </c>
      <c r="J3818" s="2">
        <v>2028</v>
      </c>
      <c r="K3818" s="2">
        <v>3743</v>
      </c>
      <c r="L3818" s="8" t="s">
        <v>7175</v>
      </c>
      <c r="M3818" s="2">
        <v>6.2</v>
      </c>
      <c r="N3818" s="8" t="s">
        <v>7176</v>
      </c>
      <c r="O3818" s="8" t="str">
        <f t="shared" si="365"/>
        <v>PDFを開く</v>
      </c>
      <c r="P3818" s="8" t="s">
        <v>3064</v>
      </c>
    </row>
    <row r="3819" spans="1:16" ht="33.950000000000003" customHeight="1">
      <c r="A3819" s="5" t="s">
        <v>3057</v>
      </c>
      <c r="B3819" s="5" t="s">
        <v>2430</v>
      </c>
      <c r="C3819" s="9" t="s">
        <v>3058</v>
      </c>
      <c r="D3819" s="5">
        <v>2</v>
      </c>
      <c r="E3819" s="9" t="s">
        <v>3184</v>
      </c>
      <c r="F3819" s="5" t="s">
        <v>447</v>
      </c>
      <c r="G3819" s="5" t="s">
        <v>3177</v>
      </c>
      <c r="H3819" s="5" t="s">
        <v>3178</v>
      </c>
      <c r="I3819" s="9" t="s">
        <v>7173</v>
      </c>
      <c r="J3819" s="5">
        <v>2031</v>
      </c>
      <c r="K3819" s="5">
        <v>4483</v>
      </c>
      <c r="L3819" s="9" t="s">
        <v>7177</v>
      </c>
      <c r="M3819" s="5">
        <v>6.2</v>
      </c>
      <c r="N3819" s="9" t="s">
        <v>7176</v>
      </c>
      <c r="O3819" s="9" t="str">
        <f t="shared" si="365"/>
        <v>PDFを開く</v>
      </c>
      <c r="P3819" s="9" t="s">
        <v>3064</v>
      </c>
    </row>
    <row r="3820" spans="1:16" ht="33.950000000000003" customHeight="1">
      <c r="A3820" s="2" t="s">
        <v>3057</v>
      </c>
      <c r="B3820" s="2" t="s">
        <v>2430</v>
      </c>
      <c r="C3820" s="8" t="s">
        <v>3058</v>
      </c>
      <c r="D3820" s="2">
        <v>2</v>
      </c>
      <c r="E3820" s="8" t="s">
        <v>3188</v>
      </c>
      <c r="F3820" s="2" t="s">
        <v>447</v>
      </c>
      <c r="G3820" s="19" t="s">
        <v>3189</v>
      </c>
      <c r="H3820" s="2" t="s">
        <v>3178</v>
      </c>
      <c r="I3820" s="8"/>
      <c r="J3820" s="2"/>
      <c r="K3820" s="2"/>
      <c r="L3820" s="8"/>
      <c r="M3820" s="2">
        <v>5.3</v>
      </c>
      <c r="N3820" s="8" t="s">
        <v>7178</v>
      </c>
      <c r="O3820" s="8" t="str">
        <f t="shared" si="365"/>
        <v>PDFを開く</v>
      </c>
      <c r="P3820" s="8" t="s">
        <v>3064</v>
      </c>
    </row>
    <row r="3821" spans="1:16" ht="33.950000000000003" customHeight="1">
      <c r="A3821" s="5" t="s">
        <v>3057</v>
      </c>
      <c r="B3821" s="5" t="s">
        <v>2430</v>
      </c>
      <c r="C3821" s="9" t="s">
        <v>3058</v>
      </c>
      <c r="D3821" s="5">
        <v>2</v>
      </c>
      <c r="E3821" s="9" t="s">
        <v>3191</v>
      </c>
      <c r="F3821" s="5" t="s">
        <v>2513</v>
      </c>
      <c r="G3821" s="5" t="s">
        <v>3177</v>
      </c>
      <c r="H3821" s="5" t="s">
        <v>3178</v>
      </c>
      <c r="I3821" s="9" t="s">
        <v>7170</v>
      </c>
      <c r="J3821" s="5">
        <v>2028</v>
      </c>
      <c r="K3821" s="5">
        <v>180</v>
      </c>
      <c r="L3821" s="9" t="s">
        <v>5088</v>
      </c>
      <c r="M3821" s="5"/>
      <c r="N3821" s="9" t="s">
        <v>7179</v>
      </c>
      <c r="O3821" s="9" t="str">
        <f t="shared" si="365"/>
        <v>PDFを開く</v>
      </c>
      <c r="P3821" s="9" t="s">
        <v>3064</v>
      </c>
    </row>
    <row r="3822" spans="1:16" ht="33.950000000000003" customHeight="1">
      <c r="A3822" s="2" t="s">
        <v>3057</v>
      </c>
      <c r="B3822" s="2" t="s">
        <v>2430</v>
      </c>
      <c r="C3822" s="8" t="s">
        <v>3058</v>
      </c>
      <c r="D3822" s="2">
        <v>2</v>
      </c>
      <c r="E3822" s="8" t="s">
        <v>3191</v>
      </c>
      <c r="F3822" s="2" t="s">
        <v>2513</v>
      </c>
      <c r="G3822" s="2" t="s">
        <v>3177</v>
      </c>
      <c r="H3822" s="2" t="s">
        <v>3178</v>
      </c>
      <c r="I3822" s="8" t="s">
        <v>7173</v>
      </c>
      <c r="J3822" s="2">
        <v>2031</v>
      </c>
      <c r="K3822" s="2">
        <v>232</v>
      </c>
      <c r="L3822" s="8" t="s">
        <v>3778</v>
      </c>
      <c r="M3822" s="2"/>
      <c r="N3822" s="8" t="s">
        <v>7179</v>
      </c>
      <c r="O3822" s="8" t="str">
        <f t="shared" si="365"/>
        <v>PDFを開く</v>
      </c>
      <c r="P3822" s="8" t="s">
        <v>3064</v>
      </c>
    </row>
    <row r="3823" spans="1:16" ht="33.950000000000003" customHeight="1">
      <c r="A3823" s="5" t="s">
        <v>3057</v>
      </c>
      <c r="B3823" s="5" t="s">
        <v>2430</v>
      </c>
      <c r="C3823" s="9" t="s">
        <v>3058</v>
      </c>
      <c r="D3823" s="5">
        <v>2</v>
      </c>
      <c r="E3823" s="9" t="s">
        <v>3188</v>
      </c>
      <c r="F3823" s="5" t="s">
        <v>447</v>
      </c>
      <c r="G3823" s="5" t="s">
        <v>3177</v>
      </c>
      <c r="H3823" s="5"/>
      <c r="I3823" s="9" t="s">
        <v>7180</v>
      </c>
      <c r="J3823" s="5">
        <v>2028</v>
      </c>
      <c r="K3823" s="5"/>
      <c r="L3823" s="9" t="s">
        <v>3211</v>
      </c>
      <c r="M3823" s="5">
        <v>5.3</v>
      </c>
      <c r="N3823" s="9" t="s">
        <v>7181</v>
      </c>
      <c r="O3823" s="9" t="str">
        <f t="shared" si="365"/>
        <v>PDFを開く</v>
      </c>
      <c r="P3823" s="9" t="s">
        <v>3064</v>
      </c>
    </row>
    <row r="3824" spans="1:16" ht="33.950000000000003" customHeight="1">
      <c r="A3824" s="2" t="s">
        <v>3057</v>
      </c>
      <c r="B3824" s="2" t="s">
        <v>2430</v>
      </c>
      <c r="C3824" s="8" t="s">
        <v>3058</v>
      </c>
      <c r="D3824" s="2">
        <v>2</v>
      </c>
      <c r="E3824" s="8" t="s">
        <v>3188</v>
      </c>
      <c r="F3824" s="2" t="s">
        <v>447</v>
      </c>
      <c r="G3824" s="2" t="s">
        <v>3177</v>
      </c>
      <c r="H3824" s="2"/>
      <c r="I3824" s="8" t="s">
        <v>7182</v>
      </c>
      <c r="J3824" s="2">
        <v>2031</v>
      </c>
      <c r="K3824" s="2"/>
      <c r="L3824" s="8" t="s">
        <v>7183</v>
      </c>
      <c r="M3824" s="2">
        <v>5.3</v>
      </c>
      <c r="N3824" s="8" t="s">
        <v>7181</v>
      </c>
      <c r="O3824" s="8" t="str">
        <f t="shared" si="365"/>
        <v>PDFを開く</v>
      </c>
      <c r="P3824" s="8" t="s">
        <v>3064</v>
      </c>
    </row>
    <row r="3825" spans="1:16" ht="33.950000000000003" customHeight="1">
      <c r="A3825" s="5" t="s">
        <v>3065</v>
      </c>
      <c r="B3825" s="5" t="s">
        <v>2430</v>
      </c>
      <c r="C3825" s="9" t="s">
        <v>3066</v>
      </c>
      <c r="D3825" s="5">
        <v>2</v>
      </c>
      <c r="E3825" s="9" t="s">
        <v>3176</v>
      </c>
      <c r="F3825" s="5" t="s">
        <v>447</v>
      </c>
      <c r="G3825" s="5" t="s">
        <v>3177</v>
      </c>
      <c r="H3825" s="5"/>
      <c r="I3825" s="9" t="s">
        <v>3302</v>
      </c>
      <c r="J3825" s="5"/>
      <c r="K3825" s="5">
        <v>9759</v>
      </c>
      <c r="L3825" s="9" t="s">
        <v>7184</v>
      </c>
      <c r="M3825" s="5">
        <v>23.5</v>
      </c>
      <c r="N3825" s="9" t="s">
        <v>7185</v>
      </c>
      <c r="O3825" s="9" t="str">
        <f t="shared" ref="O3825:O3832" si="366">HYPERLINK("https://seichotoushi-hojo.jp/assets/pdf/koufu_3_4ji/outline_217.pdf","PDFを開く")</f>
        <v>PDFを開く</v>
      </c>
      <c r="P3825" s="9" t="s">
        <v>3071</v>
      </c>
    </row>
    <row r="3826" spans="1:16" ht="33.950000000000003" customHeight="1">
      <c r="A3826" s="2" t="s">
        <v>3065</v>
      </c>
      <c r="B3826" s="2" t="s">
        <v>2430</v>
      </c>
      <c r="C3826" s="8" t="s">
        <v>3066</v>
      </c>
      <c r="D3826" s="2">
        <v>2</v>
      </c>
      <c r="E3826" s="8" t="s">
        <v>3176</v>
      </c>
      <c r="F3826" s="2" t="s">
        <v>447</v>
      </c>
      <c r="G3826" s="2" t="s">
        <v>3177</v>
      </c>
      <c r="H3826" s="2"/>
      <c r="I3826" s="8" t="s">
        <v>3305</v>
      </c>
      <c r="J3826" s="2"/>
      <c r="K3826" s="2">
        <v>18400</v>
      </c>
      <c r="L3826" s="8" t="s">
        <v>7186</v>
      </c>
      <c r="M3826" s="2">
        <v>23.5</v>
      </c>
      <c r="N3826" s="8" t="s">
        <v>7185</v>
      </c>
      <c r="O3826" s="8" t="str">
        <f t="shared" si="366"/>
        <v>PDFを開く</v>
      </c>
      <c r="P3826" s="8" t="s">
        <v>3071</v>
      </c>
    </row>
    <row r="3827" spans="1:16" ht="33.950000000000003" customHeight="1">
      <c r="A3827" s="5" t="s">
        <v>3065</v>
      </c>
      <c r="B3827" s="5" t="s">
        <v>2430</v>
      </c>
      <c r="C3827" s="9" t="s">
        <v>3066</v>
      </c>
      <c r="D3827" s="5">
        <v>2</v>
      </c>
      <c r="E3827" s="9" t="s">
        <v>3184</v>
      </c>
      <c r="F3827" s="5" t="s">
        <v>447</v>
      </c>
      <c r="G3827" s="5" t="s">
        <v>3177</v>
      </c>
      <c r="H3827" s="5"/>
      <c r="I3827" s="9" t="s">
        <v>3302</v>
      </c>
      <c r="J3827" s="5"/>
      <c r="K3827" s="5">
        <v>5054</v>
      </c>
      <c r="L3827" s="9" t="s">
        <v>7187</v>
      </c>
      <c r="M3827" s="5">
        <v>6.2</v>
      </c>
      <c r="N3827" s="9" t="s">
        <v>7188</v>
      </c>
      <c r="O3827" s="9" t="str">
        <f t="shared" si="366"/>
        <v>PDFを開く</v>
      </c>
      <c r="P3827" s="9" t="s">
        <v>3071</v>
      </c>
    </row>
    <row r="3828" spans="1:16" ht="33.950000000000003" customHeight="1">
      <c r="A3828" s="2" t="s">
        <v>3065</v>
      </c>
      <c r="B3828" s="2" t="s">
        <v>2430</v>
      </c>
      <c r="C3828" s="8" t="s">
        <v>3066</v>
      </c>
      <c r="D3828" s="2">
        <v>2</v>
      </c>
      <c r="E3828" s="8" t="s">
        <v>3184</v>
      </c>
      <c r="F3828" s="2" t="s">
        <v>447</v>
      </c>
      <c r="G3828" s="2" t="s">
        <v>3177</v>
      </c>
      <c r="H3828" s="2"/>
      <c r="I3828" s="8" t="s">
        <v>3305</v>
      </c>
      <c r="J3828" s="2"/>
      <c r="K3828" s="2">
        <v>6054</v>
      </c>
      <c r="L3828" s="8" t="s">
        <v>7189</v>
      </c>
      <c r="M3828" s="2">
        <v>6.2</v>
      </c>
      <c r="N3828" s="8" t="s">
        <v>7188</v>
      </c>
      <c r="O3828" s="8" t="str">
        <f t="shared" si="366"/>
        <v>PDFを開く</v>
      </c>
      <c r="P3828" s="8" t="s">
        <v>3071</v>
      </c>
    </row>
    <row r="3829" spans="1:16" ht="33.950000000000003" customHeight="1">
      <c r="A3829" s="5" t="s">
        <v>3065</v>
      </c>
      <c r="B3829" s="5" t="s">
        <v>2430</v>
      </c>
      <c r="C3829" s="9" t="s">
        <v>3066</v>
      </c>
      <c r="D3829" s="5">
        <v>2</v>
      </c>
      <c r="E3829" s="9" t="s">
        <v>3188</v>
      </c>
      <c r="F3829" s="5" t="s">
        <v>447</v>
      </c>
      <c r="G3829" s="5" t="s">
        <v>3177</v>
      </c>
      <c r="H3829" s="5"/>
      <c r="I3829" s="9" t="s">
        <v>3302</v>
      </c>
      <c r="J3829" s="5"/>
      <c r="K3829" s="5">
        <v>31024</v>
      </c>
      <c r="L3829" s="9" t="s">
        <v>7190</v>
      </c>
      <c r="M3829" s="5">
        <v>6.2</v>
      </c>
      <c r="N3829" s="9" t="s">
        <v>7191</v>
      </c>
      <c r="O3829" s="9" t="str">
        <f t="shared" si="366"/>
        <v>PDFを開く</v>
      </c>
      <c r="P3829" s="9" t="s">
        <v>3071</v>
      </c>
    </row>
    <row r="3830" spans="1:16" ht="33.950000000000003" customHeight="1">
      <c r="A3830" s="2" t="s">
        <v>3065</v>
      </c>
      <c r="B3830" s="2" t="s">
        <v>2430</v>
      </c>
      <c r="C3830" s="8" t="s">
        <v>3066</v>
      </c>
      <c r="D3830" s="2">
        <v>2</v>
      </c>
      <c r="E3830" s="8" t="s">
        <v>3188</v>
      </c>
      <c r="F3830" s="2" t="s">
        <v>447</v>
      </c>
      <c r="G3830" s="2" t="s">
        <v>3177</v>
      </c>
      <c r="H3830" s="2"/>
      <c r="I3830" s="8" t="s">
        <v>3305</v>
      </c>
      <c r="J3830" s="2"/>
      <c r="K3830" s="2">
        <v>37160</v>
      </c>
      <c r="L3830" s="8" t="s">
        <v>7192</v>
      </c>
      <c r="M3830" s="2">
        <v>6.2</v>
      </c>
      <c r="N3830" s="8" t="s">
        <v>7191</v>
      </c>
      <c r="O3830" s="8" t="str">
        <f t="shared" si="366"/>
        <v>PDFを開く</v>
      </c>
      <c r="P3830" s="8" t="s">
        <v>3071</v>
      </c>
    </row>
    <row r="3831" spans="1:16" ht="33.950000000000003" customHeight="1">
      <c r="A3831" s="5" t="s">
        <v>3065</v>
      </c>
      <c r="B3831" s="5" t="s">
        <v>2430</v>
      </c>
      <c r="C3831" s="9" t="s">
        <v>3066</v>
      </c>
      <c r="D3831" s="5">
        <v>2</v>
      </c>
      <c r="E3831" s="9" t="s">
        <v>3191</v>
      </c>
      <c r="F3831" s="5" t="s">
        <v>2513</v>
      </c>
      <c r="G3831" s="5" t="s">
        <v>3177</v>
      </c>
      <c r="H3831" s="5"/>
      <c r="I3831" s="9" t="s">
        <v>3302</v>
      </c>
      <c r="J3831" s="5"/>
      <c r="K3831" s="5">
        <v>287</v>
      </c>
      <c r="L3831" s="9" t="s">
        <v>5002</v>
      </c>
      <c r="M3831" s="5"/>
      <c r="N3831" s="9" t="s">
        <v>7193</v>
      </c>
      <c r="O3831" s="9" t="str">
        <f t="shared" si="366"/>
        <v>PDFを開く</v>
      </c>
      <c r="P3831" s="9" t="s">
        <v>3071</v>
      </c>
    </row>
    <row r="3832" spans="1:16" ht="33.950000000000003" customHeight="1">
      <c r="A3832" s="2" t="s">
        <v>3065</v>
      </c>
      <c r="B3832" s="2" t="s">
        <v>2430</v>
      </c>
      <c r="C3832" s="8" t="s">
        <v>3066</v>
      </c>
      <c r="D3832" s="2">
        <v>2</v>
      </c>
      <c r="E3832" s="8" t="s">
        <v>3191</v>
      </c>
      <c r="F3832" s="2" t="s">
        <v>2513</v>
      </c>
      <c r="G3832" s="2" t="s">
        <v>3177</v>
      </c>
      <c r="H3832" s="2"/>
      <c r="I3832" s="8" t="s">
        <v>3305</v>
      </c>
      <c r="J3832" s="2"/>
      <c r="K3832" s="2">
        <v>297</v>
      </c>
      <c r="L3832" s="8" t="s">
        <v>7194</v>
      </c>
      <c r="M3832" s="2"/>
      <c r="N3832" s="8" t="s">
        <v>7193</v>
      </c>
      <c r="O3832" s="8" t="str">
        <f t="shared" si="366"/>
        <v>PDFを開く</v>
      </c>
      <c r="P3832" s="8" t="s">
        <v>3071</v>
      </c>
    </row>
    <row r="3833" spans="1:16" ht="33.950000000000003" customHeight="1">
      <c r="A3833" s="5" t="s">
        <v>3072</v>
      </c>
      <c r="B3833" s="5" t="s">
        <v>2430</v>
      </c>
      <c r="C3833" s="9" t="s">
        <v>3073</v>
      </c>
      <c r="D3833" s="5">
        <v>3</v>
      </c>
      <c r="E3833" s="9" t="s">
        <v>3176</v>
      </c>
      <c r="F3833" s="5" t="s">
        <v>447</v>
      </c>
      <c r="G3833" s="5" t="s">
        <v>3177</v>
      </c>
      <c r="H3833" s="5"/>
      <c r="I3833" s="9" t="s">
        <v>3302</v>
      </c>
      <c r="J3833" s="5"/>
      <c r="K3833" s="5">
        <v>12537</v>
      </c>
      <c r="L3833" s="9" t="s">
        <v>7195</v>
      </c>
      <c r="M3833" s="5">
        <v>12.3</v>
      </c>
      <c r="N3833" s="9" t="s">
        <v>7196</v>
      </c>
      <c r="O3833" s="9" t="str">
        <f t="shared" ref="O3833:O3840" si="367">HYPERLINK("https://seichotoushi-hojo.jp/assets/pdf/koufu_3_4ji/outline_218.pdf","PDFを開く")</f>
        <v>PDFを開く</v>
      </c>
      <c r="P3833" s="9" t="s">
        <v>3078</v>
      </c>
    </row>
    <row r="3834" spans="1:16" ht="33.950000000000003" customHeight="1">
      <c r="A3834" s="2" t="s">
        <v>3072</v>
      </c>
      <c r="B3834" s="2" t="s">
        <v>2430</v>
      </c>
      <c r="C3834" s="8" t="s">
        <v>3073</v>
      </c>
      <c r="D3834" s="2">
        <v>3</v>
      </c>
      <c r="E3834" s="8" t="s">
        <v>3176</v>
      </c>
      <c r="F3834" s="2" t="s">
        <v>447</v>
      </c>
      <c r="G3834" s="2" t="s">
        <v>3177</v>
      </c>
      <c r="H3834" s="2"/>
      <c r="I3834" s="8" t="s">
        <v>3305</v>
      </c>
      <c r="J3834" s="2"/>
      <c r="K3834" s="2">
        <v>17774</v>
      </c>
      <c r="L3834" s="8" t="s">
        <v>7197</v>
      </c>
      <c r="M3834" s="2">
        <v>12.3</v>
      </c>
      <c r="N3834" s="8" t="s">
        <v>7196</v>
      </c>
      <c r="O3834" s="8" t="str">
        <f t="shared" si="367"/>
        <v>PDFを開く</v>
      </c>
      <c r="P3834" s="8" t="s">
        <v>3078</v>
      </c>
    </row>
    <row r="3835" spans="1:16" ht="33.950000000000003" customHeight="1">
      <c r="A3835" s="5" t="s">
        <v>3072</v>
      </c>
      <c r="B3835" s="5" t="s">
        <v>2430</v>
      </c>
      <c r="C3835" s="9" t="s">
        <v>3073</v>
      </c>
      <c r="D3835" s="5">
        <v>3</v>
      </c>
      <c r="E3835" s="9" t="s">
        <v>3184</v>
      </c>
      <c r="F3835" s="5" t="s">
        <v>447</v>
      </c>
      <c r="G3835" s="5" t="s">
        <v>3177</v>
      </c>
      <c r="H3835" s="5" t="s">
        <v>3178</v>
      </c>
      <c r="I3835" s="9" t="s">
        <v>3302</v>
      </c>
      <c r="J3835" s="5"/>
      <c r="K3835" s="5">
        <v>4000</v>
      </c>
      <c r="L3835" s="9" t="s">
        <v>7198</v>
      </c>
      <c r="M3835" s="5">
        <v>7.1</v>
      </c>
      <c r="N3835" s="9" t="s">
        <v>7199</v>
      </c>
      <c r="O3835" s="9" t="str">
        <f t="shared" si="367"/>
        <v>PDFを開く</v>
      </c>
      <c r="P3835" s="9" t="s">
        <v>3078</v>
      </c>
    </row>
    <row r="3836" spans="1:16" ht="33.950000000000003" customHeight="1">
      <c r="A3836" s="2" t="s">
        <v>3072</v>
      </c>
      <c r="B3836" s="2" t="s">
        <v>2430</v>
      </c>
      <c r="C3836" s="8" t="s">
        <v>3073</v>
      </c>
      <c r="D3836" s="2">
        <v>3</v>
      </c>
      <c r="E3836" s="8" t="s">
        <v>3184</v>
      </c>
      <c r="F3836" s="2" t="s">
        <v>447</v>
      </c>
      <c r="G3836" s="2" t="s">
        <v>3177</v>
      </c>
      <c r="H3836" s="2" t="s">
        <v>3178</v>
      </c>
      <c r="I3836" s="8" t="s">
        <v>3305</v>
      </c>
      <c r="J3836" s="2"/>
      <c r="K3836" s="2">
        <v>4914</v>
      </c>
      <c r="L3836" s="8" t="s">
        <v>7200</v>
      </c>
      <c r="M3836" s="2">
        <v>7.1</v>
      </c>
      <c r="N3836" s="8" t="s">
        <v>7199</v>
      </c>
      <c r="O3836" s="8" t="str">
        <f t="shared" si="367"/>
        <v>PDFを開く</v>
      </c>
      <c r="P3836" s="8" t="s">
        <v>3078</v>
      </c>
    </row>
    <row r="3837" spans="1:16" ht="33.950000000000003" customHeight="1">
      <c r="A3837" s="5" t="s">
        <v>3072</v>
      </c>
      <c r="B3837" s="5" t="s">
        <v>2430</v>
      </c>
      <c r="C3837" s="9" t="s">
        <v>3073</v>
      </c>
      <c r="D3837" s="5">
        <v>3</v>
      </c>
      <c r="E3837" s="9" t="s">
        <v>3188</v>
      </c>
      <c r="F3837" s="5" t="s">
        <v>447</v>
      </c>
      <c r="G3837" s="5" t="s">
        <v>3177</v>
      </c>
      <c r="H3837" s="5"/>
      <c r="I3837" s="9" t="s">
        <v>3302</v>
      </c>
      <c r="J3837" s="5"/>
      <c r="K3837" s="5">
        <v>6000</v>
      </c>
      <c r="L3837" s="9" t="s">
        <v>7201</v>
      </c>
      <c r="M3837" s="5">
        <v>6.2</v>
      </c>
      <c r="N3837" s="9" t="s">
        <v>7202</v>
      </c>
      <c r="O3837" s="9" t="str">
        <f t="shared" si="367"/>
        <v>PDFを開く</v>
      </c>
      <c r="P3837" s="9" t="s">
        <v>3078</v>
      </c>
    </row>
    <row r="3838" spans="1:16" ht="33.950000000000003" customHeight="1">
      <c r="A3838" s="2" t="s">
        <v>3072</v>
      </c>
      <c r="B3838" s="2" t="s">
        <v>2430</v>
      </c>
      <c r="C3838" s="8" t="s">
        <v>3073</v>
      </c>
      <c r="D3838" s="2">
        <v>3</v>
      </c>
      <c r="E3838" s="8" t="s">
        <v>3188</v>
      </c>
      <c r="F3838" s="2" t="s">
        <v>447</v>
      </c>
      <c r="G3838" s="2" t="s">
        <v>3177</v>
      </c>
      <c r="H3838" s="2"/>
      <c r="I3838" s="8" t="s">
        <v>3305</v>
      </c>
      <c r="J3838" s="2"/>
      <c r="K3838" s="2">
        <v>7187</v>
      </c>
      <c r="L3838" s="8" t="s">
        <v>6801</v>
      </c>
      <c r="M3838" s="2">
        <v>6.2</v>
      </c>
      <c r="N3838" s="8" t="s">
        <v>7202</v>
      </c>
      <c r="O3838" s="8" t="str">
        <f t="shared" si="367"/>
        <v>PDFを開く</v>
      </c>
      <c r="P3838" s="8" t="s">
        <v>3078</v>
      </c>
    </row>
    <row r="3839" spans="1:16" ht="33.950000000000003" customHeight="1">
      <c r="A3839" s="5" t="s">
        <v>3072</v>
      </c>
      <c r="B3839" s="5" t="s">
        <v>2430</v>
      </c>
      <c r="C3839" s="9" t="s">
        <v>3073</v>
      </c>
      <c r="D3839" s="5">
        <v>3</v>
      </c>
      <c r="E3839" s="9" t="s">
        <v>3191</v>
      </c>
      <c r="F3839" s="5" t="s">
        <v>2513</v>
      </c>
      <c r="G3839" s="5" t="s">
        <v>3177</v>
      </c>
      <c r="H3839" s="5"/>
      <c r="I3839" s="9" t="s">
        <v>3302</v>
      </c>
      <c r="J3839" s="5"/>
      <c r="K3839" s="5">
        <v>20</v>
      </c>
      <c r="L3839" s="9" t="s">
        <v>3900</v>
      </c>
      <c r="M3839" s="5"/>
      <c r="N3839" s="9" t="s">
        <v>7203</v>
      </c>
      <c r="O3839" s="9" t="str">
        <f t="shared" si="367"/>
        <v>PDFを開く</v>
      </c>
      <c r="P3839" s="9" t="s">
        <v>3078</v>
      </c>
    </row>
    <row r="3840" spans="1:16" ht="33.950000000000003" customHeight="1">
      <c r="A3840" s="2" t="s">
        <v>3072</v>
      </c>
      <c r="B3840" s="2" t="s">
        <v>2430</v>
      </c>
      <c r="C3840" s="8" t="s">
        <v>3073</v>
      </c>
      <c r="D3840" s="2">
        <v>3</v>
      </c>
      <c r="E3840" s="8" t="s">
        <v>3191</v>
      </c>
      <c r="F3840" s="2" t="s">
        <v>2513</v>
      </c>
      <c r="G3840" s="2" t="s">
        <v>3177</v>
      </c>
      <c r="H3840" s="2"/>
      <c r="I3840" s="8" t="s">
        <v>3305</v>
      </c>
      <c r="J3840" s="2"/>
      <c r="K3840" s="2">
        <v>46</v>
      </c>
      <c r="L3840" s="8" t="s">
        <v>3884</v>
      </c>
      <c r="M3840" s="2"/>
      <c r="N3840" s="8" t="s">
        <v>7203</v>
      </c>
      <c r="O3840" s="8" t="str">
        <f t="shared" si="367"/>
        <v>PDFを開く</v>
      </c>
      <c r="P3840" s="8" t="s">
        <v>3078</v>
      </c>
    </row>
    <row r="3841" spans="1:16" ht="33.950000000000003" customHeight="1">
      <c r="A3841" s="5" t="s">
        <v>3079</v>
      </c>
      <c r="B3841" s="5" t="s">
        <v>2430</v>
      </c>
      <c r="C3841" s="9" t="s">
        <v>3080</v>
      </c>
      <c r="D3841" s="5">
        <v>2</v>
      </c>
      <c r="E3841" s="9" t="s">
        <v>3176</v>
      </c>
      <c r="F3841" s="5" t="s">
        <v>447</v>
      </c>
      <c r="G3841" s="5" t="s">
        <v>3177</v>
      </c>
      <c r="H3841" s="5"/>
      <c r="I3841" s="9" t="s">
        <v>3302</v>
      </c>
      <c r="J3841" s="5"/>
      <c r="K3841" s="5">
        <v>7720</v>
      </c>
      <c r="L3841" s="9" t="s">
        <v>7204</v>
      </c>
      <c r="M3841" s="5">
        <v>16.8</v>
      </c>
      <c r="N3841" s="9" t="s">
        <v>7205</v>
      </c>
      <c r="O3841" s="9" t="str">
        <f t="shared" ref="O3841:O3848" si="368">HYPERLINK("https://seichotoushi-hojo.jp/assets/pdf/koufu_3_4ji/outline_219.pdf","PDFを開く")</f>
        <v>PDFを開く</v>
      </c>
      <c r="P3841" s="9" t="s">
        <v>3086</v>
      </c>
    </row>
    <row r="3842" spans="1:16" ht="33.950000000000003" customHeight="1">
      <c r="A3842" s="2" t="s">
        <v>3079</v>
      </c>
      <c r="B3842" s="2" t="s">
        <v>2430</v>
      </c>
      <c r="C3842" s="8" t="s">
        <v>3080</v>
      </c>
      <c r="D3842" s="2">
        <v>2</v>
      </c>
      <c r="E3842" s="8" t="s">
        <v>3176</v>
      </c>
      <c r="F3842" s="2" t="s">
        <v>447</v>
      </c>
      <c r="G3842" s="2" t="s">
        <v>3177</v>
      </c>
      <c r="H3842" s="2"/>
      <c r="I3842" s="8" t="s">
        <v>3305</v>
      </c>
      <c r="J3842" s="2"/>
      <c r="K3842" s="2">
        <v>12314</v>
      </c>
      <c r="L3842" s="8" t="s">
        <v>7206</v>
      </c>
      <c r="M3842" s="2">
        <v>16.8</v>
      </c>
      <c r="N3842" s="8" t="s">
        <v>7205</v>
      </c>
      <c r="O3842" s="8" t="str">
        <f t="shared" si="368"/>
        <v>PDFを開く</v>
      </c>
      <c r="P3842" s="8" t="s">
        <v>3086</v>
      </c>
    </row>
    <row r="3843" spans="1:16" ht="33.950000000000003" customHeight="1">
      <c r="A3843" s="5" t="s">
        <v>3079</v>
      </c>
      <c r="B3843" s="5" t="s">
        <v>2430</v>
      </c>
      <c r="C3843" s="9" t="s">
        <v>3080</v>
      </c>
      <c r="D3843" s="5">
        <v>2</v>
      </c>
      <c r="E3843" s="9" t="s">
        <v>3184</v>
      </c>
      <c r="F3843" s="5" t="s">
        <v>447</v>
      </c>
      <c r="G3843" s="5" t="s">
        <v>3177</v>
      </c>
      <c r="H3843" s="5"/>
      <c r="I3843" s="9" t="s">
        <v>3302</v>
      </c>
      <c r="J3843" s="5"/>
      <c r="K3843" s="5">
        <v>5640</v>
      </c>
      <c r="L3843" s="9" t="s">
        <v>7207</v>
      </c>
      <c r="M3843" s="5">
        <v>6.5</v>
      </c>
      <c r="N3843" s="9" t="s">
        <v>7208</v>
      </c>
      <c r="O3843" s="9" t="str">
        <f t="shared" si="368"/>
        <v>PDFを開く</v>
      </c>
      <c r="P3843" s="9" t="s">
        <v>3086</v>
      </c>
    </row>
    <row r="3844" spans="1:16" ht="33.950000000000003" customHeight="1">
      <c r="A3844" s="2" t="s">
        <v>3079</v>
      </c>
      <c r="B3844" s="2" t="s">
        <v>2430</v>
      </c>
      <c r="C3844" s="8" t="s">
        <v>3080</v>
      </c>
      <c r="D3844" s="2">
        <v>2</v>
      </c>
      <c r="E3844" s="8" t="s">
        <v>3184</v>
      </c>
      <c r="F3844" s="2" t="s">
        <v>447</v>
      </c>
      <c r="G3844" s="2" t="s">
        <v>3177</v>
      </c>
      <c r="H3844" s="2"/>
      <c r="I3844" s="8" t="s">
        <v>3305</v>
      </c>
      <c r="J3844" s="2"/>
      <c r="K3844" s="2">
        <v>6813</v>
      </c>
      <c r="L3844" s="8" t="s">
        <v>7209</v>
      </c>
      <c r="M3844" s="2">
        <v>6.5</v>
      </c>
      <c r="N3844" s="8" t="s">
        <v>7208</v>
      </c>
      <c r="O3844" s="8" t="str">
        <f t="shared" si="368"/>
        <v>PDFを開く</v>
      </c>
      <c r="P3844" s="8" t="s">
        <v>3086</v>
      </c>
    </row>
    <row r="3845" spans="1:16" ht="33.950000000000003" customHeight="1">
      <c r="A3845" s="5" t="s">
        <v>3079</v>
      </c>
      <c r="B3845" s="5" t="s">
        <v>2430</v>
      </c>
      <c r="C3845" s="9" t="s">
        <v>3080</v>
      </c>
      <c r="D3845" s="5">
        <v>2</v>
      </c>
      <c r="E3845" s="9" t="s">
        <v>3188</v>
      </c>
      <c r="F3845" s="5" t="s">
        <v>447</v>
      </c>
      <c r="G3845" s="5" t="s">
        <v>3177</v>
      </c>
      <c r="H3845" s="5"/>
      <c r="I3845" s="9" t="s">
        <v>3305</v>
      </c>
      <c r="J3845" s="5"/>
      <c r="K3845" s="5">
        <v>0</v>
      </c>
      <c r="L3845" s="9" t="s">
        <v>3267</v>
      </c>
      <c r="M3845" s="5">
        <v>0</v>
      </c>
      <c r="N3845" s="9" t="s">
        <v>7210</v>
      </c>
      <c r="O3845" s="9" t="str">
        <f t="shared" si="368"/>
        <v>PDFを開く</v>
      </c>
      <c r="P3845" s="9" t="s">
        <v>3086</v>
      </c>
    </row>
    <row r="3846" spans="1:16" ht="33.950000000000003" customHeight="1">
      <c r="A3846" s="2" t="s">
        <v>3079</v>
      </c>
      <c r="B3846" s="2" t="s">
        <v>2430</v>
      </c>
      <c r="C3846" s="8" t="s">
        <v>3080</v>
      </c>
      <c r="D3846" s="2">
        <v>2</v>
      </c>
      <c r="E3846" s="8" t="s">
        <v>3188</v>
      </c>
      <c r="F3846" s="2" t="s">
        <v>447</v>
      </c>
      <c r="G3846" s="2" t="s">
        <v>3177</v>
      </c>
      <c r="H3846" s="2"/>
      <c r="I3846" s="8" t="s">
        <v>3302</v>
      </c>
      <c r="J3846" s="2"/>
      <c r="K3846" s="2">
        <v>0</v>
      </c>
      <c r="L3846" s="8" t="s">
        <v>3267</v>
      </c>
      <c r="M3846" s="2">
        <v>0</v>
      </c>
      <c r="N3846" s="8" t="s">
        <v>7210</v>
      </c>
      <c r="O3846" s="8" t="str">
        <f t="shared" si="368"/>
        <v>PDFを開く</v>
      </c>
      <c r="P3846" s="8" t="s">
        <v>3086</v>
      </c>
    </row>
    <row r="3847" spans="1:16" ht="33.950000000000003" customHeight="1">
      <c r="A3847" s="5" t="s">
        <v>3079</v>
      </c>
      <c r="B3847" s="5" t="s">
        <v>2430</v>
      </c>
      <c r="C3847" s="9" t="s">
        <v>3080</v>
      </c>
      <c r="D3847" s="5">
        <v>2</v>
      </c>
      <c r="E3847" s="9" t="s">
        <v>3191</v>
      </c>
      <c r="F3847" s="5" t="s">
        <v>2513</v>
      </c>
      <c r="G3847" s="5" t="s">
        <v>3177</v>
      </c>
      <c r="H3847" s="5"/>
      <c r="I3847" s="9" t="s">
        <v>3302</v>
      </c>
      <c r="J3847" s="5"/>
      <c r="K3847" s="5">
        <v>60</v>
      </c>
      <c r="L3847" s="9" t="s">
        <v>3406</v>
      </c>
      <c r="M3847" s="5"/>
      <c r="N3847" s="9" t="s">
        <v>7211</v>
      </c>
      <c r="O3847" s="9" t="str">
        <f t="shared" si="368"/>
        <v>PDFを開く</v>
      </c>
      <c r="P3847" s="9" t="s">
        <v>3086</v>
      </c>
    </row>
    <row r="3848" spans="1:16" ht="33.950000000000003" customHeight="1">
      <c r="A3848" s="2" t="s">
        <v>3079</v>
      </c>
      <c r="B3848" s="2" t="s">
        <v>2430</v>
      </c>
      <c r="C3848" s="8" t="s">
        <v>3080</v>
      </c>
      <c r="D3848" s="2">
        <v>2</v>
      </c>
      <c r="E3848" s="8" t="s">
        <v>3191</v>
      </c>
      <c r="F3848" s="2" t="s">
        <v>2513</v>
      </c>
      <c r="G3848" s="2" t="s">
        <v>3177</v>
      </c>
      <c r="H3848" s="2"/>
      <c r="I3848" s="8" t="s">
        <v>3305</v>
      </c>
      <c r="J3848" s="2"/>
      <c r="K3848" s="2">
        <v>178</v>
      </c>
      <c r="L3848" s="8" t="s">
        <v>4592</v>
      </c>
      <c r="M3848" s="2"/>
      <c r="N3848" s="8" t="s">
        <v>7211</v>
      </c>
      <c r="O3848" s="8" t="str">
        <f t="shared" si="368"/>
        <v>PDFを開く</v>
      </c>
      <c r="P3848" s="8" t="s">
        <v>3086</v>
      </c>
    </row>
    <row r="3849" spans="1:16" ht="33.950000000000003" customHeight="1">
      <c r="A3849" s="5" t="s">
        <v>3087</v>
      </c>
      <c r="B3849" s="5" t="s">
        <v>2430</v>
      </c>
      <c r="C3849" s="9" t="s">
        <v>3088</v>
      </c>
      <c r="D3849" s="5">
        <v>2</v>
      </c>
      <c r="E3849" s="9" t="s">
        <v>3176</v>
      </c>
      <c r="F3849" s="5" t="s">
        <v>447</v>
      </c>
      <c r="G3849" s="5" t="s">
        <v>3177</v>
      </c>
      <c r="H3849" s="5"/>
      <c r="I3849" s="9" t="s">
        <v>3302</v>
      </c>
      <c r="J3849" s="5"/>
      <c r="K3849" s="5">
        <v>6833</v>
      </c>
      <c r="L3849" s="9" t="s">
        <v>7212</v>
      </c>
      <c r="M3849" s="5">
        <v>9.6</v>
      </c>
      <c r="N3849" s="9" t="s">
        <v>7213</v>
      </c>
      <c r="O3849" s="9" t="str">
        <f t="shared" ref="O3849:O3857" si="369">HYPERLINK("https://seichotoushi-hojo.jp/assets/pdf/koufu_3_4ji/outline_220.pdf","PDFを開く")</f>
        <v>PDFを開く</v>
      </c>
      <c r="P3849" s="9" t="s">
        <v>3093</v>
      </c>
    </row>
    <row r="3850" spans="1:16" ht="33.950000000000003" customHeight="1">
      <c r="A3850" s="2" t="s">
        <v>3087</v>
      </c>
      <c r="B3850" s="2" t="s">
        <v>2430</v>
      </c>
      <c r="C3850" s="8" t="s">
        <v>3088</v>
      </c>
      <c r="D3850" s="2">
        <v>2</v>
      </c>
      <c r="E3850" s="8" t="s">
        <v>3176</v>
      </c>
      <c r="F3850" s="2" t="s">
        <v>447</v>
      </c>
      <c r="G3850" s="2" t="s">
        <v>3177</v>
      </c>
      <c r="H3850" s="2"/>
      <c r="I3850" s="8" t="s">
        <v>3305</v>
      </c>
      <c r="J3850" s="2"/>
      <c r="K3850" s="2">
        <v>9005</v>
      </c>
      <c r="L3850" s="8" t="s">
        <v>7214</v>
      </c>
      <c r="M3850" s="2">
        <v>9.6</v>
      </c>
      <c r="N3850" s="8" t="s">
        <v>7213</v>
      </c>
      <c r="O3850" s="8" t="str">
        <f t="shared" si="369"/>
        <v>PDFを開く</v>
      </c>
      <c r="P3850" s="8" t="s">
        <v>3093</v>
      </c>
    </row>
    <row r="3851" spans="1:16" ht="33.950000000000003" customHeight="1">
      <c r="A3851" s="5" t="s">
        <v>3087</v>
      </c>
      <c r="B3851" s="5" t="s">
        <v>2430</v>
      </c>
      <c r="C3851" s="9" t="s">
        <v>3088</v>
      </c>
      <c r="D3851" s="5">
        <v>2</v>
      </c>
      <c r="E3851" s="9" t="s">
        <v>3184</v>
      </c>
      <c r="F3851" s="5" t="s">
        <v>447</v>
      </c>
      <c r="G3851" s="5" t="s">
        <v>3177</v>
      </c>
      <c r="H3851" s="5" t="s">
        <v>3178</v>
      </c>
      <c r="I3851" s="9" t="s">
        <v>3302</v>
      </c>
      <c r="J3851" s="5"/>
      <c r="K3851" s="5">
        <v>4009</v>
      </c>
      <c r="L3851" s="9" t="s">
        <v>7215</v>
      </c>
      <c r="M3851" s="5">
        <v>6.5</v>
      </c>
      <c r="N3851" s="9" t="s">
        <v>7216</v>
      </c>
      <c r="O3851" s="9" t="str">
        <f t="shared" si="369"/>
        <v>PDFを開く</v>
      </c>
      <c r="P3851" s="9" t="s">
        <v>3093</v>
      </c>
    </row>
    <row r="3852" spans="1:16" ht="33.950000000000003" customHeight="1">
      <c r="A3852" s="2" t="s">
        <v>3087</v>
      </c>
      <c r="B3852" s="2" t="s">
        <v>2430</v>
      </c>
      <c r="C3852" s="8" t="s">
        <v>3088</v>
      </c>
      <c r="D3852" s="2">
        <v>2</v>
      </c>
      <c r="E3852" s="8" t="s">
        <v>3184</v>
      </c>
      <c r="F3852" s="2" t="s">
        <v>447</v>
      </c>
      <c r="G3852" s="2" t="s">
        <v>3177</v>
      </c>
      <c r="H3852" s="2" t="s">
        <v>3178</v>
      </c>
      <c r="I3852" s="8" t="s">
        <v>3305</v>
      </c>
      <c r="J3852" s="2"/>
      <c r="K3852" s="2">
        <v>4842</v>
      </c>
      <c r="L3852" s="8" t="s">
        <v>7217</v>
      </c>
      <c r="M3852" s="2">
        <v>6.5</v>
      </c>
      <c r="N3852" s="8" t="s">
        <v>7216</v>
      </c>
      <c r="O3852" s="8" t="str">
        <f t="shared" si="369"/>
        <v>PDFを開く</v>
      </c>
      <c r="P3852" s="8" t="s">
        <v>3093</v>
      </c>
    </row>
    <row r="3853" spans="1:16" ht="33.950000000000003" customHeight="1">
      <c r="A3853" s="5" t="s">
        <v>3087</v>
      </c>
      <c r="B3853" s="5" t="s">
        <v>2430</v>
      </c>
      <c r="C3853" s="9" t="s">
        <v>3088</v>
      </c>
      <c r="D3853" s="5">
        <v>2</v>
      </c>
      <c r="E3853" s="9" t="s">
        <v>3188</v>
      </c>
      <c r="F3853" s="5" t="s">
        <v>447</v>
      </c>
      <c r="G3853" s="19" t="s">
        <v>3189</v>
      </c>
      <c r="H3853" s="5"/>
      <c r="I3853" s="9"/>
      <c r="J3853" s="5"/>
      <c r="K3853" s="5"/>
      <c r="L3853" s="9"/>
      <c r="M3853" s="5">
        <v>6.5</v>
      </c>
      <c r="N3853" s="9" t="s">
        <v>6727</v>
      </c>
      <c r="O3853" s="9" t="str">
        <f t="shared" si="369"/>
        <v>PDFを開く</v>
      </c>
      <c r="P3853" s="9" t="s">
        <v>3093</v>
      </c>
    </row>
    <row r="3854" spans="1:16" ht="33.950000000000003" customHeight="1">
      <c r="A3854" s="2" t="s">
        <v>3087</v>
      </c>
      <c r="B3854" s="2" t="s">
        <v>2430</v>
      </c>
      <c r="C3854" s="8" t="s">
        <v>3088</v>
      </c>
      <c r="D3854" s="2">
        <v>2</v>
      </c>
      <c r="E3854" s="8" t="s">
        <v>3191</v>
      </c>
      <c r="F3854" s="2" t="s">
        <v>2513</v>
      </c>
      <c r="G3854" s="2" t="s">
        <v>3177</v>
      </c>
      <c r="H3854" s="2"/>
      <c r="I3854" s="8" t="s">
        <v>3302</v>
      </c>
      <c r="J3854" s="2"/>
      <c r="K3854" s="2">
        <v>1269</v>
      </c>
      <c r="L3854" s="8" t="s">
        <v>7218</v>
      </c>
      <c r="M3854" s="2"/>
      <c r="N3854" s="8" t="s">
        <v>7219</v>
      </c>
      <c r="O3854" s="8" t="str">
        <f t="shared" si="369"/>
        <v>PDFを開く</v>
      </c>
      <c r="P3854" s="8" t="s">
        <v>3093</v>
      </c>
    </row>
    <row r="3855" spans="1:16" ht="33.950000000000003" customHeight="1">
      <c r="A3855" s="5" t="s">
        <v>3087</v>
      </c>
      <c r="B3855" s="5" t="s">
        <v>2430</v>
      </c>
      <c r="C3855" s="9" t="s">
        <v>3088</v>
      </c>
      <c r="D3855" s="5">
        <v>2</v>
      </c>
      <c r="E3855" s="9" t="s">
        <v>3191</v>
      </c>
      <c r="F3855" s="5" t="s">
        <v>2513</v>
      </c>
      <c r="G3855" s="5" t="s">
        <v>3177</v>
      </c>
      <c r="H3855" s="5"/>
      <c r="I3855" s="9" t="s">
        <v>3305</v>
      </c>
      <c r="J3855" s="5"/>
      <c r="K3855" s="5">
        <v>1269</v>
      </c>
      <c r="L3855" s="9" t="s">
        <v>7218</v>
      </c>
      <c r="M3855" s="5"/>
      <c r="N3855" s="9" t="s">
        <v>7219</v>
      </c>
      <c r="O3855" s="9" t="str">
        <f t="shared" si="369"/>
        <v>PDFを開く</v>
      </c>
      <c r="P3855" s="9" t="s">
        <v>3093</v>
      </c>
    </row>
    <row r="3856" spans="1:16" ht="33.950000000000003" customHeight="1">
      <c r="A3856" s="2" t="s">
        <v>3087</v>
      </c>
      <c r="B3856" s="2" t="s">
        <v>2430</v>
      </c>
      <c r="C3856" s="8" t="s">
        <v>3088</v>
      </c>
      <c r="D3856" s="2">
        <v>2</v>
      </c>
      <c r="E3856" s="8" t="s">
        <v>3188</v>
      </c>
      <c r="F3856" s="2" t="s">
        <v>447</v>
      </c>
      <c r="G3856" s="2" t="s">
        <v>3177</v>
      </c>
      <c r="H3856" s="2"/>
      <c r="I3856" s="8" t="s">
        <v>7220</v>
      </c>
      <c r="J3856" s="2"/>
      <c r="K3856" s="2"/>
      <c r="L3856" s="8" t="s">
        <v>3211</v>
      </c>
      <c r="M3856" s="2">
        <v>6.5</v>
      </c>
      <c r="N3856" s="8" t="s">
        <v>6330</v>
      </c>
      <c r="O3856" s="8" t="str">
        <f t="shared" si="369"/>
        <v>PDFを開く</v>
      </c>
      <c r="P3856" s="8" t="s">
        <v>3093</v>
      </c>
    </row>
    <row r="3857" spans="1:16" ht="33.950000000000003" customHeight="1">
      <c r="A3857" s="5" t="s">
        <v>3087</v>
      </c>
      <c r="B3857" s="5" t="s">
        <v>2430</v>
      </c>
      <c r="C3857" s="9" t="s">
        <v>3088</v>
      </c>
      <c r="D3857" s="5">
        <v>2</v>
      </c>
      <c r="E3857" s="9" t="s">
        <v>3188</v>
      </c>
      <c r="F3857" s="5" t="s">
        <v>447</v>
      </c>
      <c r="G3857" s="5" t="s">
        <v>3177</v>
      </c>
      <c r="H3857" s="5"/>
      <c r="I3857" s="9" t="s">
        <v>7221</v>
      </c>
      <c r="J3857" s="5"/>
      <c r="K3857" s="5"/>
      <c r="L3857" s="9" t="s">
        <v>5447</v>
      </c>
      <c r="M3857" s="5">
        <v>6.5</v>
      </c>
      <c r="N3857" s="9" t="s">
        <v>6330</v>
      </c>
      <c r="O3857" s="9" t="str">
        <f t="shared" si="369"/>
        <v>PDFを開く</v>
      </c>
      <c r="P3857" s="9" t="s">
        <v>3093</v>
      </c>
    </row>
    <row r="3858" spans="1:16" ht="33.950000000000003" customHeight="1">
      <c r="A3858" s="2" t="s">
        <v>3094</v>
      </c>
      <c r="B3858" s="2" t="s">
        <v>2430</v>
      </c>
      <c r="C3858" s="8" t="s">
        <v>3095</v>
      </c>
      <c r="D3858" s="2">
        <v>2</v>
      </c>
      <c r="E3858" s="8" t="s">
        <v>3176</v>
      </c>
      <c r="F3858" s="2" t="s">
        <v>447</v>
      </c>
      <c r="G3858" s="2" t="s">
        <v>3177</v>
      </c>
      <c r="H3858" s="2" t="s">
        <v>3178</v>
      </c>
      <c r="I3858" s="8" t="s">
        <v>3302</v>
      </c>
      <c r="J3858" s="2"/>
      <c r="K3858" s="2">
        <v>3213</v>
      </c>
      <c r="L3858" s="8" t="s">
        <v>7222</v>
      </c>
      <c r="M3858" s="2">
        <v>45.2</v>
      </c>
      <c r="N3858" s="8" t="s">
        <v>7223</v>
      </c>
      <c r="O3858" s="8" t="str">
        <f t="shared" ref="O3858:O3865" si="370">HYPERLINK("https://seichotoushi-hojo.jp/assets/pdf/koufu_3_4ji/outline_221.pdf","PDFを開く")</f>
        <v>PDFを開く</v>
      </c>
      <c r="P3858" s="8" t="s">
        <v>3101</v>
      </c>
    </row>
    <row r="3859" spans="1:16" ht="33.950000000000003" customHeight="1">
      <c r="A3859" s="5" t="s">
        <v>3094</v>
      </c>
      <c r="B3859" s="5" t="s">
        <v>2430</v>
      </c>
      <c r="C3859" s="9" t="s">
        <v>3095</v>
      </c>
      <c r="D3859" s="5">
        <v>2</v>
      </c>
      <c r="E3859" s="9" t="s">
        <v>3176</v>
      </c>
      <c r="F3859" s="5" t="s">
        <v>447</v>
      </c>
      <c r="G3859" s="5" t="s">
        <v>3177</v>
      </c>
      <c r="H3859" s="5" t="s">
        <v>3178</v>
      </c>
      <c r="I3859" s="9" t="s">
        <v>3305</v>
      </c>
      <c r="J3859" s="5"/>
      <c r="K3859" s="5">
        <v>9837</v>
      </c>
      <c r="L3859" s="9" t="s">
        <v>7224</v>
      </c>
      <c r="M3859" s="5">
        <v>45.2</v>
      </c>
      <c r="N3859" s="9" t="s">
        <v>7223</v>
      </c>
      <c r="O3859" s="9" t="str">
        <f t="shared" si="370"/>
        <v>PDFを開く</v>
      </c>
      <c r="P3859" s="9" t="s">
        <v>3101</v>
      </c>
    </row>
    <row r="3860" spans="1:16" ht="33.950000000000003" customHeight="1">
      <c r="A3860" s="2" t="s">
        <v>3094</v>
      </c>
      <c r="B3860" s="2" t="s">
        <v>2430</v>
      </c>
      <c r="C3860" s="8" t="s">
        <v>3095</v>
      </c>
      <c r="D3860" s="2">
        <v>2</v>
      </c>
      <c r="E3860" s="8" t="s">
        <v>3184</v>
      </c>
      <c r="F3860" s="2" t="s">
        <v>447</v>
      </c>
      <c r="G3860" s="2" t="s">
        <v>3177</v>
      </c>
      <c r="H3860" s="2" t="s">
        <v>3178</v>
      </c>
      <c r="I3860" s="8" t="s">
        <v>3302</v>
      </c>
      <c r="J3860" s="2"/>
      <c r="K3860" s="2">
        <v>3120</v>
      </c>
      <c r="L3860" s="8" t="s">
        <v>7225</v>
      </c>
      <c r="M3860" s="2">
        <v>6</v>
      </c>
      <c r="N3860" s="8" t="s">
        <v>7226</v>
      </c>
      <c r="O3860" s="8" t="str">
        <f t="shared" si="370"/>
        <v>PDFを開く</v>
      </c>
      <c r="P3860" s="8" t="s">
        <v>3101</v>
      </c>
    </row>
    <row r="3861" spans="1:16" ht="33.950000000000003" customHeight="1">
      <c r="A3861" s="5" t="s">
        <v>3094</v>
      </c>
      <c r="B3861" s="5" t="s">
        <v>2430</v>
      </c>
      <c r="C3861" s="9" t="s">
        <v>3095</v>
      </c>
      <c r="D3861" s="5">
        <v>2</v>
      </c>
      <c r="E3861" s="9" t="s">
        <v>3184</v>
      </c>
      <c r="F3861" s="5" t="s">
        <v>447</v>
      </c>
      <c r="G3861" s="5" t="s">
        <v>3177</v>
      </c>
      <c r="H3861" s="5" t="s">
        <v>3178</v>
      </c>
      <c r="I3861" s="9" t="s">
        <v>3305</v>
      </c>
      <c r="J3861" s="5"/>
      <c r="K3861" s="5">
        <v>3716</v>
      </c>
      <c r="L3861" s="9" t="s">
        <v>7227</v>
      </c>
      <c r="M3861" s="5">
        <v>6</v>
      </c>
      <c r="N3861" s="9" t="s">
        <v>7226</v>
      </c>
      <c r="O3861" s="9" t="str">
        <f t="shared" si="370"/>
        <v>PDFを開く</v>
      </c>
      <c r="P3861" s="9" t="s">
        <v>3101</v>
      </c>
    </row>
    <row r="3862" spans="1:16" ht="33.950000000000003" customHeight="1">
      <c r="A3862" s="2" t="s">
        <v>3094</v>
      </c>
      <c r="B3862" s="2" t="s">
        <v>2430</v>
      </c>
      <c r="C3862" s="8" t="s">
        <v>3095</v>
      </c>
      <c r="D3862" s="2">
        <v>2</v>
      </c>
      <c r="E3862" s="8" t="s">
        <v>3188</v>
      </c>
      <c r="F3862" s="2" t="s">
        <v>447</v>
      </c>
      <c r="G3862" s="2" t="s">
        <v>3177</v>
      </c>
      <c r="H3862" s="2" t="s">
        <v>3178</v>
      </c>
      <c r="I3862" s="8" t="s">
        <v>3302</v>
      </c>
      <c r="J3862" s="2"/>
      <c r="K3862" s="2">
        <v>12580</v>
      </c>
      <c r="L3862" s="8" t="s">
        <v>7228</v>
      </c>
      <c r="M3862" s="2">
        <v>4.5</v>
      </c>
      <c r="N3862" s="8" t="s">
        <v>7229</v>
      </c>
      <c r="O3862" s="8" t="str">
        <f t="shared" si="370"/>
        <v>PDFを開く</v>
      </c>
      <c r="P3862" s="8" t="s">
        <v>3101</v>
      </c>
    </row>
    <row r="3863" spans="1:16" ht="33.950000000000003" customHeight="1">
      <c r="A3863" s="5" t="s">
        <v>3094</v>
      </c>
      <c r="B3863" s="5" t="s">
        <v>2430</v>
      </c>
      <c r="C3863" s="9" t="s">
        <v>3095</v>
      </c>
      <c r="D3863" s="5">
        <v>2</v>
      </c>
      <c r="E3863" s="9" t="s">
        <v>3188</v>
      </c>
      <c r="F3863" s="5" t="s">
        <v>447</v>
      </c>
      <c r="G3863" s="5" t="s">
        <v>3177</v>
      </c>
      <c r="H3863" s="5" t="s">
        <v>3178</v>
      </c>
      <c r="I3863" s="9" t="s">
        <v>3305</v>
      </c>
      <c r="J3863" s="5"/>
      <c r="K3863" s="5">
        <v>14360</v>
      </c>
      <c r="L3863" s="9" t="s">
        <v>7230</v>
      </c>
      <c r="M3863" s="5">
        <v>4.5</v>
      </c>
      <c r="N3863" s="9" t="s">
        <v>7229</v>
      </c>
      <c r="O3863" s="9" t="str">
        <f t="shared" si="370"/>
        <v>PDFを開く</v>
      </c>
      <c r="P3863" s="9" t="s">
        <v>3101</v>
      </c>
    </row>
    <row r="3864" spans="1:16" ht="33.950000000000003" customHeight="1">
      <c r="A3864" s="2" t="s">
        <v>3094</v>
      </c>
      <c r="B3864" s="2" t="s">
        <v>2430</v>
      </c>
      <c r="C3864" s="8" t="s">
        <v>3095</v>
      </c>
      <c r="D3864" s="2">
        <v>2</v>
      </c>
      <c r="E3864" s="8" t="s">
        <v>3191</v>
      </c>
      <c r="F3864" s="2" t="s">
        <v>2513</v>
      </c>
      <c r="G3864" s="2" t="s">
        <v>3177</v>
      </c>
      <c r="H3864" s="2"/>
      <c r="I3864" s="8" t="s">
        <v>3302</v>
      </c>
      <c r="J3864" s="2"/>
      <c r="K3864" s="2">
        <v>106</v>
      </c>
      <c r="L3864" s="8" t="s">
        <v>5054</v>
      </c>
      <c r="M3864" s="2"/>
      <c r="N3864" s="8" t="s">
        <v>7231</v>
      </c>
      <c r="O3864" s="8" t="str">
        <f t="shared" si="370"/>
        <v>PDFを開く</v>
      </c>
      <c r="P3864" s="8" t="s">
        <v>3101</v>
      </c>
    </row>
    <row r="3865" spans="1:16" ht="33.950000000000003" customHeight="1">
      <c r="A3865" s="5" t="s">
        <v>3094</v>
      </c>
      <c r="B3865" s="5" t="s">
        <v>2430</v>
      </c>
      <c r="C3865" s="9" t="s">
        <v>3095</v>
      </c>
      <c r="D3865" s="5">
        <v>2</v>
      </c>
      <c r="E3865" s="9" t="s">
        <v>3191</v>
      </c>
      <c r="F3865" s="5" t="s">
        <v>2513</v>
      </c>
      <c r="G3865" s="5" t="s">
        <v>3177</v>
      </c>
      <c r="H3865" s="5"/>
      <c r="I3865" s="9" t="s">
        <v>3305</v>
      </c>
      <c r="J3865" s="5"/>
      <c r="K3865" s="5">
        <v>116</v>
      </c>
      <c r="L3865" s="9" t="s">
        <v>4309</v>
      </c>
      <c r="M3865" s="5"/>
      <c r="N3865" s="9" t="s">
        <v>7231</v>
      </c>
      <c r="O3865" s="9" t="str">
        <f t="shared" si="370"/>
        <v>PDFを開く</v>
      </c>
      <c r="P3865" s="9" t="s">
        <v>3101</v>
      </c>
    </row>
    <row r="3866" spans="1:16" ht="33.950000000000003" customHeight="1">
      <c r="A3866" s="2" t="s">
        <v>3102</v>
      </c>
      <c r="B3866" s="2" t="s">
        <v>2430</v>
      </c>
      <c r="C3866" s="8" t="s">
        <v>3103</v>
      </c>
      <c r="D3866" s="2">
        <v>2</v>
      </c>
      <c r="E3866" s="8" t="s">
        <v>3176</v>
      </c>
      <c r="F3866" s="2" t="s">
        <v>447</v>
      </c>
      <c r="G3866" s="2" t="s">
        <v>3177</v>
      </c>
      <c r="H3866" s="2"/>
      <c r="I3866" s="8" t="s">
        <v>3302</v>
      </c>
      <c r="J3866" s="2"/>
      <c r="K3866" s="2">
        <v>21000</v>
      </c>
      <c r="L3866" s="8" t="s">
        <v>7232</v>
      </c>
      <c r="M3866" s="2">
        <v>30.6</v>
      </c>
      <c r="N3866" s="8" t="s">
        <v>7233</v>
      </c>
      <c r="O3866" s="8" t="str">
        <f t="shared" ref="O3866:O3872" si="371">HYPERLINK("https://seichotoushi-hojo.jp/assets/pdf/koufu_3_4ji/outline_222.pdf","PDFを開く")</f>
        <v>PDFを開く</v>
      </c>
      <c r="P3866" s="8" t="s">
        <v>3108</v>
      </c>
    </row>
    <row r="3867" spans="1:16" ht="33.950000000000003" customHeight="1">
      <c r="A3867" s="5" t="s">
        <v>3102</v>
      </c>
      <c r="B3867" s="5" t="s">
        <v>2430</v>
      </c>
      <c r="C3867" s="9" t="s">
        <v>3103</v>
      </c>
      <c r="D3867" s="5">
        <v>2</v>
      </c>
      <c r="E3867" s="9" t="s">
        <v>3176</v>
      </c>
      <c r="F3867" s="5" t="s">
        <v>447</v>
      </c>
      <c r="G3867" s="5" t="s">
        <v>3177</v>
      </c>
      <c r="H3867" s="5"/>
      <c r="I3867" s="9" t="s">
        <v>3305</v>
      </c>
      <c r="J3867" s="5"/>
      <c r="K3867" s="5">
        <v>46797</v>
      </c>
      <c r="L3867" s="9" t="s">
        <v>7234</v>
      </c>
      <c r="M3867" s="5">
        <v>30.6</v>
      </c>
      <c r="N3867" s="9" t="s">
        <v>7233</v>
      </c>
      <c r="O3867" s="9" t="str">
        <f t="shared" si="371"/>
        <v>PDFを開く</v>
      </c>
      <c r="P3867" s="9" t="s">
        <v>3108</v>
      </c>
    </row>
    <row r="3868" spans="1:16" ht="33.950000000000003" customHeight="1">
      <c r="A3868" s="2" t="s">
        <v>3102</v>
      </c>
      <c r="B3868" s="2" t="s">
        <v>2430</v>
      </c>
      <c r="C3868" s="8" t="s">
        <v>3103</v>
      </c>
      <c r="D3868" s="2">
        <v>2</v>
      </c>
      <c r="E3868" s="8" t="s">
        <v>3184</v>
      </c>
      <c r="F3868" s="2" t="s">
        <v>447</v>
      </c>
      <c r="G3868" s="2" t="s">
        <v>3177</v>
      </c>
      <c r="H3868" s="2"/>
      <c r="I3868" s="8" t="s">
        <v>3302</v>
      </c>
      <c r="J3868" s="2"/>
      <c r="K3868" s="2">
        <v>4000</v>
      </c>
      <c r="L3868" s="8" t="s">
        <v>7198</v>
      </c>
      <c r="M3868" s="2">
        <v>9</v>
      </c>
      <c r="N3868" s="8" t="s">
        <v>7235</v>
      </c>
      <c r="O3868" s="8" t="str">
        <f t="shared" si="371"/>
        <v>PDFを開く</v>
      </c>
      <c r="P3868" s="8" t="s">
        <v>3108</v>
      </c>
    </row>
    <row r="3869" spans="1:16" ht="33.950000000000003" customHeight="1">
      <c r="A3869" s="5" t="s">
        <v>3102</v>
      </c>
      <c r="B3869" s="5" t="s">
        <v>2430</v>
      </c>
      <c r="C3869" s="9" t="s">
        <v>3103</v>
      </c>
      <c r="D3869" s="5">
        <v>2</v>
      </c>
      <c r="E3869" s="9" t="s">
        <v>3184</v>
      </c>
      <c r="F3869" s="5" t="s">
        <v>447</v>
      </c>
      <c r="G3869" s="5" t="s">
        <v>3177</v>
      </c>
      <c r="H3869" s="5"/>
      <c r="I3869" s="9" t="s">
        <v>3305</v>
      </c>
      <c r="J3869" s="5"/>
      <c r="K3869" s="5">
        <v>5185</v>
      </c>
      <c r="L3869" s="9" t="s">
        <v>7236</v>
      </c>
      <c r="M3869" s="5">
        <v>9</v>
      </c>
      <c r="N3869" s="9" t="s">
        <v>7235</v>
      </c>
      <c r="O3869" s="9" t="str">
        <f t="shared" si="371"/>
        <v>PDFを開く</v>
      </c>
      <c r="P3869" s="9" t="s">
        <v>3108</v>
      </c>
    </row>
    <row r="3870" spans="1:16" ht="33.950000000000003" customHeight="1">
      <c r="A3870" s="2" t="s">
        <v>3102</v>
      </c>
      <c r="B3870" s="2" t="s">
        <v>2430</v>
      </c>
      <c r="C3870" s="8" t="s">
        <v>3103</v>
      </c>
      <c r="D3870" s="2">
        <v>2</v>
      </c>
      <c r="E3870" s="8" t="s">
        <v>3188</v>
      </c>
      <c r="F3870" s="2" t="s">
        <v>447</v>
      </c>
      <c r="G3870" s="19" t="s">
        <v>3189</v>
      </c>
      <c r="H3870" s="2"/>
      <c r="I3870" s="8"/>
      <c r="J3870" s="2"/>
      <c r="K3870" s="2"/>
      <c r="L3870" s="8"/>
      <c r="M3870" s="2"/>
      <c r="N3870" s="8" t="s">
        <v>7237</v>
      </c>
      <c r="O3870" s="8" t="str">
        <f t="shared" si="371"/>
        <v>PDFを開く</v>
      </c>
      <c r="P3870" s="8" t="s">
        <v>3108</v>
      </c>
    </row>
    <row r="3871" spans="1:16" ht="33.950000000000003" customHeight="1">
      <c r="A3871" s="5" t="s">
        <v>3102</v>
      </c>
      <c r="B3871" s="5" t="s">
        <v>2430</v>
      </c>
      <c r="C3871" s="9" t="s">
        <v>3103</v>
      </c>
      <c r="D3871" s="5">
        <v>2</v>
      </c>
      <c r="E3871" s="9" t="s">
        <v>3191</v>
      </c>
      <c r="F3871" s="5" t="s">
        <v>2513</v>
      </c>
      <c r="G3871" s="5" t="s">
        <v>3177</v>
      </c>
      <c r="H3871" s="5"/>
      <c r="I3871" s="9" t="s">
        <v>3302</v>
      </c>
      <c r="J3871" s="5"/>
      <c r="K3871" s="5">
        <v>2</v>
      </c>
      <c r="L3871" s="9" t="s">
        <v>4153</v>
      </c>
      <c r="M3871" s="5"/>
      <c r="N3871" s="9" t="s">
        <v>7238</v>
      </c>
      <c r="O3871" s="9" t="str">
        <f t="shared" si="371"/>
        <v>PDFを開く</v>
      </c>
      <c r="P3871" s="9" t="s">
        <v>3108</v>
      </c>
    </row>
    <row r="3872" spans="1:16" ht="33.950000000000003" customHeight="1">
      <c r="A3872" s="2" t="s">
        <v>3102</v>
      </c>
      <c r="B3872" s="2" t="s">
        <v>2430</v>
      </c>
      <c r="C3872" s="8" t="s">
        <v>3103</v>
      </c>
      <c r="D3872" s="2">
        <v>2</v>
      </c>
      <c r="E3872" s="8" t="s">
        <v>3191</v>
      </c>
      <c r="F3872" s="2" t="s">
        <v>2513</v>
      </c>
      <c r="G3872" s="2" t="s">
        <v>3177</v>
      </c>
      <c r="H3872" s="2"/>
      <c r="I3872" s="8" t="s">
        <v>3305</v>
      </c>
      <c r="J3872" s="2"/>
      <c r="K3872" s="2">
        <v>58</v>
      </c>
      <c r="L3872" s="8" t="s">
        <v>5318</v>
      </c>
      <c r="M3872" s="2"/>
      <c r="N3872" s="8" t="s">
        <v>7238</v>
      </c>
      <c r="O3872" s="8" t="str">
        <f t="shared" si="371"/>
        <v>PDFを開く</v>
      </c>
      <c r="P3872" s="8" t="s">
        <v>3108</v>
      </c>
    </row>
    <row r="3873" spans="1:16" ht="33.950000000000003" customHeight="1">
      <c r="A3873" s="5" t="s">
        <v>3109</v>
      </c>
      <c r="B3873" s="5" t="s">
        <v>2430</v>
      </c>
      <c r="C3873" s="9" t="s">
        <v>3110</v>
      </c>
      <c r="D3873" s="5">
        <v>2</v>
      </c>
      <c r="E3873" s="9" t="s">
        <v>3176</v>
      </c>
      <c r="F3873" s="5" t="s">
        <v>447</v>
      </c>
      <c r="G3873" s="5" t="s">
        <v>3177</v>
      </c>
      <c r="H3873" s="5"/>
      <c r="I3873" s="9" t="s">
        <v>3302</v>
      </c>
      <c r="J3873" s="5"/>
      <c r="K3873" s="5">
        <v>6537</v>
      </c>
      <c r="L3873" s="9" t="s">
        <v>7239</v>
      </c>
      <c r="M3873" s="5">
        <v>29.2</v>
      </c>
      <c r="N3873" s="9" t="s">
        <v>7240</v>
      </c>
      <c r="O3873" s="9" t="str">
        <f t="shared" ref="O3873:O3881" si="372">HYPERLINK("https://seichotoushi-hojo.jp/assets/pdf/koufu_3_4ji/outline_223.pdf","PDFを開く")</f>
        <v>PDFを開く</v>
      </c>
      <c r="P3873" s="9" t="s">
        <v>3116</v>
      </c>
    </row>
    <row r="3874" spans="1:16" ht="33.950000000000003" customHeight="1">
      <c r="A3874" s="2" t="s">
        <v>3109</v>
      </c>
      <c r="B3874" s="2" t="s">
        <v>2430</v>
      </c>
      <c r="C3874" s="8" t="s">
        <v>3110</v>
      </c>
      <c r="D3874" s="2">
        <v>2</v>
      </c>
      <c r="E3874" s="8" t="s">
        <v>3176</v>
      </c>
      <c r="F3874" s="2" t="s">
        <v>447</v>
      </c>
      <c r="G3874" s="2" t="s">
        <v>3177</v>
      </c>
      <c r="H3874" s="2"/>
      <c r="I3874" s="8" t="s">
        <v>3305</v>
      </c>
      <c r="J3874" s="2"/>
      <c r="K3874" s="2">
        <v>14093</v>
      </c>
      <c r="L3874" s="8" t="s">
        <v>7241</v>
      </c>
      <c r="M3874" s="2">
        <v>29.2</v>
      </c>
      <c r="N3874" s="8" t="s">
        <v>7240</v>
      </c>
      <c r="O3874" s="8" t="str">
        <f t="shared" si="372"/>
        <v>PDFを開く</v>
      </c>
      <c r="P3874" s="8" t="s">
        <v>3116</v>
      </c>
    </row>
    <row r="3875" spans="1:16" ht="33.950000000000003" customHeight="1">
      <c r="A3875" s="5" t="s">
        <v>3109</v>
      </c>
      <c r="B3875" s="5" t="s">
        <v>2430</v>
      </c>
      <c r="C3875" s="9" t="s">
        <v>3110</v>
      </c>
      <c r="D3875" s="5">
        <v>2</v>
      </c>
      <c r="E3875" s="9" t="s">
        <v>3184</v>
      </c>
      <c r="F3875" s="5" t="s">
        <v>447</v>
      </c>
      <c r="G3875" s="5" t="s">
        <v>3177</v>
      </c>
      <c r="H3875" s="5"/>
      <c r="I3875" s="9" t="s">
        <v>3302</v>
      </c>
      <c r="J3875" s="5"/>
      <c r="K3875" s="5">
        <v>3986</v>
      </c>
      <c r="L3875" s="9" t="s">
        <v>7242</v>
      </c>
      <c r="M3875" s="5">
        <v>8</v>
      </c>
      <c r="N3875" s="9" t="s">
        <v>7243</v>
      </c>
      <c r="O3875" s="9" t="str">
        <f t="shared" si="372"/>
        <v>PDFを開く</v>
      </c>
      <c r="P3875" s="9" t="s">
        <v>3116</v>
      </c>
    </row>
    <row r="3876" spans="1:16" ht="33.950000000000003" customHeight="1">
      <c r="A3876" s="2" t="s">
        <v>3109</v>
      </c>
      <c r="B3876" s="2" t="s">
        <v>2430</v>
      </c>
      <c r="C3876" s="8" t="s">
        <v>3110</v>
      </c>
      <c r="D3876" s="2">
        <v>2</v>
      </c>
      <c r="E3876" s="8" t="s">
        <v>3184</v>
      </c>
      <c r="F3876" s="2" t="s">
        <v>447</v>
      </c>
      <c r="G3876" s="2" t="s">
        <v>3177</v>
      </c>
      <c r="H3876" s="2"/>
      <c r="I3876" s="8" t="s">
        <v>3305</v>
      </c>
      <c r="J3876" s="2"/>
      <c r="K3876" s="2">
        <v>5022</v>
      </c>
      <c r="L3876" s="8" t="s">
        <v>7244</v>
      </c>
      <c r="M3876" s="2">
        <v>8</v>
      </c>
      <c r="N3876" s="8" t="s">
        <v>7243</v>
      </c>
      <c r="O3876" s="8" t="str">
        <f t="shared" si="372"/>
        <v>PDFを開く</v>
      </c>
      <c r="P3876" s="8" t="s">
        <v>3116</v>
      </c>
    </row>
    <row r="3877" spans="1:16" ht="33.950000000000003" customHeight="1">
      <c r="A3877" s="5" t="s">
        <v>3109</v>
      </c>
      <c r="B3877" s="5" t="s">
        <v>2430</v>
      </c>
      <c r="C3877" s="9" t="s">
        <v>3110</v>
      </c>
      <c r="D3877" s="5">
        <v>2</v>
      </c>
      <c r="E3877" s="9" t="s">
        <v>3188</v>
      </c>
      <c r="F3877" s="5" t="s">
        <v>447</v>
      </c>
      <c r="G3877" s="19" t="s">
        <v>3189</v>
      </c>
      <c r="H3877" s="5"/>
      <c r="I3877" s="9"/>
      <c r="J3877" s="5"/>
      <c r="K3877" s="5"/>
      <c r="L3877" s="9"/>
      <c r="M3877" s="5">
        <v>6</v>
      </c>
      <c r="N3877" s="9" t="s">
        <v>6776</v>
      </c>
      <c r="O3877" s="9" t="str">
        <f t="shared" si="372"/>
        <v>PDFを開く</v>
      </c>
      <c r="P3877" s="9" t="s">
        <v>3116</v>
      </c>
    </row>
    <row r="3878" spans="1:16" ht="33.950000000000003" customHeight="1">
      <c r="A3878" s="2" t="s">
        <v>3109</v>
      </c>
      <c r="B3878" s="2" t="s">
        <v>2430</v>
      </c>
      <c r="C3878" s="8" t="s">
        <v>3110</v>
      </c>
      <c r="D3878" s="2">
        <v>2</v>
      </c>
      <c r="E3878" s="8" t="s">
        <v>3191</v>
      </c>
      <c r="F3878" s="2" t="s">
        <v>2513</v>
      </c>
      <c r="G3878" s="2" t="s">
        <v>3177</v>
      </c>
      <c r="H3878" s="2"/>
      <c r="I3878" s="8" t="s">
        <v>3302</v>
      </c>
      <c r="J3878" s="2"/>
      <c r="K3878" s="2">
        <v>60</v>
      </c>
      <c r="L3878" s="8" t="s">
        <v>3406</v>
      </c>
      <c r="M3878" s="2"/>
      <c r="N3878" s="8" t="s">
        <v>7245</v>
      </c>
      <c r="O3878" s="8" t="str">
        <f t="shared" si="372"/>
        <v>PDFを開く</v>
      </c>
      <c r="P3878" s="8" t="s">
        <v>3116</v>
      </c>
    </row>
    <row r="3879" spans="1:16" ht="33.950000000000003" customHeight="1">
      <c r="A3879" s="5" t="s">
        <v>3109</v>
      </c>
      <c r="B3879" s="5" t="s">
        <v>2430</v>
      </c>
      <c r="C3879" s="9" t="s">
        <v>3110</v>
      </c>
      <c r="D3879" s="5">
        <v>2</v>
      </c>
      <c r="E3879" s="9" t="s">
        <v>3191</v>
      </c>
      <c r="F3879" s="5" t="s">
        <v>2513</v>
      </c>
      <c r="G3879" s="5" t="s">
        <v>3177</v>
      </c>
      <c r="H3879" s="5"/>
      <c r="I3879" s="9" t="s">
        <v>3305</v>
      </c>
      <c r="J3879" s="5"/>
      <c r="K3879" s="5">
        <v>120</v>
      </c>
      <c r="L3879" s="9" t="s">
        <v>4080</v>
      </c>
      <c r="M3879" s="5"/>
      <c r="N3879" s="9" t="s">
        <v>7245</v>
      </c>
      <c r="O3879" s="9" t="str">
        <f t="shared" si="372"/>
        <v>PDFを開く</v>
      </c>
      <c r="P3879" s="9" t="s">
        <v>3116</v>
      </c>
    </row>
    <row r="3880" spans="1:16" ht="33.950000000000003" customHeight="1">
      <c r="A3880" s="2" t="s">
        <v>3109</v>
      </c>
      <c r="B3880" s="2" t="s">
        <v>2430</v>
      </c>
      <c r="C3880" s="8" t="s">
        <v>3110</v>
      </c>
      <c r="D3880" s="2">
        <v>2</v>
      </c>
      <c r="E3880" s="8" t="s">
        <v>3188</v>
      </c>
      <c r="F3880" s="2" t="s">
        <v>447</v>
      </c>
      <c r="G3880" s="2" t="s">
        <v>3177</v>
      </c>
      <c r="H3880" s="2"/>
      <c r="I3880" s="8" t="s">
        <v>7246</v>
      </c>
      <c r="J3880" s="2"/>
      <c r="K3880" s="2"/>
      <c r="L3880" s="8" t="s">
        <v>3211</v>
      </c>
      <c r="M3880" s="2">
        <v>6</v>
      </c>
      <c r="N3880" s="8" t="s">
        <v>6473</v>
      </c>
      <c r="O3880" s="8" t="str">
        <f t="shared" si="372"/>
        <v>PDFを開く</v>
      </c>
      <c r="P3880" s="8" t="s">
        <v>3116</v>
      </c>
    </row>
    <row r="3881" spans="1:16" ht="33.950000000000003" customHeight="1">
      <c r="A3881" s="5" t="s">
        <v>3109</v>
      </c>
      <c r="B3881" s="5" t="s">
        <v>2430</v>
      </c>
      <c r="C3881" s="9" t="s">
        <v>3110</v>
      </c>
      <c r="D3881" s="5">
        <v>2</v>
      </c>
      <c r="E3881" s="9" t="s">
        <v>3188</v>
      </c>
      <c r="F3881" s="5" t="s">
        <v>447</v>
      </c>
      <c r="G3881" s="5" t="s">
        <v>3177</v>
      </c>
      <c r="H3881" s="5"/>
      <c r="I3881" s="9" t="s">
        <v>7247</v>
      </c>
      <c r="J3881" s="5"/>
      <c r="K3881" s="5"/>
      <c r="L3881" s="9" t="s">
        <v>5378</v>
      </c>
      <c r="M3881" s="5">
        <v>6</v>
      </c>
      <c r="N3881" s="9" t="s">
        <v>6473</v>
      </c>
      <c r="O3881" s="9" t="str">
        <f t="shared" si="372"/>
        <v>PDFを開く</v>
      </c>
      <c r="P3881" s="9" t="s">
        <v>3116</v>
      </c>
    </row>
    <row r="3882" spans="1:16" ht="33.950000000000003" customHeight="1">
      <c r="A3882" s="2" t="s">
        <v>3117</v>
      </c>
      <c r="B3882" s="2" t="s">
        <v>2430</v>
      </c>
      <c r="C3882" s="8" t="s">
        <v>3118</v>
      </c>
      <c r="D3882" s="2">
        <v>2</v>
      </c>
      <c r="E3882" s="8" t="s">
        <v>3176</v>
      </c>
      <c r="F3882" s="2" t="s">
        <v>447</v>
      </c>
      <c r="G3882" s="2" t="s">
        <v>3177</v>
      </c>
      <c r="H3882" s="2"/>
      <c r="I3882" s="8" t="s">
        <v>3302</v>
      </c>
      <c r="J3882" s="2"/>
      <c r="K3882" s="2">
        <v>6739</v>
      </c>
      <c r="L3882" s="8" t="s">
        <v>7248</v>
      </c>
      <c r="M3882" s="2">
        <v>37.6</v>
      </c>
      <c r="N3882" s="8" t="s">
        <v>7249</v>
      </c>
      <c r="O3882" s="8" t="str">
        <f t="shared" ref="O3882:O3890" si="373">HYPERLINK("https://seichotoushi-hojo.jp/assets/pdf/koufu_3_4ji/outline_225.pdf","PDFを開く")</f>
        <v>PDFを開く</v>
      </c>
      <c r="P3882" s="8" t="s">
        <v>3124</v>
      </c>
    </row>
    <row r="3883" spans="1:16" ht="33.950000000000003" customHeight="1">
      <c r="A3883" s="5" t="s">
        <v>3117</v>
      </c>
      <c r="B3883" s="5" t="s">
        <v>2430</v>
      </c>
      <c r="C3883" s="9" t="s">
        <v>3118</v>
      </c>
      <c r="D3883" s="5">
        <v>2</v>
      </c>
      <c r="E3883" s="9" t="s">
        <v>3176</v>
      </c>
      <c r="F3883" s="5" t="s">
        <v>447</v>
      </c>
      <c r="G3883" s="5" t="s">
        <v>3177</v>
      </c>
      <c r="H3883" s="5"/>
      <c r="I3883" s="9" t="s">
        <v>3305</v>
      </c>
      <c r="J3883" s="5"/>
      <c r="K3883" s="5">
        <v>17566</v>
      </c>
      <c r="L3883" s="9" t="s">
        <v>7250</v>
      </c>
      <c r="M3883" s="5">
        <v>37.6</v>
      </c>
      <c r="N3883" s="9" t="s">
        <v>7249</v>
      </c>
      <c r="O3883" s="9" t="str">
        <f t="shared" si="373"/>
        <v>PDFを開く</v>
      </c>
      <c r="P3883" s="9" t="s">
        <v>3124</v>
      </c>
    </row>
    <row r="3884" spans="1:16" ht="33.950000000000003" customHeight="1">
      <c r="A3884" s="2" t="s">
        <v>3117</v>
      </c>
      <c r="B3884" s="2" t="s">
        <v>2430</v>
      </c>
      <c r="C3884" s="8" t="s">
        <v>3118</v>
      </c>
      <c r="D3884" s="2">
        <v>2</v>
      </c>
      <c r="E3884" s="8" t="s">
        <v>3184</v>
      </c>
      <c r="F3884" s="2" t="s">
        <v>447</v>
      </c>
      <c r="G3884" s="2" t="s">
        <v>3177</v>
      </c>
      <c r="H3884" s="2"/>
      <c r="I3884" s="8" t="s">
        <v>3302</v>
      </c>
      <c r="J3884" s="2"/>
      <c r="K3884" s="2">
        <v>4808</v>
      </c>
      <c r="L3884" s="8" t="s">
        <v>6347</v>
      </c>
      <c r="M3884" s="2">
        <v>6.5</v>
      </c>
      <c r="N3884" s="8" t="s">
        <v>7251</v>
      </c>
      <c r="O3884" s="8" t="str">
        <f t="shared" si="373"/>
        <v>PDFを開く</v>
      </c>
      <c r="P3884" s="8" t="s">
        <v>3124</v>
      </c>
    </row>
    <row r="3885" spans="1:16" ht="33.950000000000003" customHeight="1">
      <c r="A3885" s="5" t="s">
        <v>3117</v>
      </c>
      <c r="B3885" s="5" t="s">
        <v>2430</v>
      </c>
      <c r="C3885" s="9" t="s">
        <v>3118</v>
      </c>
      <c r="D3885" s="5">
        <v>2</v>
      </c>
      <c r="E3885" s="9" t="s">
        <v>3184</v>
      </c>
      <c r="F3885" s="5" t="s">
        <v>447</v>
      </c>
      <c r="G3885" s="5" t="s">
        <v>3177</v>
      </c>
      <c r="H3885" s="5"/>
      <c r="I3885" s="9" t="s">
        <v>3305</v>
      </c>
      <c r="J3885" s="5"/>
      <c r="K3885" s="5">
        <v>5808</v>
      </c>
      <c r="L3885" s="9" t="s">
        <v>7252</v>
      </c>
      <c r="M3885" s="5">
        <v>6.5</v>
      </c>
      <c r="N3885" s="9" t="s">
        <v>7251</v>
      </c>
      <c r="O3885" s="9" t="str">
        <f t="shared" si="373"/>
        <v>PDFを開く</v>
      </c>
      <c r="P3885" s="9" t="s">
        <v>3124</v>
      </c>
    </row>
    <row r="3886" spans="1:16" ht="33.950000000000003" customHeight="1">
      <c r="A3886" s="2" t="s">
        <v>3117</v>
      </c>
      <c r="B3886" s="2" t="s">
        <v>2430</v>
      </c>
      <c r="C3886" s="8" t="s">
        <v>3118</v>
      </c>
      <c r="D3886" s="2">
        <v>2</v>
      </c>
      <c r="E3886" s="8" t="s">
        <v>3188</v>
      </c>
      <c r="F3886" s="2" t="s">
        <v>447</v>
      </c>
      <c r="G3886" s="19" t="s">
        <v>3189</v>
      </c>
      <c r="H3886" s="2"/>
      <c r="I3886" s="8"/>
      <c r="J3886" s="2"/>
      <c r="K3886" s="2"/>
      <c r="L3886" s="8"/>
      <c r="M3886" s="2">
        <v>6</v>
      </c>
      <c r="N3886" s="8" t="s">
        <v>7253</v>
      </c>
      <c r="O3886" s="8" t="str">
        <f t="shared" si="373"/>
        <v>PDFを開く</v>
      </c>
      <c r="P3886" s="8" t="s">
        <v>3124</v>
      </c>
    </row>
    <row r="3887" spans="1:16" ht="33.950000000000003" customHeight="1">
      <c r="A3887" s="5" t="s">
        <v>3117</v>
      </c>
      <c r="B3887" s="5" t="s">
        <v>2430</v>
      </c>
      <c r="C3887" s="9" t="s">
        <v>3118</v>
      </c>
      <c r="D3887" s="5">
        <v>2</v>
      </c>
      <c r="E3887" s="9" t="s">
        <v>3191</v>
      </c>
      <c r="F3887" s="5" t="s">
        <v>2513</v>
      </c>
      <c r="G3887" s="5" t="s">
        <v>3177</v>
      </c>
      <c r="H3887" s="5"/>
      <c r="I3887" s="9" t="s">
        <v>3302</v>
      </c>
      <c r="J3887" s="5"/>
      <c r="K3887" s="5">
        <v>245</v>
      </c>
      <c r="L3887" s="9" t="s">
        <v>7254</v>
      </c>
      <c r="M3887" s="5"/>
      <c r="N3887" s="9" t="s">
        <v>7255</v>
      </c>
      <c r="O3887" s="9" t="str">
        <f t="shared" si="373"/>
        <v>PDFを開く</v>
      </c>
      <c r="P3887" s="9" t="s">
        <v>3124</v>
      </c>
    </row>
    <row r="3888" spans="1:16" ht="33.950000000000003" customHeight="1">
      <c r="A3888" s="2" t="s">
        <v>3117</v>
      </c>
      <c r="B3888" s="2" t="s">
        <v>2430</v>
      </c>
      <c r="C3888" s="8" t="s">
        <v>3118</v>
      </c>
      <c r="D3888" s="2">
        <v>2</v>
      </c>
      <c r="E3888" s="8" t="s">
        <v>3191</v>
      </c>
      <c r="F3888" s="2" t="s">
        <v>2513</v>
      </c>
      <c r="G3888" s="2" t="s">
        <v>3177</v>
      </c>
      <c r="H3888" s="2"/>
      <c r="I3888" s="8" t="s">
        <v>3305</v>
      </c>
      <c r="J3888" s="2"/>
      <c r="K3888" s="2">
        <v>270</v>
      </c>
      <c r="L3888" s="8" t="s">
        <v>3192</v>
      </c>
      <c r="M3888" s="2"/>
      <c r="N3888" s="8" t="s">
        <v>7255</v>
      </c>
      <c r="O3888" s="8" t="str">
        <f t="shared" si="373"/>
        <v>PDFを開く</v>
      </c>
      <c r="P3888" s="8" t="s">
        <v>3124</v>
      </c>
    </row>
    <row r="3889" spans="1:16" ht="33.950000000000003" customHeight="1">
      <c r="A3889" s="5" t="s">
        <v>3117</v>
      </c>
      <c r="B3889" s="5" t="s">
        <v>2430</v>
      </c>
      <c r="C3889" s="9" t="s">
        <v>3118</v>
      </c>
      <c r="D3889" s="5">
        <v>2</v>
      </c>
      <c r="E3889" s="9" t="s">
        <v>3188</v>
      </c>
      <c r="F3889" s="5" t="s">
        <v>447</v>
      </c>
      <c r="G3889" s="5" t="s">
        <v>3177</v>
      </c>
      <c r="H3889" s="5"/>
      <c r="I3889" s="9" t="s">
        <v>7256</v>
      </c>
      <c r="J3889" s="5"/>
      <c r="K3889" s="5"/>
      <c r="L3889" s="9" t="s">
        <v>3211</v>
      </c>
      <c r="M3889" s="5">
        <v>6</v>
      </c>
      <c r="N3889" s="9" t="s">
        <v>6473</v>
      </c>
      <c r="O3889" s="9" t="str">
        <f t="shared" si="373"/>
        <v>PDFを開く</v>
      </c>
      <c r="P3889" s="9" t="s">
        <v>3124</v>
      </c>
    </row>
    <row r="3890" spans="1:16" ht="33.950000000000003" customHeight="1">
      <c r="A3890" s="2" t="s">
        <v>3117</v>
      </c>
      <c r="B3890" s="2" t="s">
        <v>2430</v>
      </c>
      <c r="C3890" s="8" t="s">
        <v>3118</v>
      </c>
      <c r="D3890" s="2">
        <v>2</v>
      </c>
      <c r="E3890" s="8" t="s">
        <v>3188</v>
      </c>
      <c r="F3890" s="2" t="s">
        <v>447</v>
      </c>
      <c r="G3890" s="2" t="s">
        <v>3177</v>
      </c>
      <c r="H3890" s="2"/>
      <c r="I3890" s="8" t="s">
        <v>7257</v>
      </c>
      <c r="J3890" s="2"/>
      <c r="K3890" s="2"/>
      <c r="L3890" s="8" t="s">
        <v>5378</v>
      </c>
      <c r="M3890" s="2">
        <v>6</v>
      </c>
      <c r="N3890" s="8" t="s">
        <v>6473</v>
      </c>
      <c r="O3890" s="8" t="str">
        <f t="shared" si="373"/>
        <v>PDFを開く</v>
      </c>
      <c r="P3890" s="8" t="s">
        <v>3124</v>
      </c>
    </row>
    <row r="3891" spans="1:16" ht="33.950000000000003" customHeight="1">
      <c r="A3891" s="5" t="s">
        <v>3125</v>
      </c>
      <c r="B3891" s="5" t="s">
        <v>2430</v>
      </c>
      <c r="C3891" s="9" t="s">
        <v>3126</v>
      </c>
      <c r="D3891" s="5">
        <v>2</v>
      </c>
      <c r="E3891" s="9" t="s">
        <v>3176</v>
      </c>
      <c r="F3891" s="5" t="s">
        <v>447</v>
      </c>
      <c r="G3891" s="5" t="s">
        <v>3177</v>
      </c>
      <c r="H3891" s="5" t="s">
        <v>3178</v>
      </c>
      <c r="I3891" s="9" t="s">
        <v>3302</v>
      </c>
      <c r="J3891" s="5"/>
      <c r="K3891" s="5">
        <v>18619</v>
      </c>
      <c r="L3891" s="9" t="s">
        <v>7258</v>
      </c>
      <c r="M3891" s="5">
        <v>49.3</v>
      </c>
      <c r="N3891" s="9" t="s">
        <v>7259</v>
      </c>
      <c r="O3891" s="9" t="str">
        <f t="shared" ref="O3891:O3899" si="374">HYPERLINK("https://seichotoushi-hojo.jp/assets/pdf/koufu_3_4ji/outline_226.pdf","PDFを開く")</f>
        <v>PDFを開く</v>
      </c>
      <c r="P3891" s="9" t="s">
        <v>3132</v>
      </c>
    </row>
    <row r="3892" spans="1:16" ht="33.950000000000003" customHeight="1">
      <c r="A3892" s="2" t="s">
        <v>3125</v>
      </c>
      <c r="B3892" s="2" t="s">
        <v>2430</v>
      </c>
      <c r="C3892" s="8" t="s">
        <v>3126</v>
      </c>
      <c r="D3892" s="2">
        <v>2</v>
      </c>
      <c r="E3892" s="8" t="s">
        <v>3176</v>
      </c>
      <c r="F3892" s="2" t="s">
        <v>447</v>
      </c>
      <c r="G3892" s="2" t="s">
        <v>3177</v>
      </c>
      <c r="H3892" s="2" t="s">
        <v>3178</v>
      </c>
      <c r="I3892" s="8" t="s">
        <v>3305</v>
      </c>
      <c r="J3892" s="2"/>
      <c r="K3892" s="2">
        <v>61917</v>
      </c>
      <c r="L3892" s="8" t="s">
        <v>7260</v>
      </c>
      <c r="M3892" s="2">
        <v>49.3</v>
      </c>
      <c r="N3892" s="8" t="s">
        <v>7259</v>
      </c>
      <c r="O3892" s="8" t="str">
        <f t="shared" si="374"/>
        <v>PDFを開く</v>
      </c>
      <c r="P3892" s="8" t="s">
        <v>3132</v>
      </c>
    </row>
    <row r="3893" spans="1:16" ht="33.950000000000003" customHeight="1">
      <c r="A3893" s="5" t="s">
        <v>3125</v>
      </c>
      <c r="B3893" s="5" t="s">
        <v>2430</v>
      </c>
      <c r="C3893" s="9" t="s">
        <v>3126</v>
      </c>
      <c r="D3893" s="5">
        <v>2</v>
      </c>
      <c r="E3893" s="9" t="s">
        <v>3184</v>
      </c>
      <c r="F3893" s="5" t="s">
        <v>447</v>
      </c>
      <c r="G3893" s="5" t="s">
        <v>3177</v>
      </c>
      <c r="H3893" s="5" t="s">
        <v>3178</v>
      </c>
      <c r="I3893" s="9" t="s">
        <v>3302</v>
      </c>
      <c r="J3893" s="5"/>
      <c r="K3893" s="5">
        <v>5353</v>
      </c>
      <c r="L3893" s="9" t="s">
        <v>7261</v>
      </c>
      <c r="M3893" s="5">
        <v>6</v>
      </c>
      <c r="N3893" s="9" t="s">
        <v>7262</v>
      </c>
      <c r="O3893" s="9" t="str">
        <f t="shared" si="374"/>
        <v>PDFを開く</v>
      </c>
      <c r="P3893" s="9" t="s">
        <v>3132</v>
      </c>
    </row>
    <row r="3894" spans="1:16" ht="33.950000000000003" customHeight="1">
      <c r="A3894" s="2" t="s">
        <v>3125</v>
      </c>
      <c r="B3894" s="2" t="s">
        <v>2430</v>
      </c>
      <c r="C3894" s="8" t="s">
        <v>3126</v>
      </c>
      <c r="D3894" s="2">
        <v>2</v>
      </c>
      <c r="E3894" s="8" t="s">
        <v>3184</v>
      </c>
      <c r="F3894" s="2" t="s">
        <v>447</v>
      </c>
      <c r="G3894" s="2" t="s">
        <v>3177</v>
      </c>
      <c r="H3894" s="2" t="s">
        <v>3178</v>
      </c>
      <c r="I3894" s="8" t="s">
        <v>3305</v>
      </c>
      <c r="J3894" s="2"/>
      <c r="K3894" s="2">
        <v>6370</v>
      </c>
      <c r="L3894" s="8" t="s">
        <v>7263</v>
      </c>
      <c r="M3894" s="2">
        <v>6</v>
      </c>
      <c r="N3894" s="8" t="s">
        <v>7262</v>
      </c>
      <c r="O3894" s="8" t="str">
        <f t="shared" si="374"/>
        <v>PDFを開く</v>
      </c>
      <c r="P3894" s="8" t="s">
        <v>3132</v>
      </c>
    </row>
    <row r="3895" spans="1:16" ht="33.950000000000003" customHeight="1">
      <c r="A3895" s="5" t="s">
        <v>3125</v>
      </c>
      <c r="B3895" s="5" t="s">
        <v>2430</v>
      </c>
      <c r="C3895" s="9" t="s">
        <v>3126</v>
      </c>
      <c r="D3895" s="5">
        <v>2</v>
      </c>
      <c r="E3895" s="9" t="s">
        <v>3188</v>
      </c>
      <c r="F3895" s="5" t="s">
        <v>447</v>
      </c>
      <c r="G3895" s="19" t="s">
        <v>3189</v>
      </c>
      <c r="H3895" s="5"/>
      <c r="I3895" s="9"/>
      <c r="J3895" s="5"/>
      <c r="K3895" s="5"/>
      <c r="L3895" s="9"/>
      <c r="M3895" s="5">
        <v>6.3</v>
      </c>
      <c r="N3895" s="9" t="s">
        <v>7264</v>
      </c>
      <c r="O3895" s="9" t="str">
        <f t="shared" si="374"/>
        <v>PDFを開く</v>
      </c>
      <c r="P3895" s="9" t="s">
        <v>3132</v>
      </c>
    </row>
    <row r="3896" spans="1:16" ht="33.950000000000003" customHeight="1">
      <c r="A3896" s="2" t="s">
        <v>3125</v>
      </c>
      <c r="B3896" s="2" t="s">
        <v>2430</v>
      </c>
      <c r="C3896" s="8" t="s">
        <v>3126</v>
      </c>
      <c r="D3896" s="2">
        <v>2</v>
      </c>
      <c r="E3896" s="8" t="s">
        <v>3191</v>
      </c>
      <c r="F3896" s="2" t="s">
        <v>2513</v>
      </c>
      <c r="G3896" s="2" t="s">
        <v>3177</v>
      </c>
      <c r="H3896" s="2"/>
      <c r="I3896" s="8" t="s">
        <v>3302</v>
      </c>
      <c r="J3896" s="2"/>
      <c r="K3896" s="2">
        <v>31</v>
      </c>
      <c r="L3896" s="8" t="s">
        <v>3588</v>
      </c>
      <c r="M3896" s="2"/>
      <c r="N3896" s="8" t="s">
        <v>7265</v>
      </c>
      <c r="O3896" s="8" t="str">
        <f t="shared" si="374"/>
        <v>PDFを開く</v>
      </c>
      <c r="P3896" s="8" t="s">
        <v>3132</v>
      </c>
    </row>
    <row r="3897" spans="1:16" ht="33.950000000000003" customHeight="1">
      <c r="A3897" s="5" t="s">
        <v>3125</v>
      </c>
      <c r="B3897" s="5" t="s">
        <v>2430</v>
      </c>
      <c r="C3897" s="9" t="s">
        <v>3126</v>
      </c>
      <c r="D3897" s="5">
        <v>2</v>
      </c>
      <c r="E3897" s="9" t="s">
        <v>3191</v>
      </c>
      <c r="F3897" s="5" t="s">
        <v>2513</v>
      </c>
      <c r="G3897" s="5" t="s">
        <v>3177</v>
      </c>
      <c r="H3897" s="5"/>
      <c r="I3897" s="9" t="s">
        <v>3305</v>
      </c>
      <c r="J3897" s="5"/>
      <c r="K3897" s="5">
        <v>37</v>
      </c>
      <c r="L3897" s="9" t="s">
        <v>4155</v>
      </c>
      <c r="M3897" s="5"/>
      <c r="N3897" s="9" t="s">
        <v>7265</v>
      </c>
      <c r="O3897" s="9" t="str">
        <f t="shared" si="374"/>
        <v>PDFを開く</v>
      </c>
      <c r="P3897" s="9" t="s">
        <v>3132</v>
      </c>
    </row>
    <row r="3898" spans="1:16" ht="33.950000000000003" customHeight="1">
      <c r="A3898" s="2" t="s">
        <v>3125</v>
      </c>
      <c r="B3898" s="2" t="s">
        <v>2430</v>
      </c>
      <c r="C3898" s="8" t="s">
        <v>3126</v>
      </c>
      <c r="D3898" s="2">
        <v>2</v>
      </c>
      <c r="E3898" s="8" t="s">
        <v>3188</v>
      </c>
      <c r="F3898" s="2" t="s">
        <v>447</v>
      </c>
      <c r="G3898" s="2" t="s">
        <v>3177</v>
      </c>
      <c r="H3898" s="2"/>
      <c r="I3898" s="8" t="s">
        <v>7266</v>
      </c>
      <c r="J3898" s="2"/>
      <c r="K3898" s="2"/>
      <c r="L3898" s="8" t="s">
        <v>3211</v>
      </c>
      <c r="M3898" s="2">
        <v>6.3</v>
      </c>
      <c r="N3898" s="8" t="s">
        <v>7267</v>
      </c>
      <c r="O3898" s="8" t="str">
        <f t="shared" si="374"/>
        <v>PDFを開く</v>
      </c>
      <c r="P3898" s="8" t="s">
        <v>3132</v>
      </c>
    </row>
    <row r="3899" spans="1:16" ht="33.950000000000003" customHeight="1">
      <c r="A3899" s="5" t="s">
        <v>3125</v>
      </c>
      <c r="B3899" s="5" t="s">
        <v>2430</v>
      </c>
      <c r="C3899" s="9" t="s">
        <v>3126</v>
      </c>
      <c r="D3899" s="5">
        <v>2</v>
      </c>
      <c r="E3899" s="9" t="s">
        <v>3188</v>
      </c>
      <c r="F3899" s="5" t="s">
        <v>447</v>
      </c>
      <c r="G3899" s="5" t="s">
        <v>3177</v>
      </c>
      <c r="H3899" s="5"/>
      <c r="I3899" s="9" t="s">
        <v>7268</v>
      </c>
      <c r="J3899" s="5"/>
      <c r="K3899" s="5"/>
      <c r="L3899" s="9" t="s">
        <v>5810</v>
      </c>
      <c r="M3899" s="5">
        <v>6.3</v>
      </c>
      <c r="N3899" s="9" t="s">
        <v>7267</v>
      </c>
      <c r="O3899" s="9" t="str">
        <f t="shared" si="374"/>
        <v>PDFを開く</v>
      </c>
      <c r="P3899" s="9" t="s">
        <v>3132</v>
      </c>
    </row>
    <row r="3900" spans="1:16" ht="33.950000000000003" customHeight="1">
      <c r="A3900" s="2" t="s">
        <v>3133</v>
      </c>
      <c r="B3900" s="2" t="s">
        <v>2430</v>
      </c>
      <c r="C3900" s="8" t="s">
        <v>3134</v>
      </c>
      <c r="D3900" s="2">
        <v>2</v>
      </c>
      <c r="E3900" s="8" t="s">
        <v>3176</v>
      </c>
      <c r="F3900" s="2" t="s">
        <v>447</v>
      </c>
      <c r="G3900" s="2" t="s">
        <v>3177</v>
      </c>
      <c r="H3900" s="2"/>
      <c r="I3900" s="8" t="s">
        <v>3302</v>
      </c>
      <c r="J3900" s="2"/>
      <c r="K3900" s="2">
        <v>13936</v>
      </c>
      <c r="L3900" s="8" t="s">
        <v>7269</v>
      </c>
      <c r="M3900" s="2">
        <v>14</v>
      </c>
      <c r="N3900" s="8" t="s">
        <v>7270</v>
      </c>
      <c r="O3900" s="8" t="str">
        <f t="shared" ref="O3900:O3908" si="375">HYPERLINK("https://seichotoushi-hojo.jp/assets/pdf/koufu_3_4ji/outline_227.pdf","PDFを開く")</f>
        <v>PDFを開く</v>
      </c>
      <c r="P3900" s="8" t="s">
        <v>3140</v>
      </c>
    </row>
    <row r="3901" spans="1:16" ht="33.950000000000003" customHeight="1">
      <c r="A3901" s="5" t="s">
        <v>3133</v>
      </c>
      <c r="B3901" s="5" t="s">
        <v>2430</v>
      </c>
      <c r="C3901" s="9" t="s">
        <v>3134</v>
      </c>
      <c r="D3901" s="5">
        <v>2</v>
      </c>
      <c r="E3901" s="9" t="s">
        <v>3176</v>
      </c>
      <c r="F3901" s="5" t="s">
        <v>447</v>
      </c>
      <c r="G3901" s="5" t="s">
        <v>3177</v>
      </c>
      <c r="H3901" s="5"/>
      <c r="I3901" s="9" t="s">
        <v>3305</v>
      </c>
      <c r="J3901" s="5"/>
      <c r="K3901" s="5">
        <v>20656</v>
      </c>
      <c r="L3901" s="9" t="s">
        <v>7271</v>
      </c>
      <c r="M3901" s="5">
        <v>14</v>
      </c>
      <c r="N3901" s="9" t="s">
        <v>7270</v>
      </c>
      <c r="O3901" s="9" t="str">
        <f t="shared" si="375"/>
        <v>PDFを開く</v>
      </c>
      <c r="P3901" s="9" t="s">
        <v>3140</v>
      </c>
    </row>
    <row r="3902" spans="1:16" ht="33.950000000000003" customHeight="1">
      <c r="A3902" s="2" t="s">
        <v>3133</v>
      </c>
      <c r="B3902" s="2" t="s">
        <v>2430</v>
      </c>
      <c r="C3902" s="8" t="s">
        <v>3134</v>
      </c>
      <c r="D3902" s="2">
        <v>2</v>
      </c>
      <c r="E3902" s="8" t="s">
        <v>3184</v>
      </c>
      <c r="F3902" s="2" t="s">
        <v>447</v>
      </c>
      <c r="G3902" s="2" t="s">
        <v>3177</v>
      </c>
      <c r="H3902" s="2"/>
      <c r="I3902" s="8" t="s">
        <v>3302</v>
      </c>
      <c r="J3902" s="2"/>
      <c r="K3902" s="2">
        <v>5169</v>
      </c>
      <c r="L3902" s="8" t="s">
        <v>7272</v>
      </c>
      <c r="M3902" s="2">
        <v>7</v>
      </c>
      <c r="N3902" s="8" t="s">
        <v>7273</v>
      </c>
      <c r="O3902" s="8" t="str">
        <f t="shared" si="375"/>
        <v>PDFを開く</v>
      </c>
      <c r="P3902" s="8" t="s">
        <v>3140</v>
      </c>
    </row>
    <row r="3903" spans="1:16" ht="33.950000000000003" customHeight="1">
      <c r="A3903" s="5" t="s">
        <v>3133</v>
      </c>
      <c r="B3903" s="5" t="s">
        <v>2430</v>
      </c>
      <c r="C3903" s="9" t="s">
        <v>3134</v>
      </c>
      <c r="D3903" s="5">
        <v>2</v>
      </c>
      <c r="E3903" s="9" t="s">
        <v>3184</v>
      </c>
      <c r="F3903" s="5" t="s">
        <v>447</v>
      </c>
      <c r="G3903" s="5" t="s">
        <v>3177</v>
      </c>
      <c r="H3903" s="5"/>
      <c r="I3903" s="9" t="s">
        <v>3305</v>
      </c>
      <c r="J3903" s="5"/>
      <c r="K3903" s="5">
        <v>6338</v>
      </c>
      <c r="L3903" s="9" t="s">
        <v>7274</v>
      </c>
      <c r="M3903" s="5">
        <v>7</v>
      </c>
      <c r="N3903" s="9" t="s">
        <v>7273</v>
      </c>
      <c r="O3903" s="9" t="str">
        <f t="shared" si="375"/>
        <v>PDFを開く</v>
      </c>
      <c r="P3903" s="9" t="s">
        <v>3140</v>
      </c>
    </row>
    <row r="3904" spans="1:16" ht="33.950000000000003" customHeight="1">
      <c r="A3904" s="2" t="s">
        <v>3133</v>
      </c>
      <c r="B3904" s="2" t="s">
        <v>2430</v>
      </c>
      <c r="C3904" s="8" t="s">
        <v>3134</v>
      </c>
      <c r="D3904" s="2">
        <v>2</v>
      </c>
      <c r="E3904" s="8" t="s">
        <v>3188</v>
      </c>
      <c r="F3904" s="2" t="s">
        <v>447</v>
      </c>
      <c r="G3904" s="19" t="s">
        <v>3189</v>
      </c>
      <c r="H3904" s="2"/>
      <c r="I3904" s="8"/>
      <c r="J3904" s="2"/>
      <c r="K3904" s="2"/>
      <c r="L3904" s="8"/>
      <c r="M3904" s="2">
        <v>5.7</v>
      </c>
      <c r="N3904" s="8" t="s">
        <v>7275</v>
      </c>
      <c r="O3904" s="8" t="str">
        <f t="shared" si="375"/>
        <v>PDFを開く</v>
      </c>
      <c r="P3904" s="8" t="s">
        <v>3140</v>
      </c>
    </row>
    <row r="3905" spans="1:16" ht="33.950000000000003" customHeight="1">
      <c r="A3905" s="5" t="s">
        <v>3133</v>
      </c>
      <c r="B3905" s="5" t="s">
        <v>2430</v>
      </c>
      <c r="C3905" s="9" t="s">
        <v>3134</v>
      </c>
      <c r="D3905" s="5">
        <v>2</v>
      </c>
      <c r="E3905" s="9" t="s">
        <v>3191</v>
      </c>
      <c r="F3905" s="5" t="s">
        <v>2513</v>
      </c>
      <c r="G3905" s="5" t="s">
        <v>3177</v>
      </c>
      <c r="H3905" s="5"/>
      <c r="I3905" s="9" t="s">
        <v>3302</v>
      </c>
      <c r="J3905" s="5"/>
      <c r="K3905" s="5">
        <v>195</v>
      </c>
      <c r="L3905" s="9" t="s">
        <v>4772</v>
      </c>
      <c r="M3905" s="5"/>
      <c r="N3905" s="9" t="s">
        <v>7276</v>
      </c>
      <c r="O3905" s="9" t="str">
        <f t="shared" si="375"/>
        <v>PDFを開く</v>
      </c>
      <c r="P3905" s="9" t="s">
        <v>3140</v>
      </c>
    </row>
    <row r="3906" spans="1:16" ht="33.950000000000003" customHeight="1">
      <c r="A3906" s="2" t="s">
        <v>3133</v>
      </c>
      <c r="B3906" s="2" t="s">
        <v>2430</v>
      </c>
      <c r="C3906" s="8" t="s">
        <v>3134</v>
      </c>
      <c r="D3906" s="2">
        <v>2</v>
      </c>
      <c r="E3906" s="8" t="s">
        <v>3191</v>
      </c>
      <c r="F3906" s="2" t="s">
        <v>2513</v>
      </c>
      <c r="G3906" s="2" t="s">
        <v>3177</v>
      </c>
      <c r="H3906" s="2"/>
      <c r="I3906" s="8" t="s">
        <v>3305</v>
      </c>
      <c r="J3906" s="2"/>
      <c r="K3906" s="2">
        <v>210</v>
      </c>
      <c r="L3906" s="8" t="s">
        <v>3671</v>
      </c>
      <c r="M3906" s="2"/>
      <c r="N3906" s="8" t="s">
        <v>7276</v>
      </c>
      <c r="O3906" s="8" t="str">
        <f t="shared" si="375"/>
        <v>PDFを開く</v>
      </c>
      <c r="P3906" s="8" t="s">
        <v>3140</v>
      </c>
    </row>
    <row r="3907" spans="1:16" ht="33.950000000000003" customHeight="1">
      <c r="A3907" s="5" t="s">
        <v>3133</v>
      </c>
      <c r="B3907" s="5" t="s">
        <v>2430</v>
      </c>
      <c r="C3907" s="9" t="s">
        <v>3134</v>
      </c>
      <c r="D3907" s="5">
        <v>2</v>
      </c>
      <c r="E3907" s="9" t="s">
        <v>3188</v>
      </c>
      <c r="F3907" s="5" t="s">
        <v>447</v>
      </c>
      <c r="G3907" s="5" t="s">
        <v>3177</v>
      </c>
      <c r="H3907" s="5"/>
      <c r="I3907" s="9" t="s">
        <v>7277</v>
      </c>
      <c r="J3907" s="5"/>
      <c r="K3907" s="5"/>
      <c r="L3907" s="9" t="s">
        <v>3211</v>
      </c>
      <c r="M3907" s="5">
        <v>5.7</v>
      </c>
      <c r="N3907" s="9" t="s">
        <v>6702</v>
      </c>
      <c r="O3907" s="9" t="str">
        <f t="shared" si="375"/>
        <v>PDFを開く</v>
      </c>
      <c r="P3907" s="9" t="s">
        <v>3140</v>
      </c>
    </row>
    <row r="3908" spans="1:16" ht="33.950000000000003" customHeight="1">
      <c r="A3908" s="2" t="s">
        <v>3133</v>
      </c>
      <c r="B3908" s="2" t="s">
        <v>2430</v>
      </c>
      <c r="C3908" s="8" t="s">
        <v>3134</v>
      </c>
      <c r="D3908" s="2">
        <v>2</v>
      </c>
      <c r="E3908" s="8" t="s">
        <v>3188</v>
      </c>
      <c r="F3908" s="2" t="s">
        <v>447</v>
      </c>
      <c r="G3908" s="2" t="s">
        <v>3177</v>
      </c>
      <c r="H3908" s="2"/>
      <c r="I3908" s="8" t="s">
        <v>7278</v>
      </c>
      <c r="J3908" s="2"/>
      <c r="K3908" s="2"/>
      <c r="L3908" s="8" t="s">
        <v>6704</v>
      </c>
      <c r="M3908" s="2">
        <v>5.7</v>
      </c>
      <c r="N3908" s="8" t="s">
        <v>6702</v>
      </c>
      <c r="O3908" s="8" t="str">
        <f t="shared" si="375"/>
        <v>PDFを開く</v>
      </c>
      <c r="P3908" s="8" t="s">
        <v>3140</v>
      </c>
    </row>
    <row r="3909" spans="1:16" ht="33.950000000000003" customHeight="1">
      <c r="A3909" s="5" t="s">
        <v>3141</v>
      </c>
      <c r="B3909" s="5" t="s">
        <v>2430</v>
      </c>
      <c r="C3909" s="9" t="s">
        <v>3142</v>
      </c>
      <c r="D3909" s="5">
        <v>2</v>
      </c>
      <c r="E3909" s="9" t="s">
        <v>3176</v>
      </c>
      <c r="F3909" s="5" t="s">
        <v>447</v>
      </c>
      <c r="G3909" s="5" t="s">
        <v>3177</v>
      </c>
      <c r="H3909" s="5" t="s">
        <v>3178</v>
      </c>
      <c r="I3909" s="9" t="s">
        <v>3302</v>
      </c>
      <c r="J3909" s="5"/>
      <c r="K3909" s="5">
        <v>7496</v>
      </c>
      <c r="L3909" s="9" t="s">
        <v>7279</v>
      </c>
      <c r="M3909" s="5">
        <v>9.1999999999999993</v>
      </c>
      <c r="N3909" s="9" t="s">
        <v>7280</v>
      </c>
      <c r="O3909" s="9" t="str">
        <f t="shared" ref="O3909:O3917" si="376">HYPERLINK("https://seichotoushi-hojo.jp/assets/pdf/koufu_3_4ji/outline_228.pdf","PDFを開く")</f>
        <v>PDFを開く</v>
      </c>
      <c r="P3909" s="9" t="s">
        <v>3148</v>
      </c>
    </row>
    <row r="3910" spans="1:16" ht="33.950000000000003" customHeight="1">
      <c r="A3910" s="2" t="s">
        <v>3141</v>
      </c>
      <c r="B3910" s="2" t="s">
        <v>2430</v>
      </c>
      <c r="C3910" s="8" t="s">
        <v>3142</v>
      </c>
      <c r="D3910" s="2">
        <v>2</v>
      </c>
      <c r="E3910" s="8" t="s">
        <v>3176</v>
      </c>
      <c r="F3910" s="2" t="s">
        <v>447</v>
      </c>
      <c r="G3910" s="2" t="s">
        <v>3177</v>
      </c>
      <c r="H3910" s="2" t="s">
        <v>3178</v>
      </c>
      <c r="I3910" s="8" t="s">
        <v>3305</v>
      </c>
      <c r="J3910" s="2"/>
      <c r="K3910" s="2">
        <v>9762</v>
      </c>
      <c r="L3910" s="8" t="s">
        <v>7281</v>
      </c>
      <c r="M3910" s="2">
        <v>9.1999999999999993</v>
      </c>
      <c r="N3910" s="8" t="s">
        <v>7280</v>
      </c>
      <c r="O3910" s="8" t="str">
        <f t="shared" si="376"/>
        <v>PDFを開く</v>
      </c>
      <c r="P3910" s="8" t="s">
        <v>3148</v>
      </c>
    </row>
    <row r="3911" spans="1:16" ht="33.950000000000003" customHeight="1">
      <c r="A3911" s="5" t="s">
        <v>3141</v>
      </c>
      <c r="B3911" s="5" t="s">
        <v>2430</v>
      </c>
      <c r="C3911" s="9" t="s">
        <v>3142</v>
      </c>
      <c r="D3911" s="5">
        <v>2</v>
      </c>
      <c r="E3911" s="9" t="s">
        <v>3184</v>
      </c>
      <c r="F3911" s="5" t="s">
        <v>447</v>
      </c>
      <c r="G3911" s="5" t="s">
        <v>3177</v>
      </c>
      <c r="H3911" s="5" t="s">
        <v>3178</v>
      </c>
      <c r="I3911" s="9" t="s">
        <v>3302</v>
      </c>
      <c r="J3911" s="5"/>
      <c r="K3911" s="5">
        <v>3830</v>
      </c>
      <c r="L3911" s="9" t="s">
        <v>7282</v>
      </c>
      <c r="M3911" s="5">
        <v>7.1</v>
      </c>
      <c r="N3911" s="9" t="s">
        <v>7283</v>
      </c>
      <c r="O3911" s="9" t="str">
        <f t="shared" si="376"/>
        <v>PDFを開く</v>
      </c>
      <c r="P3911" s="9" t="s">
        <v>3148</v>
      </c>
    </row>
    <row r="3912" spans="1:16" ht="33.950000000000003" customHeight="1">
      <c r="A3912" s="2" t="s">
        <v>3141</v>
      </c>
      <c r="B3912" s="2" t="s">
        <v>2430</v>
      </c>
      <c r="C3912" s="8" t="s">
        <v>3142</v>
      </c>
      <c r="D3912" s="2">
        <v>2</v>
      </c>
      <c r="E3912" s="8" t="s">
        <v>3184</v>
      </c>
      <c r="F3912" s="2" t="s">
        <v>447</v>
      </c>
      <c r="G3912" s="2" t="s">
        <v>3177</v>
      </c>
      <c r="H3912" s="2" t="s">
        <v>3178</v>
      </c>
      <c r="I3912" s="8" t="s">
        <v>3305</v>
      </c>
      <c r="J3912" s="2"/>
      <c r="K3912" s="2">
        <v>4700</v>
      </c>
      <c r="L3912" s="8" t="s">
        <v>7284</v>
      </c>
      <c r="M3912" s="2">
        <v>7.1</v>
      </c>
      <c r="N3912" s="8" t="s">
        <v>7283</v>
      </c>
      <c r="O3912" s="8" t="str">
        <f t="shared" si="376"/>
        <v>PDFを開く</v>
      </c>
      <c r="P3912" s="8" t="s">
        <v>3148</v>
      </c>
    </row>
    <row r="3913" spans="1:16" ht="33.950000000000003" customHeight="1">
      <c r="A3913" s="5" t="s">
        <v>3141</v>
      </c>
      <c r="B3913" s="5" t="s">
        <v>2430</v>
      </c>
      <c r="C3913" s="9" t="s">
        <v>3142</v>
      </c>
      <c r="D3913" s="5">
        <v>2</v>
      </c>
      <c r="E3913" s="9" t="s">
        <v>3188</v>
      </c>
      <c r="F3913" s="5" t="s">
        <v>447</v>
      </c>
      <c r="G3913" s="19" t="s">
        <v>3189</v>
      </c>
      <c r="H3913" s="5"/>
      <c r="I3913" s="9"/>
      <c r="J3913" s="5"/>
      <c r="K3913" s="5"/>
      <c r="L3913" s="9"/>
      <c r="M3913" s="5">
        <v>5</v>
      </c>
      <c r="N3913" s="9" t="s">
        <v>6646</v>
      </c>
      <c r="O3913" s="9" t="str">
        <f t="shared" si="376"/>
        <v>PDFを開く</v>
      </c>
      <c r="P3913" s="9" t="s">
        <v>3148</v>
      </c>
    </row>
    <row r="3914" spans="1:16" ht="33.950000000000003" customHeight="1">
      <c r="A3914" s="2" t="s">
        <v>3141</v>
      </c>
      <c r="B3914" s="2" t="s">
        <v>2430</v>
      </c>
      <c r="C3914" s="8" t="s">
        <v>3142</v>
      </c>
      <c r="D3914" s="2">
        <v>2</v>
      </c>
      <c r="E3914" s="8" t="s">
        <v>3191</v>
      </c>
      <c r="F3914" s="2" t="s">
        <v>2513</v>
      </c>
      <c r="G3914" s="2" t="s">
        <v>3177</v>
      </c>
      <c r="H3914" s="2"/>
      <c r="I3914" s="8" t="s">
        <v>3302</v>
      </c>
      <c r="J3914" s="2"/>
      <c r="K3914" s="2">
        <v>47</v>
      </c>
      <c r="L3914" s="8" t="s">
        <v>3707</v>
      </c>
      <c r="M3914" s="2"/>
      <c r="N3914" s="8" t="s">
        <v>7285</v>
      </c>
      <c r="O3914" s="8" t="str">
        <f t="shared" si="376"/>
        <v>PDFを開く</v>
      </c>
      <c r="P3914" s="8" t="s">
        <v>3148</v>
      </c>
    </row>
    <row r="3915" spans="1:16" ht="33.950000000000003" customHeight="1">
      <c r="A3915" s="5" t="s">
        <v>3141</v>
      </c>
      <c r="B3915" s="5" t="s">
        <v>2430</v>
      </c>
      <c r="C3915" s="9" t="s">
        <v>3142</v>
      </c>
      <c r="D3915" s="5">
        <v>2</v>
      </c>
      <c r="E3915" s="9" t="s">
        <v>3191</v>
      </c>
      <c r="F3915" s="5" t="s">
        <v>2513</v>
      </c>
      <c r="G3915" s="5" t="s">
        <v>3177</v>
      </c>
      <c r="H3915" s="5"/>
      <c r="I3915" s="9" t="s">
        <v>3305</v>
      </c>
      <c r="J3915" s="5"/>
      <c r="K3915" s="5">
        <v>100</v>
      </c>
      <c r="L3915" s="9" t="s">
        <v>3417</v>
      </c>
      <c r="M3915" s="5"/>
      <c r="N3915" s="9" t="s">
        <v>7285</v>
      </c>
      <c r="O3915" s="9" t="str">
        <f t="shared" si="376"/>
        <v>PDFを開く</v>
      </c>
      <c r="P3915" s="9" t="s">
        <v>3148</v>
      </c>
    </row>
    <row r="3916" spans="1:16" ht="33.950000000000003" customHeight="1">
      <c r="A3916" s="2" t="s">
        <v>3141</v>
      </c>
      <c r="B3916" s="2" t="s">
        <v>2430</v>
      </c>
      <c r="C3916" s="8" t="s">
        <v>3142</v>
      </c>
      <c r="D3916" s="2">
        <v>2</v>
      </c>
      <c r="E3916" s="8" t="s">
        <v>3188</v>
      </c>
      <c r="F3916" s="2" t="s">
        <v>447</v>
      </c>
      <c r="G3916" s="2" t="s">
        <v>3177</v>
      </c>
      <c r="H3916" s="2"/>
      <c r="I3916" s="8" t="s">
        <v>7286</v>
      </c>
      <c r="J3916" s="2"/>
      <c r="K3916" s="2"/>
      <c r="L3916" s="8" t="s">
        <v>3211</v>
      </c>
      <c r="M3916" s="2">
        <v>5</v>
      </c>
      <c r="N3916" s="8" t="s">
        <v>6384</v>
      </c>
      <c r="O3916" s="8" t="str">
        <f t="shared" si="376"/>
        <v>PDFを開く</v>
      </c>
      <c r="P3916" s="8" t="s">
        <v>3148</v>
      </c>
    </row>
    <row r="3917" spans="1:16" ht="33.950000000000003" customHeight="1">
      <c r="A3917" s="5" t="s">
        <v>3141</v>
      </c>
      <c r="B3917" s="5" t="s">
        <v>2430</v>
      </c>
      <c r="C3917" s="9" t="s">
        <v>3142</v>
      </c>
      <c r="D3917" s="5">
        <v>2</v>
      </c>
      <c r="E3917" s="9" t="s">
        <v>3188</v>
      </c>
      <c r="F3917" s="5" t="s">
        <v>447</v>
      </c>
      <c r="G3917" s="5" t="s">
        <v>3177</v>
      </c>
      <c r="H3917" s="5"/>
      <c r="I3917" s="9" t="s">
        <v>7287</v>
      </c>
      <c r="J3917" s="5"/>
      <c r="K3917" s="5"/>
      <c r="L3917" s="9" t="s">
        <v>3384</v>
      </c>
      <c r="M3917" s="5">
        <v>5</v>
      </c>
      <c r="N3917" s="9" t="s">
        <v>6384</v>
      </c>
      <c r="O3917" s="9" t="str">
        <f t="shared" si="376"/>
        <v>PDFを開く</v>
      </c>
      <c r="P3917" s="9" t="s">
        <v>3148</v>
      </c>
    </row>
    <row r="3918" spans="1:16" ht="33.950000000000003" customHeight="1">
      <c r="A3918" s="2" t="s">
        <v>3149</v>
      </c>
      <c r="B3918" s="2" t="s">
        <v>2430</v>
      </c>
      <c r="C3918" s="8" t="s">
        <v>3150</v>
      </c>
      <c r="D3918" s="2">
        <v>2</v>
      </c>
      <c r="E3918" s="8" t="s">
        <v>3176</v>
      </c>
      <c r="F3918" s="2" t="s">
        <v>86</v>
      </c>
      <c r="G3918" s="2" t="s">
        <v>3177</v>
      </c>
      <c r="H3918" s="2" t="s">
        <v>3178</v>
      </c>
      <c r="I3918" s="8" t="s">
        <v>3259</v>
      </c>
      <c r="J3918" s="2">
        <v>2027</v>
      </c>
      <c r="K3918" s="2">
        <v>41258</v>
      </c>
      <c r="L3918" s="8" t="s">
        <v>7288</v>
      </c>
      <c r="M3918" s="2">
        <v>17.600000000000001</v>
      </c>
      <c r="N3918" s="8" t="s">
        <v>7289</v>
      </c>
      <c r="O3918" s="8" t="str">
        <f t="shared" ref="O3918:O3926" si="377">HYPERLINK("https://seichotoushi-hojo.jp/assets/pdf/koufu_3_4ji/outline_230.pdf","PDFを開く")</f>
        <v>PDFを開く</v>
      </c>
      <c r="P3918" s="8" t="s">
        <v>3154</v>
      </c>
    </row>
    <row r="3919" spans="1:16" ht="33.950000000000003" customHeight="1">
      <c r="A3919" s="5" t="s">
        <v>3149</v>
      </c>
      <c r="B3919" s="5" t="s">
        <v>2430</v>
      </c>
      <c r="C3919" s="9" t="s">
        <v>3150</v>
      </c>
      <c r="D3919" s="5">
        <v>2</v>
      </c>
      <c r="E3919" s="9" t="s">
        <v>3176</v>
      </c>
      <c r="F3919" s="5" t="s">
        <v>86</v>
      </c>
      <c r="G3919" s="5" t="s">
        <v>3177</v>
      </c>
      <c r="H3919" s="5" t="s">
        <v>3178</v>
      </c>
      <c r="I3919" s="9" t="s">
        <v>3262</v>
      </c>
      <c r="J3919" s="5">
        <v>2030</v>
      </c>
      <c r="K3919" s="5">
        <v>67145</v>
      </c>
      <c r="L3919" s="9" t="s">
        <v>7290</v>
      </c>
      <c r="M3919" s="5">
        <v>17.600000000000001</v>
      </c>
      <c r="N3919" s="9" t="s">
        <v>7289</v>
      </c>
      <c r="O3919" s="9" t="str">
        <f t="shared" si="377"/>
        <v>PDFを開く</v>
      </c>
      <c r="P3919" s="9" t="s">
        <v>3154</v>
      </c>
    </row>
    <row r="3920" spans="1:16" ht="33.950000000000003" customHeight="1">
      <c r="A3920" s="2" t="s">
        <v>3149</v>
      </c>
      <c r="B3920" s="2" t="s">
        <v>2430</v>
      </c>
      <c r="C3920" s="8" t="s">
        <v>3150</v>
      </c>
      <c r="D3920" s="2">
        <v>2</v>
      </c>
      <c r="E3920" s="8" t="s">
        <v>3184</v>
      </c>
      <c r="F3920" s="2" t="s">
        <v>86</v>
      </c>
      <c r="G3920" s="2" t="s">
        <v>3177</v>
      </c>
      <c r="H3920" s="2" t="s">
        <v>3178</v>
      </c>
      <c r="I3920" s="8" t="s">
        <v>3259</v>
      </c>
      <c r="J3920" s="2">
        <v>2027</v>
      </c>
      <c r="K3920" s="2">
        <v>3819</v>
      </c>
      <c r="L3920" s="8" t="s">
        <v>7291</v>
      </c>
      <c r="M3920" s="2">
        <v>8.8000000000000007</v>
      </c>
      <c r="N3920" s="8" t="s">
        <v>7292</v>
      </c>
      <c r="O3920" s="8" t="str">
        <f t="shared" si="377"/>
        <v>PDFを開く</v>
      </c>
      <c r="P3920" s="8" t="s">
        <v>3154</v>
      </c>
    </row>
    <row r="3921" spans="1:16" ht="33.950000000000003" customHeight="1">
      <c r="A3921" s="5" t="s">
        <v>3149</v>
      </c>
      <c r="B3921" s="5" t="s">
        <v>2430</v>
      </c>
      <c r="C3921" s="9" t="s">
        <v>3150</v>
      </c>
      <c r="D3921" s="5">
        <v>2</v>
      </c>
      <c r="E3921" s="9" t="s">
        <v>3184</v>
      </c>
      <c r="F3921" s="5" t="s">
        <v>86</v>
      </c>
      <c r="G3921" s="5" t="s">
        <v>3177</v>
      </c>
      <c r="H3921" s="5" t="s">
        <v>3178</v>
      </c>
      <c r="I3921" s="9" t="s">
        <v>3262</v>
      </c>
      <c r="J3921" s="5">
        <v>2030</v>
      </c>
      <c r="K3921" s="5">
        <v>4925</v>
      </c>
      <c r="L3921" s="9" t="s">
        <v>7293</v>
      </c>
      <c r="M3921" s="5">
        <v>8.8000000000000007</v>
      </c>
      <c r="N3921" s="9" t="s">
        <v>7292</v>
      </c>
      <c r="O3921" s="9" t="str">
        <f t="shared" si="377"/>
        <v>PDFを開く</v>
      </c>
      <c r="P3921" s="9" t="s">
        <v>3154</v>
      </c>
    </row>
    <row r="3922" spans="1:16" ht="33.950000000000003" customHeight="1">
      <c r="A3922" s="2" t="s">
        <v>3149</v>
      </c>
      <c r="B3922" s="2" t="s">
        <v>2430</v>
      </c>
      <c r="C3922" s="8" t="s">
        <v>3150</v>
      </c>
      <c r="D3922" s="2">
        <v>2</v>
      </c>
      <c r="E3922" s="8" t="s">
        <v>3188</v>
      </c>
      <c r="F3922" s="2" t="s">
        <v>86</v>
      </c>
      <c r="G3922" s="19" t="s">
        <v>3189</v>
      </c>
      <c r="H3922" s="2" t="s">
        <v>3178</v>
      </c>
      <c r="I3922" s="8"/>
      <c r="J3922" s="2"/>
      <c r="K3922" s="2"/>
      <c r="L3922" s="8"/>
      <c r="M3922" s="2">
        <v>0</v>
      </c>
      <c r="N3922" s="8" t="s">
        <v>7294</v>
      </c>
      <c r="O3922" s="8" t="str">
        <f t="shared" si="377"/>
        <v>PDFを開く</v>
      </c>
      <c r="P3922" s="8" t="s">
        <v>3154</v>
      </c>
    </row>
    <row r="3923" spans="1:16" ht="33.950000000000003" customHeight="1">
      <c r="A3923" s="5" t="s">
        <v>3149</v>
      </c>
      <c r="B3923" s="5" t="s">
        <v>2430</v>
      </c>
      <c r="C3923" s="9" t="s">
        <v>3150</v>
      </c>
      <c r="D3923" s="5">
        <v>2</v>
      </c>
      <c r="E3923" s="9" t="s">
        <v>3191</v>
      </c>
      <c r="F3923" s="5" t="s">
        <v>2513</v>
      </c>
      <c r="G3923" s="5" t="s">
        <v>3177</v>
      </c>
      <c r="H3923" s="5" t="s">
        <v>3178</v>
      </c>
      <c r="I3923" s="9" t="s">
        <v>3259</v>
      </c>
      <c r="J3923" s="5">
        <v>2027</v>
      </c>
      <c r="K3923" s="5">
        <v>54</v>
      </c>
      <c r="L3923" s="9" t="s">
        <v>3311</v>
      </c>
      <c r="M3923" s="5"/>
      <c r="N3923" s="9" t="s">
        <v>7295</v>
      </c>
      <c r="O3923" s="9" t="str">
        <f t="shared" si="377"/>
        <v>PDFを開く</v>
      </c>
      <c r="P3923" s="9" t="s">
        <v>3154</v>
      </c>
    </row>
    <row r="3924" spans="1:16" ht="33.950000000000003" customHeight="1">
      <c r="A3924" s="2" t="s">
        <v>3149</v>
      </c>
      <c r="B3924" s="2" t="s">
        <v>2430</v>
      </c>
      <c r="C3924" s="8" t="s">
        <v>3150</v>
      </c>
      <c r="D3924" s="2">
        <v>2</v>
      </c>
      <c r="E3924" s="8" t="s">
        <v>3191</v>
      </c>
      <c r="F3924" s="2" t="s">
        <v>2513</v>
      </c>
      <c r="G3924" s="2" t="s">
        <v>3177</v>
      </c>
      <c r="H3924" s="2" t="s">
        <v>3178</v>
      </c>
      <c r="I3924" s="8" t="s">
        <v>3262</v>
      </c>
      <c r="J3924" s="2">
        <v>2030</v>
      </c>
      <c r="K3924" s="2">
        <v>120</v>
      </c>
      <c r="L3924" s="8" t="s">
        <v>4080</v>
      </c>
      <c r="M3924" s="2"/>
      <c r="N3924" s="8" t="s">
        <v>7295</v>
      </c>
      <c r="O3924" s="8" t="str">
        <f t="shared" si="377"/>
        <v>PDFを開く</v>
      </c>
      <c r="P3924" s="8" t="s">
        <v>3154</v>
      </c>
    </row>
    <row r="3925" spans="1:16" ht="33.950000000000003" customHeight="1">
      <c r="A3925" s="5" t="s">
        <v>3149</v>
      </c>
      <c r="B3925" s="5" t="s">
        <v>2430</v>
      </c>
      <c r="C3925" s="9" t="s">
        <v>3150</v>
      </c>
      <c r="D3925" s="5">
        <v>2</v>
      </c>
      <c r="E3925" s="9" t="s">
        <v>3188</v>
      </c>
      <c r="F3925" s="5" t="s">
        <v>447</v>
      </c>
      <c r="G3925" s="5" t="s">
        <v>3177</v>
      </c>
      <c r="H3925" s="5"/>
      <c r="I3925" s="9" t="s">
        <v>7296</v>
      </c>
      <c r="J3925" s="5">
        <v>2027</v>
      </c>
      <c r="K3925" s="5"/>
      <c r="L3925" s="9" t="s">
        <v>3211</v>
      </c>
      <c r="M3925" s="5">
        <v>0</v>
      </c>
      <c r="N3925" s="9" t="s">
        <v>7297</v>
      </c>
      <c r="O3925" s="9" t="str">
        <f t="shared" si="377"/>
        <v>PDFを開く</v>
      </c>
      <c r="P3925" s="9" t="s">
        <v>3154</v>
      </c>
    </row>
    <row r="3926" spans="1:16" ht="33.950000000000003" customHeight="1">
      <c r="A3926" s="2" t="s">
        <v>3149</v>
      </c>
      <c r="B3926" s="2" t="s">
        <v>2430</v>
      </c>
      <c r="C3926" s="8" t="s">
        <v>3150</v>
      </c>
      <c r="D3926" s="2">
        <v>2</v>
      </c>
      <c r="E3926" s="8" t="s">
        <v>3188</v>
      </c>
      <c r="F3926" s="2" t="s">
        <v>447</v>
      </c>
      <c r="G3926" s="2" t="s">
        <v>3177</v>
      </c>
      <c r="H3926" s="2"/>
      <c r="I3926" s="8" t="s">
        <v>7298</v>
      </c>
      <c r="J3926" s="2">
        <v>2030</v>
      </c>
      <c r="K3926" s="2"/>
      <c r="L3926" s="8" t="s">
        <v>7299</v>
      </c>
      <c r="M3926" s="2">
        <v>0</v>
      </c>
      <c r="N3926" s="8" t="s">
        <v>7297</v>
      </c>
      <c r="O3926" s="8" t="str">
        <f t="shared" si="377"/>
        <v>PDFを開く</v>
      </c>
      <c r="P3926" s="8" t="s">
        <v>3154</v>
      </c>
    </row>
    <row r="3927" spans="1:16" ht="33.950000000000003" customHeight="1">
      <c r="A3927" s="5" t="s">
        <v>3155</v>
      </c>
      <c r="B3927" s="5" t="s">
        <v>2430</v>
      </c>
      <c r="C3927" s="9" t="s">
        <v>3156</v>
      </c>
      <c r="D3927" s="5">
        <v>2</v>
      </c>
      <c r="E3927" s="9" t="s">
        <v>3176</v>
      </c>
      <c r="F3927" s="5" t="s">
        <v>447</v>
      </c>
      <c r="G3927" s="5" t="s">
        <v>3177</v>
      </c>
      <c r="H3927" s="5"/>
      <c r="I3927" s="9" t="s">
        <v>7300</v>
      </c>
      <c r="J3927" s="5">
        <v>2027</v>
      </c>
      <c r="K3927" s="5">
        <v>7287</v>
      </c>
      <c r="L3927" s="9" t="s">
        <v>7301</v>
      </c>
      <c r="M3927" s="5">
        <v>46</v>
      </c>
      <c r="N3927" s="9" t="s">
        <v>7302</v>
      </c>
      <c r="O3927" s="9" t="str">
        <f t="shared" ref="O3927:O3935" si="378">HYPERLINK("https://seichotoushi-hojo.jp/assets/pdf/koufu_3_4ji/outline_231.pdf","PDFを開く")</f>
        <v>PDFを開く</v>
      </c>
      <c r="P3927" s="9" t="s">
        <v>3162</v>
      </c>
    </row>
    <row r="3928" spans="1:16" ht="33.950000000000003" customHeight="1">
      <c r="A3928" s="2" t="s">
        <v>3155</v>
      </c>
      <c r="B3928" s="2" t="s">
        <v>2430</v>
      </c>
      <c r="C3928" s="8" t="s">
        <v>3156</v>
      </c>
      <c r="D3928" s="2">
        <v>2</v>
      </c>
      <c r="E3928" s="8" t="s">
        <v>3176</v>
      </c>
      <c r="F3928" s="2" t="s">
        <v>447</v>
      </c>
      <c r="G3928" s="2" t="s">
        <v>3177</v>
      </c>
      <c r="H3928" s="2"/>
      <c r="I3928" s="8" t="s">
        <v>7303</v>
      </c>
      <c r="J3928" s="2">
        <v>2030</v>
      </c>
      <c r="K3928" s="2">
        <v>22699</v>
      </c>
      <c r="L3928" s="8" t="s">
        <v>7304</v>
      </c>
      <c r="M3928" s="2">
        <v>46</v>
      </c>
      <c r="N3928" s="8" t="s">
        <v>7302</v>
      </c>
      <c r="O3928" s="8" t="str">
        <f t="shared" si="378"/>
        <v>PDFを開く</v>
      </c>
      <c r="P3928" s="8" t="s">
        <v>3162</v>
      </c>
    </row>
    <row r="3929" spans="1:16" ht="33.950000000000003" customHeight="1">
      <c r="A3929" s="5" t="s">
        <v>3155</v>
      </c>
      <c r="B3929" s="5" t="s">
        <v>2430</v>
      </c>
      <c r="C3929" s="9" t="s">
        <v>3156</v>
      </c>
      <c r="D3929" s="5">
        <v>2</v>
      </c>
      <c r="E3929" s="9" t="s">
        <v>3184</v>
      </c>
      <c r="F3929" s="5" t="s">
        <v>447</v>
      </c>
      <c r="G3929" s="5" t="s">
        <v>3177</v>
      </c>
      <c r="H3929" s="5"/>
      <c r="I3929" s="9" t="s">
        <v>7300</v>
      </c>
      <c r="J3929" s="5">
        <v>2027</v>
      </c>
      <c r="K3929" s="5">
        <v>5025</v>
      </c>
      <c r="L3929" s="9" t="s">
        <v>7305</v>
      </c>
      <c r="M3929" s="5">
        <v>6.5</v>
      </c>
      <c r="N3929" s="9" t="s">
        <v>7306</v>
      </c>
      <c r="O3929" s="9" t="str">
        <f t="shared" si="378"/>
        <v>PDFを開く</v>
      </c>
      <c r="P3929" s="9" t="s">
        <v>3162</v>
      </c>
    </row>
    <row r="3930" spans="1:16" ht="33.950000000000003" customHeight="1">
      <c r="A3930" s="2" t="s">
        <v>3155</v>
      </c>
      <c r="B3930" s="2" t="s">
        <v>2430</v>
      </c>
      <c r="C3930" s="8" t="s">
        <v>3156</v>
      </c>
      <c r="D3930" s="2">
        <v>2</v>
      </c>
      <c r="E3930" s="8" t="s">
        <v>3184</v>
      </c>
      <c r="F3930" s="2" t="s">
        <v>447</v>
      </c>
      <c r="G3930" s="2" t="s">
        <v>3177</v>
      </c>
      <c r="H3930" s="2"/>
      <c r="I3930" s="8" t="s">
        <v>7303</v>
      </c>
      <c r="J3930" s="2">
        <v>2030</v>
      </c>
      <c r="K3930" s="2">
        <v>6070</v>
      </c>
      <c r="L3930" s="8" t="s">
        <v>7307</v>
      </c>
      <c r="M3930" s="2">
        <v>6.5</v>
      </c>
      <c r="N3930" s="8" t="s">
        <v>7306</v>
      </c>
      <c r="O3930" s="8" t="str">
        <f t="shared" si="378"/>
        <v>PDFを開く</v>
      </c>
      <c r="P3930" s="8" t="s">
        <v>3162</v>
      </c>
    </row>
    <row r="3931" spans="1:16" ht="33.950000000000003" customHeight="1">
      <c r="A3931" s="5" t="s">
        <v>3155</v>
      </c>
      <c r="B3931" s="5" t="s">
        <v>2430</v>
      </c>
      <c r="C3931" s="9" t="s">
        <v>3156</v>
      </c>
      <c r="D3931" s="5">
        <v>2</v>
      </c>
      <c r="E3931" s="9" t="s">
        <v>3188</v>
      </c>
      <c r="F3931" s="5" t="s">
        <v>447</v>
      </c>
      <c r="G3931" s="19" t="s">
        <v>3189</v>
      </c>
      <c r="H3931" s="5" t="s">
        <v>3178</v>
      </c>
      <c r="I3931" s="9"/>
      <c r="J3931" s="5"/>
      <c r="K3931" s="5"/>
      <c r="L3931" s="9"/>
      <c r="M3931" s="5">
        <v>5.7</v>
      </c>
      <c r="N3931" s="9" t="s">
        <v>7308</v>
      </c>
      <c r="O3931" s="9" t="str">
        <f t="shared" si="378"/>
        <v>PDFを開く</v>
      </c>
      <c r="P3931" s="9" t="s">
        <v>3162</v>
      </c>
    </row>
    <row r="3932" spans="1:16" ht="33.950000000000003" customHeight="1">
      <c r="A3932" s="2" t="s">
        <v>3155</v>
      </c>
      <c r="B3932" s="2" t="s">
        <v>2430</v>
      </c>
      <c r="C3932" s="8" t="s">
        <v>3156</v>
      </c>
      <c r="D3932" s="2">
        <v>2</v>
      </c>
      <c r="E3932" s="8" t="s">
        <v>3191</v>
      </c>
      <c r="F3932" s="2" t="s">
        <v>2513</v>
      </c>
      <c r="G3932" s="2" t="s">
        <v>3177</v>
      </c>
      <c r="H3932" s="2"/>
      <c r="I3932" s="8" t="s">
        <v>7300</v>
      </c>
      <c r="J3932" s="2">
        <v>2027</v>
      </c>
      <c r="K3932" s="2">
        <v>156</v>
      </c>
      <c r="L3932" s="8" t="s">
        <v>5085</v>
      </c>
      <c r="M3932" s="2"/>
      <c r="N3932" s="8" t="s">
        <v>7309</v>
      </c>
      <c r="O3932" s="8" t="str">
        <f t="shared" si="378"/>
        <v>PDFを開く</v>
      </c>
      <c r="P3932" s="8" t="s">
        <v>3162</v>
      </c>
    </row>
    <row r="3933" spans="1:16" ht="33.950000000000003" customHeight="1">
      <c r="A3933" s="5" t="s">
        <v>3155</v>
      </c>
      <c r="B3933" s="5" t="s">
        <v>2430</v>
      </c>
      <c r="C3933" s="9" t="s">
        <v>3156</v>
      </c>
      <c r="D3933" s="5">
        <v>2</v>
      </c>
      <c r="E3933" s="9" t="s">
        <v>3191</v>
      </c>
      <c r="F3933" s="5" t="s">
        <v>2513</v>
      </c>
      <c r="G3933" s="5" t="s">
        <v>3177</v>
      </c>
      <c r="H3933" s="5"/>
      <c r="I3933" s="9" t="s">
        <v>7303</v>
      </c>
      <c r="J3933" s="5">
        <v>2030</v>
      </c>
      <c r="K3933" s="5">
        <v>196</v>
      </c>
      <c r="L3933" s="9" t="s">
        <v>5303</v>
      </c>
      <c r="M3933" s="5"/>
      <c r="N3933" s="9" t="s">
        <v>7309</v>
      </c>
      <c r="O3933" s="9" t="str">
        <f t="shared" si="378"/>
        <v>PDFを開く</v>
      </c>
      <c r="P3933" s="9" t="s">
        <v>3162</v>
      </c>
    </row>
    <row r="3934" spans="1:16" ht="33.950000000000003" customHeight="1">
      <c r="A3934" s="2" t="s">
        <v>3155</v>
      </c>
      <c r="B3934" s="2" t="s">
        <v>2430</v>
      </c>
      <c r="C3934" s="8" t="s">
        <v>3156</v>
      </c>
      <c r="D3934" s="2">
        <v>2</v>
      </c>
      <c r="E3934" s="8" t="s">
        <v>3188</v>
      </c>
      <c r="F3934" s="2" t="s">
        <v>447</v>
      </c>
      <c r="G3934" s="2" t="s">
        <v>3177</v>
      </c>
      <c r="H3934" s="2"/>
      <c r="I3934" s="8" t="s">
        <v>7310</v>
      </c>
      <c r="J3934" s="2">
        <v>2027</v>
      </c>
      <c r="K3934" s="2"/>
      <c r="L3934" s="8" t="s">
        <v>3211</v>
      </c>
      <c r="M3934" s="2">
        <v>5.7</v>
      </c>
      <c r="N3934" s="8" t="s">
        <v>7311</v>
      </c>
      <c r="O3934" s="8" t="str">
        <f t="shared" si="378"/>
        <v>PDFを開く</v>
      </c>
      <c r="P3934" s="8" t="s">
        <v>3162</v>
      </c>
    </row>
    <row r="3935" spans="1:16" ht="33.950000000000003" customHeight="1">
      <c r="A3935" s="6" t="s">
        <v>3155</v>
      </c>
      <c r="B3935" s="6" t="s">
        <v>2430</v>
      </c>
      <c r="C3935" s="10" t="s">
        <v>3156</v>
      </c>
      <c r="D3935" s="6">
        <v>2</v>
      </c>
      <c r="E3935" s="10" t="s">
        <v>3188</v>
      </c>
      <c r="F3935" s="6" t="s">
        <v>447</v>
      </c>
      <c r="G3935" s="6" t="s">
        <v>3177</v>
      </c>
      <c r="H3935" s="6"/>
      <c r="I3935" s="10" t="s">
        <v>7312</v>
      </c>
      <c r="J3935" s="6">
        <v>2030</v>
      </c>
      <c r="K3935" s="6"/>
      <c r="L3935" s="10" t="s">
        <v>7313</v>
      </c>
      <c r="M3935" s="6">
        <v>5.7</v>
      </c>
      <c r="N3935" s="10" t="s">
        <v>7311</v>
      </c>
      <c r="O3935" s="10" t="str">
        <f t="shared" si="378"/>
        <v>PDFを開く</v>
      </c>
      <c r="P3935" s="10" t="s">
        <v>3162</v>
      </c>
    </row>
  </sheetData>
  <mergeCells count="2">
    <mergeCell ref="A1:P1"/>
    <mergeCell ref="A2:P2"/>
  </mergeCells>
  <phoneticPr fontId="8"/>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85"/>
  <sheetViews>
    <sheetView showGridLines="0" workbookViewId="0"/>
  </sheetViews>
  <sheetFormatPr defaultRowHeight="14.25"/>
  <cols>
    <col min="1" max="1" width="19" customWidth="1"/>
    <col min="2" max="2" width="7" customWidth="1"/>
    <col min="3" max="4" width="25" customWidth="1"/>
    <col min="5" max="5" width="10" customWidth="1"/>
    <col min="6" max="6" width="16" customWidth="1"/>
    <col min="7" max="7" width="10" customWidth="1"/>
    <col min="8" max="9" width="16" customWidth="1"/>
    <col min="10" max="10" width="18" customWidth="1"/>
    <col min="11" max="11" width="24" customWidth="1"/>
    <col min="12" max="13" width="17" customWidth="1"/>
    <col min="14" max="14" width="10" customWidth="1"/>
    <col min="15" max="15" width="32" customWidth="1"/>
    <col min="16" max="16" width="25" customWidth="1"/>
    <col min="17" max="17" width="8" customWidth="1"/>
    <col min="18" max="18" width="80" customWidth="1"/>
    <col min="19" max="19" width="60" customWidth="1"/>
    <col min="20" max="20" width="48" customWidth="1"/>
    <col min="21" max="21" width="65" customWidth="1"/>
  </cols>
  <sheetData>
    <row r="1" spans="1:21" ht="30" customHeight="1">
      <c r="A1" s="24" t="s">
        <v>7314</v>
      </c>
      <c r="B1" s="24"/>
      <c r="C1" s="24"/>
      <c r="D1" s="24"/>
      <c r="E1" s="24"/>
      <c r="F1" s="24"/>
      <c r="G1" s="24"/>
      <c r="H1" s="24"/>
      <c r="I1" s="24"/>
      <c r="J1" s="24"/>
      <c r="K1" s="24"/>
      <c r="L1" s="24"/>
      <c r="M1" s="24"/>
      <c r="N1" s="24"/>
      <c r="O1" s="24"/>
      <c r="P1" s="24"/>
      <c r="Q1" s="24"/>
      <c r="R1" s="24"/>
      <c r="S1" s="24"/>
      <c r="T1" s="24"/>
      <c r="U1" s="24"/>
    </row>
    <row r="2" spans="1:21" ht="38.1" customHeight="1">
      <c r="A2" s="25" t="s">
        <v>7315</v>
      </c>
      <c r="B2" s="25"/>
      <c r="C2" s="25"/>
      <c r="D2" s="25"/>
      <c r="E2" s="25"/>
      <c r="F2" s="25"/>
      <c r="G2" s="25"/>
      <c r="H2" s="25"/>
      <c r="I2" s="25"/>
      <c r="J2" s="25"/>
      <c r="K2" s="25"/>
      <c r="L2" s="25"/>
      <c r="M2" s="25"/>
      <c r="N2" s="25"/>
      <c r="O2" s="25"/>
      <c r="P2" s="25"/>
      <c r="Q2" s="25"/>
      <c r="R2" s="25"/>
      <c r="S2" s="25"/>
      <c r="T2" s="25"/>
      <c r="U2" s="25"/>
    </row>
    <row r="4" spans="1:21" ht="45.95" customHeight="1">
      <c r="A4" s="1" t="s">
        <v>2</v>
      </c>
      <c r="B4" s="1" t="s">
        <v>3</v>
      </c>
      <c r="C4" s="1" t="s">
        <v>4</v>
      </c>
      <c r="D4" s="1" t="s">
        <v>7316</v>
      </c>
      <c r="E4" s="1" t="s">
        <v>7317</v>
      </c>
      <c r="F4" s="1" t="s">
        <v>7318</v>
      </c>
      <c r="G4" s="1" t="s">
        <v>7319</v>
      </c>
      <c r="H4" s="1" t="s">
        <v>7320</v>
      </c>
      <c r="I4" s="1" t="s">
        <v>7321</v>
      </c>
      <c r="J4" s="1" t="s">
        <v>29</v>
      </c>
      <c r="K4" s="1" t="s">
        <v>31</v>
      </c>
      <c r="L4" s="1" t="s">
        <v>33</v>
      </c>
      <c r="M4" s="1" t="s">
        <v>34</v>
      </c>
      <c r="N4" s="1" t="s">
        <v>7322</v>
      </c>
      <c r="O4" s="1" t="s">
        <v>7323</v>
      </c>
      <c r="P4" s="1" t="s">
        <v>7324</v>
      </c>
      <c r="Q4" s="1" t="s">
        <v>7325</v>
      </c>
      <c r="R4" s="1" t="s">
        <v>7326</v>
      </c>
      <c r="S4" s="1" t="s">
        <v>40</v>
      </c>
      <c r="T4" s="1" t="s">
        <v>65</v>
      </c>
      <c r="U4" s="1" t="s">
        <v>67</v>
      </c>
    </row>
    <row r="5" spans="1:21" ht="48" customHeight="1">
      <c r="A5" s="4" t="s">
        <v>72</v>
      </c>
      <c r="B5" s="4" t="s">
        <v>73</v>
      </c>
      <c r="C5" s="7" t="s">
        <v>74</v>
      </c>
      <c r="D5" s="7" t="s">
        <v>81</v>
      </c>
      <c r="E5" s="4"/>
      <c r="F5" s="15"/>
      <c r="G5" s="4">
        <v>2029</v>
      </c>
      <c r="H5" s="15"/>
      <c r="I5" s="15">
        <v>92</v>
      </c>
      <c r="J5" s="15">
        <v>55</v>
      </c>
      <c r="K5" s="7" t="s">
        <v>82</v>
      </c>
      <c r="L5" s="15"/>
      <c r="M5" s="15"/>
      <c r="N5" s="15"/>
      <c r="O5" s="7" t="s">
        <v>83</v>
      </c>
      <c r="P5" s="7" t="s">
        <v>84</v>
      </c>
      <c r="Q5" s="4">
        <v>1</v>
      </c>
      <c r="R5" s="7" t="s">
        <v>85</v>
      </c>
      <c r="S5" s="7"/>
      <c r="T5" s="7" t="str">
        <f>HYPERLINK("https://seichotoushi-hojo.jp/assets/pdf/koufu/outline_1.pdf","PDFを開く")</f>
        <v>PDFを開く</v>
      </c>
      <c r="U5" s="7" t="s">
        <v>89</v>
      </c>
    </row>
    <row r="6" spans="1:21" ht="48" customHeight="1">
      <c r="A6" s="2" t="s">
        <v>93</v>
      </c>
      <c r="B6" s="2" t="s">
        <v>73</v>
      </c>
      <c r="C6" s="8" t="s">
        <v>94</v>
      </c>
      <c r="D6" s="8" t="s">
        <v>81</v>
      </c>
      <c r="E6" s="2">
        <v>2023</v>
      </c>
      <c r="F6" s="16">
        <v>223</v>
      </c>
      <c r="G6" s="2">
        <v>2029</v>
      </c>
      <c r="H6" s="16">
        <v>800</v>
      </c>
      <c r="I6" s="16">
        <v>577</v>
      </c>
      <c r="J6" s="16">
        <v>258.7</v>
      </c>
      <c r="K6" s="8" t="s">
        <v>99</v>
      </c>
      <c r="L6" s="16"/>
      <c r="M6" s="16">
        <v>23.726915836835992</v>
      </c>
      <c r="N6" s="16"/>
      <c r="O6" s="8" t="s">
        <v>100</v>
      </c>
      <c r="P6" s="8" t="s">
        <v>84</v>
      </c>
      <c r="Q6" s="2">
        <v>1</v>
      </c>
      <c r="R6" s="8" t="s">
        <v>101</v>
      </c>
      <c r="S6" s="8" t="s">
        <v>102</v>
      </c>
      <c r="T6" s="8" t="str">
        <f>HYPERLINK("https://seichotoushi-hojo.jp/assets/pdf/koufu/outline_10.pdf","PDFを開く")</f>
        <v>PDFを開く</v>
      </c>
      <c r="U6" s="8" t="s">
        <v>104</v>
      </c>
    </row>
    <row r="7" spans="1:21" ht="48" customHeight="1">
      <c r="A7" s="5" t="s">
        <v>105</v>
      </c>
      <c r="B7" s="5" t="s">
        <v>73</v>
      </c>
      <c r="C7" s="9" t="s">
        <v>106</v>
      </c>
      <c r="D7" s="9" t="s">
        <v>81</v>
      </c>
      <c r="E7" s="5">
        <v>2023</v>
      </c>
      <c r="F7" s="17"/>
      <c r="G7" s="5">
        <v>2038</v>
      </c>
      <c r="H7" s="17"/>
      <c r="I7" s="17">
        <v>638</v>
      </c>
      <c r="J7" s="17">
        <v>276</v>
      </c>
      <c r="K7" s="9" t="s">
        <v>82</v>
      </c>
      <c r="L7" s="17"/>
      <c r="M7" s="17"/>
      <c r="N7" s="17"/>
      <c r="O7" s="9" t="s">
        <v>83</v>
      </c>
      <c r="P7" s="9" t="s">
        <v>84</v>
      </c>
      <c r="Q7" s="5">
        <v>1</v>
      </c>
      <c r="R7" s="9" t="s">
        <v>110</v>
      </c>
      <c r="S7" s="9"/>
      <c r="T7" s="9" t="str">
        <f>HYPERLINK("https://seichotoushi-hojo.jp/assets/pdf/koufu/outline_100.pdf","PDFを開く")</f>
        <v>PDFを開く</v>
      </c>
      <c r="U7" s="9" t="s">
        <v>112</v>
      </c>
    </row>
    <row r="8" spans="1:21" ht="48" customHeight="1">
      <c r="A8" s="2" t="s">
        <v>114</v>
      </c>
      <c r="B8" s="2" t="s">
        <v>73</v>
      </c>
      <c r="C8" s="8" t="s">
        <v>115</v>
      </c>
      <c r="D8" s="8" t="s">
        <v>81</v>
      </c>
      <c r="E8" s="2">
        <v>2026</v>
      </c>
      <c r="F8" s="16">
        <v>400</v>
      </c>
      <c r="G8" s="2">
        <v>2041</v>
      </c>
      <c r="H8" s="16">
        <v>1000</v>
      </c>
      <c r="I8" s="16">
        <v>729</v>
      </c>
      <c r="J8" s="16"/>
      <c r="K8" s="8"/>
      <c r="L8" s="16"/>
      <c r="M8" s="16">
        <v>6.2990379289539433</v>
      </c>
      <c r="N8" s="16"/>
      <c r="O8" s="8" t="s">
        <v>120</v>
      </c>
      <c r="P8" s="8" t="s">
        <v>84</v>
      </c>
      <c r="Q8" s="2">
        <v>1</v>
      </c>
      <c r="R8" s="8" t="s">
        <v>121</v>
      </c>
      <c r="S8" s="8" t="s">
        <v>122</v>
      </c>
      <c r="T8" s="8" t="str">
        <f>HYPERLINK("https://seichotoushi-hojo.jp/assets/pdf/koufu/outline_101.pdf","PDFを開く")</f>
        <v>PDFを開く</v>
      </c>
      <c r="U8" s="8" t="s">
        <v>124</v>
      </c>
    </row>
    <row r="9" spans="1:21" ht="48" customHeight="1">
      <c r="A9" s="5" t="s">
        <v>125</v>
      </c>
      <c r="B9" s="5" t="s">
        <v>73</v>
      </c>
      <c r="C9" s="9" t="s">
        <v>126</v>
      </c>
      <c r="D9" s="9" t="s">
        <v>81</v>
      </c>
      <c r="E9" s="5"/>
      <c r="F9" s="17"/>
      <c r="G9" s="5">
        <v>2029</v>
      </c>
      <c r="H9" s="17"/>
      <c r="I9" s="17">
        <v>65</v>
      </c>
      <c r="J9" s="17">
        <v>136</v>
      </c>
      <c r="K9" s="9" t="s">
        <v>82</v>
      </c>
      <c r="L9" s="17"/>
      <c r="M9" s="17"/>
      <c r="N9" s="17"/>
      <c r="O9" s="9" t="s">
        <v>83</v>
      </c>
      <c r="P9" s="9" t="s">
        <v>84</v>
      </c>
      <c r="Q9" s="5">
        <v>1</v>
      </c>
      <c r="R9" s="9" t="s">
        <v>129</v>
      </c>
      <c r="S9" s="9"/>
      <c r="T9" s="9" t="str">
        <f>HYPERLINK("https://seichotoushi-hojo.jp/assets/pdf/koufu/outline_102.pdf","PDFを開く")</f>
        <v>PDFを開く</v>
      </c>
      <c r="U9" s="9" t="s">
        <v>131</v>
      </c>
    </row>
    <row r="10" spans="1:21" ht="48" customHeight="1">
      <c r="A10" s="2" t="s">
        <v>132</v>
      </c>
      <c r="B10" s="2" t="s">
        <v>73</v>
      </c>
      <c r="C10" s="8" t="s">
        <v>133</v>
      </c>
      <c r="D10" s="8" t="s">
        <v>81</v>
      </c>
      <c r="E10" s="2"/>
      <c r="F10" s="16"/>
      <c r="G10" s="2">
        <v>2030</v>
      </c>
      <c r="H10" s="16"/>
      <c r="I10" s="16">
        <v>44.7</v>
      </c>
      <c r="J10" s="16">
        <v>198</v>
      </c>
      <c r="K10" s="8" t="s">
        <v>82</v>
      </c>
      <c r="L10" s="16"/>
      <c r="M10" s="16"/>
      <c r="N10" s="16"/>
      <c r="O10" s="8" t="s">
        <v>83</v>
      </c>
      <c r="P10" s="8" t="s">
        <v>84</v>
      </c>
      <c r="Q10" s="2">
        <v>1</v>
      </c>
      <c r="R10" s="8" t="s">
        <v>136</v>
      </c>
      <c r="S10" s="8"/>
      <c r="T10" s="8" t="str">
        <f>HYPERLINK("https://seichotoushi-hojo.jp/assets/pdf/koufu/outline_103.pdf","PDFを開く")</f>
        <v>PDFを開く</v>
      </c>
      <c r="U10" s="8" t="s">
        <v>138</v>
      </c>
    </row>
    <row r="11" spans="1:21" ht="48" customHeight="1">
      <c r="A11" s="5" t="s">
        <v>139</v>
      </c>
      <c r="B11" s="5" t="s">
        <v>73</v>
      </c>
      <c r="C11" s="9" t="s">
        <v>140</v>
      </c>
      <c r="D11" s="9" t="s">
        <v>81</v>
      </c>
      <c r="E11" s="5"/>
      <c r="F11" s="17"/>
      <c r="G11" s="5">
        <v>2030</v>
      </c>
      <c r="H11" s="17"/>
      <c r="I11" s="17">
        <v>47</v>
      </c>
      <c r="J11" s="17">
        <v>42</v>
      </c>
      <c r="K11" s="9" t="s">
        <v>82</v>
      </c>
      <c r="L11" s="17"/>
      <c r="M11" s="17"/>
      <c r="N11" s="17"/>
      <c r="O11" s="9" t="s">
        <v>83</v>
      </c>
      <c r="P11" s="9" t="s">
        <v>84</v>
      </c>
      <c r="Q11" s="5">
        <v>1</v>
      </c>
      <c r="R11" s="9" t="s">
        <v>143</v>
      </c>
      <c r="S11" s="9"/>
      <c r="T11" s="9" t="str">
        <f>HYPERLINK("https://seichotoushi-hojo.jp/assets/pdf/koufu/outline_104.pdf","PDFを開く")</f>
        <v>PDFを開く</v>
      </c>
      <c r="U11" s="9" t="s">
        <v>145</v>
      </c>
    </row>
    <row r="12" spans="1:21" ht="48" customHeight="1">
      <c r="A12" s="2" t="s">
        <v>146</v>
      </c>
      <c r="B12" s="2" t="s">
        <v>73</v>
      </c>
      <c r="C12" s="8" t="s">
        <v>147</v>
      </c>
      <c r="D12" s="8" t="s">
        <v>81</v>
      </c>
      <c r="E12" s="2"/>
      <c r="F12" s="16"/>
      <c r="G12" s="2">
        <v>2030</v>
      </c>
      <c r="H12" s="16">
        <v>120</v>
      </c>
      <c r="I12" s="16"/>
      <c r="J12" s="16">
        <v>170</v>
      </c>
      <c r="K12" s="8" t="s">
        <v>82</v>
      </c>
      <c r="L12" s="16"/>
      <c r="M12" s="16"/>
      <c r="N12" s="16"/>
      <c r="O12" s="8" t="s">
        <v>83</v>
      </c>
      <c r="P12" s="8" t="s">
        <v>84</v>
      </c>
      <c r="Q12" s="2">
        <v>1</v>
      </c>
      <c r="R12" s="8" t="s">
        <v>150</v>
      </c>
      <c r="S12" s="8" t="s">
        <v>151</v>
      </c>
      <c r="T12" s="8" t="str">
        <f>HYPERLINK("https://seichotoushi-hojo.jp/assets/pdf/koufu/outline_105.pdf","PDFを開く")</f>
        <v>PDFを開く</v>
      </c>
      <c r="U12" s="8" t="s">
        <v>155</v>
      </c>
    </row>
    <row r="13" spans="1:21" ht="48" customHeight="1">
      <c r="A13" s="5" t="s">
        <v>158</v>
      </c>
      <c r="B13" s="5" t="s">
        <v>73</v>
      </c>
      <c r="C13" s="9" t="s">
        <v>159</v>
      </c>
      <c r="D13" s="9" t="s">
        <v>81</v>
      </c>
      <c r="E13" s="5">
        <v>2023</v>
      </c>
      <c r="F13" s="17"/>
      <c r="G13" s="5">
        <v>2029</v>
      </c>
      <c r="H13" s="17"/>
      <c r="I13" s="17">
        <v>76</v>
      </c>
      <c r="J13" s="17"/>
      <c r="K13" s="9"/>
      <c r="L13" s="17"/>
      <c r="M13" s="17"/>
      <c r="N13" s="17"/>
      <c r="O13" s="9" t="s">
        <v>83</v>
      </c>
      <c r="P13" s="9" t="s">
        <v>84</v>
      </c>
      <c r="Q13" s="5">
        <v>1</v>
      </c>
      <c r="R13" s="9" t="s">
        <v>163</v>
      </c>
      <c r="S13" s="9"/>
      <c r="T13" s="9" t="str">
        <f>HYPERLINK("https://seichotoushi-hojo.jp/assets/pdf/koufu/outline_106.pdf","PDFを開く")</f>
        <v>PDFを開く</v>
      </c>
      <c r="U13" s="9" t="s">
        <v>165</v>
      </c>
    </row>
    <row r="14" spans="1:21" ht="48" customHeight="1">
      <c r="A14" s="2" t="s">
        <v>167</v>
      </c>
      <c r="B14" s="2" t="s">
        <v>73</v>
      </c>
      <c r="C14" s="8" t="s">
        <v>168</v>
      </c>
      <c r="D14" s="8" t="s">
        <v>81</v>
      </c>
      <c r="E14" s="2">
        <v>2023</v>
      </c>
      <c r="F14" s="16"/>
      <c r="G14" s="2">
        <v>2030</v>
      </c>
      <c r="H14" s="16"/>
      <c r="I14" s="16">
        <v>70</v>
      </c>
      <c r="J14" s="16">
        <v>13</v>
      </c>
      <c r="K14" s="8" t="s">
        <v>82</v>
      </c>
      <c r="L14" s="16"/>
      <c r="M14" s="16"/>
      <c r="N14" s="16"/>
      <c r="O14" s="8" t="s">
        <v>83</v>
      </c>
      <c r="P14" s="8" t="s">
        <v>84</v>
      </c>
      <c r="Q14" s="2">
        <v>1</v>
      </c>
      <c r="R14" s="8" t="s">
        <v>172</v>
      </c>
      <c r="S14" s="8"/>
      <c r="T14" s="8" t="str">
        <f>HYPERLINK("https://seichotoushi-hojo.jp/assets/pdf/koufu/outline_107.pdf","PDFを開く")</f>
        <v>PDFを開く</v>
      </c>
      <c r="U14" s="8" t="s">
        <v>174</v>
      </c>
    </row>
    <row r="15" spans="1:21" ht="48" customHeight="1">
      <c r="A15" s="5" t="s">
        <v>175</v>
      </c>
      <c r="B15" s="5" t="s">
        <v>73</v>
      </c>
      <c r="C15" s="9" t="s">
        <v>176</v>
      </c>
      <c r="D15" s="9" t="s">
        <v>81</v>
      </c>
      <c r="E15" s="5"/>
      <c r="F15" s="17"/>
      <c r="G15" s="5"/>
      <c r="H15" s="17">
        <v>1000</v>
      </c>
      <c r="I15" s="17"/>
      <c r="J15" s="17"/>
      <c r="K15" s="9"/>
      <c r="L15" s="17"/>
      <c r="M15" s="17"/>
      <c r="N15" s="17"/>
      <c r="O15" s="9" t="s">
        <v>83</v>
      </c>
      <c r="P15" s="9" t="s">
        <v>84</v>
      </c>
      <c r="Q15" s="5">
        <v>2</v>
      </c>
      <c r="R15" s="9" t="s">
        <v>180</v>
      </c>
      <c r="S15" s="9"/>
      <c r="T15" s="9" t="str">
        <f>HYPERLINK("https://seichotoushi-hojo.jp/assets/pdf/koufu/outline_108.pdf","PDFを開く")</f>
        <v>PDFを開く</v>
      </c>
      <c r="U15" s="9" t="s">
        <v>183</v>
      </c>
    </row>
    <row r="16" spans="1:21" ht="48" customHeight="1">
      <c r="A16" s="2" t="s">
        <v>184</v>
      </c>
      <c r="B16" s="2" t="s">
        <v>73</v>
      </c>
      <c r="C16" s="8" t="s">
        <v>185</v>
      </c>
      <c r="D16" s="8" t="s">
        <v>81</v>
      </c>
      <c r="E16" s="2">
        <v>2023</v>
      </c>
      <c r="F16" s="16"/>
      <c r="G16" s="2">
        <v>2030</v>
      </c>
      <c r="H16" s="16">
        <v>101</v>
      </c>
      <c r="I16" s="16"/>
      <c r="J16" s="16"/>
      <c r="K16" s="8"/>
      <c r="L16" s="16"/>
      <c r="M16" s="16"/>
      <c r="N16" s="16"/>
      <c r="O16" s="8" t="s">
        <v>83</v>
      </c>
      <c r="P16" s="8" t="s">
        <v>84</v>
      </c>
      <c r="Q16" s="2">
        <v>1</v>
      </c>
      <c r="R16" s="8" t="s">
        <v>190</v>
      </c>
      <c r="S16" s="8" t="s">
        <v>191</v>
      </c>
      <c r="T16" s="8" t="str">
        <f>HYPERLINK("https://seichotoushi-hojo.jp/assets/pdf/koufu/outline_109.pdf","PDFを開く")</f>
        <v>PDFを開く</v>
      </c>
      <c r="U16" s="8" t="s">
        <v>194</v>
      </c>
    </row>
    <row r="17" spans="1:21" ht="48" customHeight="1">
      <c r="A17" s="5" t="s">
        <v>195</v>
      </c>
      <c r="B17" s="5" t="s">
        <v>73</v>
      </c>
      <c r="C17" s="9" t="s">
        <v>196</v>
      </c>
      <c r="D17" s="9" t="s">
        <v>81</v>
      </c>
      <c r="E17" s="5">
        <v>2030</v>
      </c>
      <c r="F17" s="17">
        <v>200</v>
      </c>
      <c r="G17" s="5">
        <v>2035</v>
      </c>
      <c r="H17" s="17">
        <v>200</v>
      </c>
      <c r="I17" s="17">
        <v>15</v>
      </c>
      <c r="J17" s="17">
        <v>155</v>
      </c>
      <c r="K17" s="9" t="s">
        <v>82</v>
      </c>
      <c r="L17" s="17"/>
      <c r="M17" s="17">
        <v>0</v>
      </c>
      <c r="N17" s="17"/>
      <c r="O17" s="9" t="s">
        <v>200</v>
      </c>
      <c r="P17" s="9" t="s">
        <v>84</v>
      </c>
      <c r="Q17" s="5">
        <v>1</v>
      </c>
      <c r="R17" s="9" t="s">
        <v>201</v>
      </c>
      <c r="S17" s="9" t="s">
        <v>202</v>
      </c>
      <c r="T17" s="9" t="str">
        <f>HYPERLINK("https://seichotoushi-hojo.jp/assets/pdf/koufu/outline_11.pdf","PDFを開く")</f>
        <v>PDFを開く</v>
      </c>
      <c r="U17" s="9" t="s">
        <v>204</v>
      </c>
    </row>
    <row r="18" spans="1:21" ht="48" customHeight="1">
      <c r="A18" s="2" t="s">
        <v>205</v>
      </c>
      <c r="B18" s="2" t="s">
        <v>73</v>
      </c>
      <c r="C18" s="8" t="s">
        <v>206</v>
      </c>
      <c r="D18" s="8" t="s">
        <v>81</v>
      </c>
      <c r="E18" s="2"/>
      <c r="F18" s="16"/>
      <c r="G18" s="2">
        <v>2028</v>
      </c>
      <c r="H18" s="16"/>
      <c r="I18" s="16">
        <v>82</v>
      </c>
      <c r="J18" s="16">
        <v>66</v>
      </c>
      <c r="K18" s="8" t="s">
        <v>210</v>
      </c>
      <c r="L18" s="16"/>
      <c r="M18" s="16"/>
      <c r="N18" s="16"/>
      <c r="O18" s="8" t="s">
        <v>83</v>
      </c>
      <c r="P18" s="8" t="s">
        <v>84</v>
      </c>
      <c r="Q18" s="2">
        <v>1</v>
      </c>
      <c r="R18" s="8" t="s">
        <v>211</v>
      </c>
      <c r="S18" s="8"/>
      <c r="T18" s="8" t="str">
        <f>HYPERLINK("https://seichotoushi-hojo.jp/assets/pdf/koufu/outline_110.pdf","PDFを開く")</f>
        <v>PDFを開く</v>
      </c>
      <c r="U18" s="8" t="s">
        <v>214</v>
      </c>
    </row>
    <row r="19" spans="1:21" ht="48" customHeight="1">
      <c r="A19" s="5" t="s">
        <v>215</v>
      </c>
      <c r="B19" s="5" t="s">
        <v>73</v>
      </c>
      <c r="C19" s="9" t="s">
        <v>216</v>
      </c>
      <c r="D19" s="9" t="s">
        <v>81</v>
      </c>
      <c r="E19" s="5"/>
      <c r="F19" s="17"/>
      <c r="G19" s="5">
        <v>2030</v>
      </c>
      <c r="H19" s="17"/>
      <c r="I19" s="17">
        <v>146</v>
      </c>
      <c r="J19" s="17">
        <v>48</v>
      </c>
      <c r="K19" s="9" t="s">
        <v>82</v>
      </c>
      <c r="L19" s="17"/>
      <c r="M19" s="17"/>
      <c r="N19" s="17"/>
      <c r="O19" s="9" t="s">
        <v>83</v>
      </c>
      <c r="P19" s="9" t="s">
        <v>84</v>
      </c>
      <c r="Q19" s="5">
        <v>1</v>
      </c>
      <c r="R19" s="9" t="s">
        <v>220</v>
      </c>
      <c r="S19" s="9"/>
      <c r="T19" s="9" t="str">
        <f>HYPERLINK("https://seichotoushi-hojo.jp/assets/pdf/koufu/outline_111.pdf","PDFを開く")</f>
        <v>PDFを開く</v>
      </c>
      <c r="U19" s="9" t="s">
        <v>222</v>
      </c>
    </row>
    <row r="20" spans="1:21" ht="48" customHeight="1">
      <c r="A20" s="2" t="s">
        <v>223</v>
      </c>
      <c r="B20" s="2" t="s">
        <v>73</v>
      </c>
      <c r="C20" s="8" t="s">
        <v>224</v>
      </c>
      <c r="D20" s="8" t="s">
        <v>81</v>
      </c>
      <c r="E20" s="2">
        <v>2023</v>
      </c>
      <c r="F20" s="16">
        <v>85.7</v>
      </c>
      <c r="G20" s="2">
        <v>2029</v>
      </c>
      <c r="H20" s="16">
        <v>140</v>
      </c>
      <c r="I20" s="16"/>
      <c r="J20" s="16"/>
      <c r="K20" s="8"/>
      <c r="L20" s="16"/>
      <c r="M20" s="16">
        <v>8.5236858754788258</v>
      </c>
      <c r="N20" s="16"/>
      <c r="O20" s="8" t="s">
        <v>100</v>
      </c>
      <c r="P20" s="8" t="s">
        <v>84</v>
      </c>
      <c r="Q20" s="2">
        <v>1</v>
      </c>
      <c r="R20" s="8" t="s">
        <v>229</v>
      </c>
      <c r="S20" s="8" t="s">
        <v>230</v>
      </c>
      <c r="T20" s="8" t="str">
        <f>HYPERLINK("https://seichotoushi-hojo.jp/assets/pdf/koufu/outline_112.pdf","PDFを開く")</f>
        <v>PDFを開く</v>
      </c>
      <c r="U20" s="8" t="s">
        <v>232</v>
      </c>
    </row>
    <row r="21" spans="1:21" ht="48" customHeight="1">
      <c r="A21" s="5" t="s">
        <v>233</v>
      </c>
      <c r="B21" s="5" t="s">
        <v>73</v>
      </c>
      <c r="C21" s="9" t="s">
        <v>234</v>
      </c>
      <c r="D21" s="9" t="s">
        <v>81</v>
      </c>
      <c r="E21" s="5">
        <v>2024</v>
      </c>
      <c r="F21" s="17"/>
      <c r="G21" s="5">
        <v>2028</v>
      </c>
      <c r="H21" s="17"/>
      <c r="I21" s="17">
        <v>84.28</v>
      </c>
      <c r="J21" s="17">
        <v>77.599999999999994</v>
      </c>
      <c r="K21" s="9" t="s">
        <v>82</v>
      </c>
      <c r="L21" s="17"/>
      <c r="M21" s="17"/>
      <c r="N21" s="17"/>
      <c r="O21" s="9" t="s">
        <v>83</v>
      </c>
      <c r="P21" s="9" t="s">
        <v>84</v>
      </c>
      <c r="Q21" s="5">
        <v>1</v>
      </c>
      <c r="R21" s="9" t="s">
        <v>237</v>
      </c>
      <c r="S21" s="9"/>
      <c r="T21" s="9" t="str">
        <f>HYPERLINK("https://seichotoushi-hojo.jp/assets/pdf/koufu/outline_113.pdf","PDFを開く")</f>
        <v>PDFを開く</v>
      </c>
      <c r="U21" s="9" t="s">
        <v>239</v>
      </c>
    </row>
    <row r="22" spans="1:21" ht="48" customHeight="1">
      <c r="A22" s="2" t="s">
        <v>240</v>
      </c>
      <c r="B22" s="2" t="s">
        <v>73</v>
      </c>
      <c r="C22" s="8" t="s">
        <v>241</v>
      </c>
      <c r="D22" s="8" t="s">
        <v>81</v>
      </c>
      <c r="E22" s="2">
        <v>2024</v>
      </c>
      <c r="F22" s="16"/>
      <c r="G22" s="2">
        <v>2030</v>
      </c>
      <c r="H22" s="16">
        <v>450</v>
      </c>
      <c r="I22" s="16">
        <v>84</v>
      </c>
      <c r="J22" s="16">
        <v>23</v>
      </c>
      <c r="K22" s="8" t="s">
        <v>82</v>
      </c>
      <c r="L22" s="16"/>
      <c r="M22" s="16"/>
      <c r="N22" s="16"/>
      <c r="O22" s="8" t="s">
        <v>83</v>
      </c>
      <c r="P22" s="8" t="s">
        <v>84</v>
      </c>
      <c r="Q22" s="2">
        <v>1</v>
      </c>
      <c r="R22" s="8" t="s">
        <v>244</v>
      </c>
      <c r="S22" s="8" t="s">
        <v>245</v>
      </c>
      <c r="T22" s="8" t="str">
        <f>HYPERLINK("https://seichotoushi-hojo.jp/assets/pdf/koufu/outline_114.pdf","PDFを開く")</f>
        <v>PDFを開く</v>
      </c>
      <c r="U22" s="8" t="s">
        <v>247</v>
      </c>
    </row>
    <row r="23" spans="1:21" ht="48" customHeight="1">
      <c r="A23" s="5" t="s">
        <v>248</v>
      </c>
      <c r="B23" s="5" t="s">
        <v>73</v>
      </c>
      <c r="C23" s="9" t="s">
        <v>249</v>
      </c>
      <c r="D23" s="9" t="s">
        <v>81</v>
      </c>
      <c r="E23" s="5">
        <v>2030</v>
      </c>
      <c r="F23" s="17">
        <v>248.6</v>
      </c>
      <c r="G23" s="5">
        <v>2034</v>
      </c>
      <c r="H23" s="17">
        <v>248.6</v>
      </c>
      <c r="I23" s="17">
        <v>300</v>
      </c>
      <c r="J23" s="17">
        <v>239</v>
      </c>
      <c r="K23" s="9" t="s">
        <v>82</v>
      </c>
      <c r="L23" s="17"/>
      <c r="M23" s="17">
        <v>0</v>
      </c>
      <c r="N23" s="17"/>
      <c r="O23" s="9" t="s">
        <v>200</v>
      </c>
      <c r="P23" s="9" t="s">
        <v>84</v>
      </c>
      <c r="Q23" s="5">
        <v>1</v>
      </c>
      <c r="R23" s="9" t="s">
        <v>253</v>
      </c>
      <c r="S23" s="9" t="s">
        <v>254</v>
      </c>
      <c r="T23" s="9" t="str">
        <f>HYPERLINK("https://seichotoushi-hojo.jp/assets/pdf/koufu/outline_115.pdf","PDFを開く")</f>
        <v>PDFを開く</v>
      </c>
      <c r="U23" s="9" t="s">
        <v>256</v>
      </c>
    </row>
    <row r="24" spans="1:21" ht="48" customHeight="1">
      <c r="A24" s="2" t="s">
        <v>257</v>
      </c>
      <c r="B24" s="2" t="s">
        <v>73</v>
      </c>
      <c r="C24" s="8" t="s">
        <v>258</v>
      </c>
      <c r="D24" s="8" t="s">
        <v>81</v>
      </c>
      <c r="E24" s="2">
        <v>2023</v>
      </c>
      <c r="F24" s="16"/>
      <c r="G24" s="2">
        <v>2028</v>
      </c>
      <c r="H24" s="16"/>
      <c r="I24" s="16">
        <v>67</v>
      </c>
      <c r="J24" s="16">
        <v>128</v>
      </c>
      <c r="K24" s="8" t="s">
        <v>82</v>
      </c>
      <c r="L24" s="16"/>
      <c r="M24" s="16"/>
      <c r="N24" s="16"/>
      <c r="O24" s="8" t="s">
        <v>83</v>
      </c>
      <c r="P24" s="8" t="s">
        <v>84</v>
      </c>
      <c r="Q24" s="2">
        <v>1</v>
      </c>
      <c r="R24" s="8" t="s">
        <v>262</v>
      </c>
      <c r="S24" s="8"/>
      <c r="T24" s="8" t="str">
        <f>HYPERLINK("https://seichotoushi-hojo.jp/assets/pdf/koufu/outline_116.pdf","PDFを開く")</f>
        <v>PDFを開く</v>
      </c>
      <c r="U24" s="8" t="s">
        <v>264</v>
      </c>
    </row>
    <row r="25" spans="1:21" ht="48" customHeight="1">
      <c r="A25" s="5" t="s">
        <v>265</v>
      </c>
      <c r="B25" s="5" t="s">
        <v>73</v>
      </c>
      <c r="C25" s="9" t="s">
        <v>266</v>
      </c>
      <c r="D25" s="9" t="s">
        <v>81</v>
      </c>
      <c r="E25" s="5"/>
      <c r="F25" s="17"/>
      <c r="G25" s="5">
        <v>2029</v>
      </c>
      <c r="H25" s="17"/>
      <c r="I25" s="17">
        <v>71</v>
      </c>
      <c r="J25" s="17">
        <v>245</v>
      </c>
      <c r="K25" s="9" t="s">
        <v>82</v>
      </c>
      <c r="L25" s="17"/>
      <c r="M25" s="17"/>
      <c r="N25" s="17"/>
      <c r="O25" s="9" t="s">
        <v>83</v>
      </c>
      <c r="P25" s="9" t="s">
        <v>84</v>
      </c>
      <c r="Q25" s="5">
        <v>1</v>
      </c>
      <c r="R25" s="9" t="s">
        <v>270</v>
      </c>
      <c r="S25" s="9" t="s">
        <v>271</v>
      </c>
      <c r="T25" s="9" t="str">
        <f>HYPERLINK("https://seichotoushi-hojo.jp/assets/pdf/koufu/outline_117.pdf","PDFを開く")</f>
        <v>PDFを開く</v>
      </c>
      <c r="U25" s="9" t="s">
        <v>273</v>
      </c>
    </row>
    <row r="26" spans="1:21" ht="48" customHeight="1">
      <c r="A26" s="2" t="s">
        <v>274</v>
      </c>
      <c r="B26" s="2" t="s">
        <v>73</v>
      </c>
      <c r="C26" s="8" t="s">
        <v>275</v>
      </c>
      <c r="D26" s="8" t="s">
        <v>81</v>
      </c>
      <c r="E26" s="2">
        <v>2025</v>
      </c>
      <c r="F26" s="16"/>
      <c r="G26" s="2">
        <v>2029</v>
      </c>
      <c r="H26" s="16"/>
      <c r="I26" s="16">
        <v>21</v>
      </c>
      <c r="J26" s="16">
        <v>220</v>
      </c>
      <c r="K26" s="8" t="s">
        <v>82</v>
      </c>
      <c r="L26" s="16"/>
      <c r="M26" s="16"/>
      <c r="N26" s="16"/>
      <c r="O26" s="8" t="s">
        <v>83</v>
      </c>
      <c r="P26" s="8" t="s">
        <v>84</v>
      </c>
      <c r="Q26" s="2">
        <v>1</v>
      </c>
      <c r="R26" s="8" t="s">
        <v>277</v>
      </c>
      <c r="S26" s="8"/>
      <c r="T26" s="8" t="str">
        <f>HYPERLINK("https://seichotoushi-hojo.jp/assets/pdf/koufu/outline_118.pdf","PDFを開く")</f>
        <v>PDFを開く</v>
      </c>
      <c r="U26" s="8" t="s">
        <v>279</v>
      </c>
    </row>
    <row r="27" spans="1:21" ht="48" customHeight="1">
      <c r="A27" s="5" t="s">
        <v>280</v>
      </c>
      <c r="B27" s="5" t="s">
        <v>73</v>
      </c>
      <c r="C27" s="9" t="s">
        <v>281</v>
      </c>
      <c r="D27" s="9" t="s">
        <v>81</v>
      </c>
      <c r="E27" s="5"/>
      <c r="F27" s="17"/>
      <c r="G27" s="5">
        <v>2030</v>
      </c>
      <c r="H27" s="17"/>
      <c r="I27" s="17">
        <v>690</v>
      </c>
      <c r="J27" s="17">
        <v>243</v>
      </c>
      <c r="K27" s="9" t="s">
        <v>82</v>
      </c>
      <c r="L27" s="17"/>
      <c r="M27" s="17"/>
      <c r="N27" s="17"/>
      <c r="O27" s="9" t="s">
        <v>83</v>
      </c>
      <c r="P27" s="9" t="s">
        <v>84</v>
      </c>
      <c r="Q27" s="5">
        <v>1</v>
      </c>
      <c r="R27" s="9" t="s">
        <v>285</v>
      </c>
      <c r="S27" s="9"/>
      <c r="T27" s="9" t="str">
        <f>HYPERLINK("https://seichotoushi-hojo.jp/assets/pdf/koufu/outline_119.pdf","PDFを開く")</f>
        <v>PDFを開く</v>
      </c>
      <c r="U27" s="9" t="s">
        <v>287</v>
      </c>
    </row>
    <row r="28" spans="1:21" ht="48" customHeight="1">
      <c r="A28" s="2" t="s">
        <v>288</v>
      </c>
      <c r="B28" s="2" t="s">
        <v>73</v>
      </c>
      <c r="C28" s="8" t="s">
        <v>289</v>
      </c>
      <c r="D28" s="8" t="s">
        <v>81</v>
      </c>
      <c r="E28" s="2">
        <v>2023</v>
      </c>
      <c r="F28" s="16">
        <v>600</v>
      </c>
      <c r="G28" s="2">
        <v>2029</v>
      </c>
      <c r="H28" s="16">
        <v>948</v>
      </c>
      <c r="I28" s="16">
        <v>348</v>
      </c>
      <c r="J28" s="16">
        <v>7.9</v>
      </c>
      <c r="K28" s="8" t="s">
        <v>210</v>
      </c>
      <c r="L28" s="16">
        <v>7.9</v>
      </c>
      <c r="M28" s="16"/>
      <c r="N28" s="16"/>
      <c r="O28" s="8" t="s">
        <v>166</v>
      </c>
      <c r="P28" s="8" t="s">
        <v>292</v>
      </c>
      <c r="Q28" s="2">
        <v>1</v>
      </c>
      <c r="R28" s="8" t="s">
        <v>293</v>
      </c>
      <c r="S28" s="8" t="s">
        <v>294</v>
      </c>
      <c r="T28" s="8" t="str">
        <f>HYPERLINK("https://seichotoushi-hojo.jp/assets/pdf/koufu/outline_12.pdf","PDFを開く")</f>
        <v>PDFを開く</v>
      </c>
      <c r="U28" s="8" t="s">
        <v>296</v>
      </c>
    </row>
    <row r="29" spans="1:21" ht="48" customHeight="1">
      <c r="A29" s="5" t="s">
        <v>297</v>
      </c>
      <c r="B29" s="5" t="s">
        <v>73</v>
      </c>
      <c r="C29" s="9" t="s">
        <v>298</v>
      </c>
      <c r="D29" s="9" t="s">
        <v>81</v>
      </c>
      <c r="E29" s="5">
        <v>2022</v>
      </c>
      <c r="F29" s="17">
        <v>140</v>
      </c>
      <c r="G29" s="5">
        <v>2029</v>
      </c>
      <c r="H29" s="17">
        <v>140</v>
      </c>
      <c r="I29" s="17">
        <v>9.4</v>
      </c>
      <c r="J29" s="17">
        <v>18</v>
      </c>
      <c r="K29" s="9" t="s">
        <v>210</v>
      </c>
      <c r="L29" s="17"/>
      <c r="M29" s="17">
        <v>0</v>
      </c>
      <c r="N29" s="17"/>
      <c r="O29" s="9" t="s">
        <v>120</v>
      </c>
      <c r="P29" s="9" t="s">
        <v>84</v>
      </c>
      <c r="Q29" s="5">
        <v>1</v>
      </c>
      <c r="R29" s="9" t="s">
        <v>301</v>
      </c>
      <c r="S29" s="9" t="s">
        <v>302</v>
      </c>
      <c r="T29" s="9" t="str">
        <f>HYPERLINK("https://seichotoushi-hojo.jp/assets/pdf/koufu/outline_120.pdf","PDFを開く")</f>
        <v>PDFを開く</v>
      </c>
      <c r="U29" s="9" t="s">
        <v>304</v>
      </c>
    </row>
    <row r="30" spans="1:21" ht="48" customHeight="1">
      <c r="A30" s="2" t="s">
        <v>305</v>
      </c>
      <c r="B30" s="2" t="s">
        <v>73</v>
      </c>
      <c r="C30" s="8" t="s">
        <v>306</v>
      </c>
      <c r="D30" s="8" t="s">
        <v>81</v>
      </c>
      <c r="E30" s="2">
        <v>2024</v>
      </c>
      <c r="F30" s="16"/>
      <c r="G30" s="2">
        <v>2029</v>
      </c>
      <c r="H30" s="16"/>
      <c r="I30" s="16">
        <v>10</v>
      </c>
      <c r="J30" s="16">
        <v>189</v>
      </c>
      <c r="K30" s="8" t="s">
        <v>82</v>
      </c>
      <c r="L30" s="16"/>
      <c r="M30" s="16"/>
      <c r="N30" s="16"/>
      <c r="O30" s="8" t="s">
        <v>83</v>
      </c>
      <c r="P30" s="8" t="s">
        <v>84</v>
      </c>
      <c r="Q30" s="2">
        <v>1</v>
      </c>
      <c r="R30" s="8" t="s">
        <v>311</v>
      </c>
      <c r="S30" s="8"/>
      <c r="T30" s="8" t="str">
        <f>HYPERLINK("https://seichotoushi-hojo.jp/assets/pdf/koufu/outline_121.pdf","PDFを開く")</f>
        <v>PDFを開く</v>
      </c>
      <c r="U30" s="8" t="s">
        <v>313</v>
      </c>
    </row>
    <row r="31" spans="1:21" ht="48" customHeight="1">
      <c r="A31" s="5" t="s">
        <v>314</v>
      </c>
      <c r="B31" s="5" t="s">
        <v>73</v>
      </c>
      <c r="C31" s="9" t="s">
        <v>315</v>
      </c>
      <c r="D31" s="9" t="s">
        <v>81</v>
      </c>
      <c r="E31" s="5">
        <v>2029</v>
      </c>
      <c r="F31" s="17">
        <v>266</v>
      </c>
      <c r="G31" s="5">
        <v>2030</v>
      </c>
      <c r="H31" s="17">
        <v>315</v>
      </c>
      <c r="I31" s="17"/>
      <c r="J31" s="17"/>
      <c r="K31" s="9"/>
      <c r="L31" s="17"/>
      <c r="M31" s="17">
        <v>18.421052631578938</v>
      </c>
      <c r="N31" s="17"/>
      <c r="O31" s="9" t="s">
        <v>100</v>
      </c>
      <c r="P31" s="9" t="s">
        <v>84</v>
      </c>
      <c r="Q31" s="5">
        <v>1</v>
      </c>
      <c r="R31" s="9" t="s">
        <v>319</v>
      </c>
      <c r="S31" s="9" t="s">
        <v>320</v>
      </c>
      <c r="T31" s="9" t="str">
        <f>HYPERLINK("https://seichotoushi-hojo.jp/assets/pdf/koufu/outline_122.pdf","PDFを開く")</f>
        <v>PDFを開く</v>
      </c>
      <c r="U31" s="9" t="s">
        <v>322</v>
      </c>
    </row>
    <row r="32" spans="1:21" ht="48" customHeight="1">
      <c r="A32" s="2" t="s">
        <v>323</v>
      </c>
      <c r="B32" s="2" t="s">
        <v>73</v>
      </c>
      <c r="C32" s="8" t="s">
        <v>324</v>
      </c>
      <c r="D32" s="8" t="s">
        <v>81</v>
      </c>
      <c r="E32" s="2">
        <v>2024</v>
      </c>
      <c r="F32" s="16"/>
      <c r="G32" s="2">
        <v>2029</v>
      </c>
      <c r="H32" s="16"/>
      <c r="I32" s="16">
        <v>46</v>
      </c>
      <c r="J32" s="16">
        <v>49</v>
      </c>
      <c r="K32" s="8" t="s">
        <v>82</v>
      </c>
      <c r="L32" s="16"/>
      <c r="M32" s="16"/>
      <c r="N32" s="16"/>
      <c r="O32" s="8" t="s">
        <v>83</v>
      </c>
      <c r="P32" s="8" t="s">
        <v>84</v>
      </c>
      <c r="Q32" s="2">
        <v>1</v>
      </c>
      <c r="R32" s="8" t="s">
        <v>328</v>
      </c>
      <c r="S32" s="8"/>
      <c r="T32" s="8" t="str">
        <f>HYPERLINK("https://seichotoushi-hojo.jp/assets/pdf/koufu/outline_123.pdf","PDFを開く")</f>
        <v>PDFを開く</v>
      </c>
      <c r="U32" s="8" t="s">
        <v>330</v>
      </c>
    </row>
    <row r="33" spans="1:21" ht="48" customHeight="1">
      <c r="A33" s="5" t="s">
        <v>331</v>
      </c>
      <c r="B33" s="5" t="s">
        <v>73</v>
      </c>
      <c r="C33" s="9" t="s">
        <v>332</v>
      </c>
      <c r="D33" s="9" t="s">
        <v>81</v>
      </c>
      <c r="E33" s="5">
        <v>2024</v>
      </c>
      <c r="F33" s="17"/>
      <c r="G33" s="5">
        <v>2030</v>
      </c>
      <c r="H33" s="17"/>
      <c r="I33" s="17">
        <v>159</v>
      </c>
      <c r="J33" s="17">
        <v>11</v>
      </c>
      <c r="K33" s="9" t="s">
        <v>210</v>
      </c>
      <c r="L33" s="17"/>
      <c r="M33" s="17"/>
      <c r="N33" s="17"/>
      <c r="O33" s="9" t="s">
        <v>83</v>
      </c>
      <c r="P33" s="9" t="s">
        <v>84</v>
      </c>
      <c r="Q33" s="5">
        <v>1</v>
      </c>
      <c r="R33" s="9" t="s">
        <v>335</v>
      </c>
      <c r="S33" s="9"/>
      <c r="T33" s="9" t="str">
        <f>HYPERLINK("https://seichotoushi-hojo.jp/assets/pdf/koufu/outline_124.pdf","PDFを開く")</f>
        <v>PDFを開く</v>
      </c>
      <c r="U33" s="9" t="s">
        <v>337</v>
      </c>
    </row>
    <row r="34" spans="1:21" ht="48" customHeight="1">
      <c r="A34" s="2" t="s">
        <v>338</v>
      </c>
      <c r="B34" s="2" t="s">
        <v>73</v>
      </c>
      <c r="C34" s="8" t="s">
        <v>339</v>
      </c>
      <c r="D34" s="8" t="s">
        <v>81</v>
      </c>
      <c r="E34" s="2">
        <v>2024</v>
      </c>
      <c r="F34" s="16"/>
      <c r="G34" s="2">
        <v>2030</v>
      </c>
      <c r="H34" s="16">
        <v>66</v>
      </c>
      <c r="I34" s="16">
        <v>66</v>
      </c>
      <c r="J34" s="16">
        <v>10.7</v>
      </c>
      <c r="K34" s="8" t="s">
        <v>82</v>
      </c>
      <c r="L34" s="16"/>
      <c r="M34" s="16"/>
      <c r="N34" s="16"/>
      <c r="O34" s="8" t="s">
        <v>83</v>
      </c>
      <c r="P34" s="8" t="s">
        <v>84</v>
      </c>
      <c r="Q34" s="2">
        <v>1</v>
      </c>
      <c r="R34" s="8" t="s">
        <v>343</v>
      </c>
      <c r="S34" s="8" t="s">
        <v>344</v>
      </c>
      <c r="T34" s="8" t="str">
        <f>HYPERLINK("https://seichotoushi-hojo.jp/assets/pdf/koufu/outline_125.pdf","PDFを開く")</f>
        <v>PDFを開く</v>
      </c>
      <c r="U34" s="8" t="s">
        <v>346</v>
      </c>
    </row>
    <row r="35" spans="1:21" ht="48" customHeight="1">
      <c r="A35" s="5" t="s">
        <v>347</v>
      </c>
      <c r="B35" s="5" t="s">
        <v>73</v>
      </c>
      <c r="C35" s="9" t="s">
        <v>348</v>
      </c>
      <c r="D35" s="9" t="s">
        <v>81</v>
      </c>
      <c r="E35" s="5">
        <v>2027</v>
      </c>
      <c r="F35" s="17"/>
      <c r="G35" s="5">
        <v>2030</v>
      </c>
      <c r="H35" s="17"/>
      <c r="I35" s="17">
        <v>64.8</v>
      </c>
      <c r="J35" s="17">
        <v>13.1</v>
      </c>
      <c r="K35" s="9" t="s">
        <v>210</v>
      </c>
      <c r="L35" s="17"/>
      <c r="M35" s="17"/>
      <c r="N35" s="17"/>
      <c r="O35" s="9" t="s">
        <v>83</v>
      </c>
      <c r="P35" s="9" t="s">
        <v>84</v>
      </c>
      <c r="Q35" s="5">
        <v>1</v>
      </c>
      <c r="R35" s="9" t="s">
        <v>351</v>
      </c>
      <c r="S35" s="9"/>
      <c r="T35" s="9" t="str">
        <f>HYPERLINK("https://seichotoushi-hojo.jp/assets/pdf/koufu/outline_126.pdf","PDFを開く")</f>
        <v>PDFを開く</v>
      </c>
      <c r="U35" s="9" t="s">
        <v>353</v>
      </c>
    </row>
    <row r="36" spans="1:21" ht="48" customHeight="1">
      <c r="A36" s="2" t="s">
        <v>354</v>
      </c>
      <c r="B36" s="2" t="s">
        <v>73</v>
      </c>
      <c r="C36" s="8" t="s">
        <v>355</v>
      </c>
      <c r="D36" s="8" t="s">
        <v>81</v>
      </c>
      <c r="E36" s="2">
        <v>2024</v>
      </c>
      <c r="F36" s="16">
        <v>55.9</v>
      </c>
      <c r="G36" s="2">
        <v>2029</v>
      </c>
      <c r="H36" s="16">
        <v>107.9</v>
      </c>
      <c r="I36" s="16"/>
      <c r="J36" s="16"/>
      <c r="K36" s="8"/>
      <c r="L36" s="16"/>
      <c r="M36" s="16">
        <v>14.056995548646455</v>
      </c>
      <c r="N36" s="16"/>
      <c r="O36" s="8" t="s">
        <v>100</v>
      </c>
      <c r="P36" s="8" t="s">
        <v>84</v>
      </c>
      <c r="Q36" s="2">
        <v>1</v>
      </c>
      <c r="R36" s="8" t="s">
        <v>358</v>
      </c>
      <c r="S36" s="8" t="s">
        <v>359</v>
      </c>
      <c r="T36" s="8" t="str">
        <f>HYPERLINK("https://seichotoushi-hojo.jp/assets/pdf/koufu/outline_127.pdf","PDFを開く")</f>
        <v>PDFを開く</v>
      </c>
      <c r="U36" s="8" t="s">
        <v>361</v>
      </c>
    </row>
    <row r="37" spans="1:21" ht="48" customHeight="1">
      <c r="A37" s="5" t="s">
        <v>362</v>
      </c>
      <c r="B37" s="5" t="s">
        <v>73</v>
      </c>
      <c r="C37" s="9" t="s">
        <v>363</v>
      </c>
      <c r="D37" s="9" t="s">
        <v>81</v>
      </c>
      <c r="E37" s="5"/>
      <c r="F37" s="17"/>
      <c r="G37" s="5"/>
      <c r="H37" s="17">
        <v>22.66</v>
      </c>
      <c r="I37" s="17">
        <v>16.71</v>
      </c>
      <c r="J37" s="17">
        <v>280.8</v>
      </c>
      <c r="K37" s="9" t="s">
        <v>82</v>
      </c>
      <c r="L37" s="17"/>
      <c r="M37" s="17"/>
      <c r="N37" s="17"/>
      <c r="O37" s="9" t="s">
        <v>83</v>
      </c>
      <c r="P37" s="9" t="s">
        <v>84</v>
      </c>
      <c r="Q37" s="5">
        <v>1</v>
      </c>
      <c r="R37" s="9" t="s">
        <v>366</v>
      </c>
      <c r="S37" s="9"/>
      <c r="T37" s="9" t="str">
        <f>HYPERLINK("https://seichotoushi-hojo.jp/assets/pdf/koufu/outline_128.pdf","PDFを開く")</f>
        <v>PDFを開く</v>
      </c>
      <c r="U37" s="9" t="s">
        <v>368</v>
      </c>
    </row>
    <row r="38" spans="1:21" ht="48" customHeight="1">
      <c r="A38" s="2" t="s">
        <v>369</v>
      </c>
      <c r="B38" s="2" t="s">
        <v>73</v>
      </c>
      <c r="C38" s="8" t="s">
        <v>370</v>
      </c>
      <c r="D38" s="8" t="s">
        <v>81</v>
      </c>
      <c r="E38" s="2"/>
      <c r="F38" s="16"/>
      <c r="G38" s="2">
        <v>2028</v>
      </c>
      <c r="H38" s="16">
        <v>80</v>
      </c>
      <c r="I38" s="16"/>
      <c r="J38" s="16">
        <v>10.8</v>
      </c>
      <c r="K38" s="8" t="s">
        <v>210</v>
      </c>
      <c r="L38" s="16"/>
      <c r="M38" s="16"/>
      <c r="N38" s="16"/>
      <c r="O38" s="8" t="s">
        <v>83</v>
      </c>
      <c r="P38" s="8" t="s">
        <v>84</v>
      </c>
      <c r="Q38" s="2">
        <v>1</v>
      </c>
      <c r="R38" s="8" t="s">
        <v>374</v>
      </c>
      <c r="S38" s="8" t="s">
        <v>375</v>
      </c>
      <c r="T38" s="8" t="str">
        <f>HYPERLINK("https://seichotoushi-hojo.jp/assets/pdf/koufu/outline_129.pdf","PDFを開く")</f>
        <v>PDFを開く</v>
      </c>
      <c r="U38" s="8" t="s">
        <v>377</v>
      </c>
    </row>
    <row r="39" spans="1:21" ht="48" customHeight="1">
      <c r="A39" s="5" t="s">
        <v>378</v>
      </c>
      <c r="B39" s="5" t="s">
        <v>73</v>
      </c>
      <c r="C39" s="9" t="s">
        <v>379</v>
      </c>
      <c r="D39" s="9" t="s">
        <v>81</v>
      </c>
      <c r="E39" s="5"/>
      <c r="F39" s="17"/>
      <c r="G39" s="5">
        <v>2030</v>
      </c>
      <c r="H39" s="17"/>
      <c r="I39" s="17">
        <v>16</v>
      </c>
      <c r="J39" s="17">
        <v>10</v>
      </c>
      <c r="K39" s="9" t="s">
        <v>210</v>
      </c>
      <c r="L39" s="17"/>
      <c r="M39" s="17"/>
      <c r="N39" s="17"/>
      <c r="O39" s="9" t="s">
        <v>166</v>
      </c>
      <c r="P39" s="9" t="s">
        <v>292</v>
      </c>
      <c r="Q39" s="5">
        <v>1</v>
      </c>
      <c r="R39" s="9" t="s">
        <v>383</v>
      </c>
      <c r="S39" s="9"/>
      <c r="T39" s="9" t="str">
        <f>HYPERLINK("https://seichotoushi-hojo.jp/assets/pdf/koufu/outline_13.pdf","PDFを開く")</f>
        <v>PDFを開く</v>
      </c>
      <c r="U39" s="9" t="s">
        <v>385</v>
      </c>
    </row>
    <row r="40" spans="1:21" ht="48" customHeight="1">
      <c r="A40" s="2" t="s">
        <v>386</v>
      </c>
      <c r="B40" s="2" t="s">
        <v>73</v>
      </c>
      <c r="C40" s="8" t="s">
        <v>387</v>
      </c>
      <c r="D40" s="8" t="s">
        <v>81</v>
      </c>
      <c r="E40" s="2">
        <v>2023</v>
      </c>
      <c r="F40" s="16">
        <v>33</v>
      </c>
      <c r="G40" s="2">
        <v>2033</v>
      </c>
      <c r="H40" s="16">
        <v>12</v>
      </c>
      <c r="I40" s="16">
        <v>45</v>
      </c>
      <c r="J40" s="16">
        <v>275</v>
      </c>
      <c r="K40" s="8" t="s">
        <v>82</v>
      </c>
      <c r="L40" s="16"/>
      <c r="M40" s="16">
        <v>-9.6211667226112958</v>
      </c>
      <c r="N40" s="16"/>
      <c r="O40" s="8" t="s">
        <v>200</v>
      </c>
      <c r="P40" s="8" t="s">
        <v>84</v>
      </c>
      <c r="Q40" s="2">
        <v>1</v>
      </c>
      <c r="R40" s="8" t="s">
        <v>391</v>
      </c>
      <c r="S40" s="8" t="s">
        <v>392</v>
      </c>
      <c r="T40" s="8" t="str">
        <f>HYPERLINK("https://seichotoushi-hojo.jp/assets/pdf/koufu/outline_130.pdf","PDFを開く")</f>
        <v>PDFを開く</v>
      </c>
      <c r="U40" s="8" t="s">
        <v>394</v>
      </c>
    </row>
    <row r="41" spans="1:21" ht="48" customHeight="1">
      <c r="A41" s="5" t="s">
        <v>395</v>
      </c>
      <c r="B41" s="5" t="s">
        <v>73</v>
      </c>
      <c r="C41" s="9" t="s">
        <v>396</v>
      </c>
      <c r="D41" s="9" t="s">
        <v>81</v>
      </c>
      <c r="E41" s="5">
        <v>2024</v>
      </c>
      <c r="F41" s="17"/>
      <c r="G41" s="5">
        <v>2029</v>
      </c>
      <c r="H41" s="17"/>
      <c r="I41" s="17">
        <v>55.3</v>
      </c>
      <c r="J41" s="17">
        <v>53.8</v>
      </c>
      <c r="K41" s="9" t="s">
        <v>210</v>
      </c>
      <c r="L41" s="17"/>
      <c r="M41" s="17"/>
      <c r="N41" s="17"/>
      <c r="O41" s="9" t="s">
        <v>83</v>
      </c>
      <c r="P41" s="9" t="s">
        <v>84</v>
      </c>
      <c r="Q41" s="5">
        <v>1</v>
      </c>
      <c r="R41" s="9" t="s">
        <v>401</v>
      </c>
      <c r="S41" s="9"/>
      <c r="T41" s="9" t="str">
        <f>HYPERLINK("https://seichotoushi-hojo.jp/assets/pdf/koufu/outline_131.pdf","PDFを開く")</f>
        <v>PDFを開く</v>
      </c>
      <c r="U41" s="9" t="s">
        <v>403</v>
      </c>
    </row>
    <row r="42" spans="1:21" ht="48" customHeight="1">
      <c r="A42" s="2" t="s">
        <v>404</v>
      </c>
      <c r="B42" s="2" t="s">
        <v>73</v>
      </c>
      <c r="C42" s="8" t="s">
        <v>405</v>
      </c>
      <c r="D42" s="8" t="s">
        <v>81</v>
      </c>
      <c r="E42" s="2"/>
      <c r="F42" s="16"/>
      <c r="G42" s="2">
        <v>2029</v>
      </c>
      <c r="H42" s="16"/>
      <c r="I42" s="16">
        <v>47</v>
      </c>
      <c r="J42" s="16">
        <v>10</v>
      </c>
      <c r="K42" s="8" t="s">
        <v>210</v>
      </c>
      <c r="L42" s="16"/>
      <c r="M42" s="16"/>
      <c r="N42" s="16"/>
      <c r="O42" s="8" t="s">
        <v>83</v>
      </c>
      <c r="P42" s="8" t="s">
        <v>84</v>
      </c>
      <c r="Q42" s="2">
        <v>1</v>
      </c>
      <c r="R42" s="8" t="s">
        <v>409</v>
      </c>
      <c r="S42" s="8"/>
      <c r="T42" s="8" t="str">
        <f>HYPERLINK("https://seichotoushi-hojo.jp/assets/pdf/koufu/outline_132.pdf","PDFを開く")</f>
        <v>PDFを開く</v>
      </c>
      <c r="U42" s="8" t="s">
        <v>411</v>
      </c>
    </row>
    <row r="43" spans="1:21" ht="48" customHeight="1">
      <c r="A43" s="5" t="s">
        <v>412</v>
      </c>
      <c r="B43" s="5" t="s">
        <v>73</v>
      </c>
      <c r="C43" s="9" t="s">
        <v>413</v>
      </c>
      <c r="D43" s="9" t="s">
        <v>81</v>
      </c>
      <c r="E43" s="5">
        <v>2023</v>
      </c>
      <c r="F43" s="17">
        <v>30</v>
      </c>
      <c r="G43" s="5">
        <v>2029</v>
      </c>
      <c r="H43" s="17">
        <v>84</v>
      </c>
      <c r="I43" s="17"/>
      <c r="J43" s="17">
        <v>250</v>
      </c>
      <c r="K43" s="9" t="s">
        <v>82</v>
      </c>
      <c r="L43" s="17"/>
      <c r="M43" s="17">
        <v>18.720669911055431</v>
      </c>
      <c r="N43" s="17"/>
      <c r="O43" s="9" t="s">
        <v>418</v>
      </c>
      <c r="P43" s="9" t="s">
        <v>84</v>
      </c>
      <c r="Q43" s="5">
        <v>1</v>
      </c>
      <c r="R43" s="9" t="s">
        <v>419</v>
      </c>
      <c r="S43" s="9" t="s">
        <v>420</v>
      </c>
      <c r="T43" s="9" t="str">
        <f>HYPERLINK("https://seichotoushi-hojo.jp/assets/pdf/koufu/outline_134.pdf","PDFを開く")</f>
        <v>PDFを開く</v>
      </c>
      <c r="U43" s="9" t="s">
        <v>422</v>
      </c>
    </row>
    <row r="44" spans="1:21" ht="48" customHeight="1">
      <c r="A44" s="2" t="s">
        <v>423</v>
      </c>
      <c r="B44" s="2" t="s">
        <v>73</v>
      </c>
      <c r="C44" s="8" t="s">
        <v>424</v>
      </c>
      <c r="D44" s="8" t="s">
        <v>81</v>
      </c>
      <c r="E44" s="2"/>
      <c r="F44" s="16"/>
      <c r="G44" s="2">
        <v>2033</v>
      </c>
      <c r="H44" s="16"/>
      <c r="I44" s="16">
        <v>25</v>
      </c>
      <c r="J44" s="16">
        <v>68.5</v>
      </c>
      <c r="K44" s="8" t="s">
        <v>82</v>
      </c>
      <c r="L44" s="16"/>
      <c r="M44" s="16"/>
      <c r="N44" s="16"/>
      <c r="O44" s="8" t="s">
        <v>83</v>
      </c>
      <c r="P44" s="8" t="s">
        <v>84</v>
      </c>
      <c r="Q44" s="2">
        <v>1</v>
      </c>
      <c r="R44" s="8" t="s">
        <v>428</v>
      </c>
      <c r="S44" s="8"/>
      <c r="T44" s="8" t="str">
        <f>HYPERLINK("https://seichotoushi-hojo.jp/assets/pdf/koufu/outline_135.pdf","PDFを開く")</f>
        <v>PDFを開く</v>
      </c>
      <c r="U44" s="8" t="s">
        <v>430</v>
      </c>
    </row>
    <row r="45" spans="1:21" ht="48" customHeight="1">
      <c r="A45" s="5" t="s">
        <v>431</v>
      </c>
      <c r="B45" s="5" t="s">
        <v>73</v>
      </c>
      <c r="C45" s="9" t="s">
        <v>432</v>
      </c>
      <c r="D45" s="9" t="s">
        <v>81</v>
      </c>
      <c r="E45" s="5">
        <v>2023</v>
      </c>
      <c r="F45" s="17">
        <v>100</v>
      </c>
      <c r="G45" s="5">
        <v>2030</v>
      </c>
      <c r="H45" s="17">
        <v>100</v>
      </c>
      <c r="I45" s="17">
        <v>100</v>
      </c>
      <c r="J45" s="17">
        <v>120</v>
      </c>
      <c r="K45" s="9" t="s">
        <v>82</v>
      </c>
      <c r="L45" s="17"/>
      <c r="M45" s="17">
        <v>0</v>
      </c>
      <c r="N45" s="17"/>
      <c r="O45" s="9" t="s">
        <v>200</v>
      </c>
      <c r="P45" s="9" t="s">
        <v>84</v>
      </c>
      <c r="Q45" s="5">
        <v>1</v>
      </c>
      <c r="R45" s="9" t="s">
        <v>436</v>
      </c>
      <c r="S45" s="9" t="s">
        <v>437</v>
      </c>
      <c r="T45" s="9" t="str">
        <f>HYPERLINK("https://seichotoushi-hojo.jp/assets/pdf/koufu/outline_136.pdf","PDFを開く")</f>
        <v>PDFを開く</v>
      </c>
      <c r="U45" s="9" t="s">
        <v>439</v>
      </c>
    </row>
    <row r="46" spans="1:21" ht="48" customHeight="1">
      <c r="A46" s="2" t="s">
        <v>440</v>
      </c>
      <c r="B46" s="2" t="s">
        <v>73</v>
      </c>
      <c r="C46" s="8" t="s">
        <v>441</v>
      </c>
      <c r="D46" s="8" t="s">
        <v>81</v>
      </c>
      <c r="E46" s="2">
        <v>2023</v>
      </c>
      <c r="F46" s="16">
        <v>21.39</v>
      </c>
      <c r="G46" s="2">
        <v>2030</v>
      </c>
      <c r="H46" s="16">
        <v>55</v>
      </c>
      <c r="I46" s="16">
        <v>33.61</v>
      </c>
      <c r="J46" s="16">
        <v>157.1</v>
      </c>
      <c r="K46" s="8" t="s">
        <v>99</v>
      </c>
      <c r="L46" s="16"/>
      <c r="M46" s="16">
        <v>14.444026507871666</v>
      </c>
      <c r="N46" s="16"/>
      <c r="O46" s="8" t="s">
        <v>100</v>
      </c>
      <c r="P46" s="8" t="s">
        <v>84</v>
      </c>
      <c r="Q46" s="2">
        <v>1</v>
      </c>
      <c r="R46" s="8" t="s">
        <v>445</v>
      </c>
      <c r="S46" s="8" t="s">
        <v>446</v>
      </c>
      <c r="T46" s="8" t="str">
        <f>HYPERLINK("https://seichotoushi-hojo.jp/assets/pdf/koufu/outline_137.pdf","PDFを開く")</f>
        <v>PDFを開く</v>
      </c>
      <c r="U46" s="8" t="s">
        <v>449</v>
      </c>
    </row>
    <row r="47" spans="1:21" ht="48" customHeight="1">
      <c r="A47" s="5" t="s">
        <v>450</v>
      </c>
      <c r="B47" s="5" t="s">
        <v>73</v>
      </c>
      <c r="C47" s="9" t="s">
        <v>451</v>
      </c>
      <c r="D47" s="9" t="s">
        <v>81</v>
      </c>
      <c r="E47" s="5">
        <v>2023</v>
      </c>
      <c r="F47" s="17"/>
      <c r="G47" s="5">
        <v>2030</v>
      </c>
      <c r="H47" s="17"/>
      <c r="I47" s="17">
        <v>73.2</v>
      </c>
      <c r="J47" s="17">
        <v>168.5</v>
      </c>
      <c r="K47" s="9" t="s">
        <v>82</v>
      </c>
      <c r="L47" s="17"/>
      <c r="M47" s="17"/>
      <c r="N47" s="17"/>
      <c r="O47" s="9" t="s">
        <v>83</v>
      </c>
      <c r="P47" s="9" t="s">
        <v>84</v>
      </c>
      <c r="Q47" s="5">
        <v>1</v>
      </c>
      <c r="R47" s="9" t="s">
        <v>455</v>
      </c>
      <c r="S47" s="9" t="s">
        <v>456</v>
      </c>
      <c r="T47" s="9" t="str">
        <f>HYPERLINK("https://seichotoushi-hojo.jp/assets/pdf/koufu/outline_138.pdf","PDFを開く")</f>
        <v>PDFを開く</v>
      </c>
      <c r="U47" s="9" t="s">
        <v>458</v>
      </c>
    </row>
    <row r="48" spans="1:21" ht="48" customHeight="1">
      <c r="A48" s="2" t="s">
        <v>459</v>
      </c>
      <c r="B48" s="2" t="s">
        <v>73</v>
      </c>
      <c r="C48" s="8" t="s">
        <v>460</v>
      </c>
      <c r="D48" s="8" t="s">
        <v>81</v>
      </c>
      <c r="E48" s="2">
        <v>2023</v>
      </c>
      <c r="F48" s="16">
        <v>76.8</v>
      </c>
      <c r="G48" s="2">
        <v>2040</v>
      </c>
      <c r="H48" s="16">
        <v>117.3</v>
      </c>
      <c r="I48" s="16">
        <v>194.1</v>
      </c>
      <c r="J48" s="16">
        <v>65.5</v>
      </c>
      <c r="K48" s="8" t="s">
        <v>82</v>
      </c>
      <c r="L48" s="16"/>
      <c r="M48" s="16">
        <v>2.5226471721803145</v>
      </c>
      <c r="N48" s="16"/>
      <c r="O48" s="8" t="s">
        <v>200</v>
      </c>
      <c r="P48" s="8" t="s">
        <v>84</v>
      </c>
      <c r="Q48" s="2">
        <v>1</v>
      </c>
      <c r="R48" s="8" t="s">
        <v>463</v>
      </c>
      <c r="S48" s="8" t="s">
        <v>464</v>
      </c>
      <c r="T48" s="8" t="str">
        <f>HYPERLINK("https://seichotoushi-hojo.jp/assets/pdf/koufu/outline_139.pdf","PDFを開く")</f>
        <v>PDFを開く</v>
      </c>
      <c r="U48" s="8" t="s">
        <v>466</v>
      </c>
    </row>
    <row r="49" spans="1:21" ht="48" customHeight="1">
      <c r="A49" s="5" t="s">
        <v>467</v>
      </c>
      <c r="B49" s="5" t="s">
        <v>73</v>
      </c>
      <c r="C49" s="9" t="s">
        <v>468</v>
      </c>
      <c r="D49" s="9" t="s">
        <v>81</v>
      </c>
      <c r="E49" s="5"/>
      <c r="F49" s="17"/>
      <c r="G49" s="5">
        <v>2030</v>
      </c>
      <c r="H49" s="17"/>
      <c r="I49" s="17">
        <v>200</v>
      </c>
      <c r="J49" s="17">
        <v>5</v>
      </c>
      <c r="K49" s="9" t="s">
        <v>210</v>
      </c>
      <c r="L49" s="17"/>
      <c r="M49" s="17"/>
      <c r="N49" s="17"/>
      <c r="O49" s="9" t="s">
        <v>83</v>
      </c>
      <c r="P49" s="9" t="s">
        <v>84</v>
      </c>
      <c r="Q49" s="5">
        <v>1</v>
      </c>
      <c r="R49" s="9" t="s">
        <v>472</v>
      </c>
      <c r="S49" s="9" t="s">
        <v>473</v>
      </c>
      <c r="T49" s="9" t="str">
        <f>HYPERLINK("https://seichotoushi-hojo.jp/assets/pdf/koufu/outline_14.pdf","PDFを開く")</f>
        <v>PDFを開く</v>
      </c>
      <c r="U49" s="9" t="s">
        <v>475</v>
      </c>
    </row>
    <row r="50" spans="1:21" ht="48" customHeight="1">
      <c r="A50" s="2" t="s">
        <v>476</v>
      </c>
      <c r="B50" s="2" t="s">
        <v>73</v>
      </c>
      <c r="C50" s="8" t="s">
        <v>477</v>
      </c>
      <c r="D50" s="8" t="s">
        <v>81</v>
      </c>
      <c r="E50" s="2">
        <v>2029</v>
      </c>
      <c r="F50" s="16"/>
      <c r="G50" s="2">
        <v>2030</v>
      </c>
      <c r="H50" s="16">
        <v>300</v>
      </c>
      <c r="I50" s="16"/>
      <c r="J50" s="16"/>
      <c r="K50" s="8"/>
      <c r="L50" s="16"/>
      <c r="M50" s="16"/>
      <c r="N50" s="16"/>
      <c r="O50" s="8" t="s">
        <v>83</v>
      </c>
      <c r="P50" s="8" t="s">
        <v>84</v>
      </c>
      <c r="Q50" s="2">
        <v>2</v>
      </c>
      <c r="R50" s="8" t="s">
        <v>480</v>
      </c>
      <c r="S50" s="8" t="s">
        <v>481</v>
      </c>
      <c r="T50" s="8" t="str">
        <f>HYPERLINK("https://seichotoushi-hojo.jp/assets/pdf/koufu/outline_140.pdf","PDFを開く")</f>
        <v>PDFを開く</v>
      </c>
      <c r="U50" s="8" t="s">
        <v>484</v>
      </c>
    </row>
    <row r="51" spans="1:21" ht="48" customHeight="1">
      <c r="A51" s="5" t="s">
        <v>485</v>
      </c>
      <c r="B51" s="5" t="s">
        <v>73</v>
      </c>
      <c r="C51" s="9" t="s">
        <v>486</v>
      </c>
      <c r="D51" s="9" t="s">
        <v>81</v>
      </c>
      <c r="E51" s="5">
        <v>2023</v>
      </c>
      <c r="F51" s="17">
        <v>146.69999999999999</v>
      </c>
      <c r="G51" s="5">
        <v>2029</v>
      </c>
      <c r="H51" s="17">
        <v>300.39999999999998</v>
      </c>
      <c r="I51" s="17">
        <v>153.69999999999999</v>
      </c>
      <c r="J51" s="17">
        <v>104.7</v>
      </c>
      <c r="K51" s="9" t="s">
        <v>490</v>
      </c>
      <c r="L51" s="17"/>
      <c r="M51" s="17"/>
      <c r="N51" s="17"/>
      <c r="O51" s="9" t="s">
        <v>166</v>
      </c>
      <c r="P51" s="9" t="s">
        <v>292</v>
      </c>
      <c r="Q51" s="5">
        <v>1</v>
      </c>
      <c r="R51" s="9" t="s">
        <v>491</v>
      </c>
      <c r="S51" s="9" t="s">
        <v>492</v>
      </c>
      <c r="T51" s="9" t="str">
        <f>HYPERLINK("https://seichotoushi-hojo.jp/assets/pdf/koufu/outline_141.pdf","PDFを開く")</f>
        <v>PDFを開く</v>
      </c>
      <c r="U51" s="9" t="s">
        <v>494</v>
      </c>
    </row>
    <row r="52" spans="1:21" ht="48" customHeight="1">
      <c r="A52" s="2" t="s">
        <v>495</v>
      </c>
      <c r="B52" s="2" t="s">
        <v>73</v>
      </c>
      <c r="C52" s="8" t="s">
        <v>496</v>
      </c>
      <c r="D52" s="8" t="s">
        <v>81</v>
      </c>
      <c r="E52" s="2"/>
      <c r="F52" s="16"/>
      <c r="G52" s="2">
        <v>2028</v>
      </c>
      <c r="H52" s="16"/>
      <c r="I52" s="16">
        <v>91.92</v>
      </c>
      <c r="J52" s="16"/>
      <c r="K52" s="8"/>
      <c r="L52" s="16"/>
      <c r="M52" s="16"/>
      <c r="N52" s="16"/>
      <c r="O52" s="8" t="s">
        <v>83</v>
      </c>
      <c r="P52" s="8" t="s">
        <v>84</v>
      </c>
      <c r="Q52" s="2">
        <v>1</v>
      </c>
      <c r="R52" s="8" t="s">
        <v>501</v>
      </c>
      <c r="S52" s="8"/>
      <c r="T52" s="8" t="str">
        <f>HYPERLINK("https://seichotoushi-hojo.jp/assets/pdf/koufu/outline_143.pdf","PDFを開く")</f>
        <v>PDFを開く</v>
      </c>
      <c r="U52" s="8" t="s">
        <v>503</v>
      </c>
    </row>
    <row r="53" spans="1:21" ht="48" customHeight="1">
      <c r="A53" s="5" t="s">
        <v>504</v>
      </c>
      <c r="B53" s="5" t="s">
        <v>73</v>
      </c>
      <c r="C53" s="9" t="s">
        <v>505</v>
      </c>
      <c r="D53" s="9" t="s">
        <v>81</v>
      </c>
      <c r="E53" s="5">
        <v>2023</v>
      </c>
      <c r="F53" s="17">
        <v>91</v>
      </c>
      <c r="G53" s="5">
        <v>2029</v>
      </c>
      <c r="H53" s="17">
        <v>246</v>
      </c>
      <c r="I53" s="17"/>
      <c r="J53" s="17"/>
      <c r="K53" s="9"/>
      <c r="L53" s="17"/>
      <c r="M53" s="17">
        <v>18.027249317294093</v>
      </c>
      <c r="N53" s="17"/>
      <c r="O53" s="9" t="s">
        <v>100</v>
      </c>
      <c r="P53" s="9" t="s">
        <v>84</v>
      </c>
      <c r="Q53" s="5">
        <v>1</v>
      </c>
      <c r="R53" s="9" t="s">
        <v>509</v>
      </c>
      <c r="S53" s="9" t="s">
        <v>510</v>
      </c>
      <c r="T53" s="9" t="str">
        <f>HYPERLINK("https://seichotoushi-hojo.jp/assets/pdf/koufu/outline_145.pdf","PDFを開く")</f>
        <v>PDFを開く</v>
      </c>
      <c r="U53" s="9" t="s">
        <v>512</v>
      </c>
    </row>
    <row r="54" spans="1:21" ht="48" customHeight="1">
      <c r="A54" s="2" t="s">
        <v>513</v>
      </c>
      <c r="B54" s="2" t="s">
        <v>73</v>
      </c>
      <c r="C54" s="8" t="s">
        <v>514</v>
      </c>
      <c r="D54" s="8" t="s">
        <v>81</v>
      </c>
      <c r="E54" s="2"/>
      <c r="F54" s="16"/>
      <c r="G54" s="2">
        <v>2029</v>
      </c>
      <c r="H54" s="16"/>
      <c r="I54" s="16">
        <v>379</v>
      </c>
      <c r="J54" s="16">
        <v>102</v>
      </c>
      <c r="K54" s="8" t="s">
        <v>82</v>
      </c>
      <c r="L54" s="16"/>
      <c r="M54" s="16"/>
      <c r="N54" s="16"/>
      <c r="O54" s="8" t="s">
        <v>83</v>
      </c>
      <c r="P54" s="8" t="s">
        <v>84</v>
      </c>
      <c r="Q54" s="2">
        <v>1</v>
      </c>
      <c r="R54" s="8" t="s">
        <v>518</v>
      </c>
      <c r="S54" s="8"/>
      <c r="T54" s="8" t="str">
        <f>HYPERLINK("https://seichotoushi-hojo.jp/assets/pdf/koufu/outline_146.pdf","PDFを開く")</f>
        <v>PDFを開く</v>
      </c>
      <c r="U54" s="8" t="s">
        <v>520</v>
      </c>
    </row>
    <row r="55" spans="1:21" ht="48" customHeight="1">
      <c r="A55" s="5" t="s">
        <v>521</v>
      </c>
      <c r="B55" s="5" t="s">
        <v>73</v>
      </c>
      <c r="C55" s="9" t="s">
        <v>522</v>
      </c>
      <c r="D55" s="9" t="s">
        <v>81</v>
      </c>
      <c r="E55" s="5">
        <v>2023</v>
      </c>
      <c r="F55" s="17"/>
      <c r="G55" s="5">
        <v>2029</v>
      </c>
      <c r="H55" s="17">
        <v>55</v>
      </c>
      <c r="I55" s="17"/>
      <c r="J55" s="17">
        <v>258.7</v>
      </c>
      <c r="K55" s="9" t="s">
        <v>82</v>
      </c>
      <c r="L55" s="17"/>
      <c r="M55" s="17"/>
      <c r="N55" s="17"/>
      <c r="O55" s="9" t="s">
        <v>83</v>
      </c>
      <c r="P55" s="9" t="s">
        <v>84</v>
      </c>
      <c r="Q55" s="5">
        <v>1</v>
      </c>
      <c r="R55" s="9" t="s">
        <v>526</v>
      </c>
      <c r="S55" s="9" t="s">
        <v>527</v>
      </c>
      <c r="T55" s="9" t="str">
        <f>HYPERLINK("https://seichotoushi-hojo.jp/assets/pdf/koufu/outline_147.pdf","PDFを開く")</f>
        <v>PDFを開く</v>
      </c>
      <c r="U55" s="9" t="s">
        <v>529</v>
      </c>
    </row>
    <row r="56" spans="1:21" ht="48" customHeight="1">
      <c r="A56" s="2" t="s">
        <v>530</v>
      </c>
      <c r="B56" s="2" t="s">
        <v>73</v>
      </c>
      <c r="C56" s="8" t="s">
        <v>531</v>
      </c>
      <c r="D56" s="8" t="s">
        <v>81</v>
      </c>
      <c r="E56" s="2">
        <v>2029</v>
      </c>
      <c r="F56" s="16">
        <v>70</v>
      </c>
      <c r="G56" s="2">
        <v>2031</v>
      </c>
      <c r="H56" s="16">
        <v>70</v>
      </c>
      <c r="I56" s="16">
        <v>45</v>
      </c>
      <c r="J56" s="16">
        <v>280</v>
      </c>
      <c r="K56" s="8" t="s">
        <v>82</v>
      </c>
      <c r="L56" s="16"/>
      <c r="M56" s="16">
        <v>0</v>
      </c>
      <c r="N56" s="16"/>
      <c r="O56" s="8" t="s">
        <v>200</v>
      </c>
      <c r="P56" s="8" t="s">
        <v>84</v>
      </c>
      <c r="Q56" s="2">
        <v>1</v>
      </c>
      <c r="R56" s="8" t="s">
        <v>535</v>
      </c>
      <c r="S56" s="8" t="s">
        <v>536</v>
      </c>
      <c r="T56" s="8" t="str">
        <f>HYPERLINK("https://seichotoushi-hojo.jp/assets/pdf/koufu/outline_148.pdf","PDFを開く")</f>
        <v>PDFを開く</v>
      </c>
      <c r="U56" s="8" t="s">
        <v>538</v>
      </c>
    </row>
    <row r="57" spans="1:21" ht="48" customHeight="1">
      <c r="A57" s="5" t="s">
        <v>539</v>
      </c>
      <c r="B57" s="5" t="s">
        <v>73</v>
      </c>
      <c r="C57" s="9" t="s">
        <v>540</v>
      </c>
      <c r="D57" s="9" t="s">
        <v>81</v>
      </c>
      <c r="E57" s="5">
        <v>2023</v>
      </c>
      <c r="F57" s="17">
        <v>57.8</v>
      </c>
      <c r="G57" s="5">
        <v>2029</v>
      </c>
      <c r="H57" s="17">
        <v>100</v>
      </c>
      <c r="I57" s="17"/>
      <c r="J57" s="17">
        <v>9.6</v>
      </c>
      <c r="K57" s="9" t="s">
        <v>543</v>
      </c>
      <c r="L57" s="17"/>
      <c r="M57" s="17">
        <v>9.566728283798497</v>
      </c>
      <c r="N57" s="17"/>
      <c r="O57" s="9" t="s">
        <v>100</v>
      </c>
      <c r="P57" s="9" t="s">
        <v>84</v>
      </c>
      <c r="Q57" s="5">
        <v>1</v>
      </c>
      <c r="R57" s="9" t="s">
        <v>544</v>
      </c>
      <c r="S57" s="9" t="s">
        <v>545</v>
      </c>
      <c r="T57" s="9" t="str">
        <f>HYPERLINK("https://seichotoushi-hojo.jp/assets/pdf/koufu/outline_149.pdf","PDFを開く")</f>
        <v>PDFを開く</v>
      </c>
      <c r="U57" s="9" t="s">
        <v>547</v>
      </c>
    </row>
    <row r="58" spans="1:21" ht="48" customHeight="1">
      <c r="A58" s="2" t="s">
        <v>548</v>
      </c>
      <c r="B58" s="2" t="s">
        <v>73</v>
      </c>
      <c r="C58" s="8" t="s">
        <v>549</v>
      </c>
      <c r="D58" s="8" t="s">
        <v>81</v>
      </c>
      <c r="E58" s="2">
        <v>2023</v>
      </c>
      <c r="F58" s="16">
        <v>65</v>
      </c>
      <c r="G58" s="2">
        <v>2032</v>
      </c>
      <c r="H58" s="16">
        <v>120</v>
      </c>
      <c r="I58" s="16">
        <v>200</v>
      </c>
      <c r="J58" s="16">
        <v>7.5</v>
      </c>
      <c r="K58" s="8" t="s">
        <v>82</v>
      </c>
      <c r="L58" s="16"/>
      <c r="M58" s="16">
        <v>7.0496670923598126</v>
      </c>
      <c r="N58" s="16"/>
      <c r="O58" s="8" t="s">
        <v>200</v>
      </c>
      <c r="P58" s="8" t="s">
        <v>84</v>
      </c>
      <c r="Q58" s="2">
        <v>1</v>
      </c>
      <c r="R58" s="8" t="s">
        <v>553</v>
      </c>
      <c r="S58" s="8" t="s">
        <v>554</v>
      </c>
      <c r="T58" s="8" t="str">
        <f>HYPERLINK("https://seichotoushi-hojo.jp/assets/pdf/koufu/outline_150.pdf","PDFを開く")</f>
        <v>PDFを開く</v>
      </c>
      <c r="U58" s="8" t="s">
        <v>556</v>
      </c>
    </row>
    <row r="59" spans="1:21" ht="48" customHeight="1">
      <c r="A59" s="5" t="s">
        <v>557</v>
      </c>
      <c r="B59" s="5" t="s">
        <v>73</v>
      </c>
      <c r="C59" s="9" t="s">
        <v>558</v>
      </c>
      <c r="D59" s="9" t="s">
        <v>81</v>
      </c>
      <c r="E59" s="5"/>
      <c r="F59" s="17"/>
      <c r="G59" s="5"/>
      <c r="H59" s="17">
        <v>154.13</v>
      </c>
      <c r="I59" s="17">
        <v>38.799999999999997</v>
      </c>
      <c r="J59" s="17">
        <v>133.6</v>
      </c>
      <c r="K59" s="9" t="s">
        <v>82</v>
      </c>
      <c r="L59" s="17"/>
      <c r="M59" s="17"/>
      <c r="N59" s="17"/>
      <c r="O59" s="9" t="s">
        <v>83</v>
      </c>
      <c r="P59" s="9" t="s">
        <v>84</v>
      </c>
      <c r="Q59" s="5">
        <v>1</v>
      </c>
      <c r="R59" s="9" t="s">
        <v>562</v>
      </c>
      <c r="S59" s="9"/>
      <c r="T59" s="9" t="str">
        <f>HYPERLINK("https://seichotoushi-hojo.jp/assets/pdf/koufu/outline_151.pdf","PDFを開く")</f>
        <v>PDFを開く</v>
      </c>
      <c r="U59" s="9" t="s">
        <v>564</v>
      </c>
    </row>
    <row r="60" spans="1:21" ht="48" customHeight="1">
      <c r="A60" s="2" t="s">
        <v>565</v>
      </c>
      <c r="B60" s="2" t="s">
        <v>73</v>
      </c>
      <c r="C60" s="8" t="s">
        <v>566</v>
      </c>
      <c r="D60" s="8" t="s">
        <v>81</v>
      </c>
      <c r="E60" s="2"/>
      <c r="F60" s="16"/>
      <c r="G60" s="2">
        <v>2030</v>
      </c>
      <c r="H60" s="16"/>
      <c r="I60" s="16">
        <v>37</v>
      </c>
      <c r="J60" s="16">
        <v>56</v>
      </c>
      <c r="K60" s="8" t="s">
        <v>82</v>
      </c>
      <c r="L60" s="16"/>
      <c r="M60" s="16"/>
      <c r="N60" s="16"/>
      <c r="O60" s="8" t="s">
        <v>83</v>
      </c>
      <c r="P60" s="8" t="s">
        <v>84</v>
      </c>
      <c r="Q60" s="2">
        <v>1</v>
      </c>
      <c r="R60" s="8" t="s">
        <v>570</v>
      </c>
      <c r="S60" s="8"/>
      <c r="T60" s="8" t="str">
        <f>HYPERLINK("https://seichotoushi-hojo.jp/assets/pdf/koufu/outline_152.pdf","PDFを開く")</f>
        <v>PDFを開く</v>
      </c>
      <c r="U60" s="8" t="s">
        <v>572</v>
      </c>
    </row>
    <row r="61" spans="1:21" ht="48" customHeight="1">
      <c r="A61" s="5" t="s">
        <v>573</v>
      </c>
      <c r="B61" s="5" t="s">
        <v>73</v>
      </c>
      <c r="C61" s="9" t="s">
        <v>574</v>
      </c>
      <c r="D61" s="9" t="s">
        <v>81</v>
      </c>
      <c r="E61" s="5"/>
      <c r="F61" s="17"/>
      <c r="G61" s="5">
        <v>2040</v>
      </c>
      <c r="H61" s="17">
        <v>1000</v>
      </c>
      <c r="I61" s="17">
        <v>965</v>
      </c>
      <c r="J61" s="17">
        <v>2741</v>
      </c>
      <c r="K61" s="9" t="s">
        <v>82</v>
      </c>
      <c r="L61" s="17"/>
      <c r="M61" s="17"/>
      <c r="N61" s="17"/>
      <c r="O61" s="9" t="s">
        <v>83</v>
      </c>
      <c r="P61" s="9" t="s">
        <v>84</v>
      </c>
      <c r="Q61" s="5">
        <v>1</v>
      </c>
      <c r="R61" s="9" t="s">
        <v>578</v>
      </c>
      <c r="S61" s="9" t="s">
        <v>579</v>
      </c>
      <c r="T61" s="9" t="str">
        <f>HYPERLINK("https://seichotoushi-hojo.jp/assets/pdf/koufu/outline_153.pdf","PDFを開く")</f>
        <v>PDFを開く</v>
      </c>
      <c r="U61" s="9" t="s">
        <v>581</v>
      </c>
    </row>
    <row r="62" spans="1:21" ht="48" customHeight="1">
      <c r="A62" s="2" t="s">
        <v>582</v>
      </c>
      <c r="B62" s="2" t="s">
        <v>73</v>
      </c>
      <c r="C62" s="8" t="s">
        <v>583</v>
      </c>
      <c r="D62" s="8" t="s">
        <v>81</v>
      </c>
      <c r="E62" s="2"/>
      <c r="F62" s="16"/>
      <c r="G62" s="2">
        <v>2030</v>
      </c>
      <c r="H62" s="16"/>
      <c r="I62" s="16">
        <v>50</v>
      </c>
      <c r="J62" s="16">
        <v>231</v>
      </c>
      <c r="K62" s="8" t="s">
        <v>82</v>
      </c>
      <c r="L62" s="16"/>
      <c r="M62" s="16"/>
      <c r="N62" s="16"/>
      <c r="O62" s="8" t="s">
        <v>83</v>
      </c>
      <c r="P62" s="8" t="s">
        <v>587</v>
      </c>
      <c r="Q62" s="2">
        <v>1</v>
      </c>
      <c r="R62" s="8" t="s">
        <v>588</v>
      </c>
      <c r="S62" s="8"/>
      <c r="T62" s="8" t="str">
        <f>HYPERLINK("https://seichotoushi-hojo.jp/assets/pdf/koufu/outline_154.pdf","PDFを開く")</f>
        <v>PDFを開く</v>
      </c>
      <c r="U62" s="8" t="s">
        <v>591</v>
      </c>
    </row>
    <row r="63" spans="1:21" ht="48" customHeight="1">
      <c r="A63" s="5" t="s">
        <v>592</v>
      </c>
      <c r="B63" s="5" t="s">
        <v>73</v>
      </c>
      <c r="C63" s="9" t="s">
        <v>593</v>
      </c>
      <c r="D63" s="9" t="s">
        <v>81</v>
      </c>
      <c r="E63" s="5"/>
      <c r="F63" s="17"/>
      <c r="G63" s="5">
        <v>2029</v>
      </c>
      <c r="H63" s="17">
        <v>365</v>
      </c>
      <c r="I63" s="17"/>
      <c r="J63" s="17">
        <v>9</v>
      </c>
      <c r="K63" s="9" t="s">
        <v>210</v>
      </c>
      <c r="L63" s="17"/>
      <c r="M63" s="17"/>
      <c r="N63" s="17"/>
      <c r="O63" s="9" t="s">
        <v>83</v>
      </c>
      <c r="P63" s="9" t="s">
        <v>84</v>
      </c>
      <c r="Q63" s="5">
        <v>1</v>
      </c>
      <c r="R63" s="9" t="s">
        <v>597</v>
      </c>
      <c r="S63" s="9" t="s">
        <v>598</v>
      </c>
      <c r="T63" s="9" t="str">
        <f>HYPERLINK("https://seichotoushi-hojo.jp/assets/pdf/koufu/outline_155.pdf","PDFを開く")</f>
        <v>PDFを開く</v>
      </c>
      <c r="U63" s="9" t="s">
        <v>600</v>
      </c>
    </row>
    <row r="64" spans="1:21" ht="48" customHeight="1">
      <c r="A64" s="2" t="s">
        <v>601</v>
      </c>
      <c r="B64" s="2" t="s">
        <v>73</v>
      </c>
      <c r="C64" s="8" t="s">
        <v>602</v>
      </c>
      <c r="D64" s="8" t="s">
        <v>81</v>
      </c>
      <c r="E64" s="2">
        <v>2023</v>
      </c>
      <c r="F64" s="16"/>
      <c r="G64" s="2">
        <v>2031</v>
      </c>
      <c r="H64" s="16"/>
      <c r="I64" s="16">
        <v>12</v>
      </c>
      <c r="J64" s="16">
        <v>166</v>
      </c>
      <c r="K64" s="8" t="s">
        <v>82</v>
      </c>
      <c r="L64" s="16"/>
      <c r="M64" s="16"/>
      <c r="N64" s="16"/>
      <c r="O64" s="8" t="s">
        <v>83</v>
      </c>
      <c r="P64" s="8" t="s">
        <v>84</v>
      </c>
      <c r="Q64" s="2">
        <v>1</v>
      </c>
      <c r="R64" s="8" t="s">
        <v>605</v>
      </c>
      <c r="S64" s="8" t="s">
        <v>606</v>
      </c>
      <c r="T64" s="8" t="str">
        <f>HYPERLINK("https://seichotoushi-hojo.jp/assets/pdf/koufu/outline_156.pdf","PDFを開く")</f>
        <v>PDFを開く</v>
      </c>
      <c r="U64" s="8" t="s">
        <v>608</v>
      </c>
    </row>
    <row r="65" spans="1:21" ht="48" customHeight="1">
      <c r="A65" s="5" t="s">
        <v>609</v>
      </c>
      <c r="B65" s="5" t="s">
        <v>73</v>
      </c>
      <c r="C65" s="9" t="s">
        <v>610</v>
      </c>
      <c r="D65" s="9" t="s">
        <v>81</v>
      </c>
      <c r="E65" s="5"/>
      <c r="F65" s="17"/>
      <c r="G65" s="5">
        <v>2029</v>
      </c>
      <c r="H65" s="17"/>
      <c r="I65" s="17">
        <v>52</v>
      </c>
      <c r="J65" s="17">
        <v>35</v>
      </c>
      <c r="K65" s="9" t="s">
        <v>82</v>
      </c>
      <c r="L65" s="17"/>
      <c r="M65" s="17"/>
      <c r="N65" s="17"/>
      <c r="O65" s="9" t="s">
        <v>83</v>
      </c>
      <c r="P65" s="9" t="s">
        <v>84</v>
      </c>
      <c r="Q65" s="5">
        <v>1</v>
      </c>
      <c r="R65" s="9" t="s">
        <v>614</v>
      </c>
      <c r="S65" s="9"/>
      <c r="T65" s="9" t="str">
        <f>HYPERLINK("https://seichotoushi-hojo.jp/assets/pdf/koufu/outline_157.pdf","PDFを開く")</f>
        <v>PDFを開く</v>
      </c>
      <c r="U65" s="9" t="s">
        <v>616</v>
      </c>
    </row>
    <row r="66" spans="1:21" ht="48" customHeight="1">
      <c r="A66" s="2" t="s">
        <v>617</v>
      </c>
      <c r="B66" s="2" t="s">
        <v>73</v>
      </c>
      <c r="C66" s="8" t="s">
        <v>618</v>
      </c>
      <c r="D66" s="8" t="s">
        <v>81</v>
      </c>
      <c r="E66" s="2">
        <v>2025</v>
      </c>
      <c r="F66" s="16"/>
      <c r="G66" s="2">
        <v>2032</v>
      </c>
      <c r="H66" s="16"/>
      <c r="I66" s="16">
        <v>72</v>
      </c>
      <c r="J66" s="16">
        <v>212</v>
      </c>
      <c r="K66" s="8" t="s">
        <v>82</v>
      </c>
      <c r="L66" s="16"/>
      <c r="M66" s="16"/>
      <c r="N66" s="16"/>
      <c r="O66" s="8" t="s">
        <v>83</v>
      </c>
      <c r="P66" s="8" t="s">
        <v>84</v>
      </c>
      <c r="Q66" s="2">
        <v>1</v>
      </c>
      <c r="R66" s="8" t="s">
        <v>622</v>
      </c>
      <c r="S66" s="8"/>
      <c r="T66" s="8" t="str">
        <f>HYPERLINK("https://seichotoushi-hojo.jp/assets/pdf/koufu/outline_158.pdf","PDFを開く")</f>
        <v>PDFを開く</v>
      </c>
      <c r="U66" s="8" t="s">
        <v>624</v>
      </c>
    </row>
    <row r="67" spans="1:21" ht="48" customHeight="1">
      <c r="A67" s="5" t="s">
        <v>625</v>
      </c>
      <c r="B67" s="5" t="s">
        <v>73</v>
      </c>
      <c r="C67" s="9" t="s">
        <v>626</v>
      </c>
      <c r="D67" s="9" t="s">
        <v>81</v>
      </c>
      <c r="E67" s="5">
        <v>2023</v>
      </c>
      <c r="F67" s="17"/>
      <c r="G67" s="5">
        <v>2029</v>
      </c>
      <c r="H67" s="17"/>
      <c r="I67" s="17">
        <v>26.3</v>
      </c>
      <c r="J67" s="17"/>
      <c r="K67" s="9"/>
      <c r="L67" s="17"/>
      <c r="M67" s="17"/>
      <c r="N67" s="17"/>
      <c r="O67" s="9" t="s">
        <v>83</v>
      </c>
      <c r="P67" s="9" t="s">
        <v>587</v>
      </c>
      <c r="Q67" s="5">
        <v>1</v>
      </c>
      <c r="R67" s="9" t="s">
        <v>631</v>
      </c>
      <c r="S67" s="9"/>
      <c r="T67" s="9" t="str">
        <f>HYPERLINK("https://seichotoushi-hojo.jp/assets/pdf/koufu/outline_159.pdf","PDFを開く")</f>
        <v>PDFを開く</v>
      </c>
      <c r="U67" s="9" t="s">
        <v>633</v>
      </c>
    </row>
    <row r="68" spans="1:21" ht="48" customHeight="1">
      <c r="A68" s="2" t="s">
        <v>634</v>
      </c>
      <c r="B68" s="2" t="s">
        <v>73</v>
      </c>
      <c r="C68" s="8" t="s">
        <v>635</v>
      </c>
      <c r="D68" s="8" t="s">
        <v>81</v>
      </c>
      <c r="E68" s="2"/>
      <c r="F68" s="16"/>
      <c r="G68" s="2">
        <v>2029</v>
      </c>
      <c r="H68" s="16"/>
      <c r="I68" s="16">
        <v>29.9</v>
      </c>
      <c r="J68" s="16">
        <v>240</v>
      </c>
      <c r="K68" s="8" t="s">
        <v>82</v>
      </c>
      <c r="L68" s="16"/>
      <c r="M68" s="16"/>
      <c r="N68" s="16">
        <v>2.4900000000000002</v>
      </c>
      <c r="O68" s="8" t="s">
        <v>83</v>
      </c>
      <c r="P68" s="8" t="s">
        <v>84</v>
      </c>
      <c r="Q68" s="2">
        <v>1</v>
      </c>
      <c r="R68" s="8" t="s">
        <v>641</v>
      </c>
      <c r="S68" s="8" t="s">
        <v>642</v>
      </c>
      <c r="T68" s="8" t="str">
        <f>HYPERLINK("https://seichotoushi-hojo.jp/assets/pdf/koufu/outline_16.pdf","PDFを開く")</f>
        <v>PDFを開く</v>
      </c>
      <c r="U68" s="8" t="s">
        <v>644</v>
      </c>
    </row>
    <row r="69" spans="1:21" ht="48" customHeight="1">
      <c r="A69" s="5" t="s">
        <v>645</v>
      </c>
      <c r="B69" s="5" t="s">
        <v>73</v>
      </c>
      <c r="C69" s="9" t="s">
        <v>646</v>
      </c>
      <c r="D69" s="9" t="s">
        <v>81</v>
      </c>
      <c r="E69" s="5">
        <v>2024</v>
      </c>
      <c r="F69" s="17">
        <v>28.82</v>
      </c>
      <c r="G69" s="5">
        <v>2034</v>
      </c>
      <c r="H69" s="17">
        <v>28.82</v>
      </c>
      <c r="I69" s="17">
        <v>33.19</v>
      </c>
      <c r="J69" s="17">
        <v>8.93</v>
      </c>
      <c r="K69" s="9" t="s">
        <v>210</v>
      </c>
      <c r="L69" s="17"/>
      <c r="M69" s="17">
        <v>0</v>
      </c>
      <c r="N69" s="17">
        <v>2.15</v>
      </c>
      <c r="O69" s="9" t="s">
        <v>120</v>
      </c>
      <c r="P69" s="9" t="s">
        <v>84</v>
      </c>
      <c r="Q69" s="5">
        <v>1</v>
      </c>
      <c r="R69" s="9" t="s">
        <v>649</v>
      </c>
      <c r="S69" s="9" t="s">
        <v>650</v>
      </c>
      <c r="T69" s="9" t="str">
        <f>HYPERLINK("https://seichotoushi-hojo.jp/assets/pdf/koufu/outline_162.pdf","PDFを開く")</f>
        <v>PDFを開く</v>
      </c>
      <c r="U69" s="9" t="s">
        <v>652</v>
      </c>
    </row>
    <row r="70" spans="1:21" ht="48" customHeight="1">
      <c r="A70" s="2" t="s">
        <v>653</v>
      </c>
      <c r="B70" s="2" t="s">
        <v>73</v>
      </c>
      <c r="C70" s="8" t="s">
        <v>654</v>
      </c>
      <c r="D70" s="8" t="s">
        <v>81</v>
      </c>
      <c r="E70" s="2">
        <v>2022</v>
      </c>
      <c r="F70" s="16">
        <v>134.30000000000001</v>
      </c>
      <c r="G70" s="2">
        <v>2033</v>
      </c>
      <c r="H70" s="16">
        <v>52.7</v>
      </c>
      <c r="I70" s="16">
        <v>88</v>
      </c>
      <c r="J70" s="16">
        <v>64.5</v>
      </c>
      <c r="K70" s="8" t="s">
        <v>82</v>
      </c>
      <c r="L70" s="16"/>
      <c r="M70" s="16">
        <v>-8.1526179414082236</v>
      </c>
      <c r="N70" s="16"/>
      <c r="O70" s="8" t="s">
        <v>200</v>
      </c>
      <c r="P70" s="8" t="s">
        <v>84</v>
      </c>
      <c r="Q70" s="2">
        <v>1</v>
      </c>
      <c r="R70" s="8" t="s">
        <v>659</v>
      </c>
      <c r="S70" s="8" t="s">
        <v>660</v>
      </c>
      <c r="T70" s="8" t="str">
        <f>HYPERLINK("https://seichotoushi-hojo.jp/assets/pdf/koufu/outline_164.pdf","PDFを開く")</f>
        <v>PDFを開く</v>
      </c>
      <c r="U70" s="8" t="s">
        <v>662</v>
      </c>
    </row>
    <row r="71" spans="1:21" ht="48" customHeight="1">
      <c r="A71" s="5" t="s">
        <v>663</v>
      </c>
      <c r="B71" s="5" t="s">
        <v>73</v>
      </c>
      <c r="C71" s="9" t="s">
        <v>664</v>
      </c>
      <c r="D71" s="9" t="s">
        <v>81</v>
      </c>
      <c r="E71" s="5">
        <v>2023</v>
      </c>
      <c r="F71" s="17"/>
      <c r="G71" s="5">
        <v>2030</v>
      </c>
      <c r="H71" s="17"/>
      <c r="I71" s="17">
        <v>495</v>
      </c>
      <c r="J71" s="17">
        <v>636</v>
      </c>
      <c r="K71" s="9" t="s">
        <v>490</v>
      </c>
      <c r="L71" s="17"/>
      <c r="M71" s="17"/>
      <c r="N71" s="17"/>
      <c r="O71" s="9" t="s">
        <v>166</v>
      </c>
      <c r="P71" s="9" t="s">
        <v>292</v>
      </c>
      <c r="Q71" s="5">
        <v>1</v>
      </c>
      <c r="R71" s="9" t="s">
        <v>668</v>
      </c>
      <c r="S71" s="9"/>
      <c r="T71" s="9" t="str">
        <f>HYPERLINK("https://seichotoushi-hojo.jp/assets/pdf/koufu/outline_166.pdf","PDFを開く")</f>
        <v>PDFを開く</v>
      </c>
      <c r="U71" s="9" t="s">
        <v>670</v>
      </c>
    </row>
    <row r="72" spans="1:21" ht="48" customHeight="1">
      <c r="A72" s="2" t="s">
        <v>671</v>
      </c>
      <c r="B72" s="2" t="s">
        <v>73</v>
      </c>
      <c r="C72" s="8" t="s">
        <v>672</v>
      </c>
      <c r="D72" s="8" t="s">
        <v>81</v>
      </c>
      <c r="E72" s="2"/>
      <c r="F72" s="16"/>
      <c r="G72" s="2">
        <v>2029</v>
      </c>
      <c r="H72" s="16">
        <v>436</v>
      </c>
      <c r="I72" s="16">
        <v>133</v>
      </c>
      <c r="J72" s="16">
        <v>44.1</v>
      </c>
      <c r="K72" s="8" t="s">
        <v>82</v>
      </c>
      <c r="L72" s="16"/>
      <c r="M72" s="16"/>
      <c r="N72" s="16"/>
      <c r="O72" s="8" t="s">
        <v>83</v>
      </c>
      <c r="P72" s="8" t="s">
        <v>84</v>
      </c>
      <c r="Q72" s="2">
        <v>1</v>
      </c>
      <c r="R72" s="8" t="s">
        <v>676</v>
      </c>
      <c r="S72" s="8" t="s">
        <v>677</v>
      </c>
      <c r="T72" s="8" t="str">
        <f>HYPERLINK("https://seichotoushi-hojo.jp/assets/pdf/koufu/outline_167.pdf","PDFを開く")</f>
        <v>PDFを開く</v>
      </c>
      <c r="U72" s="8" t="s">
        <v>679</v>
      </c>
    </row>
    <row r="73" spans="1:21" ht="48" customHeight="1">
      <c r="A73" s="5" t="s">
        <v>680</v>
      </c>
      <c r="B73" s="5" t="s">
        <v>73</v>
      </c>
      <c r="C73" s="9" t="s">
        <v>681</v>
      </c>
      <c r="D73" s="9" t="s">
        <v>81</v>
      </c>
      <c r="E73" s="5">
        <v>2027</v>
      </c>
      <c r="F73" s="17"/>
      <c r="G73" s="5">
        <v>2030</v>
      </c>
      <c r="H73" s="17"/>
      <c r="I73" s="17">
        <v>370</v>
      </c>
      <c r="J73" s="17">
        <v>86</v>
      </c>
      <c r="K73" s="9" t="s">
        <v>82</v>
      </c>
      <c r="L73" s="17"/>
      <c r="M73" s="17"/>
      <c r="N73" s="17"/>
      <c r="O73" s="9" t="s">
        <v>83</v>
      </c>
      <c r="P73" s="9" t="s">
        <v>84</v>
      </c>
      <c r="Q73" s="5">
        <v>1</v>
      </c>
      <c r="R73" s="9" t="s">
        <v>685</v>
      </c>
      <c r="S73" s="9"/>
      <c r="T73" s="9" t="str">
        <f>HYPERLINK("https://seichotoushi-hojo.jp/assets/pdf/koufu/outline_168.pdf","PDFを開く")</f>
        <v>PDFを開く</v>
      </c>
      <c r="U73" s="9" t="s">
        <v>687</v>
      </c>
    </row>
    <row r="74" spans="1:21" ht="48" customHeight="1">
      <c r="A74" s="2" t="s">
        <v>688</v>
      </c>
      <c r="B74" s="2" t="s">
        <v>73</v>
      </c>
      <c r="C74" s="8" t="s">
        <v>689</v>
      </c>
      <c r="D74" s="8" t="s">
        <v>81</v>
      </c>
      <c r="E74" s="2"/>
      <c r="F74" s="16"/>
      <c r="G74" s="2"/>
      <c r="H74" s="16"/>
      <c r="I74" s="16"/>
      <c r="J74" s="16"/>
      <c r="K74" s="8"/>
      <c r="L74" s="16"/>
      <c r="M74" s="16"/>
      <c r="N74" s="16">
        <v>2</v>
      </c>
      <c r="O74" s="8" t="s">
        <v>692</v>
      </c>
      <c r="P74" s="8" t="s">
        <v>587</v>
      </c>
      <c r="Q74" s="2">
        <v>1</v>
      </c>
      <c r="R74" s="8" t="s">
        <v>693</v>
      </c>
      <c r="S74" s="8"/>
      <c r="T74" s="8" t="str">
        <f>HYPERLINK("https://seichotoushi-hojo.jp/assets/pdf/koufu/outline_169.pdf","PDFを開く")</f>
        <v>PDFを開く</v>
      </c>
      <c r="U74" s="8" t="s">
        <v>695</v>
      </c>
    </row>
    <row r="75" spans="1:21" ht="48" customHeight="1">
      <c r="A75" s="5" t="s">
        <v>696</v>
      </c>
      <c r="B75" s="5" t="s">
        <v>73</v>
      </c>
      <c r="C75" s="9" t="s">
        <v>697</v>
      </c>
      <c r="D75" s="9" t="s">
        <v>81</v>
      </c>
      <c r="E75" s="5">
        <v>2022</v>
      </c>
      <c r="F75" s="17"/>
      <c r="G75" s="5">
        <v>2027</v>
      </c>
      <c r="H75" s="17">
        <v>100.38</v>
      </c>
      <c r="I75" s="17"/>
      <c r="J75" s="17">
        <v>102.3</v>
      </c>
      <c r="K75" s="9" t="s">
        <v>82</v>
      </c>
      <c r="L75" s="17"/>
      <c r="M75" s="17"/>
      <c r="N75" s="17"/>
      <c r="O75" s="9" t="s">
        <v>83</v>
      </c>
      <c r="P75" s="9" t="s">
        <v>84</v>
      </c>
      <c r="Q75" s="5">
        <v>1</v>
      </c>
      <c r="R75" s="9" t="s">
        <v>701</v>
      </c>
      <c r="S75" s="9" t="s">
        <v>702</v>
      </c>
      <c r="T75" s="9" t="str">
        <f>HYPERLINK("https://seichotoushi-hojo.jp/assets/pdf/koufu/outline_17.pdf","PDFを開く")</f>
        <v>PDFを開く</v>
      </c>
      <c r="U75" s="9" t="s">
        <v>704</v>
      </c>
    </row>
    <row r="76" spans="1:21" ht="48" customHeight="1">
      <c r="A76" s="2" t="s">
        <v>705</v>
      </c>
      <c r="B76" s="2" t="s">
        <v>73</v>
      </c>
      <c r="C76" s="8" t="s">
        <v>706</v>
      </c>
      <c r="D76" s="8" t="s">
        <v>81</v>
      </c>
      <c r="E76" s="2"/>
      <c r="F76" s="16"/>
      <c r="G76" s="2">
        <v>2029</v>
      </c>
      <c r="H76" s="16"/>
      <c r="I76" s="16">
        <v>26</v>
      </c>
      <c r="J76" s="16">
        <v>272</v>
      </c>
      <c r="K76" s="8" t="s">
        <v>82</v>
      </c>
      <c r="L76" s="16"/>
      <c r="M76" s="16"/>
      <c r="N76" s="16"/>
      <c r="O76" s="8" t="s">
        <v>83</v>
      </c>
      <c r="P76" s="8" t="s">
        <v>84</v>
      </c>
      <c r="Q76" s="2">
        <v>1</v>
      </c>
      <c r="R76" s="8" t="s">
        <v>710</v>
      </c>
      <c r="S76" s="8"/>
      <c r="T76" s="8" t="str">
        <f>HYPERLINK("https://seichotoushi-hojo.jp/assets/pdf/koufu/outline_170.pdf","PDFを開く")</f>
        <v>PDFを開く</v>
      </c>
      <c r="U76" s="8" t="s">
        <v>712</v>
      </c>
    </row>
    <row r="77" spans="1:21" ht="48" customHeight="1">
      <c r="A77" s="5" t="s">
        <v>713</v>
      </c>
      <c r="B77" s="5" t="s">
        <v>73</v>
      </c>
      <c r="C77" s="9" t="s">
        <v>714</v>
      </c>
      <c r="D77" s="9" t="s">
        <v>81</v>
      </c>
      <c r="E77" s="5"/>
      <c r="F77" s="17"/>
      <c r="G77" s="5">
        <v>2030</v>
      </c>
      <c r="H77" s="17"/>
      <c r="I77" s="17">
        <v>86</v>
      </c>
      <c r="J77" s="17">
        <v>81</v>
      </c>
      <c r="K77" s="9" t="s">
        <v>82</v>
      </c>
      <c r="L77" s="17"/>
      <c r="M77" s="17"/>
      <c r="N77" s="17"/>
      <c r="O77" s="9" t="s">
        <v>83</v>
      </c>
      <c r="P77" s="9" t="s">
        <v>84</v>
      </c>
      <c r="Q77" s="5">
        <v>1</v>
      </c>
      <c r="R77" s="9" t="s">
        <v>717</v>
      </c>
      <c r="S77" s="9"/>
      <c r="T77" s="9" t="str">
        <f>HYPERLINK("https://seichotoushi-hojo.jp/assets/pdf/koufu/outline_171.pdf","PDFを開く")</f>
        <v>PDFを開く</v>
      </c>
      <c r="U77" s="9" t="s">
        <v>719</v>
      </c>
    </row>
    <row r="78" spans="1:21" ht="48" customHeight="1">
      <c r="A78" s="2" t="s">
        <v>720</v>
      </c>
      <c r="B78" s="2" t="s">
        <v>73</v>
      </c>
      <c r="C78" s="8" t="s">
        <v>721</v>
      </c>
      <c r="D78" s="8" t="s">
        <v>81</v>
      </c>
      <c r="E78" s="2">
        <v>2024</v>
      </c>
      <c r="F78" s="16"/>
      <c r="G78" s="2">
        <v>2030</v>
      </c>
      <c r="H78" s="16"/>
      <c r="I78" s="16">
        <v>32</v>
      </c>
      <c r="J78" s="16">
        <v>4.7</v>
      </c>
      <c r="K78" s="8" t="s">
        <v>210</v>
      </c>
      <c r="L78" s="16"/>
      <c r="M78" s="16"/>
      <c r="N78" s="16"/>
      <c r="O78" s="8" t="s">
        <v>83</v>
      </c>
      <c r="P78" s="8" t="s">
        <v>84</v>
      </c>
      <c r="Q78" s="2">
        <v>1</v>
      </c>
      <c r="R78" s="8" t="s">
        <v>725</v>
      </c>
      <c r="S78" s="8"/>
      <c r="T78" s="8" t="str">
        <f>HYPERLINK("https://seichotoushi-hojo.jp/assets/pdf/koufu/outline_173.pdf","PDFを開く")</f>
        <v>PDFを開く</v>
      </c>
      <c r="U78" s="8" t="s">
        <v>727</v>
      </c>
    </row>
    <row r="79" spans="1:21" ht="48" customHeight="1">
      <c r="A79" s="5" t="s">
        <v>728</v>
      </c>
      <c r="B79" s="5" t="s">
        <v>73</v>
      </c>
      <c r="C79" s="9" t="s">
        <v>729</v>
      </c>
      <c r="D79" s="9" t="s">
        <v>81</v>
      </c>
      <c r="E79" s="5"/>
      <c r="F79" s="17"/>
      <c r="G79" s="5">
        <v>2029</v>
      </c>
      <c r="H79" s="17"/>
      <c r="I79" s="17">
        <v>29</v>
      </c>
      <c r="J79" s="17">
        <v>127</v>
      </c>
      <c r="K79" s="9" t="s">
        <v>82</v>
      </c>
      <c r="L79" s="17"/>
      <c r="M79" s="17"/>
      <c r="N79" s="17"/>
      <c r="O79" s="9" t="s">
        <v>83</v>
      </c>
      <c r="P79" s="9" t="s">
        <v>84</v>
      </c>
      <c r="Q79" s="5">
        <v>1</v>
      </c>
      <c r="R79" s="9" t="s">
        <v>733</v>
      </c>
      <c r="S79" s="9"/>
      <c r="T79" s="9" t="str">
        <f>HYPERLINK("https://seichotoushi-hojo.jp/assets/pdf/koufu/outline_174.pdf","PDFを開く")</f>
        <v>PDFを開く</v>
      </c>
      <c r="U79" s="9" t="s">
        <v>735</v>
      </c>
    </row>
    <row r="80" spans="1:21" ht="48" customHeight="1">
      <c r="A80" s="2" t="s">
        <v>736</v>
      </c>
      <c r="B80" s="2" t="s">
        <v>73</v>
      </c>
      <c r="C80" s="8" t="s">
        <v>737</v>
      </c>
      <c r="D80" s="8" t="s">
        <v>81</v>
      </c>
      <c r="E80" s="2"/>
      <c r="F80" s="16"/>
      <c r="G80" s="2">
        <v>2033</v>
      </c>
      <c r="H80" s="16"/>
      <c r="I80" s="16">
        <v>56.9</v>
      </c>
      <c r="J80" s="16">
        <v>350.38</v>
      </c>
      <c r="K80" s="8" t="s">
        <v>82</v>
      </c>
      <c r="L80" s="16"/>
      <c r="M80" s="16"/>
      <c r="N80" s="16"/>
      <c r="O80" s="8" t="s">
        <v>83</v>
      </c>
      <c r="P80" s="8" t="s">
        <v>84</v>
      </c>
      <c r="Q80" s="2">
        <v>1</v>
      </c>
      <c r="R80" s="8" t="s">
        <v>742</v>
      </c>
      <c r="S80" s="8"/>
      <c r="T80" s="8" t="str">
        <f>HYPERLINK("https://seichotoushi-hojo.jp/assets/pdf/koufu/outline_177.pdf","PDFを開く")</f>
        <v>PDFを開く</v>
      </c>
      <c r="U80" s="8" t="s">
        <v>744</v>
      </c>
    </row>
    <row r="81" spans="1:21" ht="48" customHeight="1">
      <c r="A81" s="5" t="s">
        <v>745</v>
      </c>
      <c r="B81" s="5" t="s">
        <v>73</v>
      </c>
      <c r="C81" s="9" t="s">
        <v>746</v>
      </c>
      <c r="D81" s="9" t="s">
        <v>81</v>
      </c>
      <c r="E81" s="5">
        <v>2022</v>
      </c>
      <c r="F81" s="17"/>
      <c r="G81" s="5">
        <v>2029</v>
      </c>
      <c r="H81" s="17"/>
      <c r="I81" s="17">
        <v>82</v>
      </c>
      <c r="J81" s="17">
        <v>308</v>
      </c>
      <c r="K81" s="9" t="s">
        <v>82</v>
      </c>
      <c r="L81" s="17"/>
      <c r="M81" s="17"/>
      <c r="N81" s="17"/>
      <c r="O81" s="9" t="s">
        <v>83</v>
      </c>
      <c r="P81" s="9" t="s">
        <v>84</v>
      </c>
      <c r="Q81" s="5">
        <v>1</v>
      </c>
      <c r="R81" s="9" t="s">
        <v>750</v>
      </c>
      <c r="S81" s="9"/>
      <c r="T81" s="9" t="str">
        <f>HYPERLINK("https://seichotoushi-hojo.jp/assets/pdf/koufu/outline_19.pdf","PDFを開く")</f>
        <v>PDFを開く</v>
      </c>
      <c r="U81" s="9" t="s">
        <v>752</v>
      </c>
    </row>
    <row r="82" spans="1:21" ht="48" customHeight="1">
      <c r="A82" s="2" t="s">
        <v>753</v>
      </c>
      <c r="B82" s="2" t="s">
        <v>73</v>
      </c>
      <c r="C82" s="8" t="s">
        <v>754</v>
      </c>
      <c r="D82" s="8" t="s">
        <v>81</v>
      </c>
      <c r="E82" s="2">
        <v>2023</v>
      </c>
      <c r="F82" s="16"/>
      <c r="G82" s="2">
        <v>2028</v>
      </c>
      <c r="H82" s="16"/>
      <c r="I82" s="16">
        <v>349</v>
      </c>
      <c r="J82" s="16">
        <v>32.1</v>
      </c>
      <c r="K82" s="8" t="s">
        <v>82</v>
      </c>
      <c r="L82" s="16"/>
      <c r="M82" s="16"/>
      <c r="N82" s="16"/>
      <c r="O82" s="8" t="s">
        <v>83</v>
      </c>
      <c r="P82" s="8" t="s">
        <v>84</v>
      </c>
      <c r="Q82" s="2">
        <v>1</v>
      </c>
      <c r="R82" s="8" t="s">
        <v>758</v>
      </c>
      <c r="S82" s="8"/>
      <c r="T82" s="8" t="str">
        <f>HYPERLINK("https://seichotoushi-hojo.jp/assets/pdf/koufu/outline_2.pdf","PDFを開く")</f>
        <v>PDFを開く</v>
      </c>
      <c r="U82" s="8" t="s">
        <v>760</v>
      </c>
    </row>
    <row r="83" spans="1:21" ht="48" customHeight="1">
      <c r="A83" s="5" t="s">
        <v>761</v>
      </c>
      <c r="B83" s="5" t="s">
        <v>73</v>
      </c>
      <c r="C83" s="9" t="s">
        <v>762</v>
      </c>
      <c r="D83" s="9" t="s">
        <v>81</v>
      </c>
      <c r="E83" s="5"/>
      <c r="F83" s="17"/>
      <c r="G83" s="5">
        <v>2029</v>
      </c>
      <c r="H83" s="17"/>
      <c r="I83" s="17">
        <v>45</v>
      </c>
      <c r="J83" s="17">
        <v>4</v>
      </c>
      <c r="K83" s="9" t="s">
        <v>82</v>
      </c>
      <c r="L83" s="17"/>
      <c r="M83" s="17"/>
      <c r="N83" s="17"/>
      <c r="O83" s="9" t="s">
        <v>166</v>
      </c>
      <c r="P83" s="9" t="s">
        <v>292</v>
      </c>
      <c r="Q83" s="5">
        <v>1</v>
      </c>
      <c r="R83" s="9" t="s">
        <v>766</v>
      </c>
      <c r="S83" s="9"/>
      <c r="T83" s="9" t="str">
        <f>HYPERLINK("https://seichotoushi-hojo.jp/assets/pdf/koufu/outline_20.pdf","PDFを開く")</f>
        <v>PDFを開く</v>
      </c>
      <c r="U83" s="9" t="s">
        <v>768</v>
      </c>
    </row>
    <row r="84" spans="1:21" ht="48" customHeight="1">
      <c r="A84" s="2" t="s">
        <v>769</v>
      </c>
      <c r="B84" s="2" t="s">
        <v>73</v>
      </c>
      <c r="C84" s="8" t="s">
        <v>770</v>
      </c>
      <c r="D84" s="8" t="s">
        <v>81</v>
      </c>
      <c r="E84" s="2">
        <v>2023</v>
      </c>
      <c r="F84" s="16">
        <v>306</v>
      </c>
      <c r="G84" s="2">
        <v>2030</v>
      </c>
      <c r="H84" s="16">
        <v>306</v>
      </c>
      <c r="I84" s="16">
        <v>500</v>
      </c>
      <c r="J84" s="16">
        <v>64</v>
      </c>
      <c r="K84" s="8" t="s">
        <v>82</v>
      </c>
      <c r="L84" s="16"/>
      <c r="M84" s="16">
        <v>0</v>
      </c>
      <c r="N84" s="16"/>
      <c r="O84" s="8" t="s">
        <v>200</v>
      </c>
      <c r="P84" s="8" t="s">
        <v>84</v>
      </c>
      <c r="Q84" s="2">
        <v>1</v>
      </c>
      <c r="R84" s="8" t="s">
        <v>774</v>
      </c>
      <c r="S84" s="8" t="s">
        <v>775</v>
      </c>
      <c r="T84" s="8" t="str">
        <f>HYPERLINK("https://seichotoushi-hojo.jp/assets/pdf/koufu/outline_21.pdf","PDFを開く")</f>
        <v>PDFを開く</v>
      </c>
      <c r="U84" s="8" t="s">
        <v>777</v>
      </c>
    </row>
    <row r="85" spans="1:21" ht="48" customHeight="1">
      <c r="A85" s="5" t="s">
        <v>778</v>
      </c>
      <c r="B85" s="5" t="s">
        <v>73</v>
      </c>
      <c r="C85" s="9" t="s">
        <v>779</v>
      </c>
      <c r="D85" s="9" t="s">
        <v>81</v>
      </c>
      <c r="E85" s="5"/>
      <c r="F85" s="17"/>
      <c r="G85" s="5">
        <v>2029</v>
      </c>
      <c r="H85" s="17"/>
      <c r="I85" s="17">
        <v>40</v>
      </c>
      <c r="J85" s="17">
        <v>28</v>
      </c>
      <c r="K85" s="9" t="s">
        <v>82</v>
      </c>
      <c r="L85" s="17"/>
      <c r="M85" s="17"/>
      <c r="N85" s="17"/>
      <c r="O85" s="9" t="s">
        <v>83</v>
      </c>
      <c r="P85" s="9" t="s">
        <v>84</v>
      </c>
      <c r="Q85" s="5">
        <v>1</v>
      </c>
      <c r="R85" s="9" t="s">
        <v>781</v>
      </c>
      <c r="S85" s="9"/>
      <c r="T85" s="9" t="str">
        <f>HYPERLINK("https://seichotoushi-hojo.jp/assets/pdf/koufu/outline_22.pdf","PDFを開く")</f>
        <v>PDFを開く</v>
      </c>
      <c r="U85" s="9" t="s">
        <v>783</v>
      </c>
    </row>
    <row r="86" spans="1:21" ht="48" customHeight="1">
      <c r="A86" s="2" t="s">
        <v>784</v>
      </c>
      <c r="B86" s="2" t="s">
        <v>73</v>
      </c>
      <c r="C86" s="8" t="s">
        <v>785</v>
      </c>
      <c r="D86" s="8" t="s">
        <v>81</v>
      </c>
      <c r="E86" s="2">
        <v>2023</v>
      </c>
      <c r="F86" s="16">
        <v>145</v>
      </c>
      <c r="G86" s="2">
        <v>2030</v>
      </c>
      <c r="H86" s="16">
        <v>231</v>
      </c>
      <c r="I86" s="16"/>
      <c r="J86" s="16">
        <v>15</v>
      </c>
      <c r="K86" s="8" t="s">
        <v>82</v>
      </c>
      <c r="L86" s="16"/>
      <c r="M86" s="16">
        <v>6.8789052719304022</v>
      </c>
      <c r="N86" s="16"/>
      <c r="O86" s="8" t="s">
        <v>418</v>
      </c>
      <c r="P86" s="8" t="s">
        <v>84</v>
      </c>
      <c r="Q86" s="2">
        <v>1</v>
      </c>
      <c r="R86" s="8" t="s">
        <v>788</v>
      </c>
      <c r="S86" s="8" t="s">
        <v>789</v>
      </c>
      <c r="T86" s="8" t="str">
        <f>HYPERLINK("https://seichotoushi-hojo.jp/assets/pdf/koufu/outline_23.pdf","PDFを開く")</f>
        <v>PDFを開く</v>
      </c>
      <c r="U86" s="8" t="s">
        <v>791</v>
      </c>
    </row>
    <row r="87" spans="1:21" ht="48" customHeight="1">
      <c r="A87" s="5" t="s">
        <v>792</v>
      </c>
      <c r="B87" s="5" t="s">
        <v>73</v>
      </c>
      <c r="C87" s="9" t="s">
        <v>793</v>
      </c>
      <c r="D87" s="9" t="s">
        <v>116</v>
      </c>
      <c r="E87" s="5">
        <v>2023</v>
      </c>
      <c r="F87" s="17">
        <v>1701</v>
      </c>
      <c r="G87" s="5">
        <v>2030</v>
      </c>
      <c r="H87" s="17">
        <v>3000</v>
      </c>
      <c r="I87" s="17"/>
      <c r="J87" s="17"/>
      <c r="K87" s="9"/>
      <c r="L87" s="17"/>
      <c r="M87" s="17"/>
      <c r="N87" s="17">
        <v>1.8</v>
      </c>
      <c r="O87" s="9" t="s">
        <v>166</v>
      </c>
      <c r="P87" s="9" t="s">
        <v>292</v>
      </c>
      <c r="Q87" s="5">
        <v>1</v>
      </c>
      <c r="R87" s="9" t="s">
        <v>796</v>
      </c>
      <c r="S87" s="9" t="s">
        <v>797</v>
      </c>
      <c r="T87" s="9" t="str">
        <f>HYPERLINK("https://seichotoushi-hojo.jp/assets/pdf/koufu/outline_24.pdf","PDFを開く")</f>
        <v>PDFを開く</v>
      </c>
      <c r="U87" s="9" t="s">
        <v>799</v>
      </c>
    </row>
    <row r="88" spans="1:21" ht="48" customHeight="1">
      <c r="A88" s="2" t="s">
        <v>800</v>
      </c>
      <c r="B88" s="2" t="s">
        <v>73</v>
      </c>
      <c r="C88" s="8" t="s">
        <v>801</v>
      </c>
      <c r="D88" s="8" t="s">
        <v>81</v>
      </c>
      <c r="E88" s="2">
        <v>2023</v>
      </c>
      <c r="F88" s="16">
        <v>209</v>
      </c>
      <c r="G88" s="2">
        <v>2029</v>
      </c>
      <c r="H88" s="16">
        <v>500</v>
      </c>
      <c r="I88" s="16">
        <v>291</v>
      </c>
      <c r="J88" s="16">
        <v>239</v>
      </c>
      <c r="K88" s="8" t="s">
        <v>82</v>
      </c>
      <c r="L88" s="16"/>
      <c r="M88" s="16">
        <v>15.647776270821211</v>
      </c>
      <c r="N88" s="16"/>
      <c r="O88" s="8" t="s">
        <v>418</v>
      </c>
      <c r="P88" s="8" t="s">
        <v>84</v>
      </c>
      <c r="Q88" s="2">
        <v>1</v>
      </c>
      <c r="R88" s="8" t="s">
        <v>804</v>
      </c>
      <c r="S88" s="8" t="s">
        <v>805</v>
      </c>
      <c r="T88" s="8" t="str">
        <f>HYPERLINK("https://seichotoushi-hojo.jp/assets/pdf/koufu/outline_25.pdf","PDFを開く")</f>
        <v>PDFを開く</v>
      </c>
      <c r="U88" s="8" t="s">
        <v>807</v>
      </c>
    </row>
    <row r="89" spans="1:21" ht="48" customHeight="1">
      <c r="A89" s="5" t="s">
        <v>808</v>
      </c>
      <c r="B89" s="5" t="s">
        <v>73</v>
      </c>
      <c r="C89" s="9" t="s">
        <v>809</v>
      </c>
      <c r="D89" s="9" t="s">
        <v>81</v>
      </c>
      <c r="E89" s="5">
        <v>2026</v>
      </c>
      <c r="F89" s="17"/>
      <c r="G89" s="5">
        <v>2029</v>
      </c>
      <c r="H89" s="17"/>
      <c r="I89" s="17">
        <v>71</v>
      </c>
      <c r="J89" s="17">
        <v>116</v>
      </c>
      <c r="K89" s="9" t="s">
        <v>82</v>
      </c>
      <c r="L89" s="17"/>
      <c r="M89" s="17"/>
      <c r="N89" s="17"/>
      <c r="O89" s="9" t="s">
        <v>83</v>
      </c>
      <c r="P89" s="9" t="s">
        <v>84</v>
      </c>
      <c r="Q89" s="5">
        <v>1</v>
      </c>
      <c r="R89" s="9" t="s">
        <v>813</v>
      </c>
      <c r="S89" s="9"/>
      <c r="T89" s="9" t="str">
        <f>HYPERLINK("https://seichotoushi-hojo.jp/assets/pdf/koufu/outline_26.pdf","PDFを開く")</f>
        <v>PDFを開く</v>
      </c>
      <c r="U89" s="9" t="s">
        <v>815</v>
      </c>
    </row>
    <row r="90" spans="1:21" ht="48" customHeight="1">
      <c r="A90" s="2" t="s">
        <v>816</v>
      </c>
      <c r="B90" s="2" t="s">
        <v>73</v>
      </c>
      <c r="C90" s="8" t="s">
        <v>817</v>
      </c>
      <c r="D90" s="8" t="s">
        <v>81</v>
      </c>
      <c r="E90" s="2">
        <v>2023</v>
      </c>
      <c r="F90" s="16">
        <v>47</v>
      </c>
      <c r="G90" s="2">
        <v>2035</v>
      </c>
      <c r="H90" s="16">
        <v>80</v>
      </c>
      <c r="I90" s="16">
        <v>33</v>
      </c>
      <c r="J90" s="16">
        <v>70</v>
      </c>
      <c r="K90" s="8" t="s">
        <v>99</v>
      </c>
      <c r="L90" s="16"/>
      <c r="M90" s="16">
        <v>4.5320202907420892</v>
      </c>
      <c r="N90" s="16"/>
      <c r="O90" s="8" t="s">
        <v>100</v>
      </c>
      <c r="P90" s="8" t="s">
        <v>84</v>
      </c>
      <c r="Q90" s="2">
        <v>1</v>
      </c>
      <c r="R90" s="8" t="s">
        <v>821</v>
      </c>
      <c r="S90" s="8" t="s">
        <v>822</v>
      </c>
      <c r="T90" s="8" t="str">
        <f>HYPERLINK("https://seichotoushi-hojo.jp/assets/pdf/koufu/outline_27.pdf","PDFを開く")</f>
        <v>PDFを開く</v>
      </c>
      <c r="U90" s="8" t="s">
        <v>824</v>
      </c>
    </row>
    <row r="91" spans="1:21" ht="48" customHeight="1">
      <c r="A91" s="5" t="s">
        <v>825</v>
      </c>
      <c r="B91" s="5" t="s">
        <v>73</v>
      </c>
      <c r="C91" s="9" t="s">
        <v>826</v>
      </c>
      <c r="D91" s="9" t="s">
        <v>81</v>
      </c>
      <c r="E91" s="5">
        <v>2023</v>
      </c>
      <c r="F91" s="17"/>
      <c r="G91" s="5">
        <v>2030</v>
      </c>
      <c r="H91" s="17"/>
      <c r="I91" s="17">
        <v>11.6</v>
      </c>
      <c r="J91" s="17">
        <v>50</v>
      </c>
      <c r="K91" s="9" t="s">
        <v>82</v>
      </c>
      <c r="L91" s="17"/>
      <c r="M91" s="17"/>
      <c r="N91" s="17"/>
      <c r="O91" s="9" t="s">
        <v>83</v>
      </c>
      <c r="P91" s="9" t="s">
        <v>84</v>
      </c>
      <c r="Q91" s="5">
        <v>1</v>
      </c>
      <c r="R91" s="9" t="s">
        <v>829</v>
      </c>
      <c r="S91" s="9"/>
      <c r="T91" s="9" t="str">
        <f>HYPERLINK("https://seichotoushi-hojo.jp/assets/pdf/koufu/outline_28.pdf","PDFを開く")</f>
        <v>PDFを開く</v>
      </c>
      <c r="U91" s="9" t="s">
        <v>831</v>
      </c>
    </row>
    <row r="92" spans="1:21" ht="48" customHeight="1">
      <c r="A92" s="2" t="s">
        <v>832</v>
      </c>
      <c r="B92" s="2" t="s">
        <v>73</v>
      </c>
      <c r="C92" s="8" t="s">
        <v>833</v>
      </c>
      <c r="D92" s="8" t="s">
        <v>81</v>
      </c>
      <c r="E92" s="2"/>
      <c r="F92" s="16"/>
      <c r="G92" s="2">
        <v>2028</v>
      </c>
      <c r="H92" s="16"/>
      <c r="I92" s="16">
        <v>50</v>
      </c>
      <c r="J92" s="16">
        <v>40</v>
      </c>
      <c r="K92" s="8" t="s">
        <v>210</v>
      </c>
      <c r="L92" s="16"/>
      <c r="M92" s="16"/>
      <c r="N92" s="16"/>
      <c r="O92" s="8" t="s">
        <v>83</v>
      </c>
      <c r="P92" s="8" t="s">
        <v>84</v>
      </c>
      <c r="Q92" s="2">
        <v>1</v>
      </c>
      <c r="R92" s="8" t="s">
        <v>836</v>
      </c>
      <c r="S92" s="8"/>
      <c r="T92" s="8" t="str">
        <f>HYPERLINK("https://seichotoushi-hojo.jp/assets/pdf/koufu/outline_29.pdf","PDFを開く")</f>
        <v>PDFを開く</v>
      </c>
      <c r="U92" s="8" t="s">
        <v>838</v>
      </c>
    </row>
    <row r="93" spans="1:21" ht="48" customHeight="1">
      <c r="A93" s="5" t="s">
        <v>839</v>
      </c>
      <c r="B93" s="5" t="s">
        <v>73</v>
      </c>
      <c r="C93" s="9" t="s">
        <v>840</v>
      </c>
      <c r="D93" s="9" t="s">
        <v>81</v>
      </c>
      <c r="E93" s="5">
        <v>2023</v>
      </c>
      <c r="F93" s="17"/>
      <c r="G93" s="5">
        <v>2028</v>
      </c>
      <c r="H93" s="17"/>
      <c r="I93" s="17">
        <v>1595</v>
      </c>
      <c r="J93" s="17">
        <v>54.9</v>
      </c>
      <c r="K93" s="9" t="s">
        <v>82</v>
      </c>
      <c r="L93" s="17"/>
      <c r="M93" s="17"/>
      <c r="N93" s="17"/>
      <c r="O93" s="9" t="s">
        <v>83</v>
      </c>
      <c r="P93" s="9" t="s">
        <v>84</v>
      </c>
      <c r="Q93" s="5">
        <v>1</v>
      </c>
      <c r="R93" s="9" t="s">
        <v>844</v>
      </c>
      <c r="S93" s="9"/>
      <c r="T93" s="9" t="str">
        <f>HYPERLINK("https://seichotoushi-hojo.jp/assets/pdf/koufu/outline_3.pdf","PDFを開く")</f>
        <v>PDFを開く</v>
      </c>
      <c r="U93" s="9" t="s">
        <v>846</v>
      </c>
    </row>
    <row r="94" spans="1:21" ht="48" customHeight="1">
      <c r="A94" s="2" t="s">
        <v>847</v>
      </c>
      <c r="B94" s="2" t="s">
        <v>73</v>
      </c>
      <c r="C94" s="8" t="s">
        <v>848</v>
      </c>
      <c r="D94" s="8" t="s">
        <v>81</v>
      </c>
      <c r="E94" s="2"/>
      <c r="F94" s="16"/>
      <c r="G94" s="2">
        <v>2033</v>
      </c>
      <c r="H94" s="16"/>
      <c r="I94" s="16">
        <v>642</v>
      </c>
      <c r="J94" s="16">
        <v>124</v>
      </c>
      <c r="K94" s="8" t="s">
        <v>82</v>
      </c>
      <c r="L94" s="16"/>
      <c r="M94" s="16"/>
      <c r="N94" s="16"/>
      <c r="O94" s="8" t="s">
        <v>83</v>
      </c>
      <c r="P94" s="8" t="s">
        <v>84</v>
      </c>
      <c r="Q94" s="2">
        <v>1</v>
      </c>
      <c r="R94" s="8" t="s">
        <v>853</v>
      </c>
      <c r="S94" s="8"/>
      <c r="T94" s="8" t="str">
        <f>HYPERLINK("https://seichotoushi-hojo.jp/assets/pdf/koufu/outline_30.pdf","PDFを開く")</f>
        <v>PDFを開く</v>
      </c>
      <c r="U94" s="8" t="s">
        <v>855</v>
      </c>
    </row>
    <row r="95" spans="1:21" ht="48" customHeight="1">
      <c r="A95" s="5" t="s">
        <v>856</v>
      </c>
      <c r="B95" s="5" t="s">
        <v>73</v>
      </c>
      <c r="C95" s="9" t="s">
        <v>857</v>
      </c>
      <c r="D95" s="9" t="s">
        <v>81</v>
      </c>
      <c r="E95" s="5"/>
      <c r="F95" s="17"/>
      <c r="G95" s="5">
        <v>2030</v>
      </c>
      <c r="H95" s="17"/>
      <c r="I95" s="17">
        <v>34</v>
      </c>
      <c r="J95" s="17">
        <v>9</v>
      </c>
      <c r="K95" s="9" t="s">
        <v>82</v>
      </c>
      <c r="L95" s="17"/>
      <c r="M95" s="17"/>
      <c r="N95" s="17"/>
      <c r="O95" s="9" t="s">
        <v>83</v>
      </c>
      <c r="P95" s="9" t="s">
        <v>84</v>
      </c>
      <c r="Q95" s="5">
        <v>1</v>
      </c>
      <c r="R95" s="9" t="s">
        <v>861</v>
      </c>
      <c r="S95" s="9"/>
      <c r="T95" s="9" t="str">
        <f>HYPERLINK("https://seichotoushi-hojo.jp/assets/pdf/koufu/outline_31.pdf","PDFを開く")</f>
        <v>PDFを開く</v>
      </c>
      <c r="U95" s="9" t="s">
        <v>863</v>
      </c>
    </row>
    <row r="96" spans="1:21" ht="48" customHeight="1">
      <c r="A96" s="2" t="s">
        <v>864</v>
      </c>
      <c r="B96" s="2" t="s">
        <v>73</v>
      </c>
      <c r="C96" s="8" t="s">
        <v>865</v>
      </c>
      <c r="D96" s="8" t="s">
        <v>81</v>
      </c>
      <c r="E96" s="2">
        <v>2023</v>
      </c>
      <c r="F96" s="16">
        <v>211</v>
      </c>
      <c r="G96" s="2">
        <v>2029</v>
      </c>
      <c r="H96" s="16">
        <v>65</v>
      </c>
      <c r="I96" s="16"/>
      <c r="J96" s="16">
        <v>232</v>
      </c>
      <c r="K96" s="8" t="s">
        <v>82</v>
      </c>
      <c r="L96" s="16"/>
      <c r="M96" s="16">
        <v>-17.818925193397028</v>
      </c>
      <c r="N96" s="16"/>
      <c r="O96" s="8" t="s">
        <v>418</v>
      </c>
      <c r="P96" s="8" t="s">
        <v>84</v>
      </c>
      <c r="Q96" s="2">
        <v>1</v>
      </c>
      <c r="R96" s="8" t="s">
        <v>868</v>
      </c>
      <c r="S96" s="8" t="s">
        <v>869</v>
      </c>
      <c r="T96" s="8" t="str">
        <f>HYPERLINK("https://seichotoushi-hojo.jp/assets/pdf/koufu/outline_32.pdf","PDFを開く")</f>
        <v>PDFを開く</v>
      </c>
      <c r="U96" s="8" t="s">
        <v>871</v>
      </c>
    </row>
    <row r="97" spans="1:21" ht="48" customHeight="1">
      <c r="A97" s="5" t="s">
        <v>872</v>
      </c>
      <c r="B97" s="5" t="s">
        <v>73</v>
      </c>
      <c r="C97" s="9" t="s">
        <v>873</v>
      </c>
      <c r="D97" s="9" t="s">
        <v>81</v>
      </c>
      <c r="E97" s="5">
        <v>2025</v>
      </c>
      <c r="F97" s="17"/>
      <c r="G97" s="5">
        <v>2033</v>
      </c>
      <c r="H97" s="17"/>
      <c r="I97" s="17">
        <v>30</v>
      </c>
      <c r="J97" s="17">
        <v>140</v>
      </c>
      <c r="K97" s="9" t="s">
        <v>82</v>
      </c>
      <c r="L97" s="17"/>
      <c r="M97" s="17"/>
      <c r="N97" s="17"/>
      <c r="O97" s="9" t="s">
        <v>83</v>
      </c>
      <c r="P97" s="9" t="s">
        <v>84</v>
      </c>
      <c r="Q97" s="5">
        <v>1</v>
      </c>
      <c r="R97" s="9" t="s">
        <v>876</v>
      </c>
      <c r="S97" s="9"/>
      <c r="T97" s="9" t="str">
        <f>HYPERLINK("https://seichotoushi-hojo.jp/assets/pdf/koufu/outline_33.pdf","PDFを開く")</f>
        <v>PDFを開く</v>
      </c>
      <c r="U97" s="9" t="s">
        <v>878</v>
      </c>
    </row>
    <row r="98" spans="1:21" ht="48" customHeight="1">
      <c r="A98" s="2" t="s">
        <v>879</v>
      </c>
      <c r="B98" s="2" t="s">
        <v>73</v>
      </c>
      <c r="C98" s="8" t="s">
        <v>880</v>
      </c>
      <c r="D98" s="8" t="s">
        <v>81</v>
      </c>
      <c r="E98" s="2">
        <v>2023</v>
      </c>
      <c r="F98" s="16">
        <v>150</v>
      </c>
      <c r="G98" s="2">
        <v>2028</v>
      </c>
      <c r="H98" s="16">
        <v>150</v>
      </c>
      <c r="I98" s="16">
        <v>50</v>
      </c>
      <c r="J98" s="16">
        <v>57</v>
      </c>
      <c r="K98" s="8" t="s">
        <v>82</v>
      </c>
      <c r="L98" s="16"/>
      <c r="M98" s="16">
        <v>0</v>
      </c>
      <c r="N98" s="16"/>
      <c r="O98" s="8" t="s">
        <v>200</v>
      </c>
      <c r="P98" s="8" t="s">
        <v>84</v>
      </c>
      <c r="Q98" s="2">
        <v>1</v>
      </c>
      <c r="R98" s="8" t="s">
        <v>883</v>
      </c>
      <c r="S98" s="8" t="s">
        <v>884</v>
      </c>
      <c r="T98" s="8" t="str">
        <f>HYPERLINK("https://seichotoushi-hojo.jp/assets/pdf/koufu/outline_34.pdf","PDFを開く")</f>
        <v>PDFを開く</v>
      </c>
      <c r="U98" s="8" t="s">
        <v>886</v>
      </c>
    </row>
    <row r="99" spans="1:21" ht="48" customHeight="1">
      <c r="A99" s="5" t="s">
        <v>887</v>
      </c>
      <c r="B99" s="5" t="s">
        <v>73</v>
      </c>
      <c r="C99" s="9" t="s">
        <v>888</v>
      </c>
      <c r="D99" s="9" t="s">
        <v>81</v>
      </c>
      <c r="E99" s="5">
        <v>2023</v>
      </c>
      <c r="F99" s="17"/>
      <c r="G99" s="5">
        <v>2029</v>
      </c>
      <c r="H99" s="17"/>
      <c r="I99" s="17">
        <v>47.3</v>
      </c>
      <c r="J99" s="17">
        <v>81.599999999999994</v>
      </c>
      <c r="K99" s="9" t="s">
        <v>82</v>
      </c>
      <c r="L99" s="17"/>
      <c r="M99" s="17"/>
      <c r="N99" s="17"/>
      <c r="O99" s="9" t="s">
        <v>83</v>
      </c>
      <c r="P99" s="9" t="s">
        <v>84</v>
      </c>
      <c r="Q99" s="5">
        <v>1</v>
      </c>
      <c r="R99" s="9" t="s">
        <v>891</v>
      </c>
      <c r="S99" s="9"/>
      <c r="T99" s="9" t="str">
        <f>HYPERLINK("https://seichotoushi-hojo.jp/assets/pdf/koufu/outline_35.pdf","PDFを開く")</f>
        <v>PDFを開く</v>
      </c>
      <c r="U99" s="9" t="s">
        <v>893</v>
      </c>
    </row>
    <row r="100" spans="1:21" ht="48" customHeight="1">
      <c r="A100" s="2" t="s">
        <v>894</v>
      </c>
      <c r="B100" s="2" t="s">
        <v>73</v>
      </c>
      <c r="C100" s="8" t="s">
        <v>895</v>
      </c>
      <c r="D100" s="8" t="s">
        <v>81</v>
      </c>
      <c r="E100" s="2"/>
      <c r="F100" s="16"/>
      <c r="G100" s="2">
        <v>2030</v>
      </c>
      <c r="H100" s="16"/>
      <c r="I100" s="16">
        <v>34.6</v>
      </c>
      <c r="J100" s="16">
        <v>12</v>
      </c>
      <c r="K100" s="8" t="s">
        <v>82</v>
      </c>
      <c r="L100" s="16"/>
      <c r="M100" s="16"/>
      <c r="N100" s="16"/>
      <c r="O100" s="8" t="s">
        <v>83</v>
      </c>
      <c r="P100" s="8" t="s">
        <v>84</v>
      </c>
      <c r="Q100" s="2">
        <v>1</v>
      </c>
      <c r="R100" s="8" t="s">
        <v>898</v>
      </c>
      <c r="S100" s="8"/>
      <c r="T100" s="8" t="str">
        <f>HYPERLINK("https://seichotoushi-hojo.jp/assets/pdf/koufu/outline_36.pdf","PDFを開く")</f>
        <v>PDFを開く</v>
      </c>
      <c r="U100" s="8" t="s">
        <v>900</v>
      </c>
    </row>
    <row r="101" spans="1:21" ht="48" customHeight="1">
      <c r="A101" s="5" t="s">
        <v>901</v>
      </c>
      <c r="B101" s="5" t="s">
        <v>73</v>
      </c>
      <c r="C101" s="9" t="s">
        <v>902</v>
      </c>
      <c r="D101" s="9" t="s">
        <v>81</v>
      </c>
      <c r="E101" s="5">
        <v>2023</v>
      </c>
      <c r="F101" s="17"/>
      <c r="G101" s="5">
        <v>2028</v>
      </c>
      <c r="H101" s="17"/>
      <c r="I101" s="17">
        <v>10</v>
      </c>
      <c r="J101" s="17">
        <v>27.7</v>
      </c>
      <c r="K101" s="9" t="s">
        <v>82</v>
      </c>
      <c r="L101" s="17"/>
      <c r="M101" s="17"/>
      <c r="N101" s="17"/>
      <c r="O101" s="9" t="s">
        <v>83</v>
      </c>
      <c r="P101" s="9" t="s">
        <v>84</v>
      </c>
      <c r="Q101" s="5">
        <v>1</v>
      </c>
      <c r="R101" s="9" t="s">
        <v>906</v>
      </c>
      <c r="S101" s="9"/>
      <c r="T101" s="9" t="str">
        <f>HYPERLINK("https://seichotoushi-hojo.jp/assets/pdf/koufu/outline_37.pdf","PDFを開く")</f>
        <v>PDFを開く</v>
      </c>
      <c r="U101" s="9" t="s">
        <v>908</v>
      </c>
    </row>
    <row r="102" spans="1:21" ht="48" customHeight="1">
      <c r="A102" s="2" t="s">
        <v>909</v>
      </c>
      <c r="B102" s="2" t="s">
        <v>73</v>
      </c>
      <c r="C102" s="8" t="s">
        <v>910</v>
      </c>
      <c r="D102" s="8" t="s">
        <v>81</v>
      </c>
      <c r="E102" s="2"/>
      <c r="F102" s="16"/>
      <c r="G102" s="2">
        <v>2030</v>
      </c>
      <c r="H102" s="16"/>
      <c r="I102" s="16">
        <v>261</v>
      </c>
      <c r="J102" s="16">
        <v>179</v>
      </c>
      <c r="K102" s="8" t="s">
        <v>82</v>
      </c>
      <c r="L102" s="16"/>
      <c r="M102" s="16"/>
      <c r="N102" s="16"/>
      <c r="O102" s="8" t="s">
        <v>83</v>
      </c>
      <c r="P102" s="8" t="s">
        <v>84</v>
      </c>
      <c r="Q102" s="2">
        <v>1</v>
      </c>
      <c r="R102" s="8" t="s">
        <v>912</v>
      </c>
      <c r="S102" s="8"/>
      <c r="T102" s="8" t="str">
        <f>HYPERLINK("https://seichotoushi-hojo.jp/assets/pdf/koufu/outline_38.pdf","PDFを開く")</f>
        <v>PDFを開く</v>
      </c>
      <c r="U102" s="8" t="s">
        <v>914</v>
      </c>
    </row>
    <row r="103" spans="1:21" ht="48" customHeight="1">
      <c r="A103" s="5" t="s">
        <v>915</v>
      </c>
      <c r="B103" s="5" t="s">
        <v>73</v>
      </c>
      <c r="C103" s="9" t="s">
        <v>916</v>
      </c>
      <c r="D103" s="9" t="s">
        <v>81</v>
      </c>
      <c r="E103" s="5"/>
      <c r="F103" s="17"/>
      <c r="G103" s="5">
        <v>2029</v>
      </c>
      <c r="H103" s="17">
        <v>66</v>
      </c>
      <c r="I103" s="17">
        <v>20</v>
      </c>
      <c r="J103" s="17">
        <v>43</v>
      </c>
      <c r="K103" s="9" t="s">
        <v>82</v>
      </c>
      <c r="L103" s="17"/>
      <c r="M103" s="17"/>
      <c r="N103" s="17"/>
      <c r="O103" s="9" t="s">
        <v>83</v>
      </c>
      <c r="P103" s="9" t="s">
        <v>84</v>
      </c>
      <c r="Q103" s="5">
        <v>1</v>
      </c>
      <c r="R103" s="9" t="s">
        <v>920</v>
      </c>
      <c r="S103" s="9" t="s">
        <v>921</v>
      </c>
      <c r="T103" s="9" t="str">
        <f>HYPERLINK("https://seichotoushi-hojo.jp/assets/pdf/koufu/outline_39.pdf","PDFを開く")</f>
        <v>PDFを開く</v>
      </c>
      <c r="U103" s="9" t="s">
        <v>923</v>
      </c>
    </row>
    <row r="104" spans="1:21" ht="48" customHeight="1">
      <c r="A104" s="2" t="s">
        <v>924</v>
      </c>
      <c r="B104" s="2" t="s">
        <v>73</v>
      </c>
      <c r="C104" s="8" t="s">
        <v>925</v>
      </c>
      <c r="D104" s="8" t="s">
        <v>81</v>
      </c>
      <c r="E104" s="2"/>
      <c r="F104" s="16"/>
      <c r="G104" s="2">
        <v>2032</v>
      </c>
      <c r="H104" s="16"/>
      <c r="I104" s="16">
        <v>49.3</v>
      </c>
      <c r="J104" s="16">
        <v>161.5</v>
      </c>
      <c r="K104" s="8" t="s">
        <v>82</v>
      </c>
      <c r="L104" s="16"/>
      <c r="M104" s="16"/>
      <c r="N104" s="16"/>
      <c r="O104" s="8" t="s">
        <v>83</v>
      </c>
      <c r="P104" s="8" t="s">
        <v>84</v>
      </c>
      <c r="Q104" s="2">
        <v>1</v>
      </c>
      <c r="R104" s="8" t="s">
        <v>928</v>
      </c>
      <c r="S104" s="8"/>
      <c r="T104" s="8" t="str">
        <f>HYPERLINK("https://seichotoushi-hojo.jp/assets/pdf/koufu/outline_4.pdf","PDFを開く")</f>
        <v>PDFを開く</v>
      </c>
      <c r="U104" s="8" t="s">
        <v>930</v>
      </c>
    </row>
    <row r="105" spans="1:21" ht="48" customHeight="1">
      <c r="A105" s="5" t="s">
        <v>931</v>
      </c>
      <c r="B105" s="5" t="s">
        <v>73</v>
      </c>
      <c r="C105" s="9" t="s">
        <v>932</v>
      </c>
      <c r="D105" s="9" t="s">
        <v>81</v>
      </c>
      <c r="E105" s="5">
        <v>2024</v>
      </c>
      <c r="F105" s="17"/>
      <c r="G105" s="5">
        <v>2029</v>
      </c>
      <c r="H105" s="17"/>
      <c r="I105" s="17">
        <v>57.49</v>
      </c>
      <c r="J105" s="17">
        <v>16.600000000000001</v>
      </c>
      <c r="K105" s="9" t="s">
        <v>82</v>
      </c>
      <c r="L105" s="17"/>
      <c r="M105" s="17"/>
      <c r="N105" s="17"/>
      <c r="O105" s="9" t="s">
        <v>83</v>
      </c>
      <c r="P105" s="9" t="s">
        <v>84</v>
      </c>
      <c r="Q105" s="5">
        <v>1</v>
      </c>
      <c r="R105" s="9" t="s">
        <v>936</v>
      </c>
      <c r="S105" s="9"/>
      <c r="T105" s="9" t="str">
        <f>HYPERLINK("https://seichotoushi-hojo.jp/assets/pdf/koufu/outline_40.pdf","PDFを開く")</f>
        <v>PDFを開く</v>
      </c>
      <c r="U105" s="9" t="s">
        <v>939</v>
      </c>
    </row>
    <row r="106" spans="1:21" ht="48" customHeight="1">
      <c r="A106" s="2" t="s">
        <v>940</v>
      </c>
      <c r="B106" s="2" t="s">
        <v>73</v>
      </c>
      <c r="C106" s="8" t="s">
        <v>941</v>
      </c>
      <c r="D106" s="8" t="s">
        <v>81</v>
      </c>
      <c r="E106" s="2"/>
      <c r="F106" s="16"/>
      <c r="G106" s="2">
        <v>2029</v>
      </c>
      <c r="H106" s="16"/>
      <c r="I106" s="16">
        <v>14</v>
      </c>
      <c r="J106" s="16">
        <v>161</v>
      </c>
      <c r="K106" s="8" t="s">
        <v>82</v>
      </c>
      <c r="L106" s="16"/>
      <c r="M106" s="16"/>
      <c r="N106" s="16"/>
      <c r="O106" s="8" t="s">
        <v>83</v>
      </c>
      <c r="P106" s="8" t="s">
        <v>84</v>
      </c>
      <c r="Q106" s="2">
        <v>1</v>
      </c>
      <c r="R106" s="8" t="s">
        <v>945</v>
      </c>
      <c r="S106" s="8"/>
      <c r="T106" s="8" t="str">
        <f>HYPERLINK("https://seichotoushi-hojo.jp/assets/pdf/koufu/outline_41.pdf","PDFを開く")</f>
        <v>PDFを開く</v>
      </c>
      <c r="U106" s="8" t="s">
        <v>947</v>
      </c>
    </row>
    <row r="107" spans="1:21" ht="48" customHeight="1">
      <c r="A107" s="5" t="s">
        <v>948</v>
      </c>
      <c r="B107" s="5" t="s">
        <v>73</v>
      </c>
      <c r="C107" s="9" t="s">
        <v>949</v>
      </c>
      <c r="D107" s="9" t="s">
        <v>81</v>
      </c>
      <c r="E107" s="5"/>
      <c r="F107" s="17"/>
      <c r="G107" s="5">
        <v>2029</v>
      </c>
      <c r="H107" s="17"/>
      <c r="I107" s="17">
        <v>77.900000000000006</v>
      </c>
      <c r="J107" s="17">
        <v>82.3</v>
      </c>
      <c r="K107" s="9" t="s">
        <v>82</v>
      </c>
      <c r="L107" s="17"/>
      <c r="M107" s="17"/>
      <c r="N107" s="17"/>
      <c r="O107" s="9" t="s">
        <v>83</v>
      </c>
      <c r="P107" s="9" t="s">
        <v>84</v>
      </c>
      <c r="Q107" s="5">
        <v>1</v>
      </c>
      <c r="R107" s="9" t="s">
        <v>952</v>
      </c>
      <c r="S107" s="9"/>
      <c r="T107" s="9" t="str">
        <f>HYPERLINK("https://seichotoushi-hojo.jp/assets/pdf/koufu/outline_42.pdf","PDFを開く")</f>
        <v>PDFを開く</v>
      </c>
      <c r="U107" s="9" t="s">
        <v>954</v>
      </c>
    </row>
    <row r="108" spans="1:21" ht="48" customHeight="1">
      <c r="A108" s="2" t="s">
        <v>955</v>
      </c>
      <c r="B108" s="2" t="s">
        <v>73</v>
      </c>
      <c r="C108" s="8" t="s">
        <v>956</v>
      </c>
      <c r="D108" s="8" t="s">
        <v>81</v>
      </c>
      <c r="E108" s="2">
        <v>2022</v>
      </c>
      <c r="F108" s="16"/>
      <c r="G108" s="2">
        <v>2030</v>
      </c>
      <c r="H108" s="16">
        <v>1000</v>
      </c>
      <c r="I108" s="16"/>
      <c r="J108" s="16"/>
      <c r="K108" s="8"/>
      <c r="L108" s="16"/>
      <c r="M108" s="16"/>
      <c r="N108" s="16"/>
      <c r="O108" s="8" t="s">
        <v>83</v>
      </c>
      <c r="P108" s="8" t="s">
        <v>84</v>
      </c>
      <c r="Q108" s="2">
        <v>1</v>
      </c>
      <c r="R108" s="8" t="s">
        <v>961</v>
      </c>
      <c r="S108" s="8" t="s">
        <v>962</v>
      </c>
      <c r="T108" s="8" t="str">
        <f>HYPERLINK("https://seichotoushi-hojo.jp/assets/pdf/koufu/outline_43.pdf","PDFを開く")</f>
        <v>PDFを開く</v>
      </c>
      <c r="U108" s="8" t="s">
        <v>964</v>
      </c>
    </row>
    <row r="109" spans="1:21" ht="48" customHeight="1">
      <c r="A109" s="5" t="s">
        <v>965</v>
      </c>
      <c r="B109" s="5" t="s">
        <v>73</v>
      </c>
      <c r="C109" s="9" t="s">
        <v>966</v>
      </c>
      <c r="D109" s="9" t="s">
        <v>81</v>
      </c>
      <c r="E109" s="5"/>
      <c r="F109" s="17"/>
      <c r="G109" s="5">
        <v>2030</v>
      </c>
      <c r="H109" s="17"/>
      <c r="I109" s="17">
        <v>25</v>
      </c>
      <c r="J109" s="17">
        <v>160</v>
      </c>
      <c r="K109" s="9" t="s">
        <v>82</v>
      </c>
      <c r="L109" s="17"/>
      <c r="M109" s="17"/>
      <c r="N109" s="17"/>
      <c r="O109" s="9" t="s">
        <v>83</v>
      </c>
      <c r="P109" s="9" t="s">
        <v>84</v>
      </c>
      <c r="Q109" s="5">
        <v>1</v>
      </c>
      <c r="R109" s="9" t="s">
        <v>969</v>
      </c>
      <c r="S109" s="9"/>
      <c r="T109" s="9" t="str">
        <f>HYPERLINK("https://seichotoushi-hojo.jp/assets/pdf/koufu/outline_45.pdf","PDFを開く")</f>
        <v>PDFを開く</v>
      </c>
      <c r="U109" s="9" t="s">
        <v>971</v>
      </c>
    </row>
    <row r="110" spans="1:21" ht="48" customHeight="1">
      <c r="A110" s="2" t="s">
        <v>972</v>
      </c>
      <c r="B110" s="2" t="s">
        <v>73</v>
      </c>
      <c r="C110" s="8" t="s">
        <v>973</v>
      </c>
      <c r="D110" s="8" t="s">
        <v>81</v>
      </c>
      <c r="E110" s="2"/>
      <c r="F110" s="16"/>
      <c r="G110" s="2">
        <v>2030</v>
      </c>
      <c r="H110" s="16">
        <v>1000</v>
      </c>
      <c r="I110" s="16">
        <v>551</v>
      </c>
      <c r="J110" s="16">
        <v>122</v>
      </c>
      <c r="K110" s="8" t="s">
        <v>82</v>
      </c>
      <c r="L110" s="16"/>
      <c r="M110" s="16"/>
      <c r="N110" s="16"/>
      <c r="O110" s="8" t="s">
        <v>83</v>
      </c>
      <c r="P110" s="8" t="s">
        <v>84</v>
      </c>
      <c r="Q110" s="2">
        <v>1</v>
      </c>
      <c r="R110" s="8" t="s">
        <v>975</v>
      </c>
      <c r="S110" s="8" t="s">
        <v>962</v>
      </c>
      <c r="T110" s="8" t="str">
        <f>HYPERLINK("https://seichotoushi-hojo.jp/assets/pdf/koufu/outline_46.pdf","PDFを開く")</f>
        <v>PDFを開く</v>
      </c>
      <c r="U110" s="8" t="s">
        <v>977</v>
      </c>
    </row>
    <row r="111" spans="1:21" ht="48" customHeight="1">
      <c r="A111" s="5" t="s">
        <v>978</v>
      </c>
      <c r="B111" s="5" t="s">
        <v>73</v>
      </c>
      <c r="C111" s="9" t="s">
        <v>979</v>
      </c>
      <c r="D111" s="9" t="s">
        <v>81</v>
      </c>
      <c r="E111" s="5">
        <v>2022</v>
      </c>
      <c r="F111" s="17"/>
      <c r="G111" s="5">
        <v>2028</v>
      </c>
      <c r="H111" s="17"/>
      <c r="I111" s="17">
        <v>82</v>
      </c>
      <c r="J111" s="17">
        <v>66</v>
      </c>
      <c r="K111" s="9" t="s">
        <v>82</v>
      </c>
      <c r="L111" s="17"/>
      <c r="M111" s="17"/>
      <c r="N111" s="17"/>
      <c r="O111" s="9" t="s">
        <v>83</v>
      </c>
      <c r="P111" s="9" t="s">
        <v>84</v>
      </c>
      <c r="Q111" s="5">
        <v>1</v>
      </c>
      <c r="R111" s="9" t="s">
        <v>982</v>
      </c>
      <c r="S111" s="9"/>
      <c r="T111" s="9" t="str">
        <f>HYPERLINK("https://seichotoushi-hojo.jp/assets/pdf/koufu/outline_47.pdf","PDFを開く")</f>
        <v>PDFを開く</v>
      </c>
      <c r="U111" s="9" t="s">
        <v>984</v>
      </c>
    </row>
    <row r="112" spans="1:21" ht="48" customHeight="1">
      <c r="A112" s="2" t="s">
        <v>985</v>
      </c>
      <c r="B112" s="2" t="s">
        <v>73</v>
      </c>
      <c r="C112" s="8" t="s">
        <v>986</v>
      </c>
      <c r="D112" s="8" t="s">
        <v>81</v>
      </c>
      <c r="E112" s="2">
        <v>2024</v>
      </c>
      <c r="F112" s="16"/>
      <c r="G112" s="2">
        <v>2034</v>
      </c>
      <c r="H112" s="16">
        <v>33</v>
      </c>
      <c r="I112" s="16">
        <v>49</v>
      </c>
      <c r="J112" s="16">
        <v>248</v>
      </c>
      <c r="K112" s="8" t="s">
        <v>82</v>
      </c>
      <c r="L112" s="16"/>
      <c r="M112" s="16"/>
      <c r="N112" s="16"/>
      <c r="O112" s="8" t="s">
        <v>83</v>
      </c>
      <c r="P112" s="8" t="s">
        <v>84</v>
      </c>
      <c r="Q112" s="2">
        <v>1</v>
      </c>
      <c r="R112" s="8" t="s">
        <v>990</v>
      </c>
      <c r="S112" s="8" t="s">
        <v>991</v>
      </c>
      <c r="T112" s="8" t="str">
        <f>HYPERLINK("https://seichotoushi-hojo.jp/assets/pdf/koufu/outline_48.pdf","PDFを開く")</f>
        <v>PDFを開く</v>
      </c>
      <c r="U112" s="8" t="s">
        <v>993</v>
      </c>
    </row>
    <row r="113" spans="1:21" ht="48" customHeight="1">
      <c r="A113" s="5" t="s">
        <v>994</v>
      </c>
      <c r="B113" s="5" t="s">
        <v>73</v>
      </c>
      <c r="C113" s="9" t="s">
        <v>995</v>
      </c>
      <c r="D113" s="9" t="s">
        <v>81</v>
      </c>
      <c r="E113" s="5">
        <v>2023</v>
      </c>
      <c r="F113" s="17">
        <v>21.9</v>
      </c>
      <c r="G113" s="5">
        <v>2029</v>
      </c>
      <c r="H113" s="17">
        <v>40</v>
      </c>
      <c r="I113" s="17">
        <v>18.100000000000001</v>
      </c>
      <c r="J113" s="17">
        <v>182.6</v>
      </c>
      <c r="K113" s="9" t="s">
        <v>82</v>
      </c>
      <c r="L113" s="17"/>
      <c r="M113" s="17">
        <v>10.561175131972455</v>
      </c>
      <c r="N113" s="17"/>
      <c r="O113" s="9" t="s">
        <v>418</v>
      </c>
      <c r="P113" s="9" t="s">
        <v>587</v>
      </c>
      <c r="Q113" s="5">
        <v>1</v>
      </c>
      <c r="R113" s="9" t="s">
        <v>999</v>
      </c>
      <c r="S113" s="9" t="s">
        <v>1000</v>
      </c>
      <c r="T113" s="9" t="str">
        <f>HYPERLINK("https://seichotoushi-hojo.jp/assets/pdf/koufu/outline_49.pdf","PDFを開く")</f>
        <v>PDFを開く</v>
      </c>
      <c r="U113" s="9" t="s">
        <v>1002</v>
      </c>
    </row>
    <row r="114" spans="1:21" ht="48" customHeight="1">
      <c r="A114" s="2" t="s">
        <v>1003</v>
      </c>
      <c r="B114" s="2" t="s">
        <v>73</v>
      </c>
      <c r="C114" s="8" t="s">
        <v>1004</v>
      </c>
      <c r="D114" s="8" t="s">
        <v>116</v>
      </c>
      <c r="E114" s="2">
        <v>2023</v>
      </c>
      <c r="F114" s="16">
        <v>394</v>
      </c>
      <c r="G114" s="2">
        <v>2048</v>
      </c>
      <c r="H114" s="16">
        <v>1000</v>
      </c>
      <c r="I114" s="16"/>
      <c r="J114" s="16"/>
      <c r="K114" s="8"/>
      <c r="L114" s="16"/>
      <c r="M114" s="16"/>
      <c r="N114" s="16"/>
      <c r="O114" s="8" t="s">
        <v>166</v>
      </c>
      <c r="P114" s="8" t="s">
        <v>292</v>
      </c>
      <c r="Q114" s="2">
        <v>1</v>
      </c>
      <c r="R114" s="8" t="s">
        <v>1009</v>
      </c>
      <c r="S114" s="8" t="s">
        <v>1010</v>
      </c>
      <c r="T114" s="8" t="str">
        <f>HYPERLINK("https://seichotoushi-hojo.jp/assets/pdf/koufu/outline_5.pdf","PDFを開く")</f>
        <v>PDFを開く</v>
      </c>
      <c r="U114" s="8" t="s">
        <v>1012</v>
      </c>
    </row>
    <row r="115" spans="1:21" ht="48" customHeight="1">
      <c r="A115" s="5" t="s">
        <v>1013</v>
      </c>
      <c r="B115" s="5" t="s">
        <v>73</v>
      </c>
      <c r="C115" s="9" t="s">
        <v>1014</v>
      </c>
      <c r="D115" s="9" t="s">
        <v>81</v>
      </c>
      <c r="E115" s="5"/>
      <c r="F115" s="17"/>
      <c r="G115" s="5">
        <v>2030</v>
      </c>
      <c r="H115" s="17"/>
      <c r="I115" s="17">
        <v>370</v>
      </c>
      <c r="J115" s="17">
        <v>8.5</v>
      </c>
      <c r="K115" s="9" t="s">
        <v>210</v>
      </c>
      <c r="L115" s="17"/>
      <c r="M115" s="17"/>
      <c r="N115" s="17"/>
      <c r="O115" s="9" t="s">
        <v>83</v>
      </c>
      <c r="P115" s="9" t="s">
        <v>84</v>
      </c>
      <c r="Q115" s="5">
        <v>1</v>
      </c>
      <c r="R115" s="9" t="s">
        <v>1017</v>
      </c>
      <c r="S115" s="9"/>
      <c r="T115" s="9" t="str">
        <f>HYPERLINK("https://seichotoushi-hojo.jp/assets/pdf/koufu/outline_50.pdf","PDFを開く")</f>
        <v>PDFを開く</v>
      </c>
      <c r="U115" s="9" t="s">
        <v>1019</v>
      </c>
    </row>
    <row r="116" spans="1:21" ht="48" customHeight="1">
      <c r="A116" s="2" t="s">
        <v>1020</v>
      </c>
      <c r="B116" s="2" t="s">
        <v>73</v>
      </c>
      <c r="C116" s="8" t="s">
        <v>1021</v>
      </c>
      <c r="D116" s="8" t="s">
        <v>81</v>
      </c>
      <c r="E116" s="2">
        <v>2023</v>
      </c>
      <c r="F116" s="16"/>
      <c r="G116" s="2">
        <v>2030</v>
      </c>
      <c r="H116" s="16"/>
      <c r="I116" s="16">
        <v>263</v>
      </c>
      <c r="J116" s="16">
        <v>9.6999999999999993</v>
      </c>
      <c r="K116" s="8" t="s">
        <v>82</v>
      </c>
      <c r="L116" s="16"/>
      <c r="M116" s="16"/>
      <c r="N116" s="16"/>
      <c r="O116" s="8" t="s">
        <v>83</v>
      </c>
      <c r="P116" s="8" t="s">
        <v>84</v>
      </c>
      <c r="Q116" s="2">
        <v>1</v>
      </c>
      <c r="R116" s="8" t="s">
        <v>1025</v>
      </c>
      <c r="S116" s="8"/>
      <c r="T116" s="8" t="str">
        <f>HYPERLINK("https://seichotoushi-hojo.jp/assets/pdf/koufu/outline_51.pdf","PDFを開く")</f>
        <v>PDFを開く</v>
      </c>
      <c r="U116" s="8" t="s">
        <v>1027</v>
      </c>
    </row>
    <row r="117" spans="1:21" ht="48" customHeight="1">
      <c r="A117" s="5" t="s">
        <v>1028</v>
      </c>
      <c r="B117" s="5" t="s">
        <v>73</v>
      </c>
      <c r="C117" s="9" t="s">
        <v>1029</v>
      </c>
      <c r="D117" s="9" t="s">
        <v>81</v>
      </c>
      <c r="E117" s="5"/>
      <c r="F117" s="17"/>
      <c r="G117" s="5">
        <v>2030</v>
      </c>
      <c r="H117" s="17"/>
      <c r="I117" s="17">
        <v>45</v>
      </c>
      <c r="J117" s="17">
        <v>139</v>
      </c>
      <c r="K117" s="9" t="s">
        <v>82</v>
      </c>
      <c r="L117" s="17"/>
      <c r="M117" s="17"/>
      <c r="N117" s="17"/>
      <c r="O117" s="9" t="s">
        <v>83</v>
      </c>
      <c r="P117" s="9" t="s">
        <v>84</v>
      </c>
      <c r="Q117" s="5">
        <v>1</v>
      </c>
      <c r="R117" s="9" t="s">
        <v>1032</v>
      </c>
      <c r="S117" s="9" t="s">
        <v>1033</v>
      </c>
      <c r="T117" s="9" t="str">
        <f>HYPERLINK("https://seichotoushi-hojo.jp/assets/pdf/koufu/outline_52.pdf","PDFを開く")</f>
        <v>PDFを開く</v>
      </c>
      <c r="U117" s="9" t="s">
        <v>1035</v>
      </c>
    </row>
    <row r="118" spans="1:21" ht="48" customHeight="1">
      <c r="A118" s="2" t="s">
        <v>1036</v>
      </c>
      <c r="B118" s="2" t="s">
        <v>73</v>
      </c>
      <c r="C118" s="8" t="s">
        <v>1037</v>
      </c>
      <c r="D118" s="8" t="s">
        <v>81</v>
      </c>
      <c r="E118" s="2">
        <v>2023</v>
      </c>
      <c r="F118" s="16"/>
      <c r="G118" s="2">
        <v>2030</v>
      </c>
      <c r="H118" s="16"/>
      <c r="I118" s="16">
        <v>30</v>
      </c>
      <c r="J118" s="16">
        <v>43</v>
      </c>
      <c r="K118" s="8" t="s">
        <v>82</v>
      </c>
      <c r="L118" s="16"/>
      <c r="M118" s="16"/>
      <c r="N118" s="16"/>
      <c r="O118" s="8" t="s">
        <v>83</v>
      </c>
      <c r="P118" s="8" t="s">
        <v>84</v>
      </c>
      <c r="Q118" s="2">
        <v>1</v>
      </c>
      <c r="R118" s="8" t="s">
        <v>1041</v>
      </c>
      <c r="S118" s="8"/>
      <c r="T118" s="8" t="str">
        <f>HYPERLINK("https://seichotoushi-hojo.jp/assets/pdf/koufu/outline_53.pdf","PDFを開く")</f>
        <v>PDFを開く</v>
      </c>
      <c r="U118" s="8" t="s">
        <v>1043</v>
      </c>
    </row>
    <row r="119" spans="1:21" ht="48" customHeight="1">
      <c r="A119" s="5" t="s">
        <v>1044</v>
      </c>
      <c r="B119" s="5" t="s">
        <v>73</v>
      </c>
      <c r="C119" s="9" t="s">
        <v>1045</v>
      </c>
      <c r="D119" s="9" t="s">
        <v>81</v>
      </c>
      <c r="E119" s="5"/>
      <c r="F119" s="17"/>
      <c r="G119" s="5">
        <v>2033</v>
      </c>
      <c r="H119" s="17">
        <v>100</v>
      </c>
      <c r="I119" s="17">
        <v>70</v>
      </c>
      <c r="J119" s="17">
        <v>233</v>
      </c>
      <c r="K119" s="9" t="s">
        <v>82</v>
      </c>
      <c r="L119" s="17"/>
      <c r="M119" s="17"/>
      <c r="N119" s="17"/>
      <c r="O119" s="9" t="s">
        <v>1048</v>
      </c>
      <c r="P119" s="9" t="s">
        <v>292</v>
      </c>
      <c r="Q119" s="5">
        <v>1</v>
      </c>
      <c r="R119" s="9" t="s">
        <v>1049</v>
      </c>
      <c r="S119" s="9" t="s">
        <v>1050</v>
      </c>
      <c r="T119" s="9" t="str">
        <f>HYPERLINK("https://seichotoushi-hojo.jp/assets/pdf/koufu/outline_55.pdf","PDFを開く")</f>
        <v>PDFを開く</v>
      </c>
      <c r="U119" s="9" t="s">
        <v>1053</v>
      </c>
    </row>
    <row r="120" spans="1:21" ht="48" customHeight="1">
      <c r="A120" s="2" t="s">
        <v>1054</v>
      </c>
      <c r="B120" s="2" t="s">
        <v>73</v>
      </c>
      <c r="C120" s="8" t="s">
        <v>1055</v>
      </c>
      <c r="D120" s="8" t="s">
        <v>81</v>
      </c>
      <c r="E120" s="2">
        <v>2030</v>
      </c>
      <c r="F120" s="16"/>
      <c r="G120" s="2">
        <v>2035</v>
      </c>
      <c r="H120" s="16">
        <v>100</v>
      </c>
      <c r="I120" s="16">
        <v>31</v>
      </c>
      <c r="J120" s="16">
        <v>21</v>
      </c>
      <c r="K120" s="8" t="s">
        <v>82</v>
      </c>
      <c r="L120" s="16"/>
      <c r="M120" s="16"/>
      <c r="N120" s="16"/>
      <c r="O120" s="8" t="s">
        <v>83</v>
      </c>
      <c r="P120" s="8" t="s">
        <v>84</v>
      </c>
      <c r="Q120" s="2">
        <v>1</v>
      </c>
      <c r="R120" s="8" t="s">
        <v>1059</v>
      </c>
      <c r="S120" s="8" t="s">
        <v>1060</v>
      </c>
      <c r="T120" s="8" t="str">
        <f>HYPERLINK("https://seichotoushi-hojo.jp/assets/pdf/koufu/outline_56.pdf","PDFを開く")</f>
        <v>PDFを開く</v>
      </c>
      <c r="U120" s="8" t="s">
        <v>1062</v>
      </c>
    </row>
    <row r="121" spans="1:21" ht="48" customHeight="1">
      <c r="A121" s="5" t="s">
        <v>1063</v>
      </c>
      <c r="B121" s="5" t="s">
        <v>73</v>
      </c>
      <c r="C121" s="9" t="s">
        <v>1064</v>
      </c>
      <c r="D121" s="9" t="s">
        <v>763</v>
      </c>
      <c r="E121" s="5">
        <v>2025</v>
      </c>
      <c r="F121" s="17"/>
      <c r="G121" s="5">
        <v>2028</v>
      </c>
      <c r="H121" s="17">
        <v>147.62844104999999</v>
      </c>
      <c r="I121" s="17"/>
      <c r="J121" s="17">
        <v>26.7</v>
      </c>
      <c r="K121" s="9" t="s">
        <v>490</v>
      </c>
      <c r="L121" s="17"/>
      <c r="M121" s="17"/>
      <c r="N121" s="17"/>
      <c r="O121" s="9" t="s">
        <v>166</v>
      </c>
      <c r="P121" s="9" t="s">
        <v>292</v>
      </c>
      <c r="Q121" s="5">
        <v>1</v>
      </c>
      <c r="R121" s="9" t="s">
        <v>1067</v>
      </c>
      <c r="S121" s="9" t="s">
        <v>1068</v>
      </c>
      <c r="T121" s="9" t="str">
        <f>HYPERLINK("https://seichotoushi-hojo.jp/assets/pdf/koufu/outline_58.pdf","PDFを開く")</f>
        <v>PDFを開く</v>
      </c>
      <c r="U121" s="9" t="s">
        <v>1070</v>
      </c>
    </row>
    <row r="122" spans="1:21" ht="48" customHeight="1">
      <c r="A122" s="2" t="s">
        <v>1071</v>
      </c>
      <c r="B122" s="2" t="s">
        <v>73</v>
      </c>
      <c r="C122" s="8" t="s">
        <v>1072</v>
      </c>
      <c r="D122" s="8" t="s">
        <v>81</v>
      </c>
      <c r="E122" s="2">
        <v>2022</v>
      </c>
      <c r="F122" s="16"/>
      <c r="G122" s="2">
        <v>2030</v>
      </c>
      <c r="H122" s="16">
        <v>500</v>
      </c>
      <c r="I122" s="16">
        <v>320</v>
      </c>
      <c r="J122" s="16">
        <v>284</v>
      </c>
      <c r="K122" s="8" t="s">
        <v>82</v>
      </c>
      <c r="L122" s="16"/>
      <c r="M122" s="16"/>
      <c r="N122" s="16"/>
      <c r="O122" s="8" t="s">
        <v>166</v>
      </c>
      <c r="P122" s="8" t="s">
        <v>292</v>
      </c>
      <c r="Q122" s="2">
        <v>1</v>
      </c>
      <c r="R122" s="8" t="s">
        <v>1075</v>
      </c>
      <c r="S122" s="8" t="s">
        <v>1076</v>
      </c>
      <c r="T122" s="8" t="str">
        <f>HYPERLINK("https://seichotoushi-hojo.jp/assets/pdf/koufu/outline_61.pdf","PDFを開く")</f>
        <v>PDFを開く</v>
      </c>
      <c r="U122" s="8" t="s">
        <v>1079</v>
      </c>
    </row>
    <row r="123" spans="1:21" ht="48" customHeight="1">
      <c r="A123" s="5" t="s">
        <v>1080</v>
      </c>
      <c r="B123" s="5" t="s">
        <v>73</v>
      </c>
      <c r="C123" s="9" t="s">
        <v>1081</v>
      </c>
      <c r="D123" s="9" t="s">
        <v>81</v>
      </c>
      <c r="E123" s="5">
        <v>2030</v>
      </c>
      <c r="F123" s="17"/>
      <c r="G123" s="5">
        <v>2033</v>
      </c>
      <c r="H123" s="17"/>
      <c r="I123" s="17"/>
      <c r="J123" s="17">
        <v>165</v>
      </c>
      <c r="K123" s="9" t="s">
        <v>82</v>
      </c>
      <c r="L123" s="17"/>
      <c r="M123" s="17"/>
      <c r="N123" s="17"/>
      <c r="O123" s="9" t="s">
        <v>83</v>
      </c>
      <c r="P123" s="9" t="s">
        <v>84</v>
      </c>
      <c r="Q123" s="5">
        <v>1</v>
      </c>
      <c r="R123" s="9" t="s">
        <v>1085</v>
      </c>
      <c r="S123" s="9"/>
      <c r="T123" s="9" t="str">
        <f>HYPERLINK("https://seichotoushi-hojo.jp/assets/pdf/koufu/outline_62.pdf","PDFを開く")</f>
        <v>PDFを開く</v>
      </c>
      <c r="U123" s="9" t="s">
        <v>1087</v>
      </c>
    </row>
    <row r="124" spans="1:21" ht="48" customHeight="1">
      <c r="A124" s="2" t="s">
        <v>1088</v>
      </c>
      <c r="B124" s="2" t="s">
        <v>73</v>
      </c>
      <c r="C124" s="8" t="s">
        <v>1089</v>
      </c>
      <c r="D124" s="8" t="s">
        <v>81</v>
      </c>
      <c r="E124" s="2">
        <v>2024</v>
      </c>
      <c r="F124" s="16"/>
      <c r="G124" s="2">
        <v>2038</v>
      </c>
      <c r="H124" s="16">
        <v>600</v>
      </c>
      <c r="I124" s="16"/>
      <c r="J124" s="16"/>
      <c r="K124" s="8"/>
      <c r="L124" s="16"/>
      <c r="M124" s="16"/>
      <c r="N124" s="16">
        <v>2.2000000000000002</v>
      </c>
      <c r="O124" s="8" t="s">
        <v>83</v>
      </c>
      <c r="P124" s="8" t="s">
        <v>84</v>
      </c>
      <c r="Q124" s="2">
        <v>1</v>
      </c>
      <c r="R124" s="8" t="s">
        <v>1092</v>
      </c>
      <c r="S124" s="8" t="s">
        <v>1093</v>
      </c>
      <c r="T124" s="8" t="str">
        <f>HYPERLINK("https://seichotoushi-hojo.jp/assets/pdf/koufu/outline_63.pdf","PDFを開く")</f>
        <v>PDFを開く</v>
      </c>
      <c r="U124" s="8" t="s">
        <v>1095</v>
      </c>
    </row>
    <row r="125" spans="1:21" ht="48" customHeight="1">
      <c r="A125" s="5" t="s">
        <v>1096</v>
      </c>
      <c r="B125" s="5" t="s">
        <v>73</v>
      </c>
      <c r="C125" s="9" t="s">
        <v>1097</v>
      </c>
      <c r="D125" s="9" t="s">
        <v>81</v>
      </c>
      <c r="E125" s="5">
        <v>2023</v>
      </c>
      <c r="F125" s="17"/>
      <c r="G125" s="5">
        <v>2028</v>
      </c>
      <c r="H125" s="17"/>
      <c r="I125" s="17">
        <v>97</v>
      </c>
      <c r="J125" s="17">
        <v>50</v>
      </c>
      <c r="K125" s="9" t="s">
        <v>82</v>
      </c>
      <c r="L125" s="17"/>
      <c r="M125" s="17"/>
      <c r="N125" s="17"/>
      <c r="O125" s="9" t="s">
        <v>83</v>
      </c>
      <c r="P125" s="9" t="s">
        <v>84</v>
      </c>
      <c r="Q125" s="5">
        <v>1</v>
      </c>
      <c r="R125" s="9" t="s">
        <v>1101</v>
      </c>
      <c r="S125" s="9"/>
      <c r="T125" s="9" t="str">
        <f>HYPERLINK("https://seichotoushi-hojo.jp/assets/pdf/koufu/outline_65.pdf","PDFを開く")</f>
        <v>PDFを開く</v>
      </c>
      <c r="U125" s="9" t="s">
        <v>1103</v>
      </c>
    </row>
    <row r="126" spans="1:21" ht="48" customHeight="1">
      <c r="A126" s="2" t="s">
        <v>1104</v>
      </c>
      <c r="B126" s="2" t="s">
        <v>73</v>
      </c>
      <c r="C126" s="8" t="s">
        <v>1105</v>
      </c>
      <c r="D126" s="8" t="s">
        <v>81</v>
      </c>
      <c r="E126" s="2">
        <v>2024</v>
      </c>
      <c r="F126" s="16">
        <v>30</v>
      </c>
      <c r="G126" s="2">
        <v>2030</v>
      </c>
      <c r="H126" s="16">
        <v>130</v>
      </c>
      <c r="I126" s="16"/>
      <c r="J126" s="16">
        <v>7.7</v>
      </c>
      <c r="K126" s="8" t="s">
        <v>82</v>
      </c>
      <c r="L126" s="16"/>
      <c r="M126" s="16">
        <v>27.684157807572831</v>
      </c>
      <c r="N126" s="16"/>
      <c r="O126" s="8" t="s">
        <v>418</v>
      </c>
      <c r="P126" s="8" t="s">
        <v>84</v>
      </c>
      <c r="Q126" s="2">
        <v>1</v>
      </c>
      <c r="R126" s="8" t="s">
        <v>1109</v>
      </c>
      <c r="S126" s="8" t="s">
        <v>1110</v>
      </c>
      <c r="T126" s="8" t="str">
        <f>HYPERLINK("https://seichotoushi-hojo.jp/assets/pdf/koufu/outline_66.pdf","PDFを開く")</f>
        <v>PDFを開く</v>
      </c>
      <c r="U126" s="8" t="s">
        <v>1112</v>
      </c>
    </row>
    <row r="127" spans="1:21" ht="48" customHeight="1">
      <c r="A127" s="5" t="s">
        <v>1113</v>
      </c>
      <c r="B127" s="5" t="s">
        <v>73</v>
      </c>
      <c r="C127" s="9" t="s">
        <v>1114</v>
      </c>
      <c r="D127" s="9" t="s">
        <v>81</v>
      </c>
      <c r="E127" s="5"/>
      <c r="F127" s="17"/>
      <c r="G127" s="5">
        <v>2032</v>
      </c>
      <c r="H127" s="17"/>
      <c r="I127" s="17"/>
      <c r="J127" s="17">
        <v>130</v>
      </c>
      <c r="K127" s="9" t="s">
        <v>82</v>
      </c>
      <c r="L127" s="17"/>
      <c r="M127" s="17"/>
      <c r="N127" s="17"/>
      <c r="O127" s="9" t="s">
        <v>83</v>
      </c>
      <c r="P127" s="9" t="s">
        <v>84</v>
      </c>
      <c r="Q127" s="5">
        <v>1</v>
      </c>
      <c r="R127" s="9" t="s">
        <v>1117</v>
      </c>
      <c r="S127" s="9"/>
      <c r="T127" s="9" t="str">
        <f>HYPERLINK("https://seichotoushi-hojo.jp/assets/pdf/koufu/outline_67.pdf","PDFを開く")</f>
        <v>PDFを開く</v>
      </c>
      <c r="U127" s="9" t="s">
        <v>1119</v>
      </c>
    </row>
    <row r="128" spans="1:21" ht="48" customHeight="1">
      <c r="A128" s="2" t="s">
        <v>1120</v>
      </c>
      <c r="B128" s="2" t="s">
        <v>73</v>
      </c>
      <c r="C128" s="8" t="s">
        <v>1121</v>
      </c>
      <c r="D128" s="8" t="s">
        <v>81</v>
      </c>
      <c r="E128" s="2"/>
      <c r="F128" s="16"/>
      <c r="G128" s="2">
        <v>2028</v>
      </c>
      <c r="H128" s="16"/>
      <c r="I128" s="16">
        <v>508</v>
      </c>
      <c r="J128" s="16">
        <v>172</v>
      </c>
      <c r="K128" s="8" t="s">
        <v>82</v>
      </c>
      <c r="L128" s="16"/>
      <c r="M128" s="16"/>
      <c r="N128" s="16"/>
      <c r="O128" s="8" t="s">
        <v>83</v>
      </c>
      <c r="P128" s="8" t="s">
        <v>84</v>
      </c>
      <c r="Q128" s="2">
        <v>1</v>
      </c>
      <c r="R128" s="8" t="s">
        <v>1124</v>
      </c>
      <c r="S128" s="8"/>
      <c r="T128" s="8" t="str">
        <f>HYPERLINK("https://seichotoushi-hojo.jp/assets/pdf/koufu/outline_68.pdf","PDFを開く")</f>
        <v>PDFを開く</v>
      </c>
      <c r="U128" s="8" t="s">
        <v>1126</v>
      </c>
    </row>
    <row r="129" spans="1:21" ht="48" customHeight="1">
      <c r="A129" s="5" t="s">
        <v>1127</v>
      </c>
      <c r="B129" s="5" t="s">
        <v>73</v>
      </c>
      <c r="C129" s="9" t="s">
        <v>1128</v>
      </c>
      <c r="D129" s="9" t="s">
        <v>81</v>
      </c>
      <c r="E129" s="5">
        <v>2023</v>
      </c>
      <c r="F129" s="17">
        <v>100</v>
      </c>
      <c r="G129" s="5">
        <v>2030</v>
      </c>
      <c r="H129" s="17">
        <v>102</v>
      </c>
      <c r="I129" s="17">
        <v>3.5</v>
      </c>
      <c r="J129" s="17">
        <v>200</v>
      </c>
      <c r="K129" s="9" t="s">
        <v>82</v>
      </c>
      <c r="L129" s="17"/>
      <c r="M129" s="17">
        <v>0.28329520024581445</v>
      </c>
      <c r="N129" s="17"/>
      <c r="O129" s="9" t="s">
        <v>200</v>
      </c>
      <c r="P129" s="9" t="s">
        <v>84</v>
      </c>
      <c r="Q129" s="5">
        <v>1</v>
      </c>
      <c r="R129" s="9" t="s">
        <v>1131</v>
      </c>
      <c r="S129" s="9" t="s">
        <v>1132</v>
      </c>
      <c r="T129" s="9" t="str">
        <f>HYPERLINK("https://seichotoushi-hojo.jp/assets/pdf/koufu/outline_69.pdf","PDFを開く")</f>
        <v>PDFを開く</v>
      </c>
      <c r="U129" s="9" t="s">
        <v>1134</v>
      </c>
    </row>
    <row r="130" spans="1:21" ht="48" customHeight="1">
      <c r="A130" s="2" t="s">
        <v>1135</v>
      </c>
      <c r="B130" s="2" t="s">
        <v>73</v>
      </c>
      <c r="C130" s="8" t="s">
        <v>1136</v>
      </c>
      <c r="D130" s="8" t="s">
        <v>81</v>
      </c>
      <c r="E130" s="2"/>
      <c r="F130" s="16"/>
      <c r="G130" s="2">
        <v>2026</v>
      </c>
      <c r="H130" s="16">
        <v>1000</v>
      </c>
      <c r="I130" s="16"/>
      <c r="J130" s="16"/>
      <c r="K130" s="8"/>
      <c r="L130" s="16"/>
      <c r="M130" s="16"/>
      <c r="N130" s="16"/>
      <c r="O130" s="8" t="s">
        <v>1141</v>
      </c>
      <c r="P130" s="8" t="s">
        <v>292</v>
      </c>
      <c r="Q130" s="2">
        <v>1</v>
      </c>
      <c r="R130" s="8" t="s">
        <v>1142</v>
      </c>
      <c r="S130" s="8" t="s">
        <v>1143</v>
      </c>
      <c r="T130" s="8" t="str">
        <f>HYPERLINK("https://seichotoushi-hojo.jp/assets/pdf/koufu/outline_7.pdf","PDFを開く")</f>
        <v>PDFを開く</v>
      </c>
      <c r="U130" s="8" t="s">
        <v>1145</v>
      </c>
    </row>
    <row r="131" spans="1:21" ht="48" customHeight="1">
      <c r="A131" s="5" t="s">
        <v>1146</v>
      </c>
      <c r="B131" s="5" t="s">
        <v>73</v>
      </c>
      <c r="C131" s="9" t="s">
        <v>1147</v>
      </c>
      <c r="D131" s="9" t="s">
        <v>81</v>
      </c>
      <c r="E131" s="5"/>
      <c r="F131" s="17"/>
      <c r="G131" s="5">
        <v>2030</v>
      </c>
      <c r="H131" s="17">
        <v>75</v>
      </c>
      <c r="I131" s="17">
        <v>25</v>
      </c>
      <c r="J131" s="17">
        <v>6</v>
      </c>
      <c r="K131" s="9" t="s">
        <v>82</v>
      </c>
      <c r="L131" s="17"/>
      <c r="M131" s="17"/>
      <c r="N131" s="17"/>
      <c r="O131" s="9" t="s">
        <v>83</v>
      </c>
      <c r="P131" s="9" t="s">
        <v>84</v>
      </c>
      <c r="Q131" s="5">
        <v>1</v>
      </c>
      <c r="R131" s="9" t="s">
        <v>1150</v>
      </c>
      <c r="S131" s="9" t="s">
        <v>1151</v>
      </c>
      <c r="T131" s="9" t="str">
        <f>HYPERLINK("https://seichotoushi-hojo.jp/assets/pdf/koufu/outline_70.pdf","PDFを開く")</f>
        <v>PDFを開く</v>
      </c>
      <c r="U131" s="9" t="s">
        <v>1153</v>
      </c>
    </row>
    <row r="132" spans="1:21" ht="48" customHeight="1">
      <c r="A132" s="2" t="s">
        <v>1154</v>
      </c>
      <c r="B132" s="2" t="s">
        <v>73</v>
      </c>
      <c r="C132" s="8" t="s">
        <v>1155</v>
      </c>
      <c r="D132" s="8" t="s">
        <v>81</v>
      </c>
      <c r="E132" s="2"/>
      <c r="F132" s="16"/>
      <c r="G132" s="2">
        <v>2029</v>
      </c>
      <c r="H132" s="16"/>
      <c r="I132" s="16">
        <v>23.8</v>
      </c>
      <c r="J132" s="16">
        <v>51.1</v>
      </c>
      <c r="K132" s="8" t="s">
        <v>82</v>
      </c>
      <c r="L132" s="16"/>
      <c r="M132" s="16"/>
      <c r="N132" s="16"/>
      <c r="O132" s="8" t="s">
        <v>83</v>
      </c>
      <c r="P132" s="8" t="s">
        <v>84</v>
      </c>
      <c r="Q132" s="2">
        <v>1</v>
      </c>
      <c r="R132" s="8" t="s">
        <v>1158</v>
      </c>
      <c r="S132" s="8"/>
      <c r="T132" s="8" t="str">
        <f>HYPERLINK("https://seichotoushi-hojo.jp/assets/pdf/koufu/outline_71.pdf","PDFを開く")</f>
        <v>PDFを開く</v>
      </c>
      <c r="U132" s="8" t="s">
        <v>1160</v>
      </c>
    </row>
    <row r="133" spans="1:21" ht="48" customHeight="1">
      <c r="A133" s="5" t="s">
        <v>1161</v>
      </c>
      <c r="B133" s="5" t="s">
        <v>73</v>
      </c>
      <c r="C133" s="9" t="s">
        <v>1162</v>
      </c>
      <c r="D133" s="9" t="s">
        <v>81</v>
      </c>
      <c r="E133" s="5"/>
      <c r="F133" s="17"/>
      <c r="G133" s="5">
        <v>2028</v>
      </c>
      <c r="H133" s="17">
        <v>380</v>
      </c>
      <c r="I133" s="17">
        <v>98</v>
      </c>
      <c r="J133" s="17">
        <v>35</v>
      </c>
      <c r="K133" s="9" t="s">
        <v>82</v>
      </c>
      <c r="L133" s="17"/>
      <c r="M133" s="17"/>
      <c r="N133" s="17"/>
      <c r="O133" s="9" t="s">
        <v>83</v>
      </c>
      <c r="P133" s="9" t="s">
        <v>84</v>
      </c>
      <c r="Q133" s="5">
        <v>1</v>
      </c>
      <c r="R133" s="9" t="s">
        <v>1165</v>
      </c>
      <c r="S133" s="9" t="s">
        <v>1166</v>
      </c>
      <c r="T133" s="9" t="str">
        <f>HYPERLINK("https://seichotoushi-hojo.jp/assets/pdf/koufu/outline_72.pdf","PDFを開く")</f>
        <v>PDFを開く</v>
      </c>
      <c r="U133" s="9" t="s">
        <v>1168</v>
      </c>
    </row>
    <row r="134" spans="1:21" ht="48" customHeight="1">
      <c r="A134" s="2" t="s">
        <v>1169</v>
      </c>
      <c r="B134" s="2" t="s">
        <v>73</v>
      </c>
      <c r="C134" s="8" t="s">
        <v>1170</v>
      </c>
      <c r="D134" s="8" t="s">
        <v>81</v>
      </c>
      <c r="E134" s="2"/>
      <c r="F134" s="16"/>
      <c r="G134" s="2">
        <v>2029</v>
      </c>
      <c r="H134" s="16"/>
      <c r="I134" s="16"/>
      <c r="J134" s="16">
        <v>32.799999999999997</v>
      </c>
      <c r="K134" s="8" t="s">
        <v>82</v>
      </c>
      <c r="L134" s="16"/>
      <c r="M134" s="16"/>
      <c r="N134" s="16"/>
      <c r="O134" s="8" t="s">
        <v>83</v>
      </c>
      <c r="P134" s="8" t="s">
        <v>84</v>
      </c>
      <c r="Q134" s="2">
        <v>1</v>
      </c>
      <c r="R134" s="8" t="s">
        <v>1174</v>
      </c>
      <c r="S134" s="8" t="s">
        <v>1175</v>
      </c>
      <c r="T134" s="8" t="str">
        <f>HYPERLINK("https://seichotoushi-hojo.jp/assets/pdf/koufu/outline_73.pdf","PDFを開く")</f>
        <v>PDFを開く</v>
      </c>
      <c r="U134" s="8" t="s">
        <v>1177</v>
      </c>
    </row>
    <row r="135" spans="1:21" ht="48" customHeight="1">
      <c r="A135" s="5" t="s">
        <v>1178</v>
      </c>
      <c r="B135" s="5" t="s">
        <v>73</v>
      </c>
      <c r="C135" s="9" t="s">
        <v>1179</v>
      </c>
      <c r="D135" s="9" t="s">
        <v>81</v>
      </c>
      <c r="E135" s="5"/>
      <c r="F135" s="17"/>
      <c r="G135" s="5">
        <v>2029</v>
      </c>
      <c r="H135" s="17"/>
      <c r="I135" s="17">
        <v>37</v>
      </c>
      <c r="J135" s="17">
        <v>15.5</v>
      </c>
      <c r="K135" s="9" t="s">
        <v>82</v>
      </c>
      <c r="L135" s="17"/>
      <c r="M135" s="17"/>
      <c r="N135" s="17"/>
      <c r="O135" s="9" t="s">
        <v>83</v>
      </c>
      <c r="P135" s="9" t="s">
        <v>84</v>
      </c>
      <c r="Q135" s="5">
        <v>1</v>
      </c>
      <c r="R135" s="9" t="s">
        <v>1182</v>
      </c>
      <c r="S135" s="9"/>
      <c r="T135" s="9" t="str">
        <f>HYPERLINK("https://seichotoushi-hojo.jp/assets/pdf/koufu/outline_74.pdf","PDFを開く")</f>
        <v>PDFを開く</v>
      </c>
      <c r="U135" s="9" t="s">
        <v>1184</v>
      </c>
    </row>
    <row r="136" spans="1:21" ht="48" customHeight="1">
      <c r="A136" s="2" t="s">
        <v>1185</v>
      </c>
      <c r="B136" s="2" t="s">
        <v>73</v>
      </c>
      <c r="C136" s="8" t="s">
        <v>1186</v>
      </c>
      <c r="D136" s="8" t="s">
        <v>81</v>
      </c>
      <c r="E136" s="2"/>
      <c r="F136" s="16"/>
      <c r="G136" s="2">
        <v>2030</v>
      </c>
      <c r="H136" s="16">
        <v>200</v>
      </c>
      <c r="I136" s="16">
        <v>80.599999999999994</v>
      </c>
      <c r="J136" s="16">
        <v>67.5</v>
      </c>
      <c r="K136" s="8" t="s">
        <v>82</v>
      </c>
      <c r="L136" s="16"/>
      <c r="M136" s="16"/>
      <c r="N136" s="16"/>
      <c r="O136" s="8" t="s">
        <v>83</v>
      </c>
      <c r="P136" s="8" t="s">
        <v>84</v>
      </c>
      <c r="Q136" s="2">
        <v>1</v>
      </c>
      <c r="R136" s="8" t="s">
        <v>1189</v>
      </c>
      <c r="S136" s="8" t="s">
        <v>1190</v>
      </c>
      <c r="T136" s="8" t="str">
        <f>HYPERLINK("https://seichotoushi-hojo.jp/assets/pdf/koufu/outline_75.pdf","PDFを開く")</f>
        <v>PDFを開く</v>
      </c>
      <c r="U136" s="8" t="s">
        <v>1192</v>
      </c>
    </row>
    <row r="137" spans="1:21" ht="48" customHeight="1">
      <c r="A137" s="5" t="s">
        <v>1193</v>
      </c>
      <c r="B137" s="5" t="s">
        <v>73</v>
      </c>
      <c r="C137" s="9" t="s">
        <v>1194</v>
      </c>
      <c r="D137" s="9" t="s">
        <v>81</v>
      </c>
      <c r="E137" s="5">
        <v>2023</v>
      </c>
      <c r="F137" s="17">
        <v>168</v>
      </c>
      <c r="G137" s="5">
        <v>2030</v>
      </c>
      <c r="H137" s="17">
        <v>243</v>
      </c>
      <c r="I137" s="17">
        <v>75</v>
      </c>
      <c r="J137" s="17"/>
      <c r="K137" s="9"/>
      <c r="L137" s="17"/>
      <c r="M137" s="17">
        <v>5.4143099714841547</v>
      </c>
      <c r="N137" s="17"/>
      <c r="O137" s="9" t="s">
        <v>166</v>
      </c>
      <c r="P137" s="9" t="s">
        <v>292</v>
      </c>
      <c r="Q137" s="5">
        <v>1</v>
      </c>
      <c r="R137" s="9" t="s">
        <v>1198</v>
      </c>
      <c r="S137" s="9" t="s">
        <v>1199</v>
      </c>
      <c r="T137" s="9" t="str">
        <f>HYPERLINK("https://seichotoushi-hojo.jp/assets/pdf/koufu/outline_76.pdf","PDFを開く")</f>
        <v>PDFを開く</v>
      </c>
      <c r="U137" s="9" t="s">
        <v>1202</v>
      </c>
    </row>
    <row r="138" spans="1:21" ht="48" customHeight="1">
      <c r="A138" s="2" t="s">
        <v>1203</v>
      </c>
      <c r="B138" s="2" t="s">
        <v>73</v>
      </c>
      <c r="C138" s="8" t="s">
        <v>1204</v>
      </c>
      <c r="D138" s="8" t="s">
        <v>81</v>
      </c>
      <c r="E138" s="2"/>
      <c r="F138" s="16"/>
      <c r="G138" s="2">
        <v>2025</v>
      </c>
      <c r="H138" s="16">
        <v>500</v>
      </c>
      <c r="I138" s="16"/>
      <c r="J138" s="16"/>
      <c r="K138" s="8"/>
      <c r="L138" s="16"/>
      <c r="M138" s="16"/>
      <c r="N138" s="16"/>
      <c r="O138" s="8" t="s">
        <v>83</v>
      </c>
      <c r="P138" s="8" t="s">
        <v>587</v>
      </c>
      <c r="Q138" s="2">
        <v>1</v>
      </c>
      <c r="R138" s="8" t="s">
        <v>1207</v>
      </c>
      <c r="S138" s="8" t="s">
        <v>1208</v>
      </c>
      <c r="T138" s="8" t="str">
        <f>HYPERLINK("https://seichotoushi-hojo.jp/assets/pdf/koufu/outline_77.pdf","PDFを開く")</f>
        <v>PDFを開く</v>
      </c>
      <c r="U138" s="8" t="s">
        <v>1210</v>
      </c>
    </row>
    <row r="139" spans="1:21" ht="48" customHeight="1">
      <c r="A139" s="5" t="s">
        <v>1211</v>
      </c>
      <c r="B139" s="5" t="s">
        <v>73</v>
      </c>
      <c r="C139" s="9" t="s">
        <v>1212</v>
      </c>
      <c r="D139" s="9" t="s">
        <v>81</v>
      </c>
      <c r="E139" s="5"/>
      <c r="F139" s="17"/>
      <c r="G139" s="5">
        <v>2029</v>
      </c>
      <c r="H139" s="17"/>
      <c r="I139" s="17">
        <v>27.5</v>
      </c>
      <c r="J139" s="17">
        <v>17.600000000000001</v>
      </c>
      <c r="K139" s="9" t="s">
        <v>210</v>
      </c>
      <c r="L139" s="17"/>
      <c r="M139" s="17"/>
      <c r="N139" s="17"/>
      <c r="O139" s="9" t="s">
        <v>83</v>
      </c>
      <c r="P139" s="9" t="s">
        <v>84</v>
      </c>
      <c r="Q139" s="5">
        <v>1</v>
      </c>
      <c r="R139" s="9" t="s">
        <v>1216</v>
      </c>
      <c r="S139" s="9"/>
      <c r="T139" s="9" t="str">
        <f>HYPERLINK("https://seichotoushi-hojo.jp/assets/pdf/koufu/outline_78.pdf","PDFを開く")</f>
        <v>PDFを開く</v>
      </c>
      <c r="U139" s="9" t="s">
        <v>1218</v>
      </c>
    </row>
    <row r="140" spans="1:21" ht="48" customHeight="1">
      <c r="A140" s="2" t="s">
        <v>1219</v>
      </c>
      <c r="B140" s="2" t="s">
        <v>73</v>
      </c>
      <c r="C140" s="8" t="s">
        <v>1220</v>
      </c>
      <c r="D140" s="8" t="s">
        <v>81</v>
      </c>
      <c r="E140" s="2">
        <v>2022</v>
      </c>
      <c r="F140" s="16"/>
      <c r="G140" s="2">
        <v>2029</v>
      </c>
      <c r="H140" s="16"/>
      <c r="I140" s="16"/>
      <c r="J140" s="16">
        <v>43.6</v>
      </c>
      <c r="K140" s="8" t="s">
        <v>82</v>
      </c>
      <c r="L140" s="16"/>
      <c r="M140" s="16"/>
      <c r="N140" s="16">
        <v>3</v>
      </c>
      <c r="O140" s="8" t="s">
        <v>83</v>
      </c>
      <c r="P140" s="8" t="s">
        <v>84</v>
      </c>
      <c r="Q140" s="2">
        <v>1</v>
      </c>
      <c r="R140" s="8" t="s">
        <v>1223</v>
      </c>
      <c r="S140" s="8"/>
      <c r="T140" s="8" t="str">
        <f>HYPERLINK("https://seichotoushi-hojo.jp/assets/pdf/koufu/outline_79.pdf","PDFを開く")</f>
        <v>PDFを開く</v>
      </c>
      <c r="U140" s="8" t="s">
        <v>1225</v>
      </c>
    </row>
    <row r="141" spans="1:21" ht="48" customHeight="1">
      <c r="A141" s="5" t="s">
        <v>1226</v>
      </c>
      <c r="B141" s="5" t="s">
        <v>73</v>
      </c>
      <c r="C141" s="9" t="s">
        <v>1227</v>
      </c>
      <c r="D141" s="9" t="s">
        <v>81</v>
      </c>
      <c r="E141" s="5">
        <v>2023</v>
      </c>
      <c r="F141" s="17"/>
      <c r="G141" s="5">
        <v>2029</v>
      </c>
      <c r="H141" s="17"/>
      <c r="I141" s="17">
        <v>75</v>
      </c>
      <c r="J141" s="17">
        <v>32</v>
      </c>
      <c r="K141" s="9" t="s">
        <v>82</v>
      </c>
      <c r="L141" s="17"/>
      <c r="M141" s="17"/>
      <c r="N141" s="17"/>
      <c r="O141" s="9" t="s">
        <v>83</v>
      </c>
      <c r="P141" s="9" t="s">
        <v>84</v>
      </c>
      <c r="Q141" s="5">
        <v>1</v>
      </c>
      <c r="R141" s="9" t="s">
        <v>1230</v>
      </c>
      <c r="S141" s="9"/>
      <c r="T141" s="9" t="str">
        <f>HYPERLINK("https://seichotoushi-hojo.jp/assets/pdf/koufu/outline_8.pdf","PDFを開く")</f>
        <v>PDFを開く</v>
      </c>
      <c r="U141" s="9" t="s">
        <v>1232</v>
      </c>
    </row>
    <row r="142" spans="1:21" ht="48" customHeight="1">
      <c r="A142" s="2" t="s">
        <v>1233</v>
      </c>
      <c r="B142" s="2" t="s">
        <v>73</v>
      </c>
      <c r="C142" s="8" t="s">
        <v>1234</v>
      </c>
      <c r="D142" s="8" t="s">
        <v>81</v>
      </c>
      <c r="E142" s="2"/>
      <c r="F142" s="16"/>
      <c r="G142" s="2">
        <v>2029</v>
      </c>
      <c r="H142" s="16"/>
      <c r="I142" s="16">
        <v>20</v>
      </c>
      <c r="J142" s="16">
        <v>100</v>
      </c>
      <c r="K142" s="8" t="s">
        <v>82</v>
      </c>
      <c r="L142" s="16"/>
      <c r="M142" s="16"/>
      <c r="N142" s="16"/>
      <c r="O142" s="8" t="s">
        <v>83</v>
      </c>
      <c r="P142" s="8" t="s">
        <v>84</v>
      </c>
      <c r="Q142" s="2">
        <v>1</v>
      </c>
      <c r="R142" s="8" t="s">
        <v>1237</v>
      </c>
      <c r="S142" s="8"/>
      <c r="T142" s="8" t="str">
        <f>HYPERLINK("https://seichotoushi-hojo.jp/assets/pdf/koufu/outline_80.pdf","PDFを開く")</f>
        <v>PDFを開く</v>
      </c>
      <c r="U142" s="8" t="s">
        <v>1239</v>
      </c>
    </row>
    <row r="143" spans="1:21" ht="48" customHeight="1">
      <c r="A143" s="5" t="s">
        <v>1240</v>
      </c>
      <c r="B143" s="5" t="s">
        <v>73</v>
      </c>
      <c r="C143" s="9" t="s">
        <v>1241</v>
      </c>
      <c r="D143" s="9" t="s">
        <v>81</v>
      </c>
      <c r="E143" s="5"/>
      <c r="F143" s="17"/>
      <c r="G143" s="5">
        <v>2030</v>
      </c>
      <c r="H143" s="17"/>
      <c r="I143" s="17">
        <v>16</v>
      </c>
      <c r="J143" s="17">
        <v>40</v>
      </c>
      <c r="K143" s="9" t="s">
        <v>82</v>
      </c>
      <c r="L143" s="17"/>
      <c r="M143" s="17"/>
      <c r="N143" s="17"/>
      <c r="O143" s="9" t="s">
        <v>83</v>
      </c>
      <c r="P143" s="9" t="s">
        <v>84</v>
      </c>
      <c r="Q143" s="5">
        <v>1</v>
      </c>
      <c r="R143" s="9" t="s">
        <v>1245</v>
      </c>
      <c r="S143" s="9"/>
      <c r="T143" s="9" t="str">
        <f>HYPERLINK("https://seichotoushi-hojo.jp/assets/pdf/koufu/outline_81.pdf","PDFを開く")</f>
        <v>PDFを開く</v>
      </c>
      <c r="U143" s="9" t="s">
        <v>1247</v>
      </c>
    </row>
    <row r="144" spans="1:21" ht="48" customHeight="1">
      <c r="A144" s="2" t="s">
        <v>1248</v>
      </c>
      <c r="B144" s="2" t="s">
        <v>73</v>
      </c>
      <c r="C144" s="8" t="s">
        <v>1249</v>
      </c>
      <c r="D144" s="8" t="s">
        <v>81</v>
      </c>
      <c r="E144" s="2"/>
      <c r="F144" s="16"/>
      <c r="G144" s="2">
        <v>2030</v>
      </c>
      <c r="H144" s="16"/>
      <c r="I144" s="16">
        <v>34.4</v>
      </c>
      <c r="J144" s="16">
        <v>196</v>
      </c>
      <c r="K144" s="8" t="s">
        <v>82</v>
      </c>
      <c r="L144" s="16"/>
      <c r="M144" s="16"/>
      <c r="N144" s="16"/>
      <c r="O144" s="8" t="s">
        <v>83</v>
      </c>
      <c r="P144" s="8" t="s">
        <v>84</v>
      </c>
      <c r="Q144" s="2">
        <v>1</v>
      </c>
      <c r="R144" s="8" t="s">
        <v>1252</v>
      </c>
      <c r="S144" s="8"/>
      <c r="T144" s="8" t="str">
        <f>HYPERLINK("https://seichotoushi-hojo.jp/assets/pdf/koufu/outline_82.pdf","PDFを開く")</f>
        <v>PDFを開く</v>
      </c>
      <c r="U144" s="8" t="s">
        <v>1254</v>
      </c>
    </row>
    <row r="145" spans="1:21" ht="48" customHeight="1">
      <c r="A145" s="5" t="s">
        <v>1255</v>
      </c>
      <c r="B145" s="5" t="s">
        <v>73</v>
      </c>
      <c r="C145" s="9" t="s">
        <v>1256</v>
      </c>
      <c r="D145" s="9" t="s">
        <v>81</v>
      </c>
      <c r="E145" s="5"/>
      <c r="F145" s="17"/>
      <c r="G145" s="5">
        <v>2028</v>
      </c>
      <c r="H145" s="17"/>
      <c r="I145" s="17">
        <v>20.2</v>
      </c>
      <c r="J145" s="17">
        <v>260</v>
      </c>
      <c r="K145" s="9" t="s">
        <v>82</v>
      </c>
      <c r="L145" s="17"/>
      <c r="M145" s="17"/>
      <c r="N145" s="17"/>
      <c r="O145" s="9" t="s">
        <v>83</v>
      </c>
      <c r="P145" s="9" t="s">
        <v>84</v>
      </c>
      <c r="Q145" s="5">
        <v>1</v>
      </c>
      <c r="R145" s="9" t="s">
        <v>1260</v>
      </c>
      <c r="S145" s="9"/>
      <c r="T145" s="9" t="str">
        <f>HYPERLINK("https://seichotoushi-hojo.jp/assets/pdf/koufu/outline_83.pdf","PDFを開く")</f>
        <v>PDFを開く</v>
      </c>
      <c r="U145" s="9" t="s">
        <v>1262</v>
      </c>
    </row>
    <row r="146" spans="1:21" ht="48" customHeight="1">
      <c r="A146" s="2" t="s">
        <v>1263</v>
      </c>
      <c r="B146" s="2" t="s">
        <v>73</v>
      </c>
      <c r="C146" s="8" t="s">
        <v>1264</v>
      </c>
      <c r="D146" s="8" t="s">
        <v>81</v>
      </c>
      <c r="E146" s="2">
        <v>2027</v>
      </c>
      <c r="F146" s="16">
        <v>104.7</v>
      </c>
      <c r="G146" s="2">
        <v>2030</v>
      </c>
      <c r="H146" s="16">
        <v>90</v>
      </c>
      <c r="I146" s="16"/>
      <c r="J146" s="16">
        <v>91.1</v>
      </c>
      <c r="K146" s="8" t="s">
        <v>210</v>
      </c>
      <c r="L146" s="16"/>
      <c r="M146" s="16">
        <v>-4.917934112846023</v>
      </c>
      <c r="N146" s="16"/>
      <c r="O146" s="8" t="s">
        <v>100</v>
      </c>
      <c r="P146" s="8" t="s">
        <v>84</v>
      </c>
      <c r="Q146" s="2">
        <v>1</v>
      </c>
      <c r="R146" s="8" t="s">
        <v>1268</v>
      </c>
      <c r="S146" s="8" t="s">
        <v>1269</v>
      </c>
      <c r="T146" s="8" t="str">
        <f>HYPERLINK("https://seichotoushi-hojo.jp/assets/pdf/koufu/outline_84.pdf","PDFを開く")</f>
        <v>PDFを開く</v>
      </c>
      <c r="U146" s="8" t="s">
        <v>1271</v>
      </c>
    </row>
    <row r="147" spans="1:21" ht="48" customHeight="1">
      <c r="A147" s="5" t="s">
        <v>1272</v>
      </c>
      <c r="B147" s="5" t="s">
        <v>73</v>
      </c>
      <c r="C147" s="9" t="s">
        <v>1273</v>
      </c>
      <c r="D147" s="9" t="s">
        <v>81</v>
      </c>
      <c r="E147" s="5"/>
      <c r="F147" s="17"/>
      <c r="G147" s="5">
        <v>2029</v>
      </c>
      <c r="H147" s="17"/>
      <c r="I147" s="17"/>
      <c r="J147" s="17"/>
      <c r="K147" s="9"/>
      <c r="L147" s="17"/>
      <c r="M147" s="17"/>
      <c r="N147" s="17">
        <v>2.2000000000000002</v>
      </c>
      <c r="O147" s="9" t="s">
        <v>692</v>
      </c>
      <c r="P147" s="9" t="s">
        <v>84</v>
      </c>
      <c r="Q147" s="5">
        <v>1</v>
      </c>
      <c r="R147" s="9" t="s">
        <v>1277</v>
      </c>
      <c r="S147" s="9" t="s">
        <v>1278</v>
      </c>
      <c r="T147" s="9" t="str">
        <f>HYPERLINK("https://seichotoushi-hojo.jp/assets/pdf/koufu/outline_85.pdf","PDFを開く")</f>
        <v>PDFを開く</v>
      </c>
      <c r="U147" s="9" t="s">
        <v>1280</v>
      </c>
    </row>
    <row r="148" spans="1:21" ht="48" customHeight="1">
      <c r="A148" s="2" t="s">
        <v>1281</v>
      </c>
      <c r="B148" s="2" t="s">
        <v>73</v>
      </c>
      <c r="C148" s="8" t="s">
        <v>1282</v>
      </c>
      <c r="D148" s="8" t="s">
        <v>81</v>
      </c>
      <c r="E148" s="2">
        <v>2023</v>
      </c>
      <c r="F148" s="16"/>
      <c r="G148" s="2">
        <v>2029</v>
      </c>
      <c r="H148" s="16"/>
      <c r="I148" s="16">
        <v>34.5</v>
      </c>
      <c r="J148" s="16">
        <v>90</v>
      </c>
      <c r="K148" s="8" t="s">
        <v>82</v>
      </c>
      <c r="L148" s="16"/>
      <c r="M148" s="16"/>
      <c r="N148" s="16"/>
      <c r="O148" s="8" t="s">
        <v>166</v>
      </c>
      <c r="P148" s="8" t="s">
        <v>292</v>
      </c>
      <c r="Q148" s="2">
        <v>1</v>
      </c>
      <c r="R148" s="8" t="s">
        <v>1283</v>
      </c>
      <c r="S148" s="8"/>
      <c r="T148" s="8" t="str">
        <f>HYPERLINK("https://seichotoushi-hojo.jp/assets/pdf/koufu/outline_86.pdf","PDFを開く")</f>
        <v>PDFを開く</v>
      </c>
      <c r="U148" s="8" t="s">
        <v>1286</v>
      </c>
    </row>
    <row r="149" spans="1:21" ht="48" customHeight="1">
      <c r="A149" s="5" t="s">
        <v>1287</v>
      </c>
      <c r="B149" s="5" t="s">
        <v>73</v>
      </c>
      <c r="C149" s="9" t="s">
        <v>1288</v>
      </c>
      <c r="D149" s="9" t="s">
        <v>81</v>
      </c>
      <c r="E149" s="5">
        <v>2023</v>
      </c>
      <c r="F149" s="17"/>
      <c r="G149" s="5">
        <v>2030</v>
      </c>
      <c r="H149" s="17"/>
      <c r="I149" s="17">
        <v>201</v>
      </c>
      <c r="J149" s="17">
        <v>6</v>
      </c>
      <c r="K149" s="9" t="s">
        <v>210</v>
      </c>
      <c r="L149" s="17"/>
      <c r="M149" s="17"/>
      <c r="N149" s="17"/>
      <c r="O149" s="9" t="s">
        <v>83</v>
      </c>
      <c r="P149" s="9" t="s">
        <v>84</v>
      </c>
      <c r="Q149" s="5">
        <v>1</v>
      </c>
      <c r="R149" s="9" t="s">
        <v>1291</v>
      </c>
      <c r="S149" s="9"/>
      <c r="T149" s="9" t="str">
        <f>HYPERLINK("https://seichotoushi-hojo.jp/assets/pdf/koufu/outline_87.pdf","PDFを開く")</f>
        <v>PDFを開く</v>
      </c>
      <c r="U149" s="9" t="s">
        <v>1293</v>
      </c>
    </row>
    <row r="150" spans="1:21" ht="48" customHeight="1">
      <c r="A150" s="2" t="s">
        <v>1294</v>
      </c>
      <c r="B150" s="2" t="s">
        <v>73</v>
      </c>
      <c r="C150" s="8" t="s">
        <v>1295</v>
      </c>
      <c r="D150" s="8" t="s">
        <v>81</v>
      </c>
      <c r="E150" s="2"/>
      <c r="F150" s="16"/>
      <c r="G150" s="2">
        <v>2028</v>
      </c>
      <c r="H150" s="16">
        <v>537</v>
      </c>
      <c r="I150" s="16">
        <v>180</v>
      </c>
      <c r="J150" s="16">
        <v>150</v>
      </c>
      <c r="K150" s="8" t="s">
        <v>82</v>
      </c>
      <c r="L150" s="16"/>
      <c r="M150" s="16"/>
      <c r="N150" s="16"/>
      <c r="O150" s="8" t="s">
        <v>83</v>
      </c>
      <c r="P150" s="8" t="s">
        <v>84</v>
      </c>
      <c r="Q150" s="2">
        <v>1</v>
      </c>
      <c r="R150" s="8" t="s">
        <v>1299</v>
      </c>
      <c r="S150" s="8" t="s">
        <v>1300</v>
      </c>
      <c r="T150" s="8" t="str">
        <f>HYPERLINK("https://seichotoushi-hojo.jp/assets/pdf/koufu/outline_88.pdf","PDFを開く")</f>
        <v>PDFを開く</v>
      </c>
      <c r="U150" s="8" t="s">
        <v>1302</v>
      </c>
    </row>
    <row r="151" spans="1:21" ht="48" customHeight="1">
      <c r="A151" s="5" t="s">
        <v>1303</v>
      </c>
      <c r="B151" s="5" t="s">
        <v>73</v>
      </c>
      <c r="C151" s="9" t="s">
        <v>1304</v>
      </c>
      <c r="D151" s="9" t="s">
        <v>81</v>
      </c>
      <c r="E151" s="5"/>
      <c r="F151" s="17"/>
      <c r="G151" s="5">
        <v>2030</v>
      </c>
      <c r="H151" s="17">
        <v>55.42</v>
      </c>
      <c r="I151" s="17"/>
      <c r="J151" s="17">
        <v>38.299999999999997</v>
      </c>
      <c r="K151" s="9" t="s">
        <v>82</v>
      </c>
      <c r="L151" s="17"/>
      <c r="M151" s="17"/>
      <c r="N151" s="17"/>
      <c r="O151" s="9" t="s">
        <v>83</v>
      </c>
      <c r="P151" s="9" t="s">
        <v>84</v>
      </c>
      <c r="Q151" s="5">
        <v>1</v>
      </c>
      <c r="R151" s="9" t="s">
        <v>1307</v>
      </c>
      <c r="S151" s="9" t="s">
        <v>1308</v>
      </c>
      <c r="T151" s="9" t="str">
        <f>HYPERLINK("https://seichotoushi-hojo.jp/assets/pdf/koufu/outline_89.pdf","PDFを開く")</f>
        <v>PDFを開く</v>
      </c>
      <c r="U151" s="9" t="s">
        <v>1310</v>
      </c>
    </row>
    <row r="152" spans="1:21" ht="48" customHeight="1">
      <c r="A152" s="2" t="s">
        <v>1311</v>
      </c>
      <c r="B152" s="2" t="s">
        <v>73</v>
      </c>
      <c r="C152" s="8" t="s">
        <v>1312</v>
      </c>
      <c r="D152" s="8" t="s">
        <v>81</v>
      </c>
      <c r="E152" s="2"/>
      <c r="F152" s="16"/>
      <c r="G152" s="2">
        <v>2029</v>
      </c>
      <c r="H152" s="16"/>
      <c r="I152" s="16"/>
      <c r="J152" s="16"/>
      <c r="K152" s="8"/>
      <c r="L152" s="16"/>
      <c r="M152" s="16"/>
      <c r="N152" s="16">
        <v>195</v>
      </c>
      <c r="O152" s="8" t="s">
        <v>692</v>
      </c>
      <c r="P152" s="8" t="s">
        <v>84</v>
      </c>
      <c r="Q152" s="2">
        <v>1</v>
      </c>
      <c r="R152" s="8" t="s">
        <v>1315</v>
      </c>
      <c r="S152" s="8"/>
      <c r="T152" s="8" t="str">
        <f>HYPERLINK("https://seichotoushi-hojo.jp/assets/pdf/koufu/outline_9.pdf","PDFを開く")</f>
        <v>PDFを開く</v>
      </c>
      <c r="U152" s="8" t="s">
        <v>1317</v>
      </c>
    </row>
    <row r="153" spans="1:21" ht="48" customHeight="1">
      <c r="A153" s="5" t="s">
        <v>1318</v>
      </c>
      <c r="B153" s="5" t="s">
        <v>73</v>
      </c>
      <c r="C153" s="9" t="s">
        <v>1319</v>
      </c>
      <c r="D153" s="9" t="s">
        <v>81</v>
      </c>
      <c r="E153" s="5"/>
      <c r="F153" s="17"/>
      <c r="G153" s="5">
        <v>2028</v>
      </c>
      <c r="H153" s="17">
        <v>100</v>
      </c>
      <c r="I153" s="17">
        <v>25</v>
      </c>
      <c r="J153" s="17">
        <v>33</v>
      </c>
      <c r="K153" s="9" t="s">
        <v>82</v>
      </c>
      <c r="L153" s="17"/>
      <c r="M153" s="17"/>
      <c r="N153" s="17"/>
      <c r="O153" s="9" t="s">
        <v>166</v>
      </c>
      <c r="P153" s="9" t="s">
        <v>292</v>
      </c>
      <c r="Q153" s="5">
        <v>1</v>
      </c>
      <c r="R153" s="9" t="s">
        <v>1323</v>
      </c>
      <c r="S153" s="9" t="s">
        <v>1324</v>
      </c>
      <c r="T153" s="9" t="str">
        <f>HYPERLINK("https://seichotoushi-hojo.jp/assets/pdf/koufu/outline_91.pdf","PDFを開く")</f>
        <v>PDFを開く</v>
      </c>
      <c r="U153" s="9" t="s">
        <v>1327</v>
      </c>
    </row>
    <row r="154" spans="1:21" ht="48" customHeight="1">
      <c r="A154" s="2" t="s">
        <v>1328</v>
      </c>
      <c r="B154" s="2" t="s">
        <v>73</v>
      </c>
      <c r="C154" s="8" t="s">
        <v>1329</v>
      </c>
      <c r="D154" s="8" t="s">
        <v>81</v>
      </c>
      <c r="E154" s="2">
        <v>2022</v>
      </c>
      <c r="F154" s="16"/>
      <c r="G154" s="2">
        <v>2029</v>
      </c>
      <c r="H154" s="16"/>
      <c r="I154" s="16">
        <v>92</v>
      </c>
      <c r="J154" s="16">
        <v>30</v>
      </c>
      <c r="K154" s="8" t="s">
        <v>82</v>
      </c>
      <c r="L154" s="16"/>
      <c r="M154" s="16"/>
      <c r="N154" s="16"/>
      <c r="O154" s="8" t="s">
        <v>83</v>
      </c>
      <c r="P154" s="8" t="s">
        <v>84</v>
      </c>
      <c r="Q154" s="2">
        <v>1</v>
      </c>
      <c r="R154" s="8" t="s">
        <v>1332</v>
      </c>
      <c r="S154" s="8"/>
      <c r="T154" s="8" t="str">
        <f>HYPERLINK("https://seichotoushi-hojo.jp/assets/pdf/koufu/outline_92.pdf","PDFを開く")</f>
        <v>PDFを開く</v>
      </c>
      <c r="U154" s="8" t="s">
        <v>1334</v>
      </c>
    </row>
    <row r="155" spans="1:21" ht="48" customHeight="1">
      <c r="A155" s="5" t="s">
        <v>1335</v>
      </c>
      <c r="B155" s="5" t="s">
        <v>73</v>
      </c>
      <c r="C155" s="9" t="s">
        <v>1336</v>
      </c>
      <c r="D155" s="9" t="s">
        <v>81</v>
      </c>
      <c r="E155" s="5">
        <v>2030</v>
      </c>
      <c r="F155" s="17">
        <v>25</v>
      </c>
      <c r="G155" s="5">
        <v>2035</v>
      </c>
      <c r="H155" s="17">
        <v>25</v>
      </c>
      <c r="I155" s="17"/>
      <c r="J155" s="17"/>
      <c r="K155" s="9"/>
      <c r="L155" s="17"/>
      <c r="M155" s="17">
        <v>0</v>
      </c>
      <c r="N155" s="17"/>
      <c r="O155" s="9" t="s">
        <v>100</v>
      </c>
      <c r="P155" s="9" t="s">
        <v>84</v>
      </c>
      <c r="Q155" s="5">
        <v>1</v>
      </c>
      <c r="R155" s="9" t="s">
        <v>1339</v>
      </c>
      <c r="S155" s="9" t="s">
        <v>1340</v>
      </c>
      <c r="T155" s="9" t="str">
        <f>HYPERLINK("https://seichotoushi-hojo.jp/assets/pdf/koufu/outline_93.pdf","PDFを開く")</f>
        <v>PDFを開く</v>
      </c>
      <c r="U155" s="9" t="s">
        <v>1342</v>
      </c>
    </row>
    <row r="156" spans="1:21" ht="48" customHeight="1">
      <c r="A156" s="2" t="s">
        <v>1343</v>
      </c>
      <c r="B156" s="2" t="s">
        <v>73</v>
      </c>
      <c r="C156" s="8" t="s">
        <v>1344</v>
      </c>
      <c r="D156" s="8" t="s">
        <v>81</v>
      </c>
      <c r="E156" s="2"/>
      <c r="F156" s="16"/>
      <c r="G156" s="2">
        <v>2030</v>
      </c>
      <c r="H156" s="16"/>
      <c r="I156" s="16">
        <v>7.1</v>
      </c>
      <c r="J156" s="16">
        <v>145</v>
      </c>
      <c r="K156" s="8" t="s">
        <v>82</v>
      </c>
      <c r="L156" s="16"/>
      <c r="M156" s="16"/>
      <c r="N156" s="16"/>
      <c r="O156" s="8" t="s">
        <v>166</v>
      </c>
      <c r="P156" s="8" t="s">
        <v>292</v>
      </c>
      <c r="Q156" s="2">
        <v>1</v>
      </c>
      <c r="R156" s="8" t="s">
        <v>1347</v>
      </c>
      <c r="S156" s="8"/>
      <c r="T156" s="8" t="str">
        <f>HYPERLINK("https://seichotoushi-hojo.jp/assets/pdf/koufu/outline_94.pdf","PDFを開く")</f>
        <v>PDFを開く</v>
      </c>
      <c r="U156" s="8" t="s">
        <v>1349</v>
      </c>
    </row>
    <row r="157" spans="1:21" ht="48" customHeight="1">
      <c r="A157" s="5" t="s">
        <v>1350</v>
      </c>
      <c r="B157" s="5" t="s">
        <v>73</v>
      </c>
      <c r="C157" s="9" t="s">
        <v>1351</v>
      </c>
      <c r="D157" s="9" t="s">
        <v>81</v>
      </c>
      <c r="E157" s="5"/>
      <c r="F157" s="17"/>
      <c r="G157" s="5">
        <v>2029</v>
      </c>
      <c r="H157" s="17">
        <v>755</v>
      </c>
      <c r="I157" s="17">
        <v>220</v>
      </c>
      <c r="J157" s="17">
        <v>7.2</v>
      </c>
      <c r="K157" s="9" t="s">
        <v>82</v>
      </c>
      <c r="L157" s="17"/>
      <c r="M157" s="17"/>
      <c r="N157" s="17"/>
      <c r="O157" s="9" t="s">
        <v>83</v>
      </c>
      <c r="P157" s="9" t="s">
        <v>84</v>
      </c>
      <c r="Q157" s="5">
        <v>1</v>
      </c>
      <c r="R157" s="9" t="s">
        <v>1354</v>
      </c>
      <c r="S157" s="9" t="s">
        <v>1355</v>
      </c>
      <c r="T157" s="9" t="str">
        <f>HYPERLINK("https://seichotoushi-hojo.jp/assets/pdf/koufu/outline_95.pdf","PDFを開く")</f>
        <v>PDFを開く</v>
      </c>
      <c r="U157" s="9" t="s">
        <v>1357</v>
      </c>
    </row>
    <row r="158" spans="1:21" ht="48" customHeight="1">
      <c r="A158" s="2" t="s">
        <v>1358</v>
      </c>
      <c r="B158" s="2" t="s">
        <v>73</v>
      </c>
      <c r="C158" s="8" t="s">
        <v>1359</v>
      </c>
      <c r="D158" s="8" t="s">
        <v>81</v>
      </c>
      <c r="E158" s="2"/>
      <c r="F158" s="16"/>
      <c r="G158" s="2">
        <v>2029</v>
      </c>
      <c r="H158" s="16">
        <v>80</v>
      </c>
      <c r="I158" s="16"/>
      <c r="J158" s="16">
        <v>18</v>
      </c>
      <c r="K158" s="8" t="s">
        <v>82</v>
      </c>
      <c r="L158" s="16"/>
      <c r="M158" s="16"/>
      <c r="N158" s="16"/>
      <c r="O158" s="8" t="s">
        <v>83</v>
      </c>
      <c r="P158" s="8" t="s">
        <v>84</v>
      </c>
      <c r="Q158" s="2">
        <v>1</v>
      </c>
      <c r="R158" s="8" t="s">
        <v>1363</v>
      </c>
      <c r="S158" s="8" t="s">
        <v>1364</v>
      </c>
      <c r="T158" s="8" t="str">
        <f>HYPERLINK("https://seichotoushi-hojo.jp/assets/pdf/koufu/outline_96.pdf","PDFを開く")</f>
        <v>PDFを開く</v>
      </c>
      <c r="U158" s="8" t="s">
        <v>1366</v>
      </c>
    </row>
    <row r="159" spans="1:21" ht="48" customHeight="1">
      <c r="A159" s="5" t="s">
        <v>1367</v>
      </c>
      <c r="B159" s="5" t="s">
        <v>73</v>
      </c>
      <c r="C159" s="9" t="s">
        <v>1368</v>
      </c>
      <c r="D159" s="9" t="s">
        <v>81</v>
      </c>
      <c r="E159" s="5"/>
      <c r="F159" s="17"/>
      <c r="G159" s="5">
        <v>2030</v>
      </c>
      <c r="H159" s="17">
        <v>2000</v>
      </c>
      <c r="I159" s="17"/>
      <c r="J159" s="17"/>
      <c r="K159" s="9"/>
      <c r="L159" s="17"/>
      <c r="M159" s="17"/>
      <c r="N159" s="17"/>
      <c r="O159" s="9" t="s">
        <v>166</v>
      </c>
      <c r="P159" s="9" t="s">
        <v>292</v>
      </c>
      <c r="Q159" s="5">
        <v>1</v>
      </c>
      <c r="R159" s="9" t="s">
        <v>1372</v>
      </c>
      <c r="S159" s="9" t="s">
        <v>1373</v>
      </c>
      <c r="T159" s="9" t="str">
        <f>HYPERLINK("https://seichotoushi-hojo.jp/assets/pdf/koufu/outline_97.pdf","PDFを開く")</f>
        <v>PDFを開く</v>
      </c>
      <c r="U159" s="9" t="s">
        <v>1376</v>
      </c>
    </row>
    <row r="160" spans="1:21" ht="48" customHeight="1">
      <c r="A160" s="2" t="s">
        <v>1377</v>
      </c>
      <c r="B160" s="2" t="s">
        <v>73</v>
      </c>
      <c r="C160" s="8" t="s">
        <v>1378</v>
      </c>
      <c r="D160" s="8" t="s">
        <v>81</v>
      </c>
      <c r="E160" s="2"/>
      <c r="F160" s="16"/>
      <c r="G160" s="2">
        <v>2029</v>
      </c>
      <c r="H160" s="16"/>
      <c r="I160" s="16">
        <v>100</v>
      </c>
      <c r="J160" s="16">
        <v>50</v>
      </c>
      <c r="K160" s="8" t="s">
        <v>82</v>
      </c>
      <c r="L160" s="16"/>
      <c r="M160" s="16"/>
      <c r="N160" s="16"/>
      <c r="O160" s="8" t="s">
        <v>83</v>
      </c>
      <c r="P160" s="8" t="s">
        <v>84</v>
      </c>
      <c r="Q160" s="2">
        <v>1</v>
      </c>
      <c r="R160" s="8" t="s">
        <v>1382</v>
      </c>
      <c r="S160" s="8"/>
      <c r="T160" s="8" t="str">
        <f>HYPERLINK("https://seichotoushi-hojo.jp/assets/pdf/koufu/outline_99.pdf","PDFを開く")</f>
        <v>PDFを開く</v>
      </c>
      <c r="U160" s="8" t="s">
        <v>1384</v>
      </c>
    </row>
    <row r="161" spans="1:21" ht="48" customHeight="1">
      <c r="A161" s="5" t="s">
        <v>1385</v>
      </c>
      <c r="B161" s="5" t="s">
        <v>1386</v>
      </c>
      <c r="C161" s="9" t="s">
        <v>1387</v>
      </c>
      <c r="D161" s="9" t="s">
        <v>81</v>
      </c>
      <c r="E161" s="5"/>
      <c r="F161" s="17"/>
      <c r="G161" s="5">
        <v>2026</v>
      </c>
      <c r="H161" s="17"/>
      <c r="I161" s="17">
        <v>151</v>
      </c>
      <c r="J161" s="17">
        <v>18</v>
      </c>
      <c r="K161" s="9" t="s">
        <v>82</v>
      </c>
      <c r="L161" s="17"/>
      <c r="M161" s="17"/>
      <c r="N161" s="17"/>
      <c r="O161" s="9" t="s">
        <v>83</v>
      </c>
      <c r="P161" s="9" t="s">
        <v>587</v>
      </c>
      <c r="Q161" s="5">
        <v>1</v>
      </c>
      <c r="R161" s="9" t="s">
        <v>1392</v>
      </c>
      <c r="S161" s="9"/>
      <c r="T161" s="9" t="str">
        <f>HYPERLINK("https://seichotoushi-hojo.jp/assets/pdf/koufu/outline__179.pdf","PDFを開く")</f>
        <v>PDFを開く</v>
      </c>
      <c r="U161" s="9" t="s">
        <v>1394</v>
      </c>
    </row>
    <row r="162" spans="1:21" ht="48" customHeight="1">
      <c r="A162" s="2" t="s">
        <v>1395</v>
      </c>
      <c r="B162" s="2" t="s">
        <v>1386</v>
      </c>
      <c r="C162" s="8" t="s">
        <v>1396</v>
      </c>
      <c r="D162" s="8" t="s">
        <v>81</v>
      </c>
      <c r="E162" s="2"/>
      <c r="F162" s="16"/>
      <c r="G162" s="2">
        <v>2029</v>
      </c>
      <c r="H162" s="16">
        <v>100.7</v>
      </c>
      <c r="I162" s="16">
        <v>32.9</v>
      </c>
      <c r="J162" s="16">
        <v>148.6</v>
      </c>
      <c r="K162" s="8" t="s">
        <v>82</v>
      </c>
      <c r="L162" s="16"/>
      <c r="M162" s="16"/>
      <c r="N162" s="16"/>
      <c r="O162" s="8" t="s">
        <v>83</v>
      </c>
      <c r="P162" s="8" t="s">
        <v>84</v>
      </c>
      <c r="Q162" s="2">
        <v>1</v>
      </c>
      <c r="R162" s="8" t="s">
        <v>1401</v>
      </c>
      <c r="S162" s="8" t="s">
        <v>1402</v>
      </c>
      <c r="T162" s="8" t="str">
        <f>HYPERLINK("https://seichotoushi-hojo.jp/assets/pdf/koufu/outline__181.pdf","PDFを開く")</f>
        <v>PDFを開く</v>
      </c>
      <c r="U162" s="8" t="s">
        <v>1404</v>
      </c>
    </row>
    <row r="163" spans="1:21" ht="48" customHeight="1">
      <c r="A163" s="5" t="s">
        <v>1405</v>
      </c>
      <c r="B163" s="5" t="s">
        <v>1386</v>
      </c>
      <c r="C163" s="9" t="s">
        <v>1406</v>
      </c>
      <c r="D163" s="9" t="s">
        <v>81</v>
      </c>
      <c r="E163" s="5"/>
      <c r="F163" s="17"/>
      <c r="G163" s="5">
        <v>2030</v>
      </c>
      <c r="H163" s="17">
        <v>162</v>
      </c>
      <c r="I163" s="17"/>
      <c r="J163" s="17">
        <v>13</v>
      </c>
      <c r="K163" s="9" t="s">
        <v>210</v>
      </c>
      <c r="L163" s="17"/>
      <c r="M163" s="17"/>
      <c r="N163" s="17"/>
      <c r="O163" s="9" t="s">
        <v>83</v>
      </c>
      <c r="P163" s="9" t="s">
        <v>84</v>
      </c>
      <c r="Q163" s="5">
        <v>1</v>
      </c>
      <c r="R163" s="9" t="s">
        <v>1410</v>
      </c>
      <c r="S163" s="9" t="s">
        <v>1411</v>
      </c>
      <c r="T163" s="9" t="str">
        <f>HYPERLINK("https://seichotoushi-hojo.jp/assets/pdf/koufu/outline__182.pdf","PDFを開く")</f>
        <v>PDFを開く</v>
      </c>
      <c r="U163" s="9" t="s">
        <v>1413</v>
      </c>
    </row>
    <row r="164" spans="1:21" ht="48" customHeight="1">
      <c r="A164" s="2" t="s">
        <v>1414</v>
      </c>
      <c r="B164" s="2" t="s">
        <v>1386</v>
      </c>
      <c r="C164" s="8" t="s">
        <v>1415</v>
      </c>
      <c r="D164" s="8" t="s">
        <v>81</v>
      </c>
      <c r="E164" s="2">
        <v>2027</v>
      </c>
      <c r="F164" s="16"/>
      <c r="G164" s="2">
        <v>2030</v>
      </c>
      <c r="H164" s="16"/>
      <c r="I164" s="16">
        <v>37.5</v>
      </c>
      <c r="J164" s="16">
        <v>107.9</v>
      </c>
      <c r="K164" s="8" t="s">
        <v>82</v>
      </c>
      <c r="L164" s="16"/>
      <c r="M164" s="16"/>
      <c r="N164" s="16"/>
      <c r="O164" s="8" t="s">
        <v>83</v>
      </c>
      <c r="P164" s="8" t="s">
        <v>84</v>
      </c>
      <c r="Q164" s="2">
        <v>1</v>
      </c>
      <c r="R164" s="8" t="s">
        <v>1419</v>
      </c>
      <c r="S164" s="8"/>
      <c r="T164" s="8" t="str">
        <f>HYPERLINK("https://seichotoushi-hojo.jp/assets/pdf/koufu/outline__183.pdf","PDFを開く")</f>
        <v>PDFを開く</v>
      </c>
      <c r="U164" s="8" t="s">
        <v>1421</v>
      </c>
    </row>
    <row r="165" spans="1:21" ht="48" customHeight="1">
      <c r="A165" s="5" t="s">
        <v>1422</v>
      </c>
      <c r="B165" s="5" t="s">
        <v>1386</v>
      </c>
      <c r="C165" s="9" t="s">
        <v>1423</v>
      </c>
      <c r="D165" s="9" t="s">
        <v>81</v>
      </c>
      <c r="E165" s="5">
        <v>2023</v>
      </c>
      <c r="F165" s="17"/>
      <c r="G165" s="5">
        <v>2030</v>
      </c>
      <c r="H165" s="17">
        <v>113</v>
      </c>
      <c r="I165" s="17">
        <v>96</v>
      </c>
      <c r="J165" s="17">
        <v>185</v>
      </c>
      <c r="K165" s="9" t="s">
        <v>82</v>
      </c>
      <c r="L165" s="17"/>
      <c r="M165" s="17"/>
      <c r="N165" s="17"/>
      <c r="O165" s="9" t="s">
        <v>83</v>
      </c>
      <c r="P165" s="9" t="s">
        <v>84</v>
      </c>
      <c r="Q165" s="5">
        <v>1</v>
      </c>
      <c r="R165" s="9" t="s">
        <v>1427</v>
      </c>
      <c r="S165" s="9" t="s">
        <v>1428</v>
      </c>
      <c r="T165" s="9" t="str">
        <f>HYPERLINK("https://seichotoushi-hojo.jp/assets/pdf/koufu/outline__184.pdf","PDFを開く")</f>
        <v>PDFを開く</v>
      </c>
      <c r="U165" s="9" t="s">
        <v>1430</v>
      </c>
    </row>
    <row r="166" spans="1:21" ht="48" customHeight="1">
      <c r="A166" s="2" t="s">
        <v>1431</v>
      </c>
      <c r="B166" s="2" t="s">
        <v>1386</v>
      </c>
      <c r="C166" s="8" t="s">
        <v>1432</v>
      </c>
      <c r="D166" s="8" t="s">
        <v>81</v>
      </c>
      <c r="E166" s="2">
        <v>2026</v>
      </c>
      <c r="F166" s="16"/>
      <c r="G166" s="2">
        <v>2029</v>
      </c>
      <c r="H166" s="16"/>
      <c r="I166" s="16">
        <v>38</v>
      </c>
      <c r="J166" s="16">
        <v>170</v>
      </c>
      <c r="K166" s="8" t="s">
        <v>82</v>
      </c>
      <c r="L166" s="16"/>
      <c r="M166" s="16"/>
      <c r="N166" s="16"/>
      <c r="O166" s="8" t="s">
        <v>83</v>
      </c>
      <c r="P166" s="8" t="s">
        <v>84</v>
      </c>
      <c r="Q166" s="2">
        <v>1</v>
      </c>
      <c r="R166" s="8" t="s">
        <v>1436</v>
      </c>
      <c r="S166" s="8" t="s">
        <v>1437</v>
      </c>
      <c r="T166" s="8" t="str">
        <f>HYPERLINK("https://seichotoushi-hojo.jp/assets/pdf/koufu/outline__188.pdf","PDFを開く")</f>
        <v>PDFを開く</v>
      </c>
      <c r="U166" s="8" t="s">
        <v>1439</v>
      </c>
    </row>
    <row r="167" spans="1:21" ht="48" customHeight="1">
      <c r="A167" s="5" t="s">
        <v>1440</v>
      </c>
      <c r="B167" s="5" t="s">
        <v>1386</v>
      </c>
      <c r="C167" s="9" t="s">
        <v>1441</v>
      </c>
      <c r="D167" s="9" t="s">
        <v>81</v>
      </c>
      <c r="E167" s="5"/>
      <c r="F167" s="17"/>
      <c r="G167" s="5">
        <v>2030</v>
      </c>
      <c r="H167" s="17">
        <v>16.8</v>
      </c>
      <c r="I167" s="17"/>
      <c r="J167" s="17"/>
      <c r="K167" s="9"/>
      <c r="L167" s="17"/>
      <c r="M167" s="17"/>
      <c r="N167" s="17"/>
      <c r="O167" s="9" t="s">
        <v>83</v>
      </c>
      <c r="P167" s="9" t="s">
        <v>84</v>
      </c>
      <c r="Q167" s="5">
        <v>1</v>
      </c>
      <c r="R167" s="9" t="s">
        <v>1445</v>
      </c>
      <c r="S167" s="9" t="s">
        <v>1446</v>
      </c>
      <c r="T167" s="9" t="str">
        <f>HYPERLINK("https://seichotoushi-hojo.jp/assets/pdf/koufu/outline__189.pdf","PDFを開く")</f>
        <v>PDFを開く</v>
      </c>
      <c r="U167" s="9" t="s">
        <v>1448</v>
      </c>
    </row>
    <row r="168" spans="1:21" ht="48" customHeight="1">
      <c r="A168" s="2" t="s">
        <v>1449</v>
      </c>
      <c r="B168" s="2" t="s">
        <v>1386</v>
      </c>
      <c r="C168" s="8" t="s">
        <v>1450</v>
      </c>
      <c r="D168" s="8" t="s">
        <v>81</v>
      </c>
      <c r="E168" s="2">
        <v>2022</v>
      </c>
      <c r="F168" s="16">
        <v>24.7</v>
      </c>
      <c r="G168" s="2">
        <v>2029</v>
      </c>
      <c r="H168" s="16">
        <v>24.7</v>
      </c>
      <c r="I168" s="16">
        <v>7.2</v>
      </c>
      <c r="J168" s="16">
        <v>243</v>
      </c>
      <c r="K168" s="8" t="s">
        <v>82</v>
      </c>
      <c r="L168" s="16"/>
      <c r="M168" s="16">
        <v>0</v>
      </c>
      <c r="N168" s="16"/>
      <c r="O168" s="8" t="s">
        <v>200</v>
      </c>
      <c r="P168" s="8" t="s">
        <v>84</v>
      </c>
      <c r="Q168" s="2">
        <v>1</v>
      </c>
      <c r="R168" s="8" t="s">
        <v>1454</v>
      </c>
      <c r="S168" s="8" t="s">
        <v>1455</v>
      </c>
      <c r="T168" s="8" t="str">
        <f>HYPERLINK("https://seichotoushi-hojo.jp/assets/pdf/koufu/outline__190.pdf","PDFを開く")</f>
        <v>PDFを開く</v>
      </c>
      <c r="U168" s="8" t="s">
        <v>1457</v>
      </c>
    </row>
    <row r="169" spans="1:21" ht="48" customHeight="1">
      <c r="A169" s="5" t="s">
        <v>1458</v>
      </c>
      <c r="B169" s="5" t="s">
        <v>1386</v>
      </c>
      <c r="C169" s="9" t="s">
        <v>1459</v>
      </c>
      <c r="D169" s="9" t="s">
        <v>81</v>
      </c>
      <c r="E169" s="5">
        <v>2023</v>
      </c>
      <c r="F169" s="17">
        <v>100</v>
      </c>
      <c r="G169" s="5">
        <v>2029</v>
      </c>
      <c r="H169" s="17">
        <v>300</v>
      </c>
      <c r="I169" s="17">
        <v>400</v>
      </c>
      <c r="J169" s="17">
        <v>33</v>
      </c>
      <c r="K169" s="9" t="s">
        <v>82</v>
      </c>
      <c r="L169" s="17"/>
      <c r="M169" s="17">
        <v>20.093695517600274</v>
      </c>
      <c r="N169" s="17"/>
      <c r="O169" s="9" t="s">
        <v>200</v>
      </c>
      <c r="P169" s="9" t="s">
        <v>84</v>
      </c>
      <c r="Q169" s="5">
        <v>1</v>
      </c>
      <c r="R169" s="9" t="s">
        <v>1463</v>
      </c>
      <c r="S169" s="9" t="s">
        <v>1464</v>
      </c>
      <c r="T169" s="9" t="str">
        <f>HYPERLINK("https://seichotoushi-hojo.jp/assets/pdf/koufu/outline__191.pdf","PDFを開く")</f>
        <v>PDFを開く</v>
      </c>
      <c r="U169" s="9" t="s">
        <v>1466</v>
      </c>
    </row>
    <row r="170" spans="1:21" ht="48" customHeight="1">
      <c r="A170" s="2" t="s">
        <v>1467</v>
      </c>
      <c r="B170" s="2" t="s">
        <v>1386</v>
      </c>
      <c r="C170" s="8" t="s">
        <v>1468</v>
      </c>
      <c r="D170" s="8" t="s">
        <v>81</v>
      </c>
      <c r="E170" s="2">
        <v>2023</v>
      </c>
      <c r="F170" s="16"/>
      <c r="G170" s="2">
        <v>2029</v>
      </c>
      <c r="H170" s="16"/>
      <c r="I170" s="16">
        <v>471</v>
      </c>
      <c r="J170" s="16">
        <v>84</v>
      </c>
      <c r="K170" s="8" t="s">
        <v>82</v>
      </c>
      <c r="L170" s="16"/>
      <c r="M170" s="16"/>
      <c r="N170" s="16"/>
      <c r="O170" s="8" t="s">
        <v>166</v>
      </c>
      <c r="P170" s="8" t="s">
        <v>292</v>
      </c>
      <c r="Q170" s="2">
        <v>1</v>
      </c>
      <c r="R170" s="8" t="s">
        <v>1471</v>
      </c>
      <c r="S170" s="8"/>
      <c r="T170" s="8" t="str">
        <f>HYPERLINK("https://seichotoushi-hojo.jp/assets/pdf/koufu/outline__192.pdf","PDFを開く")</f>
        <v>PDFを開く</v>
      </c>
      <c r="U170" s="8" t="s">
        <v>1473</v>
      </c>
    </row>
    <row r="171" spans="1:21" ht="48" customHeight="1">
      <c r="A171" s="5" t="s">
        <v>1474</v>
      </c>
      <c r="B171" s="5" t="s">
        <v>1386</v>
      </c>
      <c r="C171" s="9" t="s">
        <v>1475</v>
      </c>
      <c r="D171" s="9" t="s">
        <v>81</v>
      </c>
      <c r="E171" s="5">
        <v>2023</v>
      </c>
      <c r="F171" s="17">
        <v>1361</v>
      </c>
      <c r="G171" s="5">
        <v>2030</v>
      </c>
      <c r="H171" s="17">
        <v>2200</v>
      </c>
      <c r="I171" s="17">
        <v>839</v>
      </c>
      <c r="J171" s="17"/>
      <c r="K171" s="9"/>
      <c r="L171" s="17"/>
      <c r="M171" s="17">
        <v>7.1013478839472732</v>
      </c>
      <c r="N171" s="17"/>
      <c r="O171" s="9" t="s">
        <v>166</v>
      </c>
      <c r="P171" s="9" t="s">
        <v>292</v>
      </c>
      <c r="Q171" s="5">
        <v>1</v>
      </c>
      <c r="R171" s="9" t="s">
        <v>1479</v>
      </c>
      <c r="S171" s="9" t="s">
        <v>1480</v>
      </c>
      <c r="T171" s="9" t="str">
        <f>HYPERLINK("https://seichotoushi-hojo.jp/assets/pdf/koufu/outline__194.pdf","PDFを開く")</f>
        <v>PDFを開く</v>
      </c>
      <c r="U171" s="9" t="s">
        <v>1482</v>
      </c>
    </row>
    <row r="172" spans="1:21" ht="48" customHeight="1">
      <c r="A172" s="2" t="s">
        <v>1483</v>
      </c>
      <c r="B172" s="2" t="s">
        <v>1386</v>
      </c>
      <c r="C172" s="8" t="s">
        <v>1484</v>
      </c>
      <c r="D172" s="8" t="s">
        <v>81</v>
      </c>
      <c r="E172" s="2">
        <v>2023</v>
      </c>
      <c r="F172" s="16"/>
      <c r="G172" s="2">
        <v>2029</v>
      </c>
      <c r="H172" s="16">
        <v>60</v>
      </c>
      <c r="I172" s="16">
        <v>31.6</v>
      </c>
      <c r="J172" s="16">
        <v>111.5</v>
      </c>
      <c r="K172" s="8" t="s">
        <v>490</v>
      </c>
      <c r="L172" s="16"/>
      <c r="M172" s="16"/>
      <c r="N172" s="16"/>
      <c r="O172" s="8" t="s">
        <v>166</v>
      </c>
      <c r="P172" s="8" t="s">
        <v>292</v>
      </c>
      <c r="Q172" s="2">
        <v>1</v>
      </c>
      <c r="R172" s="8" t="s">
        <v>1487</v>
      </c>
      <c r="S172" s="8" t="s">
        <v>1488</v>
      </c>
      <c r="T172" s="8" t="str">
        <f>HYPERLINK("https://seichotoushi-hojo.jp/assets/pdf/koufu/outline__195.pdf","PDFを開く")</f>
        <v>PDFを開く</v>
      </c>
      <c r="U172" s="8" t="s">
        <v>1490</v>
      </c>
    </row>
    <row r="173" spans="1:21" ht="48" customHeight="1">
      <c r="A173" s="5" t="s">
        <v>1491</v>
      </c>
      <c r="B173" s="5" t="s">
        <v>1386</v>
      </c>
      <c r="C173" s="9" t="s">
        <v>1492</v>
      </c>
      <c r="D173" s="9" t="s">
        <v>81</v>
      </c>
      <c r="E173" s="5"/>
      <c r="F173" s="17"/>
      <c r="G173" s="5">
        <v>2030</v>
      </c>
      <c r="H173" s="17"/>
      <c r="I173" s="17">
        <v>7.7</v>
      </c>
      <c r="J173" s="17">
        <v>7</v>
      </c>
      <c r="K173" s="9" t="s">
        <v>210</v>
      </c>
      <c r="L173" s="17"/>
      <c r="M173" s="17"/>
      <c r="N173" s="17"/>
      <c r="O173" s="9" t="s">
        <v>83</v>
      </c>
      <c r="P173" s="9" t="s">
        <v>84</v>
      </c>
      <c r="Q173" s="5">
        <v>1</v>
      </c>
      <c r="R173" s="9" t="s">
        <v>1496</v>
      </c>
      <c r="S173" s="9"/>
      <c r="T173" s="9" t="str">
        <f>HYPERLINK("https://seichotoushi-hojo.jp/assets/pdf/koufu/outline__196.pdf","PDFを開く")</f>
        <v>PDFを開く</v>
      </c>
      <c r="U173" s="9" t="s">
        <v>1498</v>
      </c>
    </row>
    <row r="174" spans="1:21" ht="48" customHeight="1">
      <c r="A174" s="2" t="s">
        <v>1499</v>
      </c>
      <c r="B174" s="2" t="s">
        <v>1386</v>
      </c>
      <c r="C174" s="8" t="s">
        <v>1500</v>
      </c>
      <c r="D174" s="8" t="s">
        <v>81</v>
      </c>
      <c r="E174" s="2">
        <v>2025</v>
      </c>
      <c r="F174" s="16"/>
      <c r="G174" s="2">
        <v>2029</v>
      </c>
      <c r="H174" s="16"/>
      <c r="I174" s="16">
        <v>58</v>
      </c>
      <c r="J174" s="16">
        <v>57.7</v>
      </c>
      <c r="K174" s="8" t="s">
        <v>490</v>
      </c>
      <c r="L174" s="16">
        <v>12.1</v>
      </c>
      <c r="M174" s="16"/>
      <c r="N174" s="16"/>
      <c r="O174" s="8" t="s">
        <v>166</v>
      </c>
      <c r="P174" s="8" t="s">
        <v>292</v>
      </c>
      <c r="Q174" s="2">
        <v>1</v>
      </c>
      <c r="R174" s="8" t="s">
        <v>1503</v>
      </c>
      <c r="S174" s="8"/>
      <c r="T174" s="8" t="str">
        <f>HYPERLINK("https://seichotoushi-hojo.jp/assets/pdf/koufu/outline__197.pdf","PDFを開く")</f>
        <v>PDFを開く</v>
      </c>
      <c r="U174" s="8" t="s">
        <v>1505</v>
      </c>
    </row>
    <row r="175" spans="1:21" ht="48" customHeight="1">
      <c r="A175" s="5" t="s">
        <v>1506</v>
      </c>
      <c r="B175" s="5" t="s">
        <v>1386</v>
      </c>
      <c r="C175" s="9" t="s">
        <v>1507</v>
      </c>
      <c r="D175" s="9" t="s">
        <v>81</v>
      </c>
      <c r="E175" s="5"/>
      <c r="F175" s="17"/>
      <c r="G175" s="5">
        <v>2029</v>
      </c>
      <c r="H175" s="17"/>
      <c r="I175" s="17">
        <v>27.3</v>
      </c>
      <c r="J175" s="17">
        <v>103.7</v>
      </c>
      <c r="K175" s="9" t="s">
        <v>82</v>
      </c>
      <c r="L175" s="17"/>
      <c r="M175" s="17"/>
      <c r="N175" s="17"/>
      <c r="O175" s="9" t="s">
        <v>83</v>
      </c>
      <c r="P175" s="9" t="s">
        <v>84</v>
      </c>
      <c r="Q175" s="5">
        <v>1</v>
      </c>
      <c r="R175" s="9" t="s">
        <v>1511</v>
      </c>
      <c r="S175" s="9"/>
      <c r="T175" s="9" t="str">
        <f>HYPERLINK("https://seichotoushi-hojo.jp/assets/pdf/koufu/outline__198.pdf","PDFを開く")</f>
        <v>PDFを開く</v>
      </c>
      <c r="U175" s="9" t="s">
        <v>1513</v>
      </c>
    </row>
    <row r="176" spans="1:21" ht="48" customHeight="1">
      <c r="A176" s="2" t="s">
        <v>1514</v>
      </c>
      <c r="B176" s="2" t="s">
        <v>1386</v>
      </c>
      <c r="C176" s="8" t="s">
        <v>1515</v>
      </c>
      <c r="D176" s="8" t="s">
        <v>81</v>
      </c>
      <c r="E176" s="2"/>
      <c r="F176" s="16"/>
      <c r="G176" s="2">
        <v>2029</v>
      </c>
      <c r="H176" s="16"/>
      <c r="I176" s="16">
        <v>41</v>
      </c>
      <c r="J176" s="16">
        <v>100</v>
      </c>
      <c r="K176" s="8" t="s">
        <v>82</v>
      </c>
      <c r="L176" s="16"/>
      <c r="M176" s="16"/>
      <c r="N176" s="16"/>
      <c r="O176" s="8" t="s">
        <v>83</v>
      </c>
      <c r="P176" s="8" t="s">
        <v>84</v>
      </c>
      <c r="Q176" s="2">
        <v>2</v>
      </c>
      <c r="R176" s="8" t="s">
        <v>1519</v>
      </c>
      <c r="S176" s="8"/>
      <c r="T176" s="8" t="str">
        <f>HYPERLINK("https://seichotoushi-hojo.jp/assets/pdf/koufu/outline__199.pdf","PDFを開く")</f>
        <v>PDFを開く</v>
      </c>
      <c r="U176" s="8" t="s">
        <v>1521</v>
      </c>
    </row>
    <row r="177" spans="1:21" ht="48" customHeight="1">
      <c r="A177" s="5" t="s">
        <v>1522</v>
      </c>
      <c r="B177" s="5" t="s">
        <v>1386</v>
      </c>
      <c r="C177" s="9" t="s">
        <v>1523</v>
      </c>
      <c r="D177" s="9" t="s">
        <v>81</v>
      </c>
      <c r="E177" s="5">
        <v>2022</v>
      </c>
      <c r="F177" s="17"/>
      <c r="G177" s="5">
        <v>2030</v>
      </c>
      <c r="H177" s="17"/>
      <c r="I177" s="17">
        <v>25</v>
      </c>
      <c r="J177" s="17">
        <v>200</v>
      </c>
      <c r="K177" s="9" t="s">
        <v>82</v>
      </c>
      <c r="L177" s="17"/>
      <c r="M177" s="17"/>
      <c r="N177" s="17"/>
      <c r="O177" s="9" t="s">
        <v>83</v>
      </c>
      <c r="P177" s="9" t="s">
        <v>84</v>
      </c>
      <c r="Q177" s="5">
        <v>1</v>
      </c>
      <c r="R177" s="9" t="s">
        <v>1525</v>
      </c>
      <c r="S177" s="9"/>
      <c r="T177" s="9" t="str">
        <f>HYPERLINK("https://seichotoushi-hojo.jp/assets/pdf/koufu/outline__200.pdf","PDFを開く")</f>
        <v>PDFを開く</v>
      </c>
      <c r="U177" s="9" t="s">
        <v>1527</v>
      </c>
    </row>
    <row r="178" spans="1:21" ht="48" customHeight="1">
      <c r="A178" s="2" t="s">
        <v>1528</v>
      </c>
      <c r="B178" s="2" t="s">
        <v>1386</v>
      </c>
      <c r="C178" s="8" t="s">
        <v>1529</v>
      </c>
      <c r="D178" s="8" t="s">
        <v>81</v>
      </c>
      <c r="E178" s="2"/>
      <c r="F178" s="16"/>
      <c r="G178" s="2">
        <v>2026</v>
      </c>
      <c r="H178" s="16"/>
      <c r="I178" s="16">
        <v>170</v>
      </c>
      <c r="J178" s="16">
        <v>66</v>
      </c>
      <c r="K178" s="8" t="s">
        <v>82</v>
      </c>
      <c r="L178" s="16"/>
      <c r="M178" s="16"/>
      <c r="N178" s="16"/>
      <c r="O178" s="8" t="s">
        <v>83</v>
      </c>
      <c r="P178" s="8" t="s">
        <v>84</v>
      </c>
      <c r="Q178" s="2">
        <v>1</v>
      </c>
      <c r="R178" s="8" t="s">
        <v>1532</v>
      </c>
      <c r="S178" s="8"/>
      <c r="T178" s="8" t="str">
        <f>HYPERLINK("https://seichotoushi-hojo.jp/assets/pdf/koufu/outline__201.pdf","PDFを開く")</f>
        <v>PDFを開く</v>
      </c>
      <c r="U178" s="8" t="s">
        <v>1534</v>
      </c>
    </row>
    <row r="179" spans="1:21" ht="48" customHeight="1">
      <c r="A179" s="5" t="s">
        <v>1535</v>
      </c>
      <c r="B179" s="5" t="s">
        <v>1386</v>
      </c>
      <c r="C179" s="9" t="s">
        <v>1536</v>
      </c>
      <c r="D179" s="9" t="s">
        <v>81</v>
      </c>
      <c r="E179" s="5">
        <v>2024</v>
      </c>
      <c r="F179" s="17">
        <v>120</v>
      </c>
      <c r="G179" s="5">
        <v>2050</v>
      </c>
      <c r="H179" s="17">
        <v>1400</v>
      </c>
      <c r="I179" s="17">
        <v>1280</v>
      </c>
      <c r="J179" s="17"/>
      <c r="K179" s="9"/>
      <c r="L179" s="17"/>
      <c r="M179" s="17">
        <v>9.9097993400775621</v>
      </c>
      <c r="N179" s="17">
        <v>12</v>
      </c>
      <c r="O179" s="9" t="s">
        <v>166</v>
      </c>
      <c r="P179" s="9" t="s">
        <v>292</v>
      </c>
      <c r="Q179" s="5">
        <v>1</v>
      </c>
      <c r="R179" s="9" t="s">
        <v>1539</v>
      </c>
      <c r="S179" s="9" t="s">
        <v>1540</v>
      </c>
      <c r="T179" s="9" t="str">
        <f>HYPERLINK("https://seichotoushi-hojo.jp/assets/pdf/koufu/outline__202.pdf","PDFを開く")</f>
        <v>PDFを開く</v>
      </c>
      <c r="U179" s="9" t="s">
        <v>1542</v>
      </c>
    </row>
    <row r="180" spans="1:21" ht="48" customHeight="1">
      <c r="A180" s="2" t="s">
        <v>1543</v>
      </c>
      <c r="B180" s="2" t="s">
        <v>1386</v>
      </c>
      <c r="C180" s="8" t="s">
        <v>1544</v>
      </c>
      <c r="D180" s="8" t="s">
        <v>81</v>
      </c>
      <c r="E180" s="2">
        <v>2023</v>
      </c>
      <c r="F180" s="16"/>
      <c r="G180" s="2">
        <v>2033</v>
      </c>
      <c r="H180" s="16"/>
      <c r="I180" s="16">
        <v>67</v>
      </c>
      <c r="J180" s="16">
        <v>470</v>
      </c>
      <c r="K180" s="8" t="s">
        <v>82</v>
      </c>
      <c r="L180" s="16"/>
      <c r="M180" s="16"/>
      <c r="N180" s="16"/>
      <c r="O180" s="8" t="s">
        <v>83</v>
      </c>
      <c r="P180" s="8" t="s">
        <v>84</v>
      </c>
      <c r="Q180" s="2">
        <v>1</v>
      </c>
      <c r="R180" s="8" t="s">
        <v>1548</v>
      </c>
      <c r="S180" s="8"/>
      <c r="T180" s="8" t="str">
        <f>HYPERLINK("https://seichotoushi-hojo.jp/assets/pdf/koufu/outline__203.pdf","PDFを開く")</f>
        <v>PDFを開く</v>
      </c>
      <c r="U180" s="8" t="s">
        <v>1550</v>
      </c>
    </row>
    <row r="181" spans="1:21" ht="48" customHeight="1">
      <c r="A181" s="5" t="s">
        <v>1551</v>
      </c>
      <c r="B181" s="5" t="s">
        <v>1386</v>
      </c>
      <c r="C181" s="9" t="s">
        <v>1552</v>
      </c>
      <c r="D181" s="9" t="s">
        <v>81</v>
      </c>
      <c r="E181" s="5">
        <v>2025</v>
      </c>
      <c r="F181" s="17"/>
      <c r="G181" s="5">
        <v>2030</v>
      </c>
      <c r="H181" s="17">
        <v>116</v>
      </c>
      <c r="I181" s="17"/>
      <c r="J181" s="17"/>
      <c r="K181" s="9"/>
      <c r="L181" s="17"/>
      <c r="M181" s="17"/>
      <c r="N181" s="17">
        <v>1.7</v>
      </c>
      <c r="O181" s="9" t="s">
        <v>83</v>
      </c>
      <c r="P181" s="9" t="s">
        <v>84</v>
      </c>
      <c r="Q181" s="5">
        <v>1</v>
      </c>
      <c r="R181" s="9" t="s">
        <v>1556</v>
      </c>
      <c r="S181" s="9" t="s">
        <v>1557</v>
      </c>
      <c r="T181" s="9" t="str">
        <f>HYPERLINK("https://seichotoushi-hojo.jp/assets/pdf/koufu/outline__204.pdf","PDFを開く")</f>
        <v>PDFを開く</v>
      </c>
      <c r="U181" s="9" t="s">
        <v>1559</v>
      </c>
    </row>
    <row r="182" spans="1:21" ht="48" customHeight="1">
      <c r="A182" s="2" t="s">
        <v>1560</v>
      </c>
      <c r="B182" s="2" t="s">
        <v>1386</v>
      </c>
      <c r="C182" s="8" t="s">
        <v>1561</v>
      </c>
      <c r="D182" s="8" t="s">
        <v>81</v>
      </c>
      <c r="E182" s="2">
        <v>2025</v>
      </c>
      <c r="F182" s="16"/>
      <c r="G182" s="2">
        <v>2028</v>
      </c>
      <c r="H182" s="16">
        <v>50</v>
      </c>
      <c r="I182" s="16">
        <v>96.3</v>
      </c>
      <c r="J182" s="16">
        <v>71</v>
      </c>
      <c r="K182" s="8" t="s">
        <v>82</v>
      </c>
      <c r="L182" s="16"/>
      <c r="M182" s="16"/>
      <c r="N182" s="16"/>
      <c r="O182" s="8" t="s">
        <v>83</v>
      </c>
      <c r="P182" s="8" t="s">
        <v>84</v>
      </c>
      <c r="Q182" s="2">
        <v>1</v>
      </c>
      <c r="R182" s="8" t="s">
        <v>1565</v>
      </c>
      <c r="S182" s="8" t="s">
        <v>1566</v>
      </c>
      <c r="T182" s="8" t="str">
        <f>HYPERLINK("https://seichotoushi-hojo.jp/assets/pdf/koufu/outline__205.pdf","PDFを開く")</f>
        <v>PDFを開く</v>
      </c>
      <c r="U182" s="8" t="s">
        <v>1568</v>
      </c>
    </row>
    <row r="183" spans="1:21" ht="48" customHeight="1">
      <c r="A183" s="5" t="s">
        <v>1569</v>
      </c>
      <c r="B183" s="5" t="s">
        <v>1386</v>
      </c>
      <c r="C183" s="9" t="s">
        <v>1570</v>
      </c>
      <c r="D183" s="9" t="s">
        <v>81</v>
      </c>
      <c r="E183" s="5"/>
      <c r="F183" s="17"/>
      <c r="G183" s="5">
        <v>2030</v>
      </c>
      <c r="H183" s="17"/>
      <c r="I183" s="17">
        <v>20</v>
      </c>
      <c r="J183" s="17">
        <v>88</v>
      </c>
      <c r="K183" s="9" t="s">
        <v>82</v>
      </c>
      <c r="L183" s="17"/>
      <c r="M183" s="17"/>
      <c r="N183" s="17"/>
      <c r="O183" s="9" t="s">
        <v>83</v>
      </c>
      <c r="P183" s="9" t="s">
        <v>84</v>
      </c>
      <c r="Q183" s="5">
        <v>1</v>
      </c>
      <c r="R183" s="9" t="s">
        <v>1573</v>
      </c>
      <c r="S183" s="9"/>
      <c r="T183" s="9" t="str">
        <f>HYPERLINK("https://seichotoushi-hojo.jp/assets/pdf/koufu/outline__206.pdf","PDFを開く")</f>
        <v>PDFを開く</v>
      </c>
      <c r="U183" s="9" t="s">
        <v>1575</v>
      </c>
    </row>
    <row r="184" spans="1:21" ht="48" customHeight="1">
      <c r="A184" s="2" t="s">
        <v>1576</v>
      </c>
      <c r="B184" s="2" t="s">
        <v>1386</v>
      </c>
      <c r="C184" s="8" t="s">
        <v>1577</v>
      </c>
      <c r="D184" s="8" t="s">
        <v>81</v>
      </c>
      <c r="E184" s="2">
        <v>2023</v>
      </c>
      <c r="F184" s="16"/>
      <c r="G184" s="2">
        <v>2033</v>
      </c>
      <c r="H184" s="16"/>
      <c r="I184" s="16"/>
      <c r="J184" s="16">
        <v>8.3000000000000007</v>
      </c>
      <c r="K184" s="8" t="s">
        <v>210</v>
      </c>
      <c r="L184" s="16"/>
      <c r="M184" s="16"/>
      <c r="N184" s="16"/>
      <c r="O184" s="8" t="s">
        <v>83</v>
      </c>
      <c r="P184" s="8" t="s">
        <v>587</v>
      </c>
      <c r="Q184" s="2">
        <v>1</v>
      </c>
      <c r="R184" s="8" t="s">
        <v>1581</v>
      </c>
      <c r="S184" s="8"/>
      <c r="T184" s="8" t="str">
        <f>HYPERLINK("https://seichotoushi-hojo.jp/assets/pdf/koufu/outline__207.pdf","PDFを開く")</f>
        <v>PDFを開く</v>
      </c>
      <c r="U184" s="8" t="s">
        <v>1583</v>
      </c>
    </row>
    <row r="185" spans="1:21" ht="48" customHeight="1">
      <c r="A185" s="5" t="s">
        <v>1584</v>
      </c>
      <c r="B185" s="5" t="s">
        <v>1386</v>
      </c>
      <c r="C185" s="9" t="s">
        <v>1585</v>
      </c>
      <c r="D185" s="9" t="s">
        <v>81</v>
      </c>
      <c r="E185" s="5"/>
      <c r="F185" s="17"/>
      <c r="G185" s="5">
        <v>2030</v>
      </c>
      <c r="H185" s="17">
        <v>498</v>
      </c>
      <c r="I185" s="17"/>
      <c r="J185" s="17">
        <v>199</v>
      </c>
      <c r="K185" s="9" t="s">
        <v>82</v>
      </c>
      <c r="L185" s="17"/>
      <c r="M185" s="17"/>
      <c r="N185" s="17"/>
      <c r="O185" s="9" t="s">
        <v>83</v>
      </c>
      <c r="P185" s="9" t="s">
        <v>84</v>
      </c>
      <c r="Q185" s="5">
        <v>1</v>
      </c>
      <c r="R185" s="9" t="s">
        <v>1590</v>
      </c>
      <c r="S185" s="9" t="s">
        <v>1591</v>
      </c>
      <c r="T185" s="9" t="str">
        <f>HYPERLINK("https://seichotoushi-hojo.jp/assets/pdf/koufu/outline__208.pdf","PDFを開く")</f>
        <v>PDFを開く</v>
      </c>
      <c r="U185" s="9" t="s">
        <v>1593</v>
      </c>
    </row>
    <row r="186" spans="1:21" ht="48" customHeight="1">
      <c r="A186" s="2" t="s">
        <v>1594</v>
      </c>
      <c r="B186" s="2" t="s">
        <v>1595</v>
      </c>
      <c r="C186" s="8" t="s">
        <v>1596</v>
      </c>
      <c r="D186" s="8" t="s">
        <v>81</v>
      </c>
      <c r="E186" s="2">
        <v>2025</v>
      </c>
      <c r="F186" s="16">
        <v>618.87</v>
      </c>
      <c r="G186" s="2">
        <v>2031</v>
      </c>
      <c r="H186" s="16">
        <v>1000</v>
      </c>
      <c r="I186" s="16">
        <v>381.13</v>
      </c>
      <c r="J186" s="16">
        <v>61.6</v>
      </c>
      <c r="K186" s="8" t="s">
        <v>99</v>
      </c>
      <c r="L186" s="16"/>
      <c r="M186" s="16">
        <v>8.3261799307441819</v>
      </c>
      <c r="N186" s="16"/>
      <c r="O186" s="8" t="s">
        <v>100</v>
      </c>
      <c r="P186" s="8" t="s">
        <v>84</v>
      </c>
      <c r="Q186" s="2">
        <v>1</v>
      </c>
      <c r="R186" s="8" t="s">
        <v>1599</v>
      </c>
      <c r="S186" s="8" t="s">
        <v>1600</v>
      </c>
      <c r="T186" s="8" t="str">
        <f>HYPERLINK("https://seichotoushi-hojo.jp/assets/pdf/koufu_3_4ji/outline_1.pdf","PDFを開く")</f>
        <v>PDFを開く</v>
      </c>
      <c r="U186" s="8" t="s">
        <v>1602</v>
      </c>
    </row>
    <row r="187" spans="1:21" ht="48" customHeight="1">
      <c r="A187" s="5" t="s">
        <v>1603</v>
      </c>
      <c r="B187" s="5" t="s">
        <v>1595</v>
      </c>
      <c r="C187" s="9" t="s">
        <v>1604</v>
      </c>
      <c r="D187" s="9" t="s">
        <v>81</v>
      </c>
      <c r="E187" s="5"/>
      <c r="F187" s="17"/>
      <c r="G187" s="5">
        <v>2031</v>
      </c>
      <c r="H187" s="17"/>
      <c r="I187" s="17">
        <v>263</v>
      </c>
      <c r="J187" s="17">
        <v>10.4</v>
      </c>
      <c r="K187" s="9" t="s">
        <v>82</v>
      </c>
      <c r="L187" s="17"/>
      <c r="M187" s="17"/>
      <c r="N187" s="17"/>
      <c r="O187" s="9" t="s">
        <v>83</v>
      </c>
      <c r="P187" s="9" t="s">
        <v>84</v>
      </c>
      <c r="Q187" s="5">
        <v>1</v>
      </c>
      <c r="R187" s="9" t="s">
        <v>1606</v>
      </c>
      <c r="S187" s="9"/>
      <c r="T187" s="9" t="str">
        <f>HYPERLINK("https://seichotoushi-hojo.jp/assets/pdf/koufu_3_4ji/outline_101.pdf","PDFを開く")</f>
        <v>PDFを開く</v>
      </c>
      <c r="U187" s="9" t="s">
        <v>1608</v>
      </c>
    </row>
    <row r="188" spans="1:21" ht="48" customHeight="1">
      <c r="A188" s="2" t="s">
        <v>1609</v>
      </c>
      <c r="B188" s="2" t="s">
        <v>1595</v>
      </c>
      <c r="C188" s="8" t="s">
        <v>1610</v>
      </c>
      <c r="D188" s="8" t="s">
        <v>81</v>
      </c>
      <c r="E188" s="2"/>
      <c r="F188" s="16"/>
      <c r="G188" s="2">
        <v>2034</v>
      </c>
      <c r="H188" s="16"/>
      <c r="I188" s="16">
        <v>145</v>
      </c>
      <c r="J188" s="16"/>
      <c r="K188" s="8"/>
      <c r="L188" s="16"/>
      <c r="M188" s="16"/>
      <c r="N188" s="16"/>
      <c r="O188" s="8" t="s">
        <v>83</v>
      </c>
      <c r="P188" s="8" t="s">
        <v>84</v>
      </c>
      <c r="Q188" s="2">
        <v>1</v>
      </c>
      <c r="R188" s="8" t="s">
        <v>1613</v>
      </c>
      <c r="S188" s="8"/>
      <c r="T188" s="8" t="str">
        <f>HYPERLINK("https://seichotoushi-hojo.jp/assets/pdf/koufu_3_4ji/outline_103.pdf","PDFを開く")</f>
        <v>PDFを開く</v>
      </c>
      <c r="U188" s="8" t="s">
        <v>1616</v>
      </c>
    </row>
    <row r="189" spans="1:21" ht="48" customHeight="1">
      <c r="A189" s="5" t="s">
        <v>1617</v>
      </c>
      <c r="B189" s="5" t="s">
        <v>1595</v>
      </c>
      <c r="C189" s="9" t="s">
        <v>1618</v>
      </c>
      <c r="D189" s="9" t="s">
        <v>81</v>
      </c>
      <c r="E189" s="5"/>
      <c r="F189" s="17"/>
      <c r="G189" s="5">
        <v>2030</v>
      </c>
      <c r="H189" s="17"/>
      <c r="I189" s="17">
        <v>123</v>
      </c>
      <c r="J189" s="17">
        <v>233</v>
      </c>
      <c r="K189" s="9" t="s">
        <v>82</v>
      </c>
      <c r="L189" s="17"/>
      <c r="M189" s="17"/>
      <c r="N189" s="17"/>
      <c r="O189" s="9" t="s">
        <v>83</v>
      </c>
      <c r="P189" s="9" t="s">
        <v>84</v>
      </c>
      <c r="Q189" s="5">
        <v>1</v>
      </c>
      <c r="R189" s="9" t="s">
        <v>1622</v>
      </c>
      <c r="S189" s="9"/>
      <c r="T189" s="9" t="str">
        <f>HYPERLINK("https://seichotoushi-hojo.jp/assets/pdf/koufu_3_4ji/outline_104.pdf","PDFを開く")</f>
        <v>PDFを開く</v>
      </c>
      <c r="U189" s="9" t="s">
        <v>1624</v>
      </c>
    </row>
    <row r="190" spans="1:21" ht="48" customHeight="1">
      <c r="A190" s="2" t="s">
        <v>1625</v>
      </c>
      <c r="B190" s="2" t="s">
        <v>1595</v>
      </c>
      <c r="C190" s="8" t="s">
        <v>1626</v>
      </c>
      <c r="D190" s="8" t="s">
        <v>81</v>
      </c>
      <c r="E190" s="2"/>
      <c r="F190" s="16"/>
      <c r="G190" s="2">
        <v>2031</v>
      </c>
      <c r="H190" s="16"/>
      <c r="I190" s="16">
        <v>151</v>
      </c>
      <c r="J190" s="16">
        <v>6</v>
      </c>
      <c r="K190" s="8" t="s">
        <v>82</v>
      </c>
      <c r="L190" s="16"/>
      <c r="M190" s="16"/>
      <c r="N190" s="16"/>
      <c r="O190" s="8" t="s">
        <v>83</v>
      </c>
      <c r="P190" s="8" t="s">
        <v>84</v>
      </c>
      <c r="Q190" s="2">
        <v>1</v>
      </c>
      <c r="R190" s="8" t="s">
        <v>1629</v>
      </c>
      <c r="S190" s="8"/>
      <c r="T190" s="8" t="str">
        <f>HYPERLINK("https://seichotoushi-hojo.jp/assets/pdf/koufu_3_4ji/outline_105.pdf","PDFを開く")</f>
        <v>PDFを開く</v>
      </c>
      <c r="U190" s="8" t="s">
        <v>1631</v>
      </c>
    </row>
    <row r="191" spans="1:21" ht="48" customHeight="1">
      <c r="A191" s="5" t="s">
        <v>1632</v>
      </c>
      <c r="B191" s="5" t="s">
        <v>1595</v>
      </c>
      <c r="C191" s="9" t="s">
        <v>1633</v>
      </c>
      <c r="D191" s="9" t="s">
        <v>81</v>
      </c>
      <c r="E191" s="5"/>
      <c r="F191" s="17"/>
      <c r="G191" s="5">
        <v>2030</v>
      </c>
      <c r="H191" s="17"/>
      <c r="I191" s="17">
        <v>304</v>
      </c>
      <c r="J191" s="17">
        <v>39.6</v>
      </c>
      <c r="K191" s="9" t="s">
        <v>82</v>
      </c>
      <c r="L191" s="17"/>
      <c r="M191" s="17"/>
      <c r="N191" s="17"/>
      <c r="O191" s="9" t="s">
        <v>83</v>
      </c>
      <c r="P191" s="9" t="s">
        <v>84</v>
      </c>
      <c r="Q191" s="5">
        <v>1</v>
      </c>
      <c r="R191" s="9" t="s">
        <v>1637</v>
      </c>
      <c r="S191" s="9"/>
      <c r="T191" s="9" t="str">
        <f>HYPERLINK("https://seichotoushi-hojo.jp/assets/pdf/koufu_3_4ji/outline_106.pdf","PDFを開く")</f>
        <v>PDFを開く</v>
      </c>
      <c r="U191" s="9" t="s">
        <v>1639</v>
      </c>
    </row>
    <row r="192" spans="1:21" ht="48" customHeight="1">
      <c r="A192" s="2" t="s">
        <v>1640</v>
      </c>
      <c r="B192" s="2" t="s">
        <v>1595</v>
      </c>
      <c r="C192" s="8" t="s">
        <v>1641</v>
      </c>
      <c r="D192" s="8" t="s">
        <v>81</v>
      </c>
      <c r="E192" s="2"/>
      <c r="F192" s="16"/>
      <c r="G192" s="2">
        <v>2030</v>
      </c>
      <c r="H192" s="16">
        <v>1693</v>
      </c>
      <c r="I192" s="16">
        <v>857</v>
      </c>
      <c r="J192" s="16">
        <v>49.4</v>
      </c>
      <c r="K192" s="8" t="s">
        <v>82</v>
      </c>
      <c r="L192" s="16"/>
      <c r="M192" s="16"/>
      <c r="N192" s="16"/>
      <c r="O192" s="8" t="s">
        <v>83</v>
      </c>
      <c r="P192" s="8" t="s">
        <v>84</v>
      </c>
      <c r="Q192" s="2">
        <v>1</v>
      </c>
      <c r="R192" s="8" t="s">
        <v>1645</v>
      </c>
      <c r="S192" s="8" t="s">
        <v>1646</v>
      </c>
      <c r="T192" s="8" t="str">
        <f>HYPERLINK("https://seichotoushi-hojo.jp/assets/pdf/koufu_3_4ji/outline_108.pdf","PDFを開く")</f>
        <v>PDFを開く</v>
      </c>
      <c r="U192" s="8" t="s">
        <v>1648</v>
      </c>
    </row>
    <row r="193" spans="1:21" ht="48" customHeight="1">
      <c r="A193" s="5" t="s">
        <v>1649</v>
      </c>
      <c r="B193" s="5" t="s">
        <v>1595</v>
      </c>
      <c r="C193" s="9" t="s">
        <v>1650</v>
      </c>
      <c r="D193" s="9" t="s">
        <v>81</v>
      </c>
      <c r="E193" s="5"/>
      <c r="F193" s="17"/>
      <c r="G193" s="5">
        <v>2031</v>
      </c>
      <c r="H193" s="17"/>
      <c r="I193" s="17">
        <v>123</v>
      </c>
      <c r="J193" s="17">
        <v>10</v>
      </c>
      <c r="K193" s="9" t="s">
        <v>82</v>
      </c>
      <c r="L193" s="17"/>
      <c r="M193" s="17"/>
      <c r="N193" s="17"/>
      <c r="O193" s="9" t="s">
        <v>83</v>
      </c>
      <c r="P193" s="9" t="s">
        <v>84</v>
      </c>
      <c r="Q193" s="5">
        <v>1</v>
      </c>
      <c r="R193" s="9" t="s">
        <v>1653</v>
      </c>
      <c r="S193" s="9"/>
      <c r="T193" s="9" t="str">
        <f>HYPERLINK("https://seichotoushi-hojo.jp/assets/pdf/koufu_3_4ji/outline_109.pdf","PDFを開く")</f>
        <v>PDFを開く</v>
      </c>
      <c r="U193" s="9" t="s">
        <v>1655</v>
      </c>
    </row>
    <row r="194" spans="1:21" ht="48" customHeight="1">
      <c r="A194" s="2" t="s">
        <v>1656</v>
      </c>
      <c r="B194" s="2" t="s">
        <v>1595</v>
      </c>
      <c r="C194" s="8" t="s">
        <v>1657</v>
      </c>
      <c r="D194" s="8" t="s">
        <v>81</v>
      </c>
      <c r="E194" s="2">
        <v>2025</v>
      </c>
      <c r="F194" s="16"/>
      <c r="G194" s="2">
        <v>2031</v>
      </c>
      <c r="H194" s="16"/>
      <c r="I194" s="16">
        <v>324</v>
      </c>
      <c r="J194" s="16">
        <v>9.6</v>
      </c>
      <c r="K194" s="8" t="s">
        <v>82</v>
      </c>
      <c r="L194" s="16"/>
      <c r="M194" s="16"/>
      <c r="N194" s="16"/>
      <c r="O194" s="8" t="s">
        <v>83</v>
      </c>
      <c r="P194" s="8" t="s">
        <v>84</v>
      </c>
      <c r="Q194" s="2">
        <v>1</v>
      </c>
      <c r="R194" s="8" t="s">
        <v>1660</v>
      </c>
      <c r="S194" s="8"/>
      <c r="T194" s="8" t="str">
        <f>HYPERLINK("https://seichotoushi-hojo.jp/assets/pdf/koufu_3_4ji/outline_11.pdf","PDFを開く")</f>
        <v>PDFを開く</v>
      </c>
      <c r="U194" s="8" t="s">
        <v>1662</v>
      </c>
    </row>
    <row r="195" spans="1:21" ht="48" customHeight="1">
      <c r="A195" s="5" t="s">
        <v>1663</v>
      </c>
      <c r="B195" s="5" t="s">
        <v>1595</v>
      </c>
      <c r="C195" s="9" t="s">
        <v>1664</v>
      </c>
      <c r="D195" s="9" t="s">
        <v>81</v>
      </c>
      <c r="E195" s="5"/>
      <c r="F195" s="17"/>
      <c r="G195" s="5">
        <v>2030</v>
      </c>
      <c r="H195" s="17"/>
      <c r="I195" s="17">
        <v>14</v>
      </c>
      <c r="J195" s="17">
        <v>110</v>
      </c>
      <c r="K195" s="9" t="s">
        <v>82</v>
      </c>
      <c r="L195" s="17"/>
      <c r="M195" s="17"/>
      <c r="N195" s="17"/>
      <c r="O195" s="9" t="s">
        <v>83</v>
      </c>
      <c r="P195" s="9" t="s">
        <v>84</v>
      </c>
      <c r="Q195" s="5">
        <v>1</v>
      </c>
      <c r="R195" s="9" t="s">
        <v>1667</v>
      </c>
      <c r="S195" s="9"/>
      <c r="T195" s="9" t="str">
        <f>HYPERLINK("https://seichotoushi-hojo.jp/assets/pdf/koufu_3_4ji/outline_110.pdf","PDFを開く")</f>
        <v>PDFを開く</v>
      </c>
      <c r="U195" s="9" t="s">
        <v>1669</v>
      </c>
    </row>
    <row r="196" spans="1:21" ht="48" customHeight="1">
      <c r="A196" s="2" t="s">
        <v>1670</v>
      </c>
      <c r="B196" s="2" t="s">
        <v>1595</v>
      </c>
      <c r="C196" s="8" t="s">
        <v>1671</v>
      </c>
      <c r="D196" s="8" t="s">
        <v>81</v>
      </c>
      <c r="E196" s="2"/>
      <c r="F196" s="16"/>
      <c r="G196" s="2"/>
      <c r="H196" s="16"/>
      <c r="I196" s="16">
        <v>40</v>
      </c>
      <c r="J196" s="16">
        <v>208</v>
      </c>
      <c r="K196" s="8" t="s">
        <v>82</v>
      </c>
      <c r="L196" s="16"/>
      <c r="M196" s="16"/>
      <c r="N196" s="16"/>
      <c r="O196" s="8" t="s">
        <v>83</v>
      </c>
      <c r="P196" s="8" t="s">
        <v>84</v>
      </c>
      <c r="Q196" s="2">
        <v>1</v>
      </c>
      <c r="R196" s="8" t="s">
        <v>1674</v>
      </c>
      <c r="S196" s="8"/>
      <c r="T196" s="8" t="str">
        <f>HYPERLINK("https://seichotoushi-hojo.jp/assets/pdf/koufu_3_4ji/outline_12.pdf","PDFを開く")</f>
        <v>PDFを開く</v>
      </c>
      <c r="U196" s="8" t="s">
        <v>1676</v>
      </c>
    </row>
    <row r="197" spans="1:21" ht="48" customHeight="1">
      <c r="A197" s="5" t="s">
        <v>1677</v>
      </c>
      <c r="B197" s="5" t="s">
        <v>1595</v>
      </c>
      <c r="C197" s="9" t="s">
        <v>1678</v>
      </c>
      <c r="D197" s="9" t="s">
        <v>81</v>
      </c>
      <c r="E197" s="5"/>
      <c r="F197" s="17"/>
      <c r="G197" s="5">
        <v>2030</v>
      </c>
      <c r="H197" s="17"/>
      <c r="I197" s="17">
        <v>80</v>
      </c>
      <c r="J197" s="17">
        <v>30.3</v>
      </c>
      <c r="K197" s="9" t="s">
        <v>82</v>
      </c>
      <c r="L197" s="17"/>
      <c r="M197" s="17"/>
      <c r="N197" s="17"/>
      <c r="O197" s="9" t="s">
        <v>83</v>
      </c>
      <c r="P197" s="9" t="s">
        <v>84</v>
      </c>
      <c r="Q197" s="5">
        <v>1</v>
      </c>
      <c r="R197" s="9" t="s">
        <v>1682</v>
      </c>
      <c r="S197" s="9"/>
      <c r="T197" s="9" t="str">
        <f>HYPERLINK("https://seichotoushi-hojo.jp/assets/pdf/koufu_3_4ji/outline_123.pdf","PDFを開く")</f>
        <v>PDFを開く</v>
      </c>
      <c r="U197" s="9" t="s">
        <v>1684</v>
      </c>
    </row>
    <row r="198" spans="1:21" ht="48" customHeight="1">
      <c r="A198" s="2" t="s">
        <v>1685</v>
      </c>
      <c r="B198" s="2" t="s">
        <v>1595</v>
      </c>
      <c r="C198" s="8" t="s">
        <v>1686</v>
      </c>
      <c r="D198" s="8" t="s">
        <v>81</v>
      </c>
      <c r="E198" s="2">
        <v>2024</v>
      </c>
      <c r="F198" s="16"/>
      <c r="G198" s="2">
        <v>2031</v>
      </c>
      <c r="H198" s="16"/>
      <c r="I198" s="16">
        <v>73.5</v>
      </c>
      <c r="J198" s="16">
        <v>215.6</v>
      </c>
      <c r="K198" s="8" t="s">
        <v>82</v>
      </c>
      <c r="L198" s="16"/>
      <c r="M198" s="16"/>
      <c r="N198" s="16"/>
      <c r="O198" s="8" t="s">
        <v>83</v>
      </c>
      <c r="P198" s="8" t="s">
        <v>84</v>
      </c>
      <c r="Q198" s="2">
        <v>1</v>
      </c>
      <c r="R198" s="8" t="s">
        <v>1690</v>
      </c>
      <c r="S198" s="8"/>
      <c r="T198" s="8" t="str">
        <f>HYPERLINK("https://seichotoushi-hojo.jp/assets/pdf/koufu_3_4ji/outline_128.pdf","PDFを開く")</f>
        <v>PDFを開く</v>
      </c>
      <c r="U198" s="8" t="s">
        <v>1692</v>
      </c>
    </row>
    <row r="199" spans="1:21" ht="48" customHeight="1">
      <c r="A199" s="5" t="s">
        <v>1693</v>
      </c>
      <c r="B199" s="5" t="s">
        <v>1595</v>
      </c>
      <c r="C199" s="9" t="s">
        <v>1694</v>
      </c>
      <c r="D199" s="9" t="s">
        <v>81</v>
      </c>
      <c r="E199" s="5">
        <v>2023</v>
      </c>
      <c r="F199" s="17">
        <v>23</v>
      </c>
      <c r="G199" s="5">
        <v>2029</v>
      </c>
      <c r="H199" s="17">
        <v>11.8</v>
      </c>
      <c r="I199" s="17">
        <v>35</v>
      </c>
      <c r="J199" s="17">
        <v>195</v>
      </c>
      <c r="K199" s="9" t="s">
        <v>82</v>
      </c>
      <c r="L199" s="17"/>
      <c r="M199" s="17">
        <v>-10.52692530891961</v>
      </c>
      <c r="N199" s="17"/>
      <c r="O199" s="9" t="s">
        <v>200</v>
      </c>
      <c r="P199" s="9" t="s">
        <v>84</v>
      </c>
      <c r="Q199" s="5">
        <v>1</v>
      </c>
      <c r="R199" s="9" t="s">
        <v>1698</v>
      </c>
      <c r="S199" s="9" t="s">
        <v>1699</v>
      </c>
      <c r="T199" s="9" t="str">
        <f>HYPERLINK("https://seichotoushi-hojo.jp/assets/pdf/koufu_3_4ji/outline_13.pdf","PDFを開く")</f>
        <v>PDFを開く</v>
      </c>
      <c r="U199" s="9" t="s">
        <v>1701</v>
      </c>
    </row>
    <row r="200" spans="1:21" ht="48" customHeight="1">
      <c r="A200" s="2" t="s">
        <v>1702</v>
      </c>
      <c r="B200" s="2" t="s">
        <v>1595</v>
      </c>
      <c r="C200" s="8" t="s">
        <v>1703</v>
      </c>
      <c r="D200" s="8" t="s">
        <v>81</v>
      </c>
      <c r="E200" s="2"/>
      <c r="F200" s="16"/>
      <c r="G200" s="2">
        <v>2031</v>
      </c>
      <c r="H200" s="16">
        <v>259</v>
      </c>
      <c r="I200" s="16">
        <v>114</v>
      </c>
      <c r="J200" s="16">
        <v>178.6</v>
      </c>
      <c r="K200" s="8" t="s">
        <v>82</v>
      </c>
      <c r="L200" s="16"/>
      <c r="M200" s="16"/>
      <c r="N200" s="16"/>
      <c r="O200" s="8" t="s">
        <v>83</v>
      </c>
      <c r="P200" s="8" t="s">
        <v>84</v>
      </c>
      <c r="Q200" s="2">
        <v>1</v>
      </c>
      <c r="R200" s="8" t="s">
        <v>1707</v>
      </c>
      <c r="S200" s="8" t="s">
        <v>1708</v>
      </c>
      <c r="T200" s="8" t="str">
        <f>HYPERLINK("https://seichotoushi-hojo.jp/assets/pdf/koufu_3_4ji/outline_14.pdf","PDFを開く")</f>
        <v>PDFを開く</v>
      </c>
      <c r="U200" s="8" t="s">
        <v>1710</v>
      </c>
    </row>
    <row r="201" spans="1:21" ht="48" customHeight="1">
      <c r="A201" s="5" t="s">
        <v>1711</v>
      </c>
      <c r="B201" s="5" t="s">
        <v>1595</v>
      </c>
      <c r="C201" s="9" t="s">
        <v>1712</v>
      </c>
      <c r="D201" s="9" t="s">
        <v>81</v>
      </c>
      <c r="E201" s="5"/>
      <c r="F201" s="17"/>
      <c r="G201" s="5"/>
      <c r="H201" s="17"/>
      <c r="I201" s="17">
        <v>45</v>
      </c>
      <c r="J201" s="17">
        <v>16.89</v>
      </c>
      <c r="K201" s="9" t="s">
        <v>210</v>
      </c>
      <c r="L201" s="17"/>
      <c r="M201" s="17"/>
      <c r="N201" s="17"/>
      <c r="O201" s="9" t="s">
        <v>83</v>
      </c>
      <c r="P201" s="9" t="s">
        <v>84</v>
      </c>
      <c r="Q201" s="5">
        <v>1</v>
      </c>
      <c r="R201" s="9" t="s">
        <v>1716</v>
      </c>
      <c r="S201" s="9"/>
      <c r="T201" s="9" t="str">
        <f>HYPERLINK("https://seichotoushi-hojo.jp/assets/pdf/koufu_3_4ji/outline_140.pdf","PDFを開く")</f>
        <v>PDFを開く</v>
      </c>
      <c r="U201" s="9" t="s">
        <v>1718</v>
      </c>
    </row>
    <row r="202" spans="1:21" ht="48" customHeight="1">
      <c r="A202" s="2" t="s">
        <v>1719</v>
      </c>
      <c r="B202" s="2" t="s">
        <v>1595</v>
      </c>
      <c r="C202" s="8" t="s">
        <v>1720</v>
      </c>
      <c r="D202" s="8" t="s">
        <v>81</v>
      </c>
      <c r="E202" s="2"/>
      <c r="F202" s="16"/>
      <c r="G202" s="2">
        <v>2030</v>
      </c>
      <c r="H202" s="16"/>
      <c r="I202" s="16">
        <v>27.8</v>
      </c>
      <c r="J202" s="16">
        <v>17.100000000000001</v>
      </c>
      <c r="K202" s="8" t="s">
        <v>82</v>
      </c>
      <c r="L202" s="16"/>
      <c r="M202" s="16"/>
      <c r="N202" s="16"/>
      <c r="O202" s="8" t="s">
        <v>83</v>
      </c>
      <c r="P202" s="8" t="s">
        <v>84</v>
      </c>
      <c r="Q202" s="2">
        <v>1</v>
      </c>
      <c r="R202" s="8" t="s">
        <v>1724</v>
      </c>
      <c r="S202" s="8"/>
      <c r="T202" s="8" t="str">
        <f>HYPERLINK("https://seichotoushi-hojo.jp/assets/pdf/koufu_3_4ji/outline_15.pdf","PDFを開く")</f>
        <v>PDFを開く</v>
      </c>
      <c r="U202" s="8" t="s">
        <v>1726</v>
      </c>
    </row>
    <row r="203" spans="1:21" ht="48" customHeight="1">
      <c r="A203" s="5" t="s">
        <v>1727</v>
      </c>
      <c r="B203" s="5" t="s">
        <v>1595</v>
      </c>
      <c r="C203" s="9" t="s">
        <v>1728</v>
      </c>
      <c r="D203" s="9" t="s">
        <v>81</v>
      </c>
      <c r="E203" s="5"/>
      <c r="F203" s="17"/>
      <c r="G203" s="5">
        <v>2030</v>
      </c>
      <c r="H203" s="17"/>
      <c r="I203" s="17">
        <v>23</v>
      </c>
      <c r="J203" s="17">
        <v>159.5</v>
      </c>
      <c r="K203" s="9" t="s">
        <v>82</v>
      </c>
      <c r="L203" s="17"/>
      <c r="M203" s="17"/>
      <c r="N203" s="17"/>
      <c r="O203" s="9" t="s">
        <v>83</v>
      </c>
      <c r="P203" s="9" t="s">
        <v>84</v>
      </c>
      <c r="Q203" s="5">
        <v>1</v>
      </c>
      <c r="R203" s="9" t="s">
        <v>1731</v>
      </c>
      <c r="S203" s="9"/>
      <c r="T203" s="9" t="str">
        <f>HYPERLINK("https://seichotoushi-hojo.jp/assets/pdf/koufu_3_4ji/outline_151.pdf","PDFを開く")</f>
        <v>PDFを開く</v>
      </c>
      <c r="U203" s="9" t="s">
        <v>1733</v>
      </c>
    </row>
    <row r="204" spans="1:21" ht="48" customHeight="1">
      <c r="A204" s="2" t="s">
        <v>1734</v>
      </c>
      <c r="B204" s="2" t="s">
        <v>1595</v>
      </c>
      <c r="C204" s="8" t="s">
        <v>1735</v>
      </c>
      <c r="D204" s="8" t="s">
        <v>81</v>
      </c>
      <c r="E204" s="2"/>
      <c r="F204" s="16"/>
      <c r="G204" s="2">
        <v>2030</v>
      </c>
      <c r="H204" s="16"/>
      <c r="I204" s="16">
        <v>37.5</v>
      </c>
      <c r="J204" s="16">
        <v>75</v>
      </c>
      <c r="K204" s="8" t="s">
        <v>82</v>
      </c>
      <c r="L204" s="16"/>
      <c r="M204" s="16"/>
      <c r="N204" s="16"/>
      <c r="O204" s="8" t="s">
        <v>83</v>
      </c>
      <c r="P204" s="8" t="s">
        <v>84</v>
      </c>
      <c r="Q204" s="2">
        <v>1</v>
      </c>
      <c r="R204" s="8" t="s">
        <v>1737</v>
      </c>
      <c r="S204" s="8"/>
      <c r="T204" s="8" t="str">
        <f>HYPERLINK("https://seichotoushi-hojo.jp/assets/pdf/koufu_3_4ji/outline_16.pdf","PDFを開く")</f>
        <v>PDFを開く</v>
      </c>
      <c r="U204" s="8" t="s">
        <v>1739</v>
      </c>
    </row>
    <row r="205" spans="1:21" ht="48" customHeight="1">
      <c r="A205" s="5" t="s">
        <v>1740</v>
      </c>
      <c r="B205" s="5" t="s">
        <v>1595</v>
      </c>
      <c r="C205" s="9" t="s">
        <v>1741</v>
      </c>
      <c r="D205" s="9" t="s">
        <v>81</v>
      </c>
      <c r="E205" s="5">
        <v>2022</v>
      </c>
      <c r="F205" s="17"/>
      <c r="G205" s="5">
        <v>2031</v>
      </c>
      <c r="H205" s="17"/>
      <c r="I205" s="17">
        <v>53</v>
      </c>
      <c r="J205" s="17">
        <v>163</v>
      </c>
      <c r="K205" s="9" t="s">
        <v>82</v>
      </c>
      <c r="L205" s="17"/>
      <c r="M205" s="17"/>
      <c r="N205" s="17"/>
      <c r="O205" s="9" t="s">
        <v>83</v>
      </c>
      <c r="P205" s="9" t="s">
        <v>84</v>
      </c>
      <c r="Q205" s="5">
        <v>1</v>
      </c>
      <c r="R205" s="9" t="s">
        <v>1745</v>
      </c>
      <c r="S205" s="9"/>
      <c r="T205" s="9" t="str">
        <f>HYPERLINK("https://seichotoushi-hojo.jp/assets/pdf/koufu_3_4ji/outline_17.pdf","PDFを開く")</f>
        <v>PDFを開く</v>
      </c>
      <c r="U205" s="9" t="s">
        <v>1747</v>
      </c>
    </row>
    <row r="206" spans="1:21" ht="48" customHeight="1">
      <c r="A206" s="2" t="s">
        <v>1748</v>
      </c>
      <c r="B206" s="2" t="s">
        <v>1595</v>
      </c>
      <c r="C206" s="8" t="s">
        <v>1749</v>
      </c>
      <c r="D206" s="8" t="s">
        <v>81</v>
      </c>
      <c r="E206" s="2"/>
      <c r="F206" s="16"/>
      <c r="G206" s="2">
        <v>2031</v>
      </c>
      <c r="H206" s="16"/>
      <c r="I206" s="16">
        <v>129</v>
      </c>
      <c r="J206" s="16">
        <v>155</v>
      </c>
      <c r="K206" s="8" t="s">
        <v>82</v>
      </c>
      <c r="L206" s="16"/>
      <c r="M206" s="16"/>
      <c r="N206" s="16"/>
      <c r="O206" s="8" t="s">
        <v>83</v>
      </c>
      <c r="P206" s="8" t="s">
        <v>84</v>
      </c>
      <c r="Q206" s="2">
        <v>1</v>
      </c>
      <c r="R206" s="8" t="s">
        <v>1752</v>
      </c>
      <c r="S206" s="8"/>
      <c r="T206" s="8" t="str">
        <f>HYPERLINK("https://seichotoushi-hojo.jp/assets/pdf/koufu_3_4ji/outline_173.pdf","PDFを開く")</f>
        <v>PDFを開く</v>
      </c>
      <c r="U206" s="8" t="s">
        <v>1754</v>
      </c>
    </row>
    <row r="207" spans="1:21" ht="48" customHeight="1">
      <c r="A207" s="5" t="s">
        <v>1755</v>
      </c>
      <c r="B207" s="5" t="s">
        <v>1595</v>
      </c>
      <c r="C207" s="9" t="s">
        <v>1756</v>
      </c>
      <c r="D207" s="9" t="s">
        <v>81</v>
      </c>
      <c r="E207" s="5"/>
      <c r="F207" s="17"/>
      <c r="G207" s="5">
        <v>2030</v>
      </c>
      <c r="H207" s="17"/>
      <c r="I207" s="17">
        <v>92</v>
      </c>
      <c r="J207" s="17">
        <v>246</v>
      </c>
      <c r="K207" s="9" t="s">
        <v>82</v>
      </c>
      <c r="L207" s="17"/>
      <c r="M207" s="17"/>
      <c r="N207" s="17"/>
      <c r="O207" s="9" t="s">
        <v>83</v>
      </c>
      <c r="P207" s="9" t="s">
        <v>84</v>
      </c>
      <c r="Q207" s="5">
        <v>1</v>
      </c>
      <c r="R207" s="9" t="s">
        <v>1758</v>
      </c>
      <c r="S207" s="9"/>
      <c r="T207" s="9" t="str">
        <f>HYPERLINK("https://seichotoushi-hojo.jp/assets/pdf/koufu_3_4ji/outline_18.pdf","PDFを開く")</f>
        <v>PDFを開く</v>
      </c>
      <c r="U207" s="9" t="s">
        <v>1760</v>
      </c>
    </row>
    <row r="208" spans="1:21" ht="48" customHeight="1">
      <c r="A208" s="2" t="s">
        <v>1761</v>
      </c>
      <c r="B208" s="2" t="s">
        <v>1595</v>
      </c>
      <c r="C208" s="8" t="s">
        <v>1762</v>
      </c>
      <c r="D208" s="8" t="s">
        <v>81</v>
      </c>
      <c r="E208" s="2"/>
      <c r="F208" s="16"/>
      <c r="G208" s="2"/>
      <c r="H208" s="16"/>
      <c r="I208" s="16">
        <v>11.7</v>
      </c>
      <c r="J208" s="16">
        <v>179</v>
      </c>
      <c r="K208" s="8" t="s">
        <v>82</v>
      </c>
      <c r="L208" s="16"/>
      <c r="M208" s="16"/>
      <c r="N208" s="16">
        <v>2.79</v>
      </c>
      <c r="O208" s="8" t="s">
        <v>83</v>
      </c>
      <c r="P208" s="8" t="s">
        <v>84</v>
      </c>
      <c r="Q208" s="2">
        <v>1</v>
      </c>
      <c r="R208" s="8" t="s">
        <v>1766</v>
      </c>
      <c r="S208" s="8"/>
      <c r="T208" s="8" t="str">
        <f>HYPERLINK("https://seichotoushi-hojo.jp/assets/pdf/koufu_3_4ji/outline_185.pdf","PDFを開く")</f>
        <v>PDFを開く</v>
      </c>
      <c r="U208" s="8" t="s">
        <v>1768</v>
      </c>
    </row>
    <row r="209" spans="1:21" ht="48" customHeight="1">
      <c r="A209" s="5" t="s">
        <v>1769</v>
      </c>
      <c r="B209" s="5" t="s">
        <v>1595</v>
      </c>
      <c r="C209" s="9" t="s">
        <v>1770</v>
      </c>
      <c r="D209" s="9" t="s">
        <v>81</v>
      </c>
      <c r="E209" s="5"/>
      <c r="F209" s="17"/>
      <c r="G209" s="5">
        <v>2030</v>
      </c>
      <c r="H209" s="17"/>
      <c r="I209" s="17">
        <v>235</v>
      </c>
      <c r="J209" s="17"/>
      <c r="K209" s="9"/>
      <c r="L209" s="17"/>
      <c r="M209" s="17"/>
      <c r="N209" s="17">
        <v>333</v>
      </c>
      <c r="O209" s="9" t="s">
        <v>83</v>
      </c>
      <c r="P209" s="9" t="s">
        <v>84</v>
      </c>
      <c r="Q209" s="5">
        <v>1</v>
      </c>
      <c r="R209" s="9" t="s">
        <v>1773</v>
      </c>
      <c r="S209" s="9"/>
      <c r="T209" s="9" t="str">
        <f>HYPERLINK("https://seichotoushi-hojo.jp/assets/pdf/koufu_3_4ji/outline_186.pdf","PDFを開く")</f>
        <v>PDFを開く</v>
      </c>
      <c r="U209" s="9" t="s">
        <v>1775</v>
      </c>
    </row>
    <row r="210" spans="1:21" ht="48" customHeight="1">
      <c r="A210" s="2" t="s">
        <v>1776</v>
      </c>
      <c r="B210" s="2" t="s">
        <v>1595</v>
      </c>
      <c r="C210" s="8" t="s">
        <v>1777</v>
      </c>
      <c r="D210" s="8" t="s">
        <v>81</v>
      </c>
      <c r="E210" s="2"/>
      <c r="F210" s="16"/>
      <c r="G210" s="2">
        <v>2030</v>
      </c>
      <c r="H210" s="16"/>
      <c r="I210" s="16">
        <v>159</v>
      </c>
      <c r="J210" s="16">
        <v>42</v>
      </c>
      <c r="K210" s="8" t="s">
        <v>82</v>
      </c>
      <c r="L210" s="16"/>
      <c r="M210" s="16"/>
      <c r="N210" s="16"/>
      <c r="O210" s="8" t="s">
        <v>83</v>
      </c>
      <c r="P210" s="8" t="s">
        <v>84</v>
      </c>
      <c r="Q210" s="2">
        <v>1</v>
      </c>
      <c r="R210" s="8" t="s">
        <v>1781</v>
      </c>
      <c r="S210" s="8"/>
      <c r="T210" s="8" t="str">
        <f>HYPERLINK("https://seichotoushi-hojo.jp/assets/pdf/koufu_3_4ji/outline_188.pdf","PDFを開く")</f>
        <v>PDFを開く</v>
      </c>
      <c r="U210" s="8" t="s">
        <v>1783</v>
      </c>
    </row>
    <row r="211" spans="1:21" ht="48" customHeight="1">
      <c r="A211" s="5" t="s">
        <v>1784</v>
      </c>
      <c r="B211" s="5" t="s">
        <v>1595</v>
      </c>
      <c r="C211" s="9" t="s">
        <v>1785</v>
      </c>
      <c r="D211" s="9" t="s">
        <v>81</v>
      </c>
      <c r="E211" s="5"/>
      <c r="F211" s="17"/>
      <c r="G211" s="5">
        <v>2030</v>
      </c>
      <c r="H211" s="17"/>
      <c r="I211" s="17">
        <v>304</v>
      </c>
      <c r="J211" s="17">
        <v>168</v>
      </c>
      <c r="K211" s="9" t="s">
        <v>82</v>
      </c>
      <c r="L211" s="17"/>
      <c r="M211" s="17"/>
      <c r="N211" s="17"/>
      <c r="O211" s="9" t="s">
        <v>83</v>
      </c>
      <c r="P211" s="9" t="s">
        <v>84</v>
      </c>
      <c r="Q211" s="5">
        <v>1</v>
      </c>
      <c r="R211" s="9" t="s">
        <v>1788</v>
      </c>
      <c r="S211" s="9"/>
      <c r="T211" s="9" t="str">
        <f>HYPERLINK("https://seichotoushi-hojo.jp/assets/pdf/koufu_3_4ji/outline_19.pdf","PDFを開く")</f>
        <v>PDFを開く</v>
      </c>
      <c r="U211" s="9" t="s">
        <v>1790</v>
      </c>
    </row>
    <row r="212" spans="1:21" ht="48" customHeight="1">
      <c r="A212" s="2" t="s">
        <v>1791</v>
      </c>
      <c r="B212" s="2" t="s">
        <v>1595</v>
      </c>
      <c r="C212" s="8" t="s">
        <v>1792</v>
      </c>
      <c r="D212" s="8" t="s">
        <v>81</v>
      </c>
      <c r="E212" s="2"/>
      <c r="F212" s="16"/>
      <c r="G212" s="2">
        <v>2031</v>
      </c>
      <c r="H212" s="16"/>
      <c r="I212" s="16">
        <v>65.900000000000006</v>
      </c>
      <c r="J212" s="16">
        <v>103</v>
      </c>
      <c r="K212" s="8" t="s">
        <v>82</v>
      </c>
      <c r="L212" s="16"/>
      <c r="M212" s="16"/>
      <c r="N212" s="16"/>
      <c r="O212" s="8" t="s">
        <v>83</v>
      </c>
      <c r="P212" s="8" t="s">
        <v>84</v>
      </c>
      <c r="Q212" s="2">
        <v>1</v>
      </c>
      <c r="R212" s="8" t="s">
        <v>1795</v>
      </c>
      <c r="S212" s="8"/>
      <c r="T212" s="8" t="str">
        <f>HYPERLINK("https://seichotoushi-hojo.jp/assets/pdf/koufu_3_4ji/outline_190.pdf","PDFを開く")</f>
        <v>PDFを開く</v>
      </c>
      <c r="U212" s="8" t="s">
        <v>1797</v>
      </c>
    </row>
    <row r="213" spans="1:21" ht="48" customHeight="1">
      <c r="A213" s="5" t="s">
        <v>1798</v>
      </c>
      <c r="B213" s="5" t="s">
        <v>1595</v>
      </c>
      <c r="C213" s="9" t="s">
        <v>1799</v>
      </c>
      <c r="D213" s="9" t="s">
        <v>81</v>
      </c>
      <c r="E213" s="5"/>
      <c r="F213" s="17"/>
      <c r="G213" s="5"/>
      <c r="H213" s="17"/>
      <c r="I213" s="17">
        <v>127</v>
      </c>
      <c r="J213" s="17">
        <v>273</v>
      </c>
      <c r="K213" s="9" t="s">
        <v>82</v>
      </c>
      <c r="L213" s="17"/>
      <c r="M213" s="17"/>
      <c r="N213" s="17"/>
      <c r="O213" s="9" t="s">
        <v>83</v>
      </c>
      <c r="P213" s="9" t="s">
        <v>84</v>
      </c>
      <c r="Q213" s="5">
        <v>1</v>
      </c>
      <c r="R213" s="9" t="s">
        <v>1803</v>
      </c>
      <c r="S213" s="9"/>
      <c r="T213" s="9" t="str">
        <f>HYPERLINK("https://seichotoushi-hojo.jp/assets/pdf/koufu_3_4ji/outline_197.pdf","PDFを開く")</f>
        <v>PDFを開く</v>
      </c>
      <c r="U213" s="9" t="s">
        <v>1805</v>
      </c>
    </row>
    <row r="214" spans="1:21" ht="48" customHeight="1">
      <c r="A214" s="2" t="s">
        <v>1806</v>
      </c>
      <c r="B214" s="2" t="s">
        <v>1595</v>
      </c>
      <c r="C214" s="8" t="s">
        <v>1807</v>
      </c>
      <c r="D214" s="8" t="s">
        <v>81</v>
      </c>
      <c r="E214" s="2">
        <v>2024</v>
      </c>
      <c r="F214" s="16"/>
      <c r="G214" s="2">
        <v>2029</v>
      </c>
      <c r="H214" s="16"/>
      <c r="I214" s="16">
        <v>57</v>
      </c>
      <c r="J214" s="16">
        <v>35.6</v>
      </c>
      <c r="K214" s="8" t="s">
        <v>210</v>
      </c>
      <c r="L214" s="16"/>
      <c r="M214" s="16"/>
      <c r="N214" s="16"/>
      <c r="O214" s="8" t="s">
        <v>83</v>
      </c>
      <c r="P214" s="8" t="s">
        <v>84</v>
      </c>
      <c r="Q214" s="2">
        <v>1</v>
      </c>
      <c r="R214" s="8" t="s">
        <v>1810</v>
      </c>
      <c r="S214" s="8"/>
      <c r="T214" s="8" t="str">
        <f>HYPERLINK("https://seichotoushi-hojo.jp/assets/pdf/koufu_3_4ji/outline_2.pdf","PDFを開く")</f>
        <v>PDFを開く</v>
      </c>
      <c r="U214" s="8" t="s">
        <v>1812</v>
      </c>
    </row>
    <row r="215" spans="1:21" ht="48" customHeight="1">
      <c r="A215" s="5" t="s">
        <v>1813</v>
      </c>
      <c r="B215" s="5" t="s">
        <v>1595</v>
      </c>
      <c r="C215" s="9" t="s">
        <v>1814</v>
      </c>
      <c r="D215" s="9" t="s">
        <v>81</v>
      </c>
      <c r="E215" s="5"/>
      <c r="F215" s="17"/>
      <c r="G215" s="5">
        <v>2030</v>
      </c>
      <c r="H215" s="17">
        <v>16.399999999999999</v>
      </c>
      <c r="I215" s="17">
        <v>7.1</v>
      </c>
      <c r="J215" s="17">
        <v>14.28</v>
      </c>
      <c r="K215" s="9" t="s">
        <v>82</v>
      </c>
      <c r="L215" s="17"/>
      <c r="M215" s="17"/>
      <c r="N215" s="17"/>
      <c r="O215" s="9" t="s">
        <v>83</v>
      </c>
      <c r="P215" s="9" t="s">
        <v>84</v>
      </c>
      <c r="Q215" s="5">
        <v>1</v>
      </c>
      <c r="R215" s="9" t="s">
        <v>1817</v>
      </c>
      <c r="S215" s="9" t="s">
        <v>1818</v>
      </c>
      <c r="T215" s="9" t="str">
        <f>HYPERLINK("https://seichotoushi-hojo.jp/assets/pdf/koufu_3_4ji/outline_205.pdf","PDFを開く")</f>
        <v>PDFを開く</v>
      </c>
      <c r="U215" s="9" t="s">
        <v>1820</v>
      </c>
    </row>
    <row r="216" spans="1:21" ht="48" customHeight="1">
      <c r="A216" s="2" t="s">
        <v>1821</v>
      </c>
      <c r="B216" s="2" t="s">
        <v>1595</v>
      </c>
      <c r="C216" s="8" t="s">
        <v>1822</v>
      </c>
      <c r="D216" s="8" t="s">
        <v>81</v>
      </c>
      <c r="E216" s="2">
        <v>2024</v>
      </c>
      <c r="F216" s="16">
        <v>9380</v>
      </c>
      <c r="G216" s="2">
        <v>2031</v>
      </c>
      <c r="H216" s="16">
        <v>56</v>
      </c>
      <c r="I216" s="16">
        <v>150</v>
      </c>
      <c r="J216" s="16">
        <v>267</v>
      </c>
      <c r="K216" s="8" t="s">
        <v>82</v>
      </c>
      <c r="L216" s="16"/>
      <c r="M216" s="16">
        <v>-51.884655639761036</v>
      </c>
      <c r="N216" s="16"/>
      <c r="O216" s="8" t="s">
        <v>200</v>
      </c>
      <c r="P216" s="8" t="s">
        <v>84</v>
      </c>
      <c r="Q216" s="2">
        <v>1</v>
      </c>
      <c r="R216" s="8" t="s">
        <v>1826</v>
      </c>
      <c r="S216" s="8" t="s">
        <v>1827</v>
      </c>
      <c r="T216" s="8" t="str">
        <f>HYPERLINK("https://seichotoushi-hojo.jp/assets/pdf/koufu_3_4ji/outline_209.pdf","PDFを開く")</f>
        <v>PDFを開く</v>
      </c>
      <c r="U216" s="8" t="s">
        <v>1829</v>
      </c>
    </row>
    <row r="217" spans="1:21" ht="48" customHeight="1">
      <c r="A217" s="5" t="s">
        <v>1830</v>
      </c>
      <c r="B217" s="5" t="s">
        <v>1595</v>
      </c>
      <c r="C217" s="9" t="s">
        <v>1831</v>
      </c>
      <c r="D217" s="9" t="s">
        <v>81</v>
      </c>
      <c r="E217" s="5">
        <v>2023</v>
      </c>
      <c r="F217" s="17"/>
      <c r="G217" s="5">
        <v>2030</v>
      </c>
      <c r="H217" s="17"/>
      <c r="I217" s="17">
        <v>186</v>
      </c>
      <c r="J217" s="17">
        <v>7.8</v>
      </c>
      <c r="K217" s="9" t="s">
        <v>210</v>
      </c>
      <c r="L217" s="17"/>
      <c r="M217" s="17"/>
      <c r="N217" s="17"/>
      <c r="O217" s="9" t="s">
        <v>83</v>
      </c>
      <c r="P217" s="9" t="s">
        <v>84</v>
      </c>
      <c r="Q217" s="5">
        <v>1</v>
      </c>
      <c r="R217" s="9" t="s">
        <v>1834</v>
      </c>
      <c r="S217" s="9"/>
      <c r="T217" s="9" t="str">
        <f>HYPERLINK("https://seichotoushi-hojo.jp/assets/pdf/koufu_3_4ji/outline_21.pdf","PDFを開く")</f>
        <v>PDFを開く</v>
      </c>
      <c r="U217" s="9" t="s">
        <v>1836</v>
      </c>
    </row>
    <row r="218" spans="1:21" ht="48" customHeight="1">
      <c r="A218" s="2" t="s">
        <v>1837</v>
      </c>
      <c r="B218" s="2" t="s">
        <v>1595</v>
      </c>
      <c r="C218" s="8" t="s">
        <v>1838</v>
      </c>
      <c r="D218" s="8" t="s">
        <v>81</v>
      </c>
      <c r="E218" s="2"/>
      <c r="F218" s="16"/>
      <c r="G218" s="2">
        <v>2030</v>
      </c>
      <c r="H218" s="16"/>
      <c r="I218" s="16">
        <v>53</v>
      </c>
      <c r="J218" s="16">
        <v>219</v>
      </c>
      <c r="K218" s="8" t="s">
        <v>82</v>
      </c>
      <c r="L218" s="16"/>
      <c r="M218" s="16"/>
      <c r="N218" s="16"/>
      <c r="O218" s="8" t="s">
        <v>83</v>
      </c>
      <c r="P218" s="8" t="s">
        <v>84</v>
      </c>
      <c r="Q218" s="2">
        <v>1</v>
      </c>
      <c r="R218" s="8" t="s">
        <v>1840</v>
      </c>
      <c r="S218" s="8"/>
      <c r="T218" s="8" t="str">
        <f>HYPERLINK("https://seichotoushi-hojo.jp/assets/pdf/koufu_3_4ji/outline_212.pdf","PDFを開く")</f>
        <v>PDFを開く</v>
      </c>
      <c r="U218" s="8" t="s">
        <v>1842</v>
      </c>
    </row>
    <row r="219" spans="1:21" ht="48" customHeight="1">
      <c r="A219" s="5" t="s">
        <v>1843</v>
      </c>
      <c r="B219" s="5" t="s">
        <v>1595</v>
      </c>
      <c r="C219" s="9" t="s">
        <v>1844</v>
      </c>
      <c r="D219" s="9" t="s">
        <v>81</v>
      </c>
      <c r="E219" s="5">
        <v>2023</v>
      </c>
      <c r="F219" s="17">
        <v>125</v>
      </c>
      <c r="G219" s="5">
        <v>2030</v>
      </c>
      <c r="H219" s="17">
        <v>66</v>
      </c>
      <c r="I219" s="17">
        <v>46</v>
      </c>
      <c r="J219" s="17">
        <v>23.53</v>
      </c>
      <c r="K219" s="9" t="s">
        <v>210</v>
      </c>
      <c r="L219" s="17"/>
      <c r="M219" s="17">
        <v>-8.7198648042570266</v>
      </c>
      <c r="N219" s="17"/>
      <c r="O219" s="9" t="s">
        <v>120</v>
      </c>
      <c r="P219" s="9" t="s">
        <v>84</v>
      </c>
      <c r="Q219" s="5">
        <v>1</v>
      </c>
      <c r="R219" s="9" t="s">
        <v>1848</v>
      </c>
      <c r="S219" s="9" t="s">
        <v>1849</v>
      </c>
      <c r="T219" s="9" t="str">
        <f>HYPERLINK("https://seichotoushi-hojo.jp/assets/pdf/koufu_3_4ji/outline_214.pdf","PDFを開く")</f>
        <v>PDFを開く</v>
      </c>
      <c r="U219" s="9" t="s">
        <v>1851</v>
      </c>
    </row>
    <row r="220" spans="1:21" ht="48" customHeight="1">
      <c r="A220" s="2" t="s">
        <v>1852</v>
      </c>
      <c r="B220" s="2" t="s">
        <v>1595</v>
      </c>
      <c r="C220" s="8" t="s">
        <v>1853</v>
      </c>
      <c r="D220" s="8" t="s">
        <v>81</v>
      </c>
      <c r="E220" s="2"/>
      <c r="F220" s="16"/>
      <c r="G220" s="2">
        <v>2031</v>
      </c>
      <c r="H220" s="16"/>
      <c r="I220" s="16">
        <v>107</v>
      </c>
      <c r="J220" s="16">
        <v>98</v>
      </c>
      <c r="K220" s="8" t="s">
        <v>82</v>
      </c>
      <c r="L220" s="16"/>
      <c r="M220" s="16"/>
      <c r="N220" s="16"/>
      <c r="O220" s="8" t="s">
        <v>83</v>
      </c>
      <c r="P220" s="8" t="s">
        <v>84</v>
      </c>
      <c r="Q220" s="2">
        <v>1</v>
      </c>
      <c r="R220" s="8" t="s">
        <v>1856</v>
      </c>
      <c r="S220" s="8"/>
      <c r="T220" s="8" t="str">
        <f>HYPERLINK("https://seichotoushi-hojo.jp/assets/pdf/koufu_3_4ji/outline_215.pdf","PDFを開く")</f>
        <v>PDFを開く</v>
      </c>
      <c r="U220" s="8" t="s">
        <v>1858</v>
      </c>
    </row>
    <row r="221" spans="1:21" ht="48" customHeight="1">
      <c r="A221" s="5" t="s">
        <v>1859</v>
      </c>
      <c r="B221" s="5" t="s">
        <v>1595</v>
      </c>
      <c r="C221" s="9" t="s">
        <v>1860</v>
      </c>
      <c r="D221" s="9" t="s">
        <v>81</v>
      </c>
      <c r="E221" s="5"/>
      <c r="F221" s="17"/>
      <c r="G221" s="5">
        <v>2030</v>
      </c>
      <c r="H221" s="17"/>
      <c r="I221" s="17">
        <v>33.450000000000003</v>
      </c>
      <c r="J221" s="17">
        <v>17.010000000000002</v>
      </c>
      <c r="K221" s="9" t="s">
        <v>82</v>
      </c>
      <c r="L221" s="17"/>
      <c r="M221" s="17"/>
      <c r="N221" s="17"/>
      <c r="O221" s="9" t="s">
        <v>83</v>
      </c>
      <c r="P221" s="9" t="s">
        <v>84</v>
      </c>
      <c r="Q221" s="5">
        <v>1</v>
      </c>
      <c r="R221" s="9" t="s">
        <v>1864</v>
      </c>
      <c r="S221" s="9"/>
      <c r="T221" s="9" t="str">
        <f>HYPERLINK("https://seichotoushi-hojo.jp/assets/pdf/koufu_3_4ji/outline_216.pdf","PDFを開く")</f>
        <v>PDFを開く</v>
      </c>
      <c r="U221" s="9" t="s">
        <v>1866</v>
      </c>
    </row>
    <row r="222" spans="1:21" ht="48" customHeight="1">
      <c r="A222" s="2" t="s">
        <v>1867</v>
      </c>
      <c r="B222" s="2" t="s">
        <v>1595</v>
      </c>
      <c r="C222" s="8" t="s">
        <v>1868</v>
      </c>
      <c r="D222" s="8" t="s">
        <v>81</v>
      </c>
      <c r="E222" s="2"/>
      <c r="F222" s="16"/>
      <c r="G222" s="2">
        <v>2030</v>
      </c>
      <c r="H222" s="16"/>
      <c r="I222" s="16">
        <v>305.8</v>
      </c>
      <c r="J222" s="16">
        <v>197.3</v>
      </c>
      <c r="K222" s="8" t="s">
        <v>82</v>
      </c>
      <c r="L222" s="16"/>
      <c r="M222" s="16"/>
      <c r="N222" s="16"/>
      <c r="O222" s="8" t="s">
        <v>83</v>
      </c>
      <c r="P222" s="8" t="s">
        <v>84</v>
      </c>
      <c r="Q222" s="2">
        <v>1</v>
      </c>
      <c r="R222" s="8" t="s">
        <v>1871</v>
      </c>
      <c r="S222" s="8"/>
      <c r="T222" s="8" t="str">
        <f>HYPERLINK("https://seichotoushi-hojo.jp/assets/pdf/koufu_3_4ji/outline_22.pdf","PDFを開く")</f>
        <v>PDFを開く</v>
      </c>
      <c r="U222" s="8" t="s">
        <v>1873</v>
      </c>
    </row>
    <row r="223" spans="1:21" ht="48" customHeight="1">
      <c r="A223" s="5" t="s">
        <v>1874</v>
      </c>
      <c r="B223" s="5" t="s">
        <v>1595</v>
      </c>
      <c r="C223" s="9" t="s">
        <v>1875</v>
      </c>
      <c r="D223" s="9" t="s">
        <v>81</v>
      </c>
      <c r="E223" s="5"/>
      <c r="F223" s="17"/>
      <c r="G223" s="5">
        <v>2030</v>
      </c>
      <c r="H223" s="17"/>
      <c r="I223" s="17">
        <v>101</v>
      </c>
      <c r="J223" s="17">
        <v>85</v>
      </c>
      <c r="K223" s="9" t="s">
        <v>82</v>
      </c>
      <c r="L223" s="17"/>
      <c r="M223" s="17"/>
      <c r="N223" s="17"/>
      <c r="O223" s="9" t="s">
        <v>83</v>
      </c>
      <c r="P223" s="9" t="s">
        <v>84</v>
      </c>
      <c r="Q223" s="5">
        <v>1</v>
      </c>
      <c r="R223" s="9" t="s">
        <v>1878</v>
      </c>
      <c r="S223" s="9"/>
      <c r="T223" s="9" t="str">
        <f>HYPERLINK("https://seichotoushi-hojo.jp/assets/pdf/koufu_3_4ji/outline_229.pdf","PDFを開く")</f>
        <v>PDFを開く</v>
      </c>
      <c r="U223" s="9" t="s">
        <v>1880</v>
      </c>
    </row>
    <row r="224" spans="1:21" ht="48" customHeight="1">
      <c r="A224" s="2" t="s">
        <v>1881</v>
      </c>
      <c r="B224" s="2" t="s">
        <v>1595</v>
      </c>
      <c r="C224" s="8" t="s">
        <v>1882</v>
      </c>
      <c r="D224" s="8" t="s">
        <v>81</v>
      </c>
      <c r="E224" s="2"/>
      <c r="F224" s="16"/>
      <c r="G224" s="2">
        <v>2030</v>
      </c>
      <c r="H224" s="16"/>
      <c r="I224" s="16">
        <v>47.8</v>
      </c>
      <c r="J224" s="16">
        <v>59.8</v>
      </c>
      <c r="K224" s="8" t="s">
        <v>82</v>
      </c>
      <c r="L224" s="16"/>
      <c r="M224" s="16"/>
      <c r="N224" s="16"/>
      <c r="O224" s="8" t="s">
        <v>83</v>
      </c>
      <c r="P224" s="8" t="s">
        <v>84</v>
      </c>
      <c r="Q224" s="2">
        <v>1</v>
      </c>
      <c r="R224" s="8" t="s">
        <v>1885</v>
      </c>
      <c r="S224" s="8"/>
      <c r="T224" s="8" t="str">
        <f>HYPERLINK("https://seichotoushi-hojo.jp/assets/pdf/koufu_3_4ji/outline_23.pdf","PDFを開く")</f>
        <v>PDFを開く</v>
      </c>
      <c r="U224" s="8" t="s">
        <v>1887</v>
      </c>
    </row>
    <row r="225" spans="1:21" ht="48" customHeight="1">
      <c r="A225" s="5" t="s">
        <v>1888</v>
      </c>
      <c r="B225" s="5" t="s">
        <v>1595</v>
      </c>
      <c r="C225" s="9" t="s">
        <v>1889</v>
      </c>
      <c r="D225" s="9" t="s">
        <v>81</v>
      </c>
      <c r="E225" s="5"/>
      <c r="F225" s="17"/>
      <c r="G225" s="5">
        <v>2030</v>
      </c>
      <c r="H225" s="17"/>
      <c r="I225" s="17">
        <v>43</v>
      </c>
      <c r="J225" s="17">
        <v>301</v>
      </c>
      <c r="K225" s="9" t="s">
        <v>82</v>
      </c>
      <c r="L225" s="17"/>
      <c r="M225" s="17"/>
      <c r="N225" s="17"/>
      <c r="O225" s="9" t="s">
        <v>83</v>
      </c>
      <c r="P225" s="9" t="s">
        <v>84</v>
      </c>
      <c r="Q225" s="5">
        <v>1</v>
      </c>
      <c r="R225" s="9" t="s">
        <v>1894</v>
      </c>
      <c r="S225" s="9"/>
      <c r="T225" s="9" t="str">
        <f>HYPERLINK("https://seichotoushi-hojo.jp/assets/pdf/koufu_3_4ji/outline_232.pdf","PDFを開く")</f>
        <v>PDFを開く</v>
      </c>
      <c r="U225" s="9" t="s">
        <v>1896</v>
      </c>
    </row>
    <row r="226" spans="1:21" ht="48" customHeight="1">
      <c r="A226" s="2" t="s">
        <v>1897</v>
      </c>
      <c r="B226" s="2" t="s">
        <v>1595</v>
      </c>
      <c r="C226" s="8" t="s">
        <v>1898</v>
      </c>
      <c r="D226" s="8" t="s">
        <v>81</v>
      </c>
      <c r="E226" s="2">
        <v>2024</v>
      </c>
      <c r="F226" s="16"/>
      <c r="G226" s="2">
        <v>2030</v>
      </c>
      <c r="H226" s="16"/>
      <c r="I226" s="16">
        <v>1022</v>
      </c>
      <c r="J226" s="16">
        <v>93</v>
      </c>
      <c r="K226" s="8" t="s">
        <v>82</v>
      </c>
      <c r="L226" s="16"/>
      <c r="M226" s="16"/>
      <c r="N226" s="16"/>
      <c r="O226" s="8" t="s">
        <v>83</v>
      </c>
      <c r="P226" s="8" t="s">
        <v>84</v>
      </c>
      <c r="Q226" s="2">
        <v>1</v>
      </c>
      <c r="R226" s="8" t="s">
        <v>1901</v>
      </c>
      <c r="S226" s="8"/>
      <c r="T226" s="8" t="str">
        <f>HYPERLINK("https://seichotoushi-hojo.jp/assets/pdf/koufu_3_4ji/outline_234.pdf","PDFを開く")</f>
        <v>PDFを開く</v>
      </c>
      <c r="U226" s="8" t="s">
        <v>1903</v>
      </c>
    </row>
    <row r="227" spans="1:21" ht="48" customHeight="1">
      <c r="A227" s="5" t="s">
        <v>1904</v>
      </c>
      <c r="B227" s="5" t="s">
        <v>1595</v>
      </c>
      <c r="C227" s="9" t="s">
        <v>1905</v>
      </c>
      <c r="D227" s="9" t="s">
        <v>81</v>
      </c>
      <c r="E227" s="5"/>
      <c r="F227" s="17"/>
      <c r="G227" s="5">
        <v>2035</v>
      </c>
      <c r="H227" s="17">
        <v>200</v>
      </c>
      <c r="I227" s="17">
        <v>126</v>
      </c>
      <c r="J227" s="17">
        <v>8.9</v>
      </c>
      <c r="K227" s="9" t="s">
        <v>82</v>
      </c>
      <c r="L227" s="17"/>
      <c r="M227" s="17"/>
      <c r="N227" s="17"/>
      <c r="O227" s="9" t="s">
        <v>83</v>
      </c>
      <c r="P227" s="9" t="s">
        <v>84</v>
      </c>
      <c r="Q227" s="5">
        <v>1</v>
      </c>
      <c r="R227" s="9" t="s">
        <v>1908</v>
      </c>
      <c r="S227" s="9" t="s">
        <v>1909</v>
      </c>
      <c r="T227" s="9" t="str">
        <f>HYPERLINK("https://seichotoushi-hojo.jp/assets/pdf/koufu_3_4ji/outline_24.pdf","PDFを開く")</f>
        <v>PDFを開く</v>
      </c>
      <c r="U227" s="9" t="s">
        <v>1911</v>
      </c>
    </row>
    <row r="228" spans="1:21" ht="48" customHeight="1">
      <c r="A228" s="2" t="s">
        <v>1912</v>
      </c>
      <c r="B228" s="2" t="s">
        <v>1595</v>
      </c>
      <c r="C228" s="8" t="s">
        <v>1913</v>
      </c>
      <c r="D228" s="8" t="s">
        <v>81</v>
      </c>
      <c r="E228" s="2"/>
      <c r="F228" s="16"/>
      <c r="G228" s="2">
        <v>2030</v>
      </c>
      <c r="H228" s="16"/>
      <c r="I228" s="16">
        <v>35.6</v>
      </c>
      <c r="J228" s="16">
        <v>280.3</v>
      </c>
      <c r="K228" s="8" t="s">
        <v>82</v>
      </c>
      <c r="L228" s="16"/>
      <c r="M228" s="16"/>
      <c r="N228" s="16"/>
      <c r="O228" s="8" t="s">
        <v>83</v>
      </c>
      <c r="P228" s="8" t="s">
        <v>84</v>
      </c>
      <c r="Q228" s="2">
        <v>2</v>
      </c>
      <c r="R228" s="8" t="s">
        <v>1915</v>
      </c>
      <c r="S228" s="8"/>
      <c r="T228" s="8" t="str">
        <f>HYPERLINK("https://seichotoushi-hojo.jp/assets/pdf/koufu_3_4ji/outline_25.pdf","PDFを開く")</f>
        <v>PDFを開く</v>
      </c>
      <c r="U228" s="8" t="s">
        <v>1917</v>
      </c>
    </row>
    <row r="229" spans="1:21" ht="48" customHeight="1">
      <c r="A229" s="5" t="s">
        <v>1918</v>
      </c>
      <c r="B229" s="5" t="s">
        <v>1595</v>
      </c>
      <c r="C229" s="9" t="s">
        <v>1919</v>
      </c>
      <c r="D229" s="9" t="s">
        <v>81</v>
      </c>
      <c r="E229" s="5">
        <v>2025</v>
      </c>
      <c r="F229" s="17">
        <v>112</v>
      </c>
      <c r="G229" s="5">
        <v>2030</v>
      </c>
      <c r="H229" s="17">
        <v>112</v>
      </c>
      <c r="I229" s="17">
        <v>50.6</v>
      </c>
      <c r="J229" s="17">
        <v>16.3</v>
      </c>
      <c r="K229" s="9" t="s">
        <v>82</v>
      </c>
      <c r="L229" s="17"/>
      <c r="M229" s="17">
        <v>0</v>
      </c>
      <c r="N229" s="17"/>
      <c r="O229" s="9" t="s">
        <v>200</v>
      </c>
      <c r="P229" s="9" t="s">
        <v>84</v>
      </c>
      <c r="Q229" s="5">
        <v>1</v>
      </c>
      <c r="R229" s="9" t="s">
        <v>1923</v>
      </c>
      <c r="S229" s="9" t="s">
        <v>1924</v>
      </c>
      <c r="T229" s="9" t="str">
        <f>HYPERLINK("https://seichotoushi-hojo.jp/assets/pdf/koufu_3_4ji/outline_26.pdf","PDFを開く")</f>
        <v>PDFを開く</v>
      </c>
      <c r="U229" s="9" t="s">
        <v>1926</v>
      </c>
    </row>
    <row r="230" spans="1:21" ht="48" customHeight="1">
      <c r="A230" s="2" t="s">
        <v>1927</v>
      </c>
      <c r="B230" s="2" t="s">
        <v>1595</v>
      </c>
      <c r="C230" s="8" t="s">
        <v>1928</v>
      </c>
      <c r="D230" s="8" t="s">
        <v>81</v>
      </c>
      <c r="E230" s="2"/>
      <c r="F230" s="16"/>
      <c r="G230" s="2"/>
      <c r="H230" s="16">
        <v>160</v>
      </c>
      <c r="I230" s="16"/>
      <c r="J230" s="16"/>
      <c r="K230" s="8"/>
      <c r="L230" s="16"/>
      <c r="M230" s="16"/>
      <c r="N230" s="16">
        <v>2</v>
      </c>
      <c r="O230" s="8" t="s">
        <v>83</v>
      </c>
      <c r="P230" s="8" t="s">
        <v>587</v>
      </c>
      <c r="Q230" s="2">
        <v>1</v>
      </c>
      <c r="R230" s="8" t="s">
        <v>1933</v>
      </c>
      <c r="S230" s="8"/>
      <c r="T230" s="8" t="str">
        <f>HYPERLINK("https://seichotoushi-hojo.jp/assets/pdf/koufu_3_4ji/outline_27.pdf","PDFを開く")</f>
        <v>PDFを開く</v>
      </c>
      <c r="U230" s="8" t="s">
        <v>1935</v>
      </c>
    </row>
    <row r="231" spans="1:21" ht="48" customHeight="1">
      <c r="A231" s="5" t="s">
        <v>1936</v>
      </c>
      <c r="B231" s="5" t="s">
        <v>1595</v>
      </c>
      <c r="C231" s="9" t="s">
        <v>1937</v>
      </c>
      <c r="D231" s="9" t="s">
        <v>81</v>
      </c>
      <c r="E231" s="5"/>
      <c r="F231" s="17"/>
      <c r="G231" s="5">
        <v>2029</v>
      </c>
      <c r="H231" s="17"/>
      <c r="I231" s="17">
        <v>52.9</v>
      </c>
      <c r="J231" s="17">
        <v>19</v>
      </c>
      <c r="K231" s="9" t="s">
        <v>210</v>
      </c>
      <c r="L231" s="17"/>
      <c r="M231" s="17"/>
      <c r="N231" s="17"/>
      <c r="O231" s="9" t="s">
        <v>83</v>
      </c>
      <c r="P231" s="9" t="s">
        <v>84</v>
      </c>
      <c r="Q231" s="5">
        <v>1</v>
      </c>
      <c r="R231" s="9" t="s">
        <v>1941</v>
      </c>
      <c r="S231" s="9"/>
      <c r="T231" s="9" t="str">
        <f>HYPERLINK("https://seichotoushi-hojo.jp/assets/pdf/koufu_3_4ji/outline_3.pdf","PDFを開く")</f>
        <v>PDFを開く</v>
      </c>
      <c r="U231" s="9" t="s">
        <v>1943</v>
      </c>
    </row>
    <row r="232" spans="1:21" ht="48" customHeight="1">
      <c r="A232" s="2" t="s">
        <v>1944</v>
      </c>
      <c r="B232" s="2" t="s">
        <v>1595</v>
      </c>
      <c r="C232" s="8" t="s">
        <v>1945</v>
      </c>
      <c r="D232" s="8" t="s">
        <v>81</v>
      </c>
      <c r="E232" s="2"/>
      <c r="F232" s="16"/>
      <c r="G232" s="2">
        <v>2029</v>
      </c>
      <c r="H232" s="16"/>
      <c r="I232" s="16">
        <v>38</v>
      </c>
      <c r="J232" s="16">
        <v>217</v>
      </c>
      <c r="K232" s="8" t="s">
        <v>82</v>
      </c>
      <c r="L232" s="16"/>
      <c r="M232" s="16"/>
      <c r="N232" s="16"/>
      <c r="O232" s="8" t="s">
        <v>83</v>
      </c>
      <c r="P232" s="8" t="s">
        <v>84</v>
      </c>
      <c r="Q232" s="2">
        <v>1</v>
      </c>
      <c r="R232" s="8" t="s">
        <v>1949</v>
      </c>
      <c r="S232" s="8"/>
      <c r="T232" s="8" t="str">
        <f>HYPERLINK("https://seichotoushi-hojo.jp/assets/pdf/koufu_3_4ji/outline_30.pdf","PDFを開く")</f>
        <v>PDFを開く</v>
      </c>
      <c r="U232" s="8" t="s">
        <v>1951</v>
      </c>
    </row>
    <row r="233" spans="1:21" ht="48" customHeight="1">
      <c r="A233" s="5" t="s">
        <v>1952</v>
      </c>
      <c r="B233" s="5" t="s">
        <v>1595</v>
      </c>
      <c r="C233" s="9" t="s">
        <v>1953</v>
      </c>
      <c r="D233" s="9" t="s">
        <v>81</v>
      </c>
      <c r="E233" s="5"/>
      <c r="F233" s="17"/>
      <c r="G233" s="5">
        <v>2030</v>
      </c>
      <c r="H233" s="17"/>
      <c r="I233" s="17">
        <v>179</v>
      </c>
      <c r="J233" s="17">
        <v>14.5</v>
      </c>
      <c r="K233" s="9" t="s">
        <v>210</v>
      </c>
      <c r="L233" s="17"/>
      <c r="M233" s="17"/>
      <c r="N233" s="17"/>
      <c r="O233" s="9" t="s">
        <v>83</v>
      </c>
      <c r="P233" s="9" t="s">
        <v>84</v>
      </c>
      <c r="Q233" s="5">
        <v>1</v>
      </c>
      <c r="R233" s="9" t="s">
        <v>1957</v>
      </c>
      <c r="S233" s="9"/>
      <c r="T233" s="9" t="str">
        <f>HYPERLINK("https://seichotoushi-hojo.jp/assets/pdf/koufu_3_4ji/outline_31.pdf","PDFを開く")</f>
        <v>PDFを開く</v>
      </c>
      <c r="U233" s="9" t="s">
        <v>1959</v>
      </c>
    </row>
    <row r="234" spans="1:21" ht="48" customHeight="1">
      <c r="A234" s="2" t="s">
        <v>1960</v>
      </c>
      <c r="B234" s="2" t="s">
        <v>1595</v>
      </c>
      <c r="C234" s="8" t="s">
        <v>1961</v>
      </c>
      <c r="D234" s="8" t="s">
        <v>81</v>
      </c>
      <c r="E234" s="2"/>
      <c r="F234" s="16"/>
      <c r="G234" s="2">
        <v>2031</v>
      </c>
      <c r="H234" s="16"/>
      <c r="I234" s="16">
        <v>53.7</v>
      </c>
      <c r="J234" s="16">
        <v>128.4</v>
      </c>
      <c r="K234" s="8" t="s">
        <v>82</v>
      </c>
      <c r="L234" s="16"/>
      <c r="M234" s="16"/>
      <c r="N234" s="16"/>
      <c r="O234" s="8" t="s">
        <v>83</v>
      </c>
      <c r="P234" s="8" t="s">
        <v>84</v>
      </c>
      <c r="Q234" s="2">
        <v>1</v>
      </c>
      <c r="R234" s="8" t="s">
        <v>1965</v>
      </c>
      <c r="S234" s="8"/>
      <c r="T234" s="8" t="str">
        <f>HYPERLINK("https://seichotoushi-hojo.jp/assets/pdf/koufu_3_4ji/outline_32.pdf","PDFを開く")</f>
        <v>PDFを開く</v>
      </c>
      <c r="U234" s="8" t="s">
        <v>1967</v>
      </c>
    </row>
    <row r="235" spans="1:21" ht="48" customHeight="1">
      <c r="A235" s="5" t="s">
        <v>1968</v>
      </c>
      <c r="B235" s="5" t="s">
        <v>1595</v>
      </c>
      <c r="C235" s="9" t="s">
        <v>1969</v>
      </c>
      <c r="D235" s="9" t="s">
        <v>81</v>
      </c>
      <c r="E235" s="5"/>
      <c r="F235" s="17"/>
      <c r="G235" s="5">
        <v>2030</v>
      </c>
      <c r="H235" s="17"/>
      <c r="I235" s="17">
        <v>84</v>
      </c>
      <c r="J235" s="17">
        <v>20</v>
      </c>
      <c r="K235" s="9" t="s">
        <v>82</v>
      </c>
      <c r="L235" s="17"/>
      <c r="M235" s="17"/>
      <c r="N235" s="17"/>
      <c r="O235" s="9" t="s">
        <v>83</v>
      </c>
      <c r="P235" s="9" t="s">
        <v>84</v>
      </c>
      <c r="Q235" s="5">
        <v>1</v>
      </c>
      <c r="R235" s="9" t="s">
        <v>1972</v>
      </c>
      <c r="S235" s="9"/>
      <c r="T235" s="9" t="str">
        <f>HYPERLINK("https://seichotoushi-hojo.jp/assets/pdf/koufu_3_4ji/outline_33.pdf","PDFを開く")</f>
        <v>PDFを開く</v>
      </c>
      <c r="U235" s="9" t="s">
        <v>1974</v>
      </c>
    </row>
    <row r="236" spans="1:21" ht="48" customHeight="1">
      <c r="A236" s="2" t="s">
        <v>1975</v>
      </c>
      <c r="B236" s="2" t="s">
        <v>1595</v>
      </c>
      <c r="C236" s="8" t="s">
        <v>1976</v>
      </c>
      <c r="D236" s="8" t="s">
        <v>81</v>
      </c>
      <c r="E236" s="2">
        <v>2024</v>
      </c>
      <c r="F236" s="16">
        <v>118.9</v>
      </c>
      <c r="G236" s="2">
        <v>2030</v>
      </c>
      <c r="H236" s="16">
        <v>231.1</v>
      </c>
      <c r="I236" s="16">
        <v>350</v>
      </c>
      <c r="J236" s="16">
        <v>51.4</v>
      </c>
      <c r="K236" s="8" t="s">
        <v>82</v>
      </c>
      <c r="L236" s="16"/>
      <c r="M236" s="16">
        <v>11.712820043124971</v>
      </c>
      <c r="N236" s="16"/>
      <c r="O236" s="8" t="s">
        <v>200</v>
      </c>
      <c r="P236" s="8" t="s">
        <v>84</v>
      </c>
      <c r="Q236" s="2">
        <v>1</v>
      </c>
      <c r="R236" s="8" t="s">
        <v>1979</v>
      </c>
      <c r="S236" s="8" t="s">
        <v>1980</v>
      </c>
      <c r="T236" s="8" t="str">
        <f>HYPERLINK("https://seichotoushi-hojo.jp/assets/pdf/koufu_3_4ji/outline_34.pdf","PDFを開く")</f>
        <v>PDFを開く</v>
      </c>
      <c r="U236" s="8" t="s">
        <v>1982</v>
      </c>
    </row>
    <row r="237" spans="1:21" ht="48" customHeight="1">
      <c r="A237" s="5" t="s">
        <v>1983</v>
      </c>
      <c r="B237" s="5" t="s">
        <v>1595</v>
      </c>
      <c r="C237" s="9" t="s">
        <v>1984</v>
      </c>
      <c r="D237" s="9" t="s">
        <v>1988</v>
      </c>
      <c r="E237" s="5"/>
      <c r="F237" s="17"/>
      <c r="G237" s="5">
        <v>2030</v>
      </c>
      <c r="H237" s="17"/>
      <c r="I237" s="17">
        <v>261</v>
      </c>
      <c r="J237" s="17">
        <v>176.8</v>
      </c>
      <c r="K237" s="9" t="s">
        <v>490</v>
      </c>
      <c r="L237" s="17"/>
      <c r="M237" s="17"/>
      <c r="N237" s="17"/>
      <c r="O237" s="9" t="s">
        <v>166</v>
      </c>
      <c r="P237" s="9" t="s">
        <v>292</v>
      </c>
      <c r="Q237" s="5">
        <v>1</v>
      </c>
      <c r="R237" s="9" t="s">
        <v>1989</v>
      </c>
      <c r="S237" s="9"/>
      <c r="T237" s="9" t="str">
        <f>HYPERLINK("https://seichotoushi-hojo.jp/assets/pdf/koufu_3_4ji/outline_35.pdf","PDFを開く")</f>
        <v>PDFを開く</v>
      </c>
      <c r="U237" s="9" t="s">
        <v>1991</v>
      </c>
    </row>
    <row r="238" spans="1:21" ht="48" customHeight="1">
      <c r="A238" s="2" t="s">
        <v>1992</v>
      </c>
      <c r="B238" s="2" t="s">
        <v>1595</v>
      </c>
      <c r="C238" s="8" t="s">
        <v>1993</v>
      </c>
      <c r="D238" s="8" t="s">
        <v>1996</v>
      </c>
      <c r="E238" s="2"/>
      <c r="F238" s="16"/>
      <c r="G238" s="2">
        <v>2030</v>
      </c>
      <c r="H238" s="16">
        <v>100</v>
      </c>
      <c r="I238" s="16">
        <v>53</v>
      </c>
      <c r="J238" s="16">
        <v>13.6</v>
      </c>
      <c r="K238" s="8" t="s">
        <v>82</v>
      </c>
      <c r="L238" s="16"/>
      <c r="M238" s="16"/>
      <c r="N238" s="16"/>
      <c r="O238" s="8" t="s">
        <v>166</v>
      </c>
      <c r="P238" s="8" t="s">
        <v>292</v>
      </c>
      <c r="Q238" s="2">
        <v>1</v>
      </c>
      <c r="R238" s="8" t="s">
        <v>1997</v>
      </c>
      <c r="S238" s="8" t="s">
        <v>1998</v>
      </c>
      <c r="T238" s="8" t="str">
        <f>HYPERLINK("https://seichotoushi-hojo.jp/assets/pdf/koufu_3_4ji/outline_37.pdf","PDFを開く")</f>
        <v>PDFを開く</v>
      </c>
      <c r="U238" s="8" t="s">
        <v>2000</v>
      </c>
    </row>
    <row r="239" spans="1:21" ht="48" customHeight="1">
      <c r="A239" s="5" t="s">
        <v>2001</v>
      </c>
      <c r="B239" s="5" t="s">
        <v>1595</v>
      </c>
      <c r="C239" s="9" t="s">
        <v>2002</v>
      </c>
      <c r="D239" s="9" t="s">
        <v>81</v>
      </c>
      <c r="E239" s="5">
        <v>2027</v>
      </c>
      <c r="F239" s="17"/>
      <c r="G239" s="5">
        <v>2031</v>
      </c>
      <c r="H239" s="17">
        <v>453</v>
      </c>
      <c r="I239" s="17">
        <v>190</v>
      </c>
      <c r="J239" s="17">
        <v>14.8</v>
      </c>
      <c r="K239" s="9" t="s">
        <v>82</v>
      </c>
      <c r="L239" s="17"/>
      <c r="M239" s="17"/>
      <c r="N239" s="17"/>
      <c r="O239" s="9" t="s">
        <v>83</v>
      </c>
      <c r="P239" s="9" t="s">
        <v>84</v>
      </c>
      <c r="Q239" s="5">
        <v>1</v>
      </c>
      <c r="R239" s="9" t="s">
        <v>2006</v>
      </c>
      <c r="S239" s="9" t="s">
        <v>2007</v>
      </c>
      <c r="T239" s="9" t="str">
        <f>HYPERLINK("https://seichotoushi-hojo.jp/assets/pdf/koufu_3_4ji/outline_39.pdf","PDFを開く")</f>
        <v>PDFを開く</v>
      </c>
      <c r="U239" s="9" t="s">
        <v>2009</v>
      </c>
    </row>
    <row r="240" spans="1:21" ht="48" customHeight="1">
      <c r="A240" s="2" t="s">
        <v>2010</v>
      </c>
      <c r="B240" s="2" t="s">
        <v>1595</v>
      </c>
      <c r="C240" s="8" t="s">
        <v>2011</v>
      </c>
      <c r="D240" s="8" t="s">
        <v>81</v>
      </c>
      <c r="E240" s="2">
        <v>2024</v>
      </c>
      <c r="F240" s="16"/>
      <c r="G240" s="2">
        <v>2030</v>
      </c>
      <c r="H240" s="16"/>
      <c r="I240" s="16">
        <v>31.9</v>
      </c>
      <c r="J240" s="16">
        <v>433.8</v>
      </c>
      <c r="K240" s="8" t="s">
        <v>82</v>
      </c>
      <c r="L240" s="16"/>
      <c r="M240" s="16"/>
      <c r="N240" s="16"/>
      <c r="O240" s="8" t="s">
        <v>83</v>
      </c>
      <c r="P240" s="8" t="s">
        <v>84</v>
      </c>
      <c r="Q240" s="2">
        <v>1</v>
      </c>
      <c r="R240" s="8" t="s">
        <v>2015</v>
      </c>
      <c r="S240" s="8"/>
      <c r="T240" s="8" t="str">
        <f>HYPERLINK("https://seichotoushi-hojo.jp/assets/pdf/koufu_3_4ji/outline_40.pdf","PDFを開く")</f>
        <v>PDFを開く</v>
      </c>
      <c r="U240" s="8" t="s">
        <v>2017</v>
      </c>
    </row>
    <row r="241" spans="1:21" ht="48" customHeight="1">
      <c r="A241" s="5" t="s">
        <v>2018</v>
      </c>
      <c r="B241" s="5" t="s">
        <v>1595</v>
      </c>
      <c r="C241" s="9" t="s">
        <v>2019</v>
      </c>
      <c r="D241" s="9" t="s">
        <v>81</v>
      </c>
      <c r="E241" s="5"/>
      <c r="F241" s="17"/>
      <c r="G241" s="5">
        <v>2035</v>
      </c>
      <c r="H241" s="17">
        <v>500</v>
      </c>
      <c r="I241" s="17">
        <v>314</v>
      </c>
      <c r="J241" s="17"/>
      <c r="K241" s="9"/>
      <c r="L241" s="17"/>
      <c r="M241" s="17"/>
      <c r="N241" s="17"/>
      <c r="O241" s="9" t="s">
        <v>83</v>
      </c>
      <c r="P241" s="9" t="s">
        <v>84</v>
      </c>
      <c r="Q241" s="5">
        <v>1</v>
      </c>
      <c r="R241" s="9" t="s">
        <v>2022</v>
      </c>
      <c r="S241" s="9" t="s">
        <v>2023</v>
      </c>
      <c r="T241" s="9" t="str">
        <f>HYPERLINK("https://seichotoushi-hojo.jp/assets/pdf/koufu_3_4ji/outline_41.pdf","PDFを開く")</f>
        <v>PDFを開く</v>
      </c>
      <c r="U241" s="9" t="s">
        <v>2025</v>
      </c>
    </row>
    <row r="242" spans="1:21" ht="48" customHeight="1">
      <c r="A242" s="2" t="s">
        <v>2026</v>
      </c>
      <c r="B242" s="2" t="s">
        <v>1595</v>
      </c>
      <c r="C242" s="8" t="s">
        <v>2027</v>
      </c>
      <c r="D242" s="8" t="s">
        <v>81</v>
      </c>
      <c r="E242" s="2"/>
      <c r="F242" s="16"/>
      <c r="G242" s="2">
        <v>2030</v>
      </c>
      <c r="H242" s="16"/>
      <c r="I242" s="16">
        <v>54</v>
      </c>
      <c r="J242" s="16">
        <v>57</v>
      </c>
      <c r="K242" s="8" t="s">
        <v>82</v>
      </c>
      <c r="L242" s="16"/>
      <c r="M242" s="16"/>
      <c r="N242" s="16"/>
      <c r="O242" s="8" t="s">
        <v>83</v>
      </c>
      <c r="P242" s="8" t="s">
        <v>84</v>
      </c>
      <c r="Q242" s="2">
        <v>1</v>
      </c>
      <c r="R242" s="8" t="s">
        <v>2031</v>
      </c>
      <c r="S242" s="8"/>
      <c r="T242" s="8" t="str">
        <f>HYPERLINK("https://seichotoushi-hojo.jp/assets/pdf/koufu_3_4ji/outline_42.pdf","PDFを開く")</f>
        <v>PDFを開く</v>
      </c>
      <c r="U242" s="8" t="s">
        <v>2033</v>
      </c>
    </row>
    <row r="243" spans="1:21" ht="48" customHeight="1">
      <c r="A243" s="5" t="s">
        <v>2034</v>
      </c>
      <c r="B243" s="5" t="s">
        <v>1595</v>
      </c>
      <c r="C243" s="9" t="s">
        <v>2035</v>
      </c>
      <c r="D243" s="9" t="s">
        <v>81</v>
      </c>
      <c r="E243" s="5"/>
      <c r="F243" s="17"/>
      <c r="G243" s="5">
        <v>2030</v>
      </c>
      <c r="H243" s="17">
        <v>156</v>
      </c>
      <c r="I243" s="17">
        <v>144</v>
      </c>
      <c r="J243" s="17">
        <v>11.5</v>
      </c>
      <c r="K243" s="9" t="s">
        <v>82</v>
      </c>
      <c r="L243" s="17"/>
      <c r="M243" s="17"/>
      <c r="N243" s="17"/>
      <c r="O243" s="9" t="s">
        <v>83</v>
      </c>
      <c r="P243" s="9" t="s">
        <v>84</v>
      </c>
      <c r="Q243" s="5">
        <v>4</v>
      </c>
      <c r="R243" s="9" t="s">
        <v>2039</v>
      </c>
      <c r="S243" s="9" t="s">
        <v>2040</v>
      </c>
      <c r="T243" s="9" t="str">
        <f>HYPERLINK("https://seichotoushi-hojo.jp/assets/pdf/koufu_3_4ji/outline_43.pdf","PDFを開く")</f>
        <v>PDFを開く</v>
      </c>
      <c r="U243" s="9" t="s">
        <v>2042</v>
      </c>
    </row>
    <row r="244" spans="1:21" ht="48" customHeight="1">
      <c r="A244" s="2" t="s">
        <v>2043</v>
      </c>
      <c r="B244" s="2" t="s">
        <v>1595</v>
      </c>
      <c r="C244" s="8" t="s">
        <v>2044</v>
      </c>
      <c r="D244" s="8" t="s">
        <v>81</v>
      </c>
      <c r="E244" s="2">
        <v>2025</v>
      </c>
      <c r="F244" s="16"/>
      <c r="G244" s="2">
        <v>2030</v>
      </c>
      <c r="H244" s="16"/>
      <c r="I244" s="16">
        <v>16</v>
      </c>
      <c r="J244" s="16">
        <v>20</v>
      </c>
      <c r="K244" s="8" t="s">
        <v>210</v>
      </c>
      <c r="L244" s="16"/>
      <c r="M244" s="16"/>
      <c r="N244" s="16"/>
      <c r="O244" s="8" t="s">
        <v>83</v>
      </c>
      <c r="P244" s="8" t="s">
        <v>84</v>
      </c>
      <c r="Q244" s="2">
        <v>1</v>
      </c>
      <c r="R244" s="8" t="s">
        <v>2047</v>
      </c>
      <c r="S244" s="8"/>
      <c r="T244" s="8" t="str">
        <f>HYPERLINK("https://seichotoushi-hojo.jp/assets/pdf/koufu_3_4ji/outline_44.pdf","PDFを開く")</f>
        <v>PDFを開く</v>
      </c>
      <c r="U244" s="8" t="s">
        <v>2049</v>
      </c>
    </row>
    <row r="245" spans="1:21" ht="48" customHeight="1">
      <c r="A245" s="5" t="s">
        <v>2050</v>
      </c>
      <c r="B245" s="5" t="s">
        <v>1595</v>
      </c>
      <c r="C245" s="9" t="s">
        <v>2051</v>
      </c>
      <c r="D245" s="9" t="s">
        <v>81</v>
      </c>
      <c r="E245" s="5">
        <v>2024</v>
      </c>
      <c r="F245" s="17"/>
      <c r="G245" s="5">
        <v>2031</v>
      </c>
      <c r="H245" s="17"/>
      <c r="I245" s="17">
        <v>63</v>
      </c>
      <c r="J245" s="17">
        <v>150</v>
      </c>
      <c r="K245" s="9" t="s">
        <v>82</v>
      </c>
      <c r="L245" s="17"/>
      <c r="M245" s="17"/>
      <c r="N245" s="17"/>
      <c r="O245" s="9" t="s">
        <v>83</v>
      </c>
      <c r="P245" s="9" t="s">
        <v>84</v>
      </c>
      <c r="Q245" s="5">
        <v>1</v>
      </c>
      <c r="R245" s="9" t="s">
        <v>2055</v>
      </c>
      <c r="S245" s="9"/>
      <c r="T245" s="9" t="str">
        <f>HYPERLINK("https://seichotoushi-hojo.jp/assets/pdf/koufu_3_4ji/outline_45.pdf","PDFを開く")</f>
        <v>PDFを開く</v>
      </c>
      <c r="U245" s="9" t="s">
        <v>2057</v>
      </c>
    </row>
    <row r="246" spans="1:21" ht="48" customHeight="1">
      <c r="A246" s="2" t="s">
        <v>2058</v>
      </c>
      <c r="B246" s="2" t="s">
        <v>1595</v>
      </c>
      <c r="C246" s="8" t="s">
        <v>2059</v>
      </c>
      <c r="D246" s="8" t="s">
        <v>81</v>
      </c>
      <c r="E246" s="2"/>
      <c r="F246" s="16"/>
      <c r="G246" s="2">
        <v>2030</v>
      </c>
      <c r="H246" s="16"/>
      <c r="I246" s="16">
        <v>318</v>
      </c>
      <c r="J246" s="16">
        <v>13.7</v>
      </c>
      <c r="K246" s="8" t="s">
        <v>82</v>
      </c>
      <c r="L246" s="16"/>
      <c r="M246" s="16"/>
      <c r="N246" s="16"/>
      <c r="O246" s="8" t="s">
        <v>83</v>
      </c>
      <c r="P246" s="8" t="s">
        <v>84</v>
      </c>
      <c r="Q246" s="2">
        <v>1</v>
      </c>
      <c r="R246" s="8" t="s">
        <v>2062</v>
      </c>
      <c r="S246" s="8" t="s">
        <v>2063</v>
      </c>
      <c r="T246" s="8" t="str">
        <f>HYPERLINK("https://seichotoushi-hojo.jp/assets/pdf/koufu_3_4ji/outline_46.pdf","PDFを開く")</f>
        <v>PDFを開く</v>
      </c>
      <c r="U246" s="8" t="s">
        <v>2065</v>
      </c>
    </row>
    <row r="247" spans="1:21" ht="48" customHeight="1">
      <c r="A247" s="5" t="s">
        <v>2066</v>
      </c>
      <c r="B247" s="5" t="s">
        <v>1595</v>
      </c>
      <c r="C247" s="9" t="s">
        <v>2067</v>
      </c>
      <c r="D247" s="9" t="s">
        <v>81</v>
      </c>
      <c r="E247" s="5"/>
      <c r="F247" s="17"/>
      <c r="G247" s="5">
        <v>2030</v>
      </c>
      <c r="H247" s="17"/>
      <c r="I247" s="17">
        <v>729</v>
      </c>
      <c r="J247" s="17">
        <v>24.3</v>
      </c>
      <c r="K247" s="9" t="s">
        <v>82</v>
      </c>
      <c r="L247" s="17"/>
      <c r="M247" s="17"/>
      <c r="N247" s="17"/>
      <c r="O247" s="9" t="s">
        <v>83</v>
      </c>
      <c r="P247" s="9" t="s">
        <v>84</v>
      </c>
      <c r="Q247" s="5">
        <v>1</v>
      </c>
      <c r="R247" s="9" t="s">
        <v>2070</v>
      </c>
      <c r="S247" s="9"/>
      <c r="T247" s="9" t="str">
        <f>HYPERLINK("https://seichotoushi-hojo.jp/assets/pdf/koufu_3_4ji/outline_47.pdf","PDFを開く")</f>
        <v>PDFを開く</v>
      </c>
      <c r="U247" s="9" t="s">
        <v>2072</v>
      </c>
    </row>
    <row r="248" spans="1:21" ht="48" customHeight="1">
      <c r="A248" s="2" t="s">
        <v>2073</v>
      </c>
      <c r="B248" s="2" t="s">
        <v>1595</v>
      </c>
      <c r="C248" s="8" t="s">
        <v>2074</v>
      </c>
      <c r="D248" s="8" t="s">
        <v>81</v>
      </c>
      <c r="E248" s="2"/>
      <c r="F248" s="16"/>
      <c r="G248" s="2">
        <v>2031</v>
      </c>
      <c r="H248" s="16"/>
      <c r="I248" s="16">
        <v>46</v>
      </c>
      <c r="J248" s="16">
        <v>12.2</v>
      </c>
      <c r="K248" s="8" t="s">
        <v>82</v>
      </c>
      <c r="L248" s="16"/>
      <c r="M248" s="16"/>
      <c r="N248" s="16"/>
      <c r="O248" s="8" t="s">
        <v>83</v>
      </c>
      <c r="P248" s="8" t="s">
        <v>84</v>
      </c>
      <c r="Q248" s="2">
        <v>1</v>
      </c>
      <c r="R248" s="8" t="s">
        <v>2078</v>
      </c>
      <c r="S248" s="8"/>
      <c r="T248" s="8" t="str">
        <f>HYPERLINK("https://seichotoushi-hojo.jp/assets/pdf/koufu_3_4ji/outline_48.pdf","PDFを開く")</f>
        <v>PDFを開く</v>
      </c>
      <c r="U248" s="8" t="s">
        <v>2080</v>
      </c>
    </row>
    <row r="249" spans="1:21" ht="48" customHeight="1">
      <c r="A249" s="5" t="s">
        <v>2081</v>
      </c>
      <c r="B249" s="5" t="s">
        <v>1595</v>
      </c>
      <c r="C249" s="9" t="s">
        <v>2082</v>
      </c>
      <c r="D249" s="9" t="s">
        <v>81</v>
      </c>
      <c r="E249" s="5"/>
      <c r="F249" s="17"/>
      <c r="G249" s="5">
        <v>2030</v>
      </c>
      <c r="H249" s="17"/>
      <c r="I249" s="17">
        <v>81</v>
      </c>
      <c r="J249" s="17">
        <v>187</v>
      </c>
      <c r="K249" s="9" t="s">
        <v>82</v>
      </c>
      <c r="L249" s="17"/>
      <c r="M249" s="17"/>
      <c r="N249" s="17"/>
      <c r="O249" s="9" t="s">
        <v>83</v>
      </c>
      <c r="P249" s="9" t="s">
        <v>84</v>
      </c>
      <c r="Q249" s="5">
        <v>1</v>
      </c>
      <c r="R249" s="9" t="s">
        <v>2087</v>
      </c>
      <c r="S249" s="9"/>
      <c r="T249" s="9" t="str">
        <f>HYPERLINK("https://seichotoushi-hojo.jp/assets/pdf/koufu_3_4ji/outline_49.pdf","PDFを開く")</f>
        <v>PDFを開く</v>
      </c>
      <c r="U249" s="9" t="s">
        <v>2089</v>
      </c>
    </row>
    <row r="250" spans="1:21" ht="48" customHeight="1">
      <c r="A250" s="2" t="s">
        <v>2090</v>
      </c>
      <c r="B250" s="2" t="s">
        <v>1595</v>
      </c>
      <c r="C250" s="8" t="s">
        <v>2091</v>
      </c>
      <c r="D250" s="8" t="s">
        <v>81</v>
      </c>
      <c r="E250" s="2">
        <v>2024</v>
      </c>
      <c r="F250" s="16"/>
      <c r="G250" s="2">
        <v>2029</v>
      </c>
      <c r="H250" s="16">
        <v>28.6</v>
      </c>
      <c r="I250" s="16">
        <v>20.6</v>
      </c>
      <c r="J250" s="16">
        <v>358.3</v>
      </c>
      <c r="K250" s="8" t="s">
        <v>82</v>
      </c>
      <c r="L250" s="16"/>
      <c r="M250" s="16"/>
      <c r="N250" s="16"/>
      <c r="O250" s="8" t="s">
        <v>83</v>
      </c>
      <c r="P250" s="8" t="s">
        <v>84</v>
      </c>
      <c r="Q250" s="2">
        <v>1</v>
      </c>
      <c r="R250" s="8" t="s">
        <v>2094</v>
      </c>
      <c r="S250" s="8" t="s">
        <v>2095</v>
      </c>
      <c r="T250" s="8" t="str">
        <f>HYPERLINK("https://seichotoushi-hojo.jp/assets/pdf/koufu_3_4ji/outline_5.pdf","PDFを開く")</f>
        <v>PDFを開く</v>
      </c>
      <c r="U250" s="8" t="s">
        <v>2097</v>
      </c>
    </row>
    <row r="251" spans="1:21" ht="48" customHeight="1">
      <c r="A251" s="5" t="s">
        <v>2098</v>
      </c>
      <c r="B251" s="5" t="s">
        <v>1595</v>
      </c>
      <c r="C251" s="9" t="s">
        <v>2099</v>
      </c>
      <c r="D251" s="9" t="s">
        <v>81</v>
      </c>
      <c r="E251" s="5"/>
      <c r="F251" s="17"/>
      <c r="G251" s="5"/>
      <c r="H251" s="17"/>
      <c r="I251" s="17">
        <v>155</v>
      </c>
      <c r="J251" s="17">
        <v>16</v>
      </c>
      <c r="K251" s="9" t="s">
        <v>82</v>
      </c>
      <c r="L251" s="17"/>
      <c r="M251" s="17"/>
      <c r="N251" s="17"/>
      <c r="O251" s="9" t="s">
        <v>83</v>
      </c>
      <c r="P251" s="9" t="s">
        <v>84</v>
      </c>
      <c r="Q251" s="5">
        <v>2</v>
      </c>
      <c r="R251" s="9" t="s">
        <v>2102</v>
      </c>
      <c r="S251" s="9"/>
      <c r="T251" s="9" t="str">
        <f>HYPERLINK("https://seichotoushi-hojo.jp/assets/pdf/koufu_3_4ji/outline_51.pdf","PDFを開く")</f>
        <v>PDFを開く</v>
      </c>
      <c r="U251" s="9" t="s">
        <v>2104</v>
      </c>
    </row>
    <row r="252" spans="1:21" ht="48" customHeight="1">
      <c r="A252" s="2" t="s">
        <v>2105</v>
      </c>
      <c r="B252" s="2" t="s">
        <v>1595</v>
      </c>
      <c r="C252" s="8" t="s">
        <v>2106</v>
      </c>
      <c r="D252" s="8" t="s">
        <v>81</v>
      </c>
      <c r="E252" s="2"/>
      <c r="F252" s="16"/>
      <c r="G252" s="2"/>
      <c r="H252" s="16"/>
      <c r="I252" s="16"/>
      <c r="J252" s="16">
        <v>376.3</v>
      </c>
      <c r="K252" s="8" t="s">
        <v>82</v>
      </c>
      <c r="L252" s="16"/>
      <c r="M252" s="16"/>
      <c r="N252" s="16"/>
      <c r="O252" s="8" t="s">
        <v>83</v>
      </c>
      <c r="P252" s="8" t="s">
        <v>587</v>
      </c>
      <c r="Q252" s="2">
        <v>1</v>
      </c>
      <c r="R252" s="8" t="s">
        <v>2111</v>
      </c>
      <c r="S252" s="8"/>
      <c r="T252" s="8" t="str">
        <f>HYPERLINK("https://seichotoushi-hojo.jp/assets/pdf/koufu_3_4ji/outline_52.pdf","PDFを開く")</f>
        <v>PDFを開く</v>
      </c>
      <c r="U252" s="8" t="s">
        <v>2113</v>
      </c>
    </row>
    <row r="253" spans="1:21" ht="48" customHeight="1">
      <c r="A253" s="5" t="s">
        <v>2114</v>
      </c>
      <c r="B253" s="5" t="s">
        <v>1595</v>
      </c>
      <c r="C253" s="9" t="s">
        <v>2115</v>
      </c>
      <c r="D253" s="9" t="s">
        <v>81</v>
      </c>
      <c r="E253" s="5">
        <v>2024</v>
      </c>
      <c r="F253" s="17">
        <v>473.15</v>
      </c>
      <c r="G253" s="5">
        <v>2030</v>
      </c>
      <c r="H253" s="17">
        <v>730</v>
      </c>
      <c r="I253" s="17">
        <v>256.85000000000002</v>
      </c>
      <c r="J253" s="17">
        <v>54.3</v>
      </c>
      <c r="K253" s="9" t="s">
        <v>99</v>
      </c>
      <c r="L253" s="17"/>
      <c r="M253" s="17">
        <v>7.4947702828584983</v>
      </c>
      <c r="N253" s="17"/>
      <c r="O253" s="9" t="s">
        <v>100</v>
      </c>
      <c r="P253" s="9" t="s">
        <v>84</v>
      </c>
      <c r="Q253" s="5">
        <v>1</v>
      </c>
      <c r="R253" s="9" t="s">
        <v>2119</v>
      </c>
      <c r="S253" s="9" t="s">
        <v>2120</v>
      </c>
      <c r="T253" s="9" t="str">
        <f>HYPERLINK("https://seichotoushi-hojo.jp/assets/pdf/koufu_3_4ji/outline_58.pdf","PDFを開く")</f>
        <v>PDFを開く</v>
      </c>
      <c r="U253" s="9" t="s">
        <v>2122</v>
      </c>
    </row>
    <row r="254" spans="1:21" ht="48" customHeight="1">
      <c r="A254" s="2" t="s">
        <v>2123</v>
      </c>
      <c r="B254" s="2" t="s">
        <v>1595</v>
      </c>
      <c r="C254" s="8" t="s">
        <v>2124</v>
      </c>
      <c r="D254" s="8" t="s">
        <v>81</v>
      </c>
      <c r="E254" s="2">
        <v>2024</v>
      </c>
      <c r="F254" s="16"/>
      <c r="G254" s="2">
        <v>2031</v>
      </c>
      <c r="H254" s="16"/>
      <c r="I254" s="16">
        <v>85</v>
      </c>
      <c r="J254" s="16">
        <v>149</v>
      </c>
      <c r="K254" s="8" t="s">
        <v>82</v>
      </c>
      <c r="L254" s="16"/>
      <c r="M254" s="16"/>
      <c r="N254" s="16"/>
      <c r="O254" s="8" t="s">
        <v>83</v>
      </c>
      <c r="P254" s="8" t="s">
        <v>84</v>
      </c>
      <c r="Q254" s="2">
        <v>1</v>
      </c>
      <c r="R254" s="8" t="s">
        <v>2129</v>
      </c>
      <c r="S254" s="8"/>
      <c r="T254" s="8" t="str">
        <f>HYPERLINK("https://seichotoushi-hojo.jp/assets/pdf/koufu_3_4ji/outline_6.pdf","PDFを開く")</f>
        <v>PDFを開く</v>
      </c>
      <c r="U254" s="8" t="s">
        <v>2131</v>
      </c>
    </row>
    <row r="255" spans="1:21" ht="48" customHeight="1">
      <c r="A255" s="5" t="s">
        <v>2132</v>
      </c>
      <c r="B255" s="5" t="s">
        <v>1595</v>
      </c>
      <c r="C255" s="9" t="s">
        <v>2133</v>
      </c>
      <c r="D255" s="9" t="s">
        <v>81</v>
      </c>
      <c r="E255" s="5"/>
      <c r="F255" s="17"/>
      <c r="G255" s="5"/>
      <c r="H255" s="17"/>
      <c r="I255" s="17"/>
      <c r="J255" s="17"/>
      <c r="K255" s="9"/>
      <c r="L255" s="17"/>
      <c r="M255" s="17"/>
      <c r="N255" s="17">
        <v>2.2000000000000002</v>
      </c>
      <c r="O255" s="9" t="s">
        <v>692</v>
      </c>
      <c r="P255" s="9" t="s">
        <v>84</v>
      </c>
      <c r="Q255" s="5">
        <v>3</v>
      </c>
      <c r="R255" s="9" t="s">
        <v>2135</v>
      </c>
      <c r="S255" s="9"/>
      <c r="T255" s="9" t="str">
        <f>HYPERLINK("https://seichotoushi-hojo.jp/assets/pdf/koufu_3_4ji/outline_60.pdf","PDFを開く")</f>
        <v>PDFを開く</v>
      </c>
      <c r="U255" s="9" t="s">
        <v>2137</v>
      </c>
    </row>
    <row r="256" spans="1:21" ht="48" customHeight="1">
      <c r="A256" s="2" t="s">
        <v>2138</v>
      </c>
      <c r="B256" s="2" t="s">
        <v>1595</v>
      </c>
      <c r="C256" s="8" t="s">
        <v>2139</v>
      </c>
      <c r="D256" s="8" t="s">
        <v>81</v>
      </c>
      <c r="E256" s="2"/>
      <c r="F256" s="16"/>
      <c r="G256" s="2">
        <v>2030</v>
      </c>
      <c r="H256" s="16"/>
      <c r="I256" s="16">
        <v>95</v>
      </c>
      <c r="J256" s="16">
        <v>173</v>
      </c>
      <c r="K256" s="8" t="s">
        <v>210</v>
      </c>
      <c r="L256" s="16"/>
      <c r="M256" s="16"/>
      <c r="N256" s="16"/>
      <c r="O256" s="8" t="s">
        <v>83</v>
      </c>
      <c r="P256" s="8" t="s">
        <v>84</v>
      </c>
      <c r="Q256" s="2">
        <v>1</v>
      </c>
      <c r="R256" s="8" t="s">
        <v>2142</v>
      </c>
      <c r="S256" s="8"/>
      <c r="T256" s="8" t="str">
        <f>HYPERLINK("https://seichotoushi-hojo.jp/assets/pdf/koufu_3_4ji/outline_61.pdf","PDFを開く")</f>
        <v>PDFを開く</v>
      </c>
      <c r="U256" s="8" t="s">
        <v>2144</v>
      </c>
    </row>
    <row r="257" spans="1:21" ht="48" customHeight="1">
      <c r="A257" s="5" t="s">
        <v>2145</v>
      </c>
      <c r="B257" s="5" t="s">
        <v>1595</v>
      </c>
      <c r="C257" s="9" t="s">
        <v>2146</v>
      </c>
      <c r="D257" s="9" t="s">
        <v>81</v>
      </c>
      <c r="E257" s="5"/>
      <c r="F257" s="17"/>
      <c r="G257" s="5">
        <v>2030</v>
      </c>
      <c r="H257" s="17"/>
      <c r="I257" s="17">
        <v>602</v>
      </c>
      <c r="J257" s="17">
        <v>753</v>
      </c>
      <c r="K257" s="9" t="s">
        <v>82</v>
      </c>
      <c r="L257" s="17"/>
      <c r="M257" s="17"/>
      <c r="N257" s="17"/>
      <c r="O257" s="9" t="s">
        <v>83</v>
      </c>
      <c r="P257" s="9" t="s">
        <v>84</v>
      </c>
      <c r="Q257" s="5">
        <v>1</v>
      </c>
      <c r="R257" s="9" t="s">
        <v>2149</v>
      </c>
      <c r="S257" s="9"/>
      <c r="T257" s="9" t="str">
        <f>HYPERLINK("https://seichotoushi-hojo.jp/assets/pdf/koufu_3_4ji/outline_62.pdf","PDFを開く")</f>
        <v>PDFを開く</v>
      </c>
      <c r="U257" s="9" t="s">
        <v>2151</v>
      </c>
    </row>
    <row r="258" spans="1:21" ht="48" customHeight="1">
      <c r="A258" s="2" t="s">
        <v>2152</v>
      </c>
      <c r="B258" s="2" t="s">
        <v>1595</v>
      </c>
      <c r="C258" s="8" t="s">
        <v>2153</v>
      </c>
      <c r="D258" s="8" t="s">
        <v>81</v>
      </c>
      <c r="E258" s="2">
        <v>2024</v>
      </c>
      <c r="F258" s="16">
        <v>300</v>
      </c>
      <c r="G258" s="2">
        <v>2030</v>
      </c>
      <c r="H258" s="16">
        <v>300</v>
      </c>
      <c r="I258" s="16">
        <v>223</v>
      </c>
      <c r="J258" s="16">
        <v>130</v>
      </c>
      <c r="K258" s="8" t="s">
        <v>210</v>
      </c>
      <c r="L258" s="16"/>
      <c r="M258" s="16">
        <v>0</v>
      </c>
      <c r="N258" s="16"/>
      <c r="O258" s="8" t="s">
        <v>120</v>
      </c>
      <c r="P258" s="8" t="s">
        <v>84</v>
      </c>
      <c r="Q258" s="2">
        <v>1</v>
      </c>
      <c r="R258" s="8" t="s">
        <v>2158</v>
      </c>
      <c r="S258" s="8" t="s">
        <v>2159</v>
      </c>
      <c r="T258" s="8" t="str">
        <f>HYPERLINK("https://seichotoushi-hojo.jp/assets/pdf/koufu_3_4ji/outline_63.pdf","PDFを開く")</f>
        <v>PDFを開く</v>
      </c>
      <c r="U258" s="8" t="s">
        <v>2161</v>
      </c>
    </row>
    <row r="259" spans="1:21" ht="48" customHeight="1">
      <c r="A259" s="5" t="s">
        <v>2162</v>
      </c>
      <c r="B259" s="5" t="s">
        <v>1595</v>
      </c>
      <c r="C259" s="9" t="s">
        <v>2163</v>
      </c>
      <c r="D259" s="9" t="s">
        <v>81</v>
      </c>
      <c r="E259" s="5"/>
      <c r="F259" s="17"/>
      <c r="G259" s="5">
        <v>2030</v>
      </c>
      <c r="H259" s="17"/>
      <c r="I259" s="17">
        <v>75</v>
      </c>
      <c r="J259" s="17">
        <v>14</v>
      </c>
      <c r="K259" s="9" t="s">
        <v>210</v>
      </c>
      <c r="L259" s="17"/>
      <c r="M259" s="17"/>
      <c r="N259" s="17"/>
      <c r="O259" s="9" t="s">
        <v>83</v>
      </c>
      <c r="P259" s="9" t="s">
        <v>587</v>
      </c>
      <c r="Q259" s="5">
        <v>1</v>
      </c>
      <c r="R259" s="9" t="s">
        <v>2165</v>
      </c>
      <c r="S259" s="9"/>
      <c r="T259" s="9" t="str">
        <f>HYPERLINK("https://seichotoushi-hojo.jp/assets/pdf/koufu_3_4ji/outline_65.pdf","PDFを開く")</f>
        <v>PDFを開く</v>
      </c>
      <c r="U259" s="9" t="s">
        <v>2167</v>
      </c>
    </row>
    <row r="260" spans="1:21" ht="48" customHeight="1">
      <c r="A260" s="2" t="s">
        <v>2168</v>
      </c>
      <c r="B260" s="2" t="s">
        <v>1595</v>
      </c>
      <c r="C260" s="8" t="s">
        <v>2169</v>
      </c>
      <c r="D260" s="8" t="s">
        <v>81</v>
      </c>
      <c r="E260" s="2">
        <v>2023</v>
      </c>
      <c r="F260" s="16">
        <v>250</v>
      </c>
      <c r="G260" s="2">
        <v>2030</v>
      </c>
      <c r="H260" s="16">
        <v>371</v>
      </c>
      <c r="I260" s="16">
        <v>121</v>
      </c>
      <c r="J260" s="16">
        <v>48</v>
      </c>
      <c r="K260" s="8" t="s">
        <v>490</v>
      </c>
      <c r="L260" s="16"/>
      <c r="M260" s="16">
        <v>5.8011911740283084</v>
      </c>
      <c r="N260" s="16"/>
      <c r="O260" s="8" t="s">
        <v>166</v>
      </c>
      <c r="P260" s="8" t="s">
        <v>292</v>
      </c>
      <c r="Q260" s="2">
        <v>1</v>
      </c>
      <c r="R260" s="8" t="s">
        <v>2173</v>
      </c>
      <c r="S260" s="8" t="s">
        <v>2174</v>
      </c>
      <c r="T260" s="8" t="str">
        <f>HYPERLINK("https://seichotoushi-hojo.jp/assets/pdf/koufu_3_4ji/outline_66.pdf","PDFを開く")</f>
        <v>PDFを開く</v>
      </c>
      <c r="U260" s="8" t="s">
        <v>2176</v>
      </c>
    </row>
    <row r="261" spans="1:21" ht="48" customHeight="1">
      <c r="A261" s="5" t="s">
        <v>2177</v>
      </c>
      <c r="B261" s="5" t="s">
        <v>1595</v>
      </c>
      <c r="C261" s="9" t="s">
        <v>2178</v>
      </c>
      <c r="D261" s="9" t="s">
        <v>81</v>
      </c>
      <c r="E261" s="5"/>
      <c r="F261" s="17"/>
      <c r="G261" s="5">
        <v>2030</v>
      </c>
      <c r="H261" s="17"/>
      <c r="I261" s="17">
        <v>80</v>
      </c>
      <c r="J261" s="17">
        <v>21.3</v>
      </c>
      <c r="K261" s="9" t="s">
        <v>82</v>
      </c>
      <c r="L261" s="17"/>
      <c r="M261" s="17"/>
      <c r="N261" s="17"/>
      <c r="O261" s="9" t="s">
        <v>83</v>
      </c>
      <c r="P261" s="9" t="s">
        <v>84</v>
      </c>
      <c r="Q261" s="5">
        <v>1</v>
      </c>
      <c r="R261" s="9" t="s">
        <v>2182</v>
      </c>
      <c r="S261" s="9"/>
      <c r="T261" s="9" t="str">
        <f>HYPERLINK("https://seichotoushi-hojo.jp/assets/pdf/koufu_3_4ji/outline_67.pdf","PDFを開く")</f>
        <v>PDFを開く</v>
      </c>
      <c r="U261" s="9" t="s">
        <v>2184</v>
      </c>
    </row>
    <row r="262" spans="1:21" ht="48" customHeight="1">
      <c r="A262" s="2" t="s">
        <v>2185</v>
      </c>
      <c r="B262" s="2" t="s">
        <v>1595</v>
      </c>
      <c r="C262" s="8" t="s">
        <v>2186</v>
      </c>
      <c r="D262" s="8" t="s">
        <v>81</v>
      </c>
      <c r="E262" s="2"/>
      <c r="F262" s="16"/>
      <c r="G262" s="2">
        <v>2030</v>
      </c>
      <c r="H262" s="16"/>
      <c r="I262" s="16">
        <v>56</v>
      </c>
      <c r="J262" s="16">
        <v>68</v>
      </c>
      <c r="K262" s="8" t="s">
        <v>82</v>
      </c>
      <c r="L262" s="16"/>
      <c r="M262" s="16"/>
      <c r="N262" s="16"/>
      <c r="O262" s="8" t="s">
        <v>83</v>
      </c>
      <c r="P262" s="8" t="s">
        <v>84</v>
      </c>
      <c r="Q262" s="2">
        <v>1</v>
      </c>
      <c r="R262" s="8" t="s">
        <v>2190</v>
      </c>
      <c r="S262" s="8"/>
      <c r="T262" s="8" t="str">
        <f>HYPERLINK("https://seichotoushi-hojo.jp/assets/pdf/koufu_3_4ji/outline_68.pdf","PDFを開く")</f>
        <v>PDFを開く</v>
      </c>
      <c r="U262" s="8" t="s">
        <v>2192</v>
      </c>
    </row>
    <row r="263" spans="1:21" ht="48" customHeight="1">
      <c r="A263" s="5" t="s">
        <v>2193</v>
      </c>
      <c r="B263" s="5" t="s">
        <v>1595</v>
      </c>
      <c r="C263" s="9" t="s">
        <v>2194</v>
      </c>
      <c r="D263" s="9" t="s">
        <v>81</v>
      </c>
      <c r="E263" s="5"/>
      <c r="F263" s="17"/>
      <c r="G263" s="5"/>
      <c r="H263" s="17"/>
      <c r="I263" s="17">
        <v>176.4</v>
      </c>
      <c r="J263" s="17">
        <v>16.7</v>
      </c>
      <c r="K263" s="9" t="s">
        <v>82</v>
      </c>
      <c r="L263" s="17"/>
      <c r="M263" s="17"/>
      <c r="N263" s="17"/>
      <c r="O263" s="9" t="s">
        <v>83</v>
      </c>
      <c r="P263" s="9" t="s">
        <v>84</v>
      </c>
      <c r="Q263" s="5">
        <v>1</v>
      </c>
      <c r="R263" s="9" t="s">
        <v>2197</v>
      </c>
      <c r="S263" s="9"/>
      <c r="T263" s="9" t="str">
        <f>HYPERLINK("https://seichotoushi-hojo.jp/assets/pdf/koufu_3_4ji/outline_69.pdf","PDFを開く")</f>
        <v>PDFを開く</v>
      </c>
      <c r="U263" s="9" t="s">
        <v>2199</v>
      </c>
    </row>
    <row r="264" spans="1:21" ht="48" customHeight="1">
      <c r="A264" s="2" t="s">
        <v>2200</v>
      </c>
      <c r="B264" s="2" t="s">
        <v>1595</v>
      </c>
      <c r="C264" s="8" t="s">
        <v>706</v>
      </c>
      <c r="D264" s="8" t="s">
        <v>81</v>
      </c>
      <c r="E264" s="2"/>
      <c r="F264" s="16"/>
      <c r="G264" s="2">
        <v>2030</v>
      </c>
      <c r="H264" s="16"/>
      <c r="I264" s="16">
        <v>77.8</v>
      </c>
      <c r="J264" s="16">
        <v>82.6</v>
      </c>
      <c r="K264" s="8" t="s">
        <v>82</v>
      </c>
      <c r="L264" s="16"/>
      <c r="M264" s="16"/>
      <c r="N264" s="16"/>
      <c r="O264" s="8" t="s">
        <v>83</v>
      </c>
      <c r="P264" s="8" t="s">
        <v>84</v>
      </c>
      <c r="Q264" s="2">
        <v>1</v>
      </c>
      <c r="R264" s="8" t="s">
        <v>2204</v>
      </c>
      <c r="S264" s="8"/>
      <c r="T264" s="8" t="str">
        <f>HYPERLINK("https://seichotoushi-hojo.jp/assets/pdf/koufu_3_4ji/outline_70.pdf","PDFを開く")</f>
        <v>PDFを開く</v>
      </c>
      <c r="U264" s="8" t="s">
        <v>2206</v>
      </c>
    </row>
    <row r="265" spans="1:21" ht="48" customHeight="1">
      <c r="A265" s="5" t="s">
        <v>2207</v>
      </c>
      <c r="B265" s="5" t="s">
        <v>1595</v>
      </c>
      <c r="C265" s="9" t="s">
        <v>2208</v>
      </c>
      <c r="D265" s="9" t="s">
        <v>81</v>
      </c>
      <c r="E265" s="5"/>
      <c r="F265" s="17"/>
      <c r="G265" s="5">
        <v>2031</v>
      </c>
      <c r="H265" s="17"/>
      <c r="I265" s="17">
        <v>68.2</v>
      </c>
      <c r="J265" s="17">
        <v>244.8</v>
      </c>
      <c r="K265" s="9" t="s">
        <v>82</v>
      </c>
      <c r="L265" s="17"/>
      <c r="M265" s="17"/>
      <c r="N265" s="17"/>
      <c r="O265" s="9" t="s">
        <v>83</v>
      </c>
      <c r="P265" s="9" t="s">
        <v>84</v>
      </c>
      <c r="Q265" s="5">
        <v>1</v>
      </c>
      <c r="R265" s="9" t="s">
        <v>2212</v>
      </c>
      <c r="S265" s="9"/>
      <c r="T265" s="9" t="str">
        <f>HYPERLINK("https://seichotoushi-hojo.jp/assets/pdf/koufu_3_4ji/outline_71.pdf","PDFを開く")</f>
        <v>PDFを開く</v>
      </c>
      <c r="U265" s="9" t="s">
        <v>2214</v>
      </c>
    </row>
    <row r="266" spans="1:21" ht="48" customHeight="1">
      <c r="A266" s="2" t="s">
        <v>2215</v>
      </c>
      <c r="B266" s="2" t="s">
        <v>1595</v>
      </c>
      <c r="C266" s="8" t="s">
        <v>2216</v>
      </c>
      <c r="D266" s="8" t="s">
        <v>81</v>
      </c>
      <c r="E266" s="2"/>
      <c r="F266" s="16"/>
      <c r="G266" s="2">
        <v>2029</v>
      </c>
      <c r="H266" s="16"/>
      <c r="I266" s="16">
        <v>23.9</v>
      </c>
      <c r="J266" s="16">
        <v>25.99</v>
      </c>
      <c r="K266" s="8" t="s">
        <v>210</v>
      </c>
      <c r="L266" s="16"/>
      <c r="M266" s="16"/>
      <c r="N266" s="16"/>
      <c r="O266" s="8" t="s">
        <v>83</v>
      </c>
      <c r="P266" s="8" t="s">
        <v>84</v>
      </c>
      <c r="Q266" s="2">
        <v>1</v>
      </c>
      <c r="R266" s="8" t="s">
        <v>2219</v>
      </c>
      <c r="S266" s="8"/>
      <c r="T266" s="8" t="str">
        <f>HYPERLINK("https://seichotoushi-hojo.jp/assets/pdf/koufu_3_4ji/outline_72.pdf","PDFを開く")</f>
        <v>PDFを開く</v>
      </c>
      <c r="U266" s="8" t="s">
        <v>2221</v>
      </c>
    </row>
    <row r="267" spans="1:21" ht="48" customHeight="1">
      <c r="A267" s="5" t="s">
        <v>2222</v>
      </c>
      <c r="B267" s="5" t="s">
        <v>1595</v>
      </c>
      <c r="C267" s="9" t="s">
        <v>2223</v>
      </c>
      <c r="D267" s="9" t="s">
        <v>81</v>
      </c>
      <c r="E267" s="5"/>
      <c r="F267" s="17"/>
      <c r="G267" s="5">
        <v>2031</v>
      </c>
      <c r="H267" s="17"/>
      <c r="I267" s="17">
        <v>51</v>
      </c>
      <c r="J267" s="17">
        <v>133</v>
      </c>
      <c r="K267" s="9" t="s">
        <v>82</v>
      </c>
      <c r="L267" s="17"/>
      <c r="M267" s="17"/>
      <c r="N267" s="17"/>
      <c r="O267" s="9" t="s">
        <v>83</v>
      </c>
      <c r="P267" s="9" t="s">
        <v>84</v>
      </c>
      <c r="Q267" s="5">
        <v>1</v>
      </c>
      <c r="R267" s="9" t="s">
        <v>2225</v>
      </c>
      <c r="S267" s="9"/>
      <c r="T267" s="9" t="str">
        <f>HYPERLINK("https://seichotoushi-hojo.jp/assets/pdf/koufu_3_4ji/outline_73.pdf","PDFを開く")</f>
        <v>PDFを開く</v>
      </c>
      <c r="U267" s="9" t="s">
        <v>2227</v>
      </c>
    </row>
    <row r="268" spans="1:21" ht="48" customHeight="1">
      <c r="A268" s="2" t="s">
        <v>2228</v>
      </c>
      <c r="B268" s="2" t="s">
        <v>1595</v>
      </c>
      <c r="C268" s="8" t="s">
        <v>2229</v>
      </c>
      <c r="D268" s="8" t="s">
        <v>81</v>
      </c>
      <c r="E268" s="2">
        <v>2027</v>
      </c>
      <c r="F268" s="16">
        <v>509</v>
      </c>
      <c r="G268" s="2">
        <v>2031</v>
      </c>
      <c r="H268" s="16">
        <v>197</v>
      </c>
      <c r="I268" s="16">
        <v>503</v>
      </c>
      <c r="J268" s="16">
        <v>13.4</v>
      </c>
      <c r="K268" s="8" t="s">
        <v>82</v>
      </c>
      <c r="L268" s="16"/>
      <c r="M268" s="16">
        <v>-21.125410687364642</v>
      </c>
      <c r="N268" s="16"/>
      <c r="O268" s="8" t="s">
        <v>200</v>
      </c>
      <c r="P268" s="8" t="s">
        <v>84</v>
      </c>
      <c r="Q268" s="2">
        <v>2</v>
      </c>
      <c r="R268" s="8" t="s">
        <v>2233</v>
      </c>
      <c r="S268" s="8" t="s">
        <v>2234</v>
      </c>
      <c r="T268" s="8" t="str">
        <f>HYPERLINK("https://seichotoushi-hojo.jp/assets/pdf/koufu_3_4ji/outline_74.pdf","PDFを開く")</f>
        <v>PDFを開く</v>
      </c>
      <c r="U268" s="8" t="s">
        <v>2236</v>
      </c>
    </row>
    <row r="269" spans="1:21" ht="48" customHeight="1">
      <c r="A269" s="5" t="s">
        <v>2237</v>
      </c>
      <c r="B269" s="5" t="s">
        <v>1595</v>
      </c>
      <c r="C269" s="9" t="s">
        <v>2238</v>
      </c>
      <c r="D269" s="9" t="s">
        <v>81</v>
      </c>
      <c r="E269" s="5">
        <v>2024</v>
      </c>
      <c r="F269" s="17">
        <v>203</v>
      </c>
      <c r="G269" s="5">
        <v>2030</v>
      </c>
      <c r="H269" s="17">
        <v>475.3</v>
      </c>
      <c r="I269" s="17">
        <v>272.3</v>
      </c>
      <c r="J269" s="17">
        <v>16.7</v>
      </c>
      <c r="K269" s="9" t="s">
        <v>210</v>
      </c>
      <c r="L269" s="17">
        <v>16.7</v>
      </c>
      <c r="M269" s="17"/>
      <c r="N269" s="17"/>
      <c r="O269" s="9" t="s">
        <v>166</v>
      </c>
      <c r="P269" s="9" t="s">
        <v>292</v>
      </c>
      <c r="Q269" s="5">
        <v>1</v>
      </c>
      <c r="R269" s="9" t="s">
        <v>2241</v>
      </c>
      <c r="S269" s="9" t="s">
        <v>2242</v>
      </c>
      <c r="T269" s="9" t="str">
        <f>HYPERLINK("https://seichotoushi-hojo.jp/assets/pdf/koufu_3_4ji/outline_77.pdf","PDFを開く")</f>
        <v>PDFを開く</v>
      </c>
      <c r="U269" s="9" t="s">
        <v>2244</v>
      </c>
    </row>
    <row r="270" spans="1:21" ht="48" customHeight="1">
      <c r="A270" s="2" t="s">
        <v>2245</v>
      </c>
      <c r="B270" s="2" t="s">
        <v>1595</v>
      </c>
      <c r="C270" s="8" t="s">
        <v>2246</v>
      </c>
      <c r="D270" s="8" t="s">
        <v>81</v>
      </c>
      <c r="E270" s="2"/>
      <c r="F270" s="16"/>
      <c r="G270" s="2">
        <v>2029</v>
      </c>
      <c r="H270" s="16"/>
      <c r="I270" s="16">
        <v>80</v>
      </c>
      <c r="J270" s="16">
        <v>217</v>
      </c>
      <c r="K270" s="8" t="s">
        <v>82</v>
      </c>
      <c r="L270" s="16"/>
      <c r="M270" s="16"/>
      <c r="N270" s="16"/>
      <c r="O270" s="8" t="s">
        <v>83</v>
      </c>
      <c r="P270" s="8" t="s">
        <v>84</v>
      </c>
      <c r="Q270" s="2">
        <v>1</v>
      </c>
      <c r="R270" s="8" t="s">
        <v>2249</v>
      </c>
      <c r="S270" s="8"/>
      <c r="T270" s="8" t="str">
        <f>HYPERLINK("https://seichotoushi-hojo.jp/assets/pdf/koufu_3_4ji/outline_78.pdf","PDFを開く")</f>
        <v>PDFを開く</v>
      </c>
      <c r="U270" s="8" t="s">
        <v>2251</v>
      </c>
    </row>
    <row r="271" spans="1:21" ht="48" customHeight="1">
      <c r="A271" s="5" t="s">
        <v>2252</v>
      </c>
      <c r="B271" s="5" t="s">
        <v>1595</v>
      </c>
      <c r="C271" s="9" t="s">
        <v>2253</v>
      </c>
      <c r="D271" s="9" t="s">
        <v>81</v>
      </c>
      <c r="E271" s="5"/>
      <c r="F271" s="17"/>
      <c r="G271" s="5">
        <v>2029</v>
      </c>
      <c r="H271" s="17"/>
      <c r="I271" s="17">
        <v>208</v>
      </c>
      <c r="J271" s="17">
        <v>65</v>
      </c>
      <c r="K271" s="9" t="s">
        <v>82</v>
      </c>
      <c r="L271" s="17"/>
      <c r="M271" s="17"/>
      <c r="N271" s="17"/>
      <c r="O271" s="9" t="s">
        <v>83</v>
      </c>
      <c r="P271" s="9" t="s">
        <v>84</v>
      </c>
      <c r="Q271" s="5">
        <v>1</v>
      </c>
      <c r="R271" s="9" t="s">
        <v>2256</v>
      </c>
      <c r="S271" s="9"/>
      <c r="T271" s="9" t="str">
        <f>HYPERLINK("https://seichotoushi-hojo.jp/assets/pdf/koufu_3_4ji/outline_79.pdf","PDFを開く")</f>
        <v>PDFを開く</v>
      </c>
      <c r="U271" s="9" t="s">
        <v>2258</v>
      </c>
    </row>
    <row r="272" spans="1:21" ht="48" customHeight="1">
      <c r="A272" s="2" t="s">
        <v>2259</v>
      </c>
      <c r="B272" s="2" t="s">
        <v>1595</v>
      </c>
      <c r="C272" s="8" t="s">
        <v>2260</v>
      </c>
      <c r="D272" s="8" t="s">
        <v>81</v>
      </c>
      <c r="E272" s="2"/>
      <c r="F272" s="16"/>
      <c r="G272" s="2">
        <v>2030</v>
      </c>
      <c r="H272" s="16"/>
      <c r="I272" s="16">
        <v>167</v>
      </c>
      <c r="J272" s="16">
        <v>18.899999999999999</v>
      </c>
      <c r="K272" s="8" t="s">
        <v>82</v>
      </c>
      <c r="L272" s="16"/>
      <c r="M272" s="16"/>
      <c r="N272" s="16"/>
      <c r="O272" s="8" t="s">
        <v>83</v>
      </c>
      <c r="P272" s="8" t="s">
        <v>84</v>
      </c>
      <c r="Q272" s="2">
        <v>1</v>
      </c>
      <c r="R272" s="8" t="s">
        <v>2263</v>
      </c>
      <c r="S272" s="8"/>
      <c r="T272" s="8" t="str">
        <f>HYPERLINK("https://seichotoushi-hojo.jp/assets/pdf/koufu_3_4ji/outline_8.pdf","PDFを開く")</f>
        <v>PDFを開く</v>
      </c>
      <c r="U272" s="8" t="s">
        <v>2265</v>
      </c>
    </row>
    <row r="273" spans="1:21" ht="48" customHeight="1">
      <c r="A273" s="5" t="s">
        <v>2266</v>
      </c>
      <c r="B273" s="5" t="s">
        <v>1595</v>
      </c>
      <c r="C273" s="9" t="s">
        <v>2267</v>
      </c>
      <c r="D273" s="9" t="s">
        <v>81</v>
      </c>
      <c r="E273" s="5">
        <v>2029</v>
      </c>
      <c r="F273" s="17"/>
      <c r="G273" s="5">
        <v>2034</v>
      </c>
      <c r="H273" s="17">
        <v>500</v>
      </c>
      <c r="I273" s="17">
        <v>103</v>
      </c>
      <c r="J273" s="17">
        <v>222</v>
      </c>
      <c r="K273" s="9" t="s">
        <v>82</v>
      </c>
      <c r="L273" s="17"/>
      <c r="M273" s="17"/>
      <c r="N273" s="17"/>
      <c r="O273" s="9" t="s">
        <v>83</v>
      </c>
      <c r="P273" s="9" t="s">
        <v>84</v>
      </c>
      <c r="Q273" s="5">
        <v>1</v>
      </c>
      <c r="R273" s="9" t="s">
        <v>2270</v>
      </c>
      <c r="S273" s="9" t="s">
        <v>2271</v>
      </c>
      <c r="T273" s="9" t="str">
        <f>HYPERLINK("https://seichotoushi-hojo.jp/assets/pdf/koufu_3_4ji/outline_80.pdf","PDFを開く")</f>
        <v>PDFを開く</v>
      </c>
      <c r="U273" s="9" t="s">
        <v>2273</v>
      </c>
    </row>
    <row r="274" spans="1:21" ht="48" customHeight="1">
      <c r="A274" s="2" t="s">
        <v>2274</v>
      </c>
      <c r="B274" s="2" t="s">
        <v>1595</v>
      </c>
      <c r="C274" s="8" t="s">
        <v>2275</v>
      </c>
      <c r="D274" s="8" t="s">
        <v>81</v>
      </c>
      <c r="E274" s="2">
        <v>2023</v>
      </c>
      <c r="F274" s="16"/>
      <c r="G274" s="2">
        <v>2036</v>
      </c>
      <c r="H274" s="16">
        <v>215</v>
      </c>
      <c r="I274" s="16"/>
      <c r="J274" s="16">
        <v>156</v>
      </c>
      <c r="K274" s="8" t="s">
        <v>82</v>
      </c>
      <c r="L274" s="16"/>
      <c r="M274" s="16"/>
      <c r="N274" s="16"/>
      <c r="O274" s="8" t="s">
        <v>83</v>
      </c>
      <c r="P274" s="8" t="s">
        <v>84</v>
      </c>
      <c r="Q274" s="2">
        <v>1</v>
      </c>
      <c r="R274" s="8" t="s">
        <v>2279</v>
      </c>
      <c r="S274" s="8" t="s">
        <v>2280</v>
      </c>
      <c r="T274" s="8" t="str">
        <f>HYPERLINK("https://seichotoushi-hojo.jp/assets/pdf/koufu_3_4ji/outline_81.pdf","PDFを開く")</f>
        <v>PDFを開く</v>
      </c>
      <c r="U274" s="8" t="s">
        <v>2282</v>
      </c>
    </row>
    <row r="275" spans="1:21" ht="48" customHeight="1">
      <c r="A275" s="5" t="s">
        <v>2283</v>
      </c>
      <c r="B275" s="5" t="s">
        <v>1595</v>
      </c>
      <c r="C275" s="9" t="s">
        <v>2284</v>
      </c>
      <c r="D275" s="9" t="s">
        <v>81</v>
      </c>
      <c r="E275" s="5">
        <v>2024</v>
      </c>
      <c r="F275" s="17">
        <v>119</v>
      </c>
      <c r="G275" s="5">
        <v>2031</v>
      </c>
      <c r="H275" s="17">
        <v>119</v>
      </c>
      <c r="I275" s="17">
        <v>266</v>
      </c>
      <c r="J275" s="17">
        <v>124</v>
      </c>
      <c r="K275" s="9" t="s">
        <v>82</v>
      </c>
      <c r="L275" s="17"/>
      <c r="M275" s="17">
        <v>0</v>
      </c>
      <c r="N275" s="17"/>
      <c r="O275" s="9" t="s">
        <v>200</v>
      </c>
      <c r="P275" s="9" t="s">
        <v>84</v>
      </c>
      <c r="Q275" s="5">
        <v>1</v>
      </c>
      <c r="R275" s="9" t="s">
        <v>2287</v>
      </c>
      <c r="S275" s="9" t="s">
        <v>2288</v>
      </c>
      <c r="T275" s="9" t="str">
        <f>HYPERLINK("https://seichotoushi-hojo.jp/assets/pdf/koufu_3_4ji/outline_82.pdf","PDFを開く")</f>
        <v>PDFを開く</v>
      </c>
      <c r="U275" s="9" t="s">
        <v>2290</v>
      </c>
    </row>
    <row r="276" spans="1:21" ht="48" customHeight="1">
      <c r="A276" s="2" t="s">
        <v>2291</v>
      </c>
      <c r="B276" s="2" t="s">
        <v>1595</v>
      </c>
      <c r="C276" s="8" t="s">
        <v>2292</v>
      </c>
      <c r="D276" s="8" t="s">
        <v>81</v>
      </c>
      <c r="E276" s="2"/>
      <c r="F276" s="16"/>
      <c r="G276" s="2">
        <v>2030</v>
      </c>
      <c r="H276" s="16"/>
      <c r="I276" s="16">
        <v>30.2</v>
      </c>
      <c r="J276" s="16">
        <v>163.19999999999999</v>
      </c>
      <c r="K276" s="8" t="s">
        <v>210</v>
      </c>
      <c r="L276" s="16"/>
      <c r="M276" s="16"/>
      <c r="N276" s="16"/>
      <c r="O276" s="8" t="s">
        <v>83</v>
      </c>
      <c r="P276" s="8" t="s">
        <v>84</v>
      </c>
      <c r="Q276" s="2">
        <v>1</v>
      </c>
      <c r="R276" s="8" t="s">
        <v>2295</v>
      </c>
      <c r="S276" s="8"/>
      <c r="T276" s="8" t="str">
        <f>HYPERLINK("https://seichotoushi-hojo.jp/assets/pdf/koufu_3_4ji/outline_83.pdf","PDFを開く")</f>
        <v>PDFを開く</v>
      </c>
      <c r="U276" s="8" t="s">
        <v>2297</v>
      </c>
    </row>
    <row r="277" spans="1:21" ht="48" customHeight="1">
      <c r="A277" s="5" t="s">
        <v>2298</v>
      </c>
      <c r="B277" s="5" t="s">
        <v>1595</v>
      </c>
      <c r="C277" s="9" t="s">
        <v>2299</v>
      </c>
      <c r="D277" s="9" t="s">
        <v>81</v>
      </c>
      <c r="E277" s="5">
        <v>2024</v>
      </c>
      <c r="F277" s="17">
        <v>882</v>
      </c>
      <c r="G277" s="5">
        <v>2031</v>
      </c>
      <c r="H277" s="17">
        <v>2441</v>
      </c>
      <c r="I277" s="17"/>
      <c r="J277" s="17"/>
      <c r="K277" s="9"/>
      <c r="L277" s="17"/>
      <c r="M277" s="17">
        <v>15.653033300720098</v>
      </c>
      <c r="N277" s="17"/>
      <c r="O277" s="9" t="s">
        <v>100</v>
      </c>
      <c r="P277" s="9" t="s">
        <v>84</v>
      </c>
      <c r="Q277" s="5">
        <v>1</v>
      </c>
      <c r="R277" s="9" t="s">
        <v>2301</v>
      </c>
      <c r="S277" s="9" t="s">
        <v>2302</v>
      </c>
      <c r="T277" s="9" t="str">
        <f>HYPERLINK("https://seichotoushi-hojo.jp/assets/pdf/koufu_3_4ji/outline_84.pdf","PDFを開く")</f>
        <v>PDFを開く</v>
      </c>
      <c r="U277" s="9" t="s">
        <v>2304</v>
      </c>
    </row>
    <row r="278" spans="1:21" ht="48" customHeight="1">
      <c r="A278" s="2" t="s">
        <v>2305</v>
      </c>
      <c r="B278" s="2" t="s">
        <v>1595</v>
      </c>
      <c r="C278" s="8" t="s">
        <v>2306</v>
      </c>
      <c r="D278" s="8" t="s">
        <v>81</v>
      </c>
      <c r="E278" s="2">
        <v>2014</v>
      </c>
      <c r="F278" s="16"/>
      <c r="G278" s="2">
        <v>2034</v>
      </c>
      <c r="H278" s="16"/>
      <c r="I278" s="16">
        <v>47</v>
      </c>
      <c r="J278" s="16">
        <v>107.5</v>
      </c>
      <c r="K278" s="8" t="s">
        <v>82</v>
      </c>
      <c r="L278" s="16"/>
      <c r="M278" s="16"/>
      <c r="N278" s="16"/>
      <c r="O278" s="8" t="s">
        <v>83</v>
      </c>
      <c r="P278" s="8" t="s">
        <v>84</v>
      </c>
      <c r="Q278" s="2">
        <v>1</v>
      </c>
      <c r="R278" s="8" t="s">
        <v>2309</v>
      </c>
      <c r="S278" s="8" t="s">
        <v>2310</v>
      </c>
      <c r="T278" s="8" t="str">
        <f>HYPERLINK("https://seichotoushi-hojo.jp/assets/pdf/koufu_3_4ji/outline_85.pdf","PDFを開く")</f>
        <v>PDFを開く</v>
      </c>
      <c r="U278" s="8" t="s">
        <v>2312</v>
      </c>
    </row>
    <row r="279" spans="1:21" ht="48" customHeight="1">
      <c r="A279" s="5" t="s">
        <v>2313</v>
      </c>
      <c r="B279" s="5" t="s">
        <v>1595</v>
      </c>
      <c r="C279" s="9" t="s">
        <v>2314</v>
      </c>
      <c r="D279" s="9" t="s">
        <v>81</v>
      </c>
      <c r="E279" s="5"/>
      <c r="F279" s="17"/>
      <c r="G279" s="5">
        <v>2030</v>
      </c>
      <c r="H279" s="17"/>
      <c r="I279" s="17">
        <v>420</v>
      </c>
      <c r="J279" s="17">
        <v>10</v>
      </c>
      <c r="K279" s="9" t="s">
        <v>82</v>
      </c>
      <c r="L279" s="17"/>
      <c r="M279" s="17"/>
      <c r="N279" s="17"/>
      <c r="O279" s="9" t="s">
        <v>83</v>
      </c>
      <c r="P279" s="9" t="s">
        <v>84</v>
      </c>
      <c r="Q279" s="5">
        <v>1</v>
      </c>
      <c r="R279" s="9" t="s">
        <v>2317</v>
      </c>
      <c r="S279" s="9"/>
      <c r="T279" s="9" t="str">
        <f>HYPERLINK("https://seichotoushi-hojo.jp/assets/pdf/koufu_3_4ji/outline_86.pdf","PDFを開く")</f>
        <v>PDFを開く</v>
      </c>
      <c r="U279" s="9" t="s">
        <v>2319</v>
      </c>
    </row>
    <row r="280" spans="1:21" ht="48" customHeight="1">
      <c r="A280" s="2" t="s">
        <v>2320</v>
      </c>
      <c r="B280" s="2" t="s">
        <v>1595</v>
      </c>
      <c r="C280" s="8" t="s">
        <v>2321</v>
      </c>
      <c r="D280" s="8" t="s">
        <v>81</v>
      </c>
      <c r="E280" s="2">
        <v>2030</v>
      </c>
      <c r="F280" s="16"/>
      <c r="G280" s="2">
        <v>2033</v>
      </c>
      <c r="H280" s="16">
        <v>200</v>
      </c>
      <c r="I280" s="16">
        <v>99</v>
      </c>
      <c r="J280" s="16">
        <v>122</v>
      </c>
      <c r="K280" s="8" t="s">
        <v>82</v>
      </c>
      <c r="L280" s="16"/>
      <c r="M280" s="16"/>
      <c r="N280" s="16"/>
      <c r="O280" s="8" t="s">
        <v>83</v>
      </c>
      <c r="P280" s="8" t="s">
        <v>84</v>
      </c>
      <c r="Q280" s="2">
        <v>1</v>
      </c>
      <c r="R280" s="8" t="s">
        <v>2325</v>
      </c>
      <c r="S280" s="8" t="s">
        <v>1190</v>
      </c>
      <c r="T280" s="8" t="str">
        <f>HYPERLINK("https://seichotoushi-hojo.jp/assets/pdf/koufu_3_4ji/outline_87.pdf","PDFを開く")</f>
        <v>PDFを開く</v>
      </c>
      <c r="U280" s="8" t="s">
        <v>2327</v>
      </c>
    </row>
    <row r="281" spans="1:21" ht="48" customHeight="1">
      <c r="A281" s="5" t="s">
        <v>2328</v>
      </c>
      <c r="B281" s="5" t="s">
        <v>1595</v>
      </c>
      <c r="C281" s="9" t="s">
        <v>2329</v>
      </c>
      <c r="D281" s="9" t="s">
        <v>81</v>
      </c>
      <c r="E281" s="5"/>
      <c r="F281" s="17"/>
      <c r="G281" s="5">
        <v>2031</v>
      </c>
      <c r="H281" s="17">
        <v>100</v>
      </c>
      <c r="I281" s="17">
        <v>82.1</v>
      </c>
      <c r="J281" s="17">
        <v>459</v>
      </c>
      <c r="K281" s="9" t="s">
        <v>82</v>
      </c>
      <c r="L281" s="17"/>
      <c r="M281" s="17"/>
      <c r="N281" s="17"/>
      <c r="O281" s="9" t="s">
        <v>83</v>
      </c>
      <c r="P281" s="9" t="s">
        <v>84</v>
      </c>
      <c r="Q281" s="5">
        <v>1</v>
      </c>
      <c r="R281" s="9" t="s">
        <v>2332</v>
      </c>
      <c r="S281" s="9" t="s">
        <v>2333</v>
      </c>
      <c r="T281" s="9" t="str">
        <f>HYPERLINK("https://seichotoushi-hojo.jp/assets/pdf/koufu_3_4ji/outline_88.pdf","PDFを開く")</f>
        <v>PDFを開く</v>
      </c>
      <c r="U281" s="9" t="s">
        <v>2335</v>
      </c>
    </row>
    <row r="282" spans="1:21" ht="48" customHeight="1">
      <c r="A282" s="2" t="s">
        <v>2336</v>
      </c>
      <c r="B282" s="2" t="s">
        <v>1595</v>
      </c>
      <c r="C282" s="8" t="s">
        <v>2337</v>
      </c>
      <c r="D282" s="8" t="s">
        <v>81</v>
      </c>
      <c r="E282" s="2">
        <v>2023</v>
      </c>
      <c r="F282" s="16">
        <v>316</v>
      </c>
      <c r="G282" s="2">
        <v>2030</v>
      </c>
      <c r="H282" s="16">
        <v>665</v>
      </c>
      <c r="I282" s="16"/>
      <c r="J282" s="16">
        <v>90.8</v>
      </c>
      <c r="K282" s="8" t="s">
        <v>82</v>
      </c>
      <c r="L282" s="16"/>
      <c r="M282" s="16">
        <v>11.214670730140996</v>
      </c>
      <c r="N282" s="16"/>
      <c r="O282" s="8" t="s">
        <v>418</v>
      </c>
      <c r="P282" s="8" t="s">
        <v>587</v>
      </c>
      <c r="Q282" s="2">
        <v>1</v>
      </c>
      <c r="R282" s="8" t="s">
        <v>2340</v>
      </c>
      <c r="S282" s="8" t="s">
        <v>2341</v>
      </c>
      <c r="T282" s="8" t="str">
        <f>HYPERLINK("https://seichotoushi-hojo.jp/assets/pdf/koufu_3_4ji/outline_89.pdf","PDFを開く")</f>
        <v>PDFを開く</v>
      </c>
      <c r="U282" s="8" t="s">
        <v>2344</v>
      </c>
    </row>
    <row r="283" spans="1:21" ht="48" customHeight="1">
      <c r="A283" s="5" t="s">
        <v>2345</v>
      </c>
      <c r="B283" s="5" t="s">
        <v>1595</v>
      </c>
      <c r="C283" s="9" t="s">
        <v>2346</v>
      </c>
      <c r="D283" s="9" t="s">
        <v>81</v>
      </c>
      <c r="E283" s="5">
        <v>2024</v>
      </c>
      <c r="F283" s="17"/>
      <c r="G283" s="5">
        <v>2031</v>
      </c>
      <c r="H283" s="17"/>
      <c r="I283" s="17">
        <v>255</v>
      </c>
      <c r="J283" s="17">
        <v>97.2</v>
      </c>
      <c r="K283" s="9" t="s">
        <v>82</v>
      </c>
      <c r="L283" s="17"/>
      <c r="M283" s="17"/>
      <c r="N283" s="17"/>
      <c r="O283" s="9" t="s">
        <v>83</v>
      </c>
      <c r="P283" s="9" t="s">
        <v>84</v>
      </c>
      <c r="Q283" s="5">
        <v>1</v>
      </c>
      <c r="R283" s="9" t="s">
        <v>2350</v>
      </c>
      <c r="S283" s="9"/>
      <c r="T283" s="9" t="str">
        <f>HYPERLINK("https://seichotoushi-hojo.jp/assets/pdf/koufu_3_4ji/outline_9.pdf","PDFを開く")</f>
        <v>PDFを開く</v>
      </c>
      <c r="U283" s="9" t="s">
        <v>2352</v>
      </c>
    </row>
    <row r="284" spans="1:21" ht="48" customHeight="1">
      <c r="A284" s="2" t="s">
        <v>2353</v>
      </c>
      <c r="B284" s="2" t="s">
        <v>1595</v>
      </c>
      <c r="C284" s="8" t="s">
        <v>2354</v>
      </c>
      <c r="D284" s="8" t="s">
        <v>81</v>
      </c>
      <c r="E284" s="2">
        <v>2024</v>
      </c>
      <c r="F284" s="16"/>
      <c r="G284" s="2">
        <v>2031</v>
      </c>
      <c r="H284" s="16">
        <v>45.67</v>
      </c>
      <c r="I284" s="16"/>
      <c r="J284" s="16">
        <v>13.38</v>
      </c>
      <c r="K284" s="8" t="s">
        <v>210</v>
      </c>
      <c r="L284" s="16"/>
      <c r="M284" s="16"/>
      <c r="N284" s="16"/>
      <c r="O284" s="8" t="s">
        <v>83</v>
      </c>
      <c r="P284" s="8" t="s">
        <v>587</v>
      </c>
      <c r="Q284" s="2">
        <v>1</v>
      </c>
      <c r="R284" s="8" t="s">
        <v>2358</v>
      </c>
      <c r="S284" s="8" t="s">
        <v>2359</v>
      </c>
      <c r="T284" s="8" t="str">
        <f>HYPERLINK("https://seichotoushi-hojo.jp/assets/pdf/koufu_3_4ji/outline_90.pdf","PDFを開く")</f>
        <v>PDFを開く</v>
      </c>
      <c r="U284" s="8" t="s">
        <v>2361</v>
      </c>
    </row>
    <row r="285" spans="1:21" ht="48" customHeight="1">
      <c r="A285" s="5" t="s">
        <v>2362</v>
      </c>
      <c r="B285" s="5" t="s">
        <v>1595</v>
      </c>
      <c r="C285" s="9" t="s">
        <v>2363</v>
      </c>
      <c r="D285" s="9" t="s">
        <v>81</v>
      </c>
      <c r="E285" s="5"/>
      <c r="F285" s="17"/>
      <c r="G285" s="5"/>
      <c r="H285" s="17"/>
      <c r="I285" s="17">
        <v>73</v>
      </c>
      <c r="J285" s="17">
        <v>16.899999999999999</v>
      </c>
      <c r="K285" s="9" t="s">
        <v>210</v>
      </c>
      <c r="L285" s="17"/>
      <c r="M285" s="17"/>
      <c r="N285" s="17"/>
      <c r="O285" s="9" t="s">
        <v>83</v>
      </c>
      <c r="P285" s="9" t="s">
        <v>84</v>
      </c>
      <c r="Q285" s="5">
        <v>1</v>
      </c>
      <c r="R285" s="9" t="s">
        <v>2369</v>
      </c>
      <c r="S285" s="9"/>
      <c r="T285" s="9" t="str">
        <f>HYPERLINK("https://seichotoushi-hojo.jp/assets/pdf/koufu_3_4ji/outline_91.pdf","PDFを開く")</f>
        <v>PDFを開く</v>
      </c>
      <c r="U285" s="9" t="s">
        <v>2371</v>
      </c>
    </row>
    <row r="286" spans="1:21" ht="48" customHeight="1">
      <c r="A286" s="2" t="s">
        <v>2372</v>
      </c>
      <c r="B286" s="2" t="s">
        <v>1595</v>
      </c>
      <c r="C286" s="8" t="s">
        <v>2373</v>
      </c>
      <c r="D286" s="8" t="s">
        <v>81</v>
      </c>
      <c r="E286" s="2"/>
      <c r="F286" s="16"/>
      <c r="G286" s="2">
        <v>2030</v>
      </c>
      <c r="H286" s="16"/>
      <c r="I286" s="16">
        <v>163</v>
      </c>
      <c r="J286" s="16">
        <v>20.32</v>
      </c>
      <c r="K286" s="8" t="s">
        <v>82</v>
      </c>
      <c r="L286" s="16"/>
      <c r="M286" s="16"/>
      <c r="N286" s="16"/>
      <c r="O286" s="8" t="s">
        <v>83</v>
      </c>
      <c r="P286" s="8" t="s">
        <v>84</v>
      </c>
      <c r="Q286" s="2">
        <v>1</v>
      </c>
      <c r="R286" s="8" t="s">
        <v>2377</v>
      </c>
      <c r="S286" s="8"/>
      <c r="T286" s="8" t="str">
        <f>HYPERLINK("https://seichotoushi-hojo.jp/assets/pdf/koufu_3_4ji/outline_93.pdf","PDFを開く")</f>
        <v>PDFを開く</v>
      </c>
      <c r="U286" s="8" t="s">
        <v>2379</v>
      </c>
    </row>
    <row r="287" spans="1:21" ht="48" customHeight="1">
      <c r="A287" s="5" t="s">
        <v>2380</v>
      </c>
      <c r="B287" s="5" t="s">
        <v>1595</v>
      </c>
      <c r="C287" s="9" t="s">
        <v>2381</v>
      </c>
      <c r="D287" s="9" t="s">
        <v>116</v>
      </c>
      <c r="E287" s="5">
        <v>2024</v>
      </c>
      <c r="F287" s="17">
        <v>49.42</v>
      </c>
      <c r="G287" s="5">
        <v>2030</v>
      </c>
      <c r="H287" s="17">
        <v>154.47</v>
      </c>
      <c r="I287" s="17">
        <v>105.04</v>
      </c>
      <c r="J287" s="17">
        <v>312.5</v>
      </c>
      <c r="K287" s="9" t="s">
        <v>2384</v>
      </c>
      <c r="L287" s="17"/>
      <c r="M287" s="17">
        <v>20.917799248350576</v>
      </c>
      <c r="N287" s="17"/>
      <c r="O287" s="9" t="s">
        <v>166</v>
      </c>
      <c r="P287" s="9" t="s">
        <v>292</v>
      </c>
      <c r="Q287" s="5">
        <v>1</v>
      </c>
      <c r="R287" s="9" t="s">
        <v>2385</v>
      </c>
      <c r="S287" s="9" t="s">
        <v>2386</v>
      </c>
      <c r="T287" s="9" t="str">
        <f>HYPERLINK("https://seichotoushi-hojo.jp/assets/pdf/koufu_3_4ji/outline_94.pdf","PDFを開く")</f>
        <v>PDFを開く</v>
      </c>
      <c r="U287" s="9" t="s">
        <v>2388</v>
      </c>
    </row>
    <row r="288" spans="1:21" ht="48" customHeight="1">
      <c r="A288" s="2" t="s">
        <v>2389</v>
      </c>
      <c r="B288" s="2" t="s">
        <v>1595</v>
      </c>
      <c r="C288" s="8" t="s">
        <v>2390</v>
      </c>
      <c r="D288" s="8" t="s">
        <v>81</v>
      </c>
      <c r="E288" s="2"/>
      <c r="F288" s="16"/>
      <c r="G288" s="2">
        <v>2031</v>
      </c>
      <c r="H288" s="16"/>
      <c r="I288" s="16">
        <v>36.6</v>
      </c>
      <c r="J288" s="16">
        <v>25</v>
      </c>
      <c r="K288" s="8" t="s">
        <v>82</v>
      </c>
      <c r="L288" s="16"/>
      <c r="M288" s="16"/>
      <c r="N288" s="16"/>
      <c r="O288" s="8" t="s">
        <v>83</v>
      </c>
      <c r="P288" s="8" t="s">
        <v>587</v>
      </c>
      <c r="Q288" s="2">
        <v>1</v>
      </c>
      <c r="R288" s="8" t="s">
        <v>2393</v>
      </c>
      <c r="S288" s="8"/>
      <c r="T288" s="8" t="str">
        <f>HYPERLINK("https://seichotoushi-hojo.jp/assets/pdf/koufu_3_4ji/outline_95.pdf","PDFを開く")</f>
        <v>PDFを開く</v>
      </c>
      <c r="U288" s="8" t="s">
        <v>2395</v>
      </c>
    </row>
    <row r="289" spans="1:21" ht="48" customHeight="1">
      <c r="A289" s="5" t="s">
        <v>2396</v>
      </c>
      <c r="B289" s="5" t="s">
        <v>1595</v>
      </c>
      <c r="C289" s="9" t="s">
        <v>2397</v>
      </c>
      <c r="D289" s="9" t="s">
        <v>81</v>
      </c>
      <c r="E289" s="5"/>
      <c r="F289" s="17"/>
      <c r="G289" s="5">
        <v>2029</v>
      </c>
      <c r="H289" s="17"/>
      <c r="I289" s="17">
        <v>52.67</v>
      </c>
      <c r="J289" s="17">
        <v>81.88</v>
      </c>
      <c r="K289" s="9" t="s">
        <v>82</v>
      </c>
      <c r="L289" s="17"/>
      <c r="M289" s="17"/>
      <c r="N289" s="17"/>
      <c r="O289" s="9" t="s">
        <v>83</v>
      </c>
      <c r="P289" s="9" t="s">
        <v>84</v>
      </c>
      <c r="Q289" s="5">
        <v>1</v>
      </c>
      <c r="R289" s="9" t="s">
        <v>2401</v>
      </c>
      <c r="S289" s="9"/>
      <c r="T289" s="9" t="str">
        <f>HYPERLINK("https://seichotoushi-hojo.jp/assets/pdf/koufu_3_4ji/outline_96.pdf","PDFを開く")</f>
        <v>PDFを開く</v>
      </c>
      <c r="U289" s="9" t="s">
        <v>2403</v>
      </c>
    </row>
    <row r="290" spans="1:21" ht="48" customHeight="1">
      <c r="A290" s="2" t="s">
        <v>2404</v>
      </c>
      <c r="B290" s="2" t="s">
        <v>1595</v>
      </c>
      <c r="C290" s="8" t="s">
        <v>2405</v>
      </c>
      <c r="D290" s="8" t="s">
        <v>81</v>
      </c>
      <c r="E290" s="2">
        <v>2024</v>
      </c>
      <c r="F290" s="16"/>
      <c r="G290" s="2">
        <v>2030</v>
      </c>
      <c r="H290" s="16"/>
      <c r="I290" s="16">
        <v>129</v>
      </c>
      <c r="J290" s="16">
        <v>214</v>
      </c>
      <c r="K290" s="8" t="s">
        <v>82</v>
      </c>
      <c r="L290" s="16"/>
      <c r="M290" s="16"/>
      <c r="N290" s="16"/>
      <c r="O290" s="8" t="s">
        <v>83</v>
      </c>
      <c r="P290" s="8" t="s">
        <v>84</v>
      </c>
      <c r="Q290" s="2">
        <v>1</v>
      </c>
      <c r="R290" s="8" t="s">
        <v>2409</v>
      </c>
      <c r="S290" s="8"/>
      <c r="T290" s="8" t="str">
        <f>HYPERLINK("https://seichotoushi-hojo.jp/assets/pdf/koufu_3_4ji/outline_97.pdf","PDFを開く")</f>
        <v>PDFを開く</v>
      </c>
      <c r="U290" s="8" t="s">
        <v>2411</v>
      </c>
    </row>
    <row r="291" spans="1:21" ht="48" customHeight="1">
      <c r="A291" s="5" t="s">
        <v>2412</v>
      </c>
      <c r="B291" s="5" t="s">
        <v>1595</v>
      </c>
      <c r="C291" s="9" t="s">
        <v>2413</v>
      </c>
      <c r="D291" s="9" t="s">
        <v>81</v>
      </c>
      <c r="E291" s="5"/>
      <c r="F291" s="17"/>
      <c r="G291" s="5">
        <v>2029</v>
      </c>
      <c r="H291" s="17"/>
      <c r="I291" s="17">
        <v>167</v>
      </c>
      <c r="J291" s="17">
        <v>169</v>
      </c>
      <c r="K291" s="9" t="s">
        <v>82</v>
      </c>
      <c r="L291" s="17"/>
      <c r="M291" s="17"/>
      <c r="N291" s="17"/>
      <c r="O291" s="9" t="s">
        <v>83</v>
      </c>
      <c r="P291" s="9" t="s">
        <v>84</v>
      </c>
      <c r="Q291" s="5">
        <v>1</v>
      </c>
      <c r="R291" s="9" t="s">
        <v>2417</v>
      </c>
      <c r="S291" s="9"/>
      <c r="T291" s="9" t="str">
        <f>HYPERLINK("https://seichotoushi-hojo.jp/assets/pdf/koufu_3_4ji/outline_98.pdf","PDFを開く")</f>
        <v>PDFを開く</v>
      </c>
      <c r="U291" s="9" t="s">
        <v>2419</v>
      </c>
    </row>
    <row r="292" spans="1:21" ht="48" customHeight="1">
      <c r="A292" s="2" t="s">
        <v>2420</v>
      </c>
      <c r="B292" s="2" t="s">
        <v>1595</v>
      </c>
      <c r="C292" s="8" t="s">
        <v>2421</v>
      </c>
      <c r="D292" s="8" t="s">
        <v>81</v>
      </c>
      <c r="E292" s="2"/>
      <c r="F292" s="16"/>
      <c r="G292" s="2">
        <v>2030</v>
      </c>
      <c r="H292" s="16"/>
      <c r="I292" s="16">
        <v>135</v>
      </c>
      <c r="J292" s="16">
        <v>84</v>
      </c>
      <c r="K292" s="8" t="s">
        <v>82</v>
      </c>
      <c r="L292" s="16"/>
      <c r="M292" s="16"/>
      <c r="N292" s="16"/>
      <c r="O292" s="8" t="s">
        <v>83</v>
      </c>
      <c r="P292" s="8" t="s">
        <v>84</v>
      </c>
      <c r="Q292" s="2">
        <v>2</v>
      </c>
      <c r="R292" s="8" t="s">
        <v>2425</v>
      </c>
      <c r="S292" s="8"/>
      <c r="T292" s="8" t="str">
        <f>HYPERLINK("https://seichotoushi-hojo.jp/assets/pdf/koufu_3_4ji/outline_99.pdf","PDFを開く")</f>
        <v>PDFを開く</v>
      </c>
      <c r="U292" s="8" t="s">
        <v>2427</v>
      </c>
    </row>
    <row r="293" spans="1:21" ht="48" customHeight="1">
      <c r="A293" s="5" t="s">
        <v>2429</v>
      </c>
      <c r="B293" s="5" t="s">
        <v>2430</v>
      </c>
      <c r="C293" s="9" t="s">
        <v>2431</v>
      </c>
      <c r="D293" s="9" t="s">
        <v>81</v>
      </c>
      <c r="E293" s="5"/>
      <c r="F293" s="17"/>
      <c r="G293" s="5">
        <v>2030</v>
      </c>
      <c r="H293" s="17"/>
      <c r="I293" s="17">
        <v>78.33</v>
      </c>
      <c r="J293" s="17">
        <v>14.3</v>
      </c>
      <c r="K293" s="9" t="s">
        <v>210</v>
      </c>
      <c r="L293" s="17"/>
      <c r="M293" s="17"/>
      <c r="N293" s="17"/>
      <c r="O293" s="9" t="s">
        <v>83</v>
      </c>
      <c r="P293" s="9" t="s">
        <v>84</v>
      </c>
      <c r="Q293" s="5">
        <v>1</v>
      </c>
      <c r="R293" s="9" t="s">
        <v>2434</v>
      </c>
      <c r="S293" s="9"/>
      <c r="T293" s="9" t="str">
        <f>HYPERLINK("https://seichotoushi-hojo.jp/assets/pdf/koufu_3_4ji/outline_113.pdf","PDFを開く")</f>
        <v>PDFを開く</v>
      </c>
      <c r="U293" s="9" t="s">
        <v>2436</v>
      </c>
    </row>
    <row r="294" spans="1:21" ht="48" customHeight="1">
      <c r="A294" s="2" t="s">
        <v>2437</v>
      </c>
      <c r="B294" s="2" t="s">
        <v>2430</v>
      </c>
      <c r="C294" s="8" t="s">
        <v>2438</v>
      </c>
      <c r="D294" s="8" t="s">
        <v>81</v>
      </c>
      <c r="E294" s="2"/>
      <c r="F294" s="16"/>
      <c r="G294" s="2">
        <v>2030</v>
      </c>
      <c r="H294" s="16"/>
      <c r="I294" s="16">
        <v>37.06</v>
      </c>
      <c r="J294" s="16">
        <v>10.02</v>
      </c>
      <c r="K294" s="8" t="s">
        <v>210</v>
      </c>
      <c r="L294" s="16"/>
      <c r="M294" s="16"/>
      <c r="N294" s="16"/>
      <c r="O294" s="8" t="s">
        <v>83</v>
      </c>
      <c r="P294" s="8" t="s">
        <v>84</v>
      </c>
      <c r="Q294" s="2">
        <v>1</v>
      </c>
      <c r="R294" s="8" t="s">
        <v>2441</v>
      </c>
      <c r="S294" s="8"/>
      <c r="T294" s="8" t="str">
        <f>HYPERLINK("https://seichotoushi-hojo.jp/assets/pdf/koufu_3_4ji/outline_115.pdf","PDFを開く")</f>
        <v>PDFを開く</v>
      </c>
      <c r="U294" s="8" t="s">
        <v>2443</v>
      </c>
    </row>
    <row r="295" spans="1:21" ht="48" customHeight="1">
      <c r="A295" s="5" t="s">
        <v>2444</v>
      </c>
      <c r="B295" s="5" t="s">
        <v>2430</v>
      </c>
      <c r="C295" s="9" t="s">
        <v>2445</v>
      </c>
      <c r="D295" s="9" t="s">
        <v>81</v>
      </c>
      <c r="E295" s="5">
        <v>2024</v>
      </c>
      <c r="F295" s="17"/>
      <c r="G295" s="5">
        <v>2030</v>
      </c>
      <c r="H295" s="17"/>
      <c r="I295" s="17">
        <v>73.2</v>
      </c>
      <c r="J295" s="17">
        <v>31.3</v>
      </c>
      <c r="K295" s="9" t="s">
        <v>82</v>
      </c>
      <c r="L295" s="17"/>
      <c r="M295" s="17"/>
      <c r="N295" s="17"/>
      <c r="O295" s="9" t="s">
        <v>83</v>
      </c>
      <c r="P295" s="9" t="s">
        <v>84</v>
      </c>
      <c r="Q295" s="5">
        <v>1</v>
      </c>
      <c r="R295" s="9" t="s">
        <v>2448</v>
      </c>
      <c r="S295" s="9"/>
      <c r="T295" s="9" t="str">
        <f>HYPERLINK("https://seichotoushi-hojo.jp/assets/pdf/koufu_3_4ji/outline_116.pdf","PDFを開く")</f>
        <v>PDFを開く</v>
      </c>
      <c r="U295" s="9" t="s">
        <v>2450</v>
      </c>
    </row>
    <row r="296" spans="1:21" ht="48" customHeight="1">
      <c r="A296" s="2" t="s">
        <v>2451</v>
      </c>
      <c r="B296" s="2" t="s">
        <v>2430</v>
      </c>
      <c r="C296" s="8" t="s">
        <v>2452</v>
      </c>
      <c r="D296" s="8" t="s">
        <v>81</v>
      </c>
      <c r="E296" s="2"/>
      <c r="F296" s="16"/>
      <c r="G296" s="2">
        <v>2030</v>
      </c>
      <c r="H296" s="16"/>
      <c r="I296" s="16">
        <v>71.3</v>
      </c>
      <c r="J296" s="16">
        <v>282.8</v>
      </c>
      <c r="K296" s="8" t="s">
        <v>210</v>
      </c>
      <c r="L296" s="16"/>
      <c r="M296" s="16"/>
      <c r="N296" s="16"/>
      <c r="O296" s="8" t="s">
        <v>83</v>
      </c>
      <c r="P296" s="8" t="s">
        <v>84</v>
      </c>
      <c r="Q296" s="2">
        <v>1</v>
      </c>
      <c r="R296" s="8" t="s">
        <v>2456</v>
      </c>
      <c r="S296" s="8"/>
      <c r="T296" s="8" t="str">
        <f>HYPERLINK("https://seichotoushi-hojo.jp/assets/pdf/koufu_3_4ji/outline_117.pdf","PDFを開く")</f>
        <v>PDFを開く</v>
      </c>
      <c r="U296" s="8" t="s">
        <v>2458</v>
      </c>
    </row>
    <row r="297" spans="1:21" ht="48" customHeight="1">
      <c r="A297" s="5" t="s">
        <v>2459</v>
      </c>
      <c r="B297" s="5" t="s">
        <v>2430</v>
      </c>
      <c r="C297" s="9" t="s">
        <v>2460</v>
      </c>
      <c r="D297" s="9" t="s">
        <v>81</v>
      </c>
      <c r="E297" s="5"/>
      <c r="F297" s="17"/>
      <c r="G297" s="5">
        <v>2031</v>
      </c>
      <c r="H297" s="17"/>
      <c r="I297" s="17">
        <v>246</v>
      </c>
      <c r="J297" s="17">
        <v>8.6</v>
      </c>
      <c r="K297" s="9" t="s">
        <v>210</v>
      </c>
      <c r="L297" s="17"/>
      <c r="M297" s="17"/>
      <c r="N297" s="17"/>
      <c r="O297" s="9" t="s">
        <v>83</v>
      </c>
      <c r="P297" s="9" t="s">
        <v>84</v>
      </c>
      <c r="Q297" s="5">
        <v>1</v>
      </c>
      <c r="R297" s="9" t="s">
        <v>2464</v>
      </c>
      <c r="S297" s="9"/>
      <c r="T297" s="9" t="str">
        <f>HYPERLINK("https://seichotoushi-hojo.jp/assets/pdf/koufu_3_4ji/outline_118.pdf","PDFを開く")</f>
        <v>PDFを開く</v>
      </c>
      <c r="U297" s="9" t="s">
        <v>2466</v>
      </c>
    </row>
    <row r="298" spans="1:21" ht="48" customHeight="1">
      <c r="A298" s="2" t="s">
        <v>2467</v>
      </c>
      <c r="B298" s="2" t="s">
        <v>2430</v>
      </c>
      <c r="C298" s="8" t="s">
        <v>2468</v>
      </c>
      <c r="D298" s="8" t="s">
        <v>81</v>
      </c>
      <c r="E298" s="2">
        <v>2024</v>
      </c>
      <c r="F298" s="16">
        <v>22.26</v>
      </c>
      <c r="G298" s="2">
        <v>2030</v>
      </c>
      <c r="H298" s="16">
        <v>51.96</v>
      </c>
      <c r="I298" s="16">
        <v>29.7</v>
      </c>
      <c r="J298" s="16">
        <v>15.2</v>
      </c>
      <c r="K298" s="8" t="s">
        <v>543</v>
      </c>
      <c r="L298" s="16"/>
      <c r="M298" s="16">
        <v>15.17476383297678</v>
      </c>
      <c r="N298" s="16"/>
      <c r="O298" s="8" t="s">
        <v>100</v>
      </c>
      <c r="P298" s="8" t="s">
        <v>84</v>
      </c>
      <c r="Q298" s="2">
        <v>1</v>
      </c>
      <c r="R298" s="8" t="s">
        <v>2471</v>
      </c>
      <c r="S298" s="8" t="s">
        <v>2472</v>
      </c>
      <c r="T298" s="8" t="str">
        <f>HYPERLINK("https://seichotoushi-hojo.jp/assets/pdf/koufu_3_4ji/outline_119.pdf","PDFを開く")</f>
        <v>PDFを開く</v>
      </c>
      <c r="U298" s="8" t="s">
        <v>2474</v>
      </c>
    </row>
    <row r="299" spans="1:21" ht="48" customHeight="1">
      <c r="A299" s="5" t="s">
        <v>2475</v>
      </c>
      <c r="B299" s="5" t="s">
        <v>2430</v>
      </c>
      <c r="C299" s="9" t="s">
        <v>2476</v>
      </c>
      <c r="D299" s="9" t="s">
        <v>81</v>
      </c>
      <c r="E299" s="5"/>
      <c r="F299" s="17"/>
      <c r="G299" s="5">
        <v>2029</v>
      </c>
      <c r="H299" s="17"/>
      <c r="I299" s="17">
        <v>46.91</v>
      </c>
      <c r="J299" s="17">
        <v>17.8</v>
      </c>
      <c r="K299" s="9" t="s">
        <v>82</v>
      </c>
      <c r="L299" s="17"/>
      <c r="M299" s="17"/>
      <c r="N299" s="17"/>
      <c r="O299" s="9" t="s">
        <v>83</v>
      </c>
      <c r="P299" s="9" t="s">
        <v>84</v>
      </c>
      <c r="Q299" s="5">
        <v>1</v>
      </c>
      <c r="R299" s="9" t="s">
        <v>2480</v>
      </c>
      <c r="S299" s="9"/>
      <c r="T299" s="9" t="str">
        <f>HYPERLINK("https://seichotoushi-hojo.jp/assets/pdf/koufu_3_4ji/outline_120.pdf","PDFを開く")</f>
        <v>PDFを開く</v>
      </c>
      <c r="U299" s="9" t="s">
        <v>2482</v>
      </c>
    </row>
    <row r="300" spans="1:21" ht="48" customHeight="1">
      <c r="A300" s="2" t="s">
        <v>2483</v>
      </c>
      <c r="B300" s="2" t="s">
        <v>2430</v>
      </c>
      <c r="C300" s="8" t="s">
        <v>2484</v>
      </c>
      <c r="D300" s="8" t="s">
        <v>81</v>
      </c>
      <c r="E300" s="2"/>
      <c r="F300" s="16"/>
      <c r="G300" s="2">
        <v>2030</v>
      </c>
      <c r="H300" s="16"/>
      <c r="I300" s="16">
        <v>24.39</v>
      </c>
      <c r="J300" s="16">
        <v>12.7</v>
      </c>
      <c r="K300" s="8" t="s">
        <v>210</v>
      </c>
      <c r="L300" s="16"/>
      <c r="M300" s="16"/>
      <c r="N300" s="16"/>
      <c r="O300" s="8" t="s">
        <v>83</v>
      </c>
      <c r="P300" s="8" t="s">
        <v>84</v>
      </c>
      <c r="Q300" s="2">
        <v>1</v>
      </c>
      <c r="R300" s="8" t="s">
        <v>2488</v>
      </c>
      <c r="S300" s="8"/>
      <c r="T300" s="8" t="str">
        <f>HYPERLINK("https://seichotoushi-hojo.jp/assets/pdf/koufu_3_4ji/outline_121.pdf","PDFを開く")</f>
        <v>PDFを開く</v>
      </c>
      <c r="U300" s="8" t="s">
        <v>2490</v>
      </c>
    </row>
    <row r="301" spans="1:21" ht="48" customHeight="1">
      <c r="A301" s="5" t="s">
        <v>2491</v>
      </c>
      <c r="B301" s="5" t="s">
        <v>2430</v>
      </c>
      <c r="C301" s="9" t="s">
        <v>2492</v>
      </c>
      <c r="D301" s="9" t="s">
        <v>81</v>
      </c>
      <c r="E301" s="5"/>
      <c r="F301" s="17"/>
      <c r="G301" s="5">
        <v>2030</v>
      </c>
      <c r="H301" s="17"/>
      <c r="I301" s="17">
        <v>42.42</v>
      </c>
      <c r="J301" s="17">
        <v>268.60000000000002</v>
      </c>
      <c r="K301" s="9" t="s">
        <v>82</v>
      </c>
      <c r="L301" s="17"/>
      <c r="M301" s="17"/>
      <c r="N301" s="17"/>
      <c r="O301" s="9" t="s">
        <v>83</v>
      </c>
      <c r="P301" s="9" t="s">
        <v>587</v>
      </c>
      <c r="Q301" s="5">
        <v>1</v>
      </c>
      <c r="R301" s="9" t="s">
        <v>2496</v>
      </c>
      <c r="S301" s="9"/>
      <c r="T301" s="9" t="str">
        <f>HYPERLINK("https://seichotoushi-hojo.jp/assets/pdf/koufu_3_4ji/outline_122.pdf","PDFを開く")</f>
        <v>PDFを開く</v>
      </c>
      <c r="U301" s="9" t="s">
        <v>2498</v>
      </c>
    </row>
    <row r="302" spans="1:21" ht="48" customHeight="1">
      <c r="A302" s="2" t="s">
        <v>2499</v>
      </c>
      <c r="B302" s="2" t="s">
        <v>2430</v>
      </c>
      <c r="C302" s="8" t="s">
        <v>2500</v>
      </c>
      <c r="D302" s="8" t="s">
        <v>81</v>
      </c>
      <c r="E302" s="2"/>
      <c r="F302" s="16"/>
      <c r="G302" s="2"/>
      <c r="H302" s="16"/>
      <c r="I302" s="16">
        <v>64.430000000000007</v>
      </c>
      <c r="J302" s="16">
        <v>12.3</v>
      </c>
      <c r="K302" s="8" t="s">
        <v>210</v>
      </c>
      <c r="L302" s="16"/>
      <c r="M302" s="16"/>
      <c r="N302" s="16"/>
      <c r="O302" s="8" t="s">
        <v>83</v>
      </c>
      <c r="P302" s="8" t="s">
        <v>84</v>
      </c>
      <c r="Q302" s="2">
        <v>1</v>
      </c>
      <c r="R302" s="8" t="s">
        <v>2504</v>
      </c>
      <c r="S302" s="8"/>
      <c r="T302" s="8" t="str">
        <f>HYPERLINK("https://seichotoushi-hojo.jp/assets/pdf/koufu_3_4ji/outline_125.pdf","PDFを開く")</f>
        <v>PDFを開く</v>
      </c>
      <c r="U302" s="8" t="s">
        <v>2506</v>
      </c>
    </row>
    <row r="303" spans="1:21" ht="48" customHeight="1">
      <c r="A303" s="5" t="s">
        <v>2507</v>
      </c>
      <c r="B303" s="5" t="s">
        <v>2430</v>
      </c>
      <c r="C303" s="9" t="s">
        <v>2508</v>
      </c>
      <c r="D303" s="9" t="s">
        <v>81</v>
      </c>
      <c r="E303" s="5">
        <v>2025</v>
      </c>
      <c r="F303" s="17">
        <v>38.409999999999997</v>
      </c>
      <c r="G303" s="5">
        <v>2030</v>
      </c>
      <c r="H303" s="17">
        <v>55.07</v>
      </c>
      <c r="I303" s="17"/>
      <c r="J303" s="17">
        <v>32.840000000000003</v>
      </c>
      <c r="K303" s="9" t="s">
        <v>210</v>
      </c>
      <c r="L303" s="17"/>
      <c r="M303" s="17">
        <v>7.4717087133261639</v>
      </c>
      <c r="N303" s="17"/>
      <c r="O303" s="9" t="s">
        <v>100</v>
      </c>
      <c r="P303" s="9" t="s">
        <v>84</v>
      </c>
      <c r="Q303" s="5">
        <v>1</v>
      </c>
      <c r="R303" s="9" t="s">
        <v>2510</v>
      </c>
      <c r="S303" s="9" t="s">
        <v>2511</v>
      </c>
      <c r="T303" s="9" t="str">
        <f>HYPERLINK("https://seichotoushi-hojo.jp/assets/pdf/koufu_3_4ji/outline_127.pdf","PDFを開く")</f>
        <v>PDFを開く</v>
      </c>
      <c r="U303" s="9" t="s">
        <v>2515</v>
      </c>
    </row>
    <row r="304" spans="1:21" ht="48" customHeight="1">
      <c r="A304" s="2" t="s">
        <v>2516</v>
      </c>
      <c r="B304" s="2" t="s">
        <v>2430</v>
      </c>
      <c r="C304" s="8" t="s">
        <v>2517</v>
      </c>
      <c r="D304" s="8" t="s">
        <v>81</v>
      </c>
      <c r="E304" s="2"/>
      <c r="F304" s="16"/>
      <c r="G304" s="2">
        <v>2030</v>
      </c>
      <c r="H304" s="16">
        <v>160</v>
      </c>
      <c r="I304" s="16">
        <v>149</v>
      </c>
      <c r="J304" s="16">
        <v>55</v>
      </c>
      <c r="K304" s="8" t="s">
        <v>82</v>
      </c>
      <c r="L304" s="16"/>
      <c r="M304" s="16"/>
      <c r="N304" s="16"/>
      <c r="O304" s="8" t="s">
        <v>83</v>
      </c>
      <c r="P304" s="8" t="s">
        <v>84</v>
      </c>
      <c r="Q304" s="2">
        <v>1</v>
      </c>
      <c r="R304" s="8" t="s">
        <v>2520</v>
      </c>
      <c r="S304" s="8" t="s">
        <v>2521</v>
      </c>
      <c r="T304" s="8" t="str">
        <f>HYPERLINK("https://seichotoushi-hojo.jp/assets/pdf/koufu_3_4ji/outline_130.pdf","PDFを開く")</f>
        <v>PDFを開く</v>
      </c>
      <c r="U304" s="8" t="s">
        <v>2523</v>
      </c>
    </row>
    <row r="305" spans="1:21" ht="48" customHeight="1">
      <c r="A305" s="5" t="s">
        <v>2524</v>
      </c>
      <c r="B305" s="5" t="s">
        <v>2430</v>
      </c>
      <c r="C305" s="9" t="s">
        <v>2525</v>
      </c>
      <c r="D305" s="9" t="s">
        <v>81</v>
      </c>
      <c r="E305" s="5"/>
      <c r="F305" s="17"/>
      <c r="G305" s="5">
        <v>2030</v>
      </c>
      <c r="H305" s="17"/>
      <c r="I305" s="17">
        <v>208.36</v>
      </c>
      <c r="J305" s="17">
        <v>18.3</v>
      </c>
      <c r="K305" s="9" t="s">
        <v>210</v>
      </c>
      <c r="L305" s="17"/>
      <c r="M305" s="17"/>
      <c r="N305" s="17"/>
      <c r="O305" s="9" t="s">
        <v>83</v>
      </c>
      <c r="P305" s="9" t="s">
        <v>84</v>
      </c>
      <c r="Q305" s="5">
        <v>1</v>
      </c>
      <c r="R305" s="9" t="s">
        <v>2528</v>
      </c>
      <c r="S305" s="9"/>
      <c r="T305" s="9" t="str">
        <f>HYPERLINK("https://seichotoushi-hojo.jp/assets/pdf/koufu_3_4ji/outline_131.pdf","PDFを開く")</f>
        <v>PDFを開く</v>
      </c>
      <c r="U305" s="9" t="s">
        <v>2530</v>
      </c>
    </row>
    <row r="306" spans="1:21" ht="48" customHeight="1">
      <c r="A306" s="2" t="s">
        <v>2531</v>
      </c>
      <c r="B306" s="2" t="s">
        <v>2430</v>
      </c>
      <c r="C306" s="8" t="s">
        <v>2532</v>
      </c>
      <c r="D306" s="8" t="s">
        <v>81</v>
      </c>
      <c r="E306" s="2"/>
      <c r="F306" s="16"/>
      <c r="G306" s="2">
        <v>2030</v>
      </c>
      <c r="H306" s="16">
        <v>136.80000000000001</v>
      </c>
      <c r="I306" s="16"/>
      <c r="J306" s="16"/>
      <c r="K306" s="8"/>
      <c r="L306" s="16"/>
      <c r="M306" s="16"/>
      <c r="N306" s="16"/>
      <c r="O306" s="8" t="s">
        <v>83</v>
      </c>
      <c r="P306" s="8" t="s">
        <v>587</v>
      </c>
      <c r="Q306" s="2">
        <v>1</v>
      </c>
      <c r="R306" s="8" t="s">
        <v>2535</v>
      </c>
      <c r="S306" s="8" t="s">
        <v>2536</v>
      </c>
      <c r="T306" s="8" t="str">
        <f>HYPERLINK("https://seichotoushi-hojo.jp/assets/pdf/koufu_3_4ji/outline_132.pdf","PDFを開く")</f>
        <v>PDFを開く</v>
      </c>
      <c r="U306" s="8" t="s">
        <v>2538</v>
      </c>
    </row>
    <row r="307" spans="1:21" ht="48" customHeight="1">
      <c r="A307" s="5" t="s">
        <v>2539</v>
      </c>
      <c r="B307" s="5" t="s">
        <v>2430</v>
      </c>
      <c r="C307" s="9" t="s">
        <v>2540</v>
      </c>
      <c r="D307" s="9" t="s">
        <v>81</v>
      </c>
      <c r="E307" s="5"/>
      <c r="F307" s="17"/>
      <c r="G307" s="5"/>
      <c r="H307" s="17"/>
      <c r="I307" s="17">
        <v>43.4</v>
      </c>
      <c r="J307" s="17">
        <v>212.6</v>
      </c>
      <c r="K307" s="9" t="s">
        <v>210</v>
      </c>
      <c r="L307" s="17"/>
      <c r="M307" s="17"/>
      <c r="N307" s="17"/>
      <c r="O307" s="9" t="s">
        <v>83</v>
      </c>
      <c r="P307" s="9" t="s">
        <v>84</v>
      </c>
      <c r="Q307" s="5">
        <v>1</v>
      </c>
      <c r="R307" s="9" t="s">
        <v>2543</v>
      </c>
      <c r="S307" s="9"/>
      <c r="T307" s="9" t="str">
        <f>HYPERLINK("https://seichotoushi-hojo.jp/assets/pdf/koufu_3_4ji/outline_133.pdf","PDFを開く")</f>
        <v>PDFを開く</v>
      </c>
      <c r="U307" s="9" t="s">
        <v>2545</v>
      </c>
    </row>
    <row r="308" spans="1:21" ht="48" customHeight="1">
      <c r="A308" s="2" t="s">
        <v>2546</v>
      </c>
      <c r="B308" s="2" t="s">
        <v>2430</v>
      </c>
      <c r="C308" s="8" t="s">
        <v>2547</v>
      </c>
      <c r="D308" s="8" t="s">
        <v>81</v>
      </c>
      <c r="E308" s="2"/>
      <c r="F308" s="16"/>
      <c r="G308" s="2">
        <v>2030</v>
      </c>
      <c r="H308" s="16">
        <v>50.709963209999998</v>
      </c>
      <c r="I308" s="16"/>
      <c r="J308" s="16">
        <v>54.6</v>
      </c>
      <c r="K308" s="8" t="s">
        <v>210</v>
      </c>
      <c r="L308" s="16"/>
      <c r="M308" s="16"/>
      <c r="N308" s="16"/>
      <c r="O308" s="8" t="s">
        <v>83</v>
      </c>
      <c r="P308" s="8" t="s">
        <v>84</v>
      </c>
      <c r="Q308" s="2">
        <v>1</v>
      </c>
      <c r="R308" s="8" t="s">
        <v>2551</v>
      </c>
      <c r="S308" s="8" t="s">
        <v>2552</v>
      </c>
      <c r="T308" s="8" t="str">
        <f>HYPERLINK("https://seichotoushi-hojo.jp/assets/pdf/koufu_3_4ji/outline_134.pdf","PDFを開く")</f>
        <v>PDFを開く</v>
      </c>
      <c r="U308" s="8" t="s">
        <v>2554</v>
      </c>
    </row>
    <row r="309" spans="1:21" ht="48" customHeight="1">
      <c r="A309" s="5" t="s">
        <v>2555</v>
      </c>
      <c r="B309" s="5" t="s">
        <v>2430</v>
      </c>
      <c r="C309" s="9" t="s">
        <v>2556</v>
      </c>
      <c r="D309" s="9" t="s">
        <v>81</v>
      </c>
      <c r="E309" s="5">
        <v>2025</v>
      </c>
      <c r="F309" s="17">
        <v>11.2</v>
      </c>
      <c r="G309" s="5">
        <v>2031</v>
      </c>
      <c r="H309" s="17">
        <v>27.8</v>
      </c>
      <c r="I309" s="17">
        <v>16.600000000000001</v>
      </c>
      <c r="J309" s="17">
        <v>16.3</v>
      </c>
      <c r="K309" s="9" t="s">
        <v>210</v>
      </c>
      <c r="L309" s="17"/>
      <c r="M309" s="17"/>
      <c r="N309" s="17"/>
      <c r="O309" s="9" t="s">
        <v>166</v>
      </c>
      <c r="P309" s="9" t="s">
        <v>292</v>
      </c>
      <c r="Q309" s="5">
        <v>1</v>
      </c>
      <c r="R309" s="9" t="s">
        <v>2560</v>
      </c>
      <c r="S309" s="9" t="s">
        <v>2561</v>
      </c>
      <c r="T309" s="9" t="str">
        <f>HYPERLINK("https://seichotoushi-hojo.jp/assets/pdf/koufu_3_4ji/outline_135.pdf","PDFを開く")</f>
        <v>PDFを開く</v>
      </c>
      <c r="U309" s="9" t="s">
        <v>2563</v>
      </c>
    </row>
    <row r="310" spans="1:21" ht="48" customHeight="1">
      <c r="A310" s="2" t="s">
        <v>2564</v>
      </c>
      <c r="B310" s="2" t="s">
        <v>2430</v>
      </c>
      <c r="C310" s="8" t="s">
        <v>2565</v>
      </c>
      <c r="D310" s="8" t="s">
        <v>81</v>
      </c>
      <c r="E310" s="2"/>
      <c r="F310" s="16"/>
      <c r="G310" s="2">
        <v>2030</v>
      </c>
      <c r="H310" s="16"/>
      <c r="I310" s="16">
        <v>11.37</v>
      </c>
      <c r="J310" s="16">
        <v>17.68</v>
      </c>
      <c r="K310" s="8" t="s">
        <v>210</v>
      </c>
      <c r="L310" s="16"/>
      <c r="M310" s="16"/>
      <c r="N310" s="16"/>
      <c r="O310" s="8" t="s">
        <v>166</v>
      </c>
      <c r="P310" s="8" t="s">
        <v>292</v>
      </c>
      <c r="Q310" s="2">
        <v>1</v>
      </c>
      <c r="R310" s="8" t="s">
        <v>2569</v>
      </c>
      <c r="S310" s="8"/>
      <c r="T310" s="8" t="str">
        <f>HYPERLINK("https://seichotoushi-hojo.jp/assets/pdf/koufu_3_4ji/outline_136.pdf","PDFを開く")</f>
        <v>PDFを開く</v>
      </c>
      <c r="U310" s="8" t="s">
        <v>2571</v>
      </c>
    </row>
    <row r="311" spans="1:21" ht="48" customHeight="1">
      <c r="A311" s="5" t="s">
        <v>2572</v>
      </c>
      <c r="B311" s="5" t="s">
        <v>2430</v>
      </c>
      <c r="C311" s="9" t="s">
        <v>2573</v>
      </c>
      <c r="D311" s="9" t="s">
        <v>81</v>
      </c>
      <c r="E311" s="5">
        <v>2025</v>
      </c>
      <c r="F311" s="17">
        <v>13.4</v>
      </c>
      <c r="G311" s="5">
        <v>2029</v>
      </c>
      <c r="H311" s="17">
        <v>13.4</v>
      </c>
      <c r="I311" s="17">
        <v>2.4</v>
      </c>
      <c r="J311" s="17">
        <v>148.1</v>
      </c>
      <c r="K311" s="9" t="s">
        <v>82</v>
      </c>
      <c r="L311" s="17"/>
      <c r="M311" s="17">
        <v>0</v>
      </c>
      <c r="N311" s="17"/>
      <c r="O311" s="9" t="s">
        <v>200</v>
      </c>
      <c r="P311" s="9" t="s">
        <v>84</v>
      </c>
      <c r="Q311" s="5">
        <v>1</v>
      </c>
      <c r="R311" s="9" t="s">
        <v>2576</v>
      </c>
      <c r="S311" s="9" t="s">
        <v>2577</v>
      </c>
      <c r="T311" s="9" t="str">
        <f>HYPERLINK("https://seichotoushi-hojo.jp/assets/pdf/koufu_3_4ji/outline_137.pdf","PDFを開く")</f>
        <v>PDFを開く</v>
      </c>
      <c r="U311" s="9" t="s">
        <v>2579</v>
      </c>
    </row>
    <row r="312" spans="1:21" ht="48" customHeight="1">
      <c r="A312" s="2" t="s">
        <v>2580</v>
      </c>
      <c r="B312" s="2" t="s">
        <v>2430</v>
      </c>
      <c r="C312" s="8" t="s">
        <v>2581</v>
      </c>
      <c r="D312" s="8" t="s">
        <v>81</v>
      </c>
      <c r="E312" s="2">
        <v>2024</v>
      </c>
      <c r="F312" s="16"/>
      <c r="G312" s="2">
        <v>2031</v>
      </c>
      <c r="H312" s="16"/>
      <c r="I312" s="16">
        <v>232.83</v>
      </c>
      <c r="J312" s="16">
        <v>15.9</v>
      </c>
      <c r="K312" s="8" t="s">
        <v>82</v>
      </c>
      <c r="L312" s="16"/>
      <c r="M312" s="16"/>
      <c r="N312" s="16"/>
      <c r="O312" s="8" t="s">
        <v>83</v>
      </c>
      <c r="P312" s="8" t="s">
        <v>84</v>
      </c>
      <c r="Q312" s="2">
        <v>1</v>
      </c>
      <c r="R312" s="8" t="s">
        <v>2584</v>
      </c>
      <c r="S312" s="8"/>
      <c r="T312" s="8" t="str">
        <f>HYPERLINK("https://seichotoushi-hojo.jp/assets/pdf/koufu_3_4ji/outline_138.pdf","PDFを開く")</f>
        <v>PDFを開く</v>
      </c>
      <c r="U312" s="8" t="s">
        <v>2586</v>
      </c>
    </row>
    <row r="313" spans="1:21" ht="48" customHeight="1">
      <c r="A313" s="5" t="s">
        <v>2587</v>
      </c>
      <c r="B313" s="5" t="s">
        <v>2430</v>
      </c>
      <c r="C313" s="9" t="s">
        <v>2588</v>
      </c>
      <c r="D313" s="9" t="s">
        <v>81</v>
      </c>
      <c r="E313" s="5">
        <v>2025</v>
      </c>
      <c r="F313" s="17"/>
      <c r="G313" s="5">
        <v>2029</v>
      </c>
      <c r="H313" s="17">
        <v>108.84</v>
      </c>
      <c r="I313" s="17"/>
      <c r="J313" s="17">
        <v>26</v>
      </c>
      <c r="K313" s="9" t="s">
        <v>210</v>
      </c>
      <c r="L313" s="17"/>
      <c r="M313" s="17"/>
      <c r="N313" s="17"/>
      <c r="O313" s="9" t="s">
        <v>83</v>
      </c>
      <c r="P313" s="9" t="s">
        <v>587</v>
      </c>
      <c r="Q313" s="5">
        <v>1</v>
      </c>
      <c r="R313" s="9" t="s">
        <v>2591</v>
      </c>
      <c r="S313" s="9" t="s">
        <v>2592</v>
      </c>
      <c r="T313" s="9" t="str">
        <f>HYPERLINK("https://seichotoushi-hojo.jp/assets/pdf/koufu_3_4ji/outline_139.pdf","PDFを開く")</f>
        <v>PDFを開く</v>
      </c>
      <c r="U313" s="9" t="s">
        <v>2594</v>
      </c>
    </row>
    <row r="314" spans="1:21" ht="48" customHeight="1">
      <c r="A314" s="2" t="s">
        <v>2595</v>
      </c>
      <c r="B314" s="2" t="s">
        <v>2430</v>
      </c>
      <c r="C314" s="8" t="s">
        <v>2596</v>
      </c>
      <c r="D314" s="8" t="s">
        <v>81</v>
      </c>
      <c r="E314" s="2">
        <v>2025</v>
      </c>
      <c r="F314" s="16">
        <v>122.52</v>
      </c>
      <c r="G314" s="2">
        <v>2032</v>
      </c>
      <c r="H314" s="16">
        <v>200</v>
      </c>
      <c r="I314" s="16">
        <v>99.82</v>
      </c>
      <c r="J314" s="16">
        <v>14.5</v>
      </c>
      <c r="K314" s="8" t="s">
        <v>210</v>
      </c>
      <c r="L314" s="16"/>
      <c r="M314" s="16">
        <v>7.2514782498567243</v>
      </c>
      <c r="N314" s="16"/>
      <c r="O314" s="8" t="s">
        <v>120</v>
      </c>
      <c r="P314" s="8" t="s">
        <v>84</v>
      </c>
      <c r="Q314" s="2">
        <v>1</v>
      </c>
      <c r="R314" s="8" t="s">
        <v>2601</v>
      </c>
      <c r="S314" s="8" t="s">
        <v>2602</v>
      </c>
      <c r="T314" s="8" t="str">
        <f>HYPERLINK("https://seichotoushi-hojo.jp/assets/pdf/koufu_3_4ji/outline_141.pdf","PDFを開く")</f>
        <v>PDFを開く</v>
      </c>
      <c r="U314" s="8" t="s">
        <v>2604</v>
      </c>
    </row>
    <row r="315" spans="1:21" ht="48" customHeight="1">
      <c r="A315" s="5" t="s">
        <v>2605</v>
      </c>
      <c r="B315" s="5" t="s">
        <v>2430</v>
      </c>
      <c r="C315" s="9" t="s">
        <v>2606</v>
      </c>
      <c r="D315" s="9" t="s">
        <v>81</v>
      </c>
      <c r="E315" s="5"/>
      <c r="F315" s="17"/>
      <c r="G315" s="5">
        <v>2030</v>
      </c>
      <c r="H315" s="17"/>
      <c r="I315" s="17">
        <v>114</v>
      </c>
      <c r="J315" s="17">
        <v>21.8</v>
      </c>
      <c r="K315" s="9" t="s">
        <v>82</v>
      </c>
      <c r="L315" s="17"/>
      <c r="M315" s="17"/>
      <c r="N315" s="17"/>
      <c r="O315" s="9" t="s">
        <v>83</v>
      </c>
      <c r="P315" s="9" t="s">
        <v>84</v>
      </c>
      <c r="Q315" s="5">
        <v>1</v>
      </c>
      <c r="R315" s="9" t="s">
        <v>2609</v>
      </c>
      <c r="S315" s="9"/>
      <c r="T315" s="9" t="str">
        <f>HYPERLINK("https://seichotoushi-hojo.jp/assets/pdf/koufu_3_4ji/outline_143.pdf","PDFを開く")</f>
        <v>PDFを開く</v>
      </c>
      <c r="U315" s="9" t="s">
        <v>2611</v>
      </c>
    </row>
    <row r="316" spans="1:21" ht="48" customHeight="1">
      <c r="A316" s="2" t="s">
        <v>2612</v>
      </c>
      <c r="B316" s="2" t="s">
        <v>2430</v>
      </c>
      <c r="C316" s="8" t="s">
        <v>2613</v>
      </c>
      <c r="D316" s="8" t="s">
        <v>81</v>
      </c>
      <c r="E316" s="2"/>
      <c r="F316" s="16"/>
      <c r="G316" s="2">
        <v>2030</v>
      </c>
      <c r="H316" s="16"/>
      <c r="I316" s="16">
        <v>109</v>
      </c>
      <c r="J316" s="16">
        <v>30</v>
      </c>
      <c r="K316" s="8" t="s">
        <v>82</v>
      </c>
      <c r="L316" s="16"/>
      <c r="M316" s="16"/>
      <c r="N316" s="16"/>
      <c r="O316" s="8" t="s">
        <v>83</v>
      </c>
      <c r="P316" s="8" t="s">
        <v>84</v>
      </c>
      <c r="Q316" s="2">
        <v>1</v>
      </c>
      <c r="R316" s="8" t="s">
        <v>2617</v>
      </c>
      <c r="S316" s="8"/>
      <c r="T316" s="8" t="str">
        <f>HYPERLINK("https://seichotoushi-hojo.jp/assets/pdf/koufu_3_4ji/outline_144.pdf","PDFを開く")</f>
        <v>PDFを開く</v>
      </c>
      <c r="U316" s="8" t="s">
        <v>2619</v>
      </c>
    </row>
    <row r="317" spans="1:21" ht="48" customHeight="1">
      <c r="A317" s="5" t="s">
        <v>2620</v>
      </c>
      <c r="B317" s="5" t="s">
        <v>2430</v>
      </c>
      <c r="C317" s="9" t="s">
        <v>2621</v>
      </c>
      <c r="D317" s="9" t="s">
        <v>81</v>
      </c>
      <c r="E317" s="5">
        <v>2025</v>
      </c>
      <c r="F317" s="17">
        <v>16.86</v>
      </c>
      <c r="G317" s="5">
        <v>2031</v>
      </c>
      <c r="H317" s="17">
        <v>16.86</v>
      </c>
      <c r="I317" s="17">
        <v>1.67</v>
      </c>
      <c r="J317" s="17">
        <v>301.89999999999998</v>
      </c>
      <c r="K317" s="9" t="s">
        <v>82</v>
      </c>
      <c r="L317" s="17"/>
      <c r="M317" s="17">
        <v>0</v>
      </c>
      <c r="N317" s="17"/>
      <c r="O317" s="9" t="s">
        <v>200</v>
      </c>
      <c r="P317" s="9" t="s">
        <v>84</v>
      </c>
      <c r="Q317" s="5">
        <v>1</v>
      </c>
      <c r="R317" s="9" t="s">
        <v>2625</v>
      </c>
      <c r="S317" s="9" t="s">
        <v>2626</v>
      </c>
      <c r="T317" s="9" t="str">
        <f>HYPERLINK("https://seichotoushi-hojo.jp/assets/pdf/koufu_3_4ji/outline_145.pdf","PDFを開く")</f>
        <v>PDFを開く</v>
      </c>
      <c r="U317" s="9" t="s">
        <v>2628</v>
      </c>
    </row>
    <row r="318" spans="1:21" ht="48" customHeight="1">
      <c r="A318" s="2" t="s">
        <v>2629</v>
      </c>
      <c r="B318" s="2" t="s">
        <v>2430</v>
      </c>
      <c r="C318" s="8" t="s">
        <v>2630</v>
      </c>
      <c r="D318" s="8" t="s">
        <v>81</v>
      </c>
      <c r="E318" s="2">
        <v>2024</v>
      </c>
      <c r="F318" s="16"/>
      <c r="G318" s="2">
        <v>2030</v>
      </c>
      <c r="H318" s="16"/>
      <c r="I318" s="16">
        <v>46</v>
      </c>
      <c r="J318" s="16">
        <v>19</v>
      </c>
      <c r="K318" s="8" t="s">
        <v>210</v>
      </c>
      <c r="L318" s="16"/>
      <c r="M318" s="16"/>
      <c r="N318" s="16"/>
      <c r="O318" s="8" t="s">
        <v>83</v>
      </c>
      <c r="P318" s="8" t="s">
        <v>84</v>
      </c>
      <c r="Q318" s="2">
        <v>1</v>
      </c>
      <c r="R318" s="8" t="s">
        <v>2633</v>
      </c>
      <c r="S318" s="8"/>
      <c r="T318" s="8" t="str">
        <f>HYPERLINK("https://seichotoushi-hojo.jp/assets/pdf/koufu_3_4ji/outline_146.pdf","PDFを開く")</f>
        <v>PDFを開く</v>
      </c>
      <c r="U318" s="8" t="s">
        <v>2635</v>
      </c>
    </row>
    <row r="319" spans="1:21" ht="48" customHeight="1">
      <c r="A319" s="5" t="s">
        <v>2636</v>
      </c>
      <c r="B319" s="5" t="s">
        <v>2430</v>
      </c>
      <c r="C319" s="9" t="s">
        <v>2637</v>
      </c>
      <c r="D319" s="9" t="s">
        <v>81</v>
      </c>
      <c r="E319" s="5"/>
      <c r="F319" s="17"/>
      <c r="G319" s="5">
        <v>2031</v>
      </c>
      <c r="H319" s="17"/>
      <c r="I319" s="17">
        <v>335</v>
      </c>
      <c r="J319" s="17">
        <v>10.3</v>
      </c>
      <c r="K319" s="9" t="s">
        <v>2642</v>
      </c>
      <c r="L319" s="17"/>
      <c r="M319" s="17"/>
      <c r="N319" s="17"/>
      <c r="O319" s="9" t="s">
        <v>166</v>
      </c>
      <c r="P319" s="9" t="s">
        <v>292</v>
      </c>
      <c r="Q319" s="5">
        <v>1</v>
      </c>
      <c r="R319" s="9" t="s">
        <v>2643</v>
      </c>
      <c r="S319" s="9"/>
      <c r="T319" s="9" t="str">
        <f>HYPERLINK("https://seichotoushi-hojo.jp/assets/pdf/koufu_3_4ji/outline_147.pdf","PDFを開く")</f>
        <v>PDFを開く</v>
      </c>
      <c r="U319" s="9" t="s">
        <v>2645</v>
      </c>
    </row>
    <row r="320" spans="1:21" ht="48" customHeight="1">
      <c r="A320" s="2" t="s">
        <v>2646</v>
      </c>
      <c r="B320" s="2" t="s">
        <v>2430</v>
      </c>
      <c r="C320" s="8" t="s">
        <v>2647</v>
      </c>
      <c r="D320" s="8" t="s">
        <v>81</v>
      </c>
      <c r="E320" s="2"/>
      <c r="F320" s="16"/>
      <c r="G320" s="2">
        <v>2030</v>
      </c>
      <c r="H320" s="16">
        <v>180</v>
      </c>
      <c r="I320" s="16">
        <v>99</v>
      </c>
      <c r="J320" s="16">
        <v>121.5</v>
      </c>
      <c r="K320" s="8" t="s">
        <v>210</v>
      </c>
      <c r="L320" s="16"/>
      <c r="M320" s="16"/>
      <c r="N320" s="16"/>
      <c r="O320" s="8" t="s">
        <v>83</v>
      </c>
      <c r="P320" s="8" t="s">
        <v>84</v>
      </c>
      <c r="Q320" s="2">
        <v>1</v>
      </c>
      <c r="R320" s="8" t="s">
        <v>2650</v>
      </c>
      <c r="S320" s="8" t="s">
        <v>2651</v>
      </c>
      <c r="T320" s="8" t="str">
        <f>HYPERLINK("https://seichotoushi-hojo.jp/assets/pdf/koufu_3_4ji/outline_148.pdf","PDFを開く")</f>
        <v>PDFを開く</v>
      </c>
      <c r="U320" s="8" t="s">
        <v>2653</v>
      </c>
    </row>
    <row r="321" spans="1:21" ht="48" customHeight="1">
      <c r="A321" s="5" t="s">
        <v>2654</v>
      </c>
      <c r="B321" s="5" t="s">
        <v>2430</v>
      </c>
      <c r="C321" s="9" t="s">
        <v>2655</v>
      </c>
      <c r="D321" s="9" t="s">
        <v>81</v>
      </c>
      <c r="E321" s="5">
        <v>2025</v>
      </c>
      <c r="F321" s="17"/>
      <c r="G321" s="5">
        <v>2030</v>
      </c>
      <c r="H321" s="17"/>
      <c r="I321" s="17">
        <v>31.39</v>
      </c>
      <c r="J321" s="17">
        <v>14</v>
      </c>
      <c r="K321" s="9" t="s">
        <v>210</v>
      </c>
      <c r="L321" s="17"/>
      <c r="M321" s="17"/>
      <c r="N321" s="17"/>
      <c r="O321" s="9" t="s">
        <v>83</v>
      </c>
      <c r="P321" s="9" t="s">
        <v>84</v>
      </c>
      <c r="Q321" s="5">
        <v>1</v>
      </c>
      <c r="R321" s="9" t="s">
        <v>2659</v>
      </c>
      <c r="S321" s="9"/>
      <c r="T321" s="9" t="str">
        <f>HYPERLINK("https://seichotoushi-hojo.jp/assets/pdf/koufu_3_4ji/outline_149.pdf","PDFを開く")</f>
        <v>PDFを開く</v>
      </c>
      <c r="U321" s="9" t="s">
        <v>2661</v>
      </c>
    </row>
    <row r="322" spans="1:21" ht="48" customHeight="1">
      <c r="A322" s="2" t="s">
        <v>2662</v>
      </c>
      <c r="B322" s="2" t="s">
        <v>2430</v>
      </c>
      <c r="C322" s="8" t="s">
        <v>2663</v>
      </c>
      <c r="D322" s="8" t="s">
        <v>81</v>
      </c>
      <c r="E322" s="2"/>
      <c r="F322" s="16"/>
      <c r="G322" s="2">
        <v>2030</v>
      </c>
      <c r="H322" s="16"/>
      <c r="I322" s="16">
        <v>82.12</v>
      </c>
      <c r="J322" s="16">
        <v>155</v>
      </c>
      <c r="K322" s="8" t="s">
        <v>82</v>
      </c>
      <c r="L322" s="16"/>
      <c r="M322" s="16"/>
      <c r="N322" s="16"/>
      <c r="O322" s="8" t="s">
        <v>83</v>
      </c>
      <c r="P322" s="8" t="s">
        <v>84</v>
      </c>
      <c r="Q322" s="2">
        <v>1</v>
      </c>
      <c r="R322" s="8" t="s">
        <v>2665</v>
      </c>
      <c r="S322" s="8"/>
      <c r="T322" s="8" t="str">
        <f>HYPERLINK("https://seichotoushi-hojo.jp/assets/pdf/koufu_3_4ji/outline_150.pdf","PDFを開く")</f>
        <v>PDFを開く</v>
      </c>
      <c r="U322" s="8" t="s">
        <v>2667</v>
      </c>
    </row>
    <row r="323" spans="1:21" ht="48" customHeight="1">
      <c r="A323" s="5" t="s">
        <v>2668</v>
      </c>
      <c r="B323" s="5" t="s">
        <v>2430</v>
      </c>
      <c r="C323" s="9" t="s">
        <v>2669</v>
      </c>
      <c r="D323" s="9" t="s">
        <v>81</v>
      </c>
      <c r="E323" s="5">
        <v>2027</v>
      </c>
      <c r="F323" s="17"/>
      <c r="G323" s="5">
        <v>2030</v>
      </c>
      <c r="H323" s="17"/>
      <c r="I323" s="17">
        <v>80.94</v>
      </c>
      <c r="J323" s="17">
        <v>298.10000000000002</v>
      </c>
      <c r="K323" s="9" t="s">
        <v>82</v>
      </c>
      <c r="L323" s="17"/>
      <c r="M323" s="17"/>
      <c r="N323" s="17"/>
      <c r="O323" s="9" t="s">
        <v>83</v>
      </c>
      <c r="P323" s="9" t="s">
        <v>84</v>
      </c>
      <c r="Q323" s="5">
        <v>1</v>
      </c>
      <c r="R323" s="9" t="s">
        <v>2673</v>
      </c>
      <c r="S323" s="9"/>
      <c r="T323" s="9" t="str">
        <f>HYPERLINK("https://seichotoushi-hojo.jp/assets/pdf/koufu_3_4ji/outline_152.pdf","PDFを開く")</f>
        <v>PDFを開く</v>
      </c>
      <c r="U323" s="9" t="s">
        <v>2675</v>
      </c>
    </row>
    <row r="324" spans="1:21" ht="48" customHeight="1">
      <c r="A324" s="2" t="s">
        <v>2676</v>
      </c>
      <c r="B324" s="2" t="s">
        <v>2430</v>
      </c>
      <c r="C324" s="8" t="s">
        <v>2677</v>
      </c>
      <c r="D324" s="8" t="s">
        <v>81</v>
      </c>
      <c r="E324" s="2">
        <v>2023</v>
      </c>
      <c r="F324" s="16"/>
      <c r="G324" s="2">
        <v>2030</v>
      </c>
      <c r="H324" s="16"/>
      <c r="I324" s="16">
        <v>225.42</v>
      </c>
      <c r="J324" s="16">
        <v>302.2</v>
      </c>
      <c r="K324" s="8" t="s">
        <v>82</v>
      </c>
      <c r="L324" s="16"/>
      <c r="M324" s="16"/>
      <c r="N324" s="16"/>
      <c r="O324" s="8" t="s">
        <v>83</v>
      </c>
      <c r="P324" s="8" t="s">
        <v>84</v>
      </c>
      <c r="Q324" s="2">
        <v>1</v>
      </c>
      <c r="R324" s="8" t="s">
        <v>2681</v>
      </c>
      <c r="S324" s="8"/>
      <c r="T324" s="8" t="str">
        <f>HYPERLINK("https://seichotoushi-hojo.jp/assets/pdf/koufu_3_4ji/outline_153.pdf","PDFを開く")</f>
        <v>PDFを開く</v>
      </c>
      <c r="U324" s="8" t="s">
        <v>2683</v>
      </c>
    </row>
    <row r="325" spans="1:21" ht="48" customHeight="1">
      <c r="A325" s="5" t="s">
        <v>2684</v>
      </c>
      <c r="B325" s="5" t="s">
        <v>2430</v>
      </c>
      <c r="C325" s="9" t="s">
        <v>2685</v>
      </c>
      <c r="D325" s="9" t="s">
        <v>81</v>
      </c>
      <c r="E325" s="5">
        <v>2024</v>
      </c>
      <c r="F325" s="17">
        <v>7</v>
      </c>
      <c r="G325" s="5">
        <v>2030</v>
      </c>
      <c r="H325" s="17">
        <v>50</v>
      </c>
      <c r="I325" s="17">
        <v>43</v>
      </c>
      <c r="J325" s="17"/>
      <c r="K325" s="9"/>
      <c r="L325" s="17"/>
      <c r="M325" s="17">
        <v>38.775242228366459</v>
      </c>
      <c r="N325" s="17"/>
      <c r="O325" s="9" t="s">
        <v>166</v>
      </c>
      <c r="P325" s="9" t="s">
        <v>292</v>
      </c>
      <c r="Q325" s="5">
        <v>1</v>
      </c>
      <c r="R325" s="9" t="s">
        <v>2689</v>
      </c>
      <c r="S325" s="9" t="s">
        <v>2690</v>
      </c>
      <c r="T325" s="9" t="str">
        <f>HYPERLINK("https://seichotoushi-hojo.jp/assets/pdf/koufu_3_4ji/outline_154.pdf","PDFを開く")</f>
        <v>PDFを開く</v>
      </c>
      <c r="U325" s="9" t="s">
        <v>2692</v>
      </c>
    </row>
    <row r="326" spans="1:21" ht="48" customHeight="1">
      <c r="A326" s="2" t="s">
        <v>2693</v>
      </c>
      <c r="B326" s="2" t="s">
        <v>2430</v>
      </c>
      <c r="C326" s="8" t="s">
        <v>2694</v>
      </c>
      <c r="D326" s="8" t="s">
        <v>81</v>
      </c>
      <c r="E326" s="2"/>
      <c r="F326" s="16"/>
      <c r="G326" s="2">
        <v>2030</v>
      </c>
      <c r="H326" s="16"/>
      <c r="I326" s="16">
        <v>9.08</v>
      </c>
      <c r="J326" s="16">
        <v>15</v>
      </c>
      <c r="K326" s="8" t="s">
        <v>82</v>
      </c>
      <c r="L326" s="16"/>
      <c r="M326" s="16"/>
      <c r="N326" s="16"/>
      <c r="O326" s="8" t="s">
        <v>83</v>
      </c>
      <c r="P326" s="8" t="s">
        <v>84</v>
      </c>
      <c r="Q326" s="2">
        <v>1</v>
      </c>
      <c r="R326" s="8" t="s">
        <v>2697</v>
      </c>
      <c r="S326" s="8"/>
      <c r="T326" s="8" t="str">
        <f>HYPERLINK("https://seichotoushi-hojo.jp/assets/pdf/koufu_3_4ji/outline_155.pdf","PDFを開く")</f>
        <v>PDFを開く</v>
      </c>
      <c r="U326" s="8" t="s">
        <v>2699</v>
      </c>
    </row>
    <row r="327" spans="1:21" ht="48" customHeight="1">
      <c r="A327" s="5" t="s">
        <v>2700</v>
      </c>
      <c r="B327" s="5" t="s">
        <v>2430</v>
      </c>
      <c r="C327" s="9" t="s">
        <v>2701</v>
      </c>
      <c r="D327" s="9" t="s">
        <v>81</v>
      </c>
      <c r="E327" s="5">
        <v>2023</v>
      </c>
      <c r="F327" s="17"/>
      <c r="G327" s="5">
        <v>2030</v>
      </c>
      <c r="H327" s="17">
        <v>75</v>
      </c>
      <c r="I327" s="17"/>
      <c r="J327" s="17"/>
      <c r="K327" s="9"/>
      <c r="L327" s="17"/>
      <c r="M327" s="17"/>
      <c r="N327" s="17"/>
      <c r="O327" s="9" t="s">
        <v>83</v>
      </c>
      <c r="P327" s="9" t="s">
        <v>84</v>
      </c>
      <c r="Q327" s="5">
        <v>1</v>
      </c>
      <c r="R327" s="9" t="s">
        <v>2705</v>
      </c>
      <c r="S327" s="9" t="s">
        <v>2706</v>
      </c>
      <c r="T327" s="9" t="str">
        <f>HYPERLINK("https://seichotoushi-hojo.jp/assets/pdf/koufu_3_4ji/outline_156.pdf","PDFを開く")</f>
        <v>PDFを開く</v>
      </c>
      <c r="U327" s="9" t="s">
        <v>2708</v>
      </c>
    </row>
    <row r="328" spans="1:21" ht="48" customHeight="1">
      <c r="A328" s="2" t="s">
        <v>2709</v>
      </c>
      <c r="B328" s="2" t="s">
        <v>2430</v>
      </c>
      <c r="C328" s="8" t="s">
        <v>2710</v>
      </c>
      <c r="D328" s="8" t="s">
        <v>81</v>
      </c>
      <c r="E328" s="2">
        <v>2027</v>
      </c>
      <c r="F328" s="16"/>
      <c r="G328" s="2">
        <v>2030</v>
      </c>
      <c r="H328" s="16"/>
      <c r="I328" s="16">
        <v>259</v>
      </c>
      <c r="J328" s="16">
        <v>13</v>
      </c>
      <c r="K328" s="8" t="s">
        <v>82</v>
      </c>
      <c r="L328" s="16"/>
      <c r="M328" s="16"/>
      <c r="N328" s="16"/>
      <c r="O328" s="8" t="s">
        <v>83</v>
      </c>
      <c r="P328" s="8" t="s">
        <v>84</v>
      </c>
      <c r="Q328" s="2">
        <v>1</v>
      </c>
      <c r="R328" s="8" t="s">
        <v>2714</v>
      </c>
      <c r="S328" s="8"/>
      <c r="T328" s="8" t="str">
        <f>HYPERLINK("https://seichotoushi-hojo.jp/assets/pdf/koufu_3_4ji/outline_157.pdf","PDFを開く")</f>
        <v>PDFを開く</v>
      </c>
      <c r="U328" s="8" t="s">
        <v>2716</v>
      </c>
    </row>
    <row r="329" spans="1:21" ht="48" customHeight="1">
      <c r="A329" s="5" t="s">
        <v>2717</v>
      </c>
      <c r="B329" s="5" t="s">
        <v>2430</v>
      </c>
      <c r="C329" s="9" t="s">
        <v>2718</v>
      </c>
      <c r="D329" s="9" t="s">
        <v>81</v>
      </c>
      <c r="E329" s="5"/>
      <c r="F329" s="17"/>
      <c r="G329" s="5">
        <v>2030</v>
      </c>
      <c r="H329" s="17">
        <v>108.42</v>
      </c>
      <c r="I329" s="17"/>
      <c r="J329" s="17">
        <v>15</v>
      </c>
      <c r="K329" s="9" t="s">
        <v>210</v>
      </c>
      <c r="L329" s="17"/>
      <c r="M329" s="17"/>
      <c r="N329" s="17"/>
      <c r="O329" s="9" t="s">
        <v>83</v>
      </c>
      <c r="P329" s="9" t="s">
        <v>587</v>
      </c>
      <c r="Q329" s="5">
        <v>1</v>
      </c>
      <c r="R329" s="9" t="s">
        <v>2721</v>
      </c>
      <c r="S329" s="9" t="s">
        <v>2722</v>
      </c>
      <c r="T329" s="9" t="str">
        <f>HYPERLINK("https://seichotoushi-hojo.jp/assets/pdf/koufu_3_4ji/outline_158.pdf","PDFを開く")</f>
        <v>PDFを開く</v>
      </c>
      <c r="U329" s="9" t="s">
        <v>2724</v>
      </c>
    </row>
    <row r="330" spans="1:21" ht="48" customHeight="1">
      <c r="A330" s="2" t="s">
        <v>2725</v>
      </c>
      <c r="B330" s="2" t="s">
        <v>2430</v>
      </c>
      <c r="C330" s="8" t="s">
        <v>2726</v>
      </c>
      <c r="D330" s="8" t="s">
        <v>81</v>
      </c>
      <c r="E330" s="2">
        <v>2027</v>
      </c>
      <c r="F330" s="16"/>
      <c r="G330" s="2">
        <v>2030</v>
      </c>
      <c r="H330" s="16"/>
      <c r="I330" s="16">
        <v>10.6</v>
      </c>
      <c r="J330" s="16">
        <v>18</v>
      </c>
      <c r="K330" s="8" t="s">
        <v>82</v>
      </c>
      <c r="L330" s="16"/>
      <c r="M330" s="16"/>
      <c r="N330" s="16"/>
      <c r="O330" s="8" t="s">
        <v>83</v>
      </c>
      <c r="P330" s="8" t="s">
        <v>84</v>
      </c>
      <c r="Q330" s="2">
        <v>1</v>
      </c>
      <c r="R330" s="8" t="s">
        <v>2731</v>
      </c>
      <c r="S330" s="8"/>
      <c r="T330" s="8" t="str">
        <f>HYPERLINK("https://seichotoushi-hojo.jp/assets/pdf/koufu_3_4ji/outline_159.pdf","PDFを開く")</f>
        <v>PDFを開く</v>
      </c>
      <c r="U330" s="8" t="s">
        <v>2733</v>
      </c>
    </row>
    <row r="331" spans="1:21" ht="48" customHeight="1">
      <c r="A331" s="5" t="s">
        <v>2734</v>
      </c>
      <c r="B331" s="5" t="s">
        <v>2430</v>
      </c>
      <c r="C331" s="9" t="s">
        <v>2735</v>
      </c>
      <c r="D331" s="9" t="s">
        <v>81</v>
      </c>
      <c r="E331" s="5">
        <v>2023</v>
      </c>
      <c r="F331" s="17"/>
      <c r="G331" s="5">
        <v>2029</v>
      </c>
      <c r="H331" s="17"/>
      <c r="I331" s="17">
        <v>74.069999999999993</v>
      </c>
      <c r="J331" s="17">
        <v>23.1</v>
      </c>
      <c r="K331" s="9" t="s">
        <v>210</v>
      </c>
      <c r="L331" s="17"/>
      <c r="M331" s="17"/>
      <c r="N331" s="17"/>
      <c r="O331" s="9" t="s">
        <v>83</v>
      </c>
      <c r="P331" s="9" t="s">
        <v>84</v>
      </c>
      <c r="Q331" s="5">
        <v>1</v>
      </c>
      <c r="R331" s="9" t="s">
        <v>2738</v>
      </c>
      <c r="S331" s="9"/>
      <c r="T331" s="9" t="str">
        <f>HYPERLINK("https://seichotoushi-hojo.jp/assets/pdf/koufu_3_4ji/outline_160.pdf","PDFを開く")</f>
        <v>PDFを開く</v>
      </c>
      <c r="U331" s="9" t="s">
        <v>2740</v>
      </c>
    </row>
    <row r="332" spans="1:21" ht="48" customHeight="1">
      <c r="A332" s="2" t="s">
        <v>2741</v>
      </c>
      <c r="B332" s="2" t="s">
        <v>2430</v>
      </c>
      <c r="C332" s="8" t="s">
        <v>2742</v>
      </c>
      <c r="D332" s="8" t="s">
        <v>81</v>
      </c>
      <c r="E332" s="2"/>
      <c r="F332" s="16"/>
      <c r="G332" s="2">
        <v>2029</v>
      </c>
      <c r="H332" s="16">
        <v>290</v>
      </c>
      <c r="I332" s="16">
        <v>101</v>
      </c>
      <c r="J332" s="16">
        <v>7.4</v>
      </c>
      <c r="K332" s="8" t="s">
        <v>82</v>
      </c>
      <c r="L332" s="16"/>
      <c r="M332" s="16"/>
      <c r="N332" s="16"/>
      <c r="O332" s="8" t="s">
        <v>83</v>
      </c>
      <c r="P332" s="8" t="s">
        <v>84</v>
      </c>
      <c r="Q332" s="2">
        <v>1</v>
      </c>
      <c r="R332" s="8" t="s">
        <v>2746</v>
      </c>
      <c r="S332" s="8" t="s">
        <v>2747</v>
      </c>
      <c r="T332" s="8" t="str">
        <f>HYPERLINK("https://seichotoushi-hojo.jp/assets/pdf/koufu_3_4ji/outline_161.pdf","PDFを開く")</f>
        <v>PDFを開く</v>
      </c>
      <c r="U332" s="8" t="s">
        <v>2749</v>
      </c>
    </row>
    <row r="333" spans="1:21" ht="48" customHeight="1">
      <c r="A333" s="5" t="s">
        <v>2750</v>
      </c>
      <c r="B333" s="5" t="s">
        <v>2430</v>
      </c>
      <c r="C333" s="9" t="s">
        <v>2751</v>
      </c>
      <c r="D333" s="9" t="s">
        <v>81</v>
      </c>
      <c r="E333" s="5"/>
      <c r="F333" s="17"/>
      <c r="G333" s="5">
        <v>2031</v>
      </c>
      <c r="H333" s="17"/>
      <c r="I333" s="17">
        <v>120</v>
      </c>
      <c r="J333" s="17">
        <v>8.9</v>
      </c>
      <c r="K333" s="9" t="s">
        <v>210</v>
      </c>
      <c r="L333" s="17"/>
      <c r="M333" s="17"/>
      <c r="N333" s="17"/>
      <c r="O333" s="9" t="s">
        <v>83</v>
      </c>
      <c r="P333" s="9" t="s">
        <v>84</v>
      </c>
      <c r="Q333" s="5">
        <v>1</v>
      </c>
      <c r="R333" s="9" t="s">
        <v>2755</v>
      </c>
      <c r="S333" s="9"/>
      <c r="T333" s="9" t="str">
        <f>HYPERLINK("https://seichotoushi-hojo.jp/assets/pdf/koufu_3_4ji/outline_162.pdf","PDFを開く")</f>
        <v>PDFを開く</v>
      </c>
      <c r="U333" s="9" t="s">
        <v>2757</v>
      </c>
    </row>
    <row r="334" spans="1:21" ht="48" customHeight="1">
      <c r="A334" s="2" t="s">
        <v>2758</v>
      </c>
      <c r="B334" s="2" t="s">
        <v>2430</v>
      </c>
      <c r="C334" s="8" t="s">
        <v>2759</v>
      </c>
      <c r="D334" s="8" t="s">
        <v>81</v>
      </c>
      <c r="E334" s="2">
        <v>2024</v>
      </c>
      <c r="F334" s="16">
        <v>75</v>
      </c>
      <c r="G334" s="2">
        <v>2030</v>
      </c>
      <c r="H334" s="16">
        <v>75</v>
      </c>
      <c r="I334" s="16">
        <v>75</v>
      </c>
      <c r="J334" s="16">
        <v>100</v>
      </c>
      <c r="K334" s="8" t="s">
        <v>82</v>
      </c>
      <c r="L334" s="16"/>
      <c r="M334" s="16">
        <v>0</v>
      </c>
      <c r="N334" s="16"/>
      <c r="O334" s="8" t="s">
        <v>200</v>
      </c>
      <c r="P334" s="8" t="s">
        <v>84</v>
      </c>
      <c r="Q334" s="2">
        <v>1</v>
      </c>
      <c r="R334" s="8" t="s">
        <v>2762</v>
      </c>
      <c r="S334" s="8" t="s">
        <v>2763</v>
      </c>
      <c r="T334" s="8" t="str">
        <f>HYPERLINK("https://seichotoushi-hojo.jp/assets/pdf/koufu_3_4ji/outline_163.pdf","PDFを開く")</f>
        <v>PDFを開く</v>
      </c>
      <c r="U334" s="8" t="s">
        <v>2765</v>
      </c>
    </row>
    <row r="335" spans="1:21" ht="48" customHeight="1">
      <c r="A335" s="5" t="s">
        <v>2766</v>
      </c>
      <c r="B335" s="5" t="s">
        <v>2430</v>
      </c>
      <c r="C335" s="9" t="s">
        <v>2767</v>
      </c>
      <c r="D335" s="9" t="s">
        <v>81</v>
      </c>
      <c r="E335" s="5"/>
      <c r="F335" s="17"/>
      <c r="G335" s="5">
        <v>2030</v>
      </c>
      <c r="H335" s="17"/>
      <c r="I335" s="17">
        <v>21.4</v>
      </c>
      <c r="J335" s="17">
        <v>14.8</v>
      </c>
      <c r="K335" s="9" t="s">
        <v>82</v>
      </c>
      <c r="L335" s="17"/>
      <c r="M335" s="17"/>
      <c r="N335" s="17"/>
      <c r="O335" s="9" t="s">
        <v>83</v>
      </c>
      <c r="P335" s="9" t="s">
        <v>84</v>
      </c>
      <c r="Q335" s="5">
        <v>1</v>
      </c>
      <c r="R335" s="9" t="s">
        <v>2770</v>
      </c>
      <c r="S335" s="9"/>
      <c r="T335" s="9" t="str">
        <f>HYPERLINK("https://seichotoushi-hojo.jp/assets/pdf/koufu_3_4ji/outline_164.pdf","PDFを開く")</f>
        <v>PDFを開く</v>
      </c>
      <c r="U335" s="9" t="s">
        <v>2772</v>
      </c>
    </row>
    <row r="336" spans="1:21" ht="48" customHeight="1">
      <c r="A336" s="2" t="s">
        <v>2773</v>
      </c>
      <c r="B336" s="2" t="s">
        <v>2430</v>
      </c>
      <c r="C336" s="8" t="s">
        <v>2774</v>
      </c>
      <c r="D336" s="8" t="s">
        <v>81</v>
      </c>
      <c r="E336" s="2">
        <v>2024</v>
      </c>
      <c r="F336" s="16"/>
      <c r="G336" s="2">
        <v>2031</v>
      </c>
      <c r="H336" s="16"/>
      <c r="I336" s="16">
        <v>206.51</v>
      </c>
      <c r="J336" s="16">
        <v>106</v>
      </c>
      <c r="K336" s="8" t="s">
        <v>82</v>
      </c>
      <c r="L336" s="16"/>
      <c r="M336" s="16"/>
      <c r="N336" s="16"/>
      <c r="O336" s="8" t="s">
        <v>83</v>
      </c>
      <c r="P336" s="8" t="s">
        <v>84</v>
      </c>
      <c r="Q336" s="2">
        <v>1</v>
      </c>
      <c r="R336" s="8" t="s">
        <v>2778</v>
      </c>
      <c r="S336" s="8"/>
      <c r="T336" s="8" t="str">
        <f>HYPERLINK("https://seichotoushi-hojo.jp/assets/pdf/koufu_3_4ji/outline_165.pdf","PDFを開く")</f>
        <v>PDFを開く</v>
      </c>
      <c r="U336" s="8" t="s">
        <v>2780</v>
      </c>
    </row>
    <row r="337" spans="1:21" ht="48" customHeight="1">
      <c r="A337" s="5" t="s">
        <v>2781</v>
      </c>
      <c r="B337" s="5" t="s">
        <v>2430</v>
      </c>
      <c r="C337" s="9" t="s">
        <v>2782</v>
      </c>
      <c r="D337" s="9" t="s">
        <v>81</v>
      </c>
      <c r="E337" s="5"/>
      <c r="F337" s="17"/>
      <c r="G337" s="5">
        <v>2031</v>
      </c>
      <c r="H337" s="17">
        <v>240</v>
      </c>
      <c r="I337" s="17">
        <v>99.1</v>
      </c>
      <c r="J337" s="17">
        <v>9.3000000000000007</v>
      </c>
      <c r="K337" s="9" t="s">
        <v>82</v>
      </c>
      <c r="L337" s="17"/>
      <c r="M337" s="17"/>
      <c r="N337" s="17"/>
      <c r="O337" s="9" t="s">
        <v>83</v>
      </c>
      <c r="P337" s="9" t="s">
        <v>84</v>
      </c>
      <c r="Q337" s="5">
        <v>1</v>
      </c>
      <c r="R337" s="9" t="s">
        <v>2786</v>
      </c>
      <c r="S337" s="9" t="s">
        <v>2787</v>
      </c>
      <c r="T337" s="9" t="str">
        <f>HYPERLINK("https://seichotoushi-hojo.jp/assets/pdf/koufu_3_4ji/outline_166.pdf","PDFを開く")</f>
        <v>PDFを開く</v>
      </c>
      <c r="U337" s="9" t="s">
        <v>2789</v>
      </c>
    </row>
    <row r="338" spans="1:21" ht="48" customHeight="1">
      <c r="A338" s="2" t="s">
        <v>2790</v>
      </c>
      <c r="B338" s="2" t="s">
        <v>2430</v>
      </c>
      <c r="C338" s="8" t="s">
        <v>2791</v>
      </c>
      <c r="D338" s="8" t="s">
        <v>81</v>
      </c>
      <c r="E338" s="2"/>
      <c r="F338" s="16"/>
      <c r="G338" s="2">
        <v>2030</v>
      </c>
      <c r="H338" s="16"/>
      <c r="I338" s="16">
        <v>52</v>
      </c>
      <c r="J338" s="16">
        <v>10.8</v>
      </c>
      <c r="K338" s="8" t="s">
        <v>210</v>
      </c>
      <c r="L338" s="16"/>
      <c r="M338" s="16"/>
      <c r="N338" s="16"/>
      <c r="O338" s="8" t="s">
        <v>83</v>
      </c>
      <c r="P338" s="8" t="s">
        <v>84</v>
      </c>
      <c r="Q338" s="2">
        <v>1</v>
      </c>
      <c r="R338" s="8" t="s">
        <v>2795</v>
      </c>
      <c r="S338" s="8"/>
      <c r="T338" s="8" t="str">
        <f>HYPERLINK("https://seichotoushi-hojo.jp/assets/pdf/koufu_3_4ji/outline_167.pdf","PDFを開く")</f>
        <v>PDFを開く</v>
      </c>
      <c r="U338" s="8" t="s">
        <v>2797</v>
      </c>
    </row>
    <row r="339" spans="1:21" ht="48" customHeight="1">
      <c r="A339" s="5" t="s">
        <v>2798</v>
      </c>
      <c r="B339" s="5" t="s">
        <v>2430</v>
      </c>
      <c r="C339" s="9" t="s">
        <v>2799</v>
      </c>
      <c r="D339" s="9" t="s">
        <v>81</v>
      </c>
      <c r="E339" s="5">
        <v>2025</v>
      </c>
      <c r="F339" s="17">
        <v>168.4</v>
      </c>
      <c r="G339" s="5">
        <v>2031</v>
      </c>
      <c r="H339" s="17">
        <v>247.5</v>
      </c>
      <c r="I339" s="17">
        <v>35.6</v>
      </c>
      <c r="J339" s="17">
        <v>20.9</v>
      </c>
      <c r="K339" s="9" t="s">
        <v>210</v>
      </c>
      <c r="L339" s="17"/>
      <c r="M339" s="17">
        <v>6.6282265436735432</v>
      </c>
      <c r="N339" s="17"/>
      <c r="O339" s="9" t="s">
        <v>120</v>
      </c>
      <c r="P339" s="9" t="s">
        <v>84</v>
      </c>
      <c r="Q339" s="5">
        <v>1</v>
      </c>
      <c r="R339" s="9" t="s">
        <v>2804</v>
      </c>
      <c r="S339" s="9" t="s">
        <v>2805</v>
      </c>
      <c r="T339" s="9" t="str">
        <f>HYPERLINK("https://seichotoushi-hojo.jp/assets/pdf/koufu_3_4ji/outline_168.pdf","PDFを開く")</f>
        <v>PDFを開く</v>
      </c>
      <c r="U339" s="9" t="s">
        <v>2808</v>
      </c>
    </row>
    <row r="340" spans="1:21" ht="48" customHeight="1">
      <c r="A340" s="2" t="s">
        <v>2809</v>
      </c>
      <c r="B340" s="2" t="s">
        <v>2430</v>
      </c>
      <c r="C340" s="8" t="s">
        <v>2810</v>
      </c>
      <c r="D340" s="8" t="s">
        <v>81</v>
      </c>
      <c r="E340" s="2"/>
      <c r="F340" s="16"/>
      <c r="G340" s="2">
        <v>2031</v>
      </c>
      <c r="H340" s="16"/>
      <c r="I340" s="16">
        <v>152</v>
      </c>
      <c r="J340" s="16">
        <v>12.5</v>
      </c>
      <c r="K340" s="8" t="s">
        <v>210</v>
      </c>
      <c r="L340" s="16"/>
      <c r="M340" s="16"/>
      <c r="N340" s="16"/>
      <c r="O340" s="8" t="s">
        <v>83</v>
      </c>
      <c r="P340" s="8" t="s">
        <v>84</v>
      </c>
      <c r="Q340" s="2">
        <v>1</v>
      </c>
      <c r="R340" s="8" t="s">
        <v>2814</v>
      </c>
      <c r="S340" s="8"/>
      <c r="T340" s="8" t="str">
        <f>HYPERLINK("https://seichotoushi-hojo.jp/assets/pdf/koufu_3_4ji/outline_170.pdf","PDFを開く")</f>
        <v>PDFを開く</v>
      </c>
      <c r="U340" s="8" t="s">
        <v>2816</v>
      </c>
    </row>
    <row r="341" spans="1:21" ht="48" customHeight="1">
      <c r="A341" s="5" t="s">
        <v>2817</v>
      </c>
      <c r="B341" s="5" t="s">
        <v>2430</v>
      </c>
      <c r="C341" s="9" t="s">
        <v>2818</v>
      </c>
      <c r="D341" s="9" t="s">
        <v>81</v>
      </c>
      <c r="E341" s="5"/>
      <c r="F341" s="17"/>
      <c r="G341" s="5">
        <v>2030</v>
      </c>
      <c r="H341" s="17"/>
      <c r="I341" s="17">
        <v>31.43</v>
      </c>
      <c r="J341" s="17">
        <v>49.4</v>
      </c>
      <c r="K341" s="9" t="s">
        <v>82</v>
      </c>
      <c r="L341" s="17"/>
      <c r="M341" s="17"/>
      <c r="N341" s="17"/>
      <c r="O341" s="9" t="s">
        <v>83</v>
      </c>
      <c r="P341" s="9" t="s">
        <v>84</v>
      </c>
      <c r="Q341" s="5">
        <v>1</v>
      </c>
      <c r="R341" s="9" t="s">
        <v>2822</v>
      </c>
      <c r="S341" s="9"/>
      <c r="T341" s="9" t="str">
        <f>HYPERLINK("https://seichotoushi-hojo.jp/assets/pdf/koufu_3_4ji/outline_171.pdf","PDFを開く")</f>
        <v>PDFを開く</v>
      </c>
      <c r="U341" s="9" t="s">
        <v>2824</v>
      </c>
    </row>
    <row r="342" spans="1:21" ht="48" customHeight="1">
      <c r="A342" s="2" t="s">
        <v>2825</v>
      </c>
      <c r="B342" s="2" t="s">
        <v>2430</v>
      </c>
      <c r="C342" s="8" t="s">
        <v>2826</v>
      </c>
      <c r="D342" s="8" t="s">
        <v>81</v>
      </c>
      <c r="E342" s="2">
        <v>2024</v>
      </c>
      <c r="F342" s="16"/>
      <c r="G342" s="2">
        <v>2030</v>
      </c>
      <c r="H342" s="16"/>
      <c r="I342" s="16">
        <v>22.8</v>
      </c>
      <c r="J342" s="16">
        <v>12</v>
      </c>
      <c r="K342" s="8" t="s">
        <v>210</v>
      </c>
      <c r="L342" s="16"/>
      <c r="M342" s="16"/>
      <c r="N342" s="16"/>
      <c r="O342" s="8" t="s">
        <v>83</v>
      </c>
      <c r="P342" s="8" t="s">
        <v>84</v>
      </c>
      <c r="Q342" s="2">
        <v>1</v>
      </c>
      <c r="R342" s="8" t="s">
        <v>2830</v>
      </c>
      <c r="S342" s="8"/>
      <c r="T342" s="8" t="str">
        <f>HYPERLINK("https://seichotoushi-hojo.jp/assets/pdf/koufu_3_4ji/outline_172.pdf","PDFを開く")</f>
        <v>PDFを開く</v>
      </c>
      <c r="U342" s="8" t="s">
        <v>2832</v>
      </c>
    </row>
    <row r="343" spans="1:21" ht="48" customHeight="1">
      <c r="A343" s="5" t="s">
        <v>2833</v>
      </c>
      <c r="B343" s="5" t="s">
        <v>2430</v>
      </c>
      <c r="C343" s="9" t="s">
        <v>2834</v>
      </c>
      <c r="D343" s="9" t="s">
        <v>81</v>
      </c>
      <c r="E343" s="5"/>
      <c r="F343" s="17"/>
      <c r="G343" s="5">
        <v>2030</v>
      </c>
      <c r="H343" s="17">
        <v>171</v>
      </c>
      <c r="I343" s="17">
        <v>106</v>
      </c>
      <c r="J343" s="17">
        <v>163</v>
      </c>
      <c r="K343" s="9" t="s">
        <v>82</v>
      </c>
      <c r="L343" s="17"/>
      <c r="M343" s="17"/>
      <c r="N343" s="17"/>
      <c r="O343" s="9" t="s">
        <v>83</v>
      </c>
      <c r="P343" s="9" t="s">
        <v>84</v>
      </c>
      <c r="Q343" s="5">
        <v>1</v>
      </c>
      <c r="R343" s="9" t="s">
        <v>2837</v>
      </c>
      <c r="S343" s="9" t="s">
        <v>2838</v>
      </c>
      <c r="T343" s="9" t="str">
        <f>HYPERLINK("https://seichotoushi-hojo.jp/assets/pdf/koufu_3_4ji/outline_174.pdf","PDFを開く")</f>
        <v>PDFを開く</v>
      </c>
      <c r="U343" s="9" t="s">
        <v>2840</v>
      </c>
    </row>
    <row r="344" spans="1:21" ht="48" customHeight="1">
      <c r="A344" s="2" t="s">
        <v>2841</v>
      </c>
      <c r="B344" s="2" t="s">
        <v>2430</v>
      </c>
      <c r="C344" s="8" t="s">
        <v>2842</v>
      </c>
      <c r="D344" s="8" t="s">
        <v>81</v>
      </c>
      <c r="E344" s="2">
        <v>2025</v>
      </c>
      <c r="F344" s="16">
        <v>58.6</v>
      </c>
      <c r="G344" s="2">
        <v>2031</v>
      </c>
      <c r="H344" s="16">
        <v>114.7</v>
      </c>
      <c r="I344" s="16">
        <v>56.1</v>
      </c>
      <c r="J344" s="16">
        <v>11.8</v>
      </c>
      <c r="K344" s="8" t="s">
        <v>543</v>
      </c>
      <c r="L344" s="16"/>
      <c r="M344" s="16">
        <v>11.843556057198645</v>
      </c>
      <c r="N344" s="16"/>
      <c r="O344" s="8" t="s">
        <v>100</v>
      </c>
      <c r="P344" s="8" t="s">
        <v>587</v>
      </c>
      <c r="Q344" s="2">
        <v>1</v>
      </c>
      <c r="R344" s="8" t="s">
        <v>2845</v>
      </c>
      <c r="S344" s="8" t="s">
        <v>2846</v>
      </c>
      <c r="T344" s="8" t="str">
        <f>HYPERLINK("https://seichotoushi-hojo.jp/assets/pdf/koufu_3_4ji/outline_175.pdf","PDFを開く")</f>
        <v>PDFを開く</v>
      </c>
      <c r="U344" s="8" t="s">
        <v>2848</v>
      </c>
    </row>
    <row r="345" spans="1:21" ht="48" customHeight="1">
      <c r="A345" s="5" t="s">
        <v>2849</v>
      </c>
      <c r="B345" s="5" t="s">
        <v>2430</v>
      </c>
      <c r="C345" s="9" t="s">
        <v>2850</v>
      </c>
      <c r="D345" s="9" t="s">
        <v>81</v>
      </c>
      <c r="E345" s="5"/>
      <c r="F345" s="17"/>
      <c r="G345" s="5">
        <v>2030</v>
      </c>
      <c r="H345" s="17"/>
      <c r="I345" s="17">
        <v>63.82</v>
      </c>
      <c r="J345" s="17">
        <v>480</v>
      </c>
      <c r="K345" s="9" t="s">
        <v>82</v>
      </c>
      <c r="L345" s="17"/>
      <c r="M345" s="17"/>
      <c r="N345" s="17"/>
      <c r="O345" s="9" t="s">
        <v>83</v>
      </c>
      <c r="P345" s="9" t="s">
        <v>84</v>
      </c>
      <c r="Q345" s="5">
        <v>1</v>
      </c>
      <c r="R345" s="9" t="s">
        <v>2854</v>
      </c>
      <c r="S345" s="9"/>
      <c r="T345" s="9" t="str">
        <f>HYPERLINK("https://seichotoushi-hojo.jp/assets/pdf/koufu_3_4ji/outline_176.pdf","PDFを開く")</f>
        <v>PDFを開く</v>
      </c>
      <c r="U345" s="9" t="s">
        <v>2856</v>
      </c>
    </row>
    <row r="346" spans="1:21" ht="48" customHeight="1">
      <c r="A346" s="2" t="s">
        <v>2857</v>
      </c>
      <c r="B346" s="2" t="s">
        <v>2430</v>
      </c>
      <c r="C346" s="8" t="s">
        <v>2858</v>
      </c>
      <c r="D346" s="8" t="s">
        <v>81</v>
      </c>
      <c r="E346" s="2"/>
      <c r="F346" s="16"/>
      <c r="G346" s="2">
        <v>2030</v>
      </c>
      <c r="H346" s="16"/>
      <c r="I346" s="16">
        <v>127.09</v>
      </c>
      <c r="J346" s="16">
        <v>7.9</v>
      </c>
      <c r="K346" s="8" t="s">
        <v>82</v>
      </c>
      <c r="L346" s="16"/>
      <c r="M346" s="16"/>
      <c r="N346" s="16"/>
      <c r="O346" s="8" t="s">
        <v>83</v>
      </c>
      <c r="P346" s="8" t="s">
        <v>84</v>
      </c>
      <c r="Q346" s="2">
        <v>1</v>
      </c>
      <c r="R346" s="8" t="s">
        <v>2862</v>
      </c>
      <c r="S346" s="8"/>
      <c r="T346" s="8" t="str">
        <f>HYPERLINK("https://seichotoushi-hojo.jp/assets/pdf/koufu_3_4ji/outline_177.pdf","PDFを開く")</f>
        <v>PDFを開く</v>
      </c>
      <c r="U346" s="8" t="s">
        <v>2864</v>
      </c>
    </row>
    <row r="347" spans="1:21" ht="48" customHeight="1">
      <c r="A347" s="5" t="s">
        <v>2865</v>
      </c>
      <c r="B347" s="5" t="s">
        <v>2430</v>
      </c>
      <c r="C347" s="9" t="s">
        <v>2866</v>
      </c>
      <c r="D347" s="9" t="s">
        <v>81</v>
      </c>
      <c r="E347" s="5"/>
      <c r="F347" s="17"/>
      <c r="G347" s="5">
        <v>2030</v>
      </c>
      <c r="H347" s="17"/>
      <c r="I347" s="17">
        <v>159</v>
      </c>
      <c r="J347" s="17">
        <v>8.1999999999999993</v>
      </c>
      <c r="K347" s="9" t="s">
        <v>82</v>
      </c>
      <c r="L347" s="17"/>
      <c r="M347" s="17"/>
      <c r="N347" s="17"/>
      <c r="O347" s="9" t="s">
        <v>83</v>
      </c>
      <c r="P347" s="9" t="s">
        <v>84</v>
      </c>
      <c r="Q347" s="5">
        <v>1</v>
      </c>
      <c r="R347" s="9" t="s">
        <v>2870</v>
      </c>
      <c r="S347" s="9"/>
      <c r="T347" s="9" t="str">
        <f>HYPERLINK("https://seichotoushi-hojo.jp/assets/pdf/koufu_3_4ji/outline_178.pdf","PDFを開く")</f>
        <v>PDFを開く</v>
      </c>
      <c r="U347" s="9" t="s">
        <v>2872</v>
      </c>
    </row>
    <row r="348" spans="1:21" ht="48" customHeight="1">
      <c r="A348" s="2" t="s">
        <v>2873</v>
      </c>
      <c r="B348" s="2" t="s">
        <v>2430</v>
      </c>
      <c r="C348" s="8" t="s">
        <v>2874</v>
      </c>
      <c r="D348" s="8" t="s">
        <v>81</v>
      </c>
      <c r="E348" s="2"/>
      <c r="F348" s="16"/>
      <c r="G348" s="2">
        <v>2030</v>
      </c>
      <c r="H348" s="16"/>
      <c r="I348" s="16">
        <v>15.8</v>
      </c>
      <c r="J348" s="16">
        <v>40.1</v>
      </c>
      <c r="K348" s="8" t="s">
        <v>82</v>
      </c>
      <c r="L348" s="16"/>
      <c r="M348" s="16"/>
      <c r="N348" s="16"/>
      <c r="O348" s="8" t="s">
        <v>83</v>
      </c>
      <c r="P348" s="8" t="s">
        <v>84</v>
      </c>
      <c r="Q348" s="2">
        <v>1</v>
      </c>
      <c r="R348" s="8" t="s">
        <v>2878</v>
      </c>
      <c r="S348" s="8"/>
      <c r="T348" s="8" t="str">
        <f>HYPERLINK("https://seichotoushi-hojo.jp/assets/pdf/koufu_3_4ji/outline_179.pdf","PDFを開く")</f>
        <v>PDFを開く</v>
      </c>
      <c r="U348" s="8" t="s">
        <v>2880</v>
      </c>
    </row>
    <row r="349" spans="1:21" ht="48" customHeight="1">
      <c r="A349" s="5" t="s">
        <v>2881</v>
      </c>
      <c r="B349" s="5" t="s">
        <v>2430</v>
      </c>
      <c r="C349" s="9" t="s">
        <v>2882</v>
      </c>
      <c r="D349" s="9" t="s">
        <v>81</v>
      </c>
      <c r="E349" s="5">
        <v>2024</v>
      </c>
      <c r="F349" s="17"/>
      <c r="G349" s="5">
        <v>2030</v>
      </c>
      <c r="H349" s="17"/>
      <c r="I349" s="17">
        <v>73.760000000000005</v>
      </c>
      <c r="J349" s="17">
        <v>9</v>
      </c>
      <c r="K349" s="9" t="s">
        <v>210</v>
      </c>
      <c r="L349" s="17"/>
      <c r="M349" s="17"/>
      <c r="N349" s="17"/>
      <c r="O349" s="9" t="s">
        <v>83</v>
      </c>
      <c r="P349" s="9" t="s">
        <v>84</v>
      </c>
      <c r="Q349" s="5">
        <v>1</v>
      </c>
      <c r="R349" s="9" t="s">
        <v>2886</v>
      </c>
      <c r="S349" s="9"/>
      <c r="T349" s="9" t="str">
        <f>HYPERLINK("https://seichotoushi-hojo.jp/assets/pdf/koufu_3_4ji/outline_180.pdf","PDFを開く")</f>
        <v>PDFを開く</v>
      </c>
      <c r="U349" s="9" t="s">
        <v>2888</v>
      </c>
    </row>
    <row r="350" spans="1:21" ht="48" customHeight="1">
      <c r="A350" s="2" t="s">
        <v>2889</v>
      </c>
      <c r="B350" s="2" t="s">
        <v>2430</v>
      </c>
      <c r="C350" s="8" t="s">
        <v>2890</v>
      </c>
      <c r="D350" s="8" t="s">
        <v>81</v>
      </c>
      <c r="E350" s="2"/>
      <c r="F350" s="16"/>
      <c r="G350" s="2">
        <v>2030</v>
      </c>
      <c r="H350" s="16"/>
      <c r="I350" s="16">
        <v>36.31</v>
      </c>
      <c r="J350" s="16">
        <v>9.01</v>
      </c>
      <c r="K350" s="8" t="s">
        <v>82</v>
      </c>
      <c r="L350" s="16"/>
      <c r="M350" s="16"/>
      <c r="N350" s="16"/>
      <c r="O350" s="8" t="s">
        <v>83</v>
      </c>
      <c r="P350" s="8" t="s">
        <v>84</v>
      </c>
      <c r="Q350" s="2">
        <v>1</v>
      </c>
      <c r="R350" s="8" t="s">
        <v>2894</v>
      </c>
      <c r="S350" s="8"/>
      <c r="T350" s="8" t="str">
        <f>HYPERLINK("https://seichotoushi-hojo.jp/assets/pdf/koufu_3_4ji/outline_181.pdf","PDFを開く")</f>
        <v>PDFを開く</v>
      </c>
      <c r="U350" s="8" t="s">
        <v>2896</v>
      </c>
    </row>
    <row r="351" spans="1:21" ht="48" customHeight="1">
      <c r="A351" s="5" t="s">
        <v>2897</v>
      </c>
      <c r="B351" s="5" t="s">
        <v>2430</v>
      </c>
      <c r="C351" s="9" t="s">
        <v>2898</v>
      </c>
      <c r="D351" s="9" t="s">
        <v>81</v>
      </c>
      <c r="E351" s="5"/>
      <c r="F351" s="17"/>
      <c r="G351" s="5">
        <v>2030</v>
      </c>
      <c r="H351" s="17"/>
      <c r="I351" s="17">
        <v>20.77</v>
      </c>
      <c r="J351" s="17">
        <v>23.8</v>
      </c>
      <c r="K351" s="9" t="s">
        <v>82</v>
      </c>
      <c r="L351" s="17"/>
      <c r="M351" s="17"/>
      <c r="N351" s="17"/>
      <c r="O351" s="9" t="s">
        <v>83</v>
      </c>
      <c r="P351" s="9" t="s">
        <v>84</v>
      </c>
      <c r="Q351" s="5">
        <v>1</v>
      </c>
      <c r="R351" s="9" t="s">
        <v>2900</v>
      </c>
      <c r="S351" s="9"/>
      <c r="T351" s="9" t="str">
        <f>HYPERLINK("https://seichotoushi-hojo.jp/assets/pdf/koufu_3_4ji/outline_182.pdf","PDFを開く")</f>
        <v>PDFを開く</v>
      </c>
      <c r="U351" s="9" t="s">
        <v>2902</v>
      </c>
    </row>
    <row r="352" spans="1:21" ht="48" customHeight="1">
      <c r="A352" s="2" t="s">
        <v>2903</v>
      </c>
      <c r="B352" s="2" t="s">
        <v>2430</v>
      </c>
      <c r="C352" s="8" t="s">
        <v>2904</v>
      </c>
      <c r="D352" s="8" t="s">
        <v>81</v>
      </c>
      <c r="E352" s="2"/>
      <c r="F352" s="16"/>
      <c r="G352" s="2">
        <v>2030</v>
      </c>
      <c r="H352" s="16"/>
      <c r="I352" s="16">
        <v>185.98</v>
      </c>
      <c r="J352" s="16">
        <v>18.399999999999999</v>
      </c>
      <c r="K352" s="8" t="s">
        <v>210</v>
      </c>
      <c r="L352" s="16"/>
      <c r="M352" s="16"/>
      <c r="N352" s="16"/>
      <c r="O352" s="8" t="s">
        <v>83</v>
      </c>
      <c r="P352" s="8" t="s">
        <v>84</v>
      </c>
      <c r="Q352" s="2">
        <v>1</v>
      </c>
      <c r="R352" s="8" t="s">
        <v>2907</v>
      </c>
      <c r="S352" s="8"/>
      <c r="T352" s="8" t="str">
        <f>HYPERLINK("https://seichotoushi-hojo.jp/assets/pdf/koufu_3_4ji/outline_183.pdf","PDFを開く")</f>
        <v>PDFを開く</v>
      </c>
      <c r="U352" s="8" t="s">
        <v>2909</v>
      </c>
    </row>
    <row r="353" spans="1:21" ht="48" customHeight="1">
      <c r="A353" s="5" t="s">
        <v>2910</v>
      </c>
      <c r="B353" s="5" t="s">
        <v>2430</v>
      </c>
      <c r="C353" s="9" t="s">
        <v>2911</v>
      </c>
      <c r="D353" s="9" t="s">
        <v>81</v>
      </c>
      <c r="E353" s="5"/>
      <c r="F353" s="17"/>
      <c r="G353" s="5">
        <v>2030</v>
      </c>
      <c r="H353" s="17"/>
      <c r="I353" s="17">
        <v>60.21</v>
      </c>
      <c r="J353" s="17">
        <v>10.8</v>
      </c>
      <c r="K353" s="9" t="s">
        <v>210</v>
      </c>
      <c r="L353" s="17"/>
      <c r="M353" s="17"/>
      <c r="N353" s="17">
        <v>1.85</v>
      </c>
      <c r="O353" s="9" t="s">
        <v>83</v>
      </c>
      <c r="P353" s="9" t="s">
        <v>84</v>
      </c>
      <c r="Q353" s="5">
        <v>1</v>
      </c>
      <c r="R353" s="9" t="s">
        <v>2915</v>
      </c>
      <c r="S353" s="9"/>
      <c r="T353" s="9" t="str">
        <f>HYPERLINK("https://seichotoushi-hojo.jp/assets/pdf/koufu_3_4ji/outline_184.pdf","PDFを開く")</f>
        <v>PDFを開く</v>
      </c>
      <c r="U353" s="9" t="s">
        <v>2917</v>
      </c>
    </row>
    <row r="354" spans="1:21" ht="48" customHeight="1">
      <c r="A354" s="2" t="s">
        <v>2918</v>
      </c>
      <c r="B354" s="2" t="s">
        <v>2430</v>
      </c>
      <c r="C354" s="8" t="s">
        <v>2919</v>
      </c>
      <c r="D354" s="8" t="s">
        <v>81</v>
      </c>
      <c r="E354" s="2"/>
      <c r="F354" s="16"/>
      <c r="G354" s="2">
        <v>2030</v>
      </c>
      <c r="H354" s="16"/>
      <c r="I354" s="16">
        <v>85.36</v>
      </c>
      <c r="J354" s="16">
        <v>12.4</v>
      </c>
      <c r="K354" s="8" t="s">
        <v>82</v>
      </c>
      <c r="L354" s="16"/>
      <c r="M354" s="16"/>
      <c r="N354" s="16"/>
      <c r="O354" s="8" t="s">
        <v>83</v>
      </c>
      <c r="P354" s="8" t="s">
        <v>84</v>
      </c>
      <c r="Q354" s="2">
        <v>1</v>
      </c>
      <c r="R354" s="8" t="s">
        <v>2923</v>
      </c>
      <c r="S354" s="8"/>
      <c r="T354" s="8" t="str">
        <f>HYPERLINK("https://seichotoushi-hojo.jp/assets/pdf/koufu_3_4ji/outline_187.pdf","PDFを開く")</f>
        <v>PDFを開く</v>
      </c>
      <c r="U354" s="8" t="s">
        <v>2925</v>
      </c>
    </row>
    <row r="355" spans="1:21" ht="48" customHeight="1">
      <c r="A355" s="5" t="s">
        <v>2926</v>
      </c>
      <c r="B355" s="5" t="s">
        <v>2430</v>
      </c>
      <c r="C355" s="9" t="s">
        <v>2927</v>
      </c>
      <c r="D355" s="9" t="s">
        <v>81</v>
      </c>
      <c r="E355" s="5"/>
      <c r="F355" s="17"/>
      <c r="G355" s="5">
        <v>2030</v>
      </c>
      <c r="H355" s="17">
        <v>157</v>
      </c>
      <c r="I355" s="17">
        <v>93</v>
      </c>
      <c r="J355" s="17">
        <v>25</v>
      </c>
      <c r="K355" s="9" t="s">
        <v>210</v>
      </c>
      <c r="L355" s="17"/>
      <c r="M355" s="17"/>
      <c r="N355" s="17"/>
      <c r="O355" s="9" t="s">
        <v>83</v>
      </c>
      <c r="P355" s="9" t="s">
        <v>84</v>
      </c>
      <c r="Q355" s="5">
        <v>1</v>
      </c>
      <c r="R355" s="9" t="s">
        <v>2931</v>
      </c>
      <c r="S355" s="9" t="s">
        <v>2932</v>
      </c>
      <c r="T355" s="9" t="str">
        <f>HYPERLINK("https://seichotoushi-hojo.jp/assets/pdf/koufu_3_4ji/outline_189.pdf","PDFを開く")</f>
        <v>PDFを開く</v>
      </c>
      <c r="U355" s="9" t="s">
        <v>2934</v>
      </c>
    </row>
    <row r="356" spans="1:21" ht="48" customHeight="1">
      <c r="A356" s="2" t="s">
        <v>2935</v>
      </c>
      <c r="B356" s="2" t="s">
        <v>2430</v>
      </c>
      <c r="C356" s="8" t="s">
        <v>2936</v>
      </c>
      <c r="D356" s="8" t="s">
        <v>81</v>
      </c>
      <c r="E356" s="2">
        <v>2025</v>
      </c>
      <c r="F356" s="16"/>
      <c r="G356" s="2">
        <v>2031</v>
      </c>
      <c r="H356" s="16"/>
      <c r="I356" s="16">
        <v>186.61</v>
      </c>
      <c r="J356" s="16">
        <v>24.6</v>
      </c>
      <c r="K356" s="8" t="s">
        <v>210</v>
      </c>
      <c r="L356" s="16"/>
      <c r="M356" s="16"/>
      <c r="N356" s="16"/>
      <c r="O356" s="8" t="s">
        <v>83</v>
      </c>
      <c r="P356" s="8" t="s">
        <v>84</v>
      </c>
      <c r="Q356" s="2">
        <v>1</v>
      </c>
      <c r="R356" s="8" t="s">
        <v>2940</v>
      </c>
      <c r="S356" s="8"/>
      <c r="T356" s="8" t="str">
        <f>HYPERLINK("https://seichotoushi-hojo.jp/assets/pdf/koufu_3_4ji/outline_191.pdf","PDFを開く")</f>
        <v>PDFを開く</v>
      </c>
      <c r="U356" s="8" t="s">
        <v>2942</v>
      </c>
    </row>
    <row r="357" spans="1:21" ht="48" customHeight="1">
      <c r="A357" s="5" t="s">
        <v>2943</v>
      </c>
      <c r="B357" s="5" t="s">
        <v>2430</v>
      </c>
      <c r="C357" s="9" t="s">
        <v>2944</v>
      </c>
      <c r="D357" s="9" t="s">
        <v>81</v>
      </c>
      <c r="E357" s="5">
        <v>2025</v>
      </c>
      <c r="F357" s="17"/>
      <c r="G357" s="5">
        <v>2030</v>
      </c>
      <c r="H357" s="17"/>
      <c r="I357" s="17">
        <v>35.4</v>
      </c>
      <c r="J357" s="17">
        <v>230.8</v>
      </c>
      <c r="K357" s="9" t="s">
        <v>82</v>
      </c>
      <c r="L357" s="17"/>
      <c r="M357" s="17"/>
      <c r="N357" s="17"/>
      <c r="O357" s="9" t="s">
        <v>83</v>
      </c>
      <c r="P357" s="9" t="s">
        <v>84</v>
      </c>
      <c r="Q357" s="5">
        <v>1</v>
      </c>
      <c r="R357" s="9" t="s">
        <v>2947</v>
      </c>
      <c r="S357" s="9"/>
      <c r="T357" s="9" t="str">
        <f>HYPERLINK("https://seichotoushi-hojo.jp/assets/pdf/koufu_3_4ji/outline_192.pdf","PDFを開く")</f>
        <v>PDFを開く</v>
      </c>
      <c r="U357" s="9" t="s">
        <v>2949</v>
      </c>
    </row>
    <row r="358" spans="1:21" ht="48" customHeight="1">
      <c r="A358" s="2" t="s">
        <v>2950</v>
      </c>
      <c r="B358" s="2" t="s">
        <v>2430</v>
      </c>
      <c r="C358" s="8" t="s">
        <v>2951</v>
      </c>
      <c r="D358" s="8" t="s">
        <v>81</v>
      </c>
      <c r="E358" s="2"/>
      <c r="F358" s="16"/>
      <c r="G358" s="2">
        <v>2031</v>
      </c>
      <c r="H358" s="16"/>
      <c r="I358" s="16">
        <v>248</v>
      </c>
      <c r="J358" s="16">
        <v>9.8000000000000007</v>
      </c>
      <c r="K358" s="8" t="s">
        <v>210</v>
      </c>
      <c r="L358" s="16"/>
      <c r="M358" s="16"/>
      <c r="N358" s="16"/>
      <c r="O358" s="8" t="s">
        <v>83</v>
      </c>
      <c r="P358" s="8" t="s">
        <v>84</v>
      </c>
      <c r="Q358" s="2">
        <v>1</v>
      </c>
      <c r="R358" s="8" t="s">
        <v>2955</v>
      </c>
      <c r="S358" s="8"/>
      <c r="T358" s="8" t="str">
        <f>HYPERLINK("https://seichotoushi-hojo.jp/assets/pdf/koufu_3_4ji/outline_193.pdf","PDFを開く")</f>
        <v>PDFを開く</v>
      </c>
      <c r="U358" s="8" t="s">
        <v>2957</v>
      </c>
    </row>
    <row r="359" spans="1:21" ht="48" customHeight="1">
      <c r="A359" s="5" t="s">
        <v>2958</v>
      </c>
      <c r="B359" s="5" t="s">
        <v>2430</v>
      </c>
      <c r="C359" s="9" t="s">
        <v>2959</v>
      </c>
      <c r="D359" s="9" t="s">
        <v>81</v>
      </c>
      <c r="E359" s="5"/>
      <c r="F359" s="17"/>
      <c r="G359" s="5">
        <v>2030</v>
      </c>
      <c r="H359" s="17"/>
      <c r="I359" s="17">
        <v>27.8</v>
      </c>
      <c r="J359" s="17">
        <v>272</v>
      </c>
      <c r="K359" s="9" t="s">
        <v>82</v>
      </c>
      <c r="L359" s="17"/>
      <c r="M359" s="17"/>
      <c r="N359" s="17"/>
      <c r="O359" s="9" t="s">
        <v>83</v>
      </c>
      <c r="P359" s="9" t="s">
        <v>84</v>
      </c>
      <c r="Q359" s="5">
        <v>1</v>
      </c>
      <c r="R359" s="9" t="s">
        <v>2962</v>
      </c>
      <c r="S359" s="9"/>
      <c r="T359" s="9" t="str">
        <f>HYPERLINK("https://seichotoushi-hojo.jp/assets/pdf/koufu_3_4ji/outline_194.pdf","PDFを開く")</f>
        <v>PDFを開く</v>
      </c>
      <c r="U359" s="9" t="s">
        <v>2964</v>
      </c>
    </row>
    <row r="360" spans="1:21" ht="48" customHeight="1">
      <c r="A360" s="2" t="s">
        <v>2965</v>
      </c>
      <c r="B360" s="2" t="s">
        <v>2430</v>
      </c>
      <c r="C360" s="8" t="s">
        <v>2966</v>
      </c>
      <c r="D360" s="8" t="s">
        <v>81</v>
      </c>
      <c r="E360" s="2"/>
      <c r="F360" s="16"/>
      <c r="G360" s="2">
        <v>2030</v>
      </c>
      <c r="H360" s="16"/>
      <c r="I360" s="16">
        <v>100</v>
      </c>
      <c r="J360" s="16">
        <v>11.5</v>
      </c>
      <c r="K360" s="8" t="s">
        <v>82</v>
      </c>
      <c r="L360" s="16"/>
      <c r="M360" s="16"/>
      <c r="N360" s="16"/>
      <c r="O360" s="8" t="s">
        <v>83</v>
      </c>
      <c r="P360" s="8" t="s">
        <v>84</v>
      </c>
      <c r="Q360" s="2">
        <v>1</v>
      </c>
      <c r="R360" s="8" t="s">
        <v>2969</v>
      </c>
      <c r="S360" s="8"/>
      <c r="T360" s="8" t="str">
        <f>HYPERLINK("https://seichotoushi-hojo.jp/assets/pdf/koufu_3_4ji/outline_195.pdf","PDFを開く")</f>
        <v>PDFを開く</v>
      </c>
      <c r="U360" s="8" t="s">
        <v>2971</v>
      </c>
    </row>
    <row r="361" spans="1:21" ht="48" customHeight="1">
      <c r="A361" s="5" t="s">
        <v>2972</v>
      </c>
      <c r="B361" s="5" t="s">
        <v>2430</v>
      </c>
      <c r="C361" s="9" t="s">
        <v>2973</v>
      </c>
      <c r="D361" s="9" t="s">
        <v>81</v>
      </c>
      <c r="E361" s="5"/>
      <c r="F361" s="17"/>
      <c r="G361" s="5">
        <v>2031</v>
      </c>
      <c r="H361" s="17"/>
      <c r="I361" s="17">
        <v>48</v>
      </c>
      <c r="J361" s="17">
        <v>25.79</v>
      </c>
      <c r="K361" s="9" t="s">
        <v>82</v>
      </c>
      <c r="L361" s="17"/>
      <c r="M361" s="17"/>
      <c r="N361" s="17"/>
      <c r="O361" s="9" t="s">
        <v>83</v>
      </c>
      <c r="P361" s="9" t="s">
        <v>84</v>
      </c>
      <c r="Q361" s="5">
        <v>1</v>
      </c>
      <c r="R361" s="9" t="s">
        <v>2977</v>
      </c>
      <c r="S361" s="9"/>
      <c r="T361" s="9" t="str">
        <f>HYPERLINK("https://seichotoushi-hojo.jp/assets/pdf/koufu_3_4ji/outline_196.pdf","PDFを開く")</f>
        <v>PDFを開く</v>
      </c>
      <c r="U361" s="9" t="s">
        <v>2979</v>
      </c>
    </row>
    <row r="362" spans="1:21" ht="48" customHeight="1">
      <c r="A362" s="2" t="s">
        <v>2980</v>
      </c>
      <c r="B362" s="2" t="s">
        <v>2430</v>
      </c>
      <c r="C362" s="8" t="s">
        <v>2981</v>
      </c>
      <c r="D362" s="8" t="s">
        <v>81</v>
      </c>
      <c r="E362" s="2"/>
      <c r="F362" s="16"/>
      <c r="G362" s="2">
        <v>2036</v>
      </c>
      <c r="H362" s="16"/>
      <c r="I362" s="16">
        <v>846</v>
      </c>
      <c r="J362" s="16">
        <v>73</v>
      </c>
      <c r="K362" s="8" t="s">
        <v>210</v>
      </c>
      <c r="L362" s="16"/>
      <c r="M362" s="16"/>
      <c r="N362" s="16"/>
      <c r="O362" s="8" t="s">
        <v>83</v>
      </c>
      <c r="P362" s="8" t="s">
        <v>84</v>
      </c>
      <c r="Q362" s="2">
        <v>1</v>
      </c>
      <c r="R362" s="8" t="s">
        <v>2984</v>
      </c>
      <c r="S362" s="8"/>
      <c r="T362" s="8" t="str">
        <f>HYPERLINK("https://seichotoushi-hojo.jp/assets/pdf/koufu_3_4ji/outline_199.pdf","PDFを開く")</f>
        <v>PDFを開く</v>
      </c>
      <c r="U362" s="8" t="s">
        <v>2986</v>
      </c>
    </row>
    <row r="363" spans="1:21" ht="48" customHeight="1">
      <c r="A363" s="5" t="s">
        <v>2987</v>
      </c>
      <c r="B363" s="5" t="s">
        <v>2430</v>
      </c>
      <c r="C363" s="9" t="s">
        <v>2988</v>
      </c>
      <c r="D363" s="9" t="s">
        <v>81</v>
      </c>
      <c r="E363" s="5"/>
      <c r="F363" s="17"/>
      <c r="G363" s="5">
        <v>2030</v>
      </c>
      <c r="H363" s="17"/>
      <c r="I363" s="17">
        <v>35.549999999999997</v>
      </c>
      <c r="J363" s="17">
        <v>17</v>
      </c>
      <c r="K363" s="9" t="s">
        <v>210</v>
      </c>
      <c r="L363" s="17"/>
      <c r="M363" s="17"/>
      <c r="N363" s="17"/>
      <c r="O363" s="9" t="s">
        <v>83</v>
      </c>
      <c r="P363" s="9" t="s">
        <v>84</v>
      </c>
      <c r="Q363" s="5">
        <v>1</v>
      </c>
      <c r="R363" s="9" t="s">
        <v>2992</v>
      </c>
      <c r="S363" s="9"/>
      <c r="T363" s="9" t="str">
        <f>HYPERLINK("https://seichotoushi-hojo.jp/assets/pdf/koufu_3_4ji/outline_200.pdf","PDFを開く")</f>
        <v>PDFを開く</v>
      </c>
      <c r="U363" s="9" t="s">
        <v>2994</v>
      </c>
    </row>
    <row r="364" spans="1:21" ht="48" customHeight="1">
      <c r="A364" s="2" t="s">
        <v>2995</v>
      </c>
      <c r="B364" s="2" t="s">
        <v>2430</v>
      </c>
      <c r="C364" s="8" t="s">
        <v>2996</v>
      </c>
      <c r="D364" s="8" t="s">
        <v>81</v>
      </c>
      <c r="E364" s="2">
        <v>2025</v>
      </c>
      <c r="F364" s="16"/>
      <c r="G364" s="2">
        <v>2030</v>
      </c>
      <c r="H364" s="16"/>
      <c r="I364" s="16">
        <v>55.58</v>
      </c>
      <c r="J364" s="16">
        <v>282</v>
      </c>
      <c r="K364" s="8" t="s">
        <v>82</v>
      </c>
      <c r="L364" s="16"/>
      <c r="M364" s="16"/>
      <c r="N364" s="16"/>
      <c r="O364" s="8" t="s">
        <v>83</v>
      </c>
      <c r="P364" s="8" t="s">
        <v>84</v>
      </c>
      <c r="Q364" s="2">
        <v>1</v>
      </c>
      <c r="R364" s="8" t="s">
        <v>2999</v>
      </c>
      <c r="S364" s="8"/>
      <c r="T364" s="8" t="str">
        <f>HYPERLINK("https://seichotoushi-hojo.jp/assets/pdf/koufu_3_4ji/outline_201.pdf","PDFを開く")</f>
        <v>PDFを開く</v>
      </c>
      <c r="U364" s="8" t="s">
        <v>3001</v>
      </c>
    </row>
    <row r="365" spans="1:21" ht="48" customHeight="1">
      <c r="A365" s="5" t="s">
        <v>3002</v>
      </c>
      <c r="B365" s="5" t="s">
        <v>2430</v>
      </c>
      <c r="C365" s="9" t="s">
        <v>3003</v>
      </c>
      <c r="D365" s="9" t="s">
        <v>81</v>
      </c>
      <c r="E365" s="5"/>
      <c r="F365" s="17"/>
      <c r="G365" s="5">
        <v>2031</v>
      </c>
      <c r="H365" s="17"/>
      <c r="I365" s="17">
        <v>77.81</v>
      </c>
      <c r="J365" s="17">
        <v>10.6</v>
      </c>
      <c r="K365" s="9" t="s">
        <v>210</v>
      </c>
      <c r="L365" s="17"/>
      <c r="M365" s="17"/>
      <c r="N365" s="17"/>
      <c r="O365" s="9" t="s">
        <v>83</v>
      </c>
      <c r="P365" s="9" t="s">
        <v>84</v>
      </c>
      <c r="Q365" s="5">
        <v>1</v>
      </c>
      <c r="R365" s="9" t="s">
        <v>3007</v>
      </c>
      <c r="S365" s="9"/>
      <c r="T365" s="9" t="str">
        <f>HYPERLINK("https://seichotoushi-hojo.jp/assets/pdf/koufu_3_4ji/outline_202.pdf","PDFを開く")</f>
        <v>PDFを開く</v>
      </c>
      <c r="U365" s="9" t="s">
        <v>3009</v>
      </c>
    </row>
    <row r="366" spans="1:21" ht="48" customHeight="1">
      <c r="A366" s="2" t="s">
        <v>3010</v>
      </c>
      <c r="B366" s="2" t="s">
        <v>2430</v>
      </c>
      <c r="C366" s="8" t="s">
        <v>3011</v>
      </c>
      <c r="D366" s="8" t="s">
        <v>81</v>
      </c>
      <c r="E366" s="2">
        <v>2025</v>
      </c>
      <c r="F366" s="16"/>
      <c r="G366" s="2">
        <v>2030</v>
      </c>
      <c r="H366" s="16">
        <v>1100</v>
      </c>
      <c r="I366" s="16"/>
      <c r="J366" s="16"/>
      <c r="K366" s="8"/>
      <c r="L366" s="16"/>
      <c r="M366" s="16"/>
      <c r="N366" s="16"/>
      <c r="O366" s="8" t="s">
        <v>83</v>
      </c>
      <c r="P366" s="8" t="s">
        <v>587</v>
      </c>
      <c r="Q366" s="2">
        <v>1</v>
      </c>
      <c r="R366" s="8" t="s">
        <v>3015</v>
      </c>
      <c r="S366" s="8" t="s">
        <v>3016</v>
      </c>
      <c r="T366" s="8" t="str">
        <f>HYPERLINK("https://seichotoushi-hojo.jp/assets/pdf/koufu_3_4ji/outline_204.pdf","PDFを開く")</f>
        <v>PDFを開く</v>
      </c>
      <c r="U366" s="8" t="s">
        <v>3018</v>
      </c>
    </row>
    <row r="367" spans="1:21" ht="48" customHeight="1">
      <c r="A367" s="5" t="s">
        <v>3019</v>
      </c>
      <c r="B367" s="5" t="s">
        <v>2430</v>
      </c>
      <c r="C367" s="9" t="s">
        <v>3020</v>
      </c>
      <c r="D367" s="9" t="s">
        <v>81</v>
      </c>
      <c r="E367" s="5"/>
      <c r="F367" s="17"/>
      <c r="G367" s="5">
        <v>2030</v>
      </c>
      <c r="H367" s="17"/>
      <c r="I367" s="17">
        <v>23.5</v>
      </c>
      <c r="J367" s="17">
        <v>414</v>
      </c>
      <c r="K367" s="9" t="s">
        <v>82</v>
      </c>
      <c r="L367" s="17"/>
      <c r="M367" s="17"/>
      <c r="N367" s="17"/>
      <c r="O367" s="9" t="s">
        <v>83</v>
      </c>
      <c r="P367" s="9" t="s">
        <v>84</v>
      </c>
      <c r="Q367" s="5">
        <v>1</v>
      </c>
      <c r="R367" s="9" t="s">
        <v>3023</v>
      </c>
      <c r="S367" s="9"/>
      <c r="T367" s="9" t="str">
        <f>HYPERLINK("https://seichotoushi-hojo.jp/assets/pdf/koufu_3_4ji/outline_206.pdf","PDFを開く")</f>
        <v>PDFを開く</v>
      </c>
      <c r="U367" s="9" t="s">
        <v>3025</v>
      </c>
    </row>
    <row r="368" spans="1:21" ht="48" customHeight="1">
      <c r="A368" s="2" t="s">
        <v>3026</v>
      </c>
      <c r="B368" s="2" t="s">
        <v>2430</v>
      </c>
      <c r="C368" s="8" t="s">
        <v>3027</v>
      </c>
      <c r="D368" s="8" t="s">
        <v>81</v>
      </c>
      <c r="E368" s="2"/>
      <c r="F368" s="16"/>
      <c r="G368" s="2">
        <v>2031</v>
      </c>
      <c r="H368" s="16"/>
      <c r="I368" s="16">
        <v>98</v>
      </c>
      <c r="J368" s="16">
        <v>10.199999999999999</v>
      </c>
      <c r="K368" s="8" t="s">
        <v>82</v>
      </c>
      <c r="L368" s="16"/>
      <c r="M368" s="16"/>
      <c r="N368" s="16"/>
      <c r="O368" s="8" t="s">
        <v>83</v>
      </c>
      <c r="P368" s="8" t="s">
        <v>84</v>
      </c>
      <c r="Q368" s="2">
        <v>1</v>
      </c>
      <c r="R368" s="8" t="s">
        <v>3031</v>
      </c>
      <c r="S368" s="8"/>
      <c r="T368" s="8" t="str">
        <f>HYPERLINK("https://seichotoushi-hojo.jp/assets/pdf/koufu_3_4ji/outline_207.pdf","PDFを開く")</f>
        <v>PDFを開く</v>
      </c>
      <c r="U368" s="8" t="s">
        <v>3033</v>
      </c>
    </row>
    <row r="369" spans="1:21" ht="48" customHeight="1">
      <c r="A369" s="5" t="s">
        <v>3034</v>
      </c>
      <c r="B369" s="5" t="s">
        <v>2430</v>
      </c>
      <c r="C369" s="9" t="s">
        <v>3035</v>
      </c>
      <c r="D369" s="9" t="s">
        <v>81</v>
      </c>
      <c r="E369" s="5"/>
      <c r="F369" s="17"/>
      <c r="G369" s="5">
        <v>2030</v>
      </c>
      <c r="H369" s="17"/>
      <c r="I369" s="17">
        <v>57</v>
      </c>
      <c r="J369" s="17">
        <v>174</v>
      </c>
      <c r="K369" s="9" t="s">
        <v>82</v>
      </c>
      <c r="L369" s="17"/>
      <c r="M369" s="17"/>
      <c r="N369" s="17"/>
      <c r="O369" s="9" t="s">
        <v>83</v>
      </c>
      <c r="P369" s="9" t="s">
        <v>84</v>
      </c>
      <c r="Q369" s="5">
        <v>1</v>
      </c>
      <c r="R369" s="9" t="s">
        <v>3038</v>
      </c>
      <c r="S369" s="9"/>
      <c r="T369" s="9" t="str">
        <f>HYPERLINK("https://seichotoushi-hojo.jp/assets/pdf/koufu_3_4ji/outline_208.pdf","PDFを開く")</f>
        <v>PDFを開く</v>
      </c>
      <c r="U369" s="9" t="s">
        <v>3040</v>
      </c>
    </row>
    <row r="370" spans="1:21" ht="48" customHeight="1">
      <c r="A370" s="2" t="s">
        <v>3041</v>
      </c>
      <c r="B370" s="2" t="s">
        <v>2430</v>
      </c>
      <c r="C370" s="8" t="s">
        <v>3042</v>
      </c>
      <c r="D370" s="8" t="s">
        <v>81</v>
      </c>
      <c r="E370" s="2"/>
      <c r="F370" s="16"/>
      <c r="G370" s="2">
        <v>2031</v>
      </c>
      <c r="H370" s="16"/>
      <c r="I370" s="16">
        <v>75</v>
      </c>
      <c r="J370" s="16">
        <v>10.8</v>
      </c>
      <c r="K370" s="8" t="s">
        <v>210</v>
      </c>
      <c r="L370" s="16"/>
      <c r="M370" s="16"/>
      <c r="N370" s="16"/>
      <c r="O370" s="8" t="s">
        <v>83</v>
      </c>
      <c r="P370" s="8" t="s">
        <v>84</v>
      </c>
      <c r="Q370" s="2">
        <v>1</v>
      </c>
      <c r="R370" s="8" t="s">
        <v>3046</v>
      </c>
      <c r="S370" s="8"/>
      <c r="T370" s="8" t="str">
        <f>HYPERLINK("https://seichotoushi-hojo.jp/assets/pdf/koufu_3_4ji/outline_210.pdf","PDFを開く")</f>
        <v>PDFを開く</v>
      </c>
      <c r="U370" s="8" t="s">
        <v>3048</v>
      </c>
    </row>
    <row r="371" spans="1:21" ht="48" customHeight="1">
      <c r="A371" s="5" t="s">
        <v>3049</v>
      </c>
      <c r="B371" s="5" t="s">
        <v>2430</v>
      </c>
      <c r="C371" s="9" t="s">
        <v>3050</v>
      </c>
      <c r="D371" s="9" t="s">
        <v>81</v>
      </c>
      <c r="E371" s="5">
        <v>2025</v>
      </c>
      <c r="F371" s="17"/>
      <c r="G371" s="5">
        <v>2031</v>
      </c>
      <c r="H371" s="17"/>
      <c r="I371" s="17">
        <v>237</v>
      </c>
      <c r="J371" s="17">
        <v>0.8</v>
      </c>
      <c r="K371" s="9" t="s">
        <v>210</v>
      </c>
      <c r="L371" s="17"/>
      <c r="M371" s="17"/>
      <c r="N371" s="17"/>
      <c r="O371" s="9" t="s">
        <v>83</v>
      </c>
      <c r="P371" s="9" t="s">
        <v>84</v>
      </c>
      <c r="Q371" s="5">
        <v>1</v>
      </c>
      <c r="R371" s="9" t="s">
        <v>3054</v>
      </c>
      <c r="S371" s="9"/>
      <c r="T371" s="9" t="str">
        <f>HYPERLINK("https://seichotoushi-hojo.jp/assets/pdf/koufu_3_4ji/outline_211.pdf","PDFを開く")</f>
        <v>PDFを開く</v>
      </c>
      <c r="U371" s="9" t="s">
        <v>3056</v>
      </c>
    </row>
    <row r="372" spans="1:21" ht="48" customHeight="1">
      <c r="A372" s="2" t="s">
        <v>3057</v>
      </c>
      <c r="B372" s="2" t="s">
        <v>2430</v>
      </c>
      <c r="C372" s="8" t="s">
        <v>3058</v>
      </c>
      <c r="D372" s="8" t="s">
        <v>81</v>
      </c>
      <c r="E372" s="2"/>
      <c r="F372" s="16"/>
      <c r="G372" s="2">
        <v>2031</v>
      </c>
      <c r="H372" s="16"/>
      <c r="I372" s="16">
        <v>52.26</v>
      </c>
      <c r="J372" s="16">
        <v>7.8</v>
      </c>
      <c r="K372" s="8" t="s">
        <v>82</v>
      </c>
      <c r="L372" s="16"/>
      <c r="M372" s="16"/>
      <c r="N372" s="16"/>
      <c r="O372" s="8" t="s">
        <v>83</v>
      </c>
      <c r="P372" s="8" t="s">
        <v>84</v>
      </c>
      <c r="Q372" s="2">
        <v>1</v>
      </c>
      <c r="R372" s="8" t="s">
        <v>3062</v>
      </c>
      <c r="S372" s="8"/>
      <c r="T372" s="8" t="str">
        <f>HYPERLINK("https://seichotoushi-hojo.jp/assets/pdf/koufu_3_4ji/outline_213.pdf","PDFを開く")</f>
        <v>PDFを開く</v>
      </c>
      <c r="U372" s="8" t="s">
        <v>3064</v>
      </c>
    </row>
    <row r="373" spans="1:21" ht="48" customHeight="1">
      <c r="A373" s="5" t="s">
        <v>3065</v>
      </c>
      <c r="B373" s="5" t="s">
        <v>2430</v>
      </c>
      <c r="C373" s="9" t="s">
        <v>3066</v>
      </c>
      <c r="D373" s="9" t="s">
        <v>81</v>
      </c>
      <c r="E373" s="5">
        <v>2024</v>
      </c>
      <c r="F373" s="17"/>
      <c r="G373" s="5">
        <v>2030</v>
      </c>
      <c r="H373" s="17"/>
      <c r="I373" s="17">
        <v>118.07</v>
      </c>
      <c r="J373" s="17">
        <v>8</v>
      </c>
      <c r="K373" s="9" t="s">
        <v>210</v>
      </c>
      <c r="L373" s="17"/>
      <c r="M373" s="17"/>
      <c r="N373" s="17"/>
      <c r="O373" s="9" t="s">
        <v>83</v>
      </c>
      <c r="P373" s="9" t="s">
        <v>84</v>
      </c>
      <c r="Q373" s="5">
        <v>1</v>
      </c>
      <c r="R373" s="9" t="s">
        <v>3069</v>
      </c>
      <c r="S373" s="9"/>
      <c r="T373" s="9" t="str">
        <f>HYPERLINK("https://seichotoushi-hojo.jp/assets/pdf/koufu_3_4ji/outline_217.pdf","PDFを開く")</f>
        <v>PDFを開く</v>
      </c>
      <c r="U373" s="9" t="s">
        <v>3071</v>
      </c>
    </row>
    <row r="374" spans="1:21" ht="48" customHeight="1">
      <c r="A374" s="2" t="s">
        <v>3072</v>
      </c>
      <c r="B374" s="2" t="s">
        <v>2430</v>
      </c>
      <c r="C374" s="8" t="s">
        <v>3073</v>
      </c>
      <c r="D374" s="8" t="s">
        <v>81</v>
      </c>
      <c r="E374" s="2"/>
      <c r="F374" s="16"/>
      <c r="G374" s="2"/>
      <c r="H374" s="16"/>
      <c r="I374" s="16">
        <v>23.25</v>
      </c>
      <c r="J374" s="16">
        <v>140</v>
      </c>
      <c r="K374" s="8" t="s">
        <v>210</v>
      </c>
      <c r="L374" s="16"/>
      <c r="M374" s="16"/>
      <c r="N374" s="16"/>
      <c r="O374" s="8" t="s">
        <v>83</v>
      </c>
      <c r="P374" s="8" t="s">
        <v>84</v>
      </c>
      <c r="Q374" s="2">
        <v>1</v>
      </c>
      <c r="R374" s="8" t="s">
        <v>3076</v>
      </c>
      <c r="S374" s="8"/>
      <c r="T374" s="8" t="str">
        <f>HYPERLINK("https://seichotoushi-hojo.jp/assets/pdf/koufu_3_4ji/outline_218.pdf","PDFを開く")</f>
        <v>PDFを開く</v>
      </c>
      <c r="U374" s="8" t="s">
        <v>3078</v>
      </c>
    </row>
    <row r="375" spans="1:21" ht="48" customHeight="1">
      <c r="A375" s="5" t="s">
        <v>3079</v>
      </c>
      <c r="B375" s="5" t="s">
        <v>2430</v>
      </c>
      <c r="C375" s="9" t="s">
        <v>3080</v>
      </c>
      <c r="D375" s="9" t="s">
        <v>81</v>
      </c>
      <c r="E375" s="5"/>
      <c r="F375" s="17"/>
      <c r="G375" s="5">
        <v>2031</v>
      </c>
      <c r="H375" s="17"/>
      <c r="I375" s="17">
        <v>400.88</v>
      </c>
      <c r="J375" s="17">
        <v>11.9</v>
      </c>
      <c r="K375" s="9" t="s">
        <v>82</v>
      </c>
      <c r="L375" s="17"/>
      <c r="M375" s="17"/>
      <c r="N375" s="17"/>
      <c r="O375" s="9" t="s">
        <v>83</v>
      </c>
      <c r="P375" s="9" t="s">
        <v>84</v>
      </c>
      <c r="Q375" s="5">
        <v>1</v>
      </c>
      <c r="R375" s="9" t="s">
        <v>3084</v>
      </c>
      <c r="S375" s="9"/>
      <c r="T375" s="9" t="str">
        <f>HYPERLINK("https://seichotoushi-hojo.jp/assets/pdf/koufu_3_4ji/outline_219.pdf","PDFを開く")</f>
        <v>PDFを開く</v>
      </c>
      <c r="U375" s="9" t="s">
        <v>3086</v>
      </c>
    </row>
    <row r="376" spans="1:21" ht="48" customHeight="1">
      <c r="A376" s="2" t="s">
        <v>3087</v>
      </c>
      <c r="B376" s="2" t="s">
        <v>2430</v>
      </c>
      <c r="C376" s="8" t="s">
        <v>3088</v>
      </c>
      <c r="D376" s="8" t="s">
        <v>81</v>
      </c>
      <c r="E376" s="2"/>
      <c r="F376" s="16"/>
      <c r="G376" s="2">
        <v>2030</v>
      </c>
      <c r="H376" s="16"/>
      <c r="I376" s="16">
        <v>621</v>
      </c>
      <c r="J376" s="16">
        <v>5.9</v>
      </c>
      <c r="K376" s="8" t="s">
        <v>82</v>
      </c>
      <c r="L376" s="16"/>
      <c r="M376" s="16"/>
      <c r="N376" s="16"/>
      <c r="O376" s="8" t="s">
        <v>83</v>
      </c>
      <c r="P376" s="8" t="s">
        <v>84</v>
      </c>
      <c r="Q376" s="2">
        <v>1</v>
      </c>
      <c r="R376" s="8" t="s">
        <v>3091</v>
      </c>
      <c r="S376" s="8"/>
      <c r="T376" s="8" t="str">
        <f>HYPERLINK("https://seichotoushi-hojo.jp/assets/pdf/koufu_3_4ji/outline_220.pdf","PDFを開く")</f>
        <v>PDFを開く</v>
      </c>
      <c r="U376" s="8" t="s">
        <v>3093</v>
      </c>
    </row>
    <row r="377" spans="1:21" ht="48" customHeight="1">
      <c r="A377" s="5" t="s">
        <v>3094</v>
      </c>
      <c r="B377" s="5" t="s">
        <v>2430</v>
      </c>
      <c r="C377" s="9" t="s">
        <v>3095</v>
      </c>
      <c r="D377" s="9" t="s">
        <v>81</v>
      </c>
      <c r="E377" s="5"/>
      <c r="F377" s="17"/>
      <c r="G377" s="5"/>
      <c r="H377" s="17"/>
      <c r="I377" s="17">
        <v>146.69999999999999</v>
      </c>
      <c r="J377" s="17">
        <v>5.3</v>
      </c>
      <c r="K377" s="9" t="s">
        <v>210</v>
      </c>
      <c r="L377" s="17"/>
      <c r="M377" s="17"/>
      <c r="N377" s="17"/>
      <c r="O377" s="9" t="s">
        <v>83</v>
      </c>
      <c r="P377" s="9" t="s">
        <v>84</v>
      </c>
      <c r="Q377" s="5">
        <v>1</v>
      </c>
      <c r="R377" s="9" t="s">
        <v>3099</v>
      </c>
      <c r="S377" s="9"/>
      <c r="T377" s="9" t="str">
        <f>HYPERLINK("https://seichotoushi-hojo.jp/assets/pdf/koufu_3_4ji/outline_221.pdf","PDFを開く")</f>
        <v>PDFを開く</v>
      </c>
      <c r="U377" s="9" t="s">
        <v>3101</v>
      </c>
    </row>
    <row r="378" spans="1:21" ht="48" customHeight="1">
      <c r="A378" s="2" t="s">
        <v>3102</v>
      </c>
      <c r="B378" s="2" t="s">
        <v>2430</v>
      </c>
      <c r="C378" s="8" t="s">
        <v>3103</v>
      </c>
      <c r="D378" s="8" t="s">
        <v>81</v>
      </c>
      <c r="E378" s="2">
        <v>2027</v>
      </c>
      <c r="F378" s="16"/>
      <c r="G378" s="2">
        <v>2031</v>
      </c>
      <c r="H378" s="16"/>
      <c r="I378" s="16">
        <v>52</v>
      </c>
      <c r="J378" s="16">
        <v>19.5</v>
      </c>
      <c r="K378" s="8" t="s">
        <v>210</v>
      </c>
      <c r="L378" s="16"/>
      <c r="M378" s="16"/>
      <c r="N378" s="16"/>
      <c r="O378" s="8" t="s">
        <v>83</v>
      </c>
      <c r="P378" s="8" t="s">
        <v>84</v>
      </c>
      <c r="Q378" s="2">
        <v>1</v>
      </c>
      <c r="R378" s="8" t="s">
        <v>3106</v>
      </c>
      <c r="S378" s="8"/>
      <c r="T378" s="8" t="str">
        <f>HYPERLINK("https://seichotoushi-hojo.jp/assets/pdf/koufu_3_4ji/outline_222.pdf","PDFを開く")</f>
        <v>PDFを開く</v>
      </c>
      <c r="U378" s="8" t="s">
        <v>3108</v>
      </c>
    </row>
    <row r="379" spans="1:21" ht="48" customHeight="1">
      <c r="A379" s="5" t="s">
        <v>3109</v>
      </c>
      <c r="B379" s="5" t="s">
        <v>2430</v>
      </c>
      <c r="C379" s="9" t="s">
        <v>3110</v>
      </c>
      <c r="D379" s="9" t="s">
        <v>81</v>
      </c>
      <c r="E379" s="5"/>
      <c r="F379" s="17"/>
      <c r="G379" s="5">
        <v>2030</v>
      </c>
      <c r="H379" s="17">
        <v>65.260000000000005</v>
      </c>
      <c r="I379" s="17">
        <v>40.99</v>
      </c>
      <c r="J379" s="17">
        <v>17.899999999999999</v>
      </c>
      <c r="K379" s="9" t="s">
        <v>82</v>
      </c>
      <c r="L379" s="17"/>
      <c r="M379" s="17"/>
      <c r="N379" s="17"/>
      <c r="O379" s="9" t="s">
        <v>83</v>
      </c>
      <c r="P379" s="9" t="s">
        <v>84</v>
      </c>
      <c r="Q379" s="5">
        <v>1</v>
      </c>
      <c r="R379" s="9" t="s">
        <v>3113</v>
      </c>
      <c r="S379" s="9" t="s">
        <v>3114</v>
      </c>
      <c r="T379" s="9" t="str">
        <f>HYPERLINK("https://seichotoushi-hojo.jp/assets/pdf/koufu_3_4ji/outline_223.pdf","PDFを開く")</f>
        <v>PDFを開く</v>
      </c>
      <c r="U379" s="9" t="s">
        <v>3116</v>
      </c>
    </row>
    <row r="380" spans="1:21" ht="48" customHeight="1">
      <c r="A380" s="2" t="s">
        <v>3117</v>
      </c>
      <c r="B380" s="2" t="s">
        <v>2430</v>
      </c>
      <c r="C380" s="8" t="s">
        <v>3118</v>
      </c>
      <c r="D380" s="8" t="s">
        <v>81</v>
      </c>
      <c r="E380" s="2"/>
      <c r="F380" s="16"/>
      <c r="G380" s="2">
        <v>2030</v>
      </c>
      <c r="H380" s="16"/>
      <c r="I380" s="16">
        <v>93.74</v>
      </c>
      <c r="J380" s="16">
        <v>16.7</v>
      </c>
      <c r="K380" s="8" t="s">
        <v>210</v>
      </c>
      <c r="L380" s="16"/>
      <c r="M380" s="16"/>
      <c r="N380" s="16"/>
      <c r="O380" s="8" t="s">
        <v>83</v>
      </c>
      <c r="P380" s="8" t="s">
        <v>84</v>
      </c>
      <c r="Q380" s="2">
        <v>1</v>
      </c>
      <c r="R380" s="8" t="s">
        <v>3122</v>
      </c>
      <c r="S380" s="8"/>
      <c r="T380" s="8" t="str">
        <f>HYPERLINK("https://seichotoushi-hojo.jp/assets/pdf/koufu_3_4ji/outline_225.pdf","PDFを開く")</f>
        <v>PDFを開く</v>
      </c>
      <c r="U380" s="8" t="s">
        <v>3124</v>
      </c>
    </row>
    <row r="381" spans="1:21" ht="48" customHeight="1">
      <c r="A381" s="5" t="s">
        <v>3125</v>
      </c>
      <c r="B381" s="5" t="s">
        <v>2430</v>
      </c>
      <c r="C381" s="9" t="s">
        <v>3126</v>
      </c>
      <c r="D381" s="9" t="s">
        <v>81</v>
      </c>
      <c r="E381" s="5"/>
      <c r="F381" s="17"/>
      <c r="G381" s="5">
        <v>2029</v>
      </c>
      <c r="H381" s="17"/>
      <c r="I381" s="17">
        <v>86</v>
      </c>
      <c r="J381" s="17">
        <v>223</v>
      </c>
      <c r="K381" s="9" t="s">
        <v>82</v>
      </c>
      <c r="L381" s="17"/>
      <c r="M381" s="17"/>
      <c r="N381" s="17"/>
      <c r="O381" s="9" t="s">
        <v>83</v>
      </c>
      <c r="P381" s="9" t="s">
        <v>84</v>
      </c>
      <c r="Q381" s="5">
        <v>1</v>
      </c>
      <c r="R381" s="9" t="s">
        <v>3130</v>
      </c>
      <c r="S381" s="9"/>
      <c r="T381" s="9" t="str">
        <f>HYPERLINK("https://seichotoushi-hojo.jp/assets/pdf/koufu_3_4ji/outline_226.pdf","PDFを開く")</f>
        <v>PDFを開く</v>
      </c>
      <c r="U381" s="9" t="s">
        <v>3132</v>
      </c>
    </row>
    <row r="382" spans="1:21" ht="48" customHeight="1">
      <c r="A382" s="2" t="s">
        <v>3133</v>
      </c>
      <c r="B382" s="2" t="s">
        <v>2430</v>
      </c>
      <c r="C382" s="8" t="s">
        <v>3134</v>
      </c>
      <c r="D382" s="8" t="s">
        <v>81</v>
      </c>
      <c r="E382" s="2"/>
      <c r="F382" s="16"/>
      <c r="G382" s="2">
        <v>2035</v>
      </c>
      <c r="H382" s="16">
        <v>200</v>
      </c>
      <c r="I382" s="16">
        <v>116.68</v>
      </c>
      <c r="J382" s="16">
        <v>8</v>
      </c>
      <c r="K382" s="8" t="s">
        <v>210</v>
      </c>
      <c r="L382" s="16"/>
      <c r="M382" s="16"/>
      <c r="N382" s="16"/>
      <c r="O382" s="8" t="s">
        <v>83</v>
      </c>
      <c r="P382" s="8" t="s">
        <v>84</v>
      </c>
      <c r="Q382" s="2">
        <v>1</v>
      </c>
      <c r="R382" s="8" t="s">
        <v>3138</v>
      </c>
      <c r="S382" s="8" t="s">
        <v>1909</v>
      </c>
      <c r="T382" s="8" t="str">
        <f>HYPERLINK("https://seichotoushi-hojo.jp/assets/pdf/koufu_3_4ji/outline_227.pdf","PDFを開く")</f>
        <v>PDFを開く</v>
      </c>
      <c r="U382" s="8" t="s">
        <v>3140</v>
      </c>
    </row>
    <row r="383" spans="1:21" ht="48" customHeight="1">
      <c r="A383" s="5" t="s">
        <v>3141</v>
      </c>
      <c r="B383" s="5" t="s">
        <v>2430</v>
      </c>
      <c r="C383" s="9" t="s">
        <v>3142</v>
      </c>
      <c r="D383" s="9" t="s">
        <v>81</v>
      </c>
      <c r="E383" s="5">
        <v>2024</v>
      </c>
      <c r="F383" s="17"/>
      <c r="G383" s="5">
        <v>2031</v>
      </c>
      <c r="H383" s="17">
        <v>50</v>
      </c>
      <c r="I383" s="17"/>
      <c r="J383" s="17">
        <v>18.3</v>
      </c>
      <c r="K383" s="9" t="s">
        <v>82</v>
      </c>
      <c r="L383" s="17"/>
      <c r="M383" s="17"/>
      <c r="N383" s="17"/>
      <c r="O383" s="9" t="s">
        <v>83</v>
      </c>
      <c r="P383" s="9" t="s">
        <v>84</v>
      </c>
      <c r="Q383" s="5">
        <v>1</v>
      </c>
      <c r="R383" s="9" t="s">
        <v>3145</v>
      </c>
      <c r="S383" s="9" t="s">
        <v>3146</v>
      </c>
      <c r="T383" s="9" t="str">
        <f>HYPERLINK("https://seichotoushi-hojo.jp/assets/pdf/koufu_3_4ji/outline_228.pdf","PDFを開く")</f>
        <v>PDFを開く</v>
      </c>
      <c r="U383" s="9" t="s">
        <v>3148</v>
      </c>
    </row>
    <row r="384" spans="1:21" ht="48" customHeight="1">
      <c r="A384" s="2" t="s">
        <v>3149</v>
      </c>
      <c r="B384" s="2" t="s">
        <v>2430</v>
      </c>
      <c r="C384" s="8" t="s">
        <v>3150</v>
      </c>
      <c r="D384" s="8" t="s">
        <v>81</v>
      </c>
      <c r="E384" s="2">
        <v>2024</v>
      </c>
      <c r="F384" s="16"/>
      <c r="G384" s="2">
        <v>2030</v>
      </c>
      <c r="H384" s="16"/>
      <c r="I384" s="16">
        <v>107</v>
      </c>
      <c r="J384" s="16">
        <v>528</v>
      </c>
      <c r="K384" s="8" t="s">
        <v>82</v>
      </c>
      <c r="L384" s="16"/>
      <c r="M384" s="16"/>
      <c r="N384" s="16"/>
      <c r="O384" s="8" t="s">
        <v>83</v>
      </c>
      <c r="P384" s="8" t="s">
        <v>84</v>
      </c>
      <c r="Q384" s="2">
        <v>1</v>
      </c>
      <c r="R384" s="8" t="s">
        <v>3152</v>
      </c>
      <c r="S384" s="8"/>
      <c r="T384" s="8" t="str">
        <f>HYPERLINK("https://seichotoushi-hojo.jp/assets/pdf/koufu_3_4ji/outline_230.pdf","PDFを開く")</f>
        <v>PDFを開く</v>
      </c>
      <c r="U384" s="8" t="s">
        <v>3154</v>
      </c>
    </row>
    <row r="385" spans="1:21" ht="48" customHeight="1">
      <c r="A385" s="6" t="s">
        <v>3155</v>
      </c>
      <c r="B385" s="6" t="s">
        <v>2430</v>
      </c>
      <c r="C385" s="10" t="s">
        <v>3156</v>
      </c>
      <c r="D385" s="10" t="s">
        <v>81</v>
      </c>
      <c r="E385" s="6"/>
      <c r="F385" s="18"/>
      <c r="G385" s="6">
        <v>2030</v>
      </c>
      <c r="H385" s="18"/>
      <c r="I385" s="18">
        <v>116.42</v>
      </c>
      <c r="J385" s="18">
        <v>238</v>
      </c>
      <c r="K385" s="10" t="s">
        <v>210</v>
      </c>
      <c r="L385" s="18"/>
      <c r="M385" s="18"/>
      <c r="N385" s="18"/>
      <c r="O385" s="10" t="s">
        <v>83</v>
      </c>
      <c r="P385" s="10" t="s">
        <v>84</v>
      </c>
      <c r="Q385" s="6">
        <v>1</v>
      </c>
      <c r="R385" s="10" t="s">
        <v>3160</v>
      </c>
      <c r="S385" s="10"/>
      <c r="T385" s="10" t="str">
        <f>HYPERLINK("https://seichotoushi-hojo.jp/assets/pdf/koufu_3_4ji/outline_231.pdf","PDFを開く")</f>
        <v>PDFを開く</v>
      </c>
      <c r="U385" s="10" t="s">
        <v>3162</v>
      </c>
    </row>
  </sheetData>
  <mergeCells count="2">
    <mergeCell ref="A1:U1"/>
    <mergeCell ref="A2:U2"/>
  </mergeCells>
  <phoneticPr fontId="8"/>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6"/>
  <sheetViews>
    <sheetView showGridLines="0" workbookViewId="0"/>
  </sheetViews>
  <sheetFormatPr defaultRowHeight="14.25"/>
  <cols>
    <col min="1" max="1" width="19" customWidth="1"/>
    <col min="2" max="2" width="7" customWidth="1"/>
    <col min="3" max="4" width="25" customWidth="1"/>
    <col min="5" max="5" width="10" customWidth="1"/>
    <col min="6" max="6" width="16" customWidth="1"/>
    <col min="7" max="7" width="28" customWidth="1"/>
    <col min="8" max="8" width="8" customWidth="1"/>
    <col min="9" max="9" width="48" customWidth="1"/>
    <col min="10" max="10" width="65" customWidth="1"/>
  </cols>
  <sheetData>
    <row r="1" spans="1:10" ht="30" customHeight="1">
      <c r="A1" s="24" t="s">
        <v>7327</v>
      </c>
      <c r="B1" s="24"/>
      <c r="C1" s="24"/>
      <c r="D1" s="24"/>
      <c r="E1" s="24"/>
      <c r="F1" s="24"/>
      <c r="G1" s="24"/>
      <c r="H1" s="24"/>
      <c r="I1" s="24"/>
      <c r="J1" s="24"/>
    </row>
    <row r="2" spans="1:10" ht="38.1" customHeight="1">
      <c r="A2" s="25" t="s">
        <v>7328</v>
      </c>
      <c r="B2" s="25"/>
      <c r="C2" s="25"/>
      <c r="D2" s="25"/>
      <c r="E2" s="25"/>
      <c r="F2" s="25"/>
      <c r="G2" s="25"/>
      <c r="H2" s="25"/>
      <c r="I2" s="25"/>
      <c r="J2" s="25"/>
    </row>
    <row r="4" spans="1:10" ht="45.95" customHeight="1">
      <c r="A4" s="1" t="s">
        <v>2</v>
      </c>
      <c r="B4" s="1" t="s">
        <v>3</v>
      </c>
      <c r="C4" s="1" t="s">
        <v>4</v>
      </c>
      <c r="D4" s="1" t="s">
        <v>7316</v>
      </c>
      <c r="E4" s="1" t="s">
        <v>3171</v>
      </c>
      <c r="F4" s="1" t="s">
        <v>7329</v>
      </c>
      <c r="G4" s="1" t="s">
        <v>7330</v>
      </c>
      <c r="H4" s="1" t="s">
        <v>7331</v>
      </c>
      <c r="I4" s="1" t="s">
        <v>65</v>
      </c>
      <c r="J4" s="1" t="s">
        <v>67</v>
      </c>
    </row>
    <row r="5" spans="1:10" ht="33.950000000000003" customHeight="1">
      <c r="A5" s="4" t="s">
        <v>93</v>
      </c>
      <c r="B5" s="4" t="s">
        <v>73</v>
      </c>
      <c r="C5" s="7" t="s">
        <v>94</v>
      </c>
      <c r="D5" s="7" t="s">
        <v>81</v>
      </c>
      <c r="E5" s="4">
        <v>2023</v>
      </c>
      <c r="F5" s="15">
        <v>223</v>
      </c>
      <c r="G5" s="7" t="s">
        <v>7332</v>
      </c>
      <c r="H5" s="4">
        <v>1</v>
      </c>
      <c r="I5" s="7" t="str">
        <f>HYPERLINK("https://seichotoushi-hojo.jp/assets/pdf/koufu/outline_10.pdf","PDFを開く")</f>
        <v>PDFを開く</v>
      </c>
      <c r="J5" s="7" t="s">
        <v>104</v>
      </c>
    </row>
    <row r="6" spans="1:10" ht="33.950000000000003" customHeight="1">
      <c r="A6" s="2" t="s">
        <v>93</v>
      </c>
      <c r="B6" s="2" t="s">
        <v>73</v>
      </c>
      <c r="C6" s="8" t="s">
        <v>94</v>
      </c>
      <c r="D6" s="8" t="s">
        <v>81</v>
      </c>
      <c r="E6" s="2">
        <v>2029</v>
      </c>
      <c r="F6" s="16">
        <v>800</v>
      </c>
      <c r="G6" s="8" t="s">
        <v>7332</v>
      </c>
      <c r="H6" s="2">
        <v>1</v>
      </c>
      <c r="I6" s="8" t="str">
        <f>HYPERLINK("https://seichotoushi-hojo.jp/assets/pdf/koufu/outline_10.pdf","PDFを開く")</f>
        <v>PDFを開く</v>
      </c>
      <c r="J6" s="8" t="s">
        <v>104</v>
      </c>
    </row>
    <row r="7" spans="1:10" ht="33.950000000000003" customHeight="1">
      <c r="A7" s="5" t="s">
        <v>114</v>
      </c>
      <c r="B7" s="5" t="s">
        <v>73</v>
      </c>
      <c r="C7" s="9" t="s">
        <v>115</v>
      </c>
      <c r="D7" s="9" t="s">
        <v>81</v>
      </c>
      <c r="E7" s="5">
        <v>2026</v>
      </c>
      <c r="F7" s="17">
        <v>400</v>
      </c>
      <c r="G7" s="9" t="s">
        <v>7332</v>
      </c>
      <c r="H7" s="5">
        <v>1</v>
      </c>
      <c r="I7" s="9" t="str">
        <f>HYPERLINK("https://seichotoushi-hojo.jp/assets/pdf/koufu/outline_101.pdf","PDFを開く")</f>
        <v>PDFを開く</v>
      </c>
      <c r="J7" s="9" t="s">
        <v>124</v>
      </c>
    </row>
    <row r="8" spans="1:10" ht="33.950000000000003" customHeight="1">
      <c r="A8" s="2" t="s">
        <v>114</v>
      </c>
      <c r="B8" s="2" t="s">
        <v>73</v>
      </c>
      <c r="C8" s="8" t="s">
        <v>115</v>
      </c>
      <c r="D8" s="8" t="s">
        <v>81</v>
      </c>
      <c r="E8" s="2">
        <v>2026</v>
      </c>
      <c r="F8" s="16">
        <v>290</v>
      </c>
      <c r="G8" s="8" t="s">
        <v>7332</v>
      </c>
      <c r="H8" s="2">
        <v>1</v>
      </c>
      <c r="I8" s="8" t="str">
        <f>HYPERLINK("https://seichotoushi-hojo.jp/assets/pdf/koufu/outline_101.pdf","PDFを開く")</f>
        <v>PDFを開く</v>
      </c>
      <c r="J8" s="8" t="s">
        <v>124</v>
      </c>
    </row>
    <row r="9" spans="1:10" ht="33.950000000000003" customHeight="1">
      <c r="A9" s="5" t="s">
        <v>114</v>
      </c>
      <c r="B9" s="5" t="s">
        <v>73</v>
      </c>
      <c r="C9" s="9" t="s">
        <v>115</v>
      </c>
      <c r="D9" s="9" t="s">
        <v>81</v>
      </c>
      <c r="E9" s="5">
        <v>2041</v>
      </c>
      <c r="F9" s="17">
        <v>1000</v>
      </c>
      <c r="G9" s="9" t="s">
        <v>7332</v>
      </c>
      <c r="H9" s="5">
        <v>1</v>
      </c>
      <c r="I9" s="9" t="str">
        <f>HYPERLINK("https://seichotoushi-hojo.jp/assets/pdf/koufu/outline_101.pdf","PDFを開く")</f>
        <v>PDFを開く</v>
      </c>
      <c r="J9" s="9" t="s">
        <v>124</v>
      </c>
    </row>
    <row r="10" spans="1:10" ht="33.950000000000003" customHeight="1">
      <c r="A10" s="2" t="s">
        <v>146</v>
      </c>
      <c r="B10" s="2" t="s">
        <v>73</v>
      </c>
      <c r="C10" s="8" t="s">
        <v>147</v>
      </c>
      <c r="D10" s="8" t="s">
        <v>81</v>
      </c>
      <c r="E10" s="2">
        <v>2030</v>
      </c>
      <c r="F10" s="16">
        <v>120</v>
      </c>
      <c r="G10" s="8" t="s">
        <v>7332</v>
      </c>
      <c r="H10" s="2">
        <v>1</v>
      </c>
      <c r="I10" s="8" t="str">
        <f>HYPERLINK("https://seichotoushi-hojo.jp/assets/pdf/koufu/outline_105.pdf","PDFを開く")</f>
        <v>PDFを開く</v>
      </c>
      <c r="J10" s="8" t="s">
        <v>155</v>
      </c>
    </row>
    <row r="11" spans="1:10" ht="33.950000000000003" customHeight="1">
      <c r="A11" s="5" t="s">
        <v>184</v>
      </c>
      <c r="B11" s="5" t="s">
        <v>73</v>
      </c>
      <c r="C11" s="9" t="s">
        <v>185</v>
      </c>
      <c r="D11" s="9" t="s">
        <v>81</v>
      </c>
      <c r="E11" s="5">
        <v>2030</v>
      </c>
      <c r="F11" s="17">
        <v>101</v>
      </c>
      <c r="G11" s="9" t="s">
        <v>7332</v>
      </c>
      <c r="H11" s="5">
        <v>1</v>
      </c>
      <c r="I11" s="9" t="str">
        <f>HYPERLINK("https://seichotoushi-hojo.jp/assets/pdf/koufu/outline_109.pdf","PDFを開く")</f>
        <v>PDFを開く</v>
      </c>
      <c r="J11" s="9" t="s">
        <v>194</v>
      </c>
    </row>
    <row r="12" spans="1:10" ht="33.950000000000003" customHeight="1">
      <c r="A12" s="2" t="s">
        <v>195</v>
      </c>
      <c r="B12" s="2" t="s">
        <v>73</v>
      </c>
      <c r="C12" s="8" t="s">
        <v>196</v>
      </c>
      <c r="D12" s="8" t="s">
        <v>81</v>
      </c>
      <c r="E12" s="2">
        <v>2035</v>
      </c>
      <c r="F12" s="16">
        <v>200</v>
      </c>
      <c r="G12" s="8" t="s">
        <v>7332</v>
      </c>
      <c r="H12" s="2">
        <v>1</v>
      </c>
      <c r="I12" s="8" t="str">
        <f>HYPERLINK("https://seichotoushi-hojo.jp/assets/pdf/koufu/outline_11.pdf","PDFを開く")</f>
        <v>PDFを開く</v>
      </c>
      <c r="J12" s="8" t="s">
        <v>204</v>
      </c>
    </row>
    <row r="13" spans="1:10" ht="33.950000000000003" customHeight="1">
      <c r="A13" s="5" t="s">
        <v>195</v>
      </c>
      <c r="B13" s="5" t="s">
        <v>73</v>
      </c>
      <c r="C13" s="9" t="s">
        <v>196</v>
      </c>
      <c r="D13" s="9" t="s">
        <v>81</v>
      </c>
      <c r="E13" s="5">
        <v>2030</v>
      </c>
      <c r="F13" s="17">
        <v>200</v>
      </c>
      <c r="G13" s="9" t="s">
        <v>7332</v>
      </c>
      <c r="H13" s="5">
        <v>1</v>
      </c>
      <c r="I13" s="9" t="str">
        <f>HYPERLINK("https://seichotoushi-hojo.jp/assets/pdf/koufu/outline_11.pdf","PDFを開く")</f>
        <v>PDFを開く</v>
      </c>
      <c r="J13" s="9" t="s">
        <v>204</v>
      </c>
    </row>
    <row r="14" spans="1:10" ht="33.950000000000003" customHeight="1">
      <c r="A14" s="2" t="s">
        <v>223</v>
      </c>
      <c r="B14" s="2" t="s">
        <v>73</v>
      </c>
      <c r="C14" s="8" t="s">
        <v>224</v>
      </c>
      <c r="D14" s="8" t="s">
        <v>81</v>
      </c>
      <c r="E14" s="2">
        <v>2023</v>
      </c>
      <c r="F14" s="16">
        <v>85.7</v>
      </c>
      <c r="G14" s="8" t="s">
        <v>7332</v>
      </c>
      <c r="H14" s="2">
        <v>1</v>
      </c>
      <c r="I14" s="8" t="str">
        <f>HYPERLINK("https://seichotoushi-hojo.jp/assets/pdf/koufu/outline_112.pdf","PDFを開く")</f>
        <v>PDFを開く</v>
      </c>
      <c r="J14" s="8" t="s">
        <v>232</v>
      </c>
    </row>
    <row r="15" spans="1:10" ht="33.950000000000003" customHeight="1">
      <c r="A15" s="5" t="s">
        <v>223</v>
      </c>
      <c r="B15" s="5" t="s">
        <v>73</v>
      </c>
      <c r="C15" s="9" t="s">
        <v>224</v>
      </c>
      <c r="D15" s="9" t="s">
        <v>81</v>
      </c>
      <c r="E15" s="5">
        <v>2026</v>
      </c>
      <c r="F15" s="17">
        <v>114</v>
      </c>
      <c r="G15" s="9" t="s">
        <v>7332</v>
      </c>
      <c r="H15" s="5">
        <v>1</v>
      </c>
      <c r="I15" s="9" t="str">
        <f>HYPERLINK("https://seichotoushi-hojo.jp/assets/pdf/koufu/outline_112.pdf","PDFを開く")</f>
        <v>PDFを開く</v>
      </c>
      <c r="J15" s="9" t="s">
        <v>232</v>
      </c>
    </row>
    <row r="16" spans="1:10" ht="33.950000000000003" customHeight="1">
      <c r="A16" s="2" t="s">
        <v>223</v>
      </c>
      <c r="B16" s="2" t="s">
        <v>73</v>
      </c>
      <c r="C16" s="8" t="s">
        <v>224</v>
      </c>
      <c r="D16" s="8" t="s">
        <v>81</v>
      </c>
      <c r="E16" s="2">
        <v>2029</v>
      </c>
      <c r="F16" s="16">
        <v>140</v>
      </c>
      <c r="G16" s="8" t="s">
        <v>7332</v>
      </c>
      <c r="H16" s="2">
        <v>1</v>
      </c>
      <c r="I16" s="8" t="str">
        <f>HYPERLINK("https://seichotoushi-hojo.jp/assets/pdf/koufu/outline_112.pdf","PDFを開く")</f>
        <v>PDFを開く</v>
      </c>
      <c r="J16" s="8" t="s">
        <v>232</v>
      </c>
    </row>
    <row r="17" spans="1:10" ht="33.950000000000003" customHeight="1">
      <c r="A17" s="5" t="s">
        <v>240</v>
      </c>
      <c r="B17" s="5" t="s">
        <v>73</v>
      </c>
      <c r="C17" s="9" t="s">
        <v>241</v>
      </c>
      <c r="D17" s="9" t="s">
        <v>81</v>
      </c>
      <c r="E17" s="5">
        <v>2030</v>
      </c>
      <c r="F17" s="17">
        <v>450</v>
      </c>
      <c r="G17" s="9" t="s">
        <v>7332</v>
      </c>
      <c r="H17" s="5">
        <v>1</v>
      </c>
      <c r="I17" s="9" t="str">
        <f>HYPERLINK("https://seichotoushi-hojo.jp/assets/pdf/koufu/outline_114.pdf","PDFを開く")</f>
        <v>PDFを開く</v>
      </c>
      <c r="J17" s="9" t="s">
        <v>247</v>
      </c>
    </row>
    <row r="18" spans="1:10" ht="33.950000000000003" customHeight="1">
      <c r="A18" s="2" t="s">
        <v>248</v>
      </c>
      <c r="B18" s="2" t="s">
        <v>73</v>
      </c>
      <c r="C18" s="8" t="s">
        <v>249</v>
      </c>
      <c r="D18" s="8" t="s">
        <v>81</v>
      </c>
      <c r="E18" s="2">
        <v>2030</v>
      </c>
      <c r="F18" s="16">
        <v>248.6</v>
      </c>
      <c r="G18" s="8" t="s">
        <v>7332</v>
      </c>
      <c r="H18" s="2">
        <v>1</v>
      </c>
      <c r="I18" s="8" t="str">
        <f>HYPERLINK("https://seichotoushi-hojo.jp/assets/pdf/koufu/outline_115.pdf","PDFを開く")</f>
        <v>PDFを開く</v>
      </c>
      <c r="J18" s="8" t="s">
        <v>256</v>
      </c>
    </row>
    <row r="19" spans="1:10" ht="33.950000000000003" customHeight="1">
      <c r="A19" s="5" t="s">
        <v>248</v>
      </c>
      <c r="B19" s="5" t="s">
        <v>73</v>
      </c>
      <c r="C19" s="9" t="s">
        <v>249</v>
      </c>
      <c r="D19" s="9" t="s">
        <v>81</v>
      </c>
      <c r="E19" s="5">
        <v>2034</v>
      </c>
      <c r="F19" s="17">
        <v>248.6</v>
      </c>
      <c r="G19" s="9" t="s">
        <v>7332</v>
      </c>
      <c r="H19" s="5">
        <v>1</v>
      </c>
      <c r="I19" s="9" t="str">
        <f>HYPERLINK("https://seichotoushi-hojo.jp/assets/pdf/koufu/outline_115.pdf","PDFを開く")</f>
        <v>PDFを開く</v>
      </c>
      <c r="J19" s="9" t="s">
        <v>256</v>
      </c>
    </row>
    <row r="20" spans="1:10" ht="33.950000000000003" customHeight="1">
      <c r="A20" s="2" t="s">
        <v>265</v>
      </c>
      <c r="B20" s="2" t="s">
        <v>73</v>
      </c>
      <c r="C20" s="8" t="s">
        <v>266</v>
      </c>
      <c r="D20" s="8" t="s">
        <v>81</v>
      </c>
      <c r="E20" s="2">
        <v>2029</v>
      </c>
      <c r="F20" s="16">
        <v>120</v>
      </c>
      <c r="G20" s="8" t="s">
        <v>7332</v>
      </c>
      <c r="H20" s="2">
        <v>1</v>
      </c>
      <c r="I20" s="8" t="str">
        <f>HYPERLINK("https://seichotoushi-hojo.jp/assets/pdf/koufu/outline_117.pdf","PDFを開く")</f>
        <v>PDFを開く</v>
      </c>
      <c r="J20" s="8" t="s">
        <v>273</v>
      </c>
    </row>
    <row r="21" spans="1:10" ht="33.950000000000003" customHeight="1">
      <c r="A21" s="5" t="s">
        <v>288</v>
      </c>
      <c r="B21" s="5" t="s">
        <v>73</v>
      </c>
      <c r="C21" s="9" t="s">
        <v>289</v>
      </c>
      <c r="D21" s="9" t="s">
        <v>81</v>
      </c>
      <c r="E21" s="5">
        <v>2023</v>
      </c>
      <c r="F21" s="17">
        <v>600</v>
      </c>
      <c r="G21" s="9" t="s">
        <v>7332</v>
      </c>
      <c r="H21" s="5">
        <v>1</v>
      </c>
      <c r="I21" s="9" t="str">
        <f>HYPERLINK("https://seichotoushi-hojo.jp/assets/pdf/koufu/outline_12.pdf","PDFを開く")</f>
        <v>PDFを開く</v>
      </c>
      <c r="J21" s="9" t="s">
        <v>296</v>
      </c>
    </row>
    <row r="22" spans="1:10" ht="33.950000000000003" customHeight="1">
      <c r="A22" s="2" t="s">
        <v>288</v>
      </c>
      <c r="B22" s="2" t="s">
        <v>73</v>
      </c>
      <c r="C22" s="8" t="s">
        <v>289</v>
      </c>
      <c r="D22" s="8" t="s">
        <v>81</v>
      </c>
      <c r="E22" s="2">
        <v>2029</v>
      </c>
      <c r="F22" s="16">
        <v>948</v>
      </c>
      <c r="G22" s="8" t="s">
        <v>7332</v>
      </c>
      <c r="H22" s="2">
        <v>1</v>
      </c>
      <c r="I22" s="8" t="str">
        <f>HYPERLINK("https://seichotoushi-hojo.jp/assets/pdf/koufu/outline_12.pdf","PDFを開く")</f>
        <v>PDFを開く</v>
      </c>
      <c r="J22" s="8" t="s">
        <v>296</v>
      </c>
    </row>
    <row r="23" spans="1:10" ht="33.950000000000003" customHeight="1">
      <c r="A23" s="5" t="s">
        <v>297</v>
      </c>
      <c r="B23" s="5" t="s">
        <v>73</v>
      </c>
      <c r="C23" s="9" t="s">
        <v>298</v>
      </c>
      <c r="D23" s="9" t="s">
        <v>81</v>
      </c>
      <c r="E23" s="5">
        <v>2029</v>
      </c>
      <c r="F23" s="17">
        <v>140</v>
      </c>
      <c r="G23" s="9" t="s">
        <v>7332</v>
      </c>
      <c r="H23" s="5">
        <v>1</v>
      </c>
      <c r="I23" s="9" t="str">
        <f>HYPERLINK("https://seichotoushi-hojo.jp/assets/pdf/koufu/outline_120.pdf","PDFを開く")</f>
        <v>PDFを開く</v>
      </c>
      <c r="J23" s="9" t="s">
        <v>304</v>
      </c>
    </row>
    <row r="24" spans="1:10" ht="33.950000000000003" customHeight="1">
      <c r="A24" s="2" t="s">
        <v>297</v>
      </c>
      <c r="B24" s="2" t="s">
        <v>73</v>
      </c>
      <c r="C24" s="8" t="s">
        <v>298</v>
      </c>
      <c r="D24" s="8" t="s">
        <v>81</v>
      </c>
      <c r="E24" s="2">
        <v>2029</v>
      </c>
      <c r="F24" s="16">
        <v>140</v>
      </c>
      <c r="G24" s="8" t="s">
        <v>7332</v>
      </c>
      <c r="H24" s="2">
        <v>1</v>
      </c>
      <c r="I24" s="8" t="str">
        <f>HYPERLINK("https://seichotoushi-hojo.jp/assets/pdf/koufu/outline_120.pdf","PDFを開く")</f>
        <v>PDFを開く</v>
      </c>
      <c r="J24" s="8" t="s">
        <v>304</v>
      </c>
    </row>
    <row r="25" spans="1:10" ht="33.950000000000003" customHeight="1">
      <c r="A25" s="5" t="s">
        <v>314</v>
      </c>
      <c r="B25" s="5" t="s">
        <v>73</v>
      </c>
      <c r="C25" s="9" t="s">
        <v>315</v>
      </c>
      <c r="D25" s="9" t="s">
        <v>81</v>
      </c>
      <c r="E25" s="5">
        <v>2029</v>
      </c>
      <c r="F25" s="17">
        <v>266</v>
      </c>
      <c r="G25" s="9" t="s">
        <v>7332</v>
      </c>
      <c r="H25" s="5">
        <v>1</v>
      </c>
      <c r="I25" s="9" t="str">
        <f>HYPERLINK("https://seichotoushi-hojo.jp/assets/pdf/koufu/outline_122.pdf","PDFを開く")</f>
        <v>PDFを開く</v>
      </c>
      <c r="J25" s="9" t="s">
        <v>322</v>
      </c>
    </row>
    <row r="26" spans="1:10" ht="33.950000000000003" customHeight="1">
      <c r="A26" s="2" t="s">
        <v>314</v>
      </c>
      <c r="B26" s="2" t="s">
        <v>73</v>
      </c>
      <c r="C26" s="8" t="s">
        <v>315</v>
      </c>
      <c r="D26" s="8" t="s">
        <v>81</v>
      </c>
      <c r="E26" s="2">
        <v>2021</v>
      </c>
      <c r="F26" s="16">
        <v>581</v>
      </c>
      <c r="G26" s="8" t="s">
        <v>7332</v>
      </c>
      <c r="H26" s="2">
        <v>1</v>
      </c>
      <c r="I26" s="8" t="str">
        <f>HYPERLINK("https://seichotoushi-hojo.jp/assets/pdf/koufu/outline_122.pdf","PDFを開く")</f>
        <v>PDFを開く</v>
      </c>
      <c r="J26" s="8" t="s">
        <v>322</v>
      </c>
    </row>
    <row r="27" spans="1:10" ht="33.950000000000003" customHeight="1">
      <c r="A27" s="5" t="s">
        <v>314</v>
      </c>
      <c r="B27" s="5" t="s">
        <v>73</v>
      </c>
      <c r="C27" s="9" t="s">
        <v>315</v>
      </c>
      <c r="D27" s="9" t="s">
        <v>81</v>
      </c>
      <c r="E27" s="5">
        <v>2030</v>
      </c>
      <c r="F27" s="17">
        <v>315</v>
      </c>
      <c r="G27" s="9" t="s">
        <v>7332</v>
      </c>
      <c r="H27" s="5">
        <v>1</v>
      </c>
      <c r="I27" s="9" t="str">
        <f>HYPERLINK("https://seichotoushi-hojo.jp/assets/pdf/koufu/outline_122.pdf","PDFを開く")</f>
        <v>PDFを開く</v>
      </c>
      <c r="J27" s="9" t="s">
        <v>322</v>
      </c>
    </row>
    <row r="28" spans="1:10" ht="33.950000000000003" customHeight="1">
      <c r="A28" s="2" t="s">
        <v>338</v>
      </c>
      <c r="B28" s="2" t="s">
        <v>73</v>
      </c>
      <c r="C28" s="8" t="s">
        <v>339</v>
      </c>
      <c r="D28" s="8" t="s">
        <v>81</v>
      </c>
      <c r="E28" s="2">
        <v>2030</v>
      </c>
      <c r="F28" s="16">
        <v>66</v>
      </c>
      <c r="G28" s="8" t="s">
        <v>7332</v>
      </c>
      <c r="H28" s="2">
        <v>1</v>
      </c>
      <c r="I28" s="8" t="str">
        <f>HYPERLINK("https://seichotoushi-hojo.jp/assets/pdf/koufu/outline_125.pdf","PDFを開く")</f>
        <v>PDFを開く</v>
      </c>
      <c r="J28" s="8" t="s">
        <v>346</v>
      </c>
    </row>
    <row r="29" spans="1:10" ht="33.950000000000003" customHeight="1">
      <c r="A29" s="5" t="s">
        <v>354</v>
      </c>
      <c r="B29" s="5" t="s">
        <v>73</v>
      </c>
      <c r="C29" s="9" t="s">
        <v>355</v>
      </c>
      <c r="D29" s="9" t="s">
        <v>81</v>
      </c>
      <c r="E29" s="5">
        <v>2024</v>
      </c>
      <c r="F29" s="17">
        <v>55.9</v>
      </c>
      <c r="G29" s="9" t="s">
        <v>7332</v>
      </c>
      <c r="H29" s="5">
        <v>1</v>
      </c>
      <c r="I29" s="9" t="str">
        <f>HYPERLINK("https://seichotoushi-hojo.jp/assets/pdf/koufu/outline_127.pdf","PDFを開く")</f>
        <v>PDFを開く</v>
      </c>
      <c r="J29" s="9" t="s">
        <v>361</v>
      </c>
    </row>
    <row r="30" spans="1:10" ht="33.950000000000003" customHeight="1">
      <c r="A30" s="2" t="s">
        <v>354</v>
      </c>
      <c r="B30" s="2" t="s">
        <v>73</v>
      </c>
      <c r="C30" s="8" t="s">
        <v>355</v>
      </c>
      <c r="D30" s="8" t="s">
        <v>81</v>
      </c>
      <c r="E30" s="2">
        <v>2024</v>
      </c>
      <c r="F30" s="16">
        <v>9</v>
      </c>
      <c r="G30" s="8" t="s">
        <v>7332</v>
      </c>
      <c r="H30" s="2">
        <v>1</v>
      </c>
      <c r="I30" s="8" t="str">
        <f>HYPERLINK("https://seichotoushi-hojo.jp/assets/pdf/koufu/outline_127.pdf","PDFを開く")</f>
        <v>PDFを開く</v>
      </c>
      <c r="J30" s="8" t="s">
        <v>361</v>
      </c>
    </row>
    <row r="31" spans="1:10" ht="33.950000000000003" customHeight="1">
      <c r="A31" s="5" t="s">
        <v>354</v>
      </c>
      <c r="B31" s="5" t="s">
        <v>73</v>
      </c>
      <c r="C31" s="9" t="s">
        <v>355</v>
      </c>
      <c r="D31" s="9" t="s">
        <v>81</v>
      </c>
      <c r="E31" s="5">
        <v>2029</v>
      </c>
      <c r="F31" s="17">
        <v>107.9</v>
      </c>
      <c r="G31" s="9" t="s">
        <v>7332</v>
      </c>
      <c r="H31" s="5">
        <v>1</v>
      </c>
      <c r="I31" s="9" t="str">
        <f>HYPERLINK("https://seichotoushi-hojo.jp/assets/pdf/koufu/outline_127.pdf","PDFを開く")</f>
        <v>PDFを開く</v>
      </c>
      <c r="J31" s="9" t="s">
        <v>361</v>
      </c>
    </row>
    <row r="32" spans="1:10" ht="33.950000000000003" customHeight="1">
      <c r="A32" s="2" t="s">
        <v>369</v>
      </c>
      <c r="B32" s="2" t="s">
        <v>73</v>
      </c>
      <c r="C32" s="8" t="s">
        <v>370</v>
      </c>
      <c r="D32" s="8" t="s">
        <v>81</v>
      </c>
      <c r="E32" s="2">
        <v>2028</v>
      </c>
      <c r="F32" s="16">
        <v>80</v>
      </c>
      <c r="G32" s="8" t="s">
        <v>7332</v>
      </c>
      <c r="H32" s="2">
        <v>1</v>
      </c>
      <c r="I32" s="8" t="str">
        <f>HYPERLINK("https://seichotoushi-hojo.jp/assets/pdf/koufu/outline_129.pdf","PDFを開く")</f>
        <v>PDFを開く</v>
      </c>
      <c r="J32" s="8" t="s">
        <v>377</v>
      </c>
    </row>
    <row r="33" spans="1:10" ht="33.950000000000003" customHeight="1">
      <c r="A33" s="5" t="s">
        <v>386</v>
      </c>
      <c r="B33" s="5" t="s">
        <v>73</v>
      </c>
      <c r="C33" s="9" t="s">
        <v>387</v>
      </c>
      <c r="D33" s="9" t="s">
        <v>81</v>
      </c>
      <c r="E33" s="5">
        <v>2033</v>
      </c>
      <c r="F33" s="17">
        <v>33</v>
      </c>
      <c r="G33" s="9" t="s">
        <v>7332</v>
      </c>
      <c r="H33" s="5">
        <v>1</v>
      </c>
      <c r="I33" s="9" t="str">
        <f>HYPERLINK("https://seichotoushi-hojo.jp/assets/pdf/koufu/outline_130.pdf","PDFを開く")</f>
        <v>PDFを開く</v>
      </c>
      <c r="J33" s="9" t="s">
        <v>394</v>
      </c>
    </row>
    <row r="34" spans="1:10" ht="33.950000000000003" customHeight="1">
      <c r="A34" s="2" t="s">
        <v>386</v>
      </c>
      <c r="B34" s="2" t="s">
        <v>73</v>
      </c>
      <c r="C34" s="8" t="s">
        <v>387</v>
      </c>
      <c r="D34" s="8" t="s">
        <v>81</v>
      </c>
      <c r="E34" s="2">
        <v>2033</v>
      </c>
      <c r="F34" s="16">
        <v>12</v>
      </c>
      <c r="G34" s="8" t="s">
        <v>7332</v>
      </c>
      <c r="H34" s="2">
        <v>1</v>
      </c>
      <c r="I34" s="8" t="str">
        <f>HYPERLINK("https://seichotoushi-hojo.jp/assets/pdf/koufu/outline_130.pdf","PDFを開く")</f>
        <v>PDFを開く</v>
      </c>
      <c r="J34" s="8" t="s">
        <v>394</v>
      </c>
    </row>
    <row r="35" spans="1:10" ht="33.950000000000003" customHeight="1">
      <c r="A35" s="5" t="s">
        <v>412</v>
      </c>
      <c r="B35" s="5" t="s">
        <v>73</v>
      </c>
      <c r="C35" s="9" t="s">
        <v>413</v>
      </c>
      <c r="D35" s="9" t="s">
        <v>81</v>
      </c>
      <c r="E35" s="5">
        <v>2023</v>
      </c>
      <c r="F35" s="17">
        <v>30</v>
      </c>
      <c r="G35" s="9" t="s">
        <v>7332</v>
      </c>
      <c r="H35" s="5">
        <v>1</v>
      </c>
      <c r="I35" s="9" t="str">
        <f>HYPERLINK("https://seichotoushi-hojo.jp/assets/pdf/koufu/outline_134.pdf","PDFを開く")</f>
        <v>PDFを開く</v>
      </c>
      <c r="J35" s="9" t="s">
        <v>422</v>
      </c>
    </row>
    <row r="36" spans="1:10" ht="33.950000000000003" customHeight="1">
      <c r="A36" s="2" t="s">
        <v>412</v>
      </c>
      <c r="B36" s="2" t="s">
        <v>73</v>
      </c>
      <c r="C36" s="8" t="s">
        <v>413</v>
      </c>
      <c r="D36" s="8" t="s">
        <v>81</v>
      </c>
      <c r="E36" s="2">
        <v>2029</v>
      </c>
      <c r="F36" s="16">
        <v>84</v>
      </c>
      <c r="G36" s="8" t="s">
        <v>7332</v>
      </c>
      <c r="H36" s="2">
        <v>1</v>
      </c>
      <c r="I36" s="8" t="str">
        <f>HYPERLINK("https://seichotoushi-hojo.jp/assets/pdf/koufu/outline_134.pdf","PDFを開く")</f>
        <v>PDFを開く</v>
      </c>
      <c r="J36" s="8" t="s">
        <v>422</v>
      </c>
    </row>
    <row r="37" spans="1:10" ht="33.950000000000003" customHeight="1">
      <c r="A37" s="5" t="s">
        <v>431</v>
      </c>
      <c r="B37" s="5" t="s">
        <v>73</v>
      </c>
      <c r="C37" s="9" t="s">
        <v>432</v>
      </c>
      <c r="D37" s="9" t="s">
        <v>81</v>
      </c>
      <c r="E37" s="5">
        <v>2030</v>
      </c>
      <c r="F37" s="17">
        <v>100</v>
      </c>
      <c r="G37" s="9" t="s">
        <v>7332</v>
      </c>
      <c r="H37" s="5">
        <v>1</v>
      </c>
      <c r="I37" s="9" t="str">
        <f>HYPERLINK("https://seichotoushi-hojo.jp/assets/pdf/koufu/outline_136.pdf","PDFを開く")</f>
        <v>PDFを開く</v>
      </c>
      <c r="J37" s="9" t="s">
        <v>439</v>
      </c>
    </row>
    <row r="38" spans="1:10" ht="33.950000000000003" customHeight="1">
      <c r="A38" s="2" t="s">
        <v>431</v>
      </c>
      <c r="B38" s="2" t="s">
        <v>73</v>
      </c>
      <c r="C38" s="8" t="s">
        <v>432</v>
      </c>
      <c r="D38" s="8" t="s">
        <v>81</v>
      </c>
      <c r="E38" s="2">
        <v>2030</v>
      </c>
      <c r="F38" s="16">
        <v>100</v>
      </c>
      <c r="G38" s="8" t="s">
        <v>7332</v>
      </c>
      <c r="H38" s="2">
        <v>1</v>
      </c>
      <c r="I38" s="8" t="str">
        <f>HYPERLINK("https://seichotoushi-hojo.jp/assets/pdf/koufu/outline_136.pdf","PDFを開く")</f>
        <v>PDFを開く</v>
      </c>
      <c r="J38" s="8" t="s">
        <v>439</v>
      </c>
    </row>
    <row r="39" spans="1:10" ht="33.950000000000003" customHeight="1">
      <c r="A39" s="5" t="s">
        <v>440</v>
      </c>
      <c r="B39" s="5" t="s">
        <v>73</v>
      </c>
      <c r="C39" s="9" t="s">
        <v>441</v>
      </c>
      <c r="D39" s="9" t="s">
        <v>81</v>
      </c>
      <c r="E39" s="5">
        <v>2030</v>
      </c>
      <c r="F39" s="17">
        <v>21.39</v>
      </c>
      <c r="G39" s="9" t="s">
        <v>7332</v>
      </c>
      <c r="H39" s="5">
        <v>1</v>
      </c>
      <c r="I39" s="9" t="str">
        <f>HYPERLINK("https://seichotoushi-hojo.jp/assets/pdf/koufu/outline_137.pdf","PDFを開く")</f>
        <v>PDFを開く</v>
      </c>
      <c r="J39" s="9" t="s">
        <v>449</v>
      </c>
    </row>
    <row r="40" spans="1:10" ht="33.950000000000003" customHeight="1">
      <c r="A40" s="2" t="s">
        <v>440</v>
      </c>
      <c r="B40" s="2" t="s">
        <v>73</v>
      </c>
      <c r="C40" s="8" t="s">
        <v>441</v>
      </c>
      <c r="D40" s="8" t="s">
        <v>81</v>
      </c>
      <c r="E40" s="2">
        <v>2030</v>
      </c>
      <c r="F40" s="16">
        <v>55</v>
      </c>
      <c r="G40" s="8" t="s">
        <v>7332</v>
      </c>
      <c r="H40" s="2">
        <v>1</v>
      </c>
      <c r="I40" s="8" t="str">
        <f>HYPERLINK("https://seichotoushi-hojo.jp/assets/pdf/koufu/outline_137.pdf","PDFを開く")</f>
        <v>PDFを開く</v>
      </c>
      <c r="J40" s="8" t="s">
        <v>449</v>
      </c>
    </row>
    <row r="41" spans="1:10" ht="33.950000000000003" customHeight="1">
      <c r="A41" s="5" t="s">
        <v>450</v>
      </c>
      <c r="B41" s="5" t="s">
        <v>73</v>
      </c>
      <c r="C41" s="9" t="s">
        <v>451</v>
      </c>
      <c r="D41" s="9" t="s">
        <v>81</v>
      </c>
      <c r="E41" s="5">
        <v>2030</v>
      </c>
      <c r="F41" s="17">
        <v>73.2</v>
      </c>
      <c r="G41" s="9" t="s">
        <v>7332</v>
      </c>
      <c r="H41" s="5">
        <v>1</v>
      </c>
      <c r="I41" s="9" t="str">
        <f>HYPERLINK("https://seichotoushi-hojo.jp/assets/pdf/koufu/outline_138.pdf","PDFを開く")</f>
        <v>PDFを開く</v>
      </c>
      <c r="J41" s="9" t="s">
        <v>458</v>
      </c>
    </row>
    <row r="42" spans="1:10" ht="33.950000000000003" customHeight="1">
      <c r="A42" s="2" t="s">
        <v>459</v>
      </c>
      <c r="B42" s="2" t="s">
        <v>73</v>
      </c>
      <c r="C42" s="8" t="s">
        <v>460</v>
      </c>
      <c r="D42" s="8" t="s">
        <v>81</v>
      </c>
      <c r="E42" s="2">
        <v>2030</v>
      </c>
      <c r="F42" s="16">
        <v>76.8</v>
      </c>
      <c r="G42" s="8" t="s">
        <v>7332</v>
      </c>
      <c r="H42" s="2">
        <v>1</v>
      </c>
      <c r="I42" s="8" t="str">
        <f>HYPERLINK("https://seichotoushi-hojo.jp/assets/pdf/koufu/outline_139.pdf","PDFを開く")</f>
        <v>PDFを開く</v>
      </c>
      <c r="J42" s="8" t="s">
        <v>466</v>
      </c>
    </row>
    <row r="43" spans="1:10" ht="33.950000000000003" customHeight="1">
      <c r="A43" s="5" t="s">
        <v>459</v>
      </c>
      <c r="B43" s="5" t="s">
        <v>73</v>
      </c>
      <c r="C43" s="9" t="s">
        <v>460</v>
      </c>
      <c r="D43" s="9" t="s">
        <v>81</v>
      </c>
      <c r="E43" s="5">
        <v>2030</v>
      </c>
      <c r="F43" s="17">
        <v>117.3</v>
      </c>
      <c r="G43" s="9" t="s">
        <v>7332</v>
      </c>
      <c r="H43" s="5">
        <v>1</v>
      </c>
      <c r="I43" s="9" t="str">
        <f>HYPERLINK("https://seichotoushi-hojo.jp/assets/pdf/koufu/outline_139.pdf","PDFを開く")</f>
        <v>PDFを開く</v>
      </c>
      <c r="J43" s="9" t="s">
        <v>466</v>
      </c>
    </row>
    <row r="44" spans="1:10" ht="33.950000000000003" customHeight="1">
      <c r="A44" s="2" t="s">
        <v>467</v>
      </c>
      <c r="B44" s="2" t="s">
        <v>73</v>
      </c>
      <c r="C44" s="8" t="s">
        <v>468</v>
      </c>
      <c r="D44" s="8" t="s">
        <v>81</v>
      </c>
      <c r="E44" s="2">
        <v>2030</v>
      </c>
      <c r="F44" s="16">
        <v>250</v>
      </c>
      <c r="G44" s="8" t="s">
        <v>7332</v>
      </c>
      <c r="H44" s="2">
        <v>1</v>
      </c>
      <c r="I44" s="8" t="str">
        <f>HYPERLINK("https://seichotoushi-hojo.jp/assets/pdf/koufu/outline_14.pdf","PDFを開く")</f>
        <v>PDFを開く</v>
      </c>
      <c r="J44" s="8" t="s">
        <v>475</v>
      </c>
    </row>
    <row r="45" spans="1:10" ht="33.950000000000003" customHeight="1">
      <c r="A45" s="5" t="s">
        <v>476</v>
      </c>
      <c r="B45" s="5" t="s">
        <v>73</v>
      </c>
      <c r="C45" s="9" t="s">
        <v>477</v>
      </c>
      <c r="D45" s="9" t="s">
        <v>81</v>
      </c>
      <c r="E45" s="5">
        <v>2029</v>
      </c>
      <c r="F45" s="17">
        <v>300</v>
      </c>
      <c r="G45" s="9" t="s">
        <v>7332</v>
      </c>
      <c r="H45" s="5">
        <v>2</v>
      </c>
      <c r="I45" s="9" t="str">
        <f>HYPERLINK("https://seichotoushi-hojo.jp/assets/pdf/koufu/outline_140.pdf","PDFを開く")</f>
        <v>PDFを開く</v>
      </c>
      <c r="J45" s="9" t="s">
        <v>484</v>
      </c>
    </row>
    <row r="46" spans="1:10" ht="33.950000000000003" customHeight="1">
      <c r="A46" s="2" t="s">
        <v>485</v>
      </c>
      <c r="B46" s="2" t="s">
        <v>73</v>
      </c>
      <c r="C46" s="8" t="s">
        <v>486</v>
      </c>
      <c r="D46" s="8" t="s">
        <v>81</v>
      </c>
      <c r="E46" s="2">
        <v>2023</v>
      </c>
      <c r="F46" s="16">
        <v>146.69999999999999</v>
      </c>
      <c r="G46" s="8" t="s">
        <v>7333</v>
      </c>
      <c r="H46" s="2">
        <v>1</v>
      </c>
      <c r="I46" s="8" t="str">
        <f>HYPERLINK("https://seichotoushi-hojo.jp/assets/pdf/koufu/outline_141.pdf","PDFを開く")</f>
        <v>PDFを開く</v>
      </c>
      <c r="J46" s="8" t="s">
        <v>494</v>
      </c>
    </row>
    <row r="47" spans="1:10" ht="33.950000000000003" customHeight="1">
      <c r="A47" s="5" t="s">
        <v>485</v>
      </c>
      <c r="B47" s="5" t="s">
        <v>73</v>
      </c>
      <c r="C47" s="9" t="s">
        <v>486</v>
      </c>
      <c r="D47" s="9" t="s">
        <v>81</v>
      </c>
      <c r="E47" s="5">
        <v>2029</v>
      </c>
      <c r="F47" s="17">
        <v>300.39999999999998</v>
      </c>
      <c r="G47" s="9" t="s">
        <v>7332</v>
      </c>
      <c r="H47" s="5">
        <v>1</v>
      </c>
      <c r="I47" s="9" t="str">
        <f>HYPERLINK("https://seichotoushi-hojo.jp/assets/pdf/koufu/outline_141.pdf","PDFを開く")</f>
        <v>PDFを開く</v>
      </c>
      <c r="J47" s="9" t="s">
        <v>494</v>
      </c>
    </row>
    <row r="48" spans="1:10" ht="33.950000000000003" customHeight="1">
      <c r="A48" s="2" t="s">
        <v>504</v>
      </c>
      <c r="B48" s="2" t="s">
        <v>73</v>
      </c>
      <c r="C48" s="8" t="s">
        <v>505</v>
      </c>
      <c r="D48" s="8" t="s">
        <v>81</v>
      </c>
      <c r="E48" s="2">
        <v>2023</v>
      </c>
      <c r="F48" s="16">
        <v>91</v>
      </c>
      <c r="G48" s="8" t="s">
        <v>7332</v>
      </c>
      <c r="H48" s="2">
        <v>1</v>
      </c>
      <c r="I48" s="8" t="str">
        <f>HYPERLINK("https://seichotoushi-hojo.jp/assets/pdf/koufu/outline_145.pdf","PDFを開く")</f>
        <v>PDFを開く</v>
      </c>
      <c r="J48" s="8" t="s">
        <v>512</v>
      </c>
    </row>
    <row r="49" spans="1:10" ht="33.950000000000003" customHeight="1">
      <c r="A49" s="5" t="s">
        <v>504</v>
      </c>
      <c r="B49" s="5" t="s">
        <v>73</v>
      </c>
      <c r="C49" s="9" t="s">
        <v>505</v>
      </c>
      <c r="D49" s="9" t="s">
        <v>81</v>
      </c>
      <c r="E49" s="5">
        <v>2023</v>
      </c>
      <c r="F49" s="17">
        <v>118</v>
      </c>
      <c r="G49" s="9" t="s">
        <v>7332</v>
      </c>
      <c r="H49" s="5">
        <v>1</v>
      </c>
      <c r="I49" s="9" t="str">
        <f>HYPERLINK("https://seichotoushi-hojo.jp/assets/pdf/koufu/outline_145.pdf","PDFを開く")</f>
        <v>PDFを開く</v>
      </c>
      <c r="J49" s="9" t="s">
        <v>512</v>
      </c>
    </row>
    <row r="50" spans="1:10" ht="33.950000000000003" customHeight="1">
      <c r="A50" s="2" t="s">
        <v>504</v>
      </c>
      <c r="B50" s="2" t="s">
        <v>73</v>
      </c>
      <c r="C50" s="8" t="s">
        <v>505</v>
      </c>
      <c r="D50" s="8" t="s">
        <v>81</v>
      </c>
      <c r="E50" s="2">
        <v>2029</v>
      </c>
      <c r="F50" s="16">
        <v>246</v>
      </c>
      <c r="G50" s="8" t="s">
        <v>7332</v>
      </c>
      <c r="H50" s="2">
        <v>1</v>
      </c>
      <c r="I50" s="8" t="str">
        <f>HYPERLINK("https://seichotoushi-hojo.jp/assets/pdf/koufu/outline_145.pdf","PDFを開く")</f>
        <v>PDFを開く</v>
      </c>
      <c r="J50" s="8" t="s">
        <v>512</v>
      </c>
    </row>
    <row r="51" spans="1:10" ht="33.950000000000003" customHeight="1">
      <c r="A51" s="5" t="s">
        <v>521</v>
      </c>
      <c r="B51" s="5" t="s">
        <v>73</v>
      </c>
      <c r="C51" s="9" t="s">
        <v>522</v>
      </c>
      <c r="D51" s="9" t="s">
        <v>81</v>
      </c>
      <c r="E51" s="5">
        <v>2029</v>
      </c>
      <c r="F51" s="17">
        <v>55</v>
      </c>
      <c r="G51" s="9" t="s">
        <v>7332</v>
      </c>
      <c r="H51" s="5">
        <v>1</v>
      </c>
      <c r="I51" s="9" t="str">
        <f>HYPERLINK("https://seichotoushi-hojo.jp/assets/pdf/koufu/outline_147.pdf","PDFを開く")</f>
        <v>PDFを開く</v>
      </c>
      <c r="J51" s="9" t="s">
        <v>529</v>
      </c>
    </row>
    <row r="52" spans="1:10" ht="33.950000000000003" customHeight="1">
      <c r="A52" s="2" t="s">
        <v>530</v>
      </c>
      <c r="B52" s="2" t="s">
        <v>73</v>
      </c>
      <c r="C52" s="8" t="s">
        <v>531</v>
      </c>
      <c r="D52" s="8" t="s">
        <v>81</v>
      </c>
      <c r="E52" s="2">
        <v>2031</v>
      </c>
      <c r="F52" s="16">
        <v>70</v>
      </c>
      <c r="G52" s="8" t="s">
        <v>7332</v>
      </c>
      <c r="H52" s="2">
        <v>1</v>
      </c>
      <c r="I52" s="8" t="str">
        <f>HYPERLINK("https://seichotoushi-hojo.jp/assets/pdf/koufu/outline_148.pdf","PDFを開く")</f>
        <v>PDFを開く</v>
      </c>
      <c r="J52" s="8" t="s">
        <v>538</v>
      </c>
    </row>
    <row r="53" spans="1:10" ht="33.950000000000003" customHeight="1">
      <c r="A53" s="5" t="s">
        <v>530</v>
      </c>
      <c r="B53" s="5" t="s">
        <v>73</v>
      </c>
      <c r="C53" s="9" t="s">
        <v>531</v>
      </c>
      <c r="D53" s="9" t="s">
        <v>81</v>
      </c>
      <c r="E53" s="5">
        <v>2031</v>
      </c>
      <c r="F53" s="17">
        <v>70</v>
      </c>
      <c r="G53" s="9" t="s">
        <v>7332</v>
      </c>
      <c r="H53" s="5">
        <v>1</v>
      </c>
      <c r="I53" s="9" t="str">
        <f>HYPERLINK("https://seichotoushi-hojo.jp/assets/pdf/koufu/outline_148.pdf","PDFを開く")</f>
        <v>PDFを開く</v>
      </c>
      <c r="J53" s="9" t="s">
        <v>538</v>
      </c>
    </row>
    <row r="54" spans="1:10" ht="33.950000000000003" customHeight="1">
      <c r="A54" s="2" t="s">
        <v>539</v>
      </c>
      <c r="B54" s="2" t="s">
        <v>73</v>
      </c>
      <c r="C54" s="8" t="s">
        <v>540</v>
      </c>
      <c r="D54" s="8" t="s">
        <v>81</v>
      </c>
      <c r="E54" s="2">
        <v>2023</v>
      </c>
      <c r="F54" s="16">
        <v>57.8</v>
      </c>
      <c r="G54" s="8" t="s">
        <v>7332</v>
      </c>
      <c r="H54" s="2">
        <v>1</v>
      </c>
      <c r="I54" s="8" t="str">
        <f>HYPERLINK("https://seichotoushi-hojo.jp/assets/pdf/koufu/outline_149.pdf","PDFを開く")</f>
        <v>PDFを開く</v>
      </c>
      <c r="J54" s="8" t="s">
        <v>547</v>
      </c>
    </row>
    <row r="55" spans="1:10" ht="33.950000000000003" customHeight="1">
      <c r="A55" s="5" t="s">
        <v>539</v>
      </c>
      <c r="B55" s="5" t="s">
        <v>73</v>
      </c>
      <c r="C55" s="9" t="s">
        <v>540</v>
      </c>
      <c r="D55" s="9" t="s">
        <v>81</v>
      </c>
      <c r="E55" s="5">
        <v>2023</v>
      </c>
      <c r="F55" s="17">
        <v>42</v>
      </c>
      <c r="G55" s="9" t="s">
        <v>7332</v>
      </c>
      <c r="H55" s="5">
        <v>1</v>
      </c>
      <c r="I55" s="9" t="str">
        <f>HYPERLINK("https://seichotoushi-hojo.jp/assets/pdf/koufu/outline_149.pdf","PDFを開く")</f>
        <v>PDFを開く</v>
      </c>
      <c r="J55" s="9" t="s">
        <v>547</v>
      </c>
    </row>
    <row r="56" spans="1:10" ht="33.950000000000003" customHeight="1">
      <c r="A56" s="2" t="s">
        <v>539</v>
      </c>
      <c r="B56" s="2" t="s">
        <v>73</v>
      </c>
      <c r="C56" s="8" t="s">
        <v>540</v>
      </c>
      <c r="D56" s="8" t="s">
        <v>81</v>
      </c>
      <c r="E56" s="2">
        <v>2029</v>
      </c>
      <c r="F56" s="16">
        <v>100</v>
      </c>
      <c r="G56" s="8" t="s">
        <v>7332</v>
      </c>
      <c r="H56" s="2">
        <v>1</v>
      </c>
      <c r="I56" s="8" t="str">
        <f>HYPERLINK("https://seichotoushi-hojo.jp/assets/pdf/koufu/outline_149.pdf","PDFを開く")</f>
        <v>PDFを開く</v>
      </c>
      <c r="J56" s="8" t="s">
        <v>547</v>
      </c>
    </row>
    <row r="57" spans="1:10" ht="33.950000000000003" customHeight="1">
      <c r="A57" s="5" t="s">
        <v>548</v>
      </c>
      <c r="B57" s="5" t="s">
        <v>73</v>
      </c>
      <c r="C57" s="9" t="s">
        <v>549</v>
      </c>
      <c r="D57" s="9" t="s">
        <v>81</v>
      </c>
      <c r="E57" s="5">
        <v>2029</v>
      </c>
      <c r="F57" s="17">
        <v>65</v>
      </c>
      <c r="G57" s="9" t="s">
        <v>7332</v>
      </c>
      <c r="H57" s="5">
        <v>1</v>
      </c>
      <c r="I57" s="9" t="str">
        <f>HYPERLINK("https://seichotoushi-hojo.jp/assets/pdf/koufu/outline_150.pdf","PDFを開く")</f>
        <v>PDFを開く</v>
      </c>
      <c r="J57" s="9" t="s">
        <v>556</v>
      </c>
    </row>
    <row r="58" spans="1:10" ht="33.950000000000003" customHeight="1">
      <c r="A58" s="2" t="s">
        <v>548</v>
      </c>
      <c r="B58" s="2" t="s">
        <v>73</v>
      </c>
      <c r="C58" s="8" t="s">
        <v>549</v>
      </c>
      <c r="D58" s="8" t="s">
        <v>81</v>
      </c>
      <c r="E58" s="2">
        <v>2029</v>
      </c>
      <c r="F58" s="16">
        <v>120</v>
      </c>
      <c r="G58" s="8" t="s">
        <v>7332</v>
      </c>
      <c r="H58" s="2">
        <v>1</v>
      </c>
      <c r="I58" s="8" t="str">
        <f>HYPERLINK("https://seichotoushi-hojo.jp/assets/pdf/koufu/outline_150.pdf","PDFを開く")</f>
        <v>PDFを開く</v>
      </c>
      <c r="J58" s="8" t="s">
        <v>556</v>
      </c>
    </row>
    <row r="59" spans="1:10" ht="33.950000000000003" customHeight="1">
      <c r="A59" s="5" t="s">
        <v>573</v>
      </c>
      <c r="B59" s="5" t="s">
        <v>73</v>
      </c>
      <c r="C59" s="9" t="s">
        <v>574</v>
      </c>
      <c r="D59" s="9" t="s">
        <v>81</v>
      </c>
      <c r="E59" s="5">
        <v>2040</v>
      </c>
      <c r="F59" s="17">
        <v>1000</v>
      </c>
      <c r="G59" s="9" t="s">
        <v>7332</v>
      </c>
      <c r="H59" s="5">
        <v>1</v>
      </c>
      <c r="I59" s="9" t="str">
        <f>HYPERLINK("https://seichotoushi-hojo.jp/assets/pdf/koufu/outline_153.pdf","PDFを開く")</f>
        <v>PDFを開く</v>
      </c>
      <c r="J59" s="9" t="s">
        <v>581</v>
      </c>
    </row>
    <row r="60" spans="1:10" ht="33.950000000000003" customHeight="1">
      <c r="A60" s="2" t="s">
        <v>592</v>
      </c>
      <c r="B60" s="2" t="s">
        <v>73</v>
      </c>
      <c r="C60" s="8" t="s">
        <v>593</v>
      </c>
      <c r="D60" s="8" t="s">
        <v>81</v>
      </c>
      <c r="E60" s="2">
        <v>2029</v>
      </c>
      <c r="F60" s="16">
        <v>365</v>
      </c>
      <c r="G60" s="8" t="s">
        <v>7332</v>
      </c>
      <c r="H60" s="2">
        <v>1</v>
      </c>
      <c r="I60" s="8" t="str">
        <f>HYPERLINK("https://seichotoushi-hojo.jp/assets/pdf/koufu/outline_155.pdf","PDFを開く")</f>
        <v>PDFを開く</v>
      </c>
      <c r="J60" s="8" t="s">
        <v>600</v>
      </c>
    </row>
    <row r="61" spans="1:10" ht="33.950000000000003" customHeight="1">
      <c r="A61" s="5" t="s">
        <v>601</v>
      </c>
      <c r="B61" s="5" t="s">
        <v>73</v>
      </c>
      <c r="C61" s="9" t="s">
        <v>602</v>
      </c>
      <c r="D61" s="9" t="s">
        <v>81</v>
      </c>
      <c r="E61" s="5">
        <v>2031</v>
      </c>
      <c r="F61" s="17">
        <v>30</v>
      </c>
      <c r="G61" s="9" t="s">
        <v>7332</v>
      </c>
      <c r="H61" s="5">
        <v>1</v>
      </c>
      <c r="I61" s="9" t="str">
        <f>HYPERLINK("https://seichotoushi-hojo.jp/assets/pdf/koufu/outline_156.pdf","PDFを開く")</f>
        <v>PDFを開く</v>
      </c>
      <c r="J61" s="9" t="s">
        <v>608</v>
      </c>
    </row>
    <row r="62" spans="1:10" ht="33.950000000000003" customHeight="1">
      <c r="A62" s="2" t="s">
        <v>634</v>
      </c>
      <c r="B62" s="2" t="s">
        <v>73</v>
      </c>
      <c r="C62" s="8" t="s">
        <v>635</v>
      </c>
      <c r="D62" s="8" t="s">
        <v>81</v>
      </c>
      <c r="E62" s="2">
        <v>2029</v>
      </c>
      <c r="F62" s="16">
        <v>23.4</v>
      </c>
      <c r="G62" s="8" t="s">
        <v>7332</v>
      </c>
      <c r="H62" s="2">
        <v>1</v>
      </c>
      <c r="I62" s="8" t="str">
        <f>HYPERLINK("https://seichotoushi-hojo.jp/assets/pdf/koufu/outline_16.pdf","PDFを開く")</f>
        <v>PDFを開く</v>
      </c>
      <c r="J62" s="8" t="s">
        <v>644</v>
      </c>
    </row>
    <row r="63" spans="1:10" ht="33.950000000000003" customHeight="1">
      <c r="A63" s="5" t="s">
        <v>645</v>
      </c>
      <c r="B63" s="5" t="s">
        <v>73</v>
      </c>
      <c r="C63" s="9" t="s">
        <v>646</v>
      </c>
      <c r="D63" s="9" t="s">
        <v>81</v>
      </c>
      <c r="E63" s="5">
        <v>2024</v>
      </c>
      <c r="F63" s="17">
        <v>28.82</v>
      </c>
      <c r="G63" s="9" t="s">
        <v>7332</v>
      </c>
      <c r="H63" s="5">
        <v>1</v>
      </c>
      <c r="I63" s="9" t="str">
        <f>HYPERLINK("https://seichotoushi-hojo.jp/assets/pdf/koufu/outline_162.pdf","PDFを開く")</f>
        <v>PDFを開く</v>
      </c>
      <c r="J63" s="9" t="s">
        <v>652</v>
      </c>
    </row>
    <row r="64" spans="1:10" ht="33.950000000000003" customHeight="1">
      <c r="A64" s="2" t="s">
        <v>645</v>
      </c>
      <c r="B64" s="2" t="s">
        <v>73</v>
      </c>
      <c r="C64" s="8" t="s">
        <v>646</v>
      </c>
      <c r="D64" s="8" t="s">
        <v>81</v>
      </c>
      <c r="E64" s="2">
        <v>2034</v>
      </c>
      <c r="F64" s="16">
        <v>28.82</v>
      </c>
      <c r="G64" s="8" t="s">
        <v>7332</v>
      </c>
      <c r="H64" s="2">
        <v>1</v>
      </c>
      <c r="I64" s="8" t="str">
        <f>HYPERLINK("https://seichotoushi-hojo.jp/assets/pdf/koufu/outline_162.pdf","PDFを開く")</f>
        <v>PDFを開く</v>
      </c>
      <c r="J64" s="8" t="s">
        <v>652</v>
      </c>
    </row>
    <row r="65" spans="1:10" ht="33.950000000000003" customHeight="1">
      <c r="A65" s="5" t="s">
        <v>653</v>
      </c>
      <c r="B65" s="5" t="s">
        <v>73</v>
      </c>
      <c r="C65" s="9" t="s">
        <v>654</v>
      </c>
      <c r="D65" s="9" t="s">
        <v>81</v>
      </c>
      <c r="E65" s="5">
        <v>2033</v>
      </c>
      <c r="F65" s="17">
        <v>134.30000000000001</v>
      </c>
      <c r="G65" s="9" t="s">
        <v>7332</v>
      </c>
      <c r="H65" s="5">
        <v>1</v>
      </c>
      <c r="I65" s="9" t="str">
        <f>HYPERLINK("https://seichotoushi-hojo.jp/assets/pdf/koufu/outline_164.pdf","PDFを開く")</f>
        <v>PDFを開く</v>
      </c>
      <c r="J65" s="9" t="s">
        <v>662</v>
      </c>
    </row>
    <row r="66" spans="1:10" ht="33.950000000000003" customHeight="1">
      <c r="A66" s="2" t="s">
        <v>653</v>
      </c>
      <c r="B66" s="2" t="s">
        <v>73</v>
      </c>
      <c r="C66" s="8" t="s">
        <v>654</v>
      </c>
      <c r="D66" s="8" t="s">
        <v>81</v>
      </c>
      <c r="E66" s="2">
        <v>2033</v>
      </c>
      <c r="F66" s="16">
        <v>52.7</v>
      </c>
      <c r="G66" s="8" t="s">
        <v>7332</v>
      </c>
      <c r="H66" s="2">
        <v>1</v>
      </c>
      <c r="I66" s="8" t="str">
        <f>HYPERLINK("https://seichotoushi-hojo.jp/assets/pdf/koufu/outline_164.pdf","PDFを開く")</f>
        <v>PDFを開く</v>
      </c>
      <c r="J66" s="8" t="s">
        <v>662</v>
      </c>
    </row>
    <row r="67" spans="1:10" ht="33.950000000000003" customHeight="1">
      <c r="A67" s="5" t="s">
        <v>671</v>
      </c>
      <c r="B67" s="5" t="s">
        <v>73</v>
      </c>
      <c r="C67" s="9" t="s">
        <v>672</v>
      </c>
      <c r="D67" s="9" t="s">
        <v>81</v>
      </c>
      <c r="E67" s="5">
        <v>2029</v>
      </c>
      <c r="F67" s="17">
        <v>436</v>
      </c>
      <c r="G67" s="9" t="s">
        <v>7332</v>
      </c>
      <c r="H67" s="5">
        <v>1</v>
      </c>
      <c r="I67" s="9" t="str">
        <f>HYPERLINK("https://seichotoushi-hojo.jp/assets/pdf/koufu/outline_167.pdf","PDFを開く")</f>
        <v>PDFを開く</v>
      </c>
      <c r="J67" s="9" t="s">
        <v>679</v>
      </c>
    </row>
    <row r="68" spans="1:10" ht="33.950000000000003" customHeight="1">
      <c r="A68" s="2" t="s">
        <v>696</v>
      </c>
      <c r="B68" s="2" t="s">
        <v>73</v>
      </c>
      <c r="C68" s="8" t="s">
        <v>697</v>
      </c>
      <c r="D68" s="8" t="s">
        <v>81</v>
      </c>
      <c r="E68" s="2">
        <v>2027</v>
      </c>
      <c r="F68" s="16">
        <v>100.38</v>
      </c>
      <c r="G68" s="8" t="s">
        <v>7332</v>
      </c>
      <c r="H68" s="2">
        <v>1</v>
      </c>
      <c r="I68" s="8" t="str">
        <f>HYPERLINK("https://seichotoushi-hojo.jp/assets/pdf/koufu/outline_17.pdf","PDFを開く")</f>
        <v>PDFを開く</v>
      </c>
      <c r="J68" s="8" t="s">
        <v>704</v>
      </c>
    </row>
    <row r="69" spans="1:10" ht="33.950000000000003" customHeight="1">
      <c r="A69" s="5" t="s">
        <v>769</v>
      </c>
      <c r="B69" s="5" t="s">
        <v>73</v>
      </c>
      <c r="C69" s="9" t="s">
        <v>770</v>
      </c>
      <c r="D69" s="9" t="s">
        <v>81</v>
      </c>
      <c r="E69" s="5">
        <v>2030</v>
      </c>
      <c r="F69" s="17">
        <v>306</v>
      </c>
      <c r="G69" s="9" t="s">
        <v>7332</v>
      </c>
      <c r="H69" s="5">
        <v>1</v>
      </c>
      <c r="I69" s="9" t="str">
        <f>HYPERLINK("https://seichotoushi-hojo.jp/assets/pdf/koufu/outline_21.pdf","PDFを開く")</f>
        <v>PDFを開く</v>
      </c>
      <c r="J69" s="9" t="s">
        <v>777</v>
      </c>
    </row>
    <row r="70" spans="1:10" ht="33.950000000000003" customHeight="1">
      <c r="A70" s="2" t="s">
        <v>769</v>
      </c>
      <c r="B70" s="2" t="s">
        <v>73</v>
      </c>
      <c r="C70" s="8" t="s">
        <v>770</v>
      </c>
      <c r="D70" s="8" t="s">
        <v>81</v>
      </c>
      <c r="E70" s="2">
        <v>2030</v>
      </c>
      <c r="F70" s="16">
        <v>306</v>
      </c>
      <c r="G70" s="8" t="s">
        <v>7332</v>
      </c>
      <c r="H70" s="2">
        <v>1</v>
      </c>
      <c r="I70" s="8" t="str">
        <f>HYPERLINK("https://seichotoushi-hojo.jp/assets/pdf/koufu/outline_21.pdf","PDFを開く")</f>
        <v>PDFを開く</v>
      </c>
      <c r="J70" s="8" t="s">
        <v>777</v>
      </c>
    </row>
    <row r="71" spans="1:10" ht="33.950000000000003" customHeight="1">
      <c r="A71" s="5" t="s">
        <v>784</v>
      </c>
      <c r="B71" s="5" t="s">
        <v>73</v>
      </c>
      <c r="C71" s="9" t="s">
        <v>785</v>
      </c>
      <c r="D71" s="9" t="s">
        <v>81</v>
      </c>
      <c r="E71" s="5">
        <v>2023</v>
      </c>
      <c r="F71" s="17">
        <v>145</v>
      </c>
      <c r="G71" s="9" t="s">
        <v>7332</v>
      </c>
      <c r="H71" s="5">
        <v>1</v>
      </c>
      <c r="I71" s="9" t="str">
        <f>HYPERLINK("https://seichotoushi-hojo.jp/assets/pdf/koufu/outline_23.pdf","PDFを開く")</f>
        <v>PDFを開く</v>
      </c>
      <c r="J71" s="9" t="s">
        <v>791</v>
      </c>
    </row>
    <row r="72" spans="1:10" ht="33.950000000000003" customHeight="1">
      <c r="A72" s="2" t="s">
        <v>784</v>
      </c>
      <c r="B72" s="2" t="s">
        <v>73</v>
      </c>
      <c r="C72" s="8" t="s">
        <v>785</v>
      </c>
      <c r="D72" s="8" t="s">
        <v>81</v>
      </c>
      <c r="E72" s="2">
        <v>2030</v>
      </c>
      <c r="F72" s="16">
        <v>231</v>
      </c>
      <c r="G72" s="8" t="s">
        <v>7332</v>
      </c>
      <c r="H72" s="2">
        <v>1</v>
      </c>
      <c r="I72" s="8" t="str">
        <f>HYPERLINK("https://seichotoushi-hojo.jp/assets/pdf/koufu/outline_23.pdf","PDFを開く")</f>
        <v>PDFを開く</v>
      </c>
      <c r="J72" s="8" t="s">
        <v>791</v>
      </c>
    </row>
    <row r="73" spans="1:10" ht="33.950000000000003" customHeight="1">
      <c r="A73" s="5" t="s">
        <v>784</v>
      </c>
      <c r="B73" s="5" t="s">
        <v>73</v>
      </c>
      <c r="C73" s="9" t="s">
        <v>785</v>
      </c>
      <c r="D73" s="9" t="s">
        <v>81</v>
      </c>
      <c r="E73" s="5">
        <v>2030</v>
      </c>
      <c r="F73" s="17">
        <v>80</v>
      </c>
      <c r="G73" s="9" t="s">
        <v>7332</v>
      </c>
      <c r="H73" s="5">
        <v>1</v>
      </c>
      <c r="I73" s="9" t="str">
        <f>HYPERLINK("https://seichotoushi-hojo.jp/assets/pdf/koufu/outline_23.pdf","PDFを開く")</f>
        <v>PDFを開く</v>
      </c>
      <c r="J73" s="9" t="s">
        <v>791</v>
      </c>
    </row>
    <row r="74" spans="1:10" ht="33.950000000000003" customHeight="1">
      <c r="A74" s="2" t="s">
        <v>792</v>
      </c>
      <c r="B74" s="2" t="s">
        <v>73</v>
      </c>
      <c r="C74" s="8" t="s">
        <v>793</v>
      </c>
      <c r="D74" s="8" t="s">
        <v>116</v>
      </c>
      <c r="E74" s="2">
        <v>2023</v>
      </c>
      <c r="F74" s="16">
        <v>1701</v>
      </c>
      <c r="G74" s="8" t="s">
        <v>7334</v>
      </c>
      <c r="H74" s="2">
        <v>1</v>
      </c>
      <c r="I74" s="8" t="str">
        <f>HYPERLINK("https://seichotoushi-hojo.jp/assets/pdf/koufu/outline_24.pdf","PDFを開く")</f>
        <v>PDFを開く</v>
      </c>
      <c r="J74" s="8" t="s">
        <v>799</v>
      </c>
    </row>
    <row r="75" spans="1:10" ht="33.950000000000003" customHeight="1">
      <c r="A75" s="5" t="s">
        <v>792</v>
      </c>
      <c r="B75" s="5" t="s">
        <v>73</v>
      </c>
      <c r="C75" s="9" t="s">
        <v>793</v>
      </c>
      <c r="D75" s="9" t="s">
        <v>116</v>
      </c>
      <c r="E75" s="5">
        <v>2030</v>
      </c>
      <c r="F75" s="17">
        <v>3000</v>
      </c>
      <c r="G75" s="9" t="s">
        <v>7334</v>
      </c>
      <c r="H75" s="5">
        <v>1</v>
      </c>
      <c r="I75" s="9" t="str">
        <f>HYPERLINK("https://seichotoushi-hojo.jp/assets/pdf/koufu/outline_24.pdf","PDFを開く")</f>
        <v>PDFを開く</v>
      </c>
      <c r="J75" s="9" t="s">
        <v>799</v>
      </c>
    </row>
    <row r="76" spans="1:10" ht="33.950000000000003" customHeight="1">
      <c r="A76" s="2" t="s">
        <v>800</v>
      </c>
      <c r="B76" s="2" t="s">
        <v>73</v>
      </c>
      <c r="C76" s="8" t="s">
        <v>801</v>
      </c>
      <c r="D76" s="8" t="s">
        <v>81</v>
      </c>
      <c r="E76" s="2">
        <v>2023</v>
      </c>
      <c r="F76" s="16">
        <v>209</v>
      </c>
      <c r="G76" s="8" t="s">
        <v>7332</v>
      </c>
      <c r="H76" s="2">
        <v>1</v>
      </c>
      <c r="I76" s="8" t="str">
        <f>HYPERLINK("https://seichotoushi-hojo.jp/assets/pdf/koufu/outline_25.pdf","PDFを開く")</f>
        <v>PDFを開く</v>
      </c>
      <c r="J76" s="8" t="s">
        <v>807</v>
      </c>
    </row>
    <row r="77" spans="1:10" ht="33.950000000000003" customHeight="1">
      <c r="A77" s="5" t="s">
        <v>800</v>
      </c>
      <c r="B77" s="5" t="s">
        <v>73</v>
      </c>
      <c r="C77" s="9" t="s">
        <v>801</v>
      </c>
      <c r="D77" s="9" t="s">
        <v>81</v>
      </c>
      <c r="E77" s="5">
        <v>2029</v>
      </c>
      <c r="F77" s="17">
        <v>500</v>
      </c>
      <c r="G77" s="9" t="s">
        <v>7332</v>
      </c>
      <c r="H77" s="5">
        <v>1</v>
      </c>
      <c r="I77" s="9" t="str">
        <f>HYPERLINK("https://seichotoushi-hojo.jp/assets/pdf/koufu/outline_25.pdf","PDFを開く")</f>
        <v>PDFを開く</v>
      </c>
      <c r="J77" s="9" t="s">
        <v>807</v>
      </c>
    </row>
    <row r="78" spans="1:10" ht="33.950000000000003" customHeight="1">
      <c r="A78" s="2" t="s">
        <v>816</v>
      </c>
      <c r="B78" s="2" t="s">
        <v>73</v>
      </c>
      <c r="C78" s="8" t="s">
        <v>817</v>
      </c>
      <c r="D78" s="8" t="s">
        <v>81</v>
      </c>
      <c r="E78" s="2">
        <v>2023</v>
      </c>
      <c r="F78" s="16">
        <v>47</v>
      </c>
      <c r="G78" s="8" t="s">
        <v>7332</v>
      </c>
      <c r="H78" s="2">
        <v>1</v>
      </c>
      <c r="I78" s="8" t="str">
        <f>HYPERLINK("https://seichotoushi-hojo.jp/assets/pdf/koufu/outline_27.pdf","PDFを開く")</f>
        <v>PDFを開く</v>
      </c>
      <c r="J78" s="8" t="s">
        <v>824</v>
      </c>
    </row>
    <row r="79" spans="1:10" ht="33.950000000000003" customHeight="1">
      <c r="A79" s="5" t="s">
        <v>816</v>
      </c>
      <c r="B79" s="5" t="s">
        <v>73</v>
      </c>
      <c r="C79" s="9" t="s">
        <v>817</v>
      </c>
      <c r="D79" s="9" t="s">
        <v>81</v>
      </c>
      <c r="E79" s="5">
        <v>2035</v>
      </c>
      <c r="F79" s="17">
        <v>80</v>
      </c>
      <c r="G79" s="9" t="s">
        <v>7332</v>
      </c>
      <c r="H79" s="5">
        <v>1</v>
      </c>
      <c r="I79" s="9" t="str">
        <f>HYPERLINK("https://seichotoushi-hojo.jp/assets/pdf/koufu/outline_27.pdf","PDFを開く")</f>
        <v>PDFを開く</v>
      </c>
      <c r="J79" s="9" t="s">
        <v>824</v>
      </c>
    </row>
    <row r="80" spans="1:10" ht="33.950000000000003" customHeight="1">
      <c r="A80" s="2" t="s">
        <v>864</v>
      </c>
      <c r="B80" s="2" t="s">
        <v>73</v>
      </c>
      <c r="C80" s="8" t="s">
        <v>865</v>
      </c>
      <c r="D80" s="8" t="s">
        <v>81</v>
      </c>
      <c r="E80" s="2">
        <v>2023</v>
      </c>
      <c r="F80" s="16">
        <v>211</v>
      </c>
      <c r="G80" s="8" t="s">
        <v>7332</v>
      </c>
      <c r="H80" s="2">
        <v>1</v>
      </c>
      <c r="I80" s="8" t="str">
        <f>HYPERLINK("https://seichotoushi-hojo.jp/assets/pdf/koufu/outline_32.pdf","PDFを開く")</f>
        <v>PDFを開く</v>
      </c>
      <c r="J80" s="8" t="s">
        <v>871</v>
      </c>
    </row>
    <row r="81" spans="1:10" ht="33.950000000000003" customHeight="1">
      <c r="A81" s="5" t="s">
        <v>864</v>
      </c>
      <c r="B81" s="5" t="s">
        <v>73</v>
      </c>
      <c r="C81" s="9" t="s">
        <v>865</v>
      </c>
      <c r="D81" s="9" t="s">
        <v>81</v>
      </c>
      <c r="E81" s="5">
        <v>2029</v>
      </c>
      <c r="F81" s="17">
        <v>65</v>
      </c>
      <c r="G81" s="9" t="s">
        <v>7332</v>
      </c>
      <c r="H81" s="5">
        <v>1</v>
      </c>
      <c r="I81" s="9" t="str">
        <f>HYPERLINK("https://seichotoushi-hojo.jp/assets/pdf/koufu/outline_32.pdf","PDFを開く")</f>
        <v>PDFを開く</v>
      </c>
      <c r="J81" s="9" t="s">
        <v>871</v>
      </c>
    </row>
    <row r="82" spans="1:10" ht="33.950000000000003" customHeight="1">
      <c r="A82" s="2" t="s">
        <v>864</v>
      </c>
      <c r="B82" s="2" t="s">
        <v>73</v>
      </c>
      <c r="C82" s="8" t="s">
        <v>865</v>
      </c>
      <c r="D82" s="8" t="s">
        <v>81</v>
      </c>
      <c r="E82" s="2">
        <v>2030</v>
      </c>
      <c r="F82" s="16">
        <v>700</v>
      </c>
      <c r="G82" s="8" t="s">
        <v>7332</v>
      </c>
      <c r="H82" s="2">
        <v>1</v>
      </c>
      <c r="I82" s="8" t="str">
        <f>HYPERLINK("https://seichotoushi-hojo.jp/assets/pdf/koufu/outline_32.pdf","PDFを開く")</f>
        <v>PDFを開く</v>
      </c>
      <c r="J82" s="8" t="s">
        <v>871</v>
      </c>
    </row>
    <row r="83" spans="1:10" ht="33.950000000000003" customHeight="1">
      <c r="A83" s="5" t="s">
        <v>879</v>
      </c>
      <c r="B83" s="5" t="s">
        <v>73</v>
      </c>
      <c r="C83" s="9" t="s">
        <v>880</v>
      </c>
      <c r="D83" s="9" t="s">
        <v>81</v>
      </c>
      <c r="E83" s="5">
        <v>2028</v>
      </c>
      <c r="F83" s="17">
        <v>150</v>
      </c>
      <c r="G83" s="9" t="s">
        <v>7332</v>
      </c>
      <c r="H83" s="5">
        <v>1</v>
      </c>
      <c r="I83" s="9" t="str">
        <f>HYPERLINK("https://seichotoushi-hojo.jp/assets/pdf/koufu/outline_34.pdf","PDFを開く")</f>
        <v>PDFを開く</v>
      </c>
      <c r="J83" s="9" t="s">
        <v>886</v>
      </c>
    </row>
    <row r="84" spans="1:10" ht="33.950000000000003" customHeight="1">
      <c r="A84" s="2" t="s">
        <v>879</v>
      </c>
      <c r="B84" s="2" t="s">
        <v>73</v>
      </c>
      <c r="C84" s="8" t="s">
        <v>880</v>
      </c>
      <c r="D84" s="8" t="s">
        <v>81</v>
      </c>
      <c r="E84" s="2">
        <v>2028</v>
      </c>
      <c r="F84" s="16">
        <v>150</v>
      </c>
      <c r="G84" s="8" t="s">
        <v>7332</v>
      </c>
      <c r="H84" s="2">
        <v>1</v>
      </c>
      <c r="I84" s="8" t="str">
        <f>HYPERLINK("https://seichotoushi-hojo.jp/assets/pdf/koufu/outline_34.pdf","PDFを開く")</f>
        <v>PDFを開く</v>
      </c>
      <c r="J84" s="8" t="s">
        <v>886</v>
      </c>
    </row>
    <row r="85" spans="1:10" ht="33.950000000000003" customHeight="1">
      <c r="A85" s="5" t="s">
        <v>915</v>
      </c>
      <c r="B85" s="5" t="s">
        <v>73</v>
      </c>
      <c r="C85" s="9" t="s">
        <v>916</v>
      </c>
      <c r="D85" s="9" t="s">
        <v>81</v>
      </c>
      <c r="E85" s="5">
        <v>2029</v>
      </c>
      <c r="F85" s="17">
        <v>66</v>
      </c>
      <c r="G85" s="9" t="s">
        <v>7332</v>
      </c>
      <c r="H85" s="5">
        <v>1</v>
      </c>
      <c r="I85" s="9" t="str">
        <f>HYPERLINK("https://seichotoushi-hojo.jp/assets/pdf/koufu/outline_39.pdf","PDFを開く")</f>
        <v>PDFを開く</v>
      </c>
      <c r="J85" s="9" t="s">
        <v>923</v>
      </c>
    </row>
    <row r="86" spans="1:10" ht="33.950000000000003" customHeight="1">
      <c r="A86" s="2" t="s">
        <v>955</v>
      </c>
      <c r="B86" s="2" t="s">
        <v>73</v>
      </c>
      <c r="C86" s="8" t="s">
        <v>956</v>
      </c>
      <c r="D86" s="8" t="s">
        <v>81</v>
      </c>
      <c r="E86" s="2">
        <v>2030</v>
      </c>
      <c r="F86" s="16">
        <v>1000</v>
      </c>
      <c r="G86" s="8" t="s">
        <v>7332</v>
      </c>
      <c r="H86" s="2">
        <v>1</v>
      </c>
      <c r="I86" s="8" t="str">
        <f>HYPERLINK("https://seichotoushi-hojo.jp/assets/pdf/koufu/outline_43.pdf","PDFを開く")</f>
        <v>PDFを開く</v>
      </c>
      <c r="J86" s="8" t="s">
        <v>964</v>
      </c>
    </row>
    <row r="87" spans="1:10" ht="33.950000000000003" customHeight="1">
      <c r="A87" s="5" t="s">
        <v>972</v>
      </c>
      <c r="B87" s="5" t="s">
        <v>73</v>
      </c>
      <c r="C87" s="9" t="s">
        <v>973</v>
      </c>
      <c r="D87" s="9" t="s">
        <v>81</v>
      </c>
      <c r="E87" s="5">
        <v>2030</v>
      </c>
      <c r="F87" s="17">
        <v>1000</v>
      </c>
      <c r="G87" s="9" t="s">
        <v>7332</v>
      </c>
      <c r="H87" s="5">
        <v>1</v>
      </c>
      <c r="I87" s="9" t="str">
        <f>HYPERLINK("https://seichotoushi-hojo.jp/assets/pdf/koufu/outline_46.pdf","PDFを開く")</f>
        <v>PDFを開く</v>
      </c>
      <c r="J87" s="9" t="s">
        <v>977</v>
      </c>
    </row>
    <row r="88" spans="1:10" ht="33.950000000000003" customHeight="1">
      <c r="A88" s="2" t="s">
        <v>985</v>
      </c>
      <c r="B88" s="2" t="s">
        <v>73</v>
      </c>
      <c r="C88" s="8" t="s">
        <v>986</v>
      </c>
      <c r="D88" s="8" t="s">
        <v>81</v>
      </c>
      <c r="E88" s="2">
        <v>2024</v>
      </c>
      <c r="F88" s="16">
        <v>33</v>
      </c>
      <c r="G88" s="8" t="s">
        <v>7332</v>
      </c>
      <c r="H88" s="2">
        <v>1</v>
      </c>
      <c r="I88" s="8" t="str">
        <f>HYPERLINK("https://seichotoushi-hojo.jp/assets/pdf/koufu/outline_48.pdf","PDFを開く")</f>
        <v>PDFを開く</v>
      </c>
      <c r="J88" s="8" t="s">
        <v>993</v>
      </c>
    </row>
    <row r="89" spans="1:10" ht="33.950000000000003" customHeight="1">
      <c r="A89" s="5" t="s">
        <v>994</v>
      </c>
      <c r="B89" s="5" t="s">
        <v>73</v>
      </c>
      <c r="C89" s="9" t="s">
        <v>995</v>
      </c>
      <c r="D89" s="9" t="s">
        <v>81</v>
      </c>
      <c r="E89" s="5">
        <v>2023</v>
      </c>
      <c r="F89" s="17">
        <v>21.9</v>
      </c>
      <c r="G89" s="9" t="s">
        <v>7332</v>
      </c>
      <c r="H89" s="5">
        <v>1</v>
      </c>
      <c r="I89" s="9" t="str">
        <f>HYPERLINK("https://seichotoushi-hojo.jp/assets/pdf/koufu/outline_49.pdf","PDFを開く")</f>
        <v>PDFを開く</v>
      </c>
      <c r="J89" s="9" t="s">
        <v>1002</v>
      </c>
    </row>
    <row r="90" spans="1:10" ht="33.950000000000003" customHeight="1">
      <c r="A90" s="2" t="s">
        <v>994</v>
      </c>
      <c r="B90" s="2" t="s">
        <v>73</v>
      </c>
      <c r="C90" s="8" t="s">
        <v>995</v>
      </c>
      <c r="D90" s="8" t="s">
        <v>81</v>
      </c>
      <c r="E90" s="2">
        <v>2029</v>
      </c>
      <c r="F90" s="16">
        <v>40</v>
      </c>
      <c r="G90" s="8" t="s">
        <v>7332</v>
      </c>
      <c r="H90" s="2">
        <v>1</v>
      </c>
      <c r="I90" s="8" t="str">
        <f>HYPERLINK("https://seichotoushi-hojo.jp/assets/pdf/koufu/outline_49.pdf","PDFを開く")</f>
        <v>PDFを開く</v>
      </c>
      <c r="J90" s="8" t="s">
        <v>1002</v>
      </c>
    </row>
    <row r="91" spans="1:10" ht="33.950000000000003" customHeight="1">
      <c r="A91" s="5" t="s">
        <v>1003</v>
      </c>
      <c r="B91" s="5" t="s">
        <v>73</v>
      </c>
      <c r="C91" s="9" t="s">
        <v>1004</v>
      </c>
      <c r="D91" s="9" t="s">
        <v>116</v>
      </c>
      <c r="E91" s="5">
        <v>2023</v>
      </c>
      <c r="F91" s="17">
        <v>394</v>
      </c>
      <c r="G91" s="9" t="s">
        <v>7335</v>
      </c>
      <c r="H91" s="5">
        <v>1</v>
      </c>
      <c r="I91" s="9" t="str">
        <f>HYPERLINK("https://seichotoushi-hojo.jp/assets/pdf/koufu/outline_5.pdf","PDFを開く")</f>
        <v>PDFを開く</v>
      </c>
      <c r="J91" s="9" t="s">
        <v>1012</v>
      </c>
    </row>
    <row r="92" spans="1:10" ht="33.950000000000003" customHeight="1">
      <c r="A92" s="2" t="s">
        <v>1003</v>
      </c>
      <c r="B92" s="2" t="s">
        <v>73</v>
      </c>
      <c r="C92" s="8" t="s">
        <v>1004</v>
      </c>
      <c r="D92" s="8" t="s">
        <v>116</v>
      </c>
      <c r="E92" s="2">
        <v>2029</v>
      </c>
      <c r="F92" s="16">
        <v>620</v>
      </c>
      <c r="G92" s="8" t="s">
        <v>7335</v>
      </c>
      <c r="H92" s="2">
        <v>1</v>
      </c>
      <c r="I92" s="8" t="str">
        <f>HYPERLINK("https://seichotoushi-hojo.jp/assets/pdf/koufu/outline_5.pdf","PDFを開く")</f>
        <v>PDFを開く</v>
      </c>
      <c r="J92" s="8" t="s">
        <v>1012</v>
      </c>
    </row>
    <row r="93" spans="1:10" ht="33.950000000000003" customHeight="1">
      <c r="A93" s="5" t="s">
        <v>1003</v>
      </c>
      <c r="B93" s="5" t="s">
        <v>73</v>
      </c>
      <c r="C93" s="9" t="s">
        <v>1004</v>
      </c>
      <c r="D93" s="9" t="s">
        <v>116</v>
      </c>
      <c r="E93" s="5">
        <v>2034</v>
      </c>
      <c r="F93" s="17">
        <v>750</v>
      </c>
      <c r="G93" s="9" t="s">
        <v>7335</v>
      </c>
      <c r="H93" s="5">
        <v>1</v>
      </c>
      <c r="I93" s="9" t="str">
        <f>HYPERLINK("https://seichotoushi-hojo.jp/assets/pdf/koufu/outline_5.pdf","PDFを開く")</f>
        <v>PDFを開く</v>
      </c>
      <c r="J93" s="9" t="s">
        <v>1012</v>
      </c>
    </row>
    <row r="94" spans="1:10" ht="33.950000000000003" customHeight="1">
      <c r="A94" s="2" t="s">
        <v>1003</v>
      </c>
      <c r="B94" s="2" t="s">
        <v>73</v>
      </c>
      <c r="C94" s="8" t="s">
        <v>1004</v>
      </c>
      <c r="D94" s="8" t="s">
        <v>116</v>
      </c>
      <c r="E94" s="2">
        <v>2048</v>
      </c>
      <c r="F94" s="16">
        <v>1000</v>
      </c>
      <c r="G94" s="8" t="s">
        <v>7335</v>
      </c>
      <c r="H94" s="2">
        <v>1</v>
      </c>
      <c r="I94" s="8" t="str">
        <f>HYPERLINK("https://seichotoushi-hojo.jp/assets/pdf/koufu/outline_5.pdf","PDFを開く")</f>
        <v>PDFを開く</v>
      </c>
      <c r="J94" s="8" t="s">
        <v>1012</v>
      </c>
    </row>
    <row r="95" spans="1:10" ht="33.950000000000003" customHeight="1">
      <c r="A95" s="5" t="s">
        <v>1028</v>
      </c>
      <c r="B95" s="5" t="s">
        <v>73</v>
      </c>
      <c r="C95" s="9" t="s">
        <v>1029</v>
      </c>
      <c r="D95" s="9" t="s">
        <v>81</v>
      </c>
      <c r="E95" s="5">
        <v>2030</v>
      </c>
      <c r="F95" s="17">
        <v>109</v>
      </c>
      <c r="G95" s="9" t="s">
        <v>7332</v>
      </c>
      <c r="H95" s="5">
        <v>1</v>
      </c>
      <c r="I95" s="9" t="str">
        <f>HYPERLINK("https://seichotoushi-hojo.jp/assets/pdf/koufu/outline_52.pdf","PDFを開く")</f>
        <v>PDFを開く</v>
      </c>
      <c r="J95" s="9" t="s">
        <v>1035</v>
      </c>
    </row>
    <row r="96" spans="1:10" ht="33.950000000000003" customHeight="1">
      <c r="A96" s="2" t="s">
        <v>1044</v>
      </c>
      <c r="B96" s="2" t="s">
        <v>73</v>
      </c>
      <c r="C96" s="8" t="s">
        <v>1045</v>
      </c>
      <c r="D96" s="8" t="s">
        <v>81</v>
      </c>
      <c r="E96" s="2">
        <v>2028</v>
      </c>
      <c r="F96" s="16">
        <v>70</v>
      </c>
      <c r="G96" s="8" t="s">
        <v>7332</v>
      </c>
      <c r="H96" s="2">
        <v>1</v>
      </c>
      <c r="I96" s="8" t="str">
        <f>HYPERLINK("https://seichotoushi-hojo.jp/assets/pdf/koufu/outline_55.pdf","PDFを開く")</f>
        <v>PDFを開く</v>
      </c>
      <c r="J96" s="8" t="s">
        <v>1053</v>
      </c>
    </row>
    <row r="97" spans="1:10" ht="33.950000000000003" customHeight="1">
      <c r="A97" s="5" t="s">
        <v>1044</v>
      </c>
      <c r="B97" s="5" t="s">
        <v>73</v>
      </c>
      <c r="C97" s="9" t="s">
        <v>1045</v>
      </c>
      <c r="D97" s="9" t="s">
        <v>81</v>
      </c>
      <c r="E97" s="5">
        <v>2033</v>
      </c>
      <c r="F97" s="17">
        <v>100</v>
      </c>
      <c r="G97" s="9" t="s">
        <v>7332</v>
      </c>
      <c r="H97" s="5">
        <v>1</v>
      </c>
      <c r="I97" s="9" t="str">
        <f>HYPERLINK("https://seichotoushi-hojo.jp/assets/pdf/koufu/outline_55.pdf","PDFを開く")</f>
        <v>PDFを開く</v>
      </c>
      <c r="J97" s="9" t="s">
        <v>1053</v>
      </c>
    </row>
    <row r="98" spans="1:10" ht="33.950000000000003" customHeight="1">
      <c r="A98" s="2" t="s">
        <v>1054</v>
      </c>
      <c r="B98" s="2" t="s">
        <v>73</v>
      </c>
      <c r="C98" s="8" t="s">
        <v>1055</v>
      </c>
      <c r="D98" s="8" t="s">
        <v>81</v>
      </c>
      <c r="E98" s="2">
        <v>2035</v>
      </c>
      <c r="F98" s="16">
        <v>100</v>
      </c>
      <c r="G98" s="8" t="s">
        <v>7332</v>
      </c>
      <c r="H98" s="2">
        <v>1</v>
      </c>
      <c r="I98" s="8" t="str">
        <f>HYPERLINK("https://seichotoushi-hojo.jp/assets/pdf/koufu/outline_56.pdf","PDFを開く")</f>
        <v>PDFを開く</v>
      </c>
      <c r="J98" s="8" t="s">
        <v>1062</v>
      </c>
    </row>
    <row r="99" spans="1:10" ht="33.950000000000003" customHeight="1">
      <c r="A99" s="5" t="s">
        <v>1063</v>
      </c>
      <c r="B99" s="5" t="s">
        <v>73</v>
      </c>
      <c r="C99" s="9" t="s">
        <v>1064</v>
      </c>
      <c r="D99" s="9" t="s">
        <v>763</v>
      </c>
      <c r="E99" s="5">
        <v>2028</v>
      </c>
      <c r="F99" s="17">
        <v>147.62844104999999</v>
      </c>
      <c r="G99" s="9" t="s">
        <v>7332</v>
      </c>
      <c r="H99" s="5">
        <v>1</v>
      </c>
      <c r="I99" s="9" t="str">
        <f>HYPERLINK("https://seichotoushi-hojo.jp/assets/pdf/koufu/outline_58.pdf","PDFを開く")</f>
        <v>PDFを開く</v>
      </c>
      <c r="J99" s="9" t="s">
        <v>1070</v>
      </c>
    </row>
    <row r="100" spans="1:10" ht="33.950000000000003" customHeight="1">
      <c r="A100" s="2" t="s">
        <v>1071</v>
      </c>
      <c r="B100" s="2" t="s">
        <v>73</v>
      </c>
      <c r="C100" s="8" t="s">
        <v>1072</v>
      </c>
      <c r="D100" s="8" t="s">
        <v>81</v>
      </c>
      <c r="E100" s="2">
        <v>2030</v>
      </c>
      <c r="F100" s="16">
        <v>500</v>
      </c>
      <c r="G100" s="8" t="s">
        <v>7332</v>
      </c>
      <c r="H100" s="2">
        <v>1</v>
      </c>
      <c r="I100" s="8" t="str">
        <f>HYPERLINK("https://seichotoushi-hojo.jp/assets/pdf/koufu/outline_61.pdf","PDFを開く")</f>
        <v>PDFを開く</v>
      </c>
      <c r="J100" s="8" t="s">
        <v>1079</v>
      </c>
    </row>
    <row r="101" spans="1:10" ht="33.950000000000003" customHeight="1">
      <c r="A101" s="5" t="s">
        <v>1088</v>
      </c>
      <c r="B101" s="5" t="s">
        <v>73</v>
      </c>
      <c r="C101" s="9" t="s">
        <v>1089</v>
      </c>
      <c r="D101" s="9" t="s">
        <v>81</v>
      </c>
      <c r="E101" s="5">
        <v>2038</v>
      </c>
      <c r="F101" s="17">
        <v>600</v>
      </c>
      <c r="G101" s="9" t="s">
        <v>7332</v>
      </c>
      <c r="H101" s="5">
        <v>1</v>
      </c>
      <c r="I101" s="9" t="str">
        <f>HYPERLINK("https://seichotoushi-hojo.jp/assets/pdf/koufu/outline_63.pdf","PDFを開く")</f>
        <v>PDFを開く</v>
      </c>
      <c r="J101" s="9" t="s">
        <v>1095</v>
      </c>
    </row>
    <row r="102" spans="1:10" ht="33.950000000000003" customHeight="1">
      <c r="A102" s="2" t="s">
        <v>1104</v>
      </c>
      <c r="B102" s="2" t="s">
        <v>73</v>
      </c>
      <c r="C102" s="8" t="s">
        <v>1105</v>
      </c>
      <c r="D102" s="8" t="s">
        <v>81</v>
      </c>
      <c r="E102" s="2">
        <v>2024</v>
      </c>
      <c r="F102" s="16">
        <v>30</v>
      </c>
      <c r="G102" s="8" t="s">
        <v>7332</v>
      </c>
      <c r="H102" s="2">
        <v>1</v>
      </c>
      <c r="I102" s="8" t="str">
        <f>HYPERLINK("https://seichotoushi-hojo.jp/assets/pdf/koufu/outline_66.pdf","PDFを開く")</f>
        <v>PDFを開く</v>
      </c>
      <c r="J102" s="8" t="s">
        <v>1112</v>
      </c>
    </row>
    <row r="103" spans="1:10" ht="33.950000000000003" customHeight="1">
      <c r="A103" s="5" t="s">
        <v>1104</v>
      </c>
      <c r="B103" s="5" t="s">
        <v>73</v>
      </c>
      <c r="C103" s="9" t="s">
        <v>1105</v>
      </c>
      <c r="D103" s="9" t="s">
        <v>81</v>
      </c>
      <c r="E103" s="5">
        <v>2030</v>
      </c>
      <c r="F103" s="17">
        <v>130</v>
      </c>
      <c r="G103" s="9" t="s">
        <v>7332</v>
      </c>
      <c r="H103" s="5">
        <v>1</v>
      </c>
      <c r="I103" s="9" t="str">
        <f>HYPERLINK("https://seichotoushi-hojo.jp/assets/pdf/koufu/outline_66.pdf","PDFを開く")</f>
        <v>PDFを開く</v>
      </c>
      <c r="J103" s="9" t="s">
        <v>1112</v>
      </c>
    </row>
    <row r="104" spans="1:10" ht="33.950000000000003" customHeight="1">
      <c r="A104" s="2" t="s">
        <v>1127</v>
      </c>
      <c r="B104" s="2" t="s">
        <v>73</v>
      </c>
      <c r="C104" s="8" t="s">
        <v>1128</v>
      </c>
      <c r="D104" s="8" t="s">
        <v>81</v>
      </c>
      <c r="E104" s="2">
        <v>2030</v>
      </c>
      <c r="F104" s="16">
        <v>100</v>
      </c>
      <c r="G104" s="8" t="s">
        <v>7332</v>
      </c>
      <c r="H104" s="2">
        <v>1</v>
      </c>
      <c r="I104" s="8" t="str">
        <f>HYPERLINK("https://seichotoushi-hojo.jp/assets/pdf/koufu/outline_69.pdf","PDFを開く")</f>
        <v>PDFを開く</v>
      </c>
      <c r="J104" s="8" t="s">
        <v>1134</v>
      </c>
    </row>
    <row r="105" spans="1:10" ht="33.950000000000003" customHeight="1">
      <c r="A105" s="5" t="s">
        <v>1127</v>
      </c>
      <c r="B105" s="5" t="s">
        <v>73</v>
      </c>
      <c r="C105" s="9" t="s">
        <v>1128</v>
      </c>
      <c r="D105" s="9" t="s">
        <v>81</v>
      </c>
      <c r="E105" s="5">
        <v>2030</v>
      </c>
      <c r="F105" s="17">
        <v>102</v>
      </c>
      <c r="G105" s="9" t="s">
        <v>7332</v>
      </c>
      <c r="H105" s="5">
        <v>1</v>
      </c>
      <c r="I105" s="9" t="str">
        <f>HYPERLINK("https://seichotoushi-hojo.jp/assets/pdf/koufu/outline_69.pdf","PDFを開く")</f>
        <v>PDFを開く</v>
      </c>
      <c r="J105" s="9" t="s">
        <v>1134</v>
      </c>
    </row>
    <row r="106" spans="1:10" ht="33.950000000000003" customHeight="1">
      <c r="A106" s="2" t="s">
        <v>1135</v>
      </c>
      <c r="B106" s="2" t="s">
        <v>73</v>
      </c>
      <c r="C106" s="8" t="s">
        <v>1136</v>
      </c>
      <c r="D106" s="8" t="s">
        <v>81</v>
      </c>
      <c r="E106" s="2">
        <v>2025</v>
      </c>
      <c r="F106" s="16">
        <v>700</v>
      </c>
      <c r="G106" s="8" t="s">
        <v>7336</v>
      </c>
      <c r="H106" s="2">
        <v>1</v>
      </c>
      <c r="I106" s="8" t="str">
        <f>HYPERLINK("https://seichotoushi-hojo.jp/assets/pdf/koufu/outline_7.pdf","PDFを開く")</f>
        <v>PDFを開く</v>
      </c>
      <c r="J106" s="8" t="s">
        <v>1145</v>
      </c>
    </row>
    <row r="107" spans="1:10" ht="33.950000000000003" customHeight="1">
      <c r="A107" s="5" t="s">
        <v>1135</v>
      </c>
      <c r="B107" s="5" t="s">
        <v>73</v>
      </c>
      <c r="C107" s="9" t="s">
        <v>1136</v>
      </c>
      <c r="D107" s="9" t="s">
        <v>81</v>
      </c>
      <c r="E107" s="5">
        <v>2026</v>
      </c>
      <c r="F107" s="17">
        <v>1000</v>
      </c>
      <c r="G107" s="9" t="s">
        <v>7337</v>
      </c>
      <c r="H107" s="5">
        <v>1</v>
      </c>
      <c r="I107" s="9" t="str">
        <f>HYPERLINK("https://seichotoushi-hojo.jp/assets/pdf/koufu/outline_7.pdf","PDFを開く")</f>
        <v>PDFを開く</v>
      </c>
      <c r="J107" s="9" t="s">
        <v>1145</v>
      </c>
    </row>
    <row r="108" spans="1:10" ht="33.950000000000003" customHeight="1">
      <c r="A108" s="2" t="s">
        <v>1146</v>
      </c>
      <c r="B108" s="2" t="s">
        <v>73</v>
      </c>
      <c r="C108" s="8" t="s">
        <v>1147</v>
      </c>
      <c r="D108" s="8" t="s">
        <v>81</v>
      </c>
      <c r="E108" s="2">
        <v>2030</v>
      </c>
      <c r="F108" s="16">
        <v>75</v>
      </c>
      <c r="G108" s="8" t="s">
        <v>7332</v>
      </c>
      <c r="H108" s="2">
        <v>1</v>
      </c>
      <c r="I108" s="8" t="str">
        <f>HYPERLINK("https://seichotoushi-hojo.jp/assets/pdf/koufu/outline_70.pdf","PDFを開く")</f>
        <v>PDFを開く</v>
      </c>
      <c r="J108" s="8" t="s">
        <v>1153</v>
      </c>
    </row>
    <row r="109" spans="1:10" ht="33.950000000000003" customHeight="1">
      <c r="A109" s="5" t="s">
        <v>1161</v>
      </c>
      <c r="B109" s="5" t="s">
        <v>73</v>
      </c>
      <c r="C109" s="9" t="s">
        <v>1162</v>
      </c>
      <c r="D109" s="9" t="s">
        <v>81</v>
      </c>
      <c r="E109" s="5">
        <v>2028</v>
      </c>
      <c r="F109" s="17">
        <v>380</v>
      </c>
      <c r="G109" s="9" t="s">
        <v>7332</v>
      </c>
      <c r="H109" s="5">
        <v>1</v>
      </c>
      <c r="I109" s="9" t="str">
        <f>HYPERLINK("https://seichotoushi-hojo.jp/assets/pdf/koufu/outline_72.pdf","PDFを開く")</f>
        <v>PDFを開く</v>
      </c>
      <c r="J109" s="9" t="s">
        <v>1168</v>
      </c>
    </row>
    <row r="110" spans="1:10" ht="33.950000000000003" customHeight="1">
      <c r="A110" s="2" t="s">
        <v>1169</v>
      </c>
      <c r="B110" s="2" t="s">
        <v>73</v>
      </c>
      <c r="C110" s="8" t="s">
        <v>1170</v>
      </c>
      <c r="D110" s="8" t="s">
        <v>81</v>
      </c>
      <c r="E110" s="2">
        <v>2029</v>
      </c>
      <c r="F110" s="16">
        <v>37.408999999999999</v>
      </c>
      <c r="G110" s="8" t="s">
        <v>7332</v>
      </c>
      <c r="H110" s="2">
        <v>1</v>
      </c>
      <c r="I110" s="8" t="str">
        <f>HYPERLINK("https://seichotoushi-hojo.jp/assets/pdf/koufu/outline_73.pdf","PDFを開く")</f>
        <v>PDFを開く</v>
      </c>
      <c r="J110" s="8" t="s">
        <v>1177</v>
      </c>
    </row>
    <row r="111" spans="1:10" ht="33.950000000000003" customHeight="1">
      <c r="A111" s="5" t="s">
        <v>1185</v>
      </c>
      <c r="B111" s="5" t="s">
        <v>73</v>
      </c>
      <c r="C111" s="9" t="s">
        <v>1186</v>
      </c>
      <c r="D111" s="9" t="s">
        <v>81</v>
      </c>
      <c r="E111" s="5">
        <v>2030</v>
      </c>
      <c r="F111" s="17">
        <v>200</v>
      </c>
      <c r="G111" s="9" t="s">
        <v>7332</v>
      </c>
      <c r="H111" s="5">
        <v>1</v>
      </c>
      <c r="I111" s="9" t="str">
        <f>HYPERLINK("https://seichotoushi-hojo.jp/assets/pdf/koufu/outline_75.pdf","PDFを開く")</f>
        <v>PDFを開く</v>
      </c>
      <c r="J111" s="9" t="s">
        <v>1192</v>
      </c>
    </row>
    <row r="112" spans="1:10" ht="33.950000000000003" customHeight="1">
      <c r="A112" s="2" t="s">
        <v>1193</v>
      </c>
      <c r="B112" s="2" t="s">
        <v>73</v>
      </c>
      <c r="C112" s="8" t="s">
        <v>1194</v>
      </c>
      <c r="D112" s="8" t="s">
        <v>81</v>
      </c>
      <c r="E112" s="2">
        <v>2023</v>
      </c>
      <c r="F112" s="16">
        <v>168</v>
      </c>
      <c r="G112" s="8" t="s">
        <v>7332</v>
      </c>
      <c r="H112" s="2">
        <v>1</v>
      </c>
      <c r="I112" s="8" t="str">
        <f>HYPERLINK("https://seichotoushi-hojo.jp/assets/pdf/koufu/outline_76.pdf","PDFを開く")</f>
        <v>PDFを開く</v>
      </c>
      <c r="J112" s="8" t="s">
        <v>1202</v>
      </c>
    </row>
    <row r="113" spans="1:10" ht="33.950000000000003" customHeight="1">
      <c r="A113" s="5" t="s">
        <v>1193</v>
      </c>
      <c r="B113" s="5" t="s">
        <v>73</v>
      </c>
      <c r="C113" s="9" t="s">
        <v>1194</v>
      </c>
      <c r="D113" s="9" t="s">
        <v>81</v>
      </c>
      <c r="E113" s="5">
        <v>2027</v>
      </c>
      <c r="F113" s="17">
        <v>193</v>
      </c>
      <c r="G113" s="9" t="s">
        <v>7332</v>
      </c>
      <c r="H113" s="5">
        <v>1</v>
      </c>
      <c r="I113" s="9" t="str">
        <f>HYPERLINK("https://seichotoushi-hojo.jp/assets/pdf/koufu/outline_76.pdf","PDFを開く")</f>
        <v>PDFを開く</v>
      </c>
      <c r="J113" s="9" t="s">
        <v>1202</v>
      </c>
    </row>
    <row r="114" spans="1:10" ht="33.950000000000003" customHeight="1">
      <c r="A114" s="2" t="s">
        <v>1193</v>
      </c>
      <c r="B114" s="2" t="s">
        <v>73</v>
      </c>
      <c r="C114" s="8" t="s">
        <v>1194</v>
      </c>
      <c r="D114" s="8" t="s">
        <v>81</v>
      </c>
      <c r="E114" s="2">
        <v>2030</v>
      </c>
      <c r="F114" s="16">
        <v>243</v>
      </c>
      <c r="G114" s="8" t="s">
        <v>7332</v>
      </c>
      <c r="H114" s="2">
        <v>1</v>
      </c>
      <c r="I114" s="8" t="str">
        <f>HYPERLINK("https://seichotoushi-hojo.jp/assets/pdf/koufu/outline_76.pdf","PDFを開く")</f>
        <v>PDFを開く</v>
      </c>
      <c r="J114" s="8" t="s">
        <v>1202</v>
      </c>
    </row>
    <row r="115" spans="1:10" ht="33.950000000000003" customHeight="1">
      <c r="A115" s="5" t="s">
        <v>1203</v>
      </c>
      <c r="B115" s="5" t="s">
        <v>73</v>
      </c>
      <c r="C115" s="9" t="s">
        <v>1204</v>
      </c>
      <c r="D115" s="9" t="s">
        <v>81</v>
      </c>
      <c r="E115" s="5">
        <v>2025</v>
      </c>
      <c r="F115" s="17">
        <v>500</v>
      </c>
      <c r="G115" s="9" t="s">
        <v>7332</v>
      </c>
      <c r="H115" s="5">
        <v>1</v>
      </c>
      <c r="I115" s="9" t="str">
        <f>HYPERLINK("https://seichotoushi-hojo.jp/assets/pdf/koufu/outline_77.pdf","PDFを開く")</f>
        <v>PDFを開く</v>
      </c>
      <c r="J115" s="9" t="s">
        <v>1210</v>
      </c>
    </row>
    <row r="116" spans="1:10" ht="33.950000000000003" customHeight="1">
      <c r="A116" s="2" t="s">
        <v>1263</v>
      </c>
      <c r="B116" s="2" t="s">
        <v>73</v>
      </c>
      <c r="C116" s="8" t="s">
        <v>1264</v>
      </c>
      <c r="D116" s="8" t="s">
        <v>81</v>
      </c>
      <c r="E116" s="2">
        <v>2030</v>
      </c>
      <c r="F116" s="16">
        <v>104.7</v>
      </c>
      <c r="G116" s="8" t="s">
        <v>7332</v>
      </c>
      <c r="H116" s="2">
        <v>1</v>
      </c>
      <c r="I116" s="8" t="str">
        <f>HYPERLINK("https://seichotoushi-hojo.jp/assets/pdf/koufu/outline_84.pdf","PDFを開く")</f>
        <v>PDFを開く</v>
      </c>
      <c r="J116" s="8" t="s">
        <v>1271</v>
      </c>
    </row>
    <row r="117" spans="1:10" ht="33.950000000000003" customHeight="1">
      <c r="A117" s="5" t="s">
        <v>1263</v>
      </c>
      <c r="B117" s="5" t="s">
        <v>73</v>
      </c>
      <c r="C117" s="9" t="s">
        <v>1264</v>
      </c>
      <c r="D117" s="9" t="s">
        <v>81</v>
      </c>
      <c r="E117" s="5">
        <v>2027</v>
      </c>
      <c r="F117" s="17">
        <v>90</v>
      </c>
      <c r="G117" s="9" t="s">
        <v>7332</v>
      </c>
      <c r="H117" s="5">
        <v>1</v>
      </c>
      <c r="I117" s="9" t="str">
        <f>HYPERLINK("https://seichotoushi-hojo.jp/assets/pdf/koufu/outline_84.pdf","PDFを開く")</f>
        <v>PDFを開く</v>
      </c>
      <c r="J117" s="9" t="s">
        <v>1271</v>
      </c>
    </row>
    <row r="118" spans="1:10" ht="33.950000000000003" customHeight="1">
      <c r="A118" s="2" t="s">
        <v>1272</v>
      </c>
      <c r="B118" s="2" t="s">
        <v>73</v>
      </c>
      <c r="C118" s="8" t="s">
        <v>1273</v>
      </c>
      <c r="D118" s="8" t="s">
        <v>81</v>
      </c>
      <c r="E118" s="2">
        <v>2029</v>
      </c>
      <c r="F118" s="16">
        <v>2</v>
      </c>
      <c r="G118" s="8" t="s">
        <v>7332</v>
      </c>
      <c r="H118" s="2">
        <v>1</v>
      </c>
      <c r="I118" s="8" t="str">
        <f>HYPERLINK("https://seichotoushi-hojo.jp/assets/pdf/koufu/outline_85.pdf","PDFを開く")</f>
        <v>PDFを開く</v>
      </c>
      <c r="J118" s="8" t="s">
        <v>1280</v>
      </c>
    </row>
    <row r="119" spans="1:10" ht="33.950000000000003" customHeight="1">
      <c r="A119" s="5" t="s">
        <v>1294</v>
      </c>
      <c r="B119" s="5" t="s">
        <v>73</v>
      </c>
      <c r="C119" s="9" t="s">
        <v>1295</v>
      </c>
      <c r="D119" s="9" t="s">
        <v>81</v>
      </c>
      <c r="E119" s="5">
        <v>2028</v>
      </c>
      <c r="F119" s="17">
        <v>537</v>
      </c>
      <c r="G119" s="9" t="s">
        <v>7332</v>
      </c>
      <c r="H119" s="5">
        <v>1</v>
      </c>
      <c r="I119" s="9" t="str">
        <f>HYPERLINK("https://seichotoushi-hojo.jp/assets/pdf/koufu/outline_88.pdf","PDFを開く")</f>
        <v>PDFを開く</v>
      </c>
      <c r="J119" s="9" t="s">
        <v>1302</v>
      </c>
    </row>
    <row r="120" spans="1:10" ht="33.950000000000003" customHeight="1">
      <c r="A120" s="2" t="s">
        <v>1303</v>
      </c>
      <c r="B120" s="2" t="s">
        <v>73</v>
      </c>
      <c r="C120" s="8" t="s">
        <v>1304</v>
      </c>
      <c r="D120" s="8" t="s">
        <v>81</v>
      </c>
      <c r="E120" s="2">
        <v>2030</v>
      </c>
      <c r="F120" s="16">
        <v>55.42</v>
      </c>
      <c r="G120" s="8" t="s">
        <v>7332</v>
      </c>
      <c r="H120" s="2">
        <v>1</v>
      </c>
      <c r="I120" s="8" t="str">
        <f>HYPERLINK("https://seichotoushi-hojo.jp/assets/pdf/koufu/outline_89.pdf","PDFを開く")</f>
        <v>PDFを開く</v>
      </c>
      <c r="J120" s="8" t="s">
        <v>1310</v>
      </c>
    </row>
    <row r="121" spans="1:10" ht="33.950000000000003" customHeight="1">
      <c r="A121" s="5" t="s">
        <v>1318</v>
      </c>
      <c r="B121" s="5" t="s">
        <v>73</v>
      </c>
      <c r="C121" s="9" t="s">
        <v>1319</v>
      </c>
      <c r="D121" s="9" t="s">
        <v>81</v>
      </c>
      <c r="E121" s="5">
        <v>2028</v>
      </c>
      <c r="F121" s="17">
        <v>100</v>
      </c>
      <c r="G121" s="9" t="s">
        <v>7332</v>
      </c>
      <c r="H121" s="5">
        <v>1</v>
      </c>
      <c r="I121" s="9" t="str">
        <f>HYPERLINK("https://seichotoushi-hojo.jp/assets/pdf/koufu/outline_91.pdf","PDFを開く")</f>
        <v>PDFを開く</v>
      </c>
      <c r="J121" s="9" t="s">
        <v>1327</v>
      </c>
    </row>
    <row r="122" spans="1:10" ht="33.950000000000003" customHeight="1">
      <c r="A122" s="2" t="s">
        <v>1335</v>
      </c>
      <c r="B122" s="2" t="s">
        <v>73</v>
      </c>
      <c r="C122" s="8" t="s">
        <v>1336</v>
      </c>
      <c r="D122" s="8" t="s">
        <v>81</v>
      </c>
      <c r="E122" s="2">
        <v>2030</v>
      </c>
      <c r="F122" s="16">
        <v>25</v>
      </c>
      <c r="G122" s="8" t="s">
        <v>7332</v>
      </c>
      <c r="H122" s="2">
        <v>1</v>
      </c>
      <c r="I122" s="8" t="str">
        <f>HYPERLINK("https://seichotoushi-hojo.jp/assets/pdf/koufu/outline_93.pdf","PDFを開く")</f>
        <v>PDFを開く</v>
      </c>
      <c r="J122" s="8" t="s">
        <v>1342</v>
      </c>
    </row>
    <row r="123" spans="1:10" ht="33.950000000000003" customHeight="1">
      <c r="A123" s="5" t="s">
        <v>1335</v>
      </c>
      <c r="B123" s="5" t="s">
        <v>73</v>
      </c>
      <c r="C123" s="9" t="s">
        <v>1336</v>
      </c>
      <c r="D123" s="9" t="s">
        <v>81</v>
      </c>
      <c r="E123" s="5">
        <v>2035</v>
      </c>
      <c r="F123" s="17">
        <v>53</v>
      </c>
      <c r="G123" s="9" t="s">
        <v>7332</v>
      </c>
      <c r="H123" s="5">
        <v>1</v>
      </c>
      <c r="I123" s="9" t="str">
        <f>HYPERLINK("https://seichotoushi-hojo.jp/assets/pdf/koufu/outline_93.pdf","PDFを開く")</f>
        <v>PDFを開く</v>
      </c>
      <c r="J123" s="9" t="s">
        <v>1342</v>
      </c>
    </row>
    <row r="124" spans="1:10" ht="33.950000000000003" customHeight="1">
      <c r="A124" s="2" t="s">
        <v>1350</v>
      </c>
      <c r="B124" s="2" t="s">
        <v>73</v>
      </c>
      <c r="C124" s="8" t="s">
        <v>1351</v>
      </c>
      <c r="D124" s="8" t="s">
        <v>81</v>
      </c>
      <c r="E124" s="2">
        <v>2029</v>
      </c>
      <c r="F124" s="16">
        <v>755</v>
      </c>
      <c r="G124" s="8" t="s">
        <v>7332</v>
      </c>
      <c r="H124" s="2">
        <v>1</v>
      </c>
      <c r="I124" s="8" t="str">
        <f>HYPERLINK("https://seichotoushi-hojo.jp/assets/pdf/koufu/outline_95.pdf","PDFを開く")</f>
        <v>PDFを開く</v>
      </c>
      <c r="J124" s="8" t="s">
        <v>1357</v>
      </c>
    </row>
    <row r="125" spans="1:10" ht="33.950000000000003" customHeight="1">
      <c r="A125" s="5" t="s">
        <v>1358</v>
      </c>
      <c r="B125" s="5" t="s">
        <v>73</v>
      </c>
      <c r="C125" s="9" t="s">
        <v>1359</v>
      </c>
      <c r="D125" s="9" t="s">
        <v>81</v>
      </c>
      <c r="E125" s="5">
        <v>2029</v>
      </c>
      <c r="F125" s="17">
        <v>80</v>
      </c>
      <c r="G125" s="9" t="s">
        <v>7332</v>
      </c>
      <c r="H125" s="5">
        <v>1</v>
      </c>
      <c r="I125" s="9" t="str">
        <f>HYPERLINK("https://seichotoushi-hojo.jp/assets/pdf/koufu/outline_96.pdf","PDFを開く")</f>
        <v>PDFを開く</v>
      </c>
      <c r="J125" s="9" t="s">
        <v>1366</v>
      </c>
    </row>
    <row r="126" spans="1:10" ht="33.950000000000003" customHeight="1">
      <c r="A126" s="2" t="s">
        <v>1367</v>
      </c>
      <c r="B126" s="2" t="s">
        <v>73</v>
      </c>
      <c r="C126" s="8" t="s">
        <v>1368</v>
      </c>
      <c r="D126" s="8" t="s">
        <v>81</v>
      </c>
      <c r="E126" s="2">
        <v>2030</v>
      </c>
      <c r="F126" s="16">
        <v>2000</v>
      </c>
      <c r="G126" s="8" t="s">
        <v>7332</v>
      </c>
      <c r="H126" s="2">
        <v>1</v>
      </c>
      <c r="I126" s="8" t="str">
        <f>HYPERLINK("https://seichotoushi-hojo.jp/assets/pdf/koufu/outline_97.pdf","PDFを開く")</f>
        <v>PDFを開く</v>
      </c>
      <c r="J126" s="8" t="s">
        <v>1376</v>
      </c>
    </row>
    <row r="127" spans="1:10" ht="33.950000000000003" customHeight="1">
      <c r="A127" s="5" t="s">
        <v>1395</v>
      </c>
      <c r="B127" s="5" t="s">
        <v>1386</v>
      </c>
      <c r="C127" s="9" t="s">
        <v>1396</v>
      </c>
      <c r="D127" s="9" t="s">
        <v>81</v>
      </c>
      <c r="E127" s="5">
        <v>2029</v>
      </c>
      <c r="F127" s="17">
        <v>100.7</v>
      </c>
      <c r="G127" s="9" t="s">
        <v>7332</v>
      </c>
      <c r="H127" s="5">
        <v>1</v>
      </c>
      <c r="I127" s="9" t="str">
        <f>HYPERLINK("https://seichotoushi-hojo.jp/assets/pdf/koufu/outline__181.pdf","PDFを開く")</f>
        <v>PDFを開く</v>
      </c>
      <c r="J127" s="9" t="s">
        <v>1404</v>
      </c>
    </row>
    <row r="128" spans="1:10" ht="33.950000000000003" customHeight="1">
      <c r="A128" s="2" t="s">
        <v>1405</v>
      </c>
      <c r="B128" s="2" t="s">
        <v>1386</v>
      </c>
      <c r="C128" s="8" t="s">
        <v>1406</v>
      </c>
      <c r="D128" s="8" t="s">
        <v>81</v>
      </c>
      <c r="E128" s="2">
        <v>2030</v>
      </c>
      <c r="F128" s="16">
        <v>162</v>
      </c>
      <c r="G128" s="8" t="s">
        <v>7332</v>
      </c>
      <c r="H128" s="2">
        <v>1</v>
      </c>
      <c r="I128" s="8" t="str">
        <f>HYPERLINK("https://seichotoushi-hojo.jp/assets/pdf/koufu/outline__182.pdf","PDFを開く")</f>
        <v>PDFを開く</v>
      </c>
      <c r="J128" s="8" t="s">
        <v>1413</v>
      </c>
    </row>
    <row r="129" spans="1:10" ht="33.950000000000003" customHeight="1">
      <c r="A129" s="5" t="s">
        <v>1405</v>
      </c>
      <c r="B129" s="5" t="s">
        <v>1386</v>
      </c>
      <c r="C129" s="9" t="s">
        <v>1406</v>
      </c>
      <c r="D129" s="9" t="s">
        <v>81</v>
      </c>
      <c r="E129" s="5">
        <v>2030</v>
      </c>
      <c r="F129" s="17">
        <v>29</v>
      </c>
      <c r="G129" s="9" t="s">
        <v>7332</v>
      </c>
      <c r="H129" s="5">
        <v>1</v>
      </c>
      <c r="I129" s="9" t="str">
        <f>HYPERLINK("https://seichotoushi-hojo.jp/assets/pdf/koufu/outline__182.pdf","PDFを開く")</f>
        <v>PDFを開く</v>
      </c>
      <c r="J129" s="9" t="s">
        <v>1413</v>
      </c>
    </row>
    <row r="130" spans="1:10" ht="33.950000000000003" customHeight="1">
      <c r="A130" s="2" t="s">
        <v>1422</v>
      </c>
      <c r="B130" s="2" t="s">
        <v>1386</v>
      </c>
      <c r="C130" s="8" t="s">
        <v>1423</v>
      </c>
      <c r="D130" s="8" t="s">
        <v>81</v>
      </c>
      <c r="E130" s="2">
        <v>2024</v>
      </c>
      <c r="F130" s="16">
        <v>113</v>
      </c>
      <c r="G130" s="8" t="s">
        <v>7332</v>
      </c>
      <c r="H130" s="2">
        <v>1</v>
      </c>
      <c r="I130" s="8" t="str">
        <f>HYPERLINK("https://seichotoushi-hojo.jp/assets/pdf/koufu/outline__184.pdf","PDFを開く")</f>
        <v>PDFを開く</v>
      </c>
      <c r="J130" s="8" t="s">
        <v>1430</v>
      </c>
    </row>
    <row r="131" spans="1:10" ht="33.950000000000003" customHeight="1">
      <c r="A131" s="5" t="s">
        <v>1431</v>
      </c>
      <c r="B131" s="5" t="s">
        <v>1386</v>
      </c>
      <c r="C131" s="9" t="s">
        <v>1432</v>
      </c>
      <c r="D131" s="9" t="s">
        <v>81</v>
      </c>
      <c r="E131" s="5">
        <v>2026</v>
      </c>
      <c r="F131" s="17">
        <v>38</v>
      </c>
      <c r="G131" s="9" t="s">
        <v>7332</v>
      </c>
      <c r="H131" s="5">
        <v>1</v>
      </c>
      <c r="I131" s="9" t="str">
        <f>HYPERLINK("https://seichotoushi-hojo.jp/assets/pdf/koufu/outline__188.pdf","PDFを開く")</f>
        <v>PDFを開く</v>
      </c>
      <c r="J131" s="9" t="s">
        <v>1439</v>
      </c>
    </row>
    <row r="132" spans="1:10" ht="33.950000000000003" customHeight="1">
      <c r="A132" s="2" t="s">
        <v>1440</v>
      </c>
      <c r="B132" s="2" t="s">
        <v>1386</v>
      </c>
      <c r="C132" s="8" t="s">
        <v>1441</v>
      </c>
      <c r="D132" s="8" t="s">
        <v>81</v>
      </c>
      <c r="E132" s="2">
        <v>2030</v>
      </c>
      <c r="F132" s="16">
        <v>16.8</v>
      </c>
      <c r="G132" s="8" t="s">
        <v>7332</v>
      </c>
      <c r="H132" s="2">
        <v>1</v>
      </c>
      <c r="I132" s="8" t="str">
        <f>HYPERLINK("https://seichotoushi-hojo.jp/assets/pdf/koufu/outline__189.pdf","PDFを開く")</f>
        <v>PDFを開く</v>
      </c>
      <c r="J132" s="8" t="s">
        <v>1448</v>
      </c>
    </row>
    <row r="133" spans="1:10" ht="33.950000000000003" customHeight="1">
      <c r="A133" s="5" t="s">
        <v>1449</v>
      </c>
      <c r="B133" s="5" t="s">
        <v>1386</v>
      </c>
      <c r="C133" s="9" t="s">
        <v>1450</v>
      </c>
      <c r="D133" s="9" t="s">
        <v>81</v>
      </c>
      <c r="E133" s="5">
        <v>2022</v>
      </c>
      <c r="F133" s="17">
        <v>24.7</v>
      </c>
      <c r="G133" s="9" t="s">
        <v>7332</v>
      </c>
      <c r="H133" s="5">
        <v>1</v>
      </c>
      <c r="I133" s="9" t="str">
        <f>HYPERLINK("https://seichotoushi-hojo.jp/assets/pdf/koufu/outline__190.pdf","PDFを開く")</f>
        <v>PDFを開く</v>
      </c>
      <c r="J133" s="9" t="s">
        <v>1457</v>
      </c>
    </row>
    <row r="134" spans="1:10" ht="33.950000000000003" customHeight="1">
      <c r="A134" s="2" t="s">
        <v>1449</v>
      </c>
      <c r="B134" s="2" t="s">
        <v>1386</v>
      </c>
      <c r="C134" s="8" t="s">
        <v>1450</v>
      </c>
      <c r="D134" s="8" t="s">
        <v>81</v>
      </c>
      <c r="E134" s="2">
        <v>2029</v>
      </c>
      <c r="F134" s="16">
        <v>24.7</v>
      </c>
      <c r="G134" s="8" t="s">
        <v>7332</v>
      </c>
      <c r="H134" s="2">
        <v>1</v>
      </c>
      <c r="I134" s="8" t="str">
        <f>HYPERLINK("https://seichotoushi-hojo.jp/assets/pdf/koufu/outline__190.pdf","PDFを開く")</f>
        <v>PDFを開く</v>
      </c>
      <c r="J134" s="8" t="s">
        <v>1457</v>
      </c>
    </row>
    <row r="135" spans="1:10" ht="33.950000000000003" customHeight="1">
      <c r="A135" s="5" t="s">
        <v>1458</v>
      </c>
      <c r="B135" s="5" t="s">
        <v>1386</v>
      </c>
      <c r="C135" s="9" t="s">
        <v>1459</v>
      </c>
      <c r="D135" s="9" t="s">
        <v>81</v>
      </c>
      <c r="E135" s="5">
        <v>2023</v>
      </c>
      <c r="F135" s="17">
        <v>100</v>
      </c>
      <c r="G135" s="9" t="s">
        <v>7332</v>
      </c>
      <c r="H135" s="5">
        <v>1</v>
      </c>
      <c r="I135" s="9" t="str">
        <f>HYPERLINK("https://seichotoushi-hojo.jp/assets/pdf/koufu/outline__191.pdf","PDFを開く")</f>
        <v>PDFを開く</v>
      </c>
      <c r="J135" s="9" t="s">
        <v>1466</v>
      </c>
    </row>
    <row r="136" spans="1:10" ht="33.950000000000003" customHeight="1">
      <c r="A136" s="2" t="s">
        <v>1458</v>
      </c>
      <c r="B136" s="2" t="s">
        <v>1386</v>
      </c>
      <c r="C136" s="8" t="s">
        <v>1459</v>
      </c>
      <c r="D136" s="8" t="s">
        <v>81</v>
      </c>
      <c r="E136" s="2">
        <v>2029</v>
      </c>
      <c r="F136" s="16">
        <v>300</v>
      </c>
      <c r="G136" s="8" t="s">
        <v>7332</v>
      </c>
      <c r="H136" s="2">
        <v>1</v>
      </c>
      <c r="I136" s="8" t="str">
        <f>HYPERLINK("https://seichotoushi-hojo.jp/assets/pdf/koufu/outline__191.pdf","PDFを開く")</f>
        <v>PDFを開く</v>
      </c>
      <c r="J136" s="8" t="s">
        <v>1466</v>
      </c>
    </row>
    <row r="137" spans="1:10" ht="33.950000000000003" customHeight="1">
      <c r="A137" s="5" t="s">
        <v>1474</v>
      </c>
      <c r="B137" s="5" t="s">
        <v>1386</v>
      </c>
      <c r="C137" s="9" t="s">
        <v>1475</v>
      </c>
      <c r="D137" s="9" t="s">
        <v>81</v>
      </c>
      <c r="E137" s="5">
        <v>2023</v>
      </c>
      <c r="F137" s="17">
        <v>1361</v>
      </c>
      <c r="G137" s="9" t="s">
        <v>7332</v>
      </c>
      <c r="H137" s="5">
        <v>1</v>
      </c>
      <c r="I137" s="9" t="str">
        <f>HYPERLINK("https://seichotoushi-hojo.jp/assets/pdf/koufu/outline__194.pdf","PDFを開く")</f>
        <v>PDFを開く</v>
      </c>
      <c r="J137" s="9" t="s">
        <v>1482</v>
      </c>
    </row>
    <row r="138" spans="1:10" ht="33.950000000000003" customHeight="1">
      <c r="A138" s="2" t="s">
        <v>1474</v>
      </c>
      <c r="B138" s="2" t="s">
        <v>1386</v>
      </c>
      <c r="C138" s="8" t="s">
        <v>1475</v>
      </c>
      <c r="D138" s="8" t="s">
        <v>81</v>
      </c>
      <c r="E138" s="2">
        <v>2026</v>
      </c>
      <c r="F138" s="16">
        <v>1650</v>
      </c>
      <c r="G138" s="8" t="s">
        <v>7332</v>
      </c>
      <c r="H138" s="2">
        <v>1</v>
      </c>
      <c r="I138" s="8" t="str">
        <f>HYPERLINK("https://seichotoushi-hojo.jp/assets/pdf/koufu/outline__194.pdf","PDFを開く")</f>
        <v>PDFを開く</v>
      </c>
      <c r="J138" s="8" t="s">
        <v>1482</v>
      </c>
    </row>
    <row r="139" spans="1:10" ht="33.950000000000003" customHeight="1">
      <c r="A139" s="5" t="s">
        <v>1474</v>
      </c>
      <c r="B139" s="5" t="s">
        <v>1386</v>
      </c>
      <c r="C139" s="9" t="s">
        <v>1475</v>
      </c>
      <c r="D139" s="9" t="s">
        <v>81</v>
      </c>
      <c r="E139" s="5">
        <v>2030</v>
      </c>
      <c r="F139" s="17">
        <v>2200</v>
      </c>
      <c r="G139" s="9" t="s">
        <v>7332</v>
      </c>
      <c r="H139" s="5">
        <v>1</v>
      </c>
      <c r="I139" s="9" t="str">
        <f>HYPERLINK("https://seichotoushi-hojo.jp/assets/pdf/koufu/outline__194.pdf","PDFを開く")</f>
        <v>PDFを開く</v>
      </c>
      <c r="J139" s="9" t="s">
        <v>1482</v>
      </c>
    </row>
    <row r="140" spans="1:10" ht="33.950000000000003" customHeight="1">
      <c r="A140" s="2" t="s">
        <v>1483</v>
      </c>
      <c r="B140" s="2" t="s">
        <v>1386</v>
      </c>
      <c r="C140" s="8" t="s">
        <v>1484</v>
      </c>
      <c r="D140" s="8" t="s">
        <v>81</v>
      </c>
      <c r="E140" s="2">
        <v>2029</v>
      </c>
      <c r="F140" s="16">
        <v>60</v>
      </c>
      <c r="G140" s="8" t="s">
        <v>7332</v>
      </c>
      <c r="H140" s="2">
        <v>1</v>
      </c>
      <c r="I140" s="8" t="str">
        <f>HYPERLINK("https://seichotoushi-hojo.jp/assets/pdf/koufu/outline__195.pdf","PDFを開く")</f>
        <v>PDFを開く</v>
      </c>
      <c r="J140" s="8" t="s">
        <v>1490</v>
      </c>
    </row>
    <row r="141" spans="1:10" ht="33.950000000000003" customHeight="1">
      <c r="A141" s="5" t="s">
        <v>1535</v>
      </c>
      <c r="B141" s="5" t="s">
        <v>1386</v>
      </c>
      <c r="C141" s="9" t="s">
        <v>1536</v>
      </c>
      <c r="D141" s="9" t="s">
        <v>81</v>
      </c>
      <c r="E141" s="5">
        <v>2024</v>
      </c>
      <c r="F141" s="17">
        <v>120</v>
      </c>
      <c r="G141" s="9" t="s">
        <v>7332</v>
      </c>
      <c r="H141" s="5">
        <v>1</v>
      </c>
      <c r="I141" s="9" t="str">
        <f>HYPERLINK("https://seichotoushi-hojo.jp/assets/pdf/koufu/outline__202.pdf","PDFを開く")</f>
        <v>PDFを開く</v>
      </c>
      <c r="J141" s="9" t="s">
        <v>1542</v>
      </c>
    </row>
    <row r="142" spans="1:10" ht="33.950000000000003" customHeight="1">
      <c r="A142" s="2" t="s">
        <v>1535</v>
      </c>
      <c r="B142" s="2" t="s">
        <v>1386</v>
      </c>
      <c r="C142" s="8" t="s">
        <v>1536</v>
      </c>
      <c r="D142" s="8" t="s">
        <v>81</v>
      </c>
      <c r="E142" s="2">
        <v>2030</v>
      </c>
      <c r="F142" s="16">
        <v>275</v>
      </c>
      <c r="G142" s="8" t="s">
        <v>7332</v>
      </c>
      <c r="H142" s="2">
        <v>1</v>
      </c>
      <c r="I142" s="8" t="str">
        <f>HYPERLINK("https://seichotoushi-hojo.jp/assets/pdf/koufu/outline__202.pdf","PDFを開く")</f>
        <v>PDFを開く</v>
      </c>
      <c r="J142" s="8" t="s">
        <v>1542</v>
      </c>
    </row>
    <row r="143" spans="1:10" ht="33.950000000000003" customHeight="1">
      <c r="A143" s="5" t="s">
        <v>1535</v>
      </c>
      <c r="B143" s="5" t="s">
        <v>1386</v>
      </c>
      <c r="C143" s="9" t="s">
        <v>1536</v>
      </c>
      <c r="D143" s="9" t="s">
        <v>81</v>
      </c>
      <c r="E143" s="5">
        <v>2050</v>
      </c>
      <c r="F143" s="17">
        <v>1400</v>
      </c>
      <c r="G143" s="9" t="s">
        <v>7332</v>
      </c>
      <c r="H143" s="5">
        <v>1</v>
      </c>
      <c r="I143" s="9" t="str">
        <f>HYPERLINK("https://seichotoushi-hojo.jp/assets/pdf/koufu/outline__202.pdf","PDFを開く")</f>
        <v>PDFを開く</v>
      </c>
      <c r="J143" s="9" t="s">
        <v>1542</v>
      </c>
    </row>
    <row r="144" spans="1:10" ht="33.950000000000003" customHeight="1">
      <c r="A144" s="2" t="s">
        <v>1551</v>
      </c>
      <c r="B144" s="2" t="s">
        <v>1386</v>
      </c>
      <c r="C144" s="8" t="s">
        <v>1552</v>
      </c>
      <c r="D144" s="8" t="s">
        <v>81</v>
      </c>
      <c r="E144" s="2">
        <v>2025</v>
      </c>
      <c r="F144" s="16">
        <v>116</v>
      </c>
      <c r="G144" s="8" t="s">
        <v>7332</v>
      </c>
      <c r="H144" s="2">
        <v>1</v>
      </c>
      <c r="I144" s="8" t="str">
        <f>HYPERLINK("https://seichotoushi-hojo.jp/assets/pdf/koufu/outline__204.pdf","PDFを開く")</f>
        <v>PDFを開く</v>
      </c>
      <c r="J144" s="8" t="s">
        <v>1559</v>
      </c>
    </row>
    <row r="145" spans="1:10" ht="33.950000000000003" customHeight="1">
      <c r="A145" s="5" t="s">
        <v>1560</v>
      </c>
      <c r="B145" s="5" t="s">
        <v>1386</v>
      </c>
      <c r="C145" s="9" t="s">
        <v>1561</v>
      </c>
      <c r="D145" s="9" t="s">
        <v>81</v>
      </c>
      <c r="E145" s="5">
        <v>2025</v>
      </c>
      <c r="F145" s="17">
        <v>50</v>
      </c>
      <c r="G145" s="9" t="s">
        <v>7332</v>
      </c>
      <c r="H145" s="5">
        <v>1</v>
      </c>
      <c r="I145" s="9" t="str">
        <f>HYPERLINK("https://seichotoushi-hojo.jp/assets/pdf/koufu/outline__205.pdf","PDFを開く")</f>
        <v>PDFを開く</v>
      </c>
      <c r="J145" s="9" t="s">
        <v>1568</v>
      </c>
    </row>
    <row r="146" spans="1:10" ht="33.950000000000003" customHeight="1">
      <c r="A146" s="2" t="s">
        <v>1584</v>
      </c>
      <c r="B146" s="2" t="s">
        <v>1386</v>
      </c>
      <c r="C146" s="8" t="s">
        <v>1585</v>
      </c>
      <c r="D146" s="8" t="s">
        <v>81</v>
      </c>
      <c r="E146" s="2">
        <v>2030</v>
      </c>
      <c r="F146" s="16">
        <v>498</v>
      </c>
      <c r="G146" s="8" t="s">
        <v>7332</v>
      </c>
      <c r="H146" s="2">
        <v>1</v>
      </c>
      <c r="I146" s="8" t="str">
        <f>HYPERLINK("https://seichotoushi-hojo.jp/assets/pdf/koufu/outline__208.pdf","PDFを開く")</f>
        <v>PDFを開く</v>
      </c>
      <c r="J146" s="8" t="s">
        <v>1593</v>
      </c>
    </row>
    <row r="147" spans="1:10" ht="33.950000000000003" customHeight="1">
      <c r="A147" s="5" t="s">
        <v>1594</v>
      </c>
      <c r="B147" s="5" t="s">
        <v>1595</v>
      </c>
      <c r="C147" s="9" t="s">
        <v>1596</v>
      </c>
      <c r="D147" s="9" t="s">
        <v>81</v>
      </c>
      <c r="E147" s="5">
        <v>2025</v>
      </c>
      <c r="F147" s="17">
        <v>618.87</v>
      </c>
      <c r="G147" s="9" t="s">
        <v>7332</v>
      </c>
      <c r="H147" s="5">
        <v>1</v>
      </c>
      <c r="I147" s="9" t="str">
        <f>HYPERLINK("https://seichotoushi-hojo.jp/assets/pdf/koufu_3_4ji/outline_1.pdf","PDFを開く")</f>
        <v>PDFを開く</v>
      </c>
      <c r="J147" s="9" t="s">
        <v>1602</v>
      </c>
    </row>
    <row r="148" spans="1:10" ht="33.950000000000003" customHeight="1">
      <c r="A148" s="2" t="s">
        <v>1594</v>
      </c>
      <c r="B148" s="2" t="s">
        <v>1595</v>
      </c>
      <c r="C148" s="8" t="s">
        <v>1596</v>
      </c>
      <c r="D148" s="8" t="s">
        <v>81</v>
      </c>
      <c r="E148" s="2">
        <v>2031</v>
      </c>
      <c r="F148" s="16">
        <v>1000</v>
      </c>
      <c r="G148" s="8" t="s">
        <v>7332</v>
      </c>
      <c r="H148" s="2">
        <v>1</v>
      </c>
      <c r="I148" s="8" t="str">
        <f>HYPERLINK("https://seichotoushi-hojo.jp/assets/pdf/koufu_3_4ji/outline_1.pdf","PDFを開く")</f>
        <v>PDFを開く</v>
      </c>
      <c r="J148" s="8" t="s">
        <v>1602</v>
      </c>
    </row>
    <row r="149" spans="1:10" ht="33.950000000000003" customHeight="1">
      <c r="A149" s="5" t="s">
        <v>1640</v>
      </c>
      <c r="B149" s="5" t="s">
        <v>1595</v>
      </c>
      <c r="C149" s="9" t="s">
        <v>1641</v>
      </c>
      <c r="D149" s="9" t="s">
        <v>81</v>
      </c>
      <c r="E149" s="5">
        <v>2030</v>
      </c>
      <c r="F149" s="17">
        <v>1693</v>
      </c>
      <c r="G149" s="9" t="s">
        <v>7332</v>
      </c>
      <c r="H149" s="5">
        <v>1</v>
      </c>
      <c r="I149" s="9" t="str">
        <f>HYPERLINK("https://seichotoushi-hojo.jp/assets/pdf/koufu_3_4ji/outline_108.pdf","PDFを開く")</f>
        <v>PDFを開く</v>
      </c>
      <c r="J149" s="9" t="s">
        <v>1648</v>
      </c>
    </row>
    <row r="150" spans="1:10" ht="33.950000000000003" customHeight="1">
      <c r="A150" s="2" t="s">
        <v>1693</v>
      </c>
      <c r="B150" s="2" t="s">
        <v>1595</v>
      </c>
      <c r="C150" s="8" t="s">
        <v>1694</v>
      </c>
      <c r="D150" s="8" t="s">
        <v>81</v>
      </c>
      <c r="E150" s="2">
        <v>2029</v>
      </c>
      <c r="F150" s="16">
        <v>23</v>
      </c>
      <c r="G150" s="8" t="s">
        <v>7332</v>
      </c>
      <c r="H150" s="2">
        <v>1</v>
      </c>
      <c r="I150" s="8" t="str">
        <f>HYPERLINK("https://seichotoushi-hojo.jp/assets/pdf/koufu_3_4ji/outline_13.pdf","PDFを開く")</f>
        <v>PDFを開く</v>
      </c>
      <c r="J150" s="8" t="s">
        <v>1701</v>
      </c>
    </row>
    <row r="151" spans="1:10" ht="33.950000000000003" customHeight="1">
      <c r="A151" s="5" t="s">
        <v>1693</v>
      </c>
      <c r="B151" s="5" t="s">
        <v>1595</v>
      </c>
      <c r="C151" s="9" t="s">
        <v>1694</v>
      </c>
      <c r="D151" s="9" t="s">
        <v>81</v>
      </c>
      <c r="E151" s="5">
        <v>2029</v>
      </c>
      <c r="F151" s="17">
        <v>11.8</v>
      </c>
      <c r="G151" s="9" t="s">
        <v>7332</v>
      </c>
      <c r="H151" s="5">
        <v>1</v>
      </c>
      <c r="I151" s="9" t="str">
        <f>HYPERLINK("https://seichotoushi-hojo.jp/assets/pdf/koufu_3_4ji/outline_13.pdf","PDFを開く")</f>
        <v>PDFを開く</v>
      </c>
      <c r="J151" s="9" t="s">
        <v>1701</v>
      </c>
    </row>
    <row r="152" spans="1:10" ht="33.950000000000003" customHeight="1">
      <c r="A152" s="2" t="s">
        <v>1702</v>
      </c>
      <c r="B152" s="2" t="s">
        <v>1595</v>
      </c>
      <c r="C152" s="8" t="s">
        <v>1703</v>
      </c>
      <c r="D152" s="8" t="s">
        <v>81</v>
      </c>
      <c r="E152" s="2">
        <v>2031</v>
      </c>
      <c r="F152" s="16">
        <v>259</v>
      </c>
      <c r="G152" s="8" t="s">
        <v>7332</v>
      </c>
      <c r="H152" s="2">
        <v>1</v>
      </c>
      <c r="I152" s="8" t="str">
        <f>HYPERLINK("https://seichotoushi-hojo.jp/assets/pdf/koufu_3_4ji/outline_14.pdf","PDFを開く")</f>
        <v>PDFを開く</v>
      </c>
      <c r="J152" s="8" t="s">
        <v>1710</v>
      </c>
    </row>
    <row r="153" spans="1:10" ht="33.950000000000003" customHeight="1">
      <c r="A153" s="5" t="s">
        <v>1813</v>
      </c>
      <c r="B153" s="5" t="s">
        <v>1595</v>
      </c>
      <c r="C153" s="9" t="s">
        <v>1814</v>
      </c>
      <c r="D153" s="9" t="s">
        <v>81</v>
      </c>
      <c r="E153" s="5">
        <v>2030</v>
      </c>
      <c r="F153" s="17">
        <v>16.399999999999999</v>
      </c>
      <c r="G153" s="9" t="s">
        <v>7332</v>
      </c>
      <c r="H153" s="5">
        <v>1</v>
      </c>
      <c r="I153" s="9" t="str">
        <f>HYPERLINK("https://seichotoushi-hojo.jp/assets/pdf/koufu_3_4ji/outline_205.pdf","PDFを開く")</f>
        <v>PDFを開く</v>
      </c>
      <c r="J153" s="9" t="s">
        <v>1820</v>
      </c>
    </row>
    <row r="154" spans="1:10" ht="33.950000000000003" customHeight="1">
      <c r="A154" s="2" t="s">
        <v>1821</v>
      </c>
      <c r="B154" s="2" t="s">
        <v>1595</v>
      </c>
      <c r="C154" s="8" t="s">
        <v>1822</v>
      </c>
      <c r="D154" s="8" t="s">
        <v>81</v>
      </c>
      <c r="E154" s="2">
        <v>2031</v>
      </c>
      <c r="F154" s="16">
        <v>9380</v>
      </c>
      <c r="G154" s="8" t="s">
        <v>7332</v>
      </c>
      <c r="H154" s="2">
        <v>1</v>
      </c>
      <c r="I154" s="8" t="str">
        <f>HYPERLINK("https://seichotoushi-hojo.jp/assets/pdf/koufu_3_4ji/outline_209.pdf","PDFを開く")</f>
        <v>PDFを開く</v>
      </c>
      <c r="J154" s="8" t="s">
        <v>1829</v>
      </c>
    </row>
    <row r="155" spans="1:10" ht="33.950000000000003" customHeight="1">
      <c r="A155" s="5" t="s">
        <v>1821</v>
      </c>
      <c r="B155" s="5" t="s">
        <v>1595</v>
      </c>
      <c r="C155" s="9" t="s">
        <v>1822</v>
      </c>
      <c r="D155" s="9" t="s">
        <v>81</v>
      </c>
      <c r="E155" s="5">
        <v>2031</v>
      </c>
      <c r="F155" s="17">
        <v>56</v>
      </c>
      <c r="G155" s="9" t="s">
        <v>7332</v>
      </c>
      <c r="H155" s="5">
        <v>1</v>
      </c>
      <c r="I155" s="9" t="str">
        <f>HYPERLINK("https://seichotoushi-hojo.jp/assets/pdf/koufu_3_4ji/outline_209.pdf","PDFを開く")</f>
        <v>PDFを開く</v>
      </c>
      <c r="J155" s="9" t="s">
        <v>1829</v>
      </c>
    </row>
    <row r="156" spans="1:10" ht="33.950000000000003" customHeight="1">
      <c r="A156" s="2" t="s">
        <v>1843</v>
      </c>
      <c r="B156" s="2" t="s">
        <v>1595</v>
      </c>
      <c r="C156" s="8" t="s">
        <v>1844</v>
      </c>
      <c r="D156" s="8" t="s">
        <v>81</v>
      </c>
      <c r="E156" s="2">
        <v>2030</v>
      </c>
      <c r="F156" s="16">
        <v>125</v>
      </c>
      <c r="G156" s="8" t="s">
        <v>7332</v>
      </c>
      <c r="H156" s="2">
        <v>1</v>
      </c>
      <c r="I156" s="8" t="str">
        <f>HYPERLINK("https://seichotoushi-hojo.jp/assets/pdf/koufu_3_4ji/outline_214.pdf","PDFを開く")</f>
        <v>PDFを開く</v>
      </c>
      <c r="J156" s="8" t="s">
        <v>1851</v>
      </c>
    </row>
    <row r="157" spans="1:10" ht="33.950000000000003" customHeight="1">
      <c r="A157" s="5" t="s">
        <v>1843</v>
      </c>
      <c r="B157" s="5" t="s">
        <v>1595</v>
      </c>
      <c r="C157" s="9" t="s">
        <v>1844</v>
      </c>
      <c r="D157" s="9" t="s">
        <v>81</v>
      </c>
      <c r="E157" s="5">
        <v>2027</v>
      </c>
      <c r="F157" s="17">
        <v>66</v>
      </c>
      <c r="G157" s="9" t="s">
        <v>7332</v>
      </c>
      <c r="H157" s="5">
        <v>1</v>
      </c>
      <c r="I157" s="9" t="str">
        <f>HYPERLINK("https://seichotoushi-hojo.jp/assets/pdf/koufu_3_4ji/outline_214.pdf","PDFを開く")</f>
        <v>PDFを開く</v>
      </c>
      <c r="J157" s="9" t="s">
        <v>1851</v>
      </c>
    </row>
    <row r="158" spans="1:10" ht="33.950000000000003" customHeight="1">
      <c r="A158" s="2" t="s">
        <v>1904</v>
      </c>
      <c r="B158" s="2" t="s">
        <v>1595</v>
      </c>
      <c r="C158" s="8" t="s">
        <v>1905</v>
      </c>
      <c r="D158" s="8" t="s">
        <v>81</v>
      </c>
      <c r="E158" s="2">
        <v>2035</v>
      </c>
      <c r="F158" s="16">
        <v>200</v>
      </c>
      <c r="G158" s="8" t="s">
        <v>7332</v>
      </c>
      <c r="H158" s="2">
        <v>1</v>
      </c>
      <c r="I158" s="8" t="str">
        <f>HYPERLINK("https://seichotoushi-hojo.jp/assets/pdf/koufu_3_4ji/outline_24.pdf","PDFを開く")</f>
        <v>PDFを開く</v>
      </c>
      <c r="J158" s="8" t="s">
        <v>1911</v>
      </c>
    </row>
    <row r="159" spans="1:10" ht="33.950000000000003" customHeight="1">
      <c r="A159" s="5" t="s">
        <v>1918</v>
      </c>
      <c r="B159" s="5" t="s">
        <v>1595</v>
      </c>
      <c r="C159" s="9" t="s">
        <v>1919</v>
      </c>
      <c r="D159" s="9" t="s">
        <v>81</v>
      </c>
      <c r="E159" s="5">
        <v>2030</v>
      </c>
      <c r="F159" s="17">
        <v>112</v>
      </c>
      <c r="G159" s="9" t="s">
        <v>7332</v>
      </c>
      <c r="H159" s="5">
        <v>1</v>
      </c>
      <c r="I159" s="9" t="str">
        <f>HYPERLINK("https://seichotoushi-hojo.jp/assets/pdf/koufu_3_4ji/outline_26.pdf","PDFを開く")</f>
        <v>PDFを開く</v>
      </c>
      <c r="J159" s="9" t="s">
        <v>1926</v>
      </c>
    </row>
    <row r="160" spans="1:10" ht="33.950000000000003" customHeight="1">
      <c r="A160" s="2" t="s">
        <v>1918</v>
      </c>
      <c r="B160" s="2" t="s">
        <v>1595</v>
      </c>
      <c r="C160" s="8" t="s">
        <v>1919</v>
      </c>
      <c r="D160" s="8" t="s">
        <v>81</v>
      </c>
      <c r="E160" s="2">
        <v>2030</v>
      </c>
      <c r="F160" s="16">
        <v>50.6</v>
      </c>
      <c r="G160" s="8" t="s">
        <v>7332</v>
      </c>
      <c r="H160" s="2">
        <v>1</v>
      </c>
      <c r="I160" s="8" t="str">
        <f>HYPERLINK("https://seichotoushi-hojo.jp/assets/pdf/koufu_3_4ji/outline_26.pdf","PDFを開く")</f>
        <v>PDFを開く</v>
      </c>
      <c r="J160" s="8" t="s">
        <v>1926</v>
      </c>
    </row>
    <row r="161" spans="1:10" ht="33.950000000000003" customHeight="1">
      <c r="A161" s="5" t="s">
        <v>1975</v>
      </c>
      <c r="B161" s="5" t="s">
        <v>1595</v>
      </c>
      <c r="C161" s="9" t="s">
        <v>1976</v>
      </c>
      <c r="D161" s="9" t="s">
        <v>81</v>
      </c>
      <c r="E161" s="5">
        <v>2024</v>
      </c>
      <c r="F161" s="17">
        <v>118.9</v>
      </c>
      <c r="G161" s="9" t="s">
        <v>7332</v>
      </c>
      <c r="H161" s="5">
        <v>1</v>
      </c>
      <c r="I161" s="9" t="str">
        <f>HYPERLINK("https://seichotoushi-hojo.jp/assets/pdf/koufu_3_4ji/outline_34.pdf","PDFを開く")</f>
        <v>PDFを開く</v>
      </c>
      <c r="J161" s="9" t="s">
        <v>1982</v>
      </c>
    </row>
    <row r="162" spans="1:10" ht="33.950000000000003" customHeight="1">
      <c r="A162" s="2" t="s">
        <v>1975</v>
      </c>
      <c r="B162" s="2" t="s">
        <v>1595</v>
      </c>
      <c r="C162" s="8" t="s">
        <v>1976</v>
      </c>
      <c r="D162" s="8" t="s">
        <v>81</v>
      </c>
      <c r="E162" s="2">
        <v>2030</v>
      </c>
      <c r="F162" s="16">
        <v>231.1</v>
      </c>
      <c r="G162" s="8" t="s">
        <v>7332</v>
      </c>
      <c r="H162" s="2">
        <v>1</v>
      </c>
      <c r="I162" s="8" t="str">
        <f>HYPERLINK("https://seichotoushi-hojo.jp/assets/pdf/koufu_3_4ji/outline_34.pdf","PDFを開く")</f>
        <v>PDFを開く</v>
      </c>
      <c r="J162" s="8" t="s">
        <v>1982</v>
      </c>
    </row>
    <row r="163" spans="1:10" ht="33.950000000000003" customHeight="1">
      <c r="A163" s="5" t="s">
        <v>1992</v>
      </c>
      <c r="B163" s="5" t="s">
        <v>1595</v>
      </c>
      <c r="C163" s="9" t="s">
        <v>1993</v>
      </c>
      <c r="D163" s="9" t="s">
        <v>1996</v>
      </c>
      <c r="E163" s="5">
        <v>2030</v>
      </c>
      <c r="F163" s="17">
        <v>100</v>
      </c>
      <c r="G163" s="9" t="s">
        <v>7332</v>
      </c>
      <c r="H163" s="5">
        <v>1</v>
      </c>
      <c r="I163" s="9" t="str">
        <f>HYPERLINK("https://seichotoushi-hojo.jp/assets/pdf/koufu_3_4ji/outline_37.pdf","PDFを開く")</f>
        <v>PDFを開く</v>
      </c>
      <c r="J163" s="9" t="s">
        <v>2000</v>
      </c>
    </row>
    <row r="164" spans="1:10" ht="33.950000000000003" customHeight="1">
      <c r="A164" s="2" t="s">
        <v>2001</v>
      </c>
      <c r="B164" s="2" t="s">
        <v>1595</v>
      </c>
      <c r="C164" s="8" t="s">
        <v>2002</v>
      </c>
      <c r="D164" s="8" t="s">
        <v>81</v>
      </c>
      <c r="E164" s="2">
        <v>2031</v>
      </c>
      <c r="F164" s="16">
        <v>453</v>
      </c>
      <c r="G164" s="8" t="s">
        <v>7332</v>
      </c>
      <c r="H164" s="2">
        <v>1</v>
      </c>
      <c r="I164" s="8" t="str">
        <f>HYPERLINK("https://seichotoushi-hojo.jp/assets/pdf/koufu_3_4ji/outline_39.pdf","PDFを開く")</f>
        <v>PDFを開く</v>
      </c>
      <c r="J164" s="8" t="s">
        <v>2009</v>
      </c>
    </row>
    <row r="165" spans="1:10" ht="33.950000000000003" customHeight="1">
      <c r="A165" s="5" t="s">
        <v>2018</v>
      </c>
      <c r="B165" s="5" t="s">
        <v>1595</v>
      </c>
      <c r="C165" s="9" t="s">
        <v>2019</v>
      </c>
      <c r="D165" s="9" t="s">
        <v>81</v>
      </c>
      <c r="E165" s="5">
        <v>2035</v>
      </c>
      <c r="F165" s="17">
        <v>500</v>
      </c>
      <c r="G165" s="9" t="s">
        <v>7332</v>
      </c>
      <c r="H165" s="5">
        <v>1</v>
      </c>
      <c r="I165" s="9" t="str">
        <f>HYPERLINK("https://seichotoushi-hojo.jp/assets/pdf/koufu_3_4ji/outline_41.pdf","PDFを開く")</f>
        <v>PDFを開く</v>
      </c>
      <c r="J165" s="9" t="s">
        <v>2025</v>
      </c>
    </row>
    <row r="166" spans="1:10" ht="33.950000000000003" customHeight="1">
      <c r="A166" s="2" t="s">
        <v>2034</v>
      </c>
      <c r="B166" s="2" t="s">
        <v>1595</v>
      </c>
      <c r="C166" s="8" t="s">
        <v>2035</v>
      </c>
      <c r="D166" s="8" t="s">
        <v>81</v>
      </c>
      <c r="E166" s="2">
        <v>2030</v>
      </c>
      <c r="F166" s="16">
        <v>156</v>
      </c>
      <c r="G166" s="8" t="s">
        <v>7332</v>
      </c>
      <c r="H166" s="2">
        <v>4</v>
      </c>
      <c r="I166" s="8" t="str">
        <f>HYPERLINK("https://seichotoushi-hojo.jp/assets/pdf/koufu_3_4ji/outline_43.pdf","PDFを開く")</f>
        <v>PDFを開く</v>
      </c>
      <c r="J166" s="8" t="s">
        <v>2042</v>
      </c>
    </row>
    <row r="167" spans="1:10" ht="33.950000000000003" customHeight="1">
      <c r="A167" s="5" t="s">
        <v>2058</v>
      </c>
      <c r="B167" s="5" t="s">
        <v>1595</v>
      </c>
      <c r="C167" s="9" t="s">
        <v>2059</v>
      </c>
      <c r="D167" s="9" t="s">
        <v>81</v>
      </c>
      <c r="E167" s="5">
        <v>2030</v>
      </c>
      <c r="F167" s="17">
        <v>267</v>
      </c>
      <c r="G167" s="9" t="s">
        <v>7332</v>
      </c>
      <c r="H167" s="5">
        <v>1</v>
      </c>
      <c r="I167" s="9" t="str">
        <f>HYPERLINK("https://seichotoushi-hojo.jp/assets/pdf/koufu_3_4ji/outline_46.pdf","PDFを開く")</f>
        <v>PDFを開く</v>
      </c>
      <c r="J167" s="9" t="s">
        <v>2065</v>
      </c>
    </row>
    <row r="168" spans="1:10" ht="33.950000000000003" customHeight="1">
      <c r="A168" s="2" t="s">
        <v>2090</v>
      </c>
      <c r="B168" s="2" t="s">
        <v>1595</v>
      </c>
      <c r="C168" s="8" t="s">
        <v>2091</v>
      </c>
      <c r="D168" s="8" t="s">
        <v>81</v>
      </c>
      <c r="E168" s="2">
        <v>2029</v>
      </c>
      <c r="F168" s="16">
        <v>28.6</v>
      </c>
      <c r="G168" s="8" t="s">
        <v>7332</v>
      </c>
      <c r="H168" s="2">
        <v>1</v>
      </c>
      <c r="I168" s="8" t="str">
        <f>HYPERLINK("https://seichotoushi-hojo.jp/assets/pdf/koufu_3_4ji/outline_5.pdf","PDFを開く")</f>
        <v>PDFを開く</v>
      </c>
      <c r="J168" s="8" t="s">
        <v>2097</v>
      </c>
    </row>
    <row r="169" spans="1:10" ht="33.950000000000003" customHeight="1">
      <c r="A169" s="5" t="s">
        <v>2114</v>
      </c>
      <c r="B169" s="5" t="s">
        <v>1595</v>
      </c>
      <c r="C169" s="9" t="s">
        <v>2115</v>
      </c>
      <c r="D169" s="9" t="s">
        <v>81</v>
      </c>
      <c r="E169" s="5">
        <v>2024</v>
      </c>
      <c r="F169" s="17">
        <v>473.15</v>
      </c>
      <c r="G169" s="9" t="s">
        <v>7332</v>
      </c>
      <c r="H169" s="5">
        <v>1</v>
      </c>
      <c r="I169" s="9" t="str">
        <f>HYPERLINK("https://seichotoushi-hojo.jp/assets/pdf/koufu_3_4ji/outline_58.pdf","PDFを開く")</f>
        <v>PDFを開く</v>
      </c>
      <c r="J169" s="9" t="s">
        <v>2122</v>
      </c>
    </row>
    <row r="170" spans="1:10" ht="33.950000000000003" customHeight="1">
      <c r="A170" s="2" t="s">
        <v>2114</v>
      </c>
      <c r="B170" s="2" t="s">
        <v>1595</v>
      </c>
      <c r="C170" s="8" t="s">
        <v>2115</v>
      </c>
      <c r="D170" s="8" t="s">
        <v>81</v>
      </c>
      <c r="E170" s="2">
        <v>2030</v>
      </c>
      <c r="F170" s="16">
        <v>730</v>
      </c>
      <c r="G170" s="8" t="s">
        <v>7332</v>
      </c>
      <c r="H170" s="2">
        <v>1</v>
      </c>
      <c r="I170" s="8" t="str">
        <f>HYPERLINK("https://seichotoushi-hojo.jp/assets/pdf/koufu_3_4ji/outline_58.pdf","PDFを開く")</f>
        <v>PDFを開く</v>
      </c>
      <c r="J170" s="8" t="s">
        <v>2122</v>
      </c>
    </row>
    <row r="171" spans="1:10" ht="33.950000000000003" customHeight="1">
      <c r="A171" s="5" t="s">
        <v>2152</v>
      </c>
      <c r="B171" s="5" t="s">
        <v>1595</v>
      </c>
      <c r="C171" s="9" t="s">
        <v>2153</v>
      </c>
      <c r="D171" s="9" t="s">
        <v>81</v>
      </c>
      <c r="E171" s="5">
        <v>2030</v>
      </c>
      <c r="F171" s="17">
        <v>300</v>
      </c>
      <c r="G171" s="9" t="s">
        <v>7332</v>
      </c>
      <c r="H171" s="5">
        <v>1</v>
      </c>
      <c r="I171" s="9" t="str">
        <f>HYPERLINK("https://seichotoushi-hojo.jp/assets/pdf/koufu_3_4ji/outline_63.pdf","PDFを開く")</f>
        <v>PDFを開く</v>
      </c>
      <c r="J171" s="9" t="s">
        <v>2161</v>
      </c>
    </row>
    <row r="172" spans="1:10" ht="33.950000000000003" customHeight="1">
      <c r="A172" s="2" t="s">
        <v>2152</v>
      </c>
      <c r="B172" s="2" t="s">
        <v>1595</v>
      </c>
      <c r="C172" s="8" t="s">
        <v>2153</v>
      </c>
      <c r="D172" s="8" t="s">
        <v>81</v>
      </c>
      <c r="E172" s="2">
        <v>2030</v>
      </c>
      <c r="F172" s="16">
        <v>300</v>
      </c>
      <c r="G172" s="8" t="s">
        <v>7332</v>
      </c>
      <c r="H172" s="2">
        <v>1</v>
      </c>
      <c r="I172" s="8" t="str">
        <f>HYPERLINK("https://seichotoushi-hojo.jp/assets/pdf/koufu_3_4ji/outline_63.pdf","PDFを開く")</f>
        <v>PDFを開く</v>
      </c>
      <c r="J172" s="8" t="s">
        <v>2161</v>
      </c>
    </row>
    <row r="173" spans="1:10" ht="33.950000000000003" customHeight="1">
      <c r="A173" s="5" t="s">
        <v>2168</v>
      </c>
      <c r="B173" s="5" t="s">
        <v>1595</v>
      </c>
      <c r="C173" s="9" t="s">
        <v>2169</v>
      </c>
      <c r="D173" s="9" t="s">
        <v>81</v>
      </c>
      <c r="E173" s="5">
        <v>2023</v>
      </c>
      <c r="F173" s="17">
        <v>250</v>
      </c>
      <c r="G173" s="9" t="s">
        <v>7332</v>
      </c>
      <c r="H173" s="5">
        <v>1</v>
      </c>
      <c r="I173" s="9" t="str">
        <f>HYPERLINK("https://seichotoushi-hojo.jp/assets/pdf/koufu_3_4ji/outline_66.pdf","PDFを開く")</f>
        <v>PDFを開く</v>
      </c>
      <c r="J173" s="9" t="s">
        <v>2176</v>
      </c>
    </row>
    <row r="174" spans="1:10" ht="33.950000000000003" customHeight="1">
      <c r="A174" s="2" t="s">
        <v>2168</v>
      </c>
      <c r="B174" s="2" t="s">
        <v>1595</v>
      </c>
      <c r="C174" s="8" t="s">
        <v>2169</v>
      </c>
      <c r="D174" s="8" t="s">
        <v>81</v>
      </c>
      <c r="E174" s="2">
        <v>2027</v>
      </c>
      <c r="F174" s="16">
        <v>283</v>
      </c>
      <c r="G174" s="8" t="s">
        <v>7332</v>
      </c>
      <c r="H174" s="2">
        <v>1</v>
      </c>
      <c r="I174" s="8" t="str">
        <f>HYPERLINK("https://seichotoushi-hojo.jp/assets/pdf/koufu_3_4ji/outline_66.pdf","PDFを開く")</f>
        <v>PDFを開く</v>
      </c>
      <c r="J174" s="8" t="s">
        <v>2176</v>
      </c>
    </row>
    <row r="175" spans="1:10" ht="33.950000000000003" customHeight="1">
      <c r="A175" s="5" t="s">
        <v>2168</v>
      </c>
      <c r="B175" s="5" t="s">
        <v>1595</v>
      </c>
      <c r="C175" s="9" t="s">
        <v>2169</v>
      </c>
      <c r="D175" s="9" t="s">
        <v>81</v>
      </c>
      <c r="E175" s="5">
        <v>2030</v>
      </c>
      <c r="F175" s="17">
        <v>371</v>
      </c>
      <c r="G175" s="9" t="s">
        <v>7332</v>
      </c>
      <c r="H175" s="5">
        <v>1</v>
      </c>
      <c r="I175" s="9" t="str">
        <f>HYPERLINK("https://seichotoushi-hojo.jp/assets/pdf/koufu_3_4ji/outline_66.pdf","PDFを開く")</f>
        <v>PDFを開く</v>
      </c>
      <c r="J175" s="9" t="s">
        <v>2176</v>
      </c>
    </row>
    <row r="176" spans="1:10" ht="33.950000000000003" customHeight="1">
      <c r="A176" s="2" t="s">
        <v>2228</v>
      </c>
      <c r="B176" s="2" t="s">
        <v>1595</v>
      </c>
      <c r="C176" s="8" t="s">
        <v>2229</v>
      </c>
      <c r="D176" s="8" t="s">
        <v>81</v>
      </c>
      <c r="E176" s="2">
        <v>2031</v>
      </c>
      <c r="F176" s="16">
        <v>509</v>
      </c>
      <c r="G176" s="8" t="s">
        <v>7332</v>
      </c>
      <c r="H176" s="2">
        <v>2</v>
      </c>
      <c r="I176" s="8" t="str">
        <f>HYPERLINK("https://seichotoushi-hojo.jp/assets/pdf/koufu_3_4ji/outline_74.pdf","PDFを開く")</f>
        <v>PDFを開く</v>
      </c>
      <c r="J176" s="8" t="s">
        <v>2236</v>
      </c>
    </row>
    <row r="177" spans="1:10" ht="33.950000000000003" customHeight="1">
      <c r="A177" s="5" t="s">
        <v>2228</v>
      </c>
      <c r="B177" s="5" t="s">
        <v>1595</v>
      </c>
      <c r="C177" s="9" t="s">
        <v>2229</v>
      </c>
      <c r="D177" s="9" t="s">
        <v>81</v>
      </c>
      <c r="E177" s="5">
        <v>2027</v>
      </c>
      <c r="F177" s="17">
        <v>197</v>
      </c>
      <c r="G177" s="9" t="s">
        <v>7332</v>
      </c>
      <c r="H177" s="5">
        <v>2</v>
      </c>
      <c r="I177" s="9" t="str">
        <f>HYPERLINK("https://seichotoushi-hojo.jp/assets/pdf/koufu_3_4ji/outline_74.pdf","PDFを開く")</f>
        <v>PDFを開く</v>
      </c>
      <c r="J177" s="9" t="s">
        <v>2236</v>
      </c>
    </row>
    <row r="178" spans="1:10" ht="33.950000000000003" customHeight="1">
      <c r="A178" s="2" t="s">
        <v>2237</v>
      </c>
      <c r="B178" s="2" t="s">
        <v>1595</v>
      </c>
      <c r="C178" s="8" t="s">
        <v>2238</v>
      </c>
      <c r="D178" s="8" t="s">
        <v>81</v>
      </c>
      <c r="E178" s="2">
        <v>2024</v>
      </c>
      <c r="F178" s="16">
        <v>203</v>
      </c>
      <c r="G178" s="8" t="s">
        <v>7333</v>
      </c>
      <c r="H178" s="2">
        <v>1</v>
      </c>
      <c r="I178" s="8" t="str">
        <f>HYPERLINK("https://seichotoushi-hojo.jp/assets/pdf/koufu_3_4ji/outline_77.pdf","PDFを開く")</f>
        <v>PDFを開く</v>
      </c>
      <c r="J178" s="8" t="s">
        <v>2244</v>
      </c>
    </row>
    <row r="179" spans="1:10" ht="33.950000000000003" customHeight="1">
      <c r="A179" s="5" t="s">
        <v>2237</v>
      </c>
      <c r="B179" s="5" t="s">
        <v>1595</v>
      </c>
      <c r="C179" s="9" t="s">
        <v>2238</v>
      </c>
      <c r="D179" s="9" t="s">
        <v>81</v>
      </c>
      <c r="E179" s="5">
        <v>2030</v>
      </c>
      <c r="F179" s="17">
        <v>475.3</v>
      </c>
      <c r="G179" s="9" t="s">
        <v>7332</v>
      </c>
      <c r="H179" s="5">
        <v>1</v>
      </c>
      <c r="I179" s="9" t="str">
        <f>HYPERLINK("https://seichotoushi-hojo.jp/assets/pdf/koufu_3_4ji/outline_77.pdf","PDFを開く")</f>
        <v>PDFを開く</v>
      </c>
      <c r="J179" s="9" t="s">
        <v>2244</v>
      </c>
    </row>
    <row r="180" spans="1:10" ht="33.950000000000003" customHeight="1">
      <c r="A180" s="2" t="s">
        <v>2266</v>
      </c>
      <c r="B180" s="2" t="s">
        <v>1595</v>
      </c>
      <c r="C180" s="8" t="s">
        <v>2267</v>
      </c>
      <c r="D180" s="8" t="s">
        <v>81</v>
      </c>
      <c r="E180" s="2">
        <v>2034</v>
      </c>
      <c r="F180" s="16">
        <v>500</v>
      </c>
      <c r="G180" s="8" t="s">
        <v>7332</v>
      </c>
      <c r="H180" s="2">
        <v>1</v>
      </c>
      <c r="I180" s="8" t="str">
        <f>HYPERLINK("https://seichotoushi-hojo.jp/assets/pdf/koufu_3_4ji/outline_80.pdf","PDFを開く")</f>
        <v>PDFを開く</v>
      </c>
      <c r="J180" s="8" t="s">
        <v>2273</v>
      </c>
    </row>
    <row r="181" spans="1:10" ht="33.950000000000003" customHeight="1">
      <c r="A181" s="5" t="s">
        <v>2274</v>
      </c>
      <c r="B181" s="5" t="s">
        <v>1595</v>
      </c>
      <c r="C181" s="9" t="s">
        <v>2275</v>
      </c>
      <c r="D181" s="9" t="s">
        <v>81</v>
      </c>
      <c r="E181" s="5">
        <v>2036</v>
      </c>
      <c r="F181" s="17">
        <v>215</v>
      </c>
      <c r="G181" s="9" t="s">
        <v>7332</v>
      </c>
      <c r="H181" s="5">
        <v>1</v>
      </c>
      <c r="I181" s="9" t="str">
        <f>HYPERLINK("https://seichotoushi-hojo.jp/assets/pdf/koufu_3_4ji/outline_81.pdf","PDFを開く")</f>
        <v>PDFを開く</v>
      </c>
      <c r="J181" s="9" t="s">
        <v>2282</v>
      </c>
    </row>
    <row r="182" spans="1:10" ht="33.950000000000003" customHeight="1">
      <c r="A182" s="2" t="s">
        <v>2283</v>
      </c>
      <c r="B182" s="2" t="s">
        <v>1595</v>
      </c>
      <c r="C182" s="8" t="s">
        <v>2284</v>
      </c>
      <c r="D182" s="8" t="s">
        <v>81</v>
      </c>
      <c r="E182" s="2">
        <v>2030</v>
      </c>
      <c r="F182" s="16">
        <v>119</v>
      </c>
      <c r="G182" s="8" t="s">
        <v>7332</v>
      </c>
      <c r="H182" s="2">
        <v>1</v>
      </c>
      <c r="I182" s="8" t="str">
        <f>HYPERLINK("https://seichotoushi-hojo.jp/assets/pdf/koufu_3_4ji/outline_82.pdf","PDFを開く")</f>
        <v>PDFを開く</v>
      </c>
      <c r="J182" s="8" t="s">
        <v>2290</v>
      </c>
    </row>
    <row r="183" spans="1:10" ht="33.950000000000003" customHeight="1">
      <c r="A183" s="5" t="s">
        <v>2283</v>
      </c>
      <c r="B183" s="5" t="s">
        <v>1595</v>
      </c>
      <c r="C183" s="9" t="s">
        <v>2284</v>
      </c>
      <c r="D183" s="9" t="s">
        <v>81</v>
      </c>
      <c r="E183" s="5">
        <v>2030</v>
      </c>
      <c r="F183" s="17">
        <v>119</v>
      </c>
      <c r="G183" s="9" t="s">
        <v>7332</v>
      </c>
      <c r="H183" s="5">
        <v>1</v>
      </c>
      <c r="I183" s="9" t="str">
        <f>HYPERLINK("https://seichotoushi-hojo.jp/assets/pdf/koufu_3_4ji/outline_82.pdf","PDFを開く")</f>
        <v>PDFを開く</v>
      </c>
      <c r="J183" s="9" t="s">
        <v>2290</v>
      </c>
    </row>
    <row r="184" spans="1:10" ht="33.950000000000003" customHeight="1">
      <c r="A184" s="2" t="s">
        <v>2298</v>
      </c>
      <c r="B184" s="2" t="s">
        <v>1595</v>
      </c>
      <c r="C184" s="8" t="s">
        <v>2299</v>
      </c>
      <c r="D184" s="8" t="s">
        <v>81</v>
      </c>
      <c r="E184" s="2">
        <v>2024</v>
      </c>
      <c r="F184" s="16">
        <v>882</v>
      </c>
      <c r="G184" s="8" t="s">
        <v>7332</v>
      </c>
      <c r="H184" s="2">
        <v>1</v>
      </c>
      <c r="I184" s="8" t="str">
        <f>HYPERLINK("https://seichotoushi-hojo.jp/assets/pdf/koufu_3_4ji/outline_84.pdf","PDFを開く")</f>
        <v>PDFを開く</v>
      </c>
      <c r="J184" s="8" t="s">
        <v>2304</v>
      </c>
    </row>
    <row r="185" spans="1:10" ht="33.950000000000003" customHeight="1">
      <c r="A185" s="5" t="s">
        <v>2298</v>
      </c>
      <c r="B185" s="5" t="s">
        <v>1595</v>
      </c>
      <c r="C185" s="9" t="s">
        <v>2299</v>
      </c>
      <c r="D185" s="9" t="s">
        <v>81</v>
      </c>
      <c r="E185" s="5">
        <v>2028</v>
      </c>
      <c r="F185" s="17">
        <v>1562</v>
      </c>
      <c r="G185" s="9" t="s">
        <v>7332</v>
      </c>
      <c r="H185" s="5">
        <v>1</v>
      </c>
      <c r="I185" s="9" t="str">
        <f>HYPERLINK("https://seichotoushi-hojo.jp/assets/pdf/koufu_3_4ji/outline_84.pdf","PDFを開く")</f>
        <v>PDFを開く</v>
      </c>
      <c r="J185" s="9" t="s">
        <v>2304</v>
      </c>
    </row>
    <row r="186" spans="1:10" ht="33.950000000000003" customHeight="1">
      <c r="A186" s="2" t="s">
        <v>2298</v>
      </c>
      <c r="B186" s="2" t="s">
        <v>1595</v>
      </c>
      <c r="C186" s="8" t="s">
        <v>2299</v>
      </c>
      <c r="D186" s="8" t="s">
        <v>81</v>
      </c>
      <c r="E186" s="2">
        <v>2031</v>
      </c>
      <c r="F186" s="16">
        <v>2441</v>
      </c>
      <c r="G186" s="8" t="s">
        <v>7332</v>
      </c>
      <c r="H186" s="2">
        <v>1</v>
      </c>
      <c r="I186" s="8" t="str">
        <f>HYPERLINK("https://seichotoushi-hojo.jp/assets/pdf/koufu_3_4ji/outline_84.pdf","PDFを開く")</f>
        <v>PDFを開く</v>
      </c>
      <c r="J186" s="8" t="s">
        <v>2304</v>
      </c>
    </row>
    <row r="187" spans="1:10" ht="33.950000000000003" customHeight="1">
      <c r="A187" s="5" t="s">
        <v>2305</v>
      </c>
      <c r="B187" s="5" t="s">
        <v>1595</v>
      </c>
      <c r="C187" s="9" t="s">
        <v>2306</v>
      </c>
      <c r="D187" s="9" t="s">
        <v>81</v>
      </c>
      <c r="E187" s="5">
        <v>2034</v>
      </c>
      <c r="F187" s="17">
        <v>100</v>
      </c>
      <c r="G187" s="9" t="s">
        <v>7332</v>
      </c>
      <c r="H187" s="5">
        <v>1</v>
      </c>
      <c r="I187" s="9" t="str">
        <f>HYPERLINK("https://seichotoushi-hojo.jp/assets/pdf/koufu_3_4ji/outline_85.pdf","PDFを開く")</f>
        <v>PDFを開く</v>
      </c>
      <c r="J187" s="9" t="s">
        <v>2312</v>
      </c>
    </row>
    <row r="188" spans="1:10" ht="33.950000000000003" customHeight="1">
      <c r="A188" s="2" t="s">
        <v>2320</v>
      </c>
      <c r="B188" s="2" t="s">
        <v>1595</v>
      </c>
      <c r="C188" s="8" t="s">
        <v>2321</v>
      </c>
      <c r="D188" s="8" t="s">
        <v>81</v>
      </c>
      <c r="E188" s="2">
        <v>2030</v>
      </c>
      <c r="F188" s="16">
        <v>200</v>
      </c>
      <c r="G188" s="8" t="s">
        <v>7332</v>
      </c>
      <c r="H188" s="2">
        <v>1</v>
      </c>
      <c r="I188" s="8" t="str">
        <f>HYPERLINK("https://seichotoushi-hojo.jp/assets/pdf/koufu_3_4ji/outline_87.pdf","PDFを開く")</f>
        <v>PDFを開く</v>
      </c>
      <c r="J188" s="8" t="s">
        <v>2327</v>
      </c>
    </row>
    <row r="189" spans="1:10" ht="33.950000000000003" customHeight="1">
      <c r="A189" s="5" t="s">
        <v>2328</v>
      </c>
      <c r="B189" s="5" t="s">
        <v>1595</v>
      </c>
      <c r="C189" s="9" t="s">
        <v>2329</v>
      </c>
      <c r="D189" s="9" t="s">
        <v>81</v>
      </c>
      <c r="E189" s="5">
        <v>2031</v>
      </c>
      <c r="F189" s="17">
        <v>100</v>
      </c>
      <c r="G189" s="9" t="s">
        <v>7332</v>
      </c>
      <c r="H189" s="5">
        <v>1</v>
      </c>
      <c r="I189" s="9" t="str">
        <f>HYPERLINK("https://seichotoushi-hojo.jp/assets/pdf/koufu_3_4ji/outline_88.pdf","PDFを開く")</f>
        <v>PDFを開く</v>
      </c>
      <c r="J189" s="9" t="s">
        <v>2335</v>
      </c>
    </row>
    <row r="190" spans="1:10" ht="33.950000000000003" customHeight="1">
      <c r="A190" s="2" t="s">
        <v>2336</v>
      </c>
      <c r="B190" s="2" t="s">
        <v>1595</v>
      </c>
      <c r="C190" s="8" t="s">
        <v>2337</v>
      </c>
      <c r="D190" s="8" t="s">
        <v>81</v>
      </c>
      <c r="E190" s="2">
        <v>2023</v>
      </c>
      <c r="F190" s="16">
        <v>316</v>
      </c>
      <c r="G190" s="8" t="s">
        <v>7332</v>
      </c>
      <c r="H190" s="2">
        <v>1</v>
      </c>
      <c r="I190" s="8" t="str">
        <f>HYPERLINK("https://seichotoushi-hojo.jp/assets/pdf/koufu_3_4ji/outline_89.pdf","PDFを開く")</f>
        <v>PDFを開く</v>
      </c>
      <c r="J190" s="8" t="s">
        <v>2344</v>
      </c>
    </row>
    <row r="191" spans="1:10" ht="33.950000000000003" customHeight="1">
      <c r="A191" s="5" t="s">
        <v>2336</v>
      </c>
      <c r="B191" s="5" t="s">
        <v>1595</v>
      </c>
      <c r="C191" s="9" t="s">
        <v>2337</v>
      </c>
      <c r="D191" s="9" t="s">
        <v>81</v>
      </c>
      <c r="E191" s="5">
        <v>2023</v>
      </c>
      <c r="F191" s="17">
        <v>53.2</v>
      </c>
      <c r="G191" s="9" t="s">
        <v>7332</v>
      </c>
      <c r="H191" s="5">
        <v>1</v>
      </c>
      <c r="I191" s="9" t="str">
        <f>HYPERLINK("https://seichotoushi-hojo.jp/assets/pdf/koufu_3_4ji/outline_89.pdf","PDFを開く")</f>
        <v>PDFを開く</v>
      </c>
      <c r="J191" s="9" t="s">
        <v>2344</v>
      </c>
    </row>
    <row r="192" spans="1:10" ht="33.950000000000003" customHeight="1">
      <c r="A192" s="2" t="s">
        <v>2336</v>
      </c>
      <c r="B192" s="2" t="s">
        <v>1595</v>
      </c>
      <c r="C192" s="8" t="s">
        <v>2337</v>
      </c>
      <c r="D192" s="8" t="s">
        <v>81</v>
      </c>
      <c r="E192" s="2">
        <v>2030</v>
      </c>
      <c r="F192" s="16">
        <v>665</v>
      </c>
      <c r="G192" s="8" t="s">
        <v>7332</v>
      </c>
      <c r="H192" s="2">
        <v>1</v>
      </c>
      <c r="I192" s="8" t="str">
        <f>HYPERLINK("https://seichotoushi-hojo.jp/assets/pdf/koufu_3_4ji/outline_89.pdf","PDFを開く")</f>
        <v>PDFを開く</v>
      </c>
      <c r="J192" s="8" t="s">
        <v>2344</v>
      </c>
    </row>
    <row r="193" spans="1:10" ht="33.950000000000003" customHeight="1">
      <c r="A193" s="5" t="s">
        <v>2353</v>
      </c>
      <c r="B193" s="5" t="s">
        <v>1595</v>
      </c>
      <c r="C193" s="9" t="s">
        <v>2354</v>
      </c>
      <c r="D193" s="9" t="s">
        <v>81</v>
      </c>
      <c r="E193" s="5">
        <v>2031</v>
      </c>
      <c r="F193" s="17">
        <v>45.67</v>
      </c>
      <c r="G193" s="9" t="s">
        <v>7332</v>
      </c>
      <c r="H193" s="5">
        <v>1</v>
      </c>
      <c r="I193" s="9" t="str">
        <f>HYPERLINK("https://seichotoushi-hojo.jp/assets/pdf/koufu_3_4ji/outline_90.pdf","PDFを開く")</f>
        <v>PDFを開く</v>
      </c>
      <c r="J193" s="9" t="s">
        <v>2361</v>
      </c>
    </row>
    <row r="194" spans="1:10" ht="33.950000000000003" customHeight="1">
      <c r="A194" s="2" t="s">
        <v>2380</v>
      </c>
      <c r="B194" s="2" t="s">
        <v>1595</v>
      </c>
      <c r="C194" s="8" t="s">
        <v>2381</v>
      </c>
      <c r="D194" s="8" t="s">
        <v>116</v>
      </c>
      <c r="E194" s="2">
        <v>2024</v>
      </c>
      <c r="F194" s="16">
        <v>49.42</v>
      </c>
      <c r="G194" s="8" t="s">
        <v>7334</v>
      </c>
      <c r="H194" s="2">
        <v>1</v>
      </c>
      <c r="I194" s="8" t="str">
        <f>HYPERLINK("https://seichotoushi-hojo.jp/assets/pdf/koufu_3_4ji/outline_94.pdf","PDFを開く")</f>
        <v>PDFを開く</v>
      </c>
      <c r="J194" s="8" t="s">
        <v>2388</v>
      </c>
    </row>
    <row r="195" spans="1:10" ht="33.950000000000003" customHeight="1">
      <c r="A195" s="5" t="s">
        <v>2380</v>
      </c>
      <c r="B195" s="5" t="s">
        <v>1595</v>
      </c>
      <c r="C195" s="9" t="s">
        <v>2381</v>
      </c>
      <c r="D195" s="9" t="s">
        <v>116</v>
      </c>
      <c r="E195" s="5">
        <v>2030</v>
      </c>
      <c r="F195" s="17">
        <v>154.47</v>
      </c>
      <c r="G195" s="9" t="s">
        <v>7334</v>
      </c>
      <c r="H195" s="5">
        <v>1</v>
      </c>
      <c r="I195" s="9" t="str">
        <f>HYPERLINK("https://seichotoushi-hojo.jp/assets/pdf/koufu_3_4ji/outline_94.pdf","PDFを開く")</f>
        <v>PDFを開く</v>
      </c>
      <c r="J195" s="9" t="s">
        <v>2388</v>
      </c>
    </row>
    <row r="196" spans="1:10" ht="33.950000000000003" customHeight="1">
      <c r="A196" s="2" t="s">
        <v>2467</v>
      </c>
      <c r="B196" s="2" t="s">
        <v>2430</v>
      </c>
      <c r="C196" s="8" t="s">
        <v>2468</v>
      </c>
      <c r="D196" s="8" t="s">
        <v>81</v>
      </c>
      <c r="E196" s="2">
        <v>2030</v>
      </c>
      <c r="F196" s="16">
        <v>22.26</v>
      </c>
      <c r="G196" s="8" t="s">
        <v>7332</v>
      </c>
      <c r="H196" s="2">
        <v>1</v>
      </c>
      <c r="I196" s="8" t="str">
        <f>HYPERLINK("https://seichotoushi-hojo.jp/assets/pdf/koufu_3_4ji/outline_119.pdf","PDFを開く")</f>
        <v>PDFを開く</v>
      </c>
      <c r="J196" s="8" t="s">
        <v>2474</v>
      </c>
    </row>
    <row r="197" spans="1:10" ht="33.950000000000003" customHeight="1">
      <c r="A197" s="5" t="s">
        <v>2467</v>
      </c>
      <c r="B197" s="5" t="s">
        <v>2430</v>
      </c>
      <c r="C197" s="9" t="s">
        <v>2468</v>
      </c>
      <c r="D197" s="9" t="s">
        <v>81</v>
      </c>
      <c r="E197" s="5">
        <v>2024</v>
      </c>
      <c r="F197" s="17">
        <v>51.96</v>
      </c>
      <c r="G197" s="9" t="s">
        <v>7332</v>
      </c>
      <c r="H197" s="5">
        <v>1</v>
      </c>
      <c r="I197" s="9" t="str">
        <f>HYPERLINK("https://seichotoushi-hojo.jp/assets/pdf/koufu_3_4ji/outline_119.pdf","PDFを開く")</f>
        <v>PDFを開く</v>
      </c>
      <c r="J197" s="9" t="s">
        <v>2474</v>
      </c>
    </row>
    <row r="198" spans="1:10" ht="33.950000000000003" customHeight="1">
      <c r="A198" s="2" t="s">
        <v>2507</v>
      </c>
      <c r="B198" s="2" t="s">
        <v>2430</v>
      </c>
      <c r="C198" s="8" t="s">
        <v>2508</v>
      </c>
      <c r="D198" s="8" t="s">
        <v>81</v>
      </c>
      <c r="E198" s="2">
        <v>2025</v>
      </c>
      <c r="F198" s="16">
        <v>38.409999999999997</v>
      </c>
      <c r="G198" s="8" t="s">
        <v>7332</v>
      </c>
      <c r="H198" s="2">
        <v>1</v>
      </c>
      <c r="I198" s="8" t="str">
        <f>HYPERLINK("https://seichotoushi-hojo.jp/assets/pdf/koufu_3_4ji/outline_127.pdf","PDFを開く")</f>
        <v>PDFを開く</v>
      </c>
      <c r="J198" s="8" t="s">
        <v>2515</v>
      </c>
    </row>
    <row r="199" spans="1:10" ht="33.950000000000003" customHeight="1">
      <c r="A199" s="5" t="s">
        <v>2507</v>
      </c>
      <c r="B199" s="5" t="s">
        <v>2430</v>
      </c>
      <c r="C199" s="9" t="s">
        <v>2508</v>
      </c>
      <c r="D199" s="9" t="s">
        <v>81</v>
      </c>
      <c r="E199" s="5">
        <v>2027</v>
      </c>
      <c r="F199" s="17">
        <v>55.07</v>
      </c>
      <c r="G199" s="9" t="s">
        <v>7332</v>
      </c>
      <c r="H199" s="5">
        <v>1</v>
      </c>
      <c r="I199" s="9" t="str">
        <f>HYPERLINK("https://seichotoushi-hojo.jp/assets/pdf/koufu_3_4ji/outline_127.pdf","PDFを開く")</f>
        <v>PDFを開く</v>
      </c>
      <c r="J199" s="9" t="s">
        <v>2515</v>
      </c>
    </row>
    <row r="200" spans="1:10" ht="33.950000000000003" customHeight="1">
      <c r="A200" s="2" t="s">
        <v>2516</v>
      </c>
      <c r="B200" s="2" t="s">
        <v>2430</v>
      </c>
      <c r="C200" s="8" t="s">
        <v>2517</v>
      </c>
      <c r="D200" s="8" t="s">
        <v>81</v>
      </c>
      <c r="E200" s="2">
        <v>2030</v>
      </c>
      <c r="F200" s="16">
        <v>160</v>
      </c>
      <c r="G200" s="8" t="s">
        <v>7332</v>
      </c>
      <c r="H200" s="2">
        <v>1</v>
      </c>
      <c r="I200" s="8" t="str">
        <f>HYPERLINK("https://seichotoushi-hojo.jp/assets/pdf/koufu_3_4ji/outline_130.pdf","PDFを開く")</f>
        <v>PDFを開く</v>
      </c>
      <c r="J200" s="8" t="s">
        <v>2523</v>
      </c>
    </row>
    <row r="201" spans="1:10" ht="33.950000000000003" customHeight="1">
      <c r="A201" s="5" t="s">
        <v>2516</v>
      </c>
      <c r="B201" s="5" t="s">
        <v>2430</v>
      </c>
      <c r="C201" s="9" t="s">
        <v>2517</v>
      </c>
      <c r="D201" s="9" t="s">
        <v>81</v>
      </c>
      <c r="E201" s="5">
        <v>2030</v>
      </c>
      <c r="F201" s="17">
        <v>371</v>
      </c>
      <c r="G201" s="9" t="s">
        <v>7332</v>
      </c>
      <c r="H201" s="5">
        <v>1</v>
      </c>
      <c r="I201" s="9" t="str">
        <f>HYPERLINK("https://seichotoushi-hojo.jp/assets/pdf/koufu_3_4ji/outline_130.pdf","PDFを開く")</f>
        <v>PDFを開く</v>
      </c>
      <c r="J201" s="9" t="s">
        <v>2523</v>
      </c>
    </row>
    <row r="202" spans="1:10" ht="33.950000000000003" customHeight="1">
      <c r="A202" s="2" t="s">
        <v>2531</v>
      </c>
      <c r="B202" s="2" t="s">
        <v>2430</v>
      </c>
      <c r="C202" s="8" t="s">
        <v>2532</v>
      </c>
      <c r="D202" s="8" t="s">
        <v>81</v>
      </c>
      <c r="E202" s="2">
        <v>2030</v>
      </c>
      <c r="F202" s="16">
        <v>136.80000000000001</v>
      </c>
      <c r="G202" s="8" t="s">
        <v>7332</v>
      </c>
      <c r="H202" s="2">
        <v>1</v>
      </c>
      <c r="I202" s="8" t="str">
        <f>HYPERLINK("https://seichotoushi-hojo.jp/assets/pdf/koufu_3_4ji/outline_132.pdf","PDFを開く")</f>
        <v>PDFを開く</v>
      </c>
      <c r="J202" s="8" t="s">
        <v>2538</v>
      </c>
    </row>
    <row r="203" spans="1:10" ht="33.950000000000003" customHeight="1">
      <c r="A203" s="5" t="s">
        <v>2546</v>
      </c>
      <c r="B203" s="5" t="s">
        <v>2430</v>
      </c>
      <c r="C203" s="9" t="s">
        <v>2547</v>
      </c>
      <c r="D203" s="9" t="s">
        <v>81</v>
      </c>
      <c r="E203" s="5">
        <v>2030</v>
      </c>
      <c r="F203" s="17">
        <v>50.709963209999998</v>
      </c>
      <c r="G203" s="9" t="s">
        <v>7332</v>
      </c>
      <c r="H203" s="5">
        <v>1</v>
      </c>
      <c r="I203" s="9" t="str">
        <f>HYPERLINK("https://seichotoushi-hojo.jp/assets/pdf/koufu_3_4ji/outline_134.pdf","PDFを開く")</f>
        <v>PDFを開く</v>
      </c>
      <c r="J203" s="9" t="s">
        <v>2554</v>
      </c>
    </row>
    <row r="204" spans="1:10" ht="33.950000000000003" customHeight="1">
      <c r="A204" s="2" t="s">
        <v>2555</v>
      </c>
      <c r="B204" s="2" t="s">
        <v>2430</v>
      </c>
      <c r="C204" s="8" t="s">
        <v>2556</v>
      </c>
      <c r="D204" s="8" t="s">
        <v>81</v>
      </c>
      <c r="E204" s="2">
        <v>2025</v>
      </c>
      <c r="F204" s="16">
        <v>11.2</v>
      </c>
      <c r="G204" s="8" t="s">
        <v>7338</v>
      </c>
      <c r="H204" s="2">
        <v>1</v>
      </c>
      <c r="I204" s="8" t="str">
        <f>HYPERLINK("https://seichotoushi-hojo.jp/assets/pdf/koufu_3_4ji/outline_135.pdf","PDFを開く")</f>
        <v>PDFを開く</v>
      </c>
      <c r="J204" s="8" t="s">
        <v>2563</v>
      </c>
    </row>
    <row r="205" spans="1:10" ht="33.950000000000003" customHeight="1">
      <c r="A205" s="5" t="s">
        <v>2555</v>
      </c>
      <c r="B205" s="5" t="s">
        <v>2430</v>
      </c>
      <c r="C205" s="9" t="s">
        <v>2556</v>
      </c>
      <c r="D205" s="9" t="s">
        <v>81</v>
      </c>
      <c r="E205" s="5">
        <v>2031</v>
      </c>
      <c r="F205" s="17">
        <v>27.8</v>
      </c>
      <c r="G205" s="9" t="s">
        <v>7338</v>
      </c>
      <c r="H205" s="5">
        <v>1</v>
      </c>
      <c r="I205" s="9" t="str">
        <f>HYPERLINK("https://seichotoushi-hojo.jp/assets/pdf/koufu_3_4ji/outline_135.pdf","PDFを開く")</f>
        <v>PDFを開く</v>
      </c>
      <c r="J205" s="9" t="s">
        <v>2563</v>
      </c>
    </row>
    <row r="206" spans="1:10" ht="33.950000000000003" customHeight="1">
      <c r="A206" s="2" t="s">
        <v>2572</v>
      </c>
      <c r="B206" s="2" t="s">
        <v>2430</v>
      </c>
      <c r="C206" s="8" t="s">
        <v>2573</v>
      </c>
      <c r="D206" s="8" t="s">
        <v>81</v>
      </c>
      <c r="E206" s="2">
        <v>2025</v>
      </c>
      <c r="F206" s="16">
        <v>13.4</v>
      </c>
      <c r="G206" s="8" t="s">
        <v>7332</v>
      </c>
      <c r="H206" s="2">
        <v>1</v>
      </c>
      <c r="I206" s="8" t="str">
        <f>HYPERLINK("https://seichotoushi-hojo.jp/assets/pdf/koufu_3_4ji/outline_137.pdf","PDFを開く")</f>
        <v>PDFを開く</v>
      </c>
      <c r="J206" s="8" t="s">
        <v>2579</v>
      </c>
    </row>
    <row r="207" spans="1:10" ht="33.950000000000003" customHeight="1">
      <c r="A207" s="5" t="s">
        <v>2572</v>
      </c>
      <c r="B207" s="5" t="s">
        <v>2430</v>
      </c>
      <c r="C207" s="9" t="s">
        <v>2573</v>
      </c>
      <c r="D207" s="9" t="s">
        <v>81</v>
      </c>
      <c r="E207" s="5">
        <v>2029</v>
      </c>
      <c r="F207" s="17">
        <v>13.4</v>
      </c>
      <c r="G207" s="9" t="s">
        <v>7332</v>
      </c>
      <c r="H207" s="5">
        <v>1</v>
      </c>
      <c r="I207" s="9" t="str">
        <f>HYPERLINK("https://seichotoushi-hojo.jp/assets/pdf/koufu_3_4ji/outline_137.pdf","PDFを開く")</f>
        <v>PDFを開く</v>
      </c>
      <c r="J207" s="9" t="s">
        <v>2579</v>
      </c>
    </row>
    <row r="208" spans="1:10" ht="33.950000000000003" customHeight="1">
      <c r="A208" s="2" t="s">
        <v>2587</v>
      </c>
      <c r="B208" s="2" t="s">
        <v>2430</v>
      </c>
      <c r="C208" s="8" t="s">
        <v>2588</v>
      </c>
      <c r="D208" s="8" t="s">
        <v>81</v>
      </c>
      <c r="E208" s="2">
        <v>2029</v>
      </c>
      <c r="F208" s="16">
        <v>108.84</v>
      </c>
      <c r="G208" s="8" t="s">
        <v>7332</v>
      </c>
      <c r="H208" s="2">
        <v>1</v>
      </c>
      <c r="I208" s="8" t="str">
        <f>HYPERLINK("https://seichotoushi-hojo.jp/assets/pdf/koufu_3_4ji/outline_139.pdf","PDFを開く")</f>
        <v>PDFを開く</v>
      </c>
      <c r="J208" s="8" t="s">
        <v>2594</v>
      </c>
    </row>
    <row r="209" spans="1:10" ht="33.950000000000003" customHeight="1">
      <c r="A209" s="5" t="s">
        <v>2595</v>
      </c>
      <c r="B209" s="5" t="s">
        <v>2430</v>
      </c>
      <c r="C209" s="9" t="s">
        <v>2596</v>
      </c>
      <c r="D209" s="9" t="s">
        <v>81</v>
      </c>
      <c r="E209" s="5">
        <v>2025</v>
      </c>
      <c r="F209" s="17">
        <v>122.52</v>
      </c>
      <c r="G209" s="9" t="s">
        <v>7332</v>
      </c>
      <c r="H209" s="5">
        <v>1</v>
      </c>
      <c r="I209" s="9" t="str">
        <f>HYPERLINK("https://seichotoushi-hojo.jp/assets/pdf/koufu_3_4ji/outline_141.pdf","PDFを開く")</f>
        <v>PDFを開く</v>
      </c>
      <c r="J209" s="9" t="s">
        <v>2604</v>
      </c>
    </row>
    <row r="210" spans="1:10" ht="33.950000000000003" customHeight="1">
      <c r="A210" s="2" t="s">
        <v>2595</v>
      </c>
      <c r="B210" s="2" t="s">
        <v>2430</v>
      </c>
      <c r="C210" s="8" t="s">
        <v>2596</v>
      </c>
      <c r="D210" s="8" t="s">
        <v>81</v>
      </c>
      <c r="E210" s="2">
        <v>2032</v>
      </c>
      <c r="F210" s="16">
        <v>200</v>
      </c>
      <c r="G210" s="8" t="s">
        <v>7332</v>
      </c>
      <c r="H210" s="2">
        <v>1</v>
      </c>
      <c r="I210" s="8" t="str">
        <f>HYPERLINK("https://seichotoushi-hojo.jp/assets/pdf/koufu_3_4ji/outline_141.pdf","PDFを開く")</f>
        <v>PDFを開く</v>
      </c>
      <c r="J210" s="8" t="s">
        <v>2604</v>
      </c>
    </row>
    <row r="211" spans="1:10" ht="33.950000000000003" customHeight="1">
      <c r="A211" s="5" t="s">
        <v>2620</v>
      </c>
      <c r="B211" s="5" t="s">
        <v>2430</v>
      </c>
      <c r="C211" s="9" t="s">
        <v>2621</v>
      </c>
      <c r="D211" s="9" t="s">
        <v>81</v>
      </c>
      <c r="E211" s="5">
        <v>2025</v>
      </c>
      <c r="F211" s="17">
        <v>16.86</v>
      </c>
      <c r="G211" s="9" t="s">
        <v>7332</v>
      </c>
      <c r="H211" s="5">
        <v>1</v>
      </c>
      <c r="I211" s="9" t="str">
        <f>HYPERLINK("https://seichotoushi-hojo.jp/assets/pdf/koufu_3_4ji/outline_145.pdf","PDFを開く")</f>
        <v>PDFを開く</v>
      </c>
      <c r="J211" s="9" t="s">
        <v>2628</v>
      </c>
    </row>
    <row r="212" spans="1:10" ht="33.950000000000003" customHeight="1">
      <c r="A212" s="2" t="s">
        <v>2620</v>
      </c>
      <c r="B212" s="2" t="s">
        <v>2430</v>
      </c>
      <c r="C212" s="8" t="s">
        <v>2621</v>
      </c>
      <c r="D212" s="8" t="s">
        <v>81</v>
      </c>
      <c r="E212" s="2">
        <v>2025</v>
      </c>
      <c r="F212" s="16">
        <v>16.86</v>
      </c>
      <c r="G212" s="8" t="s">
        <v>7332</v>
      </c>
      <c r="H212" s="2">
        <v>1</v>
      </c>
      <c r="I212" s="8" t="str">
        <f>HYPERLINK("https://seichotoushi-hojo.jp/assets/pdf/koufu_3_4ji/outline_145.pdf","PDFを開く")</f>
        <v>PDFを開く</v>
      </c>
      <c r="J212" s="8" t="s">
        <v>2628</v>
      </c>
    </row>
    <row r="213" spans="1:10" ht="33.950000000000003" customHeight="1">
      <c r="A213" s="5" t="s">
        <v>2646</v>
      </c>
      <c r="B213" s="5" t="s">
        <v>2430</v>
      </c>
      <c r="C213" s="9" t="s">
        <v>2647</v>
      </c>
      <c r="D213" s="9" t="s">
        <v>81</v>
      </c>
      <c r="E213" s="5">
        <v>2030</v>
      </c>
      <c r="F213" s="17">
        <v>180</v>
      </c>
      <c r="G213" s="9" t="s">
        <v>7332</v>
      </c>
      <c r="H213" s="5">
        <v>1</v>
      </c>
      <c r="I213" s="9" t="str">
        <f>HYPERLINK("https://seichotoushi-hojo.jp/assets/pdf/koufu_3_4ji/outline_148.pdf","PDFを開く")</f>
        <v>PDFを開く</v>
      </c>
      <c r="J213" s="9" t="s">
        <v>2653</v>
      </c>
    </row>
    <row r="214" spans="1:10" ht="33.950000000000003" customHeight="1">
      <c r="A214" s="2" t="s">
        <v>2684</v>
      </c>
      <c r="B214" s="2" t="s">
        <v>2430</v>
      </c>
      <c r="C214" s="8" t="s">
        <v>2685</v>
      </c>
      <c r="D214" s="8" t="s">
        <v>81</v>
      </c>
      <c r="E214" s="2">
        <v>2024</v>
      </c>
      <c r="F214" s="16">
        <v>7</v>
      </c>
      <c r="G214" s="8" t="s">
        <v>7332</v>
      </c>
      <c r="H214" s="2">
        <v>1</v>
      </c>
      <c r="I214" s="8" t="str">
        <f t="shared" ref="I214:I220" si="0">HYPERLINK("https://seichotoushi-hojo.jp/assets/pdf/koufu_3_4ji/outline_154.pdf","PDFを開く")</f>
        <v>PDFを開く</v>
      </c>
      <c r="J214" s="8" t="s">
        <v>2692</v>
      </c>
    </row>
    <row r="215" spans="1:10" ht="33.950000000000003" customHeight="1">
      <c r="A215" s="5" t="s">
        <v>2684</v>
      </c>
      <c r="B215" s="5" t="s">
        <v>2430</v>
      </c>
      <c r="C215" s="9" t="s">
        <v>2685</v>
      </c>
      <c r="D215" s="9" t="s">
        <v>81</v>
      </c>
      <c r="E215" s="5">
        <v>2025</v>
      </c>
      <c r="F215" s="17">
        <v>13</v>
      </c>
      <c r="G215" s="9" t="s">
        <v>7332</v>
      </c>
      <c r="H215" s="5">
        <v>1</v>
      </c>
      <c r="I215" s="9" t="str">
        <f t="shared" si="0"/>
        <v>PDFを開く</v>
      </c>
      <c r="J215" s="9" t="s">
        <v>2692</v>
      </c>
    </row>
    <row r="216" spans="1:10" ht="33.950000000000003" customHeight="1">
      <c r="A216" s="2" t="s">
        <v>2684</v>
      </c>
      <c r="B216" s="2" t="s">
        <v>2430</v>
      </c>
      <c r="C216" s="8" t="s">
        <v>2685</v>
      </c>
      <c r="D216" s="8" t="s">
        <v>81</v>
      </c>
      <c r="E216" s="2">
        <v>2026</v>
      </c>
      <c r="F216" s="16">
        <v>25</v>
      </c>
      <c r="G216" s="8" t="s">
        <v>7332</v>
      </c>
      <c r="H216" s="2">
        <v>1</v>
      </c>
      <c r="I216" s="8" t="str">
        <f t="shared" si="0"/>
        <v>PDFを開く</v>
      </c>
      <c r="J216" s="8" t="s">
        <v>2692</v>
      </c>
    </row>
    <row r="217" spans="1:10" ht="33.950000000000003" customHeight="1">
      <c r="A217" s="5" t="s">
        <v>2684</v>
      </c>
      <c r="B217" s="5" t="s">
        <v>2430</v>
      </c>
      <c r="C217" s="9" t="s">
        <v>2685</v>
      </c>
      <c r="D217" s="9" t="s">
        <v>81</v>
      </c>
      <c r="E217" s="5">
        <v>2027</v>
      </c>
      <c r="F217" s="17">
        <v>35</v>
      </c>
      <c r="G217" s="9" t="s">
        <v>7332</v>
      </c>
      <c r="H217" s="5">
        <v>1</v>
      </c>
      <c r="I217" s="9" t="str">
        <f t="shared" si="0"/>
        <v>PDFを開く</v>
      </c>
      <c r="J217" s="9" t="s">
        <v>2692</v>
      </c>
    </row>
    <row r="218" spans="1:10" ht="33.950000000000003" customHeight="1">
      <c r="A218" s="2" t="s">
        <v>2684</v>
      </c>
      <c r="B218" s="2" t="s">
        <v>2430</v>
      </c>
      <c r="C218" s="8" t="s">
        <v>2685</v>
      </c>
      <c r="D218" s="8" t="s">
        <v>81</v>
      </c>
      <c r="E218" s="2">
        <v>2028</v>
      </c>
      <c r="F218" s="16">
        <v>40</v>
      </c>
      <c r="G218" s="8" t="s">
        <v>7332</v>
      </c>
      <c r="H218" s="2">
        <v>1</v>
      </c>
      <c r="I218" s="8" t="str">
        <f t="shared" si="0"/>
        <v>PDFを開く</v>
      </c>
      <c r="J218" s="8" t="s">
        <v>2692</v>
      </c>
    </row>
    <row r="219" spans="1:10" ht="33.950000000000003" customHeight="1">
      <c r="A219" s="5" t="s">
        <v>2684</v>
      </c>
      <c r="B219" s="5" t="s">
        <v>2430</v>
      </c>
      <c r="C219" s="9" t="s">
        <v>2685</v>
      </c>
      <c r="D219" s="9" t="s">
        <v>81</v>
      </c>
      <c r="E219" s="5">
        <v>2029</v>
      </c>
      <c r="F219" s="17">
        <v>45</v>
      </c>
      <c r="G219" s="9" t="s">
        <v>7332</v>
      </c>
      <c r="H219" s="5">
        <v>1</v>
      </c>
      <c r="I219" s="9" t="str">
        <f t="shared" si="0"/>
        <v>PDFを開く</v>
      </c>
      <c r="J219" s="9" t="s">
        <v>2692</v>
      </c>
    </row>
    <row r="220" spans="1:10" ht="33.950000000000003" customHeight="1">
      <c r="A220" s="2" t="s">
        <v>2684</v>
      </c>
      <c r="B220" s="2" t="s">
        <v>2430</v>
      </c>
      <c r="C220" s="8" t="s">
        <v>2685</v>
      </c>
      <c r="D220" s="8" t="s">
        <v>81</v>
      </c>
      <c r="E220" s="2">
        <v>2030</v>
      </c>
      <c r="F220" s="16">
        <v>50</v>
      </c>
      <c r="G220" s="8" t="s">
        <v>7332</v>
      </c>
      <c r="H220" s="2">
        <v>1</v>
      </c>
      <c r="I220" s="8" t="str">
        <f t="shared" si="0"/>
        <v>PDFを開く</v>
      </c>
      <c r="J220" s="8" t="s">
        <v>2692</v>
      </c>
    </row>
    <row r="221" spans="1:10" ht="33.950000000000003" customHeight="1">
      <c r="A221" s="5" t="s">
        <v>2700</v>
      </c>
      <c r="B221" s="5" t="s">
        <v>2430</v>
      </c>
      <c r="C221" s="9" t="s">
        <v>2701</v>
      </c>
      <c r="D221" s="9" t="s">
        <v>81</v>
      </c>
      <c r="E221" s="5">
        <v>2024</v>
      </c>
      <c r="F221" s="17">
        <v>75</v>
      </c>
      <c r="G221" s="9" t="s">
        <v>7332</v>
      </c>
      <c r="H221" s="5">
        <v>1</v>
      </c>
      <c r="I221" s="9" t="str">
        <f>HYPERLINK("https://seichotoushi-hojo.jp/assets/pdf/koufu_3_4ji/outline_156.pdf","PDFを開く")</f>
        <v>PDFを開く</v>
      </c>
      <c r="J221" s="9" t="s">
        <v>2708</v>
      </c>
    </row>
    <row r="222" spans="1:10" ht="33.950000000000003" customHeight="1">
      <c r="A222" s="2" t="s">
        <v>2717</v>
      </c>
      <c r="B222" s="2" t="s">
        <v>2430</v>
      </c>
      <c r="C222" s="8" t="s">
        <v>2718</v>
      </c>
      <c r="D222" s="8" t="s">
        <v>81</v>
      </c>
      <c r="E222" s="2">
        <v>2030</v>
      </c>
      <c r="F222" s="16">
        <v>108.42</v>
      </c>
      <c r="G222" s="8" t="s">
        <v>7332</v>
      </c>
      <c r="H222" s="2">
        <v>1</v>
      </c>
      <c r="I222" s="8" t="str">
        <f>HYPERLINK("https://seichotoushi-hojo.jp/assets/pdf/koufu_3_4ji/outline_158.pdf","PDFを開く")</f>
        <v>PDFを開く</v>
      </c>
      <c r="J222" s="8" t="s">
        <v>2724</v>
      </c>
    </row>
    <row r="223" spans="1:10" ht="33.950000000000003" customHeight="1">
      <c r="A223" s="5" t="s">
        <v>2741</v>
      </c>
      <c r="B223" s="5" t="s">
        <v>2430</v>
      </c>
      <c r="C223" s="9" t="s">
        <v>2742</v>
      </c>
      <c r="D223" s="9" t="s">
        <v>81</v>
      </c>
      <c r="E223" s="5">
        <v>2029</v>
      </c>
      <c r="F223" s="17">
        <v>290</v>
      </c>
      <c r="G223" s="9" t="s">
        <v>7332</v>
      </c>
      <c r="H223" s="5">
        <v>1</v>
      </c>
      <c r="I223" s="9" t="str">
        <f>HYPERLINK("https://seichotoushi-hojo.jp/assets/pdf/koufu_3_4ji/outline_161.pdf","PDFを開く")</f>
        <v>PDFを開く</v>
      </c>
      <c r="J223" s="9" t="s">
        <v>2749</v>
      </c>
    </row>
    <row r="224" spans="1:10" ht="33.950000000000003" customHeight="1">
      <c r="A224" s="2" t="s">
        <v>2758</v>
      </c>
      <c r="B224" s="2" t="s">
        <v>2430</v>
      </c>
      <c r="C224" s="8" t="s">
        <v>2759</v>
      </c>
      <c r="D224" s="8" t="s">
        <v>81</v>
      </c>
      <c r="E224" s="2">
        <v>2030</v>
      </c>
      <c r="F224" s="16">
        <v>75</v>
      </c>
      <c r="G224" s="8" t="s">
        <v>7332</v>
      </c>
      <c r="H224" s="2">
        <v>1</v>
      </c>
      <c r="I224" s="8" t="str">
        <f>HYPERLINK("https://seichotoushi-hojo.jp/assets/pdf/koufu_3_4ji/outline_163.pdf","PDFを開く")</f>
        <v>PDFを開く</v>
      </c>
      <c r="J224" s="8" t="s">
        <v>2765</v>
      </c>
    </row>
    <row r="225" spans="1:10" ht="33.950000000000003" customHeight="1">
      <c r="A225" s="5" t="s">
        <v>2758</v>
      </c>
      <c r="B225" s="5" t="s">
        <v>2430</v>
      </c>
      <c r="C225" s="9" t="s">
        <v>2759</v>
      </c>
      <c r="D225" s="9" t="s">
        <v>81</v>
      </c>
      <c r="E225" s="5">
        <v>2030</v>
      </c>
      <c r="F225" s="17">
        <v>75</v>
      </c>
      <c r="G225" s="9" t="s">
        <v>7332</v>
      </c>
      <c r="H225" s="5">
        <v>1</v>
      </c>
      <c r="I225" s="9" t="str">
        <f>HYPERLINK("https://seichotoushi-hojo.jp/assets/pdf/koufu_3_4ji/outline_163.pdf","PDFを開く")</f>
        <v>PDFを開く</v>
      </c>
      <c r="J225" s="9" t="s">
        <v>2765</v>
      </c>
    </row>
    <row r="226" spans="1:10" ht="33.950000000000003" customHeight="1">
      <c r="A226" s="2" t="s">
        <v>2781</v>
      </c>
      <c r="B226" s="2" t="s">
        <v>2430</v>
      </c>
      <c r="C226" s="8" t="s">
        <v>2782</v>
      </c>
      <c r="D226" s="8" t="s">
        <v>81</v>
      </c>
      <c r="E226" s="2">
        <v>2031</v>
      </c>
      <c r="F226" s="16">
        <v>240</v>
      </c>
      <c r="G226" s="8" t="s">
        <v>7332</v>
      </c>
      <c r="H226" s="2">
        <v>1</v>
      </c>
      <c r="I226" s="8" t="str">
        <f>HYPERLINK("https://seichotoushi-hojo.jp/assets/pdf/koufu_3_4ji/outline_166.pdf","PDFを開く")</f>
        <v>PDFを開く</v>
      </c>
      <c r="J226" s="8" t="s">
        <v>2789</v>
      </c>
    </row>
    <row r="227" spans="1:10" ht="33.950000000000003" customHeight="1">
      <c r="A227" s="5" t="s">
        <v>2798</v>
      </c>
      <c r="B227" s="5" t="s">
        <v>2430</v>
      </c>
      <c r="C227" s="9" t="s">
        <v>2799</v>
      </c>
      <c r="D227" s="9" t="s">
        <v>81</v>
      </c>
      <c r="E227" s="5">
        <v>2025</v>
      </c>
      <c r="F227" s="17">
        <v>168.4</v>
      </c>
      <c r="G227" s="9" t="s">
        <v>7332</v>
      </c>
      <c r="H227" s="5">
        <v>1</v>
      </c>
      <c r="I227" s="9" t="str">
        <f>HYPERLINK("https://seichotoushi-hojo.jp/assets/pdf/koufu_3_4ji/outline_168.pdf","PDFを開く")</f>
        <v>PDFを開く</v>
      </c>
      <c r="J227" s="9" t="s">
        <v>2808</v>
      </c>
    </row>
    <row r="228" spans="1:10" ht="33.950000000000003" customHeight="1">
      <c r="A228" s="2" t="s">
        <v>2798</v>
      </c>
      <c r="B228" s="2" t="s">
        <v>2430</v>
      </c>
      <c r="C228" s="8" t="s">
        <v>2799</v>
      </c>
      <c r="D228" s="8" t="s">
        <v>81</v>
      </c>
      <c r="E228" s="2">
        <v>2031</v>
      </c>
      <c r="F228" s="16">
        <v>247.5</v>
      </c>
      <c r="G228" s="8" t="s">
        <v>7332</v>
      </c>
      <c r="H228" s="2">
        <v>1</v>
      </c>
      <c r="I228" s="8" t="str">
        <f>HYPERLINK("https://seichotoushi-hojo.jp/assets/pdf/koufu_3_4ji/outline_168.pdf","PDFを開く")</f>
        <v>PDFを開く</v>
      </c>
      <c r="J228" s="8" t="s">
        <v>2808</v>
      </c>
    </row>
    <row r="229" spans="1:10" ht="33.950000000000003" customHeight="1">
      <c r="A229" s="5" t="s">
        <v>2833</v>
      </c>
      <c r="B229" s="5" t="s">
        <v>2430</v>
      </c>
      <c r="C229" s="9" t="s">
        <v>2834</v>
      </c>
      <c r="D229" s="9" t="s">
        <v>81</v>
      </c>
      <c r="E229" s="5">
        <v>2030</v>
      </c>
      <c r="F229" s="17">
        <v>171</v>
      </c>
      <c r="G229" s="9" t="s">
        <v>7332</v>
      </c>
      <c r="H229" s="5">
        <v>1</v>
      </c>
      <c r="I229" s="9" t="str">
        <f>HYPERLINK("https://seichotoushi-hojo.jp/assets/pdf/koufu_3_4ji/outline_174.pdf","PDFを開く")</f>
        <v>PDFを開く</v>
      </c>
      <c r="J229" s="9" t="s">
        <v>2840</v>
      </c>
    </row>
    <row r="230" spans="1:10" ht="33.950000000000003" customHeight="1">
      <c r="A230" s="2" t="s">
        <v>2841</v>
      </c>
      <c r="B230" s="2" t="s">
        <v>2430</v>
      </c>
      <c r="C230" s="8" t="s">
        <v>2842</v>
      </c>
      <c r="D230" s="8" t="s">
        <v>81</v>
      </c>
      <c r="E230" s="2">
        <v>2025</v>
      </c>
      <c r="F230" s="16">
        <v>58.6</v>
      </c>
      <c r="G230" s="8" t="s">
        <v>7332</v>
      </c>
      <c r="H230" s="2">
        <v>1</v>
      </c>
      <c r="I230" s="8" t="str">
        <f>HYPERLINK("https://seichotoushi-hojo.jp/assets/pdf/koufu_3_4ji/outline_175.pdf","PDFを開く")</f>
        <v>PDFを開く</v>
      </c>
      <c r="J230" s="8" t="s">
        <v>2848</v>
      </c>
    </row>
    <row r="231" spans="1:10" ht="33.950000000000003" customHeight="1">
      <c r="A231" s="5" t="s">
        <v>2841</v>
      </c>
      <c r="B231" s="5" t="s">
        <v>2430</v>
      </c>
      <c r="C231" s="9" t="s">
        <v>2842</v>
      </c>
      <c r="D231" s="9" t="s">
        <v>81</v>
      </c>
      <c r="E231" s="5">
        <v>2031</v>
      </c>
      <c r="F231" s="17">
        <v>114.7</v>
      </c>
      <c r="G231" s="9" t="s">
        <v>7332</v>
      </c>
      <c r="H231" s="5">
        <v>1</v>
      </c>
      <c r="I231" s="9" t="str">
        <f>HYPERLINK("https://seichotoushi-hojo.jp/assets/pdf/koufu_3_4ji/outline_175.pdf","PDFを開く")</f>
        <v>PDFを開く</v>
      </c>
      <c r="J231" s="9" t="s">
        <v>2848</v>
      </c>
    </row>
    <row r="232" spans="1:10" ht="33.950000000000003" customHeight="1">
      <c r="A232" s="2" t="s">
        <v>2926</v>
      </c>
      <c r="B232" s="2" t="s">
        <v>2430</v>
      </c>
      <c r="C232" s="8" t="s">
        <v>2927</v>
      </c>
      <c r="D232" s="8" t="s">
        <v>81</v>
      </c>
      <c r="E232" s="2">
        <v>2030</v>
      </c>
      <c r="F232" s="16">
        <v>157</v>
      </c>
      <c r="G232" s="8" t="s">
        <v>7332</v>
      </c>
      <c r="H232" s="2">
        <v>1</v>
      </c>
      <c r="I232" s="8" t="str">
        <f>HYPERLINK("https://seichotoushi-hojo.jp/assets/pdf/koufu_3_4ji/outline_189.pdf","PDFを開く")</f>
        <v>PDFを開く</v>
      </c>
      <c r="J232" s="8" t="s">
        <v>2934</v>
      </c>
    </row>
    <row r="233" spans="1:10" ht="33.950000000000003" customHeight="1">
      <c r="A233" s="5" t="s">
        <v>3010</v>
      </c>
      <c r="B233" s="5" t="s">
        <v>2430</v>
      </c>
      <c r="C233" s="9" t="s">
        <v>3011</v>
      </c>
      <c r="D233" s="9" t="s">
        <v>81</v>
      </c>
      <c r="E233" s="5">
        <v>2030</v>
      </c>
      <c r="F233" s="17">
        <v>1100</v>
      </c>
      <c r="G233" s="9" t="s">
        <v>7332</v>
      </c>
      <c r="H233" s="5">
        <v>1</v>
      </c>
      <c r="I233" s="9" t="str">
        <f>HYPERLINK("https://seichotoushi-hojo.jp/assets/pdf/koufu_3_4ji/outline_204.pdf","PDFを開く")</f>
        <v>PDFを開く</v>
      </c>
      <c r="J233" s="9" t="s">
        <v>3018</v>
      </c>
    </row>
    <row r="234" spans="1:10" ht="33.950000000000003" customHeight="1">
      <c r="A234" s="2" t="s">
        <v>3109</v>
      </c>
      <c r="B234" s="2" t="s">
        <v>2430</v>
      </c>
      <c r="C234" s="8" t="s">
        <v>3110</v>
      </c>
      <c r="D234" s="8" t="s">
        <v>81</v>
      </c>
      <c r="E234" s="2">
        <v>2030</v>
      </c>
      <c r="F234" s="16">
        <v>65.260000000000005</v>
      </c>
      <c r="G234" s="8" t="s">
        <v>7332</v>
      </c>
      <c r="H234" s="2">
        <v>1</v>
      </c>
      <c r="I234" s="8" t="str">
        <f>HYPERLINK("https://seichotoushi-hojo.jp/assets/pdf/koufu_3_4ji/outline_223.pdf","PDFを開く")</f>
        <v>PDFを開く</v>
      </c>
      <c r="J234" s="8" t="s">
        <v>3116</v>
      </c>
    </row>
    <row r="235" spans="1:10" ht="33.950000000000003" customHeight="1">
      <c r="A235" s="5" t="s">
        <v>3133</v>
      </c>
      <c r="B235" s="5" t="s">
        <v>2430</v>
      </c>
      <c r="C235" s="9" t="s">
        <v>3134</v>
      </c>
      <c r="D235" s="9" t="s">
        <v>81</v>
      </c>
      <c r="E235" s="5">
        <v>2035</v>
      </c>
      <c r="F235" s="17">
        <v>200</v>
      </c>
      <c r="G235" s="9" t="s">
        <v>7332</v>
      </c>
      <c r="H235" s="5">
        <v>1</v>
      </c>
      <c r="I235" s="9" t="str">
        <f>HYPERLINK("https://seichotoushi-hojo.jp/assets/pdf/koufu_3_4ji/outline_227.pdf","PDFを開く")</f>
        <v>PDFを開く</v>
      </c>
      <c r="J235" s="9" t="s">
        <v>3140</v>
      </c>
    </row>
    <row r="236" spans="1:10" ht="33.950000000000003" customHeight="1">
      <c r="A236" s="3" t="s">
        <v>3141</v>
      </c>
      <c r="B236" s="3" t="s">
        <v>2430</v>
      </c>
      <c r="C236" s="20" t="s">
        <v>3142</v>
      </c>
      <c r="D236" s="20" t="s">
        <v>81</v>
      </c>
      <c r="E236" s="3">
        <v>2031</v>
      </c>
      <c r="F236" s="21">
        <v>50</v>
      </c>
      <c r="G236" s="20" t="s">
        <v>7332</v>
      </c>
      <c r="H236" s="3">
        <v>1</v>
      </c>
      <c r="I236" s="20" t="str">
        <f>HYPERLINK("https://seichotoushi-hojo.jp/assets/pdf/koufu_3_4ji/outline_228.pdf","PDFを開く")</f>
        <v>PDFを開く</v>
      </c>
      <c r="J236" s="20" t="s">
        <v>3148</v>
      </c>
    </row>
  </sheetData>
  <mergeCells count="2">
    <mergeCell ref="A1:J1"/>
    <mergeCell ref="A2:J2"/>
  </mergeCells>
  <phoneticPr fontId="8"/>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85"/>
  <sheetViews>
    <sheetView showGridLines="0" workbookViewId="0"/>
  </sheetViews>
  <sheetFormatPr defaultRowHeight="14.25"/>
  <cols>
    <col min="1" max="1" width="19" customWidth="1"/>
    <col min="2" max="2" width="7" customWidth="1"/>
    <col min="3" max="3" width="25" customWidth="1"/>
    <col min="4" max="4" width="55" customWidth="1"/>
    <col min="5" max="5" width="65" customWidth="1"/>
    <col min="6" max="6" width="78" customWidth="1"/>
    <col min="7" max="8" width="72" customWidth="1"/>
    <col min="9" max="10" width="78" customWidth="1"/>
    <col min="11" max="13" width="95" customWidth="1"/>
    <col min="14" max="14" width="48" customWidth="1"/>
    <col min="15" max="15" width="65" customWidth="1"/>
  </cols>
  <sheetData>
    <row r="1" spans="1:15" ht="30" customHeight="1">
      <c r="A1" s="24" t="s">
        <v>7339</v>
      </c>
      <c r="B1" s="24"/>
      <c r="C1" s="24"/>
      <c r="D1" s="24"/>
      <c r="E1" s="24"/>
      <c r="F1" s="24"/>
      <c r="G1" s="24"/>
      <c r="H1" s="24"/>
      <c r="I1" s="24"/>
      <c r="J1" s="24"/>
      <c r="K1" s="24"/>
      <c r="L1" s="24"/>
      <c r="M1" s="24"/>
      <c r="N1" s="24"/>
      <c r="O1" s="24"/>
    </row>
    <row r="2" spans="1:15" ht="38.1" customHeight="1">
      <c r="A2" s="25" t="s">
        <v>7340</v>
      </c>
      <c r="B2" s="25"/>
      <c r="C2" s="25"/>
      <c r="D2" s="25"/>
      <c r="E2" s="25"/>
      <c r="F2" s="25"/>
      <c r="G2" s="25"/>
      <c r="H2" s="25"/>
      <c r="I2" s="25"/>
      <c r="J2" s="25"/>
      <c r="K2" s="25"/>
      <c r="L2" s="25"/>
      <c r="M2" s="25"/>
      <c r="N2" s="25"/>
      <c r="O2" s="25"/>
    </row>
    <row r="4" spans="1:15" ht="45.95" customHeight="1">
      <c r="A4" s="1" t="s">
        <v>2</v>
      </c>
      <c r="B4" s="1" t="s">
        <v>3</v>
      </c>
      <c r="C4" s="1" t="s">
        <v>4</v>
      </c>
      <c r="D4" s="1" t="s">
        <v>7341</v>
      </c>
      <c r="E4" s="1" t="s">
        <v>7342</v>
      </c>
      <c r="F4" s="1" t="s">
        <v>7343</v>
      </c>
      <c r="G4" s="1" t="s">
        <v>7344</v>
      </c>
      <c r="H4" s="1" t="s">
        <v>7345</v>
      </c>
      <c r="I4" s="1" t="s">
        <v>7346</v>
      </c>
      <c r="J4" s="1" t="s">
        <v>7347</v>
      </c>
      <c r="K4" s="1" t="s">
        <v>7348</v>
      </c>
      <c r="L4" s="1" t="s">
        <v>7349</v>
      </c>
      <c r="M4" s="1" t="s">
        <v>7350</v>
      </c>
      <c r="N4" s="1" t="s">
        <v>65</v>
      </c>
      <c r="O4" s="1" t="s">
        <v>67</v>
      </c>
    </row>
    <row r="5" spans="1:15" ht="120" customHeight="1">
      <c r="A5" s="4" t="s">
        <v>72</v>
      </c>
      <c r="B5" s="4" t="s">
        <v>73</v>
      </c>
      <c r="C5" s="7" t="s">
        <v>74</v>
      </c>
      <c r="D5" s="7" t="s">
        <v>7351</v>
      </c>
      <c r="E5" s="7" t="s">
        <v>7352</v>
      </c>
      <c r="F5" s="7" t="s">
        <v>7353</v>
      </c>
      <c r="G5" s="7" t="s">
        <v>7354</v>
      </c>
      <c r="H5" s="7" t="s">
        <v>7355</v>
      </c>
      <c r="I5" s="7"/>
      <c r="J5" s="7" t="s">
        <v>85</v>
      </c>
      <c r="K5" s="7" t="s">
        <v>7356</v>
      </c>
      <c r="L5" s="7" t="s">
        <v>7357</v>
      </c>
      <c r="M5" s="7" t="s">
        <v>7358</v>
      </c>
      <c r="N5" s="7" t="str">
        <f>HYPERLINK("https://seichotoushi-hojo.jp/assets/pdf/koufu/outline_1.pdf","PDFを開く")</f>
        <v>PDFを開く</v>
      </c>
      <c r="O5" s="7" t="s">
        <v>89</v>
      </c>
    </row>
    <row r="6" spans="1:15" ht="120" customHeight="1">
      <c r="A6" s="2" t="s">
        <v>93</v>
      </c>
      <c r="B6" s="2" t="s">
        <v>73</v>
      </c>
      <c r="C6" s="8" t="s">
        <v>94</v>
      </c>
      <c r="D6" s="8" t="s">
        <v>7359</v>
      </c>
      <c r="E6" s="8" t="s">
        <v>7360</v>
      </c>
      <c r="F6" s="8" t="s">
        <v>7361</v>
      </c>
      <c r="G6" s="8" t="s">
        <v>7362</v>
      </c>
      <c r="H6" s="8" t="s">
        <v>7363</v>
      </c>
      <c r="I6" s="8" t="s">
        <v>7364</v>
      </c>
      <c r="J6" s="8" t="s">
        <v>101</v>
      </c>
      <c r="K6" s="8" t="s">
        <v>7365</v>
      </c>
      <c r="L6" s="8" t="s">
        <v>7366</v>
      </c>
      <c r="M6" s="8" t="s">
        <v>7367</v>
      </c>
      <c r="N6" s="8" t="str">
        <f>HYPERLINK("https://seichotoushi-hojo.jp/assets/pdf/koufu/outline_10.pdf","PDFを開く")</f>
        <v>PDFを開く</v>
      </c>
      <c r="O6" s="8" t="s">
        <v>104</v>
      </c>
    </row>
    <row r="7" spans="1:15" ht="120" customHeight="1">
      <c r="A7" s="5" t="s">
        <v>105</v>
      </c>
      <c r="B7" s="5" t="s">
        <v>73</v>
      </c>
      <c r="C7" s="9" t="s">
        <v>106</v>
      </c>
      <c r="D7" s="9" t="s">
        <v>7368</v>
      </c>
      <c r="E7" s="9"/>
      <c r="F7" s="9" t="s">
        <v>7369</v>
      </c>
      <c r="G7" s="9" t="s">
        <v>7370</v>
      </c>
      <c r="H7" s="9" t="s">
        <v>7371</v>
      </c>
      <c r="I7" s="9"/>
      <c r="J7" s="9" t="s">
        <v>110</v>
      </c>
      <c r="K7" s="9" t="s">
        <v>7372</v>
      </c>
      <c r="L7" s="9" t="s">
        <v>7373</v>
      </c>
      <c r="M7" s="9" t="s">
        <v>7374</v>
      </c>
      <c r="N7" s="9" t="str">
        <f>HYPERLINK("https://seichotoushi-hojo.jp/assets/pdf/koufu/outline_100.pdf","PDFを開く")</f>
        <v>PDFを開く</v>
      </c>
      <c r="O7" s="9" t="s">
        <v>112</v>
      </c>
    </row>
    <row r="8" spans="1:15" ht="120" customHeight="1">
      <c r="A8" s="2" t="s">
        <v>114</v>
      </c>
      <c r="B8" s="2" t="s">
        <v>73</v>
      </c>
      <c r="C8" s="8" t="s">
        <v>115</v>
      </c>
      <c r="D8" s="8" t="s">
        <v>7375</v>
      </c>
      <c r="E8" s="8"/>
      <c r="F8" s="8"/>
      <c r="G8" s="8" t="s">
        <v>7376</v>
      </c>
      <c r="H8" s="8" t="s">
        <v>7377</v>
      </c>
      <c r="I8" s="8"/>
      <c r="J8" s="8"/>
      <c r="K8" s="8" t="s">
        <v>7378</v>
      </c>
      <c r="L8" s="8" t="s">
        <v>7379</v>
      </c>
      <c r="M8" s="8" t="s">
        <v>7380</v>
      </c>
      <c r="N8" s="8" t="str">
        <f>HYPERLINK("https://seichotoushi-hojo.jp/assets/pdf/koufu/outline_101.pdf","PDFを開く")</f>
        <v>PDFを開く</v>
      </c>
      <c r="O8" s="8" t="s">
        <v>124</v>
      </c>
    </row>
    <row r="9" spans="1:15" ht="120" customHeight="1">
      <c r="A9" s="5" t="s">
        <v>125</v>
      </c>
      <c r="B9" s="5" t="s">
        <v>73</v>
      </c>
      <c r="C9" s="9" t="s">
        <v>126</v>
      </c>
      <c r="D9" s="9" t="s">
        <v>7381</v>
      </c>
      <c r="E9" s="9"/>
      <c r="F9" s="9" t="s">
        <v>7382</v>
      </c>
      <c r="G9" s="9" t="s">
        <v>7383</v>
      </c>
      <c r="H9" s="9" t="s">
        <v>7384</v>
      </c>
      <c r="I9" s="9"/>
      <c r="J9" s="9" t="s">
        <v>129</v>
      </c>
      <c r="K9" s="9" t="s">
        <v>7385</v>
      </c>
      <c r="L9" s="9" t="s">
        <v>7386</v>
      </c>
      <c r="M9" s="9" t="s">
        <v>7387</v>
      </c>
      <c r="N9" s="9" t="str">
        <f>HYPERLINK("https://seichotoushi-hojo.jp/assets/pdf/koufu/outline_102.pdf","PDFを開く")</f>
        <v>PDFを開く</v>
      </c>
      <c r="O9" s="9" t="s">
        <v>131</v>
      </c>
    </row>
    <row r="10" spans="1:15" ht="120" customHeight="1">
      <c r="A10" s="2" t="s">
        <v>132</v>
      </c>
      <c r="B10" s="2" t="s">
        <v>73</v>
      </c>
      <c r="C10" s="8" t="s">
        <v>133</v>
      </c>
      <c r="D10" s="8" t="s">
        <v>7388</v>
      </c>
      <c r="E10" s="8"/>
      <c r="F10" s="8" t="s">
        <v>7389</v>
      </c>
      <c r="G10" s="8" t="s">
        <v>7390</v>
      </c>
      <c r="H10" s="8" t="s">
        <v>7391</v>
      </c>
      <c r="I10" s="8"/>
      <c r="J10" s="8" t="s">
        <v>136</v>
      </c>
      <c r="K10" s="8" t="s">
        <v>7392</v>
      </c>
      <c r="L10" s="8" t="s">
        <v>7393</v>
      </c>
      <c r="M10" s="8" t="s">
        <v>7394</v>
      </c>
      <c r="N10" s="8" t="str">
        <f>HYPERLINK("https://seichotoushi-hojo.jp/assets/pdf/koufu/outline_103.pdf","PDFを開く")</f>
        <v>PDFを開く</v>
      </c>
      <c r="O10" s="8" t="s">
        <v>138</v>
      </c>
    </row>
    <row r="11" spans="1:15" ht="120" customHeight="1">
      <c r="A11" s="5" t="s">
        <v>139</v>
      </c>
      <c r="B11" s="5" t="s">
        <v>73</v>
      </c>
      <c r="C11" s="9" t="s">
        <v>140</v>
      </c>
      <c r="D11" s="9" t="s">
        <v>7395</v>
      </c>
      <c r="E11" s="9"/>
      <c r="F11" s="9" t="s">
        <v>7396</v>
      </c>
      <c r="G11" s="9" t="s">
        <v>7397</v>
      </c>
      <c r="H11" s="9" t="s">
        <v>7398</v>
      </c>
      <c r="I11" s="9"/>
      <c r="J11" s="9" t="s">
        <v>143</v>
      </c>
      <c r="K11" s="9" t="s">
        <v>7399</v>
      </c>
      <c r="L11" s="9" t="s">
        <v>7400</v>
      </c>
      <c r="M11" s="9" t="s">
        <v>7401</v>
      </c>
      <c r="N11" s="9" t="str">
        <f>HYPERLINK("https://seichotoushi-hojo.jp/assets/pdf/koufu/outline_104.pdf","PDFを開く")</f>
        <v>PDFを開く</v>
      </c>
      <c r="O11" s="9" t="s">
        <v>145</v>
      </c>
    </row>
    <row r="12" spans="1:15" ht="120" customHeight="1">
      <c r="A12" s="2" t="s">
        <v>146</v>
      </c>
      <c r="B12" s="2" t="s">
        <v>73</v>
      </c>
      <c r="C12" s="8" t="s">
        <v>147</v>
      </c>
      <c r="D12" s="8" t="s">
        <v>7402</v>
      </c>
      <c r="E12" s="8"/>
      <c r="F12" s="8" t="s">
        <v>7403</v>
      </c>
      <c r="G12" s="8" t="s">
        <v>7404</v>
      </c>
      <c r="H12" s="8" t="s">
        <v>7405</v>
      </c>
      <c r="I12" s="8"/>
      <c r="J12" s="8" t="s">
        <v>150</v>
      </c>
      <c r="K12" s="8" t="s">
        <v>7406</v>
      </c>
      <c r="L12" s="8" t="s">
        <v>7407</v>
      </c>
      <c r="M12" s="8" t="s">
        <v>7408</v>
      </c>
      <c r="N12" s="8" t="str">
        <f>HYPERLINK("https://seichotoushi-hojo.jp/assets/pdf/koufu/outline_105.pdf","PDFを開く")</f>
        <v>PDFを開く</v>
      </c>
      <c r="O12" s="8" t="s">
        <v>155</v>
      </c>
    </row>
    <row r="13" spans="1:15" ht="120" customHeight="1">
      <c r="A13" s="5" t="s">
        <v>158</v>
      </c>
      <c r="B13" s="5" t="s">
        <v>73</v>
      </c>
      <c r="C13" s="9" t="s">
        <v>159</v>
      </c>
      <c r="D13" s="9" t="s">
        <v>7409</v>
      </c>
      <c r="E13" s="9"/>
      <c r="F13" s="9" t="s">
        <v>7410</v>
      </c>
      <c r="G13" s="9" t="s">
        <v>7411</v>
      </c>
      <c r="H13" s="9" t="s">
        <v>7412</v>
      </c>
      <c r="I13" s="9"/>
      <c r="J13" s="9" t="s">
        <v>163</v>
      </c>
      <c r="K13" s="9" t="s">
        <v>7413</v>
      </c>
      <c r="L13" s="9" t="s">
        <v>7414</v>
      </c>
      <c r="M13" s="9" t="s">
        <v>7415</v>
      </c>
      <c r="N13" s="9" t="str">
        <f>HYPERLINK("https://seichotoushi-hojo.jp/assets/pdf/koufu/outline_106.pdf","PDFを開く")</f>
        <v>PDFを開く</v>
      </c>
      <c r="O13" s="9" t="s">
        <v>165</v>
      </c>
    </row>
    <row r="14" spans="1:15" ht="120" customHeight="1">
      <c r="A14" s="2" t="s">
        <v>167</v>
      </c>
      <c r="B14" s="2" t="s">
        <v>73</v>
      </c>
      <c r="C14" s="8" t="s">
        <v>168</v>
      </c>
      <c r="D14" s="8" t="s">
        <v>7416</v>
      </c>
      <c r="E14" s="8"/>
      <c r="F14" s="8" t="s">
        <v>7417</v>
      </c>
      <c r="G14" s="8" t="s">
        <v>7418</v>
      </c>
      <c r="H14" s="8" t="s">
        <v>7419</v>
      </c>
      <c r="I14" s="8"/>
      <c r="J14" s="8" t="s">
        <v>172</v>
      </c>
      <c r="K14" s="8" t="s">
        <v>7420</v>
      </c>
      <c r="L14" s="8" t="s">
        <v>7421</v>
      </c>
      <c r="M14" s="8" t="s">
        <v>7422</v>
      </c>
      <c r="N14" s="8" t="str">
        <f>HYPERLINK("https://seichotoushi-hojo.jp/assets/pdf/koufu/outline_107.pdf","PDFを開く")</f>
        <v>PDFを開く</v>
      </c>
      <c r="O14" s="8" t="s">
        <v>174</v>
      </c>
    </row>
    <row r="15" spans="1:15" ht="120" customHeight="1">
      <c r="A15" s="5" t="s">
        <v>175</v>
      </c>
      <c r="B15" s="5" t="s">
        <v>73</v>
      </c>
      <c r="C15" s="9" t="s">
        <v>176</v>
      </c>
      <c r="D15" s="9" t="s">
        <v>7423</v>
      </c>
      <c r="E15" s="9"/>
      <c r="F15" s="9" t="s">
        <v>7424</v>
      </c>
      <c r="G15" s="9" t="s">
        <v>7425</v>
      </c>
      <c r="H15" s="9" t="s">
        <v>7426</v>
      </c>
      <c r="I15" s="9" t="s">
        <v>7427</v>
      </c>
      <c r="J15" s="9"/>
      <c r="K15" s="9" t="s">
        <v>7428</v>
      </c>
      <c r="L15" s="9" t="s">
        <v>7429</v>
      </c>
      <c r="M15" s="9" t="s">
        <v>7430</v>
      </c>
      <c r="N15" s="9" t="str">
        <f>HYPERLINK("https://seichotoushi-hojo.jp/assets/pdf/koufu/outline_108.pdf","PDFを開く")</f>
        <v>PDFを開く</v>
      </c>
      <c r="O15" s="9" t="s">
        <v>183</v>
      </c>
    </row>
    <row r="16" spans="1:15" ht="120" customHeight="1">
      <c r="A16" s="2" t="s">
        <v>184</v>
      </c>
      <c r="B16" s="2" t="s">
        <v>73</v>
      </c>
      <c r="C16" s="8" t="s">
        <v>185</v>
      </c>
      <c r="D16" s="8" t="s">
        <v>7431</v>
      </c>
      <c r="E16" s="8"/>
      <c r="F16" s="8" t="s">
        <v>7432</v>
      </c>
      <c r="G16" s="8" t="s">
        <v>7433</v>
      </c>
      <c r="H16" s="8" t="s">
        <v>7434</v>
      </c>
      <c r="I16" s="8"/>
      <c r="J16" s="8" t="s">
        <v>190</v>
      </c>
      <c r="K16" s="8" t="s">
        <v>7435</v>
      </c>
      <c r="L16" s="8" t="s">
        <v>7436</v>
      </c>
      <c r="M16" s="8" t="s">
        <v>7437</v>
      </c>
      <c r="N16" s="8" t="str">
        <f>HYPERLINK("https://seichotoushi-hojo.jp/assets/pdf/koufu/outline_109.pdf","PDFを開く")</f>
        <v>PDFを開く</v>
      </c>
      <c r="O16" s="8" t="s">
        <v>194</v>
      </c>
    </row>
    <row r="17" spans="1:15" ht="120" customHeight="1">
      <c r="A17" s="5" t="s">
        <v>195</v>
      </c>
      <c r="B17" s="5" t="s">
        <v>73</v>
      </c>
      <c r="C17" s="9" t="s">
        <v>196</v>
      </c>
      <c r="D17" s="9" t="s">
        <v>7438</v>
      </c>
      <c r="E17" s="9"/>
      <c r="F17" s="9" t="s">
        <v>7439</v>
      </c>
      <c r="G17" s="9" t="s">
        <v>7440</v>
      </c>
      <c r="H17" s="9" t="s">
        <v>7441</v>
      </c>
      <c r="I17" s="9"/>
      <c r="J17" s="9" t="s">
        <v>201</v>
      </c>
      <c r="K17" s="9" t="s">
        <v>7442</v>
      </c>
      <c r="L17" s="9" t="s">
        <v>7443</v>
      </c>
      <c r="M17" s="9" t="s">
        <v>7444</v>
      </c>
      <c r="N17" s="9" t="str">
        <f>HYPERLINK("https://seichotoushi-hojo.jp/assets/pdf/koufu/outline_11.pdf","PDFを開く")</f>
        <v>PDFを開く</v>
      </c>
      <c r="O17" s="9" t="s">
        <v>204</v>
      </c>
    </row>
    <row r="18" spans="1:15" ht="120" customHeight="1">
      <c r="A18" s="2" t="s">
        <v>205</v>
      </c>
      <c r="B18" s="2" t="s">
        <v>73</v>
      </c>
      <c r="C18" s="8" t="s">
        <v>206</v>
      </c>
      <c r="D18" s="8" t="s">
        <v>7445</v>
      </c>
      <c r="E18" s="8"/>
      <c r="F18" s="8" t="s">
        <v>7446</v>
      </c>
      <c r="G18" s="8" t="s">
        <v>7447</v>
      </c>
      <c r="H18" s="8" t="s">
        <v>7448</v>
      </c>
      <c r="I18" s="8"/>
      <c r="J18" s="8" t="s">
        <v>211</v>
      </c>
      <c r="K18" s="8" t="s">
        <v>7449</v>
      </c>
      <c r="L18" s="8" t="s">
        <v>7450</v>
      </c>
      <c r="M18" s="8" t="s">
        <v>7451</v>
      </c>
      <c r="N18" s="8" t="str">
        <f>HYPERLINK("https://seichotoushi-hojo.jp/assets/pdf/koufu/outline_110.pdf","PDFを開く")</f>
        <v>PDFを開く</v>
      </c>
      <c r="O18" s="8" t="s">
        <v>214</v>
      </c>
    </row>
    <row r="19" spans="1:15" ht="120" customHeight="1">
      <c r="A19" s="5" t="s">
        <v>215</v>
      </c>
      <c r="B19" s="5" t="s">
        <v>73</v>
      </c>
      <c r="C19" s="9" t="s">
        <v>216</v>
      </c>
      <c r="D19" s="9" t="s">
        <v>7452</v>
      </c>
      <c r="E19" s="9" t="s">
        <v>7453</v>
      </c>
      <c r="F19" s="9" t="s">
        <v>7454</v>
      </c>
      <c r="G19" s="9" t="s">
        <v>7455</v>
      </c>
      <c r="H19" s="9" t="s">
        <v>7456</v>
      </c>
      <c r="I19" s="9"/>
      <c r="J19" s="9" t="s">
        <v>220</v>
      </c>
      <c r="K19" s="9" t="s">
        <v>7457</v>
      </c>
      <c r="L19" s="9" t="s">
        <v>7458</v>
      </c>
      <c r="M19" s="9" t="s">
        <v>7459</v>
      </c>
      <c r="N19" s="9" t="str">
        <f>HYPERLINK("https://seichotoushi-hojo.jp/assets/pdf/koufu/outline_111.pdf","PDFを開く")</f>
        <v>PDFを開く</v>
      </c>
      <c r="O19" s="9" t="s">
        <v>222</v>
      </c>
    </row>
    <row r="20" spans="1:15" ht="120" customHeight="1">
      <c r="A20" s="2" t="s">
        <v>223</v>
      </c>
      <c r="B20" s="2" t="s">
        <v>73</v>
      </c>
      <c r="C20" s="8" t="s">
        <v>224</v>
      </c>
      <c r="D20" s="8" t="s">
        <v>7460</v>
      </c>
      <c r="E20" s="8"/>
      <c r="F20" s="8" t="s">
        <v>7461</v>
      </c>
      <c r="G20" s="8" t="s">
        <v>7462</v>
      </c>
      <c r="H20" s="8" t="s">
        <v>7463</v>
      </c>
      <c r="I20" s="8"/>
      <c r="J20" s="8" t="s">
        <v>229</v>
      </c>
      <c r="K20" s="8" t="s">
        <v>7464</v>
      </c>
      <c r="L20" s="8" t="s">
        <v>7465</v>
      </c>
      <c r="M20" s="8" t="s">
        <v>7466</v>
      </c>
      <c r="N20" s="8" t="str">
        <f>HYPERLINK("https://seichotoushi-hojo.jp/assets/pdf/koufu/outline_112.pdf","PDFを開く")</f>
        <v>PDFを開く</v>
      </c>
      <c r="O20" s="8" t="s">
        <v>232</v>
      </c>
    </row>
    <row r="21" spans="1:15" ht="120" customHeight="1">
      <c r="A21" s="5" t="s">
        <v>233</v>
      </c>
      <c r="B21" s="5" t="s">
        <v>73</v>
      </c>
      <c r="C21" s="9" t="s">
        <v>234</v>
      </c>
      <c r="D21" s="9" t="s">
        <v>7467</v>
      </c>
      <c r="E21" s="9"/>
      <c r="F21" s="9" t="s">
        <v>7468</v>
      </c>
      <c r="G21" s="9" t="s">
        <v>7469</v>
      </c>
      <c r="H21" s="9" t="s">
        <v>7470</v>
      </c>
      <c r="I21" s="9"/>
      <c r="J21" s="9" t="s">
        <v>237</v>
      </c>
      <c r="K21" s="9" t="s">
        <v>7471</v>
      </c>
      <c r="L21" s="9" t="s">
        <v>7472</v>
      </c>
      <c r="M21" s="9" t="s">
        <v>7473</v>
      </c>
      <c r="N21" s="9" t="str">
        <f>HYPERLINK("https://seichotoushi-hojo.jp/assets/pdf/koufu/outline_113.pdf","PDFを開く")</f>
        <v>PDFを開く</v>
      </c>
      <c r="O21" s="9" t="s">
        <v>239</v>
      </c>
    </row>
    <row r="22" spans="1:15" ht="120" customHeight="1">
      <c r="A22" s="2" t="s">
        <v>240</v>
      </c>
      <c r="B22" s="2" t="s">
        <v>73</v>
      </c>
      <c r="C22" s="8" t="s">
        <v>241</v>
      </c>
      <c r="D22" s="8" t="s">
        <v>7474</v>
      </c>
      <c r="E22" s="8"/>
      <c r="F22" s="8" t="s">
        <v>7475</v>
      </c>
      <c r="G22" s="8" t="s">
        <v>7476</v>
      </c>
      <c r="H22" s="8" t="s">
        <v>7477</v>
      </c>
      <c r="I22" s="8"/>
      <c r="J22" s="8" t="s">
        <v>244</v>
      </c>
      <c r="K22" s="8" t="s">
        <v>7478</v>
      </c>
      <c r="L22" s="8" t="s">
        <v>7479</v>
      </c>
      <c r="M22" s="8" t="s">
        <v>7480</v>
      </c>
      <c r="N22" s="8" t="str">
        <f>HYPERLINK("https://seichotoushi-hojo.jp/assets/pdf/koufu/outline_114.pdf","PDFを開く")</f>
        <v>PDFを開く</v>
      </c>
      <c r="O22" s="8" t="s">
        <v>247</v>
      </c>
    </row>
    <row r="23" spans="1:15" ht="120" customHeight="1">
      <c r="A23" s="5" t="s">
        <v>248</v>
      </c>
      <c r="B23" s="5" t="s">
        <v>73</v>
      </c>
      <c r="C23" s="9" t="s">
        <v>249</v>
      </c>
      <c r="D23" s="9" t="s">
        <v>7481</v>
      </c>
      <c r="E23" s="9"/>
      <c r="F23" s="9" t="s">
        <v>7482</v>
      </c>
      <c r="G23" s="9" t="s">
        <v>7483</v>
      </c>
      <c r="H23" s="9" t="s">
        <v>7484</v>
      </c>
      <c r="I23" s="9"/>
      <c r="J23" s="9" t="s">
        <v>253</v>
      </c>
      <c r="K23" s="9" t="s">
        <v>7485</v>
      </c>
      <c r="L23" s="9" t="s">
        <v>7486</v>
      </c>
      <c r="M23" s="9" t="s">
        <v>7487</v>
      </c>
      <c r="N23" s="9" t="str">
        <f>HYPERLINK("https://seichotoushi-hojo.jp/assets/pdf/koufu/outline_115.pdf","PDFを開く")</f>
        <v>PDFを開く</v>
      </c>
      <c r="O23" s="9" t="s">
        <v>256</v>
      </c>
    </row>
    <row r="24" spans="1:15" ht="120" customHeight="1">
      <c r="A24" s="2" t="s">
        <v>257</v>
      </c>
      <c r="B24" s="2" t="s">
        <v>73</v>
      </c>
      <c r="C24" s="8" t="s">
        <v>258</v>
      </c>
      <c r="D24" s="8" t="s">
        <v>7488</v>
      </c>
      <c r="E24" s="8"/>
      <c r="F24" s="8" t="s">
        <v>7489</v>
      </c>
      <c r="G24" s="8" t="s">
        <v>7490</v>
      </c>
      <c r="H24" s="8" t="s">
        <v>7491</v>
      </c>
      <c r="I24" s="8"/>
      <c r="J24" s="8" t="s">
        <v>262</v>
      </c>
      <c r="K24" s="8" t="s">
        <v>7492</v>
      </c>
      <c r="L24" s="8" t="s">
        <v>7493</v>
      </c>
      <c r="M24" s="8" t="s">
        <v>7494</v>
      </c>
      <c r="N24" s="8" t="str">
        <f>HYPERLINK("https://seichotoushi-hojo.jp/assets/pdf/koufu/outline_116.pdf","PDFを開く")</f>
        <v>PDFを開く</v>
      </c>
      <c r="O24" s="8" t="s">
        <v>264</v>
      </c>
    </row>
    <row r="25" spans="1:15" ht="120" customHeight="1">
      <c r="A25" s="5" t="s">
        <v>265</v>
      </c>
      <c r="B25" s="5" t="s">
        <v>73</v>
      </c>
      <c r="C25" s="9" t="s">
        <v>266</v>
      </c>
      <c r="D25" s="9" t="s">
        <v>7495</v>
      </c>
      <c r="E25" s="9"/>
      <c r="F25" s="9" t="s">
        <v>7496</v>
      </c>
      <c r="G25" s="9" t="s">
        <v>7497</v>
      </c>
      <c r="H25" s="9" t="s">
        <v>7498</v>
      </c>
      <c r="I25" s="9"/>
      <c r="J25" s="9" t="s">
        <v>270</v>
      </c>
      <c r="K25" s="9" t="s">
        <v>7499</v>
      </c>
      <c r="L25" s="9" t="s">
        <v>7500</v>
      </c>
      <c r="M25" s="9" t="s">
        <v>7501</v>
      </c>
      <c r="N25" s="9" t="str">
        <f>HYPERLINK("https://seichotoushi-hojo.jp/assets/pdf/koufu/outline_117.pdf","PDFを開く")</f>
        <v>PDFを開く</v>
      </c>
      <c r="O25" s="9" t="s">
        <v>273</v>
      </c>
    </row>
    <row r="26" spans="1:15" ht="120" customHeight="1">
      <c r="A26" s="2" t="s">
        <v>274</v>
      </c>
      <c r="B26" s="2" t="s">
        <v>73</v>
      </c>
      <c r="C26" s="8" t="s">
        <v>275</v>
      </c>
      <c r="D26" s="8" t="s">
        <v>7502</v>
      </c>
      <c r="E26" s="8"/>
      <c r="F26" s="8" t="s">
        <v>7503</v>
      </c>
      <c r="G26" s="8" t="s">
        <v>7504</v>
      </c>
      <c r="H26" s="8" t="s">
        <v>7505</v>
      </c>
      <c r="I26" s="8"/>
      <c r="J26" s="8" t="s">
        <v>277</v>
      </c>
      <c r="K26" s="8" t="s">
        <v>7506</v>
      </c>
      <c r="L26" s="8" t="s">
        <v>7507</v>
      </c>
      <c r="M26" s="8" t="s">
        <v>7508</v>
      </c>
      <c r="N26" s="8" t="str">
        <f>HYPERLINK("https://seichotoushi-hojo.jp/assets/pdf/koufu/outline_118.pdf","PDFを開く")</f>
        <v>PDFを開く</v>
      </c>
      <c r="O26" s="8" t="s">
        <v>279</v>
      </c>
    </row>
    <row r="27" spans="1:15" ht="120" customHeight="1">
      <c r="A27" s="5" t="s">
        <v>280</v>
      </c>
      <c r="B27" s="5" t="s">
        <v>73</v>
      </c>
      <c r="C27" s="9" t="s">
        <v>281</v>
      </c>
      <c r="D27" s="9" t="s">
        <v>7509</v>
      </c>
      <c r="E27" s="9"/>
      <c r="F27" s="9" t="s">
        <v>7510</v>
      </c>
      <c r="G27" s="9" t="s">
        <v>7511</v>
      </c>
      <c r="H27" s="9" t="s">
        <v>7512</v>
      </c>
      <c r="I27" s="9"/>
      <c r="J27" s="9" t="s">
        <v>285</v>
      </c>
      <c r="K27" s="9" t="s">
        <v>7513</v>
      </c>
      <c r="L27" s="9" t="s">
        <v>7514</v>
      </c>
      <c r="M27" s="9" t="s">
        <v>7515</v>
      </c>
      <c r="N27" s="9" t="str">
        <f>HYPERLINK("https://seichotoushi-hojo.jp/assets/pdf/koufu/outline_119.pdf","PDFを開く")</f>
        <v>PDFを開く</v>
      </c>
      <c r="O27" s="9" t="s">
        <v>287</v>
      </c>
    </row>
    <row r="28" spans="1:15" ht="120" customHeight="1">
      <c r="A28" s="2" t="s">
        <v>288</v>
      </c>
      <c r="B28" s="2" t="s">
        <v>73</v>
      </c>
      <c r="C28" s="8" t="s">
        <v>289</v>
      </c>
      <c r="D28" s="8" t="s">
        <v>7516</v>
      </c>
      <c r="E28" s="8"/>
      <c r="F28" s="8" t="s">
        <v>7517</v>
      </c>
      <c r="G28" s="8" t="s">
        <v>7518</v>
      </c>
      <c r="H28" s="8" t="s">
        <v>7519</v>
      </c>
      <c r="I28" s="8"/>
      <c r="J28" s="8" t="s">
        <v>7520</v>
      </c>
      <c r="K28" s="8" t="s">
        <v>7521</v>
      </c>
      <c r="L28" s="8" t="s">
        <v>7522</v>
      </c>
      <c r="M28" s="8" t="s">
        <v>7523</v>
      </c>
      <c r="N28" s="8" t="str">
        <f>HYPERLINK("https://seichotoushi-hojo.jp/assets/pdf/koufu/outline_12.pdf","PDFを開く")</f>
        <v>PDFを開く</v>
      </c>
      <c r="O28" s="8" t="s">
        <v>296</v>
      </c>
    </row>
    <row r="29" spans="1:15" ht="120" customHeight="1">
      <c r="A29" s="5" t="s">
        <v>297</v>
      </c>
      <c r="B29" s="5" t="s">
        <v>73</v>
      </c>
      <c r="C29" s="9" t="s">
        <v>298</v>
      </c>
      <c r="D29" s="9" t="s">
        <v>7524</v>
      </c>
      <c r="E29" s="9"/>
      <c r="F29" s="9" t="s">
        <v>7525</v>
      </c>
      <c r="G29" s="9" t="s">
        <v>7526</v>
      </c>
      <c r="H29" s="9" t="s">
        <v>7527</v>
      </c>
      <c r="I29" s="9"/>
      <c r="J29" s="9" t="s">
        <v>301</v>
      </c>
      <c r="K29" s="9" t="s">
        <v>7528</v>
      </c>
      <c r="L29" s="9" t="s">
        <v>7529</v>
      </c>
      <c r="M29" s="9" t="s">
        <v>7530</v>
      </c>
      <c r="N29" s="9" t="str">
        <f>HYPERLINK("https://seichotoushi-hojo.jp/assets/pdf/koufu/outline_120.pdf","PDFを開く")</f>
        <v>PDFを開く</v>
      </c>
      <c r="O29" s="9" t="s">
        <v>304</v>
      </c>
    </row>
    <row r="30" spans="1:15" ht="120" customHeight="1">
      <c r="A30" s="2" t="s">
        <v>305</v>
      </c>
      <c r="B30" s="2" t="s">
        <v>73</v>
      </c>
      <c r="C30" s="8" t="s">
        <v>306</v>
      </c>
      <c r="D30" s="8" t="s">
        <v>7531</v>
      </c>
      <c r="E30" s="8"/>
      <c r="F30" s="8" t="s">
        <v>7532</v>
      </c>
      <c r="G30" s="8" t="s">
        <v>7533</v>
      </c>
      <c r="H30" s="8" t="s">
        <v>7534</v>
      </c>
      <c r="I30" s="8"/>
      <c r="J30" s="8" t="s">
        <v>311</v>
      </c>
      <c r="K30" s="8" t="s">
        <v>7535</v>
      </c>
      <c r="L30" s="8" t="s">
        <v>7536</v>
      </c>
      <c r="M30" s="8" t="s">
        <v>7537</v>
      </c>
      <c r="N30" s="8" t="str">
        <f>HYPERLINK("https://seichotoushi-hojo.jp/assets/pdf/koufu/outline_121.pdf","PDFを開く")</f>
        <v>PDFを開く</v>
      </c>
      <c r="O30" s="8" t="s">
        <v>313</v>
      </c>
    </row>
    <row r="31" spans="1:15" ht="120" customHeight="1">
      <c r="A31" s="5" t="s">
        <v>314</v>
      </c>
      <c r="B31" s="5" t="s">
        <v>73</v>
      </c>
      <c r="C31" s="9" t="s">
        <v>315</v>
      </c>
      <c r="D31" s="9" t="s">
        <v>7538</v>
      </c>
      <c r="E31" s="9"/>
      <c r="F31" s="9" t="s">
        <v>7539</v>
      </c>
      <c r="G31" s="9" t="s">
        <v>7540</v>
      </c>
      <c r="H31" s="9" t="s">
        <v>7541</v>
      </c>
      <c r="I31" s="9"/>
      <c r="J31" s="9" t="s">
        <v>319</v>
      </c>
      <c r="K31" s="9" t="s">
        <v>7542</v>
      </c>
      <c r="L31" s="9" t="s">
        <v>7543</v>
      </c>
      <c r="M31" s="9" t="s">
        <v>7544</v>
      </c>
      <c r="N31" s="9" t="str">
        <f>HYPERLINK("https://seichotoushi-hojo.jp/assets/pdf/koufu/outline_122.pdf","PDFを開く")</f>
        <v>PDFを開く</v>
      </c>
      <c r="O31" s="9" t="s">
        <v>322</v>
      </c>
    </row>
    <row r="32" spans="1:15" ht="120" customHeight="1">
      <c r="A32" s="2" t="s">
        <v>323</v>
      </c>
      <c r="B32" s="2" t="s">
        <v>73</v>
      </c>
      <c r="C32" s="8" t="s">
        <v>324</v>
      </c>
      <c r="D32" s="8" t="s">
        <v>7545</v>
      </c>
      <c r="E32" s="8"/>
      <c r="F32" s="8" t="s">
        <v>7546</v>
      </c>
      <c r="G32" s="8" t="s">
        <v>7547</v>
      </c>
      <c r="H32" s="8" t="s">
        <v>7548</v>
      </c>
      <c r="I32" s="8"/>
      <c r="J32" s="8" t="s">
        <v>328</v>
      </c>
      <c r="K32" s="8" t="s">
        <v>7549</v>
      </c>
      <c r="L32" s="8" t="s">
        <v>7550</v>
      </c>
      <c r="M32" s="8" t="s">
        <v>7551</v>
      </c>
      <c r="N32" s="8" t="str">
        <f>HYPERLINK("https://seichotoushi-hojo.jp/assets/pdf/koufu/outline_123.pdf","PDFを開く")</f>
        <v>PDFを開く</v>
      </c>
      <c r="O32" s="8" t="s">
        <v>330</v>
      </c>
    </row>
    <row r="33" spans="1:15" ht="120" customHeight="1">
      <c r="A33" s="5" t="s">
        <v>331</v>
      </c>
      <c r="B33" s="5" t="s">
        <v>73</v>
      </c>
      <c r="C33" s="9" t="s">
        <v>332</v>
      </c>
      <c r="D33" s="9" t="s">
        <v>7552</v>
      </c>
      <c r="E33" s="9"/>
      <c r="F33" s="9" t="s">
        <v>7553</v>
      </c>
      <c r="G33" s="9" t="s">
        <v>7554</v>
      </c>
      <c r="H33" s="9" t="s">
        <v>7555</v>
      </c>
      <c r="I33" s="9"/>
      <c r="J33" s="9" t="s">
        <v>335</v>
      </c>
      <c r="K33" s="9" t="s">
        <v>7556</v>
      </c>
      <c r="L33" s="9" t="s">
        <v>7557</v>
      </c>
      <c r="M33" s="9" t="s">
        <v>7558</v>
      </c>
      <c r="N33" s="9" t="str">
        <f>HYPERLINK("https://seichotoushi-hojo.jp/assets/pdf/koufu/outline_124.pdf","PDFを開く")</f>
        <v>PDFを開く</v>
      </c>
      <c r="O33" s="9" t="s">
        <v>337</v>
      </c>
    </row>
    <row r="34" spans="1:15" ht="120" customHeight="1">
      <c r="A34" s="2" t="s">
        <v>338</v>
      </c>
      <c r="B34" s="2" t="s">
        <v>73</v>
      </c>
      <c r="C34" s="8" t="s">
        <v>339</v>
      </c>
      <c r="D34" s="8" t="s">
        <v>7559</v>
      </c>
      <c r="E34" s="8"/>
      <c r="F34" s="8" t="s">
        <v>7560</v>
      </c>
      <c r="G34" s="8" t="s">
        <v>7561</v>
      </c>
      <c r="H34" s="8" t="s">
        <v>7562</v>
      </c>
      <c r="I34" s="8"/>
      <c r="J34" s="8" t="s">
        <v>7563</v>
      </c>
      <c r="K34" s="8" t="s">
        <v>7564</v>
      </c>
      <c r="L34" s="8" t="s">
        <v>7565</v>
      </c>
      <c r="M34" s="8" t="s">
        <v>7566</v>
      </c>
      <c r="N34" s="8" t="str">
        <f>HYPERLINK("https://seichotoushi-hojo.jp/assets/pdf/koufu/outline_125.pdf","PDFを開く")</f>
        <v>PDFを開く</v>
      </c>
      <c r="O34" s="8" t="s">
        <v>346</v>
      </c>
    </row>
    <row r="35" spans="1:15" ht="120" customHeight="1">
      <c r="A35" s="5" t="s">
        <v>347</v>
      </c>
      <c r="B35" s="5" t="s">
        <v>73</v>
      </c>
      <c r="C35" s="9" t="s">
        <v>348</v>
      </c>
      <c r="D35" s="9" t="s">
        <v>7567</v>
      </c>
      <c r="E35" s="9"/>
      <c r="F35" s="9" t="s">
        <v>7568</v>
      </c>
      <c r="G35" s="9" t="s">
        <v>7569</v>
      </c>
      <c r="H35" s="9" t="s">
        <v>7570</v>
      </c>
      <c r="I35" s="9"/>
      <c r="J35" s="9" t="s">
        <v>351</v>
      </c>
      <c r="K35" s="9" t="s">
        <v>7571</v>
      </c>
      <c r="L35" s="9" t="s">
        <v>7572</v>
      </c>
      <c r="M35" s="9" t="s">
        <v>7573</v>
      </c>
      <c r="N35" s="9" t="str">
        <f>HYPERLINK("https://seichotoushi-hojo.jp/assets/pdf/koufu/outline_126.pdf","PDFを開く")</f>
        <v>PDFを開く</v>
      </c>
      <c r="O35" s="9" t="s">
        <v>353</v>
      </c>
    </row>
    <row r="36" spans="1:15" ht="120" customHeight="1">
      <c r="A36" s="2" t="s">
        <v>354</v>
      </c>
      <c r="B36" s="2" t="s">
        <v>73</v>
      </c>
      <c r="C36" s="8" t="s">
        <v>355</v>
      </c>
      <c r="D36" s="8" t="s">
        <v>7574</v>
      </c>
      <c r="E36" s="8"/>
      <c r="F36" s="8" t="s">
        <v>7575</v>
      </c>
      <c r="G36" s="8" t="s">
        <v>7576</v>
      </c>
      <c r="H36" s="8" t="s">
        <v>7577</v>
      </c>
      <c r="I36" s="8"/>
      <c r="J36" s="8" t="s">
        <v>358</v>
      </c>
      <c r="K36" s="8" t="s">
        <v>7578</v>
      </c>
      <c r="L36" s="8" t="s">
        <v>7579</v>
      </c>
      <c r="M36" s="8" t="s">
        <v>7580</v>
      </c>
      <c r="N36" s="8" t="str">
        <f>HYPERLINK("https://seichotoushi-hojo.jp/assets/pdf/koufu/outline_127.pdf","PDFを開く")</f>
        <v>PDFを開く</v>
      </c>
      <c r="O36" s="8" t="s">
        <v>361</v>
      </c>
    </row>
    <row r="37" spans="1:15" ht="120" customHeight="1">
      <c r="A37" s="5" t="s">
        <v>362</v>
      </c>
      <c r="B37" s="5" t="s">
        <v>73</v>
      </c>
      <c r="C37" s="9" t="s">
        <v>363</v>
      </c>
      <c r="D37" s="9" t="s">
        <v>7581</v>
      </c>
      <c r="E37" s="9"/>
      <c r="F37" s="9" t="s">
        <v>7582</v>
      </c>
      <c r="G37" s="9" t="s">
        <v>7583</v>
      </c>
      <c r="H37" s="9" t="s">
        <v>7584</v>
      </c>
      <c r="I37" s="9"/>
      <c r="J37" s="9" t="s">
        <v>366</v>
      </c>
      <c r="K37" s="9" t="s">
        <v>7585</v>
      </c>
      <c r="L37" s="9" t="s">
        <v>7586</v>
      </c>
      <c r="M37" s="9" t="s">
        <v>7587</v>
      </c>
      <c r="N37" s="9" t="str">
        <f>HYPERLINK("https://seichotoushi-hojo.jp/assets/pdf/koufu/outline_128.pdf","PDFを開く")</f>
        <v>PDFを開く</v>
      </c>
      <c r="O37" s="9" t="s">
        <v>368</v>
      </c>
    </row>
    <row r="38" spans="1:15" ht="120" customHeight="1">
      <c r="A38" s="2" t="s">
        <v>369</v>
      </c>
      <c r="B38" s="2" t="s">
        <v>73</v>
      </c>
      <c r="C38" s="8" t="s">
        <v>370</v>
      </c>
      <c r="D38" s="8" t="s">
        <v>7588</v>
      </c>
      <c r="E38" s="8" t="s">
        <v>7589</v>
      </c>
      <c r="F38" s="8" t="s">
        <v>7590</v>
      </c>
      <c r="G38" s="8" t="s">
        <v>7591</v>
      </c>
      <c r="H38" s="8" t="s">
        <v>7592</v>
      </c>
      <c r="I38" s="8"/>
      <c r="J38" s="8" t="s">
        <v>374</v>
      </c>
      <c r="K38" s="8" t="s">
        <v>7593</v>
      </c>
      <c r="L38" s="8" t="s">
        <v>7594</v>
      </c>
      <c r="M38" s="8" t="s">
        <v>7595</v>
      </c>
      <c r="N38" s="8" t="str">
        <f>HYPERLINK("https://seichotoushi-hojo.jp/assets/pdf/koufu/outline_129.pdf","PDFを開く")</f>
        <v>PDFを開く</v>
      </c>
      <c r="O38" s="8" t="s">
        <v>377</v>
      </c>
    </row>
    <row r="39" spans="1:15" ht="120" customHeight="1">
      <c r="A39" s="5" t="s">
        <v>378</v>
      </c>
      <c r="B39" s="5" t="s">
        <v>73</v>
      </c>
      <c r="C39" s="9" t="s">
        <v>379</v>
      </c>
      <c r="D39" s="9" t="s">
        <v>7596</v>
      </c>
      <c r="E39" s="9"/>
      <c r="F39" s="9" t="s">
        <v>7597</v>
      </c>
      <c r="G39" s="9" t="s">
        <v>7598</v>
      </c>
      <c r="H39" s="9" t="s">
        <v>7599</v>
      </c>
      <c r="I39" s="9"/>
      <c r="J39" s="9" t="s">
        <v>7600</v>
      </c>
      <c r="K39" s="9" t="s">
        <v>7601</v>
      </c>
      <c r="L39" s="9" t="s">
        <v>7602</v>
      </c>
      <c r="M39" s="9" t="s">
        <v>7603</v>
      </c>
      <c r="N39" s="9" t="str">
        <f>HYPERLINK("https://seichotoushi-hojo.jp/assets/pdf/koufu/outline_13.pdf","PDFを開く")</f>
        <v>PDFを開く</v>
      </c>
      <c r="O39" s="9" t="s">
        <v>385</v>
      </c>
    </row>
    <row r="40" spans="1:15" ht="120" customHeight="1">
      <c r="A40" s="2" t="s">
        <v>386</v>
      </c>
      <c r="B40" s="2" t="s">
        <v>73</v>
      </c>
      <c r="C40" s="8" t="s">
        <v>387</v>
      </c>
      <c r="D40" s="8" t="s">
        <v>7604</v>
      </c>
      <c r="E40" s="8"/>
      <c r="F40" s="8" t="s">
        <v>7605</v>
      </c>
      <c r="G40" s="8" t="s">
        <v>7606</v>
      </c>
      <c r="H40" s="8" t="s">
        <v>7607</v>
      </c>
      <c r="I40" s="8"/>
      <c r="J40" s="8" t="s">
        <v>391</v>
      </c>
      <c r="K40" s="8" t="s">
        <v>7608</v>
      </c>
      <c r="L40" s="8" t="s">
        <v>7609</v>
      </c>
      <c r="M40" s="8" t="s">
        <v>7610</v>
      </c>
      <c r="N40" s="8" t="str">
        <f>HYPERLINK("https://seichotoushi-hojo.jp/assets/pdf/koufu/outline_130.pdf","PDFを開く")</f>
        <v>PDFを開く</v>
      </c>
      <c r="O40" s="8" t="s">
        <v>394</v>
      </c>
    </row>
    <row r="41" spans="1:15" ht="120" customHeight="1">
      <c r="A41" s="5" t="s">
        <v>395</v>
      </c>
      <c r="B41" s="5" t="s">
        <v>73</v>
      </c>
      <c r="C41" s="9" t="s">
        <v>396</v>
      </c>
      <c r="D41" s="9" t="s">
        <v>7611</v>
      </c>
      <c r="E41" s="9"/>
      <c r="F41" s="9" t="s">
        <v>7612</v>
      </c>
      <c r="G41" s="9" t="s">
        <v>7613</v>
      </c>
      <c r="H41" s="9" t="s">
        <v>7614</v>
      </c>
      <c r="I41" s="9"/>
      <c r="J41" s="9" t="s">
        <v>401</v>
      </c>
      <c r="K41" s="9" t="s">
        <v>7615</v>
      </c>
      <c r="L41" s="9" t="s">
        <v>7616</v>
      </c>
      <c r="M41" s="9" t="s">
        <v>7617</v>
      </c>
      <c r="N41" s="9" t="str">
        <f>HYPERLINK("https://seichotoushi-hojo.jp/assets/pdf/koufu/outline_131.pdf","PDFを開く")</f>
        <v>PDFを開く</v>
      </c>
      <c r="O41" s="9" t="s">
        <v>403</v>
      </c>
    </row>
    <row r="42" spans="1:15" ht="120" customHeight="1">
      <c r="A42" s="2" t="s">
        <v>404</v>
      </c>
      <c r="B42" s="2" t="s">
        <v>73</v>
      </c>
      <c r="C42" s="8" t="s">
        <v>405</v>
      </c>
      <c r="D42" s="8" t="s">
        <v>7618</v>
      </c>
      <c r="E42" s="8"/>
      <c r="F42" s="8" t="s">
        <v>7619</v>
      </c>
      <c r="G42" s="8" t="s">
        <v>7620</v>
      </c>
      <c r="H42" s="8" t="s">
        <v>7621</v>
      </c>
      <c r="I42" s="8"/>
      <c r="J42" s="8" t="s">
        <v>409</v>
      </c>
      <c r="K42" s="8" t="s">
        <v>7622</v>
      </c>
      <c r="L42" s="8" t="s">
        <v>7623</v>
      </c>
      <c r="M42" s="8" t="s">
        <v>7624</v>
      </c>
      <c r="N42" s="8" t="str">
        <f>HYPERLINK("https://seichotoushi-hojo.jp/assets/pdf/koufu/outline_132.pdf","PDFを開く")</f>
        <v>PDFを開く</v>
      </c>
      <c r="O42" s="8" t="s">
        <v>411</v>
      </c>
    </row>
    <row r="43" spans="1:15" ht="120" customHeight="1">
      <c r="A43" s="5" t="s">
        <v>412</v>
      </c>
      <c r="B43" s="5" t="s">
        <v>73</v>
      </c>
      <c r="C43" s="9" t="s">
        <v>413</v>
      </c>
      <c r="D43" s="9" t="s">
        <v>7625</v>
      </c>
      <c r="E43" s="9"/>
      <c r="F43" s="9" t="s">
        <v>7626</v>
      </c>
      <c r="G43" s="9" t="s">
        <v>7627</v>
      </c>
      <c r="H43" s="9" t="s">
        <v>7628</v>
      </c>
      <c r="I43" s="9"/>
      <c r="J43" s="9" t="s">
        <v>419</v>
      </c>
      <c r="K43" s="9" t="s">
        <v>7629</v>
      </c>
      <c r="L43" s="9" t="s">
        <v>7630</v>
      </c>
      <c r="M43" s="9" t="s">
        <v>7631</v>
      </c>
      <c r="N43" s="9" t="str">
        <f>HYPERLINK("https://seichotoushi-hojo.jp/assets/pdf/koufu/outline_134.pdf","PDFを開く")</f>
        <v>PDFを開く</v>
      </c>
      <c r="O43" s="9" t="s">
        <v>422</v>
      </c>
    </row>
    <row r="44" spans="1:15" ht="120" customHeight="1">
      <c r="A44" s="2" t="s">
        <v>423</v>
      </c>
      <c r="B44" s="2" t="s">
        <v>73</v>
      </c>
      <c r="C44" s="8" t="s">
        <v>424</v>
      </c>
      <c r="D44" s="8" t="s">
        <v>7632</v>
      </c>
      <c r="E44" s="8"/>
      <c r="F44" s="8" t="s">
        <v>7633</v>
      </c>
      <c r="G44" s="8" t="s">
        <v>7634</v>
      </c>
      <c r="H44" s="8" t="s">
        <v>7635</v>
      </c>
      <c r="I44" s="8"/>
      <c r="J44" s="8" t="s">
        <v>428</v>
      </c>
      <c r="K44" s="8" t="s">
        <v>7636</v>
      </c>
      <c r="L44" s="8" t="s">
        <v>7637</v>
      </c>
      <c r="M44" s="8" t="s">
        <v>7638</v>
      </c>
      <c r="N44" s="8" t="str">
        <f>HYPERLINK("https://seichotoushi-hojo.jp/assets/pdf/koufu/outline_135.pdf","PDFを開く")</f>
        <v>PDFを開く</v>
      </c>
      <c r="O44" s="8" t="s">
        <v>430</v>
      </c>
    </row>
    <row r="45" spans="1:15" ht="120" customHeight="1">
      <c r="A45" s="5" t="s">
        <v>431</v>
      </c>
      <c r="B45" s="5" t="s">
        <v>73</v>
      </c>
      <c r="C45" s="9" t="s">
        <v>432</v>
      </c>
      <c r="D45" s="9" t="s">
        <v>7639</v>
      </c>
      <c r="E45" s="9"/>
      <c r="F45" s="9" t="s">
        <v>7640</v>
      </c>
      <c r="G45" s="9" t="s">
        <v>7641</v>
      </c>
      <c r="H45" s="9" t="s">
        <v>7642</v>
      </c>
      <c r="I45" s="9"/>
      <c r="J45" s="9" t="s">
        <v>436</v>
      </c>
      <c r="K45" s="9" t="s">
        <v>7643</v>
      </c>
      <c r="L45" s="9" t="s">
        <v>7644</v>
      </c>
      <c r="M45" s="9" t="s">
        <v>7645</v>
      </c>
      <c r="N45" s="9" t="str">
        <f>HYPERLINK("https://seichotoushi-hojo.jp/assets/pdf/koufu/outline_136.pdf","PDFを開く")</f>
        <v>PDFを開く</v>
      </c>
      <c r="O45" s="9" t="s">
        <v>439</v>
      </c>
    </row>
    <row r="46" spans="1:15" ht="120" customHeight="1">
      <c r="A46" s="2" t="s">
        <v>440</v>
      </c>
      <c r="B46" s="2" t="s">
        <v>73</v>
      </c>
      <c r="C46" s="8" t="s">
        <v>441</v>
      </c>
      <c r="D46" s="8" t="s">
        <v>7646</v>
      </c>
      <c r="E46" s="8"/>
      <c r="F46" s="8" t="s">
        <v>7647</v>
      </c>
      <c r="G46" s="8" t="s">
        <v>7648</v>
      </c>
      <c r="H46" s="8" t="s">
        <v>7649</v>
      </c>
      <c r="I46" s="8"/>
      <c r="J46" s="8" t="s">
        <v>445</v>
      </c>
      <c r="K46" s="8" t="s">
        <v>7650</v>
      </c>
      <c r="L46" s="8" t="s">
        <v>7651</v>
      </c>
      <c r="M46" s="8" t="s">
        <v>7652</v>
      </c>
      <c r="N46" s="8" t="str">
        <f>HYPERLINK("https://seichotoushi-hojo.jp/assets/pdf/koufu/outline_137.pdf","PDFを開く")</f>
        <v>PDFを開く</v>
      </c>
      <c r="O46" s="8" t="s">
        <v>449</v>
      </c>
    </row>
    <row r="47" spans="1:15" ht="120" customHeight="1">
      <c r="A47" s="5" t="s">
        <v>450</v>
      </c>
      <c r="B47" s="5" t="s">
        <v>73</v>
      </c>
      <c r="C47" s="9" t="s">
        <v>451</v>
      </c>
      <c r="D47" s="9" t="s">
        <v>7653</v>
      </c>
      <c r="E47" s="9"/>
      <c r="F47" s="9" t="s">
        <v>7654</v>
      </c>
      <c r="G47" s="9" t="s">
        <v>7655</v>
      </c>
      <c r="H47" s="9" t="s">
        <v>7656</v>
      </c>
      <c r="I47" s="9"/>
      <c r="J47" s="9" t="s">
        <v>455</v>
      </c>
      <c r="K47" s="9" t="s">
        <v>7657</v>
      </c>
      <c r="L47" s="9" t="s">
        <v>7658</v>
      </c>
      <c r="M47" s="9" t="s">
        <v>7659</v>
      </c>
      <c r="N47" s="9" t="str">
        <f>HYPERLINK("https://seichotoushi-hojo.jp/assets/pdf/koufu/outline_138.pdf","PDFを開く")</f>
        <v>PDFを開く</v>
      </c>
      <c r="O47" s="9" t="s">
        <v>458</v>
      </c>
    </row>
    <row r="48" spans="1:15" ht="120" customHeight="1">
      <c r="A48" s="2" t="s">
        <v>459</v>
      </c>
      <c r="B48" s="2" t="s">
        <v>73</v>
      </c>
      <c r="C48" s="8" t="s">
        <v>460</v>
      </c>
      <c r="D48" s="8" t="s">
        <v>7660</v>
      </c>
      <c r="E48" s="8"/>
      <c r="F48" s="8" t="s">
        <v>7661</v>
      </c>
      <c r="G48" s="8" t="s">
        <v>7662</v>
      </c>
      <c r="H48" s="8" t="s">
        <v>7663</v>
      </c>
      <c r="I48" s="8"/>
      <c r="J48" s="8" t="s">
        <v>463</v>
      </c>
      <c r="K48" s="8" t="s">
        <v>7664</v>
      </c>
      <c r="L48" s="8" t="s">
        <v>7665</v>
      </c>
      <c r="M48" s="8" t="s">
        <v>7666</v>
      </c>
      <c r="N48" s="8" t="str">
        <f>HYPERLINK("https://seichotoushi-hojo.jp/assets/pdf/koufu/outline_139.pdf","PDFを開く")</f>
        <v>PDFを開く</v>
      </c>
      <c r="O48" s="8" t="s">
        <v>466</v>
      </c>
    </row>
    <row r="49" spans="1:15" ht="120" customHeight="1">
      <c r="A49" s="5" t="s">
        <v>467</v>
      </c>
      <c r="B49" s="5" t="s">
        <v>73</v>
      </c>
      <c r="C49" s="9" t="s">
        <v>468</v>
      </c>
      <c r="D49" s="9" t="s">
        <v>7667</v>
      </c>
      <c r="E49" s="9"/>
      <c r="F49" s="9" t="s">
        <v>7668</v>
      </c>
      <c r="G49" s="9" t="s">
        <v>7669</v>
      </c>
      <c r="H49" s="9" t="s">
        <v>7670</v>
      </c>
      <c r="I49" s="9" t="s">
        <v>7671</v>
      </c>
      <c r="J49" s="9" t="s">
        <v>472</v>
      </c>
      <c r="K49" s="9" t="s">
        <v>7672</v>
      </c>
      <c r="L49" s="9" t="s">
        <v>7673</v>
      </c>
      <c r="M49" s="9" t="s">
        <v>7674</v>
      </c>
      <c r="N49" s="9" t="str">
        <f>HYPERLINK("https://seichotoushi-hojo.jp/assets/pdf/koufu/outline_14.pdf","PDFを開く")</f>
        <v>PDFを開く</v>
      </c>
      <c r="O49" s="9" t="s">
        <v>475</v>
      </c>
    </row>
    <row r="50" spans="1:15" ht="120" customHeight="1">
      <c r="A50" s="2" t="s">
        <v>476</v>
      </c>
      <c r="B50" s="2" t="s">
        <v>73</v>
      </c>
      <c r="C50" s="8" t="s">
        <v>477</v>
      </c>
      <c r="D50" s="8" t="s">
        <v>7675</v>
      </c>
      <c r="E50" s="8"/>
      <c r="F50" s="8" t="s">
        <v>7676</v>
      </c>
      <c r="G50" s="8" t="s">
        <v>7677</v>
      </c>
      <c r="H50" s="8" t="s">
        <v>7678</v>
      </c>
      <c r="I50" s="8"/>
      <c r="J50" s="8"/>
      <c r="K50" s="8" t="s">
        <v>7679</v>
      </c>
      <c r="L50" s="8" t="s">
        <v>7680</v>
      </c>
      <c r="M50" s="8" t="s">
        <v>7681</v>
      </c>
      <c r="N50" s="8" t="str">
        <f>HYPERLINK("https://seichotoushi-hojo.jp/assets/pdf/koufu/outline_140.pdf","PDFを開く")</f>
        <v>PDFを開く</v>
      </c>
      <c r="O50" s="8" t="s">
        <v>484</v>
      </c>
    </row>
    <row r="51" spans="1:15" ht="120" customHeight="1">
      <c r="A51" s="5" t="s">
        <v>485</v>
      </c>
      <c r="B51" s="5" t="s">
        <v>73</v>
      </c>
      <c r="C51" s="9" t="s">
        <v>486</v>
      </c>
      <c r="D51" s="9" t="s">
        <v>7682</v>
      </c>
      <c r="E51" s="9"/>
      <c r="F51" s="9" t="s">
        <v>7683</v>
      </c>
      <c r="G51" s="9" t="s">
        <v>7684</v>
      </c>
      <c r="H51" s="9" t="s">
        <v>7685</v>
      </c>
      <c r="I51" s="9"/>
      <c r="J51" s="9" t="s">
        <v>7686</v>
      </c>
      <c r="K51" s="9" t="s">
        <v>7687</v>
      </c>
      <c r="L51" s="9" t="s">
        <v>7688</v>
      </c>
      <c r="M51" s="9" t="s">
        <v>7689</v>
      </c>
      <c r="N51" s="9" t="str">
        <f>HYPERLINK("https://seichotoushi-hojo.jp/assets/pdf/koufu/outline_141.pdf","PDFを開く")</f>
        <v>PDFを開く</v>
      </c>
      <c r="O51" s="9" t="s">
        <v>494</v>
      </c>
    </row>
    <row r="52" spans="1:15" ht="120" customHeight="1">
      <c r="A52" s="2" t="s">
        <v>495</v>
      </c>
      <c r="B52" s="2" t="s">
        <v>73</v>
      </c>
      <c r="C52" s="8" t="s">
        <v>496</v>
      </c>
      <c r="D52" s="8" t="s">
        <v>7690</v>
      </c>
      <c r="E52" s="8"/>
      <c r="F52" s="8" t="s">
        <v>7691</v>
      </c>
      <c r="G52" s="8" t="s">
        <v>7692</v>
      </c>
      <c r="H52" s="8" t="s">
        <v>7693</v>
      </c>
      <c r="I52" s="8"/>
      <c r="J52" s="8" t="s">
        <v>501</v>
      </c>
      <c r="K52" s="8" t="s">
        <v>7694</v>
      </c>
      <c r="L52" s="8" t="s">
        <v>7695</v>
      </c>
      <c r="M52" s="8" t="s">
        <v>7696</v>
      </c>
      <c r="N52" s="8" t="str">
        <f>HYPERLINK("https://seichotoushi-hojo.jp/assets/pdf/koufu/outline_143.pdf","PDFを開く")</f>
        <v>PDFを開く</v>
      </c>
      <c r="O52" s="8" t="s">
        <v>503</v>
      </c>
    </row>
    <row r="53" spans="1:15" ht="120" customHeight="1">
      <c r="A53" s="5" t="s">
        <v>504</v>
      </c>
      <c r="B53" s="5" t="s">
        <v>73</v>
      </c>
      <c r="C53" s="9" t="s">
        <v>505</v>
      </c>
      <c r="D53" s="9" t="s">
        <v>7697</v>
      </c>
      <c r="E53" s="9"/>
      <c r="F53" s="9" t="s">
        <v>7698</v>
      </c>
      <c r="G53" s="9" t="s">
        <v>7699</v>
      </c>
      <c r="H53" s="9" t="s">
        <v>7700</v>
      </c>
      <c r="I53" s="9"/>
      <c r="J53" s="9" t="s">
        <v>509</v>
      </c>
      <c r="K53" s="9" t="s">
        <v>7701</v>
      </c>
      <c r="L53" s="9" t="s">
        <v>7702</v>
      </c>
      <c r="M53" s="9" t="s">
        <v>7703</v>
      </c>
      <c r="N53" s="9" t="str">
        <f>HYPERLINK("https://seichotoushi-hojo.jp/assets/pdf/koufu/outline_145.pdf","PDFを開く")</f>
        <v>PDFを開く</v>
      </c>
      <c r="O53" s="9" t="s">
        <v>512</v>
      </c>
    </row>
    <row r="54" spans="1:15" ht="120" customHeight="1">
      <c r="A54" s="2" t="s">
        <v>513</v>
      </c>
      <c r="B54" s="2" t="s">
        <v>73</v>
      </c>
      <c r="C54" s="8" t="s">
        <v>514</v>
      </c>
      <c r="D54" s="8" t="s">
        <v>7704</v>
      </c>
      <c r="E54" s="8"/>
      <c r="F54" s="8" t="s">
        <v>7705</v>
      </c>
      <c r="G54" s="8" t="s">
        <v>7706</v>
      </c>
      <c r="H54" s="8" t="s">
        <v>7707</v>
      </c>
      <c r="I54" s="8"/>
      <c r="J54" s="8" t="s">
        <v>518</v>
      </c>
      <c r="K54" s="8" t="s">
        <v>7708</v>
      </c>
      <c r="L54" s="8" t="s">
        <v>7709</v>
      </c>
      <c r="M54" s="8" t="s">
        <v>7710</v>
      </c>
      <c r="N54" s="8" t="str">
        <f>HYPERLINK("https://seichotoushi-hojo.jp/assets/pdf/koufu/outline_146.pdf","PDFを開く")</f>
        <v>PDFを開く</v>
      </c>
      <c r="O54" s="8" t="s">
        <v>520</v>
      </c>
    </row>
    <row r="55" spans="1:15" ht="120" customHeight="1">
      <c r="A55" s="5" t="s">
        <v>521</v>
      </c>
      <c r="B55" s="5" t="s">
        <v>73</v>
      </c>
      <c r="C55" s="9" t="s">
        <v>522</v>
      </c>
      <c r="D55" s="9" t="s">
        <v>7711</v>
      </c>
      <c r="E55" s="9"/>
      <c r="F55" s="9" t="s">
        <v>7712</v>
      </c>
      <c r="G55" s="9" t="s">
        <v>7713</v>
      </c>
      <c r="H55" s="9" t="s">
        <v>7714</v>
      </c>
      <c r="I55" s="9"/>
      <c r="J55" s="9" t="s">
        <v>526</v>
      </c>
      <c r="K55" s="9" t="s">
        <v>7715</v>
      </c>
      <c r="L55" s="9" t="s">
        <v>7716</v>
      </c>
      <c r="M55" s="9" t="s">
        <v>7717</v>
      </c>
      <c r="N55" s="9" t="str">
        <f>HYPERLINK("https://seichotoushi-hojo.jp/assets/pdf/koufu/outline_147.pdf","PDFを開く")</f>
        <v>PDFを開く</v>
      </c>
      <c r="O55" s="9" t="s">
        <v>529</v>
      </c>
    </row>
    <row r="56" spans="1:15" ht="120" customHeight="1">
      <c r="A56" s="2" t="s">
        <v>530</v>
      </c>
      <c r="B56" s="2" t="s">
        <v>73</v>
      </c>
      <c r="C56" s="8" t="s">
        <v>531</v>
      </c>
      <c r="D56" s="8" t="s">
        <v>7718</v>
      </c>
      <c r="E56" s="8"/>
      <c r="F56" s="8" t="s">
        <v>7719</v>
      </c>
      <c r="G56" s="8" t="s">
        <v>7720</v>
      </c>
      <c r="H56" s="8" t="s">
        <v>7721</v>
      </c>
      <c r="I56" s="8"/>
      <c r="J56" s="8" t="s">
        <v>535</v>
      </c>
      <c r="K56" s="8" t="s">
        <v>7722</v>
      </c>
      <c r="L56" s="8" t="s">
        <v>7723</v>
      </c>
      <c r="M56" s="8" t="s">
        <v>7724</v>
      </c>
      <c r="N56" s="8" t="str">
        <f>HYPERLINK("https://seichotoushi-hojo.jp/assets/pdf/koufu/outline_148.pdf","PDFを開く")</f>
        <v>PDFを開く</v>
      </c>
      <c r="O56" s="8" t="s">
        <v>538</v>
      </c>
    </row>
    <row r="57" spans="1:15" ht="120" customHeight="1">
      <c r="A57" s="5" t="s">
        <v>539</v>
      </c>
      <c r="B57" s="5" t="s">
        <v>73</v>
      </c>
      <c r="C57" s="9" t="s">
        <v>540</v>
      </c>
      <c r="D57" s="9" t="s">
        <v>7725</v>
      </c>
      <c r="E57" s="9"/>
      <c r="F57" s="9" t="s">
        <v>7726</v>
      </c>
      <c r="G57" s="9" t="s">
        <v>7727</v>
      </c>
      <c r="H57" s="9" t="s">
        <v>7728</v>
      </c>
      <c r="I57" s="9"/>
      <c r="J57" s="9" t="s">
        <v>544</v>
      </c>
      <c r="K57" s="9" t="s">
        <v>7729</v>
      </c>
      <c r="L57" s="9" t="s">
        <v>7730</v>
      </c>
      <c r="M57" s="9" t="s">
        <v>7731</v>
      </c>
      <c r="N57" s="9" t="str">
        <f>HYPERLINK("https://seichotoushi-hojo.jp/assets/pdf/koufu/outline_149.pdf","PDFを開く")</f>
        <v>PDFを開く</v>
      </c>
      <c r="O57" s="9" t="s">
        <v>547</v>
      </c>
    </row>
    <row r="58" spans="1:15" ht="120" customHeight="1">
      <c r="A58" s="2" t="s">
        <v>548</v>
      </c>
      <c r="B58" s="2" t="s">
        <v>73</v>
      </c>
      <c r="C58" s="8" t="s">
        <v>549</v>
      </c>
      <c r="D58" s="8" t="s">
        <v>7732</v>
      </c>
      <c r="E58" s="8"/>
      <c r="F58" s="8" t="s">
        <v>7733</v>
      </c>
      <c r="G58" s="8" t="s">
        <v>7734</v>
      </c>
      <c r="H58" s="8" t="s">
        <v>7735</v>
      </c>
      <c r="I58" s="8"/>
      <c r="J58" s="8" t="s">
        <v>553</v>
      </c>
      <c r="K58" s="8" t="s">
        <v>7736</v>
      </c>
      <c r="L58" s="8" t="s">
        <v>7737</v>
      </c>
      <c r="M58" s="8" t="s">
        <v>7738</v>
      </c>
      <c r="N58" s="8" t="str">
        <f>HYPERLINK("https://seichotoushi-hojo.jp/assets/pdf/koufu/outline_150.pdf","PDFを開く")</f>
        <v>PDFを開く</v>
      </c>
      <c r="O58" s="8" t="s">
        <v>556</v>
      </c>
    </row>
    <row r="59" spans="1:15" ht="120" customHeight="1">
      <c r="A59" s="5" t="s">
        <v>557</v>
      </c>
      <c r="B59" s="5" t="s">
        <v>73</v>
      </c>
      <c r="C59" s="9" t="s">
        <v>558</v>
      </c>
      <c r="D59" s="9" t="s">
        <v>7739</v>
      </c>
      <c r="E59" s="9"/>
      <c r="F59" s="9" t="s">
        <v>7740</v>
      </c>
      <c r="G59" s="9" t="s">
        <v>7741</v>
      </c>
      <c r="H59" s="9" t="s">
        <v>7742</v>
      </c>
      <c r="I59" s="9"/>
      <c r="J59" s="9" t="s">
        <v>562</v>
      </c>
      <c r="K59" s="9" t="s">
        <v>7743</v>
      </c>
      <c r="L59" s="9" t="s">
        <v>7744</v>
      </c>
      <c r="M59" s="9" t="s">
        <v>7745</v>
      </c>
      <c r="N59" s="9" t="str">
        <f>HYPERLINK("https://seichotoushi-hojo.jp/assets/pdf/koufu/outline_151.pdf","PDFを開く")</f>
        <v>PDFを開く</v>
      </c>
      <c r="O59" s="9" t="s">
        <v>564</v>
      </c>
    </row>
    <row r="60" spans="1:15" ht="120" customHeight="1">
      <c r="A60" s="2" t="s">
        <v>565</v>
      </c>
      <c r="B60" s="2" t="s">
        <v>73</v>
      </c>
      <c r="C60" s="8" t="s">
        <v>566</v>
      </c>
      <c r="D60" s="8" t="s">
        <v>7746</v>
      </c>
      <c r="E60" s="8"/>
      <c r="F60" s="8" t="s">
        <v>7747</v>
      </c>
      <c r="G60" s="8" t="s">
        <v>7748</v>
      </c>
      <c r="H60" s="8" t="s">
        <v>7749</v>
      </c>
      <c r="I60" s="8"/>
      <c r="J60" s="8" t="s">
        <v>570</v>
      </c>
      <c r="K60" s="8" t="s">
        <v>7750</v>
      </c>
      <c r="L60" s="8" t="s">
        <v>7751</v>
      </c>
      <c r="M60" s="8" t="s">
        <v>7752</v>
      </c>
      <c r="N60" s="8" t="str">
        <f>HYPERLINK("https://seichotoushi-hojo.jp/assets/pdf/koufu/outline_152.pdf","PDFを開く")</f>
        <v>PDFを開く</v>
      </c>
      <c r="O60" s="8" t="s">
        <v>572</v>
      </c>
    </row>
    <row r="61" spans="1:15" ht="120" customHeight="1">
      <c r="A61" s="5" t="s">
        <v>573</v>
      </c>
      <c r="B61" s="5" t="s">
        <v>73</v>
      </c>
      <c r="C61" s="9" t="s">
        <v>574</v>
      </c>
      <c r="D61" s="9" t="s">
        <v>7753</v>
      </c>
      <c r="E61" s="9"/>
      <c r="F61" s="9" t="s">
        <v>7754</v>
      </c>
      <c r="G61" s="9" t="s">
        <v>7755</v>
      </c>
      <c r="H61" s="9" t="s">
        <v>7756</v>
      </c>
      <c r="I61" s="9"/>
      <c r="J61" s="9" t="s">
        <v>578</v>
      </c>
      <c r="K61" s="9" t="s">
        <v>7757</v>
      </c>
      <c r="L61" s="9" t="s">
        <v>7758</v>
      </c>
      <c r="M61" s="9" t="s">
        <v>7759</v>
      </c>
      <c r="N61" s="9" t="str">
        <f>HYPERLINK("https://seichotoushi-hojo.jp/assets/pdf/koufu/outline_153.pdf","PDFを開く")</f>
        <v>PDFを開く</v>
      </c>
      <c r="O61" s="9" t="s">
        <v>581</v>
      </c>
    </row>
    <row r="62" spans="1:15" ht="120" customHeight="1">
      <c r="A62" s="2" t="s">
        <v>582</v>
      </c>
      <c r="B62" s="2" t="s">
        <v>73</v>
      </c>
      <c r="C62" s="8" t="s">
        <v>583</v>
      </c>
      <c r="D62" s="8" t="s">
        <v>7760</v>
      </c>
      <c r="E62" s="8"/>
      <c r="F62" s="8" t="s">
        <v>7761</v>
      </c>
      <c r="G62" s="8" t="s">
        <v>7762</v>
      </c>
      <c r="H62" s="8" t="s">
        <v>7763</v>
      </c>
      <c r="I62" s="8"/>
      <c r="J62" s="8" t="s">
        <v>7764</v>
      </c>
      <c r="K62" s="8" t="s">
        <v>7765</v>
      </c>
      <c r="L62" s="8" t="s">
        <v>7766</v>
      </c>
      <c r="M62" s="8" t="s">
        <v>7767</v>
      </c>
      <c r="N62" s="8" t="str">
        <f>HYPERLINK("https://seichotoushi-hojo.jp/assets/pdf/koufu/outline_154.pdf","PDFを開く")</f>
        <v>PDFを開く</v>
      </c>
      <c r="O62" s="8" t="s">
        <v>591</v>
      </c>
    </row>
    <row r="63" spans="1:15" ht="120" customHeight="1">
      <c r="A63" s="5" t="s">
        <v>592</v>
      </c>
      <c r="B63" s="5" t="s">
        <v>73</v>
      </c>
      <c r="C63" s="9" t="s">
        <v>593</v>
      </c>
      <c r="D63" s="9" t="s">
        <v>7768</v>
      </c>
      <c r="E63" s="9"/>
      <c r="F63" s="9" t="s">
        <v>7769</v>
      </c>
      <c r="G63" s="9" t="s">
        <v>7770</v>
      </c>
      <c r="H63" s="9" t="s">
        <v>7771</v>
      </c>
      <c r="I63" s="9"/>
      <c r="J63" s="9" t="s">
        <v>597</v>
      </c>
      <c r="K63" s="9" t="s">
        <v>7772</v>
      </c>
      <c r="L63" s="9" t="s">
        <v>7773</v>
      </c>
      <c r="M63" s="9" t="s">
        <v>7774</v>
      </c>
      <c r="N63" s="9" t="str">
        <f>HYPERLINK("https://seichotoushi-hojo.jp/assets/pdf/koufu/outline_155.pdf","PDFを開く")</f>
        <v>PDFを開く</v>
      </c>
      <c r="O63" s="9" t="s">
        <v>600</v>
      </c>
    </row>
    <row r="64" spans="1:15" ht="120" customHeight="1">
      <c r="A64" s="2" t="s">
        <v>601</v>
      </c>
      <c r="B64" s="2" t="s">
        <v>73</v>
      </c>
      <c r="C64" s="8" t="s">
        <v>602</v>
      </c>
      <c r="D64" s="8" t="s">
        <v>7775</v>
      </c>
      <c r="E64" s="8"/>
      <c r="F64" s="8" t="s">
        <v>7776</v>
      </c>
      <c r="G64" s="8" t="s">
        <v>7777</v>
      </c>
      <c r="H64" s="8" t="s">
        <v>7778</v>
      </c>
      <c r="I64" s="8"/>
      <c r="J64" s="8" t="s">
        <v>605</v>
      </c>
      <c r="K64" s="8" t="s">
        <v>7779</v>
      </c>
      <c r="L64" s="8" t="s">
        <v>7780</v>
      </c>
      <c r="M64" s="8" t="s">
        <v>7781</v>
      </c>
      <c r="N64" s="8" t="str">
        <f>HYPERLINK("https://seichotoushi-hojo.jp/assets/pdf/koufu/outline_156.pdf","PDFを開く")</f>
        <v>PDFを開く</v>
      </c>
      <c r="O64" s="8" t="s">
        <v>608</v>
      </c>
    </row>
    <row r="65" spans="1:15" ht="120" customHeight="1">
      <c r="A65" s="5" t="s">
        <v>609</v>
      </c>
      <c r="B65" s="5" t="s">
        <v>73</v>
      </c>
      <c r="C65" s="9" t="s">
        <v>610</v>
      </c>
      <c r="D65" s="9" t="s">
        <v>7782</v>
      </c>
      <c r="E65" s="9"/>
      <c r="F65" s="9" t="s">
        <v>7783</v>
      </c>
      <c r="G65" s="9" t="s">
        <v>7784</v>
      </c>
      <c r="H65" s="9" t="s">
        <v>7785</v>
      </c>
      <c r="I65" s="9"/>
      <c r="J65" s="9" t="s">
        <v>614</v>
      </c>
      <c r="K65" s="9" t="s">
        <v>7786</v>
      </c>
      <c r="L65" s="9" t="s">
        <v>7787</v>
      </c>
      <c r="M65" s="9" t="s">
        <v>7788</v>
      </c>
      <c r="N65" s="9" t="str">
        <f>HYPERLINK("https://seichotoushi-hojo.jp/assets/pdf/koufu/outline_157.pdf","PDFを開く")</f>
        <v>PDFを開く</v>
      </c>
      <c r="O65" s="9" t="s">
        <v>616</v>
      </c>
    </row>
    <row r="66" spans="1:15" ht="120" customHeight="1">
      <c r="A66" s="2" t="s">
        <v>617</v>
      </c>
      <c r="B66" s="2" t="s">
        <v>73</v>
      </c>
      <c r="C66" s="8" t="s">
        <v>618</v>
      </c>
      <c r="D66" s="8" t="s">
        <v>7789</v>
      </c>
      <c r="E66" s="8" t="s">
        <v>7790</v>
      </c>
      <c r="F66" s="8" t="s">
        <v>7791</v>
      </c>
      <c r="G66" s="8" t="s">
        <v>7792</v>
      </c>
      <c r="H66" s="8" t="s">
        <v>7793</v>
      </c>
      <c r="I66" s="8"/>
      <c r="J66" s="8" t="s">
        <v>622</v>
      </c>
      <c r="K66" s="8" t="s">
        <v>7794</v>
      </c>
      <c r="L66" s="8" t="s">
        <v>7795</v>
      </c>
      <c r="M66" s="8" t="s">
        <v>7796</v>
      </c>
      <c r="N66" s="8" t="str">
        <f>HYPERLINK("https://seichotoushi-hojo.jp/assets/pdf/koufu/outline_158.pdf","PDFを開く")</f>
        <v>PDFを開く</v>
      </c>
      <c r="O66" s="8" t="s">
        <v>624</v>
      </c>
    </row>
    <row r="67" spans="1:15" ht="120" customHeight="1">
      <c r="A67" s="5" t="s">
        <v>625</v>
      </c>
      <c r="B67" s="5" t="s">
        <v>73</v>
      </c>
      <c r="C67" s="9" t="s">
        <v>626</v>
      </c>
      <c r="D67" s="9" t="s">
        <v>7797</v>
      </c>
      <c r="E67" s="9"/>
      <c r="F67" s="9" t="s">
        <v>7798</v>
      </c>
      <c r="G67" s="9" t="s">
        <v>7799</v>
      </c>
      <c r="H67" s="9" t="s">
        <v>7800</v>
      </c>
      <c r="I67" s="9"/>
      <c r="J67" s="9" t="s">
        <v>7801</v>
      </c>
      <c r="K67" s="9" t="s">
        <v>7802</v>
      </c>
      <c r="L67" s="9" t="s">
        <v>7803</v>
      </c>
      <c r="M67" s="9" t="s">
        <v>7804</v>
      </c>
      <c r="N67" s="9" t="str">
        <f>HYPERLINK("https://seichotoushi-hojo.jp/assets/pdf/koufu/outline_159.pdf","PDFを開く")</f>
        <v>PDFを開く</v>
      </c>
      <c r="O67" s="9" t="s">
        <v>633</v>
      </c>
    </row>
    <row r="68" spans="1:15" ht="120" customHeight="1">
      <c r="A68" s="2" t="s">
        <v>634</v>
      </c>
      <c r="B68" s="2" t="s">
        <v>73</v>
      </c>
      <c r="C68" s="8" t="s">
        <v>635</v>
      </c>
      <c r="D68" s="8" t="s">
        <v>7805</v>
      </c>
      <c r="E68" s="8"/>
      <c r="F68" s="8" t="s">
        <v>7806</v>
      </c>
      <c r="G68" s="8" t="s">
        <v>7807</v>
      </c>
      <c r="H68" s="8" t="s">
        <v>7808</v>
      </c>
      <c r="I68" s="8"/>
      <c r="J68" s="8" t="s">
        <v>641</v>
      </c>
      <c r="K68" s="8" t="s">
        <v>7809</v>
      </c>
      <c r="L68" s="8" t="s">
        <v>7810</v>
      </c>
      <c r="M68" s="8" t="s">
        <v>7811</v>
      </c>
      <c r="N68" s="8" t="str">
        <f>HYPERLINK("https://seichotoushi-hojo.jp/assets/pdf/koufu/outline_16.pdf","PDFを開く")</f>
        <v>PDFを開く</v>
      </c>
      <c r="O68" s="8" t="s">
        <v>644</v>
      </c>
    </row>
    <row r="69" spans="1:15" ht="120" customHeight="1">
      <c r="A69" s="5" t="s">
        <v>645</v>
      </c>
      <c r="B69" s="5" t="s">
        <v>73</v>
      </c>
      <c r="C69" s="9" t="s">
        <v>646</v>
      </c>
      <c r="D69" s="9" t="s">
        <v>7812</v>
      </c>
      <c r="E69" s="9"/>
      <c r="F69" s="9" t="s">
        <v>7813</v>
      </c>
      <c r="G69" s="9" t="s">
        <v>7814</v>
      </c>
      <c r="H69" s="9" t="s">
        <v>7815</v>
      </c>
      <c r="I69" s="9"/>
      <c r="J69" s="9"/>
      <c r="K69" s="9"/>
      <c r="L69" s="9" t="s">
        <v>7816</v>
      </c>
      <c r="M69" s="9" t="s">
        <v>7817</v>
      </c>
      <c r="N69" s="9" t="str">
        <f>HYPERLINK("https://seichotoushi-hojo.jp/assets/pdf/koufu/outline_162.pdf","PDFを開く")</f>
        <v>PDFを開く</v>
      </c>
      <c r="O69" s="9" t="s">
        <v>652</v>
      </c>
    </row>
    <row r="70" spans="1:15" ht="120" customHeight="1">
      <c r="A70" s="2" t="s">
        <v>653</v>
      </c>
      <c r="B70" s="2" t="s">
        <v>73</v>
      </c>
      <c r="C70" s="8" t="s">
        <v>654</v>
      </c>
      <c r="D70" s="8" t="s">
        <v>7818</v>
      </c>
      <c r="E70" s="8"/>
      <c r="F70" s="8" t="s">
        <v>7819</v>
      </c>
      <c r="G70" s="8" t="s">
        <v>7820</v>
      </c>
      <c r="H70" s="8" t="s">
        <v>7821</v>
      </c>
      <c r="I70" s="8"/>
      <c r="J70" s="8" t="s">
        <v>659</v>
      </c>
      <c r="K70" s="8" t="s">
        <v>7822</v>
      </c>
      <c r="L70" s="8" t="s">
        <v>7823</v>
      </c>
      <c r="M70" s="8" t="s">
        <v>7824</v>
      </c>
      <c r="N70" s="8" t="str">
        <f>HYPERLINK("https://seichotoushi-hojo.jp/assets/pdf/koufu/outline_164.pdf","PDFを開く")</f>
        <v>PDFを開く</v>
      </c>
      <c r="O70" s="8" t="s">
        <v>662</v>
      </c>
    </row>
    <row r="71" spans="1:15" ht="120" customHeight="1">
      <c r="A71" s="5" t="s">
        <v>663</v>
      </c>
      <c r="B71" s="5" t="s">
        <v>73</v>
      </c>
      <c r="C71" s="9" t="s">
        <v>664</v>
      </c>
      <c r="D71" s="9" t="s">
        <v>7825</v>
      </c>
      <c r="E71" s="9"/>
      <c r="F71" s="9" t="s">
        <v>7826</v>
      </c>
      <c r="G71" s="9" t="s">
        <v>7827</v>
      </c>
      <c r="H71" s="9" t="s">
        <v>7828</v>
      </c>
      <c r="I71" s="9"/>
      <c r="J71" s="9" t="s">
        <v>7829</v>
      </c>
      <c r="K71" s="9" t="s">
        <v>7830</v>
      </c>
      <c r="L71" s="9" t="s">
        <v>7831</v>
      </c>
      <c r="M71" s="9" t="s">
        <v>7832</v>
      </c>
      <c r="N71" s="9" t="str">
        <f>HYPERLINK("https://seichotoushi-hojo.jp/assets/pdf/koufu/outline_166.pdf","PDFを開く")</f>
        <v>PDFを開く</v>
      </c>
      <c r="O71" s="9" t="s">
        <v>670</v>
      </c>
    </row>
    <row r="72" spans="1:15" ht="120" customHeight="1">
      <c r="A72" s="2" t="s">
        <v>671</v>
      </c>
      <c r="B72" s="2" t="s">
        <v>73</v>
      </c>
      <c r="C72" s="8" t="s">
        <v>672</v>
      </c>
      <c r="D72" s="8" t="s">
        <v>7833</v>
      </c>
      <c r="E72" s="8"/>
      <c r="F72" s="8" t="s">
        <v>7834</v>
      </c>
      <c r="G72" s="8" t="s">
        <v>7835</v>
      </c>
      <c r="H72" s="8" t="s">
        <v>7836</v>
      </c>
      <c r="I72" s="8"/>
      <c r="J72" s="8" t="s">
        <v>676</v>
      </c>
      <c r="K72" s="8" t="s">
        <v>7837</v>
      </c>
      <c r="L72" s="8" t="s">
        <v>7838</v>
      </c>
      <c r="M72" s="8" t="s">
        <v>7839</v>
      </c>
      <c r="N72" s="8" t="str">
        <f>HYPERLINK("https://seichotoushi-hojo.jp/assets/pdf/koufu/outline_167.pdf","PDFを開く")</f>
        <v>PDFを開く</v>
      </c>
      <c r="O72" s="8" t="s">
        <v>679</v>
      </c>
    </row>
    <row r="73" spans="1:15" ht="120" customHeight="1">
      <c r="A73" s="5" t="s">
        <v>680</v>
      </c>
      <c r="B73" s="5" t="s">
        <v>73</v>
      </c>
      <c r="C73" s="9" t="s">
        <v>681</v>
      </c>
      <c r="D73" s="9" t="s">
        <v>7840</v>
      </c>
      <c r="E73" s="9"/>
      <c r="F73" s="9" t="s">
        <v>7841</v>
      </c>
      <c r="G73" s="9" t="s">
        <v>7842</v>
      </c>
      <c r="H73" s="9" t="s">
        <v>7843</v>
      </c>
      <c r="I73" s="9"/>
      <c r="J73" s="9" t="s">
        <v>685</v>
      </c>
      <c r="K73" s="9" t="s">
        <v>7844</v>
      </c>
      <c r="L73" s="9" t="s">
        <v>7845</v>
      </c>
      <c r="M73" s="9" t="s">
        <v>7846</v>
      </c>
      <c r="N73" s="9" t="str">
        <f>HYPERLINK("https://seichotoushi-hojo.jp/assets/pdf/koufu/outline_168.pdf","PDFを開く")</f>
        <v>PDFを開く</v>
      </c>
      <c r="O73" s="9" t="s">
        <v>687</v>
      </c>
    </row>
    <row r="74" spans="1:15" ht="120" customHeight="1">
      <c r="A74" s="2" t="s">
        <v>688</v>
      </c>
      <c r="B74" s="2" t="s">
        <v>73</v>
      </c>
      <c r="C74" s="8" t="s">
        <v>689</v>
      </c>
      <c r="D74" s="8" t="s">
        <v>7847</v>
      </c>
      <c r="E74" s="8"/>
      <c r="F74" s="8" t="s">
        <v>7848</v>
      </c>
      <c r="G74" s="8" t="s">
        <v>7849</v>
      </c>
      <c r="H74" s="8" t="s">
        <v>7850</v>
      </c>
      <c r="I74" s="8"/>
      <c r="J74" s="8"/>
      <c r="K74" s="8" t="s">
        <v>7851</v>
      </c>
      <c r="L74" s="8" t="s">
        <v>7852</v>
      </c>
      <c r="M74" s="8" t="s">
        <v>7853</v>
      </c>
      <c r="N74" s="8" t="str">
        <f>HYPERLINK("https://seichotoushi-hojo.jp/assets/pdf/koufu/outline_169.pdf","PDFを開く")</f>
        <v>PDFを開く</v>
      </c>
      <c r="O74" s="8" t="s">
        <v>695</v>
      </c>
    </row>
    <row r="75" spans="1:15" ht="120" customHeight="1">
      <c r="A75" s="5" t="s">
        <v>696</v>
      </c>
      <c r="B75" s="5" t="s">
        <v>73</v>
      </c>
      <c r="C75" s="9" t="s">
        <v>697</v>
      </c>
      <c r="D75" s="9" t="s">
        <v>7854</v>
      </c>
      <c r="E75" s="9"/>
      <c r="F75" s="9" t="s">
        <v>7855</v>
      </c>
      <c r="G75" s="9" t="s">
        <v>7856</v>
      </c>
      <c r="H75" s="9" t="s">
        <v>7857</v>
      </c>
      <c r="I75" s="9"/>
      <c r="J75" s="9" t="s">
        <v>701</v>
      </c>
      <c r="K75" s="9" t="s">
        <v>7858</v>
      </c>
      <c r="L75" s="9" t="s">
        <v>7859</v>
      </c>
      <c r="M75" s="9" t="s">
        <v>7860</v>
      </c>
      <c r="N75" s="9" t="str">
        <f>HYPERLINK("https://seichotoushi-hojo.jp/assets/pdf/koufu/outline_17.pdf","PDFを開く")</f>
        <v>PDFを開く</v>
      </c>
      <c r="O75" s="9" t="s">
        <v>704</v>
      </c>
    </row>
    <row r="76" spans="1:15" ht="120" customHeight="1">
      <c r="A76" s="2" t="s">
        <v>705</v>
      </c>
      <c r="B76" s="2" t="s">
        <v>73</v>
      </c>
      <c r="C76" s="8" t="s">
        <v>706</v>
      </c>
      <c r="D76" s="8" t="s">
        <v>7861</v>
      </c>
      <c r="E76" s="8"/>
      <c r="F76" s="8" t="s">
        <v>7862</v>
      </c>
      <c r="G76" s="8" t="s">
        <v>7863</v>
      </c>
      <c r="H76" s="8" t="s">
        <v>7864</v>
      </c>
      <c r="I76" s="8"/>
      <c r="J76" s="8" t="s">
        <v>710</v>
      </c>
      <c r="K76" s="8" t="s">
        <v>7865</v>
      </c>
      <c r="L76" s="8" t="s">
        <v>7866</v>
      </c>
      <c r="M76" s="8" t="s">
        <v>7867</v>
      </c>
      <c r="N76" s="8" t="str">
        <f>HYPERLINK("https://seichotoushi-hojo.jp/assets/pdf/koufu/outline_170.pdf","PDFを開く")</f>
        <v>PDFを開く</v>
      </c>
      <c r="O76" s="8" t="s">
        <v>712</v>
      </c>
    </row>
    <row r="77" spans="1:15" ht="120" customHeight="1">
      <c r="A77" s="5" t="s">
        <v>713</v>
      </c>
      <c r="B77" s="5" t="s">
        <v>73</v>
      </c>
      <c r="C77" s="9" t="s">
        <v>714</v>
      </c>
      <c r="D77" s="9" t="s">
        <v>7868</v>
      </c>
      <c r="E77" s="9"/>
      <c r="F77" s="9" t="s">
        <v>7869</v>
      </c>
      <c r="G77" s="9" t="s">
        <v>7870</v>
      </c>
      <c r="H77" s="9" t="s">
        <v>7871</v>
      </c>
      <c r="I77" s="9"/>
      <c r="J77" s="9" t="s">
        <v>717</v>
      </c>
      <c r="K77" s="9" t="s">
        <v>7872</v>
      </c>
      <c r="L77" s="9" t="s">
        <v>7873</v>
      </c>
      <c r="M77" s="9" t="s">
        <v>7874</v>
      </c>
      <c r="N77" s="9" t="str">
        <f>HYPERLINK("https://seichotoushi-hojo.jp/assets/pdf/koufu/outline_171.pdf","PDFを開く")</f>
        <v>PDFを開く</v>
      </c>
      <c r="O77" s="9" t="s">
        <v>719</v>
      </c>
    </row>
    <row r="78" spans="1:15" ht="120" customHeight="1">
      <c r="A78" s="2" t="s">
        <v>720</v>
      </c>
      <c r="B78" s="2" t="s">
        <v>73</v>
      </c>
      <c r="C78" s="8" t="s">
        <v>721</v>
      </c>
      <c r="D78" s="8" t="s">
        <v>7875</v>
      </c>
      <c r="E78" s="8"/>
      <c r="F78" s="8" t="s">
        <v>7876</v>
      </c>
      <c r="G78" s="8" t="s">
        <v>7877</v>
      </c>
      <c r="H78" s="8" t="s">
        <v>7878</v>
      </c>
      <c r="I78" s="8"/>
      <c r="J78" s="8" t="s">
        <v>725</v>
      </c>
      <c r="K78" s="8" t="s">
        <v>7879</v>
      </c>
      <c r="L78" s="8" t="s">
        <v>7880</v>
      </c>
      <c r="M78" s="8" t="s">
        <v>7881</v>
      </c>
      <c r="N78" s="8" t="str">
        <f>HYPERLINK("https://seichotoushi-hojo.jp/assets/pdf/koufu/outline_173.pdf","PDFを開く")</f>
        <v>PDFを開く</v>
      </c>
      <c r="O78" s="8" t="s">
        <v>727</v>
      </c>
    </row>
    <row r="79" spans="1:15" ht="120" customHeight="1">
      <c r="A79" s="5" t="s">
        <v>728</v>
      </c>
      <c r="B79" s="5" t="s">
        <v>73</v>
      </c>
      <c r="C79" s="9" t="s">
        <v>729</v>
      </c>
      <c r="D79" s="9" t="s">
        <v>7882</v>
      </c>
      <c r="E79" s="9"/>
      <c r="F79" s="9" t="s">
        <v>7883</v>
      </c>
      <c r="G79" s="9" t="s">
        <v>7884</v>
      </c>
      <c r="H79" s="9" t="s">
        <v>7885</v>
      </c>
      <c r="I79" s="9"/>
      <c r="J79" s="9" t="s">
        <v>733</v>
      </c>
      <c r="K79" s="9" t="s">
        <v>7886</v>
      </c>
      <c r="L79" s="9" t="s">
        <v>7887</v>
      </c>
      <c r="M79" s="9" t="s">
        <v>7888</v>
      </c>
      <c r="N79" s="9" t="str">
        <f>HYPERLINK("https://seichotoushi-hojo.jp/assets/pdf/koufu/outline_174.pdf","PDFを開く")</f>
        <v>PDFを開く</v>
      </c>
      <c r="O79" s="9" t="s">
        <v>735</v>
      </c>
    </row>
    <row r="80" spans="1:15" ht="120" customHeight="1">
      <c r="A80" s="2" t="s">
        <v>736</v>
      </c>
      <c r="B80" s="2" t="s">
        <v>73</v>
      </c>
      <c r="C80" s="8" t="s">
        <v>737</v>
      </c>
      <c r="D80" s="8" t="s">
        <v>7889</v>
      </c>
      <c r="E80" s="8"/>
      <c r="F80" s="8" t="s">
        <v>7890</v>
      </c>
      <c r="G80" s="8" t="s">
        <v>7891</v>
      </c>
      <c r="H80" s="8" t="s">
        <v>7892</v>
      </c>
      <c r="I80" s="8"/>
      <c r="J80" s="8" t="s">
        <v>742</v>
      </c>
      <c r="K80" s="8" t="s">
        <v>7893</v>
      </c>
      <c r="L80" s="8" t="s">
        <v>7894</v>
      </c>
      <c r="M80" s="8" t="s">
        <v>7895</v>
      </c>
      <c r="N80" s="8" t="str">
        <f>HYPERLINK("https://seichotoushi-hojo.jp/assets/pdf/koufu/outline_177.pdf","PDFを開く")</f>
        <v>PDFを開く</v>
      </c>
      <c r="O80" s="8" t="s">
        <v>744</v>
      </c>
    </row>
    <row r="81" spans="1:15" ht="120" customHeight="1">
      <c r="A81" s="5" t="s">
        <v>745</v>
      </c>
      <c r="B81" s="5" t="s">
        <v>73</v>
      </c>
      <c r="C81" s="9" t="s">
        <v>746</v>
      </c>
      <c r="D81" s="9" t="s">
        <v>7896</v>
      </c>
      <c r="E81" s="9"/>
      <c r="F81" s="9" t="s">
        <v>7897</v>
      </c>
      <c r="G81" s="9" t="s">
        <v>7898</v>
      </c>
      <c r="H81" s="9" t="s">
        <v>7899</v>
      </c>
      <c r="I81" s="9"/>
      <c r="J81" s="9" t="s">
        <v>750</v>
      </c>
      <c r="K81" s="9" t="s">
        <v>7900</v>
      </c>
      <c r="L81" s="9" t="s">
        <v>7901</v>
      </c>
      <c r="M81" s="9" t="s">
        <v>7902</v>
      </c>
      <c r="N81" s="9" t="str">
        <f>HYPERLINK("https://seichotoushi-hojo.jp/assets/pdf/koufu/outline_19.pdf","PDFを開く")</f>
        <v>PDFを開く</v>
      </c>
      <c r="O81" s="9" t="s">
        <v>752</v>
      </c>
    </row>
    <row r="82" spans="1:15" ht="120" customHeight="1">
      <c r="A82" s="2" t="s">
        <v>753</v>
      </c>
      <c r="B82" s="2" t="s">
        <v>73</v>
      </c>
      <c r="C82" s="8" t="s">
        <v>754</v>
      </c>
      <c r="D82" s="8" t="s">
        <v>7903</v>
      </c>
      <c r="E82" s="8"/>
      <c r="F82" s="8" t="s">
        <v>7904</v>
      </c>
      <c r="G82" s="8" t="s">
        <v>7905</v>
      </c>
      <c r="H82" s="8" t="s">
        <v>7906</v>
      </c>
      <c r="I82" s="8"/>
      <c r="J82" s="8" t="s">
        <v>758</v>
      </c>
      <c r="K82" s="8" t="s">
        <v>7907</v>
      </c>
      <c r="L82" s="8" t="s">
        <v>7908</v>
      </c>
      <c r="M82" s="8" t="s">
        <v>7909</v>
      </c>
      <c r="N82" s="8" t="str">
        <f>HYPERLINK("https://seichotoushi-hojo.jp/assets/pdf/koufu/outline_2.pdf","PDFを開く")</f>
        <v>PDFを開く</v>
      </c>
      <c r="O82" s="8" t="s">
        <v>760</v>
      </c>
    </row>
    <row r="83" spans="1:15" ht="120" customHeight="1">
      <c r="A83" s="5" t="s">
        <v>761</v>
      </c>
      <c r="B83" s="5" t="s">
        <v>73</v>
      </c>
      <c r="C83" s="9" t="s">
        <v>762</v>
      </c>
      <c r="D83" s="9" t="s">
        <v>7910</v>
      </c>
      <c r="E83" s="9"/>
      <c r="F83" s="9" t="s">
        <v>7911</v>
      </c>
      <c r="G83" s="9" t="s">
        <v>7912</v>
      </c>
      <c r="H83" s="9" t="s">
        <v>7913</v>
      </c>
      <c r="I83" s="9"/>
      <c r="J83" s="9"/>
      <c r="K83" s="9" t="s">
        <v>7914</v>
      </c>
      <c r="L83" s="9" t="s">
        <v>7915</v>
      </c>
      <c r="M83" s="9" t="s">
        <v>7916</v>
      </c>
      <c r="N83" s="9" t="str">
        <f>HYPERLINK("https://seichotoushi-hojo.jp/assets/pdf/koufu/outline_20.pdf","PDFを開く")</f>
        <v>PDFを開く</v>
      </c>
      <c r="O83" s="9" t="s">
        <v>768</v>
      </c>
    </row>
    <row r="84" spans="1:15" ht="120" customHeight="1">
      <c r="A84" s="2" t="s">
        <v>769</v>
      </c>
      <c r="B84" s="2" t="s">
        <v>73</v>
      </c>
      <c r="C84" s="8" t="s">
        <v>770</v>
      </c>
      <c r="D84" s="8" t="s">
        <v>7917</v>
      </c>
      <c r="E84" s="8"/>
      <c r="F84" s="8" t="s">
        <v>7918</v>
      </c>
      <c r="G84" s="8" t="s">
        <v>7919</v>
      </c>
      <c r="H84" s="8" t="s">
        <v>7920</v>
      </c>
      <c r="I84" s="8"/>
      <c r="J84" s="8" t="s">
        <v>774</v>
      </c>
      <c r="K84" s="8" t="s">
        <v>7921</v>
      </c>
      <c r="L84" s="8" t="s">
        <v>7922</v>
      </c>
      <c r="M84" s="8" t="s">
        <v>7923</v>
      </c>
      <c r="N84" s="8" t="str">
        <f>HYPERLINK("https://seichotoushi-hojo.jp/assets/pdf/koufu/outline_21.pdf","PDFを開く")</f>
        <v>PDFを開く</v>
      </c>
      <c r="O84" s="8" t="s">
        <v>777</v>
      </c>
    </row>
    <row r="85" spans="1:15" ht="120" customHeight="1">
      <c r="A85" s="5" t="s">
        <v>778</v>
      </c>
      <c r="B85" s="5" t="s">
        <v>73</v>
      </c>
      <c r="C85" s="9" t="s">
        <v>779</v>
      </c>
      <c r="D85" s="9" t="s">
        <v>7924</v>
      </c>
      <c r="E85" s="9"/>
      <c r="F85" s="9" t="s">
        <v>7925</v>
      </c>
      <c r="G85" s="9" t="s">
        <v>7926</v>
      </c>
      <c r="H85" s="9" t="s">
        <v>7927</v>
      </c>
      <c r="I85" s="9"/>
      <c r="J85" s="9" t="s">
        <v>781</v>
      </c>
      <c r="K85" s="9" t="s">
        <v>7928</v>
      </c>
      <c r="L85" s="9" t="s">
        <v>7929</v>
      </c>
      <c r="M85" s="9" t="s">
        <v>7930</v>
      </c>
      <c r="N85" s="9" t="str">
        <f>HYPERLINK("https://seichotoushi-hojo.jp/assets/pdf/koufu/outline_22.pdf","PDFを開く")</f>
        <v>PDFを開く</v>
      </c>
      <c r="O85" s="9" t="s">
        <v>783</v>
      </c>
    </row>
    <row r="86" spans="1:15" ht="120" customHeight="1">
      <c r="A86" s="2" t="s">
        <v>784</v>
      </c>
      <c r="B86" s="2" t="s">
        <v>73</v>
      </c>
      <c r="C86" s="8" t="s">
        <v>785</v>
      </c>
      <c r="D86" s="8" t="s">
        <v>7931</v>
      </c>
      <c r="E86" s="8"/>
      <c r="F86" s="8" t="s">
        <v>7932</v>
      </c>
      <c r="G86" s="8" t="s">
        <v>7933</v>
      </c>
      <c r="H86" s="8" t="s">
        <v>7934</v>
      </c>
      <c r="I86" s="8"/>
      <c r="J86" s="8" t="s">
        <v>788</v>
      </c>
      <c r="K86" s="8" t="s">
        <v>7935</v>
      </c>
      <c r="L86" s="8" t="s">
        <v>7936</v>
      </c>
      <c r="M86" s="8" t="s">
        <v>7937</v>
      </c>
      <c r="N86" s="8" t="str">
        <f>HYPERLINK("https://seichotoushi-hojo.jp/assets/pdf/koufu/outline_23.pdf","PDFを開く")</f>
        <v>PDFを開く</v>
      </c>
      <c r="O86" s="8" t="s">
        <v>791</v>
      </c>
    </row>
    <row r="87" spans="1:15" ht="120" customHeight="1">
      <c r="A87" s="5" t="s">
        <v>792</v>
      </c>
      <c r="B87" s="5" t="s">
        <v>73</v>
      </c>
      <c r="C87" s="9" t="s">
        <v>793</v>
      </c>
      <c r="D87" s="9" t="s">
        <v>7938</v>
      </c>
      <c r="E87" s="9"/>
      <c r="F87" s="9" t="s">
        <v>7939</v>
      </c>
      <c r="G87" s="9" t="s">
        <v>7940</v>
      </c>
      <c r="H87" s="9" t="s">
        <v>7941</v>
      </c>
      <c r="I87" s="9"/>
      <c r="J87" s="9" t="s">
        <v>7942</v>
      </c>
      <c r="K87" s="9" t="s">
        <v>7943</v>
      </c>
      <c r="L87" s="9" t="s">
        <v>7944</v>
      </c>
      <c r="M87" s="9" t="s">
        <v>7945</v>
      </c>
      <c r="N87" s="9" t="str">
        <f>HYPERLINK("https://seichotoushi-hojo.jp/assets/pdf/koufu/outline_24.pdf","PDFを開く")</f>
        <v>PDFを開く</v>
      </c>
      <c r="O87" s="9" t="s">
        <v>799</v>
      </c>
    </row>
    <row r="88" spans="1:15" ht="120" customHeight="1">
      <c r="A88" s="2" t="s">
        <v>800</v>
      </c>
      <c r="B88" s="2" t="s">
        <v>73</v>
      </c>
      <c r="C88" s="8" t="s">
        <v>801</v>
      </c>
      <c r="D88" s="8" t="s">
        <v>7946</v>
      </c>
      <c r="E88" s="8"/>
      <c r="F88" s="8" t="s">
        <v>7947</v>
      </c>
      <c r="G88" s="8" t="s">
        <v>7948</v>
      </c>
      <c r="H88" s="8" t="s">
        <v>7949</v>
      </c>
      <c r="I88" s="8"/>
      <c r="J88" s="8" t="s">
        <v>804</v>
      </c>
      <c r="K88" s="8" t="s">
        <v>7950</v>
      </c>
      <c r="L88" s="8" t="s">
        <v>7951</v>
      </c>
      <c r="M88" s="8" t="s">
        <v>7952</v>
      </c>
      <c r="N88" s="8" t="str">
        <f>HYPERLINK("https://seichotoushi-hojo.jp/assets/pdf/koufu/outline_25.pdf","PDFを開く")</f>
        <v>PDFを開く</v>
      </c>
      <c r="O88" s="8" t="s">
        <v>807</v>
      </c>
    </row>
    <row r="89" spans="1:15" ht="120" customHeight="1">
      <c r="A89" s="5" t="s">
        <v>808</v>
      </c>
      <c r="B89" s="5" t="s">
        <v>73</v>
      </c>
      <c r="C89" s="9" t="s">
        <v>809</v>
      </c>
      <c r="D89" s="9" t="s">
        <v>7953</v>
      </c>
      <c r="E89" s="9"/>
      <c r="F89" s="9" t="s">
        <v>7954</v>
      </c>
      <c r="G89" s="9" t="s">
        <v>7955</v>
      </c>
      <c r="H89" s="9" t="s">
        <v>7956</v>
      </c>
      <c r="I89" s="9"/>
      <c r="J89" s="9" t="s">
        <v>813</v>
      </c>
      <c r="K89" s="9" t="s">
        <v>7957</v>
      </c>
      <c r="L89" s="9" t="s">
        <v>7958</v>
      </c>
      <c r="M89" s="9" t="s">
        <v>7959</v>
      </c>
      <c r="N89" s="9" t="str">
        <f>HYPERLINK("https://seichotoushi-hojo.jp/assets/pdf/koufu/outline_26.pdf","PDFを開く")</f>
        <v>PDFを開く</v>
      </c>
      <c r="O89" s="9" t="s">
        <v>815</v>
      </c>
    </row>
    <row r="90" spans="1:15" ht="120" customHeight="1">
      <c r="A90" s="2" t="s">
        <v>816</v>
      </c>
      <c r="B90" s="2" t="s">
        <v>73</v>
      </c>
      <c r="C90" s="8" t="s">
        <v>817</v>
      </c>
      <c r="D90" s="8" t="s">
        <v>7960</v>
      </c>
      <c r="E90" s="8" t="s">
        <v>7961</v>
      </c>
      <c r="F90" s="8" t="s">
        <v>7962</v>
      </c>
      <c r="G90" s="8" t="s">
        <v>7963</v>
      </c>
      <c r="H90" s="8" t="s">
        <v>7964</v>
      </c>
      <c r="I90" s="8"/>
      <c r="J90" s="8"/>
      <c r="K90" s="8" t="s">
        <v>7965</v>
      </c>
      <c r="L90" s="8" t="s">
        <v>7966</v>
      </c>
      <c r="M90" s="8" t="s">
        <v>7967</v>
      </c>
      <c r="N90" s="8" t="str">
        <f>HYPERLINK("https://seichotoushi-hojo.jp/assets/pdf/koufu/outline_27.pdf","PDFを開く")</f>
        <v>PDFを開く</v>
      </c>
      <c r="O90" s="8" t="s">
        <v>824</v>
      </c>
    </row>
    <row r="91" spans="1:15" ht="120" customHeight="1">
      <c r="A91" s="5" t="s">
        <v>825</v>
      </c>
      <c r="B91" s="5" t="s">
        <v>73</v>
      </c>
      <c r="C91" s="9" t="s">
        <v>826</v>
      </c>
      <c r="D91" s="9" t="s">
        <v>7968</v>
      </c>
      <c r="E91" s="9"/>
      <c r="F91" s="9" t="s">
        <v>7969</v>
      </c>
      <c r="G91" s="9" t="s">
        <v>7970</v>
      </c>
      <c r="H91" s="9" t="s">
        <v>7971</v>
      </c>
      <c r="I91" s="9"/>
      <c r="J91" s="9" t="s">
        <v>829</v>
      </c>
      <c r="K91" s="9" t="s">
        <v>7972</v>
      </c>
      <c r="L91" s="9" t="s">
        <v>7973</v>
      </c>
      <c r="M91" s="9" t="s">
        <v>7974</v>
      </c>
      <c r="N91" s="9" t="str">
        <f>HYPERLINK("https://seichotoushi-hojo.jp/assets/pdf/koufu/outline_28.pdf","PDFを開く")</f>
        <v>PDFを開く</v>
      </c>
      <c r="O91" s="9" t="s">
        <v>831</v>
      </c>
    </row>
    <row r="92" spans="1:15" ht="120" customHeight="1">
      <c r="A92" s="2" t="s">
        <v>832</v>
      </c>
      <c r="B92" s="2" t="s">
        <v>73</v>
      </c>
      <c r="C92" s="8" t="s">
        <v>833</v>
      </c>
      <c r="D92" s="8" t="s">
        <v>7975</v>
      </c>
      <c r="E92" s="8"/>
      <c r="F92" s="8" t="s">
        <v>7976</v>
      </c>
      <c r="G92" s="8" t="s">
        <v>7977</v>
      </c>
      <c r="H92" s="8" t="s">
        <v>7978</v>
      </c>
      <c r="I92" s="8"/>
      <c r="J92" s="8" t="s">
        <v>836</v>
      </c>
      <c r="K92" s="8" t="s">
        <v>7979</v>
      </c>
      <c r="L92" s="8" t="s">
        <v>7980</v>
      </c>
      <c r="M92" s="8" t="s">
        <v>7981</v>
      </c>
      <c r="N92" s="8" t="str">
        <f>HYPERLINK("https://seichotoushi-hojo.jp/assets/pdf/koufu/outline_29.pdf","PDFを開く")</f>
        <v>PDFを開く</v>
      </c>
      <c r="O92" s="8" t="s">
        <v>838</v>
      </c>
    </row>
    <row r="93" spans="1:15" ht="120" customHeight="1">
      <c r="A93" s="5" t="s">
        <v>839</v>
      </c>
      <c r="B93" s="5" t="s">
        <v>73</v>
      </c>
      <c r="C93" s="9" t="s">
        <v>840</v>
      </c>
      <c r="D93" s="9" t="s">
        <v>7982</v>
      </c>
      <c r="E93" s="9" t="s">
        <v>7983</v>
      </c>
      <c r="F93" s="9" t="s">
        <v>7984</v>
      </c>
      <c r="G93" s="9" t="s">
        <v>7985</v>
      </c>
      <c r="H93" s="9" t="s">
        <v>7986</v>
      </c>
      <c r="I93" s="9"/>
      <c r="J93" s="9" t="s">
        <v>844</v>
      </c>
      <c r="K93" s="9" t="s">
        <v>7987</v>
      </c>
      <c r="L93" s="9" t="s">
        <v>7988</v>
      </c>
      <c r="M93" s="9" t="s">
        <v>7989</v>
      </c>
      <c r="N93" s="9" t="str">
        <f>HYPERLINK("https://seichotoushi-hojo.jp/assets/pdf/koufu/outline_3.pdf","PDFを開く")</f>
        <v>PDFを開く</v>
      </c>
      <c r="O93" s="9" t="s">
        <v>846</v>
      </c>
    </row>
    <row r="94" spans="1:15" ht="120" customHeight="1">
      <c r="A94" s="2" t="s">
        <v>847</v>
      </c>
      <c r="B94" s="2" t="s">
        <v>73</v>
      </c>
      <c r="C94" s="8" t="s">
        <v>848</v>
      </c>
      <c r="D94" s="8" t="s">
        <v>7990</v>
      </c>
      <c r="E94" s="8"/>
      <c r="F94" s="8" t="s">
        <v>7991</v>
      </c>
      <c r="G94" s="8" t="s">
        <v>7992</v>
      </c>
      <c r="H94" s="8" t="s">
        <v>7993</v>
      </c>
      <c r="I94" s="8"/>
      <c r="J94" s="8" t="s">
        <v>7994</v>
      </c>
      <c r="K94" s="8" t="s">
        <v>7995</v>
      </c>
      <c r="L94" s="8" t="s">
        <v>7996</v>
      </c>
      <c r="M94" s="8" t="s">
        <v>7997</v>
      </c>
      <c r="N94" s="8" t="str">
        <f>HYPERLINK("https://seichotoushi-hojo.jp/assets/pdf/koufu/outline_30.pdf","PDFを開く")</f>
        <v>PDFを開く</v>
      </c>
      <c r="O94" s="8" t="s">
        <v>855</v>
      </c>
    </row>
    <row r="95" spans="1:15" ht="120" customHeight="1">
      <c r="A95" s="5" t="s">
        <v>856</v>
      </c>
      <c r="B95" s="5" t="s">
        <v>73</v>
      </c>
      <c r="C95" s="9" t="s">
        <v>857</v>
      </c>
      <c r="D95" s="9" t="s">
        <v>7998</v>
      </c>
      <c r="E95" s="9"/>
      <c r="F95" s="9" t="s">
        <v>7999</v>
      </c>
      <c r="G95" s="9" t="s">
        <v>8000</v>
      </c>
      <c r="H95" s="9" t="s">
        <v>8001</v>
      </c>
      <c r="I95" s="9"/>
      <c r="J95" s="9" t="s">
        <v>861</v>
      </c>
      <c r="K95" s="9" t="s">
        <v>8002</v>
      </c>
      <c r="L95" s="9" t="s">
        <v>8003</v>
      </c>
      <c r="M95" s="9" t="s">
        <v>8004</v>
      </c>
      <c r="N95" s="9" t="str">
        <f>HYPERLINK("https://seichotoushi-hojo.jp/assets/pdf/koufu/outline_31.pdf","PDFを開く")</f>
        <v>PDFを開く</v>
      </c>
      <c r="O95" s="9" t="s">
        <v>863</v>
      </c>
    </row>
    <row r="96" spans="1:15" ht="120" customHeight="1">
      <c r="A96" s="2" t="s">
        <v>864</v>
      </c>
      <c r="B96" s="2" t="s">
        <v>73</v>
      </c>
      <c r="C96" s="8" t="s">
        <v>865</v>
      </c>
      <c r="D96" s="8" t="s">
        <v>8005</v>
      </c>
      <c r="E96" s="8"/>
      <c r="F96" s="8" t="s">
        <v>8006</v>
      </c>
      <c r="G96" s="8" t="s">
        <v>8007</v>
      </c>
      <c r="H96" s="8" t="s">
        <v>8008</v>
      </c>
      <c r="I96" s="8"/>
      <c r="J96" s="8" t="s">
        <v>868</v>
      </c>
      <c r="K96" s="8" t="s">
        <v>8009</v>
      </c>
      <c r="L96" s="8" t="s">
        <v>8010</v>
      </c>
      <c r="M96" s="8" t="s">
        <v>8011</v>
      </c>
      <c r="N96" s="8" t="str">
        <f>HYPERLINK("https://seichotoushi-hojo.jp/assets/pdf/koufu/outline_32.pdf","PDFを開く")</f>
        <v>PDFを開く</v>
      </c>
      <c r="O96" s="8" t="s">
        <v>871</v>
      </c>
    </row>
    <row r="97" spans="1:15" ht="120" customHeight="1">
      <c r="A97" s="5" t="s">
        <v>872</v>
      </c>
      <c r="B97" s="5" t="s">
        <v>73</v>
      </c>
      <c r="C97" s="9" t="s">
        <v>873</v>
      </c>
      <c r="D97" s="9" t="s">
        <v>8012</v>
      </c>
      <c r="E97" s="9"/>
      <c r="F97" s="9" t="s">
        <v>8013</v>
      </c>
      <c r="G97" s="9" t="s">
        <v>8014</v>
      </c>
      <c r="H97" s="9" t="s">
        <v>8015</v>
      </c>
      <c r="I97" s="9"/>
      <c r="J97" s="9" t="s">
        <v>876</v>
      </c>
      <c r="K97" s="9" t="s">
        <v>8016</v>
      </c>
      <c r="L97" s="9" t="s">
        <v>8017</v>
      </c>
      <c r="M97" s="9" t="s">
        <v>8018</v>
      </c>
      <c r="N97" s="9" t="str">
        <f>HYPERLINK("https://seichotoushi-hojo.jp/assets/pdf/koufu/outline_33.pdf","PDFを開く")</f>
        <v>PDFを開く</v>
      </c>
      <c r="O97" s="9" t="s">
        <v>878</v>
      </c>
    </row>
    <row r="98" spans="1:15" ht="120" customHeight="1">
      <c r="A98" s="2" t="s">
        <v>879</v>
      </c>
      <c r="B98" s="2" t="s">
        <v>73</v>
      </c>
      <c r="C98" s="8" t="s">
        <v>880</v>
      </c>
      <c r="D98" s="8" t="s">
        <v>8019</v>
      </c>
      <c r="E98" s="8"/>
      <c r="F98" s="8" t="s">
        <v>8020</v>
      </c>
      <c r="G98" s="8" t="s">
        <v>8021</v>
      </c>
      <c r="H98" s="8" t="s">
        <v>8022</v>
      </c>
      <c r="I98" s="8"/>
      <c r="J98" s="8" t="s">
        <v>883</v>
      </c>
      <c r="K98" s="8" t="s">
        <v>8023</v>
      </c>
      <c r="L98" s="8" t="s">
        <v>8024</v>
      </c>
      <c r="M98" s="8" t="s">
        <v>8025</v>
      </c>
      <c r="N98" s="8" t="str">
        <f>HYPERLINK("https://seichotoushi-hojo.jp/assets/pdf/koufu/outline_34.pdf","PDFを開く")</f>
        <v>PDFを開く</v>
      </c>
      <c r="O98" s="8" t="s">
        <v>886</v>
      </c>
    </row>
    <row r="99" spans="1:15" ht="120" customHeight="1">
      <c r="A99" s="5" t="s">
        <v>887</v>
      </c>
      <c r="B99" s="5" t="s">
        <v>73</v>
      </c>
      <c r="C99" s="9" t="s">
        <v>888</v>
      </c>
      <c r="D99" s="9" t="s">
        <v>8026</v>
      </c>
      <c r="E99" s="9"/>
      <c r="F99" s="9" t="s">
        <v>8027</v>
      </c>
      <c r="G99" s="9" t="s">
        <v>8028</v>
      </c>
      <c r="H99" s="9" t="s">
        <v>8029</v>
      </c>
      <c r="I99" s="9"/>
      <c r="J99" s="9" t="s">
        <v>891</v>
      </c>
      <c r="K99" s="9" t="s">
        <v>8030</v>
      </c>
      <c r="L99" s="9" t="s">
        <v>8031</v>
      </c>
      <c r="M99" s="9" t="s">
        <v>8032</v>
      </c>
      <c r="N99" s="9" t="str">
        <f>HYPERLINK("https://seichotoushi-hojo.jp/assets/pdf/koufu/outline_35.pdf","PDFを開く")</f>
        <v>PDFを開く</v>
      </c>
      <c r="O99" s="9" t="s">
        <v>893</v>
      </c>
    </row>
    <row r="100" spans="1:15" ht="120" customHeight="1">
      <c r="A100" s="2" t="s">
        <v>894</v>
      </c>
      <c r="B100" s="2" t="s">
        <v>73</v>
      </c>
      <c r="C100" s="8" t="s">
        <v>895</v>
      </c>
      <c r="D100" s="8" t="s">
        <v>8033</v>
      </c>
      <c r="E100" s="8"/>
      <c r="F100" s="8" t="s">
        <v>8034</v>
      </c>
      <c r="G100" s="8" t="s">
        <v>8035</v>
      </c>
      <c r="H100" s="8" t="s">
        <v>8036</v>
      </c>
      <c r="I100" s="8"/>
      <c r="J100" s="8" t="s">
        <v>898</v>
      </c>
      <c r="K100" s="8" t="s">
        <v>8037</v>
      </c>
      <c r="L100" s="8" t="s">
        <v>8038</v>
      </c>
      <c r="M100" s="8" t="s">
        <v>8039</v>
      </c>
      <c r="N100" s="8" t="str">
        <f>HYPERLINK("https://seichotoushi-hojo.jp/assets/pdf/koufu/outline_36.pdf","PDFを開く")</f>
        <v>PDFを開く</v>
      </c>
      <c r="O100" s="8" t="s">
        <v>900</v>
      </c>
    </row>
    <row r="101" spans="1:15" ht="120" customHeight="1">
      <c r="A101" s="5" t="s">
        <v>901</v>
      </c>
      <c r="B101" s="5" t="s">
        <v>73</v>
      </c>
      <c r="C101" s="9" t="s">
        <v>902</v>
      </c>
      <c r="D101" s="9" t="s">
        <v>8040</v>
      </c>
      <c r="E101" s="9"/>
      <c r="F101" s="9" t="s">
        <v>8041</v>
      </c>
      <c r="G101" s="9" t="s">
        <v>8042</v>
      </c>
      <c r="H101" s="9" t="s">
        <v>8043</v>
      </c>
      <c r="I101" s="9"/>
      <c r="J101" s="9" t="s">
        <v>906</v>
      </c>
      <c r="K101" s="9" t="s">
        <v>8044</v>
      </c>
      <c r="L101" s="9" t="s">
        <v>8045</v>
      </c>
      <c r="M101" s="9" t="s">
        <v>8046</v>
      </c>
      <c r="N101" s="9" t="str">
        <f>HYPERLINK("https://seichotoushi-hojo.jp/assets/pdf/koufu/outline_37.pdf","PDFを開く")</f>
        <v>PDFを開く</v>
      </c>
      <c r="O101" s="9" t="s">
        <v>908</v>
      </c>
    </row>
    <row r="102" spans="1:15" ht="120" customHeight="1">
      <c r="A102" s="2" t="s">
        <v>909</v>
      </c>
      <c r="B102" s="2" t="s">
        <v>73</v>
      </c>
      <c r="C102" s="8" t="s">
        <v>910</v>
      </c>
      <c r="D102" s="8" t="s">
        <v>8047</v>
      </c>
      <c r="E102" s="8"/>
      <c r="F102" s="8" t="s">
        <v>8048</v>
      </c>
      <c r="G102" s="8" t="s">
        <v>8049</v>
      </c>
      <c r="H102" s="8" t="s">
        <v>8050</v>
      </c>
      <c r="I102" s="8"/>
      <c r="J102" s="8" t="s">
        <v>912</v>
      </c>
      <c r="K102" s="8" t="s">
        <v>8051</v>
      </c>
      <c r="L102" s="8" t="s">
        <v>8052</v>
      </c>
      <c r="M102" s="8" t="s">
        <v>8053</v>
      </c>
      <c r="N102" s="8" t="str">
        <f>HYPERLINK("https://seichotoushi-hojo.jp/assets/pdf/koufu/outline_38.pdf","PDFを開く")</f>
        <v>PDFを開く</v>
      </c>
      <c r="O102" s="8" t="s">
        <v>914</v>
      </c>
    </row>
    <row r="103" spans="1:15" ht="120" customHeight="1">
      <c r="A103" s="5" t="s">
        <v>915</v>
      </c>
      <c r="B103" s="5" t="s">
        <v>73</v>
      </c>
      <c r="C103" s="9" t="s">
        <v>916</v>
      </c>
      <c r="D103" s="9" t="s">
        <v>8054</v>
      </c>
      <c r="E103" s="9"/>
      <c r="F103" s="9" t="s">
        <v>8055</v>
      </c>
      <c r="G103" s="9" t="s">
        <v>8056</v>
      </c>
      <c r="H103" s="9" t="s">
        <v>8057</v>
      </c>
      <c r="I103" s="9"/>
      <c r="J103" s="9" t="s">
        <v>920</v>
      </c>
      <c r="K103" s="9" t="s">
        <v>8058</v>
      </c>
      <c r="L103" s="9" t="s">
        <v>8059</v>
      </c>
      <c r="M103" s="9" t="s">
        <v>8060</v>
      </c>
      <c r="N103" s="9" t="str">
        <f>HYPERLINK("https://seichotoushi-hojo.jp/assets/pdf/koufu/outline_39.pdf","PDFを開く")</f>
        <v>PDFを開く</v>
      </c>
      <c r="O103" s="9" t="s">
        <v>923</v>
      </c>
    </row>
    <row r="104" spans="1:15" ht="120" customHeight="1">
      <c r="A104" s="2" t="s">
        <v>924</v>
      </c>
      <c r="B104" s="2" t="s">
        <v>73</v>
      </c>
      <c r="C104" s="8" t="s">
        <v>925</v>
      </c>
      <c r="D104" s="8" t="s">
        <v>8061</v>
      </c>
      <c r="E104" s="8"/>
      <c r="F104" s="8" t="s">
        <v>8062</v>
      </c>
      <c r="G104" s="8" t="s">
        <v>8063</v>
      </c>
      <c r="H104" s="8" t="s">
        <v>8064</v>
      </c>
      <c r="I104" s="8"/>
      <c r="J104" s="8" t="s">
        <v>928</v>
      </c>
      <c r="K104" s="8" t="s">
        <v>8065</v>
      </c>
      <c r="L104" s="8" t="s">
        <v>8066</v>
      </c>
      <c r="M104" s="8" t="s">
        <v>8067</v>
      </c>
      <c r="N104" s="8" t="str">
        <f>HYPERLINK("https://seichotoushi-hojo.jp/assets/pdf/koufu/outline_4.pdf","PDFを開く")</f>
        <v>PDFを開く</v>
      </c>
      <c r="O104" s="8" t="s">
        <v>930</v>
      </c>
    </row>
    <row r="105" spans="1:15" ht="120" customHeight="1">
      <c r="A105" s="5" t="s">
        <v>931</v>
      </c>
      <c r="B105" s="5" t="s">
        <v>73</v>
      </c>
      <c r="C105" s="9" t="s">
        <v>932</v>
      </c>
      <c r="D105" s="9" t="s">
        <v>8068</v>
      </c>
      <c r="E105" s="9"/>
      <c r="F105" s="9" t="s">
        <v>8069</v>
      </c>
      <c r="G105" s="9" t="s">
        <v>8070</v>
      </c>
      <c r="H105" s="9" t="s">
        <v>8071</v>
      </c>
      <c r="I105" s="9"/>
      <c r="J105" s="9" t="s">
        <v>936</v>
      </c>
      <c r="K105" s="9" t="s">
        <v>8072</v>
      </c>
      <c r="L105" s="9" t="s">
        <v>8073</v>
      </c>
      <c r="M105" s="9" t="s">
        <v>8074</v>
      </c>
      <c r="N105" s="9" t="str">
        <f>HYPERLINK("https://seichotoushi-hojo.jp/assets/pdf/koufu/outline_40.pdf","PDFを開く")</f>
        <v>PDFを開く</v>
      </c>
      <c r="O105" s="9" t="s">
        <v>939</v>
      </c>
    </row>
    <row r="106" spans="1:15" ht="120" customHeight="1">
      <c r="A106" s="2" t="s">
        <v>940</v>
      </c>
      <c r="B106" s="2" t="s">
        <v>73</v>
      </c>
      <c r="C106" s="8" t="s">
        <v>941</v>
      </c>
      <c r="D106" s="8" t="s">
        <v>8075</v>
      </c>
      <c r="E106" s="8" t="s">
        <v>8076</v>
      </c>
      <c r="F106" s="8" t="s">
        <v>8077</v>
      </c>
      <c r="G106" s="8" t="s">
        <v>8078</v>
      </c>
      <c r="H106" s="8" t="s">
        <v>8079</v>
      </c>
      <c r="I106" s="8"/>
      <c r="J106" s="8" t="s">
        <v>945</v>
      </c>
      <c r="K106" s="8" t="s">
        <v>8080</v>
      </c>
      <c r="L106" s="8" t="s">
        <v>8081</v>
      </c>
      <c r="M106" s="8" t="s">
        <v>8082</v>
      </c>
      <c r="N106" s="8" t="str">
        <f>HYPERLINK("https://seichotoushi-hojo.jp/assets/pdf/koufu/outline_41.pdf","PDFを開く")</f>
        <v>PDFを開く</v>
      </c>
      <c r="O106" s="8" t="s">
        <v>947</v>
      </c>
    </row>
    <row r="107" spans="1:15" ht="120" customHeight="1">
      <c r="A107" s="5" t="s">
        <v>948</v>
      </c>
      <c r="B107" s="5" t="s">
        <v>73</v>
      </c>
      <c r="C107" s="9" t="s">
        <v>949</v>
      </c>
      <c r="D107" s="9" t="s">
        <v>8083</v>
      </c>
      <c r="E107" s="9"/>
      <c r="F107" s="9" t="s">
        <v>8084</v>
      </c>
      <c r="G107" s="9" t="s">
        <v>8085</v>
      </c>
      <c r="H107" s="9" t="s">
        <v>8086</v>
      </c>
      <c r="I107" s="9"/>
      <c r="J107" s="9" t="s">
        <v>952</v>
      </c>
      <c r="K107" s="9" t="s">
        <v>8087</v>
      </c>
      <c r="L107" s="9" t="s">
        <v>8088</v>
      </c>
      <c r="M107" s="9" t="s">
        <v>8089</v>
      </c>
      <c r="N107" s="9" t="str">
        <f>HYPERLINK("https://seichotoushi-hojo.jp/assets/pdf/koufu/outline_42.pdf","PDFを開く")</f>
        <v>PDFを開く</v>
      </c>
      <c r="O107" s="9" t="s">
        <v>954</v>
      </c>
    </row>
    <row r="108" spans="1:15" ht="120" customHeight="1">
      <c r="A108" s="2" t="s">
        <v>955</v>
      </c>
      <c r="B108" s="2" t="s">
        <v>73</v>
      </c>
      <c r="C108" s="8" t="s">
        <v>956</v>
      </c>
      <c r="D108" s="8" t="s">
        <v>8090</v>
      </c>
      <c r="E108" s="8" t="s">
        <v>8091</v>
      </c>
      <c r="F108" s="8" t="s">
        <v>8092</v>
      </c>
      <c r="G108" s="8" t="s">
        <v>8093</v>
      </c>
      <c r="H108" s="8" t="s">
        <v>8094</v>
      </c>
      <c r="I108" s="8"/>
      <c r="J108" s="8" t="s">
        <v>961</v>
      </c>
      <c r="K108" s="8" t="s">
        <v>8095</v>
      </c>
      <c r="L108" s="8" t="s">
        <v>8096</v>
      </c>
      <c r="M108" s="8" t="s">
        <v>8097</v>
      </c>
      <c r="N108" s="8" t="str">
        <f>HYPERLINK("https://seichotoushi-hojo.jp/assets/pdf/koufu/outline_43.pdf","PDFを開く")</f>
        <v>PDFを開く</v>
      </c>
      <c r="O108" s="8" t="s">
        <v>964</v>
      </c>
    </row>
    <row r="109" spans="1:15" ht="120" customHeight="1">
      <c r="A109" s="5" t="s">
        <v>965</v>
      </c>
      <c r="B109" s="5" t="s">
        <v>73</v>
      </c>
      <c r="C109" s="9" t="s">
        <v>966</v>
      </c>
      <c r="D109" s="9" t="s">
        <v>8098</v>
      </c>
      <c r="E109" s="9"/>
      <c r="F109" s="9" t="s">
        <v>8099</v>
      </c>
      <c r="G109" s="9" t="s">
        <v>8100</v>
      </c>
      <c r="H109" s="9" t="s">
        <v>8101</v>
      </c>
      <c r="I109" s="9"/>
      <c r="J109" s="9" t="s">
        <v>969</v>
      </c>
      <c r="K109" s="9" t="s">
        <v>8102</v>
      </c>
      <c r="L109" s="9" t="s">
        <v>8103</v>
      </c>
      <c r="M109" s="9" t="s">
        <v>8104</v>
      </c>
      <c r="N109" s="9" t="str">
        <f>HYPERLINK("https://seichotoushi-hojo.jp/assets/pdf/koufu/outline_45.pdf","PDFを開く")</f>
        <v>PDFを開く</v>
      </c>
      <c r="O109" s="9" t="s">
        <v>971</v>
      </c>
    </row>
    <row r="110" spans="1:15" ht="120" customHeight="1">
      <c r="A110" s="2" t="s">
        <v>972</v>
      </c>
      <c r="B110" s="2" t="s">
        <v>73</v>
      </c>
      <c r="C110" s="8" t="s">
        <v>973</v>
      </c>
      <c r="D110" s="8" t="s">
        <v>8105</v>
      </c>
      <c r="E110" s="8"/>
      <c r="F110" s="8" t="s">
        <v>8106</v>
      </c>
      <c r="G110" s="8" t="s">
        <v>8107</v>
      </c>
      <c r="H110" s="8" t="s">
        <v>8108</v>
      </c>
      <c r="I110" s="8"/>
      <c r="J110" s="8" t="s">
        <v>975</v>
      </c>
      <c r="K110" s="8" t="s">
        <v>8109</v>
      </c>
      <c r="L110" s="8" t="s">
        <v>8110</v>
      </c>
      <c r="M110" s="8" t="s">
        <v>8111</v>
      </c>
      <c r="N110" s="8" t="str">
        <f>HYPERLINK("https://seichotoushi-hojo.jp/assets/pdf/koufu/outline_46.pdf","PDFを開く")</f>
        <v>PDFを開く</v>
      </c>
      <c r="O110" s="8" t="s">
        <v>977</v>
      </c>
    </row>
    <row r="111" spans="1:15" ht="120" customHeight="1">
      <c r="A111" s="5" t="s">
        <v>978</v>
      </c>
      <c r="B111" s="5" t="s">
        <v>73</v>
      </c>
      <c r="C111" s="9" t="s">
        <v>979</v>
      </c>
      <c r="D111" s="9" t="s">
        <v>8112</v>
      </c>
      <c r="E111" s="9"/>
      <c r="F111" s="9" t="s">
        <v>8113</v>
      </c>
      <c r="G111" s="9" t="s">
        <v>8114</v>
      </c>
      <c r="H111" s="9" t="s">
        <v>8115</v>
      </c>
      <c r="I111" s="9"/>
      <c r="J111" s="9" t="s">
        <v>982</v>
      </c>
      <c r="K111" s="9" t="s">
        <v>8116</v>
      </c>
      <c r="L111" s="9" t="s">
        <v>8117</v>
      </c>
      <c r="M111" s="9" t="s">
        <v>8118</v>
      </c>
      <c r="N111" s="9" t="str">
        <f>HYPERLINK("https://seichotoushi-hojo.jp/assets/pdf/koufu/outline_47.pdf","PDFを開く")</f>
        <v>PDFを開く</v>
      </c>
      <c r="O111" s="9" t="s">
        <v>984</v>
      </c>
    </row>
    <row r="112" spans="1:15" ht="120" customHeight="1">
      <c r="A112" s="2" t="s">
        <v>985</v>
      </c>
      <c r="B112" s="2" t="s">
        <v>73</v>
      </c>
      <c r="C112" s="8" t="s">
        <v>986</v>
      </c>
      <c r="D112" s="8" t="s">
        <v>8119</v>
      </c>
      <c r="E112" s="8"/>
      <c r="F112" s="8" t="s">
        <v>8120</v>
      </c>
      <c r="G112" s="8" t="s">
        <v>8121</v>
      </c>
      <c r="H112" s="8" t="s">
        <v>8122</v>
      </c>
      <c r="I112" s="8"/>
      <c r="J112" s="8" t="s">
        <v>990</v>
      </c>
      <c r="K112" s="8" t="s">
        <v>8123</v>
      </c>
      <c r="L112" s="8" t="s">
        <v>8124</v>
      </c>
      <c r="M112" s="8" t="s">
        <v>8125</v>
      </c>
      <c r="N112" s="8" t="str">
        <f>HYPERLINK("https://seichotoushi-hojo.jp/assets/pdf/koufu/outline_48.pdf","PDFを開く")</f>
        <v>PDFを開く</v>
      </c>
      <c r="O112" s="8" t="s">
        <v>993</v>
      </c>
    </row>
    <row r="113" spans="1:15" ht="120" customHeight="1">
      <c r="A113" s="5" t="s">
        <v>994</v>
      </c>
      <c r="B113" s="5" t="s">
        <v>73</v>
      </c>
      <c r="C113" s="9" t="s">
        <v>995</v>
      </c>
      <c r="D113" s="9" t="s">
        <v>8126</v>
      </c>
      <c r="E113" s="9"/>
      <c r="F113" s="9" t="s">
        <v>8127</v>
      </c>
      <c r="G113" s="9" t="s">
        <v>8128</v>
      </c>
      <c r="H113" s="9" t="s">
        <v>8129</v>
      </c>
      <c r="I113" s="9"/>
      <c r="J113" s="9" t="s">
        <v>999</v>
      </c>
      <c r="K113" s="9" t="s">
        <v>8130</v>
      </c>
      <c r="L113" s="9" t="s">
        <v>8131</v>
      </c>
      <c r="M113" s="9" t="s">
        <v>8132</v>
      </c>
      <c r="N113" s="9" t="str">
        <f>HYPERLINK("https://seichotoushi-hojo.jp/assets/pdf/koufu/outline_49.pdf","PDFを開く")</f>
        <v>PDFを開く</v>
      </c>
      <c r="O113" s="9" t="s">
        <v>1002</v>
      </c>
    </row>
    <row r="114" spans="1:15" ht="120" customHeight="1">
      <c r="A114" s="2" t="s">
        <v>1003</v>
      </c>
      <c r="B114" s="2" t="s">
        <v>73</v>
      </c>
      <c r="C114" s="8" t="s">
        <v>1004</v>
      </c>
      <c r="D114" s="8" t="s">
        <v>8133</v>
      </c>
      <c r="E114" s="8" t="s">
        <v>8134</v>
      </c>
      <c r="F114" s="8" t="s">
        <v>8135</v>
      </c>
      <c r="G114" s="8" t="s">
        <v>8136</v>
      </c>
      <c r="H114" s="8" t="s">
        <v>8137</v>
      </c>
      <c r="I114" s="8"/>
      <c r="J114" s="8"/>
      <c r="K114" s="8" t="s">
        <v>8138</v>
      </c>
      <c r="L114" s="8" t="s">
        <v>8139</v>
      </c>
      <c r="M114" s="8" t="s">
        <v>8140</v>
      </c>
      <c r="N114" s="8" t="str">
        <f>HYPERLINK("https://seichotoushi-hojo.jp/assets/pdf/koufu/outline_5.pdf","PDFを開く")</f>
        <v>PDFを開く</v>
      </c>
      <c r="O114" s="8" t="s">
        <v>1012</v>
      </c>
    </row>
    <row r="115" spans="1:15" ht="120" customHeight="1">
      <c r="A115" s="5" t="s">
        <v>1013</v>
      </c>
      <c r="B115" s="5" t="s">
        <v>73</v>
      </c>
      <c r="C115" s="9" t="s">
        <v>1014</v>
      </c>
      <c r="D115" s="9" t="s">
        <v>8141</v>
      </c>
      <c r="E115" s="9"/>
      <c r="F115" s="9" t="s">
        <v>8142</v>
      </c>
      <c r="G115" s="9" t="s">
        <v>8143</v>
      </c>
      <c r="H115" s="9" t="s">
        <v>8144</v>
      </c>
      <c r="I115" s="9"/>
      <c r="J115" s="9" t="s">
        <v>1017</v>
      </c>
      <c r="K115" s="9" t="s">
        <v>8145</v>
      </c>
      <c r="L115" s="9" t="s">
        <v>8146</v>
      </c>
      <c r="M115" s="9" t="s">
        <v>8147</v>
      </c>
      <c r="N115" s="9" t="str">
        <f>HYPERLINK("https://seichotoushi-hojo.jp/assets/pdf/koufu/outline_50.pdf","PDFを開く")</f>
        <v>PDFを開く</v>
      </c>
      <c r="O115" s="9" t="s">
        <v>1019</v>
      </c>
    </row>
    <row r="116" spans="1:15" ht="120" customHeight="1">
      <c r="A116" s="2" t="s">
        <v>1020</v>
      </c>
      <c r="B116" s="2" t="s">
        <v>73</v>
      </c>
      <c r="C116" s="8" t="s">
        <v>1021</v>
      </c>
      <c r="D116" s="8" t="s">
        <v>8148</v>
      </c>
      <c r="E116" s="8"/>
      <c r="F116" s="8" t="s">
        <v>8149</v>
      </c>
      <c r="G116" s="8" t="s">
        <v>8150</v>
      </c>
      <c r="H116" s="8" t="s">
        <v>8151</v>
      </c>
      <c r="I116" s="8"/>
      <c r="J116" s="8" t="s">
        <v>1025</v>
      </c>
      <c r="K116" s="8" t="s">
        <v>8152</v>
      </c>
      <c r="L116" s="8" t="s">
        <v>8153</v>
      </c>
      <c r="M116" s="8" t="s">
        <v>8154</v>
      </c>
      <c r="N116" s="8" t="str">
        <f>HYPERLINK("https://seichotoushi-hojo.jp/assets/pdf/koufu/outline_51.pdf","PDFを開く")</f>
        <v>PDFを開く</v>
      </c>
      <c r="O116" s="8" t="s">
        <v>1027</v>
      </c>
    </row>
    <row r="117" spans="1:15" ht="120" customHeight="1">
      <c r="A117" s="5" t="s">
        <v>1028</v>
      </c>
      <c r="B117" s="5" t="s">
        <v>73</v>
      </c>
      <c r="C117" s="9" t="s">
        <v>1029</v>
      </c>
      <c r="D117" s="9" t="s">
        <v>8155</v>
      </c>
      <c r="E117" s="9"/>
      <c r="F117" s="9" t="s">
        <v>8156</v>
      </c>
      <c r="G117" s="9" t="s">
        <v>8157</v>
      </c>
      <c r="H117" s="9" t="s">
        <v>8158</v>
      </c>
      <c r="I117" s="9"/>
      <c r="J117" s="9" t="s">
        <v>1032</v>
      </c>
      <c r="K117" s="9" t="s">
        <v>8159</v>
      </c>
      <c r="L117" s="9" t="s">
        <v>8160</v>
      </c>
      <c r="M117" s="9" t="s">
        <v>8161</v>
      </c>
      <c r="N117" s="9" t="str">
        <f>HYPERLINK("https://seichotoushi-hojo.jp/assets/pdf/koufu/outline_52.pdf","PDFを開く")</f>
        <v>PDFを開く</v>
      </c>
      <c r="O117" s="9" t="s">
        <v>1035</v>
      </c>
    </row>
    <row r="118" spans="1:15" ht="120" customHeight="1">
      <c r="A118" s="2" t="s">
        <v>1036</v>
      </c>
      <c r="B118" s="2" t="s">
        <v>73</v>
      </c>
      <c r="C118" s="8" t="s">
        <v>1037</v>
      </c>
      <c r="D118" s="8" t="s">
        <v>8162</v>
      </c>
      <c r="E118" s="8"/>
      <c r="F118" s="8" t="s">
        <v>8163</v>
      </c>
      <c r="G118" s="8" t="s">
        <v>8164</v>
      </c>
      <c r="H118" s="8" t="s">
        <v>8165</v>
      </c>
      <c r="I118" s="8"/>
      <c r="J118" s="8" t="s">
        <v>1041</v>
      </c>
      <c r="K118" s="8" t="s">
        <v>8166</v>
      </c>
      <c r="L118" s="8" t="s">
        <v>8167</v>
      </c>
      <c r="M118" s="8" t="s">
        <v>8168</v>
      </c>
      <c r="N118" s="8" t="str">
        <f>HYPERLINK("https://seichotoushi-hojo.jp/assets/pdf/koufu/outline_53.pdf","PDFを開く")</f>
        <v>PDFを開く</v>
      </c>
      <c r="O118" s="8" t="s">
        <v>1043</v>
      </c>
    </row>
    <row r="119" spans="1:15" ht="120" customHeight="1">
      <c r="A119" s="5" t="s">
        <v>1044</v>
      </c>
      <c r="B119" s="5" t="s">
        <v>73</v>
      </c>
      <c r="C119" s="9" t="s">
        <v>1045</v>
      </c>
      <c r="D119" s="9"/>
      <c r="E119" s="9"/>
      <c r="F119" s="9"/>
      <c r="G119" s="9"/>
      <c r="H119" s="9"/>
      <c r="I119" s="9"/>
      <c r="J119" s="9"/>
      <c r="K119" s="9" t="s">
        <v>8169</v>
      </c>
      <c r="L119" s="9"/>
      <c r="M119" s="9" t="s">
        <v>8170</v>
      </c>
      <c r="N119" s="9" t="str">
        <f>HYPERLINK("https://seichotoushi-hojo.jp/assets/pdf/koufu/outline_55.pdf","PDFを開く")</f>
        <v>PDFを開く</v>
      </c>
      <c r="O119" s="9" t="s">
        <v>1053</v>
      </c>
    </row>
    <row r="120" spans="1:15" ht="120" customHeight="1">
      <c r="A120" s="2" t="s">
        <v>1054</v>
      </c>
      <c r="B120" s="2" t="s">
        <v>73</v>
      </c>
      <c r="C120" s="8" t="s">
        <v>1055</v>
      </c>
      <c r="D120" s="8" t="s">
        <v>8171</v>
      </c>
      <c r="E120" s="8"/>
      <c r="F120" s="8" t="s">
        <v>8172</v>
      </c>
      <c r="G120" s="8" t="s">
        <v>8173</v>
      </c>
      <c r="H120" s="8" t="s">
        <v>8174</v>
      </c>
      <c r="I120" s="8"/>
      <c r="J120" s="8" t="s">
        <v>1059</v>
      </c>
      <c r="K120" s="8" t="s">
        <v>8175</v>
      </c>
      <c r="L120" s="8" t="s">
        <v>8176</v>
      </c>
      <c r="M120" s="8" t="s">
        <v>8177</v>
      </c>
      <c r="N120" s="8" t="str">
        <f>HYPERLINK("https://seichotoushi-hojo.jp/assets/pdf/koufu/outline_56.pdf","PDFを開く")</f>
        <v>PDFを開く</v>
      </c>
      <c r="O120" s="8" t="s">
        <v>1062</v>
      </c>
    </row>
    <row r="121" spans="1:15" ht="120" customHeight="1">
      <c r="A121" s="5" t="s">
        <v>1063</v>
      </c>
      <c r="B121" s="5" t="s">
        <v>73</v>
      </c>
      <c r="C121" s="9" t="s">
        <v>1064</v>
      </c>
      <c r="D121" s="9" t="s">
        <v>8178</v>
      </c>
      <c r="E121" s="9" t="s">
        <v>8179</v>
      </c>
      <c r="F121" s="9" t="s">
        <v>8180</v>
      </c>
      <c r="G121" s="9" t="s">
        <v>8181</v>
      </c>
      <c r="H121" s="9" t="s">
        <v>8182</v>
      </c>
      <c r="I121" s="9"/>
      <c r="J121" s="9" t="s">
        <v>8183</v>
      </c>
      <c r="K121" s="9" t="s">
        <v>8184</v>
      </c>
      <c r="L121" s="9" t="s">
        <v>8185</v>
      </c>
      <c r="M121" s="9" t="s">
        <v>8186</v>
      </c>
      <c r="N121" s="9" t="str">
        <f>HYPERLINK("https://seichotoushi-hojo.jp/assets/pdf/koufu/outline_58.pdf","PDFを開く")</f>
        <v>PDFを開く</v>
      </c>
      <c r="O121" s="9" t="s">
        <v>1070</v>
      </c>
    </row>
    <row r="122" spans="1:15" ht="120" customHeight="1">
      <c r="A122" s="2" t="s">
        <v>1071</v>
      </c>
      <c r="B122" s="2" t="s">
        <v>73</v>
      </c>
      <c r="C122" s="8" t="s">
        <v>1072</v>
      </c>
      <c r="D122" s="8"/>
      <c r="E122" s="8"/>
      <c r="F122" s="8"/>
      <c r="G122" s="8"/>
      <c r="H122" s="8"/>
      <c r="I122" s="8"/>
      <c r="J122" s="8"/>
      <c r="K122" s="8" t="s">
        <v>8187</v>
      </c>
      <c r="L122" s="8"/>
      <c r="M122" s="8"/>
      <c r="N122" s="8" t="str">
        <f>HYPERLINK("https://seichotoushi-hojo.jp/assets/pdf/koufu/outline_61.pdf","PDFを開く")</f>
        <v>PDFを開く</v>
      </c>
      <c r="O122" s="8" t="s">
        <v>1079</v>
      </c>
    </row>
    <row r="123" spans="1:15" ht="120" customHeight="1">
      <c r="A123" s="5" t="s">
        <v>1080</v>
      </c>
      <c r="B123" s="5" t="s">
        <v>73</v>
      </c>
      <c r="C123" s="9" t="s">
        <v>1081</v>
      </c>
      <c r="D123" s="9" t="s">
        <v>8188</v>
      </c>
      <c r="E123" s="9"/>
      <c r="F123" s="9" t="s">
        <v>8189</v>
      </c>
      <c r="G123" s="9" t="s">
        <v>8190</v>
      </c>
      <c r="H123" s="9" t="s">
        <v>8191</v>
      </c>
      <c r="I123" s="9"/>
      <c r="J123" s="9" t="s">
        <v>1085</v>
      </c>
      <c r="K123" s="9" t="s">
        <v>8192</v>
      </c>
      <c r="L123" s="9" t="s">
        <v>8193</v>
      </c>
      <c r="M123" s="9" t="s">
        <v>8194</v>
      </c>
      <c r="N123" s="9" t="str">
        <f>HYPERLINK("https://seichotoushi-hojo.jp/assets/pdf/koufu/outline_62.pdf","PDFを開く")</f>
        <v>PDFを開く</v>
      </c>
      <c r="O123" s="9" t="s">
        <v>1087</v>
      </c>
    </row>
    <row r="124" spans="1:15" ht="120" customHeight="1">
      <c r="A124" s="2" t="s">
        <v>1088</v>
      </c>
      <c r="B124" s="2" t="s">
        <v>73</v>
      </c>
      <c r="C124" s="8" t="s">
        <v>1089</v>
      </c>
      <c r="D124" s="8" t="s">
        <v>8195</v>
      </c>
      <c r="E124" s="8" t="s">
        <v>8196</v>
      </c>
      <c r="F124" s="8" t="s">
        <v>8197</v>
      </c>
      <c r="G124" s="8" t="s">
        <v>8198</v>
      </c>
      <c r="H124" s="8" t="s">
        <v>8199</v>
      </c>
      <c r="I124" s="8"/>
      <c r="J124" s="8" t="s">
        <v>1092</v>
      </c>
      <c r="K124" s="8" t="s">
        <v>8200</v>
      </c>
      <c r="L124" s="8" t="s">
        <v>8201</v>
      </c>
      <c r="M124" s="8" t="s">
        <v>8202</v>
      </c>
      <c r="N124" s="8" t="str">
        <f>HYPERLINK("https://seichotoushi-hojo.jp/assets/pdf/koufu/outline_63.pdf","PDFを開く")</f>
        <v>PDFを開く</v>
      </c>
      <c r="O124" s="8" t="s">
        <v>1095</v>
      </c>
    </row>
    <row r="125" spans="1:15" ht="120" customHeight="1">
      <c r="A125" s="5" t="s">
        <v>1096</v>
      </c>
      <c r="B125" s="5" t="s">
        <v>73</v>
      </c>
      <c r="C125" s="9" t="s">
        <v>1097</v>
      </c>
      <c r="D125" s="9" t="s">
        <v>8203</v>
      </c>
      <c r="E125" s="9"/>
      <c r="F125" s="9" t="s">
        <v>8204</v>
      </c>
      <c r="G125" s="9" t="s">
        <v>8205</v>
      </c>
      <c r="H125" s="9" t="s">
        <v>8206</v>
      </c>
      <c r="I125" s="9"/>
      <c r="J125" s="9" t="s">
        <v>1101</v>
      </c>
      <c r="K125" s="9" t="s">
        <v>8207</v>
      </c>
      <c r="L125" s="9" t="s">
        <v>8208</v>
      </c>
      <c r="M125" s="9" t="s">
        <v>8209</v>
      </c>
      <c r="N125" s="9" t="str">
        <f>HYPERLINK("https://seichotoushi-hojo.jp/assets/pdf/koufu/outline_65.pdf","PDFを開く")</f>
        <v>PDFを開く</v>
      </c>
      <c r="O125" s="9" t="s">
        <v>1103</v>
      </c>
    </row>
    <row r="126" spans="1:15" ht="120" customHeight="1">
      <c r="A126" s="2" t="s">
        <v>1104</v>
      </c>
      <c r="B126" s="2" t="s">
        <v>73</v>
      </c>
      <c r="C126" s="8" t="s">
        <v>1105</v>
      </c>
      <c r="D126" s="8" t="s">
        <v>8210</v>
      </c>
      <c r="E126" s="8"/>
      <c r="F126" s="8" t="s">
        <v>8211</v>
      </c>
      <c r="G126" s="8" t="s">
        <v>8212</v>
      </c>
      <c r="H126" s="8" t="s">
        <v>8213</v>
      </c>
      <c r="I126" s="8"/>
      <c r="J126" s="8" t="s">
        <v>1109</v>
      </c>
      <c r="K126" s="8" t="s">
        <v>8214</v>
      </c>
      <c r="L126" s="8" t="s">
        <v>8215</v>
      </c>
      <c r="M126" s="8" t="s">
        <v>8216</v>
      </c>
      <c r="N126" s="8" t="str">
        <f>HYPERLINK("https://seichotoushi-hojo.jp/assets/pdf/koufu/outline_66.pdf","PDFを開く")</f>
        <v>PDFを開く</v>
      </c>
      <c r="O126" s="8" t="s">
        <v>1112</v>
      </c>
    </row>
    <row r="127" spans="1:15" ht="120" customHeight="1">
      <c r="A127" s="5" t="s">
        <v>1113</v>
      </c>
      <c r="B127" s="5" t="s">
        <v>73</v>
      </c>
      <c r="C127" s="9" t="s">
        <v>1114</v>
      </c>
      <c r="D127" s="9" t="s">
        <v>8217</v>
      </c>
      <c r="E127" s="9" t="s">
        <v>8218</v>
      </c>
      <c r="F127" s="9" t="s">
        <v>8219</v>
      </c>
      <c r="G127" s="9" t="s">
        <v>8220</v>
      </c>
      <c r="H127" s="9" t="s">
        <v>8221</v>
      </c>
      <c r="I127" s="9"/>
      <c r="J127" s="9" t="s">
        <v>1117</v>
      </c>
      <c r="K127" s="9" t="s">
        <v>8222</v>
      </c>
      <c r="L127" s="9" t="s">
        <v>8223</v>
      </c>
      <c r="M127" s="9" t="s">
        <v>8224</v>
      </c>
      <c r="N127" s="9" t="str">
        <f>HYPERLINK("https://seichotoushi-hojo.jp/assets/pdf/koufu/outline_67.pdf","PDFを開く")</f>
        <v>PDFを開く</v>
      </c>
      <c r="O127" s="9" t="s">
        <v>1119</v>
      </c>
    </row>
    <row r="128" spans="1:15" ht="120" customHeight="1">
      <c r="A128" s="2" t="s">
        <v>1120</v>
      </c>
      <c r="B128" s="2" t="s">
        <v>73</v>
      </c>
      <c r="C128" s="8" t="s">
        <v>1121</v>
      </c>
      <c r="D128" s="8" t="s">
        <v>8225</v>
      </c>
      <c r="E128" s="8"/>
      <c r="F128" s="8" t="s">
        <v>8226</v>
      </c>
      <c r="G128" s="8" t="s">
        <v>8227</v>
      </c>
      <c r="H128" s="8" t="s">
        <v>8228</v>
      </c>
      <c r="I128" s="8"/>
      <c r="J128" s="8" t="s">
        <v>1124</v>
      </c>
      <c r="K128" s="8" t="s">
        <v>8229</v>
      </c>
      <c r="L128" s="8" t="s">
        <v>8230</v>
      </c>
      <c r="M128" s="8" t="s">
        <v>8231</v>
      </c>
      <c r="N128" s="8" t="str">
        <f>HYPERLINK("https://seichotoushi-hojo.jp/assets/pdf/koufu/outline_68.pdf","PDFを開く")</f>
        <v>PDFを開く</v>
      </c>
      <c r="O128" s="8" t="s">
        <v>1126</v>
      </c>
    </row>
    <row r="129" spans="1:15" ht="120" customHeight="1">
      <c r="A129" s="5" t="s">
        <v>1127</v>
      </c>
      <c r="B129" s="5" t="s">
        <v>73</v>
      </c>
      <c r="C129" s="9" t="s">
        <v>1128</v>
      </c>
      <c r="D129" s="9" t="s">
        <v>8232</v>
      </c>
      <c r="E129" s="9"/>
      <c r="F129" s="9" t="s">
        <v>8233</v>
      </c>
      <c r="G129" s="9" t="s">
        <v>8234</v>
      </c>
      <c r="H129" s="9" t="s">
        <v>8235</v>
      </c>
      <c r="I129" s="9"/>
      <c r="J129" s="9" t="s">
        <v>1131</v>
      </c>
      <c r="K129" s="9" t="s">
        <v>8236</v>
      </c>
      <c r="L129" s="9" t="s">
        <v>8237</v>
      </c>
      <c r="M129" s="9" t="s">
        <v>8238</v>
      </c>
      <c r="N129" s="9" t="str">
        <f>HYPERLINK("https://seichotoushi-hojo.jp/assets/pdf/koufu/outline_69.pdf","PDFを開く")</f>
        <v>PDFを開く</v>
      </c>
      <c r="O129" s="9" t="s">
        <v>1134</v>
      </c>
    </row>
    <row r="130" spans="1:15" ht="120" customHeight="1">
      <c r="A130" s="2" t="s">
        <v>1135</v>
      </c>
      <c r="B130" s="2" t="s">
        <v>73</v>
      </c>
      <c r="C130" s="8" t="s">
        <v>1136</v>
      </c>
      <c r="D130" s="8" t="s">
        <v>8239</v>
      </c>
      <c r="E130" s="8"/>
      <c r="F130" s="8" t="s">
        <v>8240</v>
      </c>
      <c r="G130" s="8" t="s">
        <v>8241</v>
      </c>
      <c r="H130" s="8" t="s">
        <v>8242</v>
      </c>
      <c r="I130" s="8"/>
      <c r="J130" s="8" t="s">
        <v>8243</v>
      </c>
      <c r="K130" s="8" t="s">
        <v>8244</v>
      </c>
      <c r="L130" s="8" t="s">
        <v>8245</v>
      </c>
      <c r="M130" s="8" t="s">
        <v>8246</v>
      </c>
      <c r="N130" s="8" t="str">
        <f>HYPERLINK("https://seichotoushi-hojo.jp/assets/pdf/koufu/outline_7.pdf","PDFを開く")</f>
        <v>PDFを開く</v>
      </c>
      <c r="O130" s="8" t="s">
        <v>1145</v>
      </c>
    </row>
    <row r="131" spans="1:15" ht="120" customHeight="1">
      <c r="A131" s="5" t="s">
        <v>1146</v>
      </c>
      <c r="B131" s="5" t="s">
        <v>73</v>
      </c>
      <c r="C131" s="9" t="s">
        <v>1147</v>
      </c>
      <c r="D131" s="9" t="s">
        <v>8247</v>
      </c>
      <c r="E131" s="9" t="s">
        <v>8248</v>
      </c>
      <c r="F131" s="9" t="s">
        <v>8249</v>
      </c>
      <c r="G131" s="9" t="s">
        <v>8250</v>
      </c>
      <c r="H131" s="9" t="s">
        <v>8251</v>
      </c>
      <c r="I131" s="9"/>
      <c r="J131" s="9" t="s">
        <v>1150</v>
      </c>
      <c r="K131" s="9" t="s">
        <v>8252</v>
      </c>
      <c r="L131" s="9" t="s">
        <v>8253</v>
      </c>
      <c r="M131" s="9" t="s">
        <v>8254</v>
      </c>
      <c r="N131" s="9" t="str">
        <f>HYPERLINK("https://seichotoushi-hojo.jp/assets/pdf/koufu/outline_70.pdf","PDFを開く")</f>
        <v>PDFを開く</v>
      </c>
      <c r="O131" s="9" t="s">
        <v>1153</v>
      </c>
    </row>
    <row r="132" spans="1:15" ht="120" customHeight="1">
      <c r="A132" s="2" t="s">
        <v>1154</v>
      </c>
      <c r="B132" s="2" t="s">
        <v>73</v>
      </c>
      <c r="C132" s="8" t="s">
        <v>1155</v>
      </c>
      <c r="D132" s="8" t="s">
        <v>8255</v>
      </c>
      <c r="E132" s="8"/>
      <c r="F132" s="8" t="s">
        <v>8256</v>
      </c>
      <c r="G132" s="8" t="s">
        <v>8257</v>
      </c>
      <c r="H132" s="8" t="s">
        <v>8258</v>
      </c>
      <c r="I132" s="8"/>
      <c r="J132" s="8" t="s">
        <v>1158</v>
      </c>
      <c r="K132" s="8" t="s">
        <v>8259</v>
      </c>
      <c r="L132" s="8" t="s">
        <v>8260</v>
      </c>
      <c r="M132" s="8" t="s">
        <v>8261</v>
      </c>
      <c r="N132" s="8" t="str">
        <f>HYPERLINK("https://seichotoushi-hojo.jp/assets/pdf/koufu/outline_71.pdf","PDFを開く")</f>
        <v>PDFを開く</v>
      </c>
      <c r="O132" s="8" t="s">
        <v>1160</v>
      </c>
    </row>
    <row r="133" spans="1:15" ht="120" customHeight="1">
      <c r="A133" s="5" t="s">
        <v>1161</v>
      </c>
      <c r="B133" s="5" t="s">
        <v>73</v>
      </c>
      <c r="C133" s="9" t="s">
        <v>1162</v>
      </c>
      <c r="D133" s="9" t="s">
        <v>8262</v>
      </c>
      <c r="E133" s="9"/>
      <c r="F133" s="9" t="s">
        <v>8263</v>
      </c>
      <c r="G133" s="9" t="s">
        <v>8264</v>
      </c>
      <c r="H133" s="9" t="s">
        <v>8265</v>
      </c>
      <c r="I133" s="9"/>
      <c r="J133" s="9" t="s">
        <v>1165</v>
      </c>
      <c r="K133" s="9" t="s">
        <v>8266</v>
      </c>
      <c r="L133" s="9" t="s">
        <v>8267</v>
      </c>
      <c r="M133" s="9" t="s">
        <v>8268</v>
      </c>
      <c r="N133" s="9" t="str">
        <f>HYPERLINK("https://seichotoushi-hojo.jp/assets/pdf/koufu/outline_72.pdf","PDFを開く")</f>
        <v>PDFを開く</v>
      </c>
      <c r="O133" s="9" t="s">
        <v>1168</v>
      </c>
    </row>
    <row r="134" spans="1:15" ht="120" customHeight="1">
      <c r="A134" s="2" t="s">
        <v>1169</v>
      </c>
      <c r="B134" s="2" t="s">
        <v>73</v>
      </c>
      <c r="C134" s="8" t="s">
        <v>1170</v>
      </c>
      <c r="D134" s="8" t="s">
        <v>8269</v>
      </c>
      <c r="E134" s="8"/>
      <c r="F134" s="8" t="s">
        <v>8270</v>
      </c>
      <c r="G134" s="8" t="s">
        <v>8271</v>
      </c>
      <c r="H134" s="8" t="s">
        <v>8272</v>
      </c>
      <c r="I134" s="8"/>
      <c r="J134" s="8" t="s">
        <v>1174</v>
      </c>
      <c r="K134" s="8" t="s">
        <v>8273</v>
      </c>
      <c r="L134" s="8" t="s">
        <v>8274</v>
      </c>
      <c r="M134" s="8" t="s">
        <v>8275</v>
      </c>
      <c r="N134" s="8" t="str">
        <f>HYPERLINK("https://seichotoushi-hojo.jp/assets/pdf/koufu/outline_73.pdf","PDFを開く")</f>
        <v>PDFを開く</v>
      </c>
      <c r="O134" s="8" t="s">
        <v>1177</v>
      </c>
    </row>
    <row r="135" spans="1:15" ht="120" customHeight="1">
      <c r="A135" s="5" t="s">
        <v>1178</v>
      </c>
      <c r="B135" s="5" t="s">
        <v>73</v>
      </c>
      <c r="C135" s="9" t="s">
        <v>1179</v>
      </c>
      <c r="D135" s="9" t="s">
        <v>8276</v>
      </c>
      <c r="E135" s="9"/>
      <c r="F135" s="9" t="s">
        <v>8277</v>
      </c>
      <c r="G135" s="9" t="s">
        <v>8278</v>
      </c>
      <c r="H135" s="9" t="s">
        <v>8279</v>
      </c>
      <c r="I135" s="9"/>
      <c r="J135" s="9" t="s">
        <v>1182</v>
      </c>
      <c r="K135" s="9" t="s">
        <v>8280</v>
      </c>
      <c r="L135" s="9" t="s">
        <v>8281</v>
      </c>
      <c r="M135" s="9" t="s">
        <v>8282</v>
      </c>
      <c r="N135" s="9" t="str">
        <f>HYPERLINK("https://seichotoushi-hojo.jp/assets/pdf/koufu/outline_74.pdf","PDFを開く")</f>
        <v>PDFを開く</v>
      </c>
      <c r="O135" s="9" t="s">
        <v>1184</v>
      </c>
    </row>
    <row r="136" spans="1:15" ht="120" customHeight="1">
      <c r="A136" s="2" t="s">
        <v>1185</v>
      </c>
      <c r="B136" s="2" t="s">
        <v>73</v>
      </c>
      <c r="C136" s="8" t="s">
        <v>1186</v>
      </c>
      <c r="D136" s="8" t="s">
        <v>8283</v>
      </c>
      <c r="E136" s="8"/>
      <c r="F136" s="8" t="s">
        <v>8284</v>
      </c>
      <c r="G136" s="8" t="s">
        <v>8285</v>
      </c>
      <c r="H136" s="8" t="s">
        <v>8286</v>
      </c>
      <c r="I136" s="8"/>
      <c r="J136" s="8" t="s">
        <v>1189</v>
      </c>
      <c r="K136" s="8" t="s">
        <v>8287</v>
      </c>
      <c r="L136" s="8" t="s">
        <v>8288</v>
      </c>
      <c r="M136" s="8" t="s">
        <v>8289</v>
      </c>
      <c r="N136" s="8" t="str">
        <f>HYPERLINK("https://seichotoushi-hojo.jp/assets/pdf/koufu/outline_75.pdf","PDFを開く")</f>
        <v>PDFを開く</v>
      </c>
      <c r="O136" s="8" t="s">
        <v>1192</v>
      </c>
    </row>
    <row r="137" spans="1:15" ht="120" customHeight="1">
      <c r="A137" s="5" t="s">
        <v>1193</v>
      </c>
      <c r="B137" s="5" t="s">
        <v>73</v>
      </c>
      <c r="C137" s="9" t="s">
        <v>1194</v>
      </c>
      <c r="D137" s="9" t="s">
        <v>8290</v>
      </c>
      <c r="E137" s="9" t="s">
        <v>8291</v>
      </c>
      <c r="F137" s="9" t="s">
        <v>8292</v>
      </c>
      <c r="G137" s="9" t="s">
        <v>8293</v>
      </c>
      <c r="H137" s="9" t="s">
        <v>8294</v>
      </c>
      <c r="I137" s="9"/>
      <c r="J137" s="9" t="s">
        <v>8295</v>
      </c>
      <c r="K137" s="9" t="s">
        <v>8296</v>
      </c>
      <c r="L137" s="9" t="s">
        <v>8297</v>
      </c>
      <c r="M137" s="9" t="s">
        <v>8298</v>
      </c>
      <c r="N137" s="9" t="str">
        <f>HYPERLINK("https://seichotoushi-hojo.jp/assets/pdf/koufu/outline_76.pdf","PDFを開く")</f>
        <v>PDFを開く</v>
      </c>
      <c r="O137" s="9" t="s">
        <v>1202</v>
      </c>
    </row>
    <row r="138" spans="1:15" ht="120" customHeight="1">
      <c r="A138" s="2" t="s">
        <v>1203</v>
      </c>
      <c r="B138" s="2" t="s">
        <v>73</v>
      </c>
      <c r="C138" s="8" t="s">
        <v>1204</v>
      </c>
      <c r="D138" s="8" t="s">
        <v>8299</v>
      </c>
      <c r="E138" s="8"/>
      <c r="F138" s="8"/>
      <c r="G138" s="8" t="s">
        <v>8300</v>
      </c>
      <c r="H138" s="8" t="s">
        <v>8301</v>
      </c>
      <c r="I138" s="8"/>
      <c r="J138" s="8" t="s">
        <v>1207</v>
      </c>
      <c r="K138" s="8" t="s">
        <v>8302</v>
      </c>
      <c r="L138" s="8" t="s">
        <v>8303</v>
      </c>
      <c r="M138" s="8" t="s">
        <v>8304</v>
      </c>
      <c r="N138" s="8" t="str">
        <f>HYPERLINK("https://seichotoushi-hojo.jp/assets/pdf/koufu/outline_77.pdf","PDFを開く")</f>
        <v>PDFを開く</v>
      </c>
      <c r="O138" s="8" t="s">
        <v>1210</v>
      </c>
    </row>
    <row r="139" spans="1:15" ht="120" customHeight="1">
      <c r="A139" s="5" t="s">
        <v>1211</v>
      </c>
      <c r="B139" s="5" t="s">
        <v>73</v>
      </c>
      <c r="C139" s="9" t="s">
        <v>1212</v>
      </c>
      <c r="D139" s="9" t="s">
        <v>8305</v>
      </c>
      <c r="E139" s="9"/>
      <c r="F139" s="9" t="s">
        <v>8306</v>
      </c>
      <c r="G139" s="9" t="s">
        <v>8307</v>
      </c>
      <c r="H139" s="9" t="s">
        <v>8308</v>
      </c>
      <c r="I139" s="9"/>
      <c r="J139" s="9" t="s">
        <v>8309</v>
      </c>
      <c r="K139" s="9" t="s">
        <v>8310</v>
      </c>
      <c r="L139" s="9" t="s">
        <v>8311</v>
      </c>
      <c r="M139" s="9" t="s">
        <v>8312</v>
      </c>
      <c r="N139" s="9" t="str">
        <f>HYPERLINK("https://seichotoushi-hojo.jp/assets/pdf/koufu/outline_78.pdf","PDFを開く")</f>
        <v>PDFを開く</v>
      </c>
      <c r="O139" s="9" t="s">
        <v>1218</v>
      </c>
    </row>
    <row r="140" spans="1:15" ht="120" customHeight="1">
      <c r="A140" s="2" t="s">
        <v>1219</v>
      </c>
      <c r="B140" s="2" t="s">
        <v>73</v>
      </c>
      <c r="C140" s="8" t="s">
        <v>1220</v>
      </c>
      <c r="D140" s="8" t="s">
        <v>8313</v>
      </c>
      <c r="E140" s="8"/>
      <c r="F140" s="8" t="s">
        <v>8314</v>
      </c>
      <c r="G140" s="8" t="s">
        <v>8315</v>
      </c>
      <c r="H140" s="8" t="s">
        <v>8316</v>
      </c>
      <c r="I140" s="8"/>
      <c r="J140" s="8" t="s">
        <v>1223</v>
      </c>
      <c r="K140" s="8" t="s">
        <v>8317</v>
      </c>
      <c r="L140" s="8" t="s">
        <v>8318</v>
      </c>
      <c r="M140" s="8" t="s">
        <v>8319</v>
      </c>
      <c r="N140" s="8" t="str">
        <f>HYPERLINK("https://seichotoushi-hojo.jp/assets/pdf/koufu/outline_79.pdf","PDFを開く")</f>
        <v>PDFを開く</v>
      </c>
      <c r="O140" s="8" t="s">
        <v>1225</v>
      </c>
    </row>
    <row r="141" spans="1:15" ht="120" customHeight="1">
      <c r="A141" s="5" t="s">
        <v>1226</v>
      </c>
      <c r="B141" s="5" t="s">
        <v>73</v>
      </c>
      <c r="C141" s="9" t="s">
        <v>1227</v>
      </c>
      <c r="D141" s="9" t="s">
        <v>8320</v>
      </c>
      <c r="E141" s="9"/>
      <c r="F141" s="9" t="s">
        <v>8321</v>
      </c>
      <c r="G141" s="9" t="s">
        <v>8322</v>
      </c>
      <c r="H141" s="9" t="s">
        <v>8323</v>
      </c>
      <c r="I141" s="9"/>
      <c r="J141" s="9" t="s">
        <v>1230</v>
      </c>
      <c r="K141" s="9" t="s">
        <v>8324</v>
      </c>
      <c r="L141" s="9" t="s">
        <v>8325</v>
      </c>
      <c r="M141" s="9" t="s">
        <v>8326</v>
      </c>
      <c r="N141" s="9" t="str">
        <f>HYPERLINK("https://seichotoushi-hojo.jp/assets/pdf/koufu/outline_8.pdf","PDFを開く")</f>
        <v>PDFを開く</v>
      </c>
      <c r="O141" s="9" t="s">
        <v>1232</v>
      </c>
    </row>
    <row r="142" spans="1:15" ht="120" customHeight="1">
      <c r="A142" s="2" t="s">
        <v>1233</v>
      </c>
      <c r="B142" s="2" t="s">
        <v>73</v>
      </c>
      <c r="C142" s="8" t="s">
        <v>1234</v>
      </c>
      <c r="D142" s="8" t="s">
        <v>8327</v>
      </c>
      <c r="E142" s="8"/>
      <c r="F142" s="8" t="s">
        <v>8328</v>
      </c>
      <c r="G142" s="8" t="s">
        <v>8329</v>
      </c>
      <c r="H142" s="8" t="s">
        <v>8330</v>
      </c>
      <c r="I142" s="8"/>
      <c r="J142" s="8" t="s">
        <v>1237</v>
      </c>
      <c r="K142" s="8" t="s">
        <v>8331</v>
      </c>
      <c r="L142" s="8" t="s">
        <v>8332</v>
      </c>
      <c r="M142" s="8" t="s">
        <v>8333</v>
      </c>
      <c r="N142" s="8" t="str">
        <f>HYPERLINK("https://seichotoushi-hojo.jp/assets/pdf/koufu/outline_80.pdf","PDFを開く")</f>
        <v>PDFを開く</v>
      </c>
      <c r="O142" s="8" t="s">
        <v>1239</v>
      </c>
    </row>
    <row r="143" spans="1:15" ht="120" customHeight="1">
      <c r="A143" s="5" t="s">
        <v>1240</v>
      </c>
      <c r="B143" s="5" t="s">
        <v>73</v>
      </c>
      <c r="C143" s="9" t="s">
        <v>1241</v>
      </c>
      <c r="D143" s="9" t="s">
        <v>8334</v>
      </c>
      <c r="E143" s="9"/>
      <c r="F143" s="9" t="s">
        <v>8335</v>
      </c>
      <c r="G143" s="9" t="s">
        <v>8336</v>
      </c>
      <c r="H143" s="9" t="s">
        <v>8337</v>
      </c>
      <c r="I143" s="9"/>
      <c r="J143" s="9" t="s">
        <v>1245</v>
      </c>
      <c r="K143" s="9" t="s">
        <v>8338</v>
      </c>
      <c r="L143" s="9" t="s">
        <v>8339</v>
      </c>
      <c r="M143" s="9" t="s">
        <v>8340</v>
      </c>
      <c r="N143" s="9" t="str">
        <f>HYPERLINK("https://seichotoushi-hojo.jp/assets/pdf/koufu/outline_81.pdf","PDFを開く")</f>
        <v>PDFを開く</v>
      </c>
      <c r="O143" s="9" t="s">
        <v>1247</v>
      </c>
    </row>
    <row r="144" spans="1:15" ht="120" customHeight="1">
      <c r="A144" s="2" t="s">
        <v>1248</v>
      </c>
      <c r="B144" s="2" t="s">
        <v>73</v>
      </c>
      <c r="C144" s="8" t="s">
        <v>1249</v>
      </c>
      <c r="D144" s="8" t="s">
        <v>8341</v>
      </c>
      <c r="E144" s="8" t="s">
        <v>8342</v>
      </c>
      <c r="F144" s="8" t="s">
        <v>8343</v>
      </c>
      <c r="G144" s="8" t="s">
        <v>8344</v>
      </c>
      <c r="H144" s="8" t="s">
        <v>8345</v>
      </c>
      <c r="I144" s="8"/>
      <c r="J144" s="8" t="s">
        <v>1252</v>
      </c>
      <c r="K144" s="8" t="s">
        <v>8346</v>
      </c>
      <c r="L144" s="8" t="s">
        <v>8347</v>
      </c>
      <c r="M144" s="8" t="s">
        <v>8348</v>
      </c>
      <c r="N144" s="8" t="str">
        <f>HYPERLINK("https://seichotoushi-hojo.jp/assets/pdf/koufu/outline_82.pdf","PDFを開く")</f>
        <v>PDFを開く</v>
      </c>
      <c r="O144" s="8" t="s">
        <v>1254</v>
      </c>
    </row>
    <row r="145" spans="1:15" ht="120" customHeight="1">
      <c r="A145" s="5" t="s">
        <v>1255</v>
      </c>
      <c r="B145" s="5" t="s">
        <v>73</v>
      </c>
      <c r="C145" s="9" t="s">
        <v>1256</v>
      </c>
      <c r="D145" s="9" t="s">
        <v>8349</v>
      </c>
      <c r="E145" s="9"/>
      <c r="F145" s="9" t="s">
        <v>8350</v>
      </c>
      <c r="G145" s="9" t="s">
        <v>8351</v>
      </c>
      <c r="H145" s="9" t="s">
        <v>8352</v>
      </c>
      <c r="I145" s="9"/>
      <c r="J145" s="9" t="s">
        <v>1260</v>
      </c>
      <c r="K145" s="9" t="s">
        <v>8353</v>
      </c>
      <c r="L145" s="9" t="s">
        <v>8354</v>
      </c>
      <c r="M145" s="9" t="s">
        <v>8355</v>
      </c>
      <c r="N145" s="9" t="str">
        <f>HYPERLINK("https://seichotoushi-hojo.jp/assets/pdf/koufu/outline_83.pdf","PDFを開く")</f>
        <v>PDFを開く</v>
      </c>
      <c r="O145" s="9" t="s">
        <v>1262</v>
      </c>
    </row>
    <row r="146" spans="1:15" ht="120" customHeight="1">
      <c r="A146" s="2" t="s">
        <v>1263</v>
      </c>
      <c r="B146" s="2" t="s">
        <v>73</v>
      </c>
      <c r="C146" s="8" t="s">
        <v>1264</v>
      </c>
      <c r="D146" s="8" t="s">
        <v>8356</v>
      </c>
      <c r="E146" s="8"/>
      <c r="F146" s="8" t="s">
        <v>8357</v>
      </c>
      <c r="G146" s="8" t="s">
        <v>8358</v>
      </c>
      <c r="H146" s="8" t="s">
        <v>8359</v>
      </c>
      <c r="I146" s="8"/>
      <c r="J146" s="8" t="s">
        <v>1268</v>
      </c>
      <c r="K146" s="8" t="s">
        <v>8360</v>
      </c>
      <c r="L146" s="8" t="s">
        <v>8361</v>
      </c>
      <c r="M146" s="8" t="s">
        <v>8362</v>
      </c>
      <c r="N146" s="8" t="str">
        <f>HYPERLINK("https://seichotoushi-hojo.jp/assets/pdf/koufu/outline_84.pdf","PDFを開く")</f>
        <v>PDFを開く</v>
      </c>
      <c r="O146" s="8" t="s">
        <v>1271</v>
      </c>
    </row>
    <row r="147" spans="1:15" ht="120" customHeight="1">
      <c r="A147" s="5" t="s">
        <v>1272</v>
      </c>
      <c r="B147" s="5" t="s">
        <v>73</v>
      </c>
      <c r="C147" s="9" t="s">
        <v>1273</v>
      </c>
      <c r="D147" s="9" t="s">
        <v>8363</v>
      </c>
      <c r="E147" s="9"/>
      <c r="F147" s="9" t="s">
        <v>8364</v>
      </c>
      <c r="G147" s="9" t="s">
        <v>8365</v>
      </c>
      <c r="H147" s="9" t="s">
        <v>8366</v>
      </c>
      <c r="I147" s="9"/>
      <c r="J147" s="9" t="s">
        <v>1277</v>
      </c>
      <c r="K147" s="9" t="s">
        <v>8367</v>
      </c>
      <c r="L147" s="9" t="s">
        <v>8368</v>
      </c>
      <c r="M147" s="9" t="s">
        <v>8369</v>
      </c>
      <c r="N147" s="9" t="str">
        <f>HYPERLINK("https://seichotoushi-hojo.jp/assets/pdf/koufu/outline_85.pdf","PDFを開く")</f>
        <v>PDFを開く</v>
      </c>
      <c r="O147" s="9" t="s">
        <v>1280</v>
      </c>
    </row>
    <row r="148" spans="1:15" ht="120" customHeight="1">
      <c r="A148" s="2" t="s">
        <v>1281</v>
      </c>
      <c r="B148" s="2" t="s">
        <v>73</v>
      </c>
      <c r="C148" s="8" t="s">
        <v>1282</v>
      </c>
      <c r="D148" s="8"/>
      <c r="E148" s="8"/>
      <c r="F148" s="8"/>
      <c r="G148" s="8"/>
      <c r="H148" s="8"/>
      <c r="I148" s="8"/>
      <c r="J148" s="8"/>
      <c r="K148" s="8" t="s">
        <v>8370</v>
      </c>
      <c r="L148" s="8"/>
      <c r="M148" s="8"/>
      <c r="N148" s="8" t="str">
        <f>HYPERLINK("https://seichotoushi-hojo.jp/assets/pdf/koufu/outline_86.pdf","PDFを開く")</f>
        <v>PDFを開く</v>
      </c>
      <c r="O148" s="8" t="s">
        <v>1286</v>
      </c>
    </row>
    <row r="149" spans="1:15" ht="120" customHeight="1">
      <c r="A149" s="5" t="s">
        <v>1287</v>
      </c>
      <c r="B149" s="5" t="s">
        <v>73</v>
      </c>
      <c r="C149" s="9" t="s">
        <v>1288</v>
      </c>
      <c r="D149" s="9" t="s">
        <v>8371</v>
      </c>
      <c r="E149" s="9"/>
      <c r="F149" s="9" t="s">
        <v>8372</v>
      </c>
      <c r="G149" s="9" t="s">
        <v>8373</v>
      </c>
      <c r="H149" s="9" t="s">
        <v>8374</v>
      </c>
      <c r="I149" s="9"/>
      <c r="J149" s="9" t="s">
        <v>1291</v>
      </c>
      <c r="K149" s="9" t="s">
        <v>8375</v>
      </c>
      <c r="L149" s="9" t="s">
        <v>8376</v>
      </c>
      <c r="M149" s="9" t="s">
        <v>8377</v>
      </c>
      <c r="N149" s="9" t="str">
        <f>HYPERLINK("https://seichotoushi-hojo.jp/assets/pdf/koufu/outline_87.pdf","PDFを開く")</f>
        <v>PDFを開く</v>
      </c>
      <c r="O149" s="9" t="s">
        <v>1293</v>
      </c>
    </row>
    <row r="150" spans="1:15" ht="120" customHeight="1">
      <c r="A150" s="2" t="s">
        <v>1294</v>
      </c>
      <c r="B150" s="2" t="s">
        <v>73</v>
      </c>
      <c r="C150" s="8" t="s">
        <v>1295</v>
      </c>
      <c r="D150" s="8" t="s">
        <v>8378</v>
      </c>
      <c r="E150" s="8"/>
      <c r="F150" s="8" t="s">
        <v>8379</v>
      </c>
      <c r="G150" s="8" t="s">
        <v>8380</v>
      </c>
      <c r="H150" s="8" t="s">
        <v>8381</v>
      </c>
      <c r="I150" s="8"/>
      <c r="J150" s="8" t="s">
        <v>1299</v>
      </c>
      <c r="K150" s="8" t="s">
        <v>8382</v>
      </c>
      <c r="L150" s="8" t="s">
        <v>8383</v>
      </c>
      <c r="M150" s="8" t="s">
        <v>8384</v>
      </c>
      <c r="N150" s="8" t="str">
        <f>HYPERLINK("https://seichotoushi-hojo.jp/assets/pdf/koufu/outline_88.pdf","PDFを開く")</f>
        <v>PDFを開く</v>
      </c>
      <c r="O150" s="8" t="s">
        <v>1302</v>
      </c>
    </row>
    <row r="151" spans="1:15" ht="120" customHeight="1">
      <c r="A151" s="5" t="s">
        <v>1303</v>
      </c>
      <c r="B151" s="5" t="s">
        <v>73</v>
      </c>
      <c r="C151" s="9" t="s">
        <v>1304</v>
      </c>
      <c r="D151" s="9" t="s">
        <v>8385</v>
      </c>
      <c r="E151" s="9"/>
      <c r="F151" s="9" t="s">
        <v>8386</v>
      </c>
      <c r="G151" s="9" t="s">
        <v>8387</v>
      </c>
      <c r="H151" s="9" t="s">
        <v>8388</v>
      </c>
      <c r="I151" s="9"/>
      <c r="J151" s="9" t="s">
        <v>1307</v>
      </c>
      <c r="K151" s="9" t="s">
        <v>8389</v>
      </c>
      <c r="L151" s="9" t="s">
        <v>8390</v>
      </c>
      <c r="M151" s="9" t="s">
        <v>8391</v>
      </c>
      <c r="N151" s="9" t="str">
        <f>HYPERLINK("https://seichotoushi-hojo.jp/assets/pdf/koufu/outline_89.pdf","PDFを開く")</f>
        <v>PDFを開く</v>
      </c>
      <c r="O151" s="9" t="s">
        <v>1310</v>
      </c>
    </row>
    <row r="152" spans="1:15" ht="120" customHeight="1">
      <c r="A152" s="2" t="s">
        <v>1311</v>
      </c>
      <c r="B152" s="2" t="s">
        <v>73</v>
      </c>
      <c r="C152" s="8" t="s">
        <v>1312</v>
      </c>
      <c r="D152" s="8" t="s">
        <v>8392</v>
      </c>
      <c r="E152" s="8"/>
      <c r="F152" s="8" t="s">
        <v>8393</v>
      </c>
      <c r="G152" s="8" t="s">
        <v>8394</v>
      </c>
      <c r="H152" s="8" t="s">
        <v>8395</v>
      </c>
      <c r="I152" s="8"/>
      <c r="J152" s="8" t="s">
        <v>1315</v>
      </c>
      <c r="K152" s="8" t="s">
        <v>8396</v>
      </c>
      <c r="L152" s="8" t="s">
        <v>8397</v>
      </c>
      <c r="M152" s="8" t="s">
        <v>8398</v>
      </c>
      <c r="N152" s="8" t="str">
        <f>HYPERLINK("https://seichotoushi-hojo.jp/assets/pdf/koufu/outline_9.pdf","PDFを開く")</f>
        <v>PDFを開く</v>
      </c>
      <c r="O152" s="8" t="s">
        <v>1317</v>
      </c>
    </row>
    <row r="153" spans="1:15" ht="120" customHeight="1">
      <c r="A153" s="5" t="s">
        <v>1318</v>
      </c>
      <c r="B153" s="5" t="s">
        <v>73</v>
      </c>
      <c r="C153" s="9" t="s">
        <v>1319</v>
      </c>
      <c r="D153" s="9"/>
      <c r="E153" s="9"/>
      <c r="F153" s="9"/>
      <c r="G153" s="9"/>
      <c r="H153" s="9"/>
      <c r="I153" s="9"/>
      <c r="J153" s="9"/>
      <c r="K153" s="9" t="s">
        <v>8399</v>
      </c>
      <c r="L153" s="9"/>
      <c r="M153" s="9" t="s">
        <v>8400</v>
      </c>
      <c r="N153" s="9" t="str">
        <f>HYPERLINK("https://seichotoushi-hojo.jp/assets/pdf/koufu/outline_91.pdf","PDFを開く")</f>
        <v>PDFを開く</v>
      </c>
      <c r="O153" s="9" t="s">
        <v>1327</v>
      </c>
    </row>
    <row r="154" spans="1:15" ht="120" customHeight="1">
      <c r="A154" s="2" t="s">
        <v>1328</v>
      </c>
      <c r="B154" s="2" t="s">
        <v>73</v>
      </c>
      <c r="C154" s="8" t="s">
        <v>1329</v>
      </c>
      <c r="D154" s="8" t="s">
        <v>8401</v>
      </c>
      <c r="E154" s="8"/>
      <c r="F154" s="8" t="s">
        <v>8402</v>
      </c>
      <c r="G154" s="8" t="s">
        <v>8403</v>
      </c>
      <c r="H154" s="8" t="s">
        <v>8404</v>
      </c>
      <c r="I154" s="8"/>
      <c r="J154" s="8" t="s">
        <v>1332</v>
      </c>
      <c r="K154" s="8" t="s">
        <v>8405</v>
      </c>
      <c r="L154" s="8" t="s">
        <v>8406</v>
      </c>
      <c r="M154" s="8" t="s">
        <v>8407</v>
      </c>
      <c r="N154" s="8" t="str">
        <f>HYPERLINK("https://seichotoushi-hojo.jp/assets/pdf/koufu/outline_92.pdf","PDFを開く")</f>
        <v>PDFを開く</v>
      </c>
      <c r="O154" s="8" t="s">
        <v>1334</v>
      </c>
    </row>
    <row r="155" spans="1:15" ht="120" customHeight="1">
      <c r="A155" s="5" t="s">
        <v>1335</v>
      </c>
      <c r="B155" s="5" t="s">
        <v>73</v>
      </c>
      <c r="C155" s="9" t="s">
        <v>1336</v>
      </c>
      <c r="D155" s="9" t="s">
        <v>8408</v>
      </c>
      <c r="E155" s="9"/>
      <c r="F155" s="9" t="s">
        <v>8409</v>
      </c>
      <c r="G155" s="9" t="s">
        <v>8410</v>
      </c>
      <c r="H155" s="9" t="s">
        <v>8411</v>
      </c>
      <c r="I155" s="9"/>
      <c r="J155" s="9" t="s">
        <v>1339</v>
      </c>
      <c r="K155" s="9" t="s">
        <v>8412</v>
      </c>
      <c r="L155" s="9" t="s">
        <v>8413</v>
      </c>
      <c r="M155" s="9" t="s">
        <v>8414</v>
      </c>
      <c r="N155" s="9" t="str">
        <f>HYPERLINK("https://seichotoushi-hojo.jp/assets/pdf/koufu/outline_93.pdf","PDFを開く")</f>
        <v>PDFを開く</v>
      </c>
      <c r="O155" s="9" t="s">
        <v>1342</v>
      </c>
    </row>
    <row r="156" spans="1:15" ht="120" customHeight="1">
      <c r="A156" s="2" t="s">
        <v>1343</v>
      </c>
      <c r="B156" s="2" t="s">
        <v>73</v>
      </c>
      <c r="C156" s="8" t="s">
        <v>1344</v>
      </c>
      <c r="D156" s="8" t="s">
        <v>8415</v>
      </c>
      <c r="E156" s="8"/>
      <c r="F156" s="8" t="s">
        <v>8416</v>
      </c>
      <c r="G156" s="8" t="s">
        <v>8417</v>
      </c>
      <c r="H156" s="8" t="s">
        <v>8418</v>
      </c>
      <c r="I156" s="8"/>
      <c r="J156" s="8" t="s">
        <v>8419</v>
      </c>
      <c r="K156" s="8" t="s">
        <v>8420</v>
      </c>
      <c r="L156" s="8" t="s">
        <v>8421</v>
      </c>
      <c r="M156" s="8" t="s">
        <v>8422</v>
      </c>
      <c r="N156" s="8" t="str">
        <f>HYPERLINK("https://seichotoushi-hojo.jp/assets/pdf/koufu/outline_94.pdf","PDFを開く")</f>
        <v>PDFを開く</v>
      </c>
      <c r="O156" s="8" t="s">
        <v>1349</v>
      </c>
    </row>
    <row r="157" spans="1:15" ht="120" customHeight="1">
      <c r="A157" s="5" t="s">
        <v>1350</v>
      </c>
      <c r="B157" s="5" t="s">
        <v>73</v>
      </c>
      <c r="C157" s="9" t="s">
        <v>1351</v>
      </c>
      <c r="D157" s="9" t="s">
        <v>8423</v>
      </c>
      <c r="E157" s="9"/>
      <c r="F157" s="9" t="s">
        <v>8424</v>
      </c>
      <c r="G157" s="9" t="s">
        <v>8425</v>
      </c>
      <c r="H157" s="9" t="s">
        <v>8426</v>
      </c>
      <c r="I157" s="9"/>
      <c r="J157" s="9" t="s">
        <v>1354</v>
      </c>
      <c r="K157" s="9" t="s">
        <v>8427</v>
      </c>
      <c r="L157" s="9" t="s">
        <v>8428</v>
      </c>
      <c r="M157" s="9" t="s">
        <v>8429</v>
      </c>
      <c r="N157" s="9" t="str">
        <f>HYPERLINK("https://seichotoushi-hojo.jp/assets/pdf/koufu/outline_95.pdf","PDFを開く")</f>
        <v>PDFを開く</v>
      </c>
      <c r="O157" s="9" t="s">
        <v>1357</v>
      </c>
    </row>
    <row r="158" spans="1:15" ht="120" customHeight="1">
      <c r="A158" s="2" t="s">
        <v>1358</v>
      </c>
      <c r="B158" s="2" t="s">
        <v>73</v>
      </c>
      <c r="C158" s="8" t="s">
        <v>1359</v>
      </c>
      <c r="D158" s="8" t="s">
        <v>8430</v>
      </c>
      <c r="E158" s="8"/>
      <c r="F158" s="8" t="s">
        <v>8431</v>
      </c>
      <c r="G158" s="8" t="s">
        <v>8432</v>
      </c>
      <c r="H158" s="8" t="s">
        <v>8433</v>
      </c>
      <c r="I158" s="8"/>
      <c r="J158" s="8" t="s">
        <v>1363</v>
      </c>
      <c r="K158" s="8" t="s">
        <v>8434</v>
      </c>
      <c r="L158" s="8" t="s">
        <v>8435</v>
      </c>
      <c r="M158" s="8" t="s">
        <v>8436</v>
      </c>
      <c r="N158" s="8" t="str">
        <f>HYPERLINK("https://seichotoushi-hojo.jp/assets/pdf/koufu/outline_96.pdf","PDFを開く")</f>
        <v>PDFを開く</v>
      </c>
      <c r="O158" s="8" t="s">
        <v>1366</v>
      </c>
    </row>
    <row r="159" spans="1:15" ht="120" customHeight="1">
      <c r="A159" s="5" t="s">
        <v>1367</v>
      </c>
      <c r="B159" s="5" t="s">
        <v>73</v>
      </c>
      <c r="C159" s="9" t="s">
        <v>1368</v>
      </c>
      <c r="D159" s="9" t="s">
        <v>8437</v>
      </c>
      <c r="E159" s="9"/>
      <c r="F159" s="9"/>
      <c r="G159" s="9" t="s">
        <v>8438</v>
      </c>
      <c r="H159" s="9" t="s">
        <v>8439</v>
      </c>
      <c r="I159" s="9"/>
      <c r="J159" s="9"/>
      <c r="K159" s="9" t="s">
        <v>8440</v>
      </c>
      <c r="L159" s="9" t="s">
        <v>8441</v>
      </c>
      <c r="M159" s="9" t="s">
        <v>8442</v>
      </c>
      <c r="N159" s="9" t="str">
        <f>HYPERLINK("https://seichotoushi-hojo.jp/assets/pdf/koufu/outline_97.pdf","PDFを開く")</f>
        <v>PDFを開く</v>
      </c>
      <c r="O159" s="9" t="s">
        <v>1376</v>
      </c>
    </row>
    <row r="160" spans="1:15" ht="120" customHeight="1">
      <c r="A160" s="2" t="s">
        <v>1377</v>
      </c>
      <c r="B160" s="2" t="s">
        <v>73</v>
      </c>
      <c r="C160" s="8" t="s">
        <v>1378</v>
      </c>
      <c r="D160" s="8" t="s">
        <v>8443</v>
      </c>
      <c r="E160" s="8"/>
      <c r="F160" s="8" t="s">
        <v>8444</v>
      </c>
      <c r="G160" s="8" t="s">
        <v>8445</v>
      </c>
      <c r="H160" s="8" t="s">
        <v>8446</v>
      </c>
      <c r="I160" s="8"/>
      <c r="J160" s="8" t="s">
        <v>1382</v>
      </c>
      <c r="K160" s="8" t="s">
        <v>8447</v>
      </c>
      <c r="L160" s="8" t="s">
        <v>8448</v>
      </c>
      <c r="M160" s="8" t="s">
        <v>8449</v>
      </c>
      <c r="N160" s="8" t="str">
        <f>HYPERLINK("https://seichotoushi-hojo.jp/assets/pdf/koufu/outline_99.pdf","PDFを開く")</f>
        <v>PDFを開く</v>
      </c>
      <c r="O160" s="8" t="s">
        <v>1384</v>
      </c>
    </row>
    <row r="161" spans="1:15" ht="120" customHeight="1">
      <c r="A161" s="5" t="s">
        <v>1385</v>
      </c>
      <c r="B161" s="5" t="s">
        <v>1386</v>
      </c>
      <c r="C161" s="9" t="s">
        <v>1387</v>
      </c>
      <c r="D161" s="9" t="s">
        <v>8450</v>
      </c>
      <c r="E161" s="9"/>
      <c r="F161" s="9" t="s">
        <v>8451</v>
      </c>
      <c r="G161" s="9" t="s">
        <v>8452</v>
      </c>
      <c r="H161" s="9" t="s">
        <v>8453</v>
      </c>
      <c r="I161" s="9"/>
      <c r="J161" s="9"/>
      <c r="K161" s="9"/>
      <c r="L161" s="9" t="s">
        <v>8454</v>
      </c>
      <c r="M161" s="9" t="s">
        <v>8455</v>
      </c>
      <c r="N161" s="9" t="str">
        <f>HYPERLINK("https://seichotoushi-hojo.jp/assets/pdf/koufu/outline__179.pdf","PDFを開く")</f>
        <v>PDFを開く</v>
      </c>
      <c r="O161" s="9" t="s">
        <v>1394</v>
      </c>
    </row>
    <row r="162" spans="1:15" ht="120" customHeight="1">
      <c r="A162" s="2" t="s">
        <v>1395</v>
      </c>
      <c r="B162" s="2" t="s">
        <v>1386</v>
      </c>
      <c r="C162" s="8" t="s">
        <v>1396</v>
      </c>
      <c r="D162" s="8" t="s">
        <v>8456</v>
      </c>
      <c r="E162" s="8"/>
      <c r="F162" s="8" t="s">
        <v>8457</v>
      </c>
      <c r="G162" s="8" t="s">
        <v>8458</v>
      </c>
      <c r="H162" s="8" t="s">
        <v>8459</v>
      </c>
      <c r="I162" s="8"/>
      <c r="J162" s="8"/>
      <c r="K162" s="8" t="s">
        <v>8460</v>
      </c>
      <c r="L162" s="8" t="s">
        <v>8461</v>
      </c>
      <c r="M162" s="8" t="s">
        <v>8462</v>
      </c>
      <c r="N162" s="8" t="str">
        <f>HYPERLINK("https://seichotoushi-hojo.jp/assets/pdf/koufu/outline__181.pdf","PDFを開く")</f>
        <v>PDFを開く</v>
      </c>
      <c r="O162" s="8" t="s">
        <v>1404</v>
      </c>
    </row>
    <row r="163" spans="1:15" ht="120" customHeight="1">
      <c r="A163" s="5" t="s">
        <v>1405</v>
      </c>
      <c r="B163" s="5" t="s">
        <v>1386</v>
      </c>
      <c r="C163" s="9" t="s">
        <v>1406</v>
      </c>
      <c r="D163" s="9" t="s">
        <v>8463</v>
      </c>
      <c r="E163" s="9"/>
      <c r="F163" s="9" t="s">
        <v>8464</v>
      </c>
      <c r="G163" s="9" t="s">
        <v>8465</v>
      </c>
      <c r="H163" s="9" t="s">
        <v>8466</v>
      </c>
      <c r="I163" s="9"/>
      <c r="J163" s="9" t="s">
        <v>1410</v>
      </c>
      <c r="K163" s="9" t="s">
        <v>8467</v>
      </c>
      <c r="L163" s="9" t="s">
        <v>8468</v>
      </c>
      <c r="M163" s="9" t="s">
        <v>8469</v>
      </c>
      <c r="N163" s="9" t="str">
        <f>HYPERLINK("https://seichotoushi-hojo.jp/assets/pdf/koufu/outline__182.pdf","PDFを開く")</f>
        <v>PDFを開く</v>
      </c>
      <c r="O163" s="9" t="s">
        <v>1413</v>
      </c>
    </row>
    <row r="164" spans="1:15" ht="120" customHeight="1">
      <c r="A164" s="2" t="s">
        <v>1414</v>
      </c>
      <c r="B164" s="2" t="s">
        <v>1386</v>
      </c>
      <c r="C164" s="8" t="s">
        <v>1415</v>
      </c>
      <c r="D164" s="8" t="s">
        <v>8470</v>
      </c>
      <c r="E164" s="8"/>
      <c r="F164" s="8" t="s">
        <v>8471</v>
      </c>
      <c r="G164" s="8" t="s">
        <v>8472</v>
      </c>
      <c r="H164" s="8" t="s">
        <v>8473</v>
      </c>
      <c r="I164" s="8"/>
      <c r="J164" s="8" t="s">
        <v>1419</v>
      </c>
      <c r="K164" s="8" t="s">
        <v>8474</v>
      </c>
      <c r="L164" s="8" t="s">
        <v>8475</v>
      </c>
      <c r="M164" s="8" t="s">
        <v>8476</v>
      </c>
      <c r="N164" s="8" t="str">
        <f>HYPERLINK("https://seichotoushi-hojo.jp/assets/pdf/koufu/outline__183.pdf","PDFを開く")</f>
        <v>PDFを開く</v>
      </c>
      <c r="O164" s="8" t="s">
        <v>1421</v>
      </c>
    </row>
    <row r="165" spans="1:15" ht="120" customHeight="1">
      <c r="A165" s="5" t="s">
        <v>1422</v>
      </c>
      <c r="B165" s="5" t="s">
        <v>1386</v>
      </c>
      <c r="C165" s="9" t="s">
        <v>1423</v>
      </c>
      <c r="D165" s="9" t="s">
        <v>8477</v>
      </c>
      <c r="E165" s="9"/>
      <c r="F165" s="9" t="s">
        <v>8478</v>
      </c>
      <c r="G165" s="9" t="s">
        <v>8479</v>
      </c>
      <c r="H165" s="9" t="s">
        <v>8480</v>
      </c>
      <c r="I165" s="9"/>
      <c r="J165" s="9" t="s">
        <v>1427</v>
      </c>
      <c r="K165" s="9" t="s">
        <v>8481</v>
      </c>
      <c r="L165" s="9" t="s">
        <v>8482</v>
      </c>
      <c r="M165" s="9" t="s">
        <v>8483</v>
      </c>
      <c r="N165" s="9" t="str">
        <f>HYPERLINK("https://seichotoushi-hojo.jp/assets/pdf/koufu/outline__184.pdf","PDFを開く")</f>
        <v>PDFを開く</v>
      </c>
      <c r="O165" s="9" t="s">
        <v>1430</v>
      </c>
    </row>
    <row r="166" spans="1:15" ht="120" customHeight="1">
      <c r="A166" s="2" t="s">
        <v>1431</v>
      </c>
      <c r="B166" s="2" t="s">
        <v>1386</v>
      </c>
      <c r="C166" s="8" t="s">
        <v>1432</v>
      </c>
      <c r="D166" s="8" t="s">
        <v>8484</v>
      </c>
      <c r="E166" s="8"/>
      <c r="F166" s="8" t="s">
        <v>8485</v>
      </c>
      <c r="G166" s="8" t="s">
        <v>8486</v>
      </c>
      <c r="H166" s="8" t="s">
        <v>8487</v>
      </c>
      <c r="I166" s="8"/>
      <c r="J166" s="8" t="s">
        <v>1436</v>
      </c>
      <c r="K166" s="8" t="s">
        <v>8488</v>
      </c>
      <c r="L166" s="8" t="s">
        <v>8489</v>
      </c>
      <c r="M166" s="8" t="s">
        <v>8490</v>
      </c>
      <c r="N166" s="8" t="str">
        <f>HYPERLINK("https://seichotoushi-hojo.jp/assets/pdf/koufu/outline__188.pdf","PDFを開く")</f>
        <v>PDFを開く</v>
      </c>
      <c r="O166" s="8" t="s">
        <v>1439</v>
      </c>
    </row>
    <row r="167" spans="1:15" ht="120" customHeight="1">
      <c r="A167" s="5" t="s">
        <v>1440</v>
      </c>
      <c r="B167" s="5" t="s">
        <v>1386</v>
      </c>
      <c r="C167" s="9" t="s">
        <v>1441</v>
      </c>
      <c r="D167" s="9" t="s">
        <v>8491</v>
      </c>
      <c r="E167" s="9"/>
      <c r="F167" s="9" t="s">
        <v>8492</v>
      </c>
      <c r="G167" s="9" t="s">
        <v>8493</v>
      </c>
      <c r="H167" s="9" t="s">
        <v>8494</v>
      </c>
      <c r="I167" s="9"/>
      <c r="J167" s="9"/>
      <c r="K167" s="9"/>
      <c r="L167" s="9" t="s">
        <v>8495</v>
      </c>
      <c r="M167" s="9" t="s">
        <v>8496</v>
      </c>
      <c r="N167" s="9" t="str">
        <f>HYPERLINK("https://seichotoushi-hojo.jp/assets/pdf/koufu/outline__189.pdf","PDFを開く")</f>
        <v>PDFを開く</v>
      </c>
      <c r="O167" s="9" t="s">
        <v>1448</v>
      </c>
    </row>
    <row r="168" spans="1:15" ht="120" customHeight="1">
      <c r="A168" s="2" t="s">
        <v>1449</v>
      </c>
      <c r="B168" s="2" t="s">
        <v>1386</v>
      </c>
      <c r="C168" s="8" t="s">
        <v>1450</v>
      </c>
      <c r="D168" s="8" t="s">
        <v>8497</v>
      </c>
      <c r="E168" s="8"/>
      <c r="F168" s="8" t="s">
        <v>8498</v>
      </c>
      <c r="G168" s="8" t="s">
        <v>8499</v>
      </c>
      <c r="H168" s="8" t="s">
        <v>8500</v>
      </c>
      <c r="I168" s="8"/>
      <c r="J168" s="8" t="s">
        <v>1454</v>
      </c>
      <c r="K168" s="8" t="s">
        <v>8501</v>
      </c>
      <c r="L168" s="8" t="s">
        <v>8502</v>
      </c>
      <c r="M168" s="8" t="s">
        <v>8503</v>
      </c>
      <c r="N168" s="8" t="str">
        <f>HYPERLINK("https://seichotoushi-hojo.jp/assets/pdf/koufu/outline__190.pdf","PDFを開く")</f>
        <v>PDFを開く</v>
      </c>
      <c r="O168" s="8" t="s">
        <v>1457</v>
      </c>
    </row>
    <row r="169" spans="1:15" ht="120" customHeight="1">
      <c r="A169" s="5" t="s">
        <v>1458</v>
      </c>
      <c r="B169" s="5" t="s">
        <v>1386</v>
      </c>
      <c r="C169" s="9" t="s">
        <v>1459</v>
      </c>
      <c r="D169" s="9" t="s">
        <v>8504</v>
      </c>
      <c r="E169" s="9"/>
      <c r="F169" s="9" t="s">
        <v>8505</v>
      </c>
      <c r="G169" s="9" t="s">
        <v>8506</v>
      </c>
      <c r="H169" s="9" t="s">
        <v>8507</v>
      </c>
      <c r="I169" s="9"/>
      <c r="J169" s="9" t="s">
        <v>1463</v>
      </c>
      <c r="K169" s="9" t="s">
        <v>8508</v>
      </c>
      <c r="L169" s="9" t="s">
        <v>8509</v>
      </c>
      <c r="M169" s="9" t="s">
        <v>8510</v>
      </c>
      <c r="N169" s="9" t="str">
        <f>HYPERLINK("https://seichotoushi-hojo.jp/assets/pdf/koufu/outline__191.pdf","PDFを開く")</f>
        <v>PDFを開く</v>
      </c>
      <c r="O169" s="9" t="s">
        <v>1466</v>
      </c>
    </row>
    <row r="170" spans="1:15" ht="120" customHeight="1">
      <c r="A170" s="2" t="s">
        <v>1467</v>
      </c>
      <c r="B170" s="2" t="s">
        <v>1386</v>
      </c>
      <c r="C170" s="8" t="s">
        <v>1468</v>
      </c>
      <c r="D170" s="8" t="s">
        <v>8511</v>
      </c>
      <c r="E170" s="8"/>
      <c r="F170" s="8" t="s">
        <v>8512</v>
      </c>
      <c r="G170" s="8" t="s">
        <v>8513</v>
      </c>
      <c r="H170" s="8" t="s">
        <v>8514</v>
      </c>
      <c r="I170" s="8"/>
      <c r="J170" s="8" t="s">
        <v>8515</v>
      </c>
      <c r="K170" s="8" t="s">
        <v>8516</v>
      </c>
      <c r="L170" s="8" t="s">
        <v>8517</v>
      </c>
      <c r="M170" s="8" t="s">
        <v>8518</v>
      </c>
      <c r="N170" s="8" t="str">
        <f>HYPERLINK("https://seichotoushi-hojo.jp/assets/pdf/koufu/outline__192.pdf","PDFを開く")</f>
        <v>PDFを開く</v>
      </c>
      <c r="O170" s="8" t="s">
        <v>1473</v>
      </c>
    </row>
    <row r="171" spans="1:15" ht="120" customHeight="1">
      <c r="A171" s="5" t="s">
        <v>1474</v>
      </c>
      <c r="B171" s="5" t="s">
        <v>1386</v>
      </c>
      <c r="C171" s="9" t="s">
        <v>1475</v>
      </c>
      <c r="D171" s="9" t="s">
        <v>8519</v>
      </c>
      <c r="E171" s="9"/>
      <c r="F171" s="9" t="s">
        <v>8520</v>
      </c>
      <c r="G171" s="9" t="s">
        <v>8521</v>
      </c>
      <c r="H171" s="9" t="s">
        <v>8522</v>
      </c>
      <c r="I171" s="9"/>
      <c r="J171" s="9"/>
      <c r="K171" s="9"/>
      <c r="L171" s="9" t="s">
        <v>8523</v>
      </c>
      <c r="M171" s="9" t="s">
        <v>8524</v>
      </c>
      <c r="N171" s="9" t="str">
        <f>HYPERLINK("https://seichotoushi-hojo.jp/assets/pdf/koufu/outline__194.pdf","PDFを開く")</f>
        <v>PDFを開く</v>
      </c>
      <c r="O171" s="9" t="s">
        <v>1482</v>
      </c>
    </row>
    <row r="172" spans="1:15" ht="120" customHeight="1">
      <c r="A172" s="2" t="s">
        <v>1483</v>
      </c>
      <c r="B172" s="2" t="s">
        <v>1386</v>
      </c>
      <c r="C172" s="8" t="s">
        <v>1484</v>
      </c>
      <c r="D172" s="8" t="s">
        <v>8525</v>
      </c>
      <c r="E172" s="8"/>
      <c r="F172" s="8" t="s">
        <v>8526</v>
      </c>
      <c r="G172" s="8" t="s">
        <v>8527</v>
      </c>
      <c r="H172" s="8" t="s">
        <v>8528</v>
      </c>
      <c r="I172" s="8" t="s">
        <v>8529</v>
      </c>
      <c r="J172" s="8" t="s">
        <v>8530</v>
      </c>
      <c r="K172" s="8" t="s">
        <v>8531</v>
      </c>
      <c r="L172" s="8" t="s">
        <v>8532</v>
      </c>
      <c r="M172" s="8" t="s">
        <v>8533</v>
      </c>
      <c r="N172" s="8" t="str">
        <f>HYPERLINK("https://seichotoushi-hojo.jp/assets/pdf/koufu/outline__195.pdf","PDFを開く")</f>
        <v>PDFを開く</v>
      </c>
      <c r="O172" s="8" t="s">
        <v>1490</v>
      </c>
    </row>
    <row r="173" spans="1:15" ht="120" customHeight="1">
      <c r="A173" s="5" t="s">
        <v>1491</v>
      </c>
      <c r="B173" s="5" t="s">
        <v>1386</v>
      </c>
      <c r="C173" s="9" t="s">
        <v>1492</v>
      </c>
      <c r="D173" s="9" t="s">
        <v>8534</v>
      </c>
      <c r="E173" s="9"/>
      <c r="F173" s="9" t="s">
        <v>8535</v>
      </c>
      <c r="G173" s="9" t="s">
        <v>8536</v>
      </c>
      <c r="H173" s="9" t="s">
        <v>8537</v>
      </c>
      <c r="I173" s="9"/>
      <c r="J173" s="9" t="s">
        <v>1496</v>
      </c>
      <c r="K173" s="9" t="s">
        <v>8538</v>
      </c>
      <c r="L173" s="9" t="s">
        <v>8539</v>
      </c>
      <c r="M173" s="9" t="s">
        <v>8540</v>
      </c>
      <c r="N173" s="9" t="str">
        <f>HYPERLINK("https://seichotoushi-hojo.jp/assets/pdf/koufu/outline__196.pdf","PDFを開く")</f>
        <v>PDFを開く</v>
      </c>
      <c r="O173" s="9" t="s">
        <v>1498</v>
      </c>
    </row>
    <row r="174" spans="1:15" ht="120" customHeight="1">
      <c r="A174" s="2" t="s">
        <v>1499</v>
      </c>
      <c r="B174" s="2" t="s">
        <v>1386</v>
      </c>
      <c r="C174" s="8" t="s">
        <v>1500</v>
      </c>
      <c r="D174" s="8" t="s">
        <v>8541</v>
      </c>
      <c r="E174" s="8"/>
      <c r="F174" s="8" t="s">
        <v>8542</v>
      </c>
      <c r="G174" s="8" t="s">
        <v>8543</v>
      </c>
      <c r="H174" s="8" t="s">
        <v>8544</v>
      </c>
      <c r="I174" s="8"/>
      <c r="J174" s="8" t="s">
        <v>8545</v>
      </c>
      <c r="K174" s="8" t="s">
        <v>8546</v>
      </c>
      <c r="L174" s="8" t="s">
        <v>8547</v>
      </c>
      <c r="M174" s="8" t="s">
        <v>8548</v>
      </c>
      <c r="N174" s="8" t="str">
        <f>HYPERLINK("https://seichotoushi-hojo.jp/assets/pdf/koufu/outline__197.pdf","PDFを開く")</f>
        <v>PDFを開く</v>
      </c>
      <c r="O174" s="8" t="s">
        <v>1505</v>
      </c>
    </row>
    <row r="175" spans="1:15" ht="120" customHeight="1">
      <c r="A175" s="5" t="s">
        <v>1506</v>
      </c>
      <c r="B175" s="5" t="s">
        <v>1386</v>
      </c>
      <c r="C175" s="9" t="s">
        <v>1507</v>
      </c>
      <c r="D175" s="9" t="s">
        <v>8549</v>
      </c>
      <c r="E175" s="9"/>
      <c r="F175" s="9" t="s">
        <v>8550</v>
      </c>
      <c r="G175" s="9" t="s">
        <v>8551</v>
      </c>
      <c r="H175" s="9" t="s">
        <v>8552</v>
      </c>
      <c r="I175" s="9"/>
      <c r="J175" s="9" t="s">
        <v>1511</v>
      </c>
      <c r="K175" s="9" t="s">
        <v>8553</v>
      </c>
      <c r="L175" s="9" t="s">
        <v>8554</v>
      </c>
      <c r="M175" s="9" t="s">
        <v>8555</v>
      </c>
      <c r="N175" s="9" t="str">
        <f>HYPERLINK("https://seichotoushi-hojo.jp/assets/pdf/koufu/outline__198.pdf","PDFを開く")</f>
        <v>PDFを開く</v>
      </c>
      <c r="O175" s="9" t="s">
        <v>1513</v>
      </c>
    </row>
    <row r="176" spans="1:15" ht="120" customHeight="1">
      <c r="A176" s="2" t="s">
        <v>1514</v>
      </c>
      <c r="B176" s="2" t="s">
        <v>1386</v>
      </c>
      <c r="C176" s="8" t="s">
        <v>1515</v>
      </c>
      <c r="D176" s="8" t="s">
        <v>8556</v>
      </c>
      <c r="E176" s="8" t="s">
        <v>8557</v>
      </c>
      <c r="F176" s="8" t="s">
        <v>8558</v>
      </c>
      <c r="G176" s="8" t="s">
        <v>8559</v>
      </c>
      <c r="H176" s="8" t="s">
        <v>8560</v>
      </c>
      <c r="I176" s="8"/>
      <c r="J176" s="8" t="s">
        <v>1519</v>
      </c>
      <c r="K176" s="8" t="s">
        <v>8561</v>
      </c>
      <c r="L176" s="8" t="s">
        <v>8562</v>
      </c>
      <c r="M176" s="8" t="s">
        <v>8563</v>
      </c>
      <c r="N176" s="8" t="str">
        <f>HYPERLINK("https://seichotoushi-hojo.jp/assets/pdf/koufu/outline__199.pdf","PDFを開く")</f>
        <v>PDFを開く</v>
      </c>
      <c r="O176" s="8" t="s">
        <v>1521</v>
      </c>
    </row>
    <row r="177" spans="1:15" ht="120" customHeight="1">
      <c r="A177" s="5" t="s">
        <v>1522</v>
      </c>
      <c r="B177" s="5" t="s">
        <v>1386</v>
      </c>
      <c r="C177" s="9" t="s">
        <v>1523</v>
      </c>
      <c r="D177" s="9" t="s">
        <v>8564</v>
      </c>
      <c r="E177" s="9"/>
      <c r="F177" s="9" t="s">
        <v>8565</v>
      </c>
      <c r="G177" s="9" t="s">
        <v>8566</v>
      </c>
      <c r="H177" s="9" t="s">
        <v>8567</v>
      </c>
      <c r="I177" s="9"/>
      <c r="J177" s="9"/>
      <c r="K177" s="9"/>
      <c r="L177" s="9" t="s">
        <v>8568</v>
      </c>
      <c r="M177" s="9" t="s">
        <v>8569</v>
      </c>
      <c r="N177" s="9" t="str">
        <f>HYPERLINK("https://seichotoushi-hojo.jp/assets/pdf/koufu/outline__200.pdf","PDFを開く")</f>
        <v>PDFを開く</v>
      </c>
      <c r="O177" s="9" t="s">
        <v>1527</v>
      </c>
    </row>
    <row r="178" spans="1:15" ht="120" customHeight="1">
      <c r="A178" s="2" t="s">
        <v>1528</v>
      </c>
      <c r="B178" s="2" t="s">
        <v>1386</v>
      </c>
      <c r="C178" s="8" t="s">
        <v>1529</v>
      </c>
      <c r="D178" s="8" t="s">
        <v>8570</v>
      </c>
      <c r="E178" s="8"/>
      <c r="F178" s="8" t="s">
        <v>8571</v>
      </c>
      <c r="G178" s="8" t="s">
        <v>8572</v>
      </c>
      <c r="H178" s="8" t="s">
        <v>8573</v>
      </c>
      <c r="I178" s="8"/>
      <c r="J178" s="8" t="s">
        <v>1532</v>
      </c>
      <c r="K178" s="8" t="s">
        <v>8574</v>
      </c>
      <c r="L178" s="8" t="s">
        <v>8575</v>
      </c>
      <c r="M178" s="8" t="s">
        <v>8576</v>
      </c>
      <c r="N178" s="8" t="str">
        <f>HYPERLINK("https://seichotoushi-hojo.jp/assets/pdf/koufu/outline__201.pdf","PDFを開く")</f>
        <v>PDFを開く</v>
      </c>
      <c r="O178" s="8" t="s">
        <v>1534</v>
      </c>
    </row>
    <row r="179" spans="1:15" ht="120" customHeight="1">
      <c r="A179" s="5" t="s">
        <v>1535</v>
      </c>
      <c r="B179" s="5" t="s">
        <v>1386</v>
      </c>
      <c r="C179" s="9" t="s">
        <v>1536</v>
      </c>
      <c r="D179" s="9" t="s">
        <v>8577</v>
      </c>
      <c r="E179" s="9"/>
      <c r="F179" s="9" t="s">
        <v>8578</v>
      </c>
      <c r="G179" s="9" t="s">
        <v>8579</v>
      </c>
      <c r="H179" s="9" t="s">
        <v>8580</v>
      </c>
      <c r="I179" s="9"/>
      <c r="J179" s="9" t="s">
        <v>8581</v>
      </c>
      <c r="K179" s="9" t="s">
        <v>8582</v>
      </c>
      <c r="L179" s="9" t="s">
        <v>8583</v>
      </c>
      <c r="M179" s="9" t="s">
        <v>8584</v>
      </c>
      <c r="N179" s="9" t="str">
        <f>HYPERLINK("https://seichotoushi-hojo.jp/assets/pdf/koufu/outline__202.pdf","PDFを開く")</f>
        <v>PDFを開く</v>
      </c>
      <c r="O179" s="9" t="s">
        <v>1542</v>
      </c>
    </row>
    <row r="180" spans="1:15" ht="120" customHeight="1">
      <c r="A180" s="2" t="s">
        <v>1543</v>
      </c>
      <c r="B180" s="2" t="s">
        <v>1386</v>
      </c>
      <c r="C180" s="8" t="s">
        <v>1544</v>
      </c>
      <c r="D180" s="8" t="s">
        <v>8585</v>
      </c>
      <c r="E180" s="8"/>
      <c r="F180" s="8" t="s">
        <v>8586</v>
      </c>
      <c r="G180" s="8" t="s">
        <v>8587</v>
      </c>
      <c r="H180" s="8" t="s">
        <v>8588</v>
      </c>
      <c r="I180" s="8"/>
      <c r="J180" s="8" t="s">
        <v>1548</v>
      </c>
      <c r="K180" s="8" t="s">
        <v>8589</v>
      </c>
      <c r="L180" s="8" t="s">
        <v>8590</v>
      </c>
      <c r="M180" s="8" t="s">
        <v>8591</v>
      </c>
      <c r="N180" s="8" t="str">
        <f>HYPERLINK("https://seichotoushi-hojo.jp/assets/pdf/koufu/outline__203.pdf","PDFを開く")</f>
        <v>PDFを開く</v>
      </c>
      <c r="O180" s="8" t="s">
        <v>1550</v>
      </c>
    </row>
    <row r="181" spans="1:15" ht="120" customHeight="1">
      <c r="A181" s="5" t="s">
        <v>1551</v>
      </c>
      <c r="B181" s="5" t="s">
        <v>1386</v>
      </c>
      <c r="C181" s="9" t="s">
        <v>1552</v>
      </c>
      <c r="D181" s="9" t="s">
        <v>8592</v>
      </c>
      <c r="E181" s="9"/>
      <c r="F181" s="9" t="s">
        <v>8593</v>
      </c>
      <c r="G181" s="9" t="s">
        <v>8594</v>
      </c>
      <c r="H181" s="9" t="s">
        <v>8595</v>
      </c>
      <c r="I181" s="9"/>
      <c r="J181" s="9" t="s">
        <v>1556</v>
      </c>
      <c r="K181" s="9" t="s">
        <v>8596</v>
      </c>
      <c r="L181" s="9" t="s">
        <v>8597</v>
      </c>
      <c r="M181" s="9" t="s">
        <v>8598</v>
      </c>
      <c r="N181" s="9" t="str">
        <f>HYPERLINK("https://seichotoushi-hojo.jp/assets/pdf/koufu/outline__204.pdf","PDFを開く")</f>
        <v>PDFを開く</v>
      </c>
      <c r="O181" s="9" t="s">
        <v>1559</v>
      </c>
    </row>
    <row r="182" spans="1:15" ht="120" customHeight="1">
      <c r="A182" s="2" t="s">
        <v>1560</v>
      </c>
      <c r="B182" s="2" t="s">
        <v>1386</v>
      </c>
      <c r="C182" s="8" t="s">
        <v>1561</v>
      </c>
      <c r="D182" s="8" t="s">
        <v>8599</v>
      </c>
      <c r="E182" s="8"/>
      <c r="F182" s="8" t="s">
        <v>8600</v>
      </c>
      <c r="G182" s="8" t="s">
        <v>8601</v>
      </c>
      <c r="H182" s="8" t="s">
        <v>8602</v>
      </c>
      <c r="I182" s="8"/>
      <c r="J182" s="8" t="s">
        <v>1565</v>
      </c>
      <c r="K182" s="8" t="s">
        <v>8603</v>
      </c>
      <c r="L182" s="8" t="s">
        <v>8604</v>
      </c>
      <c r="M182" s="8" t="s">
        <v>8605</v>
      </c>
      <c r="N182" s="8" t="str">
        <f>HYPERLINK("https://seichotoushi-hojo.jp/assets/pdf/koufu/outline__205.pdf","PDFを開く")</f>
        <v>PDFを開く</v>
      </c>
      <c r="O182" s="8" t="s">
        <v>1568</v>
      </c>
    </row>
    <row r="183" spans="1:15" ht="120" customHeight="1">
      <c r="A183" s="5" t="s">
        <v>1569</v>
      </c>
      <c r="B183" s="5" t="s">
        <v>1386</v>
      </c>
      <c r="C183" s="9" t="s">
        <v>1570</v>
      </c>
      <c r="D183" s="9" t="s">
        <v>8606</v>
      </c>
      <c r="E183" s="9"/>
      <c r="F183" s="9" t="s">
        <v>8607</v>
      </c>
      <c r="G183" s="9" t="s">
        <v>8608</v>
      </c>
      <c r="H183" s="9" t="s">
        <v>8609</v>
      </c>
      <c r="I183" s="9"/>
      <c r="J183" s="9" t="s">
        <v>1573</v>
      </c>
      <c r="K183" s="9" t="s">
        <v>8610</v>
      </c>
      <c r="L183" s="9" t="s">
        <v>8611</v>
      </c>
      <c r="M183" s="9" t="s">
        <v>8612</v>
      </c>
      <c r="N183" s="9" t="str">
        <f>HYPERLINK("https://seichotoushi-hojo.jp/assets/pdf/koufu/outline__206.pdf","PDFを開く")</f>
        <v>PDFを開く</v>
      </c>
      <c r="O183" s="9" t="s">
        <v>1575</v>
      </c>
    </row>
    <row r="184" spans="1:15" ht="120" customHeight="1">
      <c r="A184" s="2" t="s">
        <v>1576</v>
      </c>
      <c r="B184" s="2" t="s">
        <v>1386</v>
      </c>
      <c r="C184" s="8" t="s">
        <v>1577</v>
      </c>
      <c r="D184" s="8" t="s">
        <v>8613</v>
      </c>
      <c r="E184" s="8"/>
      <c r="F184" s="8" t="s">
        <v>8614</v>
      </c>
      <c r="G184" s="8"/>
      <c r="H184" s="8"/>
      <c r="I184" s="8"/>
      <c r="J184" s="8"/>
      <c r="K184" s="8" t="s">
        <v>8615</v>
      </c>
      <c r="L184" s="8" t="s">
        <v>8616</v>
      </c>
      <c r="M184" s="8" t="s">
        <v>8617</v>
      </c>
      <c r="N184" s="8" t="str">
        <f>HYPERLINK("https://seichotoushi-hojo.jp/assets/pdf/koufu/outline__207.pdf","PDFを開く")</f>
        <v>PDFを開く</v>
      </c>
      <c r="O184" s="8" t="s">
        <v>1583</v>
      </c>
    </row>
    <row r="185" spans="1:15" ht="120" customHeight="1">
      <c r="A185" s="5" t="s">
        <v>1584</v>
      </c>
      <c r="B185" s="5" t="s">
        <v>1386</v>
      </c>
      <c r="C185" s="9" t="s">
        <v>1585</v>
      </c>
      <c r="D185" s="9" t="s">
        <v>8618</v>
      </c>
      <c r="E185" s="9"/>
      <c r="F185" s="9" t="s">
        <v>8619</v>
      </c>
      <c r="G185" s="9" t="s">
        <v>8620</v>
      </c>
      <c r="H185" s="9" t="s">
        <v>8621</v>
      </c>
      <c r="I185" s="9"/>
      <c r="J185" s="9" t="s">
        <v>1590</v>
      </c>
      <c r="K185" s="9" t="s">
        <v>8622</v>
      </c>
      <c r="L185" s="9" t="s">
        <v>8623</v>
      </c>
      <c r="M185" s="9" t="s">
        <v>8624</v>
      </c>
      <c r="N185" s="9" t="str">
        <f>HYPERLINK("https://seichotoushi-hojo.jp/assets/pdf/koufu/outline__208.pdf","PDFを開く")</f>
        <v>PDFを開く</v>
      </c>
      <c r="O185" s="9" t="s">
        <v>1593</v>
      </c>
    </row>
    <row r="186" spans="1:15" ht="120" customHeight="1">
      <c r="A186" s="2" t="s">
        <v>1594</v>
      </c>
      <c r="B186" s="2" t="s">
        <v>1595</v>
      </c>
      <c r="C186" s="8" t="s">
        <v>1596</v>
      </c>
      <c r="D186" s="8" t="s">
        <v>8625</v>
      </c>
      <c r="E186" s="8"/>
      <c r="F186" s="8" t="s">
        <v>8626</v>
      </c>
      <c r="G186" s="8" t="s">
        <v>8627</v>
      </c>
      <c r="H186" s="8" t="s">
        <v>8628</v>
      </c>
      <c r="I186" s="8" t="s">
        <v>8629</v>
      </c>
      <c r="J186" s="8" t="s">
        <v>1599</v>
      </c>
      <c r="K186" s="8" t="s">
        <v>8630</v>
      </c>
      <c r="L186" s="8" t="s">
        <v>8631</v>
      </c>
      <c r="M186" s="8" t="s">
        <v>8632</v>
      </c>
      <c r="N186" s="8" t="str">
        <f>HYPERLINK("https://seichotoushi-hojo.jp/assets/pdf/koufu_3_4ji/outline_1.pdf","PDFを開く")</f>
        <v>PDFを開く</v>
      </c>
      <c r="O186" s="8" t="s">
        <v>1602</v>
      </c>
    </row>
    <row r="187" spans="1:15" ht="120" customHeight="1">
      <c r="A187" s="5" t="s">
        <v>1603</v>
      </c>
      <c r="B187" s="5" t="s">
        <v>1595</v>
      </c>
      <c r="C187" s="9" t="s">
        <v>1604</v>
      </c>
      <c r="D187" s="9" t="s">
        <v>8633</v>
      </c>
      <c r="E187" s="9"/>
      <c r="F187" s="9" t="s">
        <v>8634</v>
      </c>
      <c r="G187" s="9" t="s">
        <v>8635</v>
      </c>
      <c r="H187" s="9" t="s">
        <v>8636</v>
      </c>
      <c r="I187" s="9"/>
      <c r="J187" s="9" t="s">
        <v>8637</v>
      </c>
      <c r="K187" s="9" t="s">
        <v>8638</v>
      </c>
      <c r="L187" s="9" t="s">
        <v>8639</v>
      </c>
      <c r="M187" s="9" t="s">
        <v>8640</v>
      </c>
      <c r="N187" s="9" t="str">
        <f>HYPERLINK("https://seichotoushi-hojo.jp/assets/pdf/koufu_3_4ji/outline_101.pdf","PDFを開く")</f>
        <v>PDFを開く</v>
      </c>
      <c r="O187" s="9" t="s">
        <v>1608</v>
      </c>
    </row>
    <row r="188" spans="1:15" ht="120" customHeight="1">
      <c r="A188" s="2" t="s">
        <v>1609</v>
      </c>
      <c r="B188" s="2" t="s">
        <v>1595</v>
      </c>
      <c r="C188" s="8" t="s">
        <v>1610</v>
      </c>
      <c r="D188" s="8" t="s">
        <v>8641</v>
      </c>
      <c r="E188" s="8"/>
      <c r="F188" s="8"/>
      <c r="G188" s="8" t="s">
        <v>8642</v>
      </c>
      <c r="H188" s="8" t="s">
        <v>8643</v>
      </c>
      <c r="I188" s="8"/>
      <c r="J188" s="8"/>
      <c r="K188" s="8" t="s">
        <v>8644</v>
      </c>
      <c r="L188" s="8" t="s">
        <v>8645</v>
      </c>
      <c r="M188" s="8"/>
      <c r="N188" s="8" t="str">
        <f>HYPERLINK("https://seichotoushi-hojo.jp/assets/pdf/koufu_3_4ji/outline_103.pdf","PDFを開く")</f>
        <v>PDFを開く</v>
      </c>
      <c r="O188" s="8" t="s">
        <v>1616</v>
      </c>
    </row>
    <row r="189" spans="1:15" ht="120" customHeight="1">
      <c r="A189" s="5" t="s">
        <v>1617</v>
      </c>
      <c r="B189" s="5" t="s">
        <v>1595</v>
      </c>
      <c r="C189" s="9" t="s">
        <v>1618</v>
      </c>
      <c r="D189" s="9" t="s">
        <v>8646</v>
      </c>
      <c r="E189" s="9"/>
      <c r="F189" s="9" t="s">
        <v>8647</v>
      </c>
      <c r="G189" s="9" t="s">
        <v>8648</v>
      </c>
      <c r="H189" s="9" t="s">
        <v>8649</v>
      </c>
      <c r="I189" s="9"/>
      <c r="J189" s="9" t="s">
        <v>8650</v>
      </c>
      <c r="K189" s="9" t="s">
        <v>8651</v>
      </c>
      <c r="L189" s="9" t="s">
        <v>8652</v>
      </c>
      <c r="M189" s="9" t="s">
        <v>8653</v>
      </c>
      <c r="N189" s="9" t="str">
        <f>HYPERLINK("https://seichotoushi-hojo.jp/assets/pdf/koufu_3_4ji/outline_104.pdf","PDFを開く")</f>
        <v>PDFを開く</v>
      </c>
      <c r="O189" s="9" t="s">
        <v>1624</v>
      </c>
    </row>
    <row r="190" spans="1:15" ht="120" customHeight="1">
      <c r="A190" s="2" t="s">
        <v>1625</v>
      </c>
      <c r="B190" s="2" t="s">
        <v>1595</v>
      </c>
      <c r="C190" s="8" t="s">
        <v>1626</v>
      </c>
      <c r="D190" s="8" t="s">
        <v>8654</v>
      </c>
      <c r="E190" s="8"/>
      <c r="F190" s="8" t="s">
        <v>8655</v>
      </c>
      <c r="G190" s="8" t="s">
        <v>8656</v>
      </c>
      <c r="H190" s="8" t="s">
        <v>8657</v>
      </c>
      <c r="I190" s="8"/>
      <c r="J190" s="8" t="s">
        <v>8658</v>
      </c>
      <c r="K190" s="8" t="s">
        <v>8659</v>
      </c>
      <c r="L190" s="8" t="s">
        <v>8660</v>
      </c>
      <c r="M190" s="8" t="s">
        <v>8661</v>
      </c>
      <c r="N190" s="8" t="str">
        <f>HYPERLINK("https://seichotoushi-hojo.jp/assets/pdf/koufu_3_4ji/outline_105.pdf","PDFを開く")</f>
        <v>PDFを開く</v>
      </c>
      <c r="O190" s="8" t="s">
        <v>1631</v>
      </c>
    </row>
    <row r="191" spans="1:15" ht="120" customHeight="1">
      <c r="A191" s="5" t="s">
        <v>1632</v>
      </c>
      <c r="B191" s="5" t="s">
        <v>1595</v>
      </c>
      <c r="C191" s="9" t="s">
        <v>1633</v>
      </c>
      <c r="D191" s="9" t="s">
        <v>8662</v>
      </c>
      <c r="E191" s="9"/>
      <c r="F191" s="9" t="s">
        <v>8663</v>
      </c>
      <c r="G191" s="9" t="s">
        <v>8664</v>
      </c>
      <c r="H191" s="9" t="s">
        <v>8665</v>
      </c>
      <c r="I191" s="9"/>
      <c r="J191" s="9" t="s">
        <v>8666</v>
      </c>
      <c r="K191" s="9" t="s">
        <v>8667</v>
      </c>
      <c r="L191" s="9" t="s">
        <v>8668</v>
      </c>
      <c r="M191" s="9" t="s">
        <v>8669</v>
      </c>
      <c r="N191" s="9" t="str">
        <f>HYPERLINK("https://seichotoushi-hojo.jp/assets/pdf/koufu_3_4ji/outline_106.pdf","PDFを開く")</f>
        <v>PDFを開く</v>
      </c>
      <c r="O191" s="9" t="s">
        <v>1639</v>
      </c>
    </row>
    <row r="192" spans="1:15" ht="120" customHeight="1">
      <c r="A192" s="2" t="s">
        <v>1640</v>
      </c>
      <c r="B192" s="2" t="s">
        <v>1595</v>
      </c>
      <c r="C192" s="8" t="s">
        <v>1641</v>
      </c>
      <c r="D192" s="8" t="s">
        <v>8670</v>
      </c>
      <c r="E192" s="8"/>
      <c r="F192" s="8" t="s">
        <v>8671</v>
      </c>
      <c r="G192" s="8" t="s">
        <v>8672</v>
      </c>
      <c r="H192" s="8" t="s">
        <v>8673</v>
      </c>
      <c r="I192" s="8"/>
      <c r="J192" s="8" t="s">
        <v>8674</v>
      </c>
      <c r="K192" s="8" t="s">
        <v>8675</v>
      </c>
      <c r="L192" s="8" t="s">
        <v>8676</v>
      </c>
      <c r="M192" s="8" t="s">
        <v>8677</v>
      </c>
      <c r="N192" s="8" t="str">
        <f>HYPERLINK("https://seichotoushi-hojo.jp/assets/pdf/koufu_3_4ji/outline_108.pdf","PDFを開く")</f>
        <v>PDFを開く</v>
      </c>
      <c r="O192" s="8" t="s">
        <v>1648</v>
      </c>
    </row>
    <row r="193" spans="1:15" ht="120" customHeight="1">
      <c r="A193" s="5" t="s">
        <v>1649</v>
      </c>
      <c r="B193" s="5" t="s">
        <v>1595</v>
      </c>
      <c r="C193" s="9" t="s">
        <v>1650</v>
      </c>
      <c r="D193" s="9" t="s">
        <v>8678</v>
      </c>
      <c r="E193" s="9"/>
      <c r="F193" s="9" t="s">
        <v>8679</v>
      </c>
      <c r="G193" s="9" t="s">
        <v>8680</v>
      </c>
      <c r="H193" s="9" t="s">
        <v>8681</v>
      </c>
      <c r="I193" s="9"/>
      <c r="J193" s="9" t="s">
        <v>8682</v>
      </c>
      <c r="K193" s="9" t="s">
        <v>8683</v>
      </c>
      <c r="L193" s="9" t="s">
        <v>8684</v>
      </c>
      <c r="M193" s="9" t="s">
        <v>8685</v>
      </c>
      <c r="N193" s="9" t="str">
        <f>HYPERLINK("https://seichotoushi-hojo.jp/assets/pdf/koufu_3_4ji/outline_109.pdf","PDFを開く")</f>
        <v>PDFを開く</v>
      </c>
      <c r="O193" s="9" t="s">
        <v>1655</v>
      </c>
    </row>
    <row r="194" spans="1:15" ht="120" customHeight="1">
      <c r="A194" s="2" t="s">
        <v>1656</v>
      </c>
      <c r="B194" s="2" t="s">
        <v>1595</v>
      </c>
      <c r="C194" s="8" t="s">
        <v>1657</v>
      </c>
      <c r="D194" s="8" t="s">
        <v>8686</v>
      </c>
      <c r="E194" s="8" t="s">
        <v>8687</v>
      </c>
      <c r="F194" s="8" t="s">
        <v>8688</v>
      </c>
      <c r="G194" s="8" t="s">
        <v>8689</v>
      </c>
      <c r="H194" s="8" t="s">
        <v>8690</v>
      </c>
      <c r="I194" s="8"/>
      <c r="J194" s="8" t="s">
        <v>8691</v>
      </c>
      <c r="K194" s="8" t="s">
        <v>8692</v>
      </c>
      <c r="L194" s="8" t="s">
        <v>8693</v>
      </c>
      <c r="M194" s="8" t="s">
        <v>8694</v>
      </c>
      <c r="N194" s="8" t="str">
        <f>HYPERLINK("https://seichotoushi-hojo.jp/assets/pdf/koufu_3_4ji/outline_11.pdf","PDFを開く")</f>
        <v>PDFを開く</v>
      </c>
      <c r="O194" s="8" t="s">
        <v>1662</v>
      </c>
    </row>
    <row r="195" spans="1:15" ht="120" customHeight="1">
      <c r="A195" s="5" t="s">
        <v>1663</v>
      </c>
      <c r="B195" s="5" t="s">
        <v>1595</v>
      </c>
      <c r="C195" s="9" t="s">
        <v>1664</v>
      </c>
      <c r="D195" s="9" t="s">
        <v>8695</v>
      </c>
      <c r="E195" s="9"/>
      <c r="F195" s="9" t="s">
        <v>8696</v>
      </c>
      <c r="G195" s="9" t="s">
        <v>8697</v>
      </c>
      <c r="H195" s="9" t="s">
        <v>8698</v>
      </c>
      <c r="I195" s="9"/>
      <c r="J195" s="9" t="s">
        <v>8699</v>
      </c>
      <c r="K195" s="9" t="s">
        <v>8700</v>
      </c>
      <c r="L195" s="9" t="s">
        <v>8701</v>
      </c>
      <c r="M195" s="9" t="s">
        <v>8702</v>
      </c>
      <c r="N195" s="9" t="str">
        <f>HYPERLINK("https://seichotoushi-hojo.jp/assets/pdf/koufu_3_4ji/outline_110.pdf","PDFを開く")</f>
        <v>PDFを開く</v>
      </c>
      <c r="O195" s="9" t="s">
        <v>1669</v>
      </c>
    </row>
    <row r="196" spans="1:15" ht="120" customHeight="1">
      <c r="A196" s="2" t="s">
        <v>1670</v>
      </c>
      <c r="B196" s="2" t="s">
        <v>1595</v>
      </c>
      <c r="C196" s="8" t="s">
        <v>1671</v>
      </c>
      <c r="D196" s="8" t="s">
        <v>8703</v>
      </c>
      <c r="E196" s="8"/>
      <c r="F196" s="8" t="s">
        <v>8704</v>
      </c>
      <c r="G196" s="8" t="s">
        <v>8705</v>
      </c>
      <c r="H196" s="8" t="s">
        <v>8706</v>
      </c>
      <c r="I196" s="8"/>
      <c r="J196" s="8" t="s">
        <v>8707</v>
      </c>
      <c r="K196" s="8" t="s">
        <v>8708</v>
      </c>
      <c r="L196" s="8" t="s">
        <v>8709</v>
      </c>
      <c r="M196" s="8" t="s">
        <v>8710</v>
      </c>
      <c r="N196" s="8" t="str">
        <f>HYPERLINK("https://seichotoushi-hojo.jp/assets/pdf/koufu_3_4ji/outline_12.pdf","PDFを開く")</f>
        <v>PDFを開く</v>
      </c>
      <c r="O196" s="8" t="s">
        <v>1676</v>
      </c>
    </row>
    <row r="197" spans="1:15" ht="120" customHeight="1">
      <c r="A197" s="5" t="s">
        <v>1677</v>
      </c>
      <c r="B197" s="5" t="s">
        <v>1595</v>
      </c>
      <c r="C197" s="9" t="s">
        <v>1678</v>
      </c>
      <c r="D197" s="9" t="s">
        <v>8711</v>
      </c>
      <c r="E197" s="9"/>
      <c r="F197" s="9" t="s">
        <v>8712</v>
      </c>
      <c r="G197" s="9" t="s">
        <v>8713</v>
      </c>
      <c r="H197" s="9" t="s">
        <v>8714</v>
      </c>
      <c r="I197" s="9"/>
      <c r="J197" s="9" t="s">
        <v>8715</v>
      </c>
      <c r="K197" s="9" t="s">
        <v>8716</v>
      </c>
      <c r="L197" s="9" t="s">
        <v>8717</v>
      </c>
      <c r="M197" s="9" t="s">
        <v>8718</v>
      </c>
      <c r="N197" s="9" t="str">
        <f>HYPERLINK("https://seichotoushi-hojo.jp/assets/pdf/koufu_3_4ji/outline_123.pdf","PDFを開く")</f>
        <v>PDFを開く</v>
      </c>
      <c r="O197" s="9" t="s">
        <v>1684</v>
      </c>
    </row>
    <row r="198" spans="1:15" ht="120" customHeight="1">
      <c r="A198" s="2" t="s">
        <v>1685</v>
      </c>
      <c r="B198" s="2" t="s">
        <v>1595</v>
      </c>
      <c r="C198" s="8" t="s">
        <v>1686</v>
      </c>
      <c r="D198" s="8" t="s">
        <v>8719</v>
      </c>
      <c r="E198" s="8"/>
      <c r="F198" s="8" t="s">
        <v>8720</v>
      </c>
      <c r="G198" s="8" t="s">
        <v>8721</v>
      </c>
      <c r="H198" s="8" t="s">
        <v>8722</v>
      </c>
      <c r="I198" s="8"/>
      <c r="J198" s="8" t="s">
        <v>8723</v>
      </c>
      <c r="K198" s="8" t="s">
        <v>8724</v>
      </c>
      <c r="L198" s="8" t="s">
        <v>8725</v>
      </c>
      <c r="M198" s="8" t="s">
        <v>8726</v>
      </c>
      <c r="N198" s="8" t="str">
        <f>HYPERLINK("https://seichotoushi-hojo.jp/assets/pdf/koufu_3_4ji/outline_128.pdf","PDFを開く")</f>
        <v>PDFを開く</v>
      </c>
      <c r="O198" s="8" t="s">
        <v>1692</v>
      </c>
    </row>
    <row r="199" spans="1:15" ht="120" customHeight="1">
      <c r="A199" s="5" t="s">
        <v>1693</v>
      </c>
      <c r="B199" s="5" t="s">
        <v>1595</v>
      </c>
      <c r="C199" s="9" t="s">
        <v>1694</v>
      </c>
      <c r="D199" s="9" t="s">
        <v>8727</v>
      </c>
      <c r="E199" s="9"/>
      <c r="F199" s="9" t="s">
        <v>8728</v>
      </c>
      <c r="G199" s="9" t="s">
        <v>8729</v>
      </c>
      <c r="H199" s="9" t="s">
        <v>8730</v>
      </c>
      <c r="I199" s="9"/>
      <c r="J199" s="9" t="s">
        <v>8731</v>
      </c>
      <c r="K199" s="9" t="s">
        <v>8732</v>
      </c>
      <c r="L199" s="9" t="s">
        <v>8733</v>
      </c>
      <c r="M199" s="9" t="s">
        <v>8734</v>
      </c>
      <c r="N199" s="9" t="str">
        <f>HYPERLINK("https://seichotoushi-hojo.jp/assets/pdf/koufu_3_4ji/outline_13.pdf","PDFを開く")</f>
        <v>PDFを開く</v>
      </c>
      <c r="O199" s="9" t="s">
        <v>1701</v>
      </c>
    </row>
    <row r="200" spans="1:15" ht="120" customHeight="1">
      <c r="A200" s="2" t="s">
        <v>1702</v>
      </c>
      <c r="B200" s="2" t="s">
        <v>1595</v>
      </c>
      <c r="C200" s="8" t="s">
        <v>1703</v>
      </c>
      <c r="D200" s="8" t="s">
        <v>8735</v>
      </c>
      <c r="E200" s="8"/>
      <c r="F200" s="8" t="s">
        <v>8736</v>
      </c>
      <c r="G200" s="8" t="s">
        <v>8737</v>
      </c>
      <c r="H200" s="8" t="s">
        <v>8738</v>
      </c>
      <c r="I200" s="8"/>
      <c r="J200" s="8" t="s">
        <v>8739</v>
      </c>
      <c r="K200" s="8" t="s">
        <v>8740</v>
      </c>
      <c r="L200" s="8" t="s">
        <v>8741</v>
      </c>
      <c r="M200" s="8" t="s">
        <v>8742</v>
      </c>
      <c r="N200" s="8" t="str">
        <f>HYPERLINK("https://seichotoushi-hojo.jp/assets/pdf/koufu_3_4ji/outline_14.pdf","PDFを開く")</f>
        <v>PDFを開く</v>
      </c>
      <c r="O200" s="8" t="s">
        <v>1710</v>
      </c>
    </row>
    <row r="201" spans="1:15" ht="120" customHeight="1">
      <c r="A201" s="5" t="s">
        <v>1711</v>
      </c>
      <c r="B201" s="5" t="s">
        <v>1595</v>
      </c>
      <c r="C201" s="9" t="s">
        <v>1712</v>
      </c>
      <c r="D201" s="9" t="s">
        <v>8743</v>
      </c>
      <c r="E201" s="9"/>
      <c r="F201" s="9" t="s">
        <v>8744</v>
      </c>
      <c r="G201" s="9" t="s">
        <v>8745</v>
      </c>
      <c r="H201" s="9" t="s">
        <v>8746</v>
      </c>
      <c r="I201" s="9"/>
      <c r="J201" s="9" t="s">
        <v>8747</v>
      </c>
      <c r="K201" s="9" t="s">
        <v>8748</v>
      </c>
      <c r="L201" s="9" t="s">
        <v>8749</v>
      </c>
      <c r="M201" s="9" t="s">
        <v>8750</v>
      </c>
      <c r="N201" s="9" t="str">
        <f>HYPERLINK("https://seichotoushi-hojo.jp/assets/pdf/koufu_3_4ji/outline_140.pdf","PDFを開く")</f>
        <v>PDFを開く</v>
      </c>
      <c r="O201" s="9" t="s">
        <v>1718</v>
      </c>
    </row>
    <row r="202" spans="1:15" ht="120" customHeight="1">
      <c r="A202" s="2" t="s">
        <v>1719</v>
      </c>
      <c r="B202" s="2" t="s">
        <v>1595</v>
      </c>
      <c r="C202" s="8" t="s">
        <v>1720</v>
      </c>
      <c r="D202" s="8" t="s">
        <v>8751</v>
      </c>
      <c r="E202" s="8"/>
      <c r="F202" s="8" t="s">
        <v>8752</v>
      </c>
      <c r="G202" s="8" t="s">
        <v>8753</v>
      </c>
      <c r="H202" s="8" t="s">
        <v>8754</v>
      </c>
      <c r="I202" s="8"/>
      <c r="J202" s="8" t="s">
        <v>8755</v>
      </c>
      <c r="K202" s="8" t="s">
        <v>8756</v>
      </c>
      <c r="L202" s="8" t="s">
        <v>8757</v>
      </c>
      <c r="M202" s="8" t="s">
        <v>8758</v>
      </c>
      <c r="N202" s="8" t="str">
        <f>HYPERLINK("https://seichotoushi-hojo.jp/assets/pdf/koufu_3_4ji/outline_15.pdf","PDFを開く")</f>
        <v>PDFを開く</v>
      </c>
      <c r="O202" s="8" t="s">
        <v>1726</v>
      </c>
    </row>
    <row r="203" spans="1:15" ht="120" customHeight="1">
      <c r="A203" s="5" t="s">
        <v>1727</v>
      </c>
      <c r="B203" s="5" t="s">
        <v>1595</v>
      </c>
      <c r="C203" s="9" t="s">
        <v>1728</v>
      </c>
      <c r="D203" s="9" t="s">
        <v>8759</v>
      </c>
      <c r="E203" s="9"/>
      <c r="F203" s="9" t="s">
        <v>8760</v>
      </c>
      <c r="G203" s="9" t="s">
        <v>8761</v>
      </c>
      <c r="H203" s="9" t="s">
        <v>8762</v>
      </c>
      <c r="I203" s="9"/>
      <c r="J203" s="9" t="s">
        <v>8763</v>
      </c>
      <c r="K203" s="9" t="s">
        <v>8764</v>
      </c>
      <c r="L203" s="9" t="s">
        <v>8765</v>
      </c>
      <c r="M203" s="9" t="s">
        <v>8766</v>
      </c>
      <c r="N203" s="9" t="str">
        <f>HYPERLINK("https://seichotoushi-hojo.jp/assets/pdf/koufu_3_4ji/outline_151.pdf","PDFを開く")</f>
        <v>PDFを開く</v>
      </c>
      <c r="O203" s="9" t="s">
        <v>1733</v>
      </c>
    </row>
    <row r="204" spans="1:15" ht="120" customHeight="1">
      <c r="A204" s="2" t="s">
        <v>1734</v>
      </c>
      <c r="B204" s="2" t="s">
        <v>1595</v>
      </c>
      <c r="C204" s="8" t="s">
        <v>1735</v>
      </c>
      <c r="D204" s="8" t="s">
        <v>8767</v>
      </c>
      <c r="E204" s="8"/>
      <c r="F204" s="8" t="s">
        <v>8768</v>
      </c>
      <c r="G204" s="8" t="s">
        <v>8769</v>
      </c>
      <c r="H204" s="8" t="s">
        <v>8770</v>
      </c>
      <c r="I204" s="8"/>
      <c r="J204" s="8" t="s">
        <v>8771</v>
      </c>
      <c r="K204" s="8" t="s">
        <v>8772</v>
      </c>
      <c r="L204" s="8" t="s">
        <v>8773</v>
      </c>
      <c r="M204" s="8" t="s">
        <v>8774</v>
      </c>
      <c r="N204" s="8" t="str">
        <f>HYPERLINK("https://seichotoushi-hojo.jp/assets/pdf/koufu_3_4ji/outline_16.pdf","PDFを開く")</f>
        <v>PDFを開く</v>
      </c>
      <c r="O204" s="8" t="s">
        <v>1739</v>
      </c>
    </row>
    <row r="205" spans="1:15" ht="120" customHeight="1">
      <c r="A205" s="5" t="s">
        <v>1740</v>
      </c>
      <c r="B205" s="5" t="s">
        <v>1595</v>
      </c>
      <c r="C205" s="9" t="s">
        <v>1741</v>
      </c>
      <c r="D205" s="9" t="s">
        <v>8775</v>
      </c>
      <c r="E205" s="9"/>
      <c r="F205" s="9" t="s">
        <v>8776</v>
      </c>
      <c r="G205" s="9" t="s">
        <v>8777</v>
      </c>
      <c r="H205" s="9" t="s">
        <v>8778</v>
      </c>
      <c r="I205" s="9"/>
      <c r="J205" s="9" t="s">
        <v>8779</v>
      </c>
      <c r="K205" s="9" t="s">
        <v>8780</v>
      </c>
      <c r="L205" s="9" t="s">
        <v>8781</v>
      </c>
      <c r="M205" s="9" t="s">
        <v>8782</v>
      </c>
      <c r="N205" s="9" t="str">
        <f>HYPERLINK("https://seichotoushi-hojo.jp/assets/pdf/koufu_3_4ji/outline_17.pdf","PDFを開く")</f>
        <v>PDFを開く</v>
      </c>
      <c r="O205" s="9" t="s">
        <v>1747</v>
      </c>
    </row>
    <row r="206" spans="1:15" ht="120" customHeight="1">
      <c r="A206" s="2" t="s">
        <v>1748</v>
      </c>
      <c r="B206" s="2" t="s">
        <v>1595</v>
      </c>
      <c r="C206" s="8" t="s">
        <v>1749</v>
      </c>
      <c r="D206" s="8" t="s">
        <v>8783</v>
      </c>
      <c r="E206" s="8" t="s">
        <v>8784</v>
      </c>
      <c r="F206" s="8" t="s">
        <v>8785</v>
      </c>
      <c r="G206" s="8" t="s">
        <v>8786</v>
      </c>
      <c r="H206" s="8" t="s">
        <v>8787</v>
      </c>
      <c r="I206" s="8"/>
      <c r="J206" s="8" t="s">
        <v>8788</v>
      </c>
      <c r="K206" s="8" t="s">
        <v>8789</v>
      </c>
      <c r="L206" s="8" t="s">
        <v>8790</v>
      </c>
      <c r="M206" s="8" t="s">
        <v>8791</v>
      </c>
      <c r="N206" s="8" t="str">
        <f>HYPERLINK("https://seichotoushi-hojo.jp/assets/pdf/koufu_3_4ji/outline_173.pdf","PDFを開く")</f>
        <v>PDFを開く</v>
      </c>
      <c r="O206" s="8" t="s">
        <v>1754</v>
      </c>
    </row>
    <row r="207" spans="1:15" ht="120" customHeight="1">
      <c r="A207" s="5" t="s">
        <v>1755</v>
      </c>
      <c r="B207" s="5" t="s">
        <v>1595</v>
      </c>
      <c r="C207" s="9" t="s">
        <v>1756</v>
      </c>
      <c r="D207" s="9" t="s">
        <v>8792</v>
      </c>
      <c r="E207" s="9"/>
      <c r="F207" s="9" t="s">
        <v>8793</v>
      </c>
      <c r="G207" s="9" t="s">
        <v>8794</v>
      </c>
      <c r="H207" s="9" t="s">
        <v>8795</v>
      </c>
      <c r="I207" s="9"/>
      <c r="J207" s="9" t="s">
        <v>8796</v>
      </c>
      <c r="K207" s="9" t="s">
        <v>8797</v>
      </c>
      <c r="L207" s="9" t="s">
        <v>8798</v>
      </c>
      <c r="M207" s="9" t="s">
        <v>8799</v>
      </c>
      <c r="N207" s="9" t="str">
        <f>HYPERLINK("https://seichotoushi-hojo.jp/assets/pdf/koufu_3_4ji/outline_18.pdf","PDFを開く")</f>
        <v>PDFを開く</v>
      </c>
      <c r="O207" s="9" t="s">
        <v>1760</v>
      </c>
    </row>
    <row r="208" spans="1:15" ht="120" customHeight="1">
      <c r="A208" s="2" t="s">
        <v>1761</v>
      </c>
      <c r="B208" s="2" t="s">
        <v>1595</v>
      </c>
      <c r="C208" s="8" t="s">
        <v>1762</v>
      </c>
      <c r="D208" s="8" t="s">
        <v>8800</v>
      </c>
      <c r="E208" s="8"/>
      <c r="F208" s="8" t="s">
        <v>8801</v>
      </c>
      <c r="G208" s="8" t="s">
        <v>8802</v>
      </c>
      <c r="H208" s="8" t="s">
        <v>8803</v>
      </c>
      <c r="I208" s="8"/>
      <c r="J208" s="8" t="s">
        <v>8804</v>
      </c>
      <c r="K208" s="8" t="s">
        <v>8805</v>
      </c>
      <c r="L208" s="8" t="s">
        <v>8806</v>
      </c>
      <c r="M208" s="8" t="s">
        <v>8807</v>
      </c>
      <c r="N208" s="8" t="str">
        <f>HYPERLINK("https://seichotoushi-hojo.jp/assets/pdf/koufu_3_4ji/outline_185.pdf","PDFを開く")</f>
        <v>PDFを開く</v>
      </c>
      <c r="O208" s="8" t="s">
        <v>1768</v>
      </c>
    </row>
    <row r="209" spans="1:15" ht="120" customHeight="1">
      <c r="A209" s="5" t="s">
        <v>1769</v>
      </c>
      <c r="B209" s="5" t="s">
        <v>1595</v>
      </c>
      <c r="C209" s="9" t="s">
        <v>1770</v>
      </c>
      <c r="D209" s="9" t="s">
        <v>8808</v>
      </c>
      <c r="E209" s="9"/>
      <c r="F209" s="9" t="s">
        <v>8809</v>
      </c>
      <c r="G209" s="9" t="s">
        <v>8810</v>
      </c>
      <c r="H209" s="9" t="s">
        <v>8811</v>
      </c>
      <c r="I209" s="9"/>
      <c r="J209" s="9" t="s">
        <v>8812</v>
      </c>
      <c r="K209" s="9" t="s">
        <v>8813</v>
      </c>
      <c r="L209" s="9" t="s">
        <v>8814</v>
      </c>
      <c r="M209" s="9" t="s">
        <v>8815</v>
      </c>
      <c r="N209" s="9" t="str">
        <f>HYPERLINK("https://seichotoushi-hojo.jp/assets/pdf/koufu_3_4ji/outline_186.pdf","PDFを開く")</f>
        <v>PDFを開く</v>
      </c>
      <c r="O209" s="9" t="s">
        <v>1775</v>
      </c>
    </row>
    <row r="210" spans="1:15" ht="120" customHeight="1">
      <c r="A210" s="2" t="s">
        <v>1776</v>
      </c>
      <c r="B210" s="2" t="s">
        <v>1595</v>
      </c>
      <c r="C210" s="8" t="s">
        <v>1777</v>
      </c>
      <c r="D210" s="8" t="s">
        <v>8816</v>
      </c>
      <c r="E210" s="8"/>
      <c r="F210" s="8" t="s">
        <v>8817</v>
      </c>
      <c r="G210" s="8" t="s">
        <v>8818</v>
      </c>
      <c r="H210" s="8" t="s">
        <v>8819</v>
      </c>
      <c r="I210" s="8"/>
      <c r="J210" s="8" t="s">
        <v>8820</v>
      </c>
      <c r="K210" s="8" t="s">
        <v>8821</v>
      </c>
      <c r="L210" s="8" t="s">
        <v>8822</v>
      </c>
      <c r="M210" s="8" t="s">
        <v>8823</v>
      </c>
      <c r="N210" s="8" t="str">
        <f>HYPERLINK("https://seichotoushi-hojo.jp/assets/pdf/koufu_3_4ji/outline_188.pdf","PDFを開く")</f>
        <v>PDFを開く</v>
      </c>
      <c r="O210" s="8" t="s">
        <v>1783</v>
      </c>
    </row>
    <row r="211" spans="1:15" ht="120" customHeight="1">
      <c r="A211" s="5" t="s">
        <v>1784</v>
      </c>
      <c r="B211" s="5" t="s">
        <v>1595</v>
      </c>
      <c r="C211" s="9" t="s">
        <v>1785</v>
      </c>
      <c r="D211" s="9" t="s">
        <v>8824</v>
      </c>
      <c r="E211" s="9" t="s">
        <v>8825</v>
      </c>
      <c r="F211" s="9" t="s">
        <v>8826</v>
      </c>
      <c r="G211" s="9" t="s">
        <v>8827</v>
      </c>
      <c r="H211" s="9" t="s">
        <v>8828</v>
      </c>
      <c r="I211" s="9"/>
      <c r="J211" s="9" t="s">
        <v>8829</v>
      </c>
      <c r="K211" s="9" t="s">
        <v>8830</v>
      </c>
      <c r="L211" s="9" t="s">
        <v>8831</v>
      </c>
      <c r="M211" s="9" t="s">
        <v>8832</v>
      </c>
      <c r="N211" s="9" t="str">
        <f>HYPERLINK("https://seichotoushi-hojo.jp/assets/pdf/koufu_3_4ji/outline_19.pdf","PDFを開く")</f>
        <v>PDFを開く</v>
      </c>
      <c r="O211" s="9" t="s">
        <v>1790</v>
      </c>
    </row>
    <row r="212" spans="1:15" ht="120" customHeight="1">
      <c r="A212" s="2" t="s">
        <v>1791</v>
      </c>
      <c r="B212" s="2" t="s">
        <v>1595</v>
      </c>
      <c r="C212" s="8" t="s">
        <v>1792</v>
      </c>
      <c r="D212" s="8" t="s">
        <v>8833</v>
      </c>
      <c r="E212" s="8"/>
      <c r="F212" s="8" t="s">
        <v>8834</v>
      </c>
      <c r="G212" s="8" t="s">
        <v>8835</v>
      </c>
      <c r="H212" s="8" t="s">
        <v>8836</v>
      </c>
      <c r="I212" s="8"/>
      <c r="J212" s="8" t="s">
        <v>8837</v>
      </c>
      <c r="K212" s="8" t="s">
        <v>8838</v>
      </c>
      <c r="L212" s="8" t="s">
        <v>8839</v>
      </c>
      <c r="M212" s="8" t="s">
        <v>8840</v>
      </c>
      <c r="N212" s="8" t="str">
        <f>HYPERLINK("https://seichotoushi-hojo.jp/assets/pdf/koufu_3_4ji/outline_190.pdf","PDFを開く")</f>
        <v>PDFを開く</v>
      </c>
      <c r="O212" s="8" t="s">
        <v>1797</v>
      </c>
    </row>
    <row r="213" spans="1:15" ht="120" customHeight="1">
      <c r="A213" s="5" t="s">
        <v>1798</v>
      </c>
      <c r="B213" s="5" t="s">
        <v>1595</v>
      </c>
      <c r="C213" s="9" t="s">
        <v>1799</v>
      </c>
      <c r="D213" s="9" t="s">
        <v>8841</v>
      </c>
      <c r="E213" s="9"/>
      <c r="F213" s="9" t="s">
        <v>8842</v>
      </c>
      <c r="G213" s="9" t="s">
        <v>8843</v>
      </c>
      <c r="H213" s="9" t="s">
        <v>8844</v>
      </c>
      <c r="I213" s="9"/>
      <c r="J213" s="9"/>
      <c r="K213" s="9"/>
      <c r="L213" s="9" t="s">
        <v>8845</v>
      </c>
      <c r="M213" s="9" t="s">
        <v>8846</v>
      </c>
      <c r="N213" s="9" t="str">
        <f>HYPERLINK("https://seichotoushi-hojo.jp/assets/pdf/koufu_3_4ji/outline_197.pdf","PDFを開く")</f>
        <v>PDFを開く</v>
      </c>
      <c r="O213" s="9" t="s">
        <v>1805</v>
      </c>
    </row>
    <row r="214" spans="1:15" ht="120" customHeight="1">
      <c r="A214" s="2" t="s">
        <v>1806</v>
      </c>
      <c r="B214" s="2" t="s">
        <v>1595</v>
      </c>
      <c r="C214" s="8" t="s">
        <v>1807</v>
      </c>
      <c r="D214" s="8" t="s">
        <v>8847</v>
      </c>
      <c r="E214" s="8"/>
      <c r="F214" s="8" t="s">
        <v>8848</v>
      </c>
      <c r="G214" s="8" t="s">
        <v>8849</v>
      </c>
      <c r="H214" s="8" t="s">
        <v>8850</v>
      </c>
      <c r="I214" s="8"/>
      <c r="J214" s="8" t="s">
        <v>8851</v>
      </c>
      <c r="K214" s="8" t="s">
        <v>8852</v>
      </c>
      <c r="L214" s="8" t="s">
        <v>8853</v>
      </c>
      <c r="M214" s="8" t="s">
        <v>8854</v>
      </c>
      <c r="N214" s="8" t="str">
        <f>HYPERLINK("https://seichotoushi-hojo.jp/assets/pdf/koufu_3_4ji/outline_2.pdf","PDFを開く")</f>
        <v>PDFを開く</v>
      </c>
      <c r="O214" s="8" t="s">
        <v>1812</v>
      </c>
    </row>
    <row r="215" spans="1:15" ht="120" customHeight="1">
      <c r="A215" s="5" t="s">
        <v>1813</v>
      </c>
      <c r="B215" s="5" t="s">
        <v>1595</v>
      </c>
      <c r="C215" s="9" t="s">
        <v>1814</v>
      </c>
      <c r="D215" s="9" t="s">
        <v>8855</v>
      </c>
      <c r="E215" s="9"/>
      <c r="F215" s="9" t="s">
        <v>8856</v>
      </c>
      <c r="G215" s="9" t="s">
        <v>8857</v>
      </c>
      <c r="H215" s="9" t="s">
        <v>8858</v>
      </c>
      <c r="I215" s="9" t="s">
        <v>8859</v>
      </c>
      <c r="J215" s="9" t="s">
        <v>8860</v>
      </c>
      <c r="K215" s="9" t="s">
        <v>8861</v>
      </c>
      <c r="L215" s="9" t="s">
        <v>8862</v>
      </c>
      <c r="M215" s="9" t="s">
        <v>8863</v>
      </c>
      <c r="N215" s="9" t="str">
        <f>HYPERLINK("https://seichotoushi-hojo.jp/assets/pdf/koufu_3_4ji/outline_205.pdf","PDFを開く")</f>
        <v>PDFを開く</v>
      </c>
      <c r="O215" s="9" t="s">
        <v>1820</v>
      </c>
    </row>
    <row r="216" spans="1:15" ht="120" customHeight="1">
      <c r="A216" s="2" t="s">
        <v>1821</v>
      </c>
      <c r="B216" s="2" t="s">
        <v>1595</v>
      </c>
      <c r="C216" s="8" t="s">
        <v>1822</v>
      </c>
      <c r="D216" s="8" t="s">
        <v>8864</v>
      </c>
      <c r="E216" s="8"/>
      <c r="F216" s="8" t="s">
        <v>8865</v>
      </c>
      <c r="G216" s="8" t="s">
        <v>8866</v>
      </c>
      <c r="H216" s="8" t="s">
        <v>8867</v>
      </c>
      <c r="I216" s="8"/>
      <c r="J216" s="8" t="s">
        <v>8868</v>
      </c>
      <c r="K216" s="8" t="s">
        <v>8869</v>
      </c>
      <c r="L216" s="8" t="s">
        <v>8870</v>
      </c>
      <c r="M216" s="8" t="s">
        <v>8871</v>
      </c>
      <c r="N216" s="8" t="str">
        <f>HYPERLINK("https://seichotoushi-hojo.jp/assets/pdf/koufu_3_4ji/outline_209.pdf","PDFを開く")</f>
        <v>PDFを開く</v>
      </c>
      <c r="O216" s="8" t="s">
        <v>1829</v>
      </c>
    </row>
    <row r="217" spans="1:15" ht="120" customHeight="1">
      <c r="A217" s="5" t="s">
        <v>1830</v>
      </c>
      <c r="B217" s="5" t="s">
        <v>1595</v>
      </c>
      <c r="C217" s="9" t="s">
        <v>1831</v>
      </c>
      <c r="D217" s="9" t="s">
        <v>8872</v>
      </c>
      <c r="E217" s="9"/>
      <c r="F217" s="9" t="s">
        <v>8873</v>
      </c>
      <c r="G217" s="9" t="s">
        <v>8874</v>
      </c>
      <c r="H217" s="9" t="s">
        <v>8875</v>
      </c>
      <c r="I217" s="9"/>
      <c r="J217" s="9" t="s">
        <v>8876</v>
      </c>
      <c r="K217" s="9" t="s">
        <v>8877</v>
      </c>
      <c r="L217" s="9" t="s">
        <v>8878</v>
      </c>
      <c r="M217" s="9" t="s">
        <v>8879</v>
      </c>
      <c r="N217" s="9" t="str">
        <f>HYPERLINK("https://seichotoushi-hojo.jp/assets/pdf/koufu_3_4ji/outline_21.pdf","PDFを開く")</f>
        <v>PDFを開く</v>
      </c>
      <c r="O217" s="9" t="s">
        <v>1836</v>
      </c>
    </row>
    <row r="218" spans="1:15" ht="120" customHeight="1">
      <c r="A218" s="2" t="s">
        <v>1837</v>
      </c>
      <c r="B218" s="2" t="s">
        <v>1595</v>
      </c>
      <c r="C218" s="8" t="s">
        <v>1838</v>
      </c>
      <c r="D218" s="8" t="s">
        <v>8880</v>
      </c>
      <c r="E218" s="8"/>
      <c r="F218" s="8" t="s">
        <v>8881</v>
      </c>
      <c r="G218" s="8" t="s">
        <v>8882</v>
      </c>
      <c r="H218" s="8" t="s">
        <v>8883</v>
      </c>
      <c r="I218" s="8"/>
      <c r="J218" s="8" t="s">
        <v>8884</v>
      </c>
      <c r="K218" s="8" t="s">
        <v>8885</v>
      </c>
      <c r="L218" s="8" t="s">
        <v>8886</v>
      </c>
      <c r="M218" s="8" t="s">
        <v>8887</v>
      </c>
      <c r="N218" s="8" t="str">
        <f>HYPERLINK("https://seichotoushi-hojo.jp/assets/pdf/koufu_3_4ji/outline_212.pdf","PDFを開く")</f>
        <v>PDFを開く</v>
      </c>
      <c r="O218" s="8" t="s">
        <v>1842</v>
      </c>
    </row>
    <row r="219" spans="1:15" ht="120" customHeight="1">
      <c r="A219" s="5" t="s">
        <v>1843</v>
      </c>
      <c r="B219" s="5" t="s">
        <v>1595</v>
      </c>
      <c r="C219" s="9" t="s">
        <v>1844</v>
      </c>
      <c r="D219" s="9" t="s">
        <v>8888</v>
      </c>
      <c r="E219" s="9" t="s">
        <v>8889</v>
      </c>
      <c r="F219" s="9" t="s">
        <v>8890</v>
      </c>
      <c r="G219" s="9"/>
      <c r="H219" s="9"/>
      <c r="I219" s="9"/>
      <c r="J219" s="9" t="s">
        <v>8891</v>
      </c>
      <c r="K219" s="9" t="s">
        <v>8892</v>
      </c>
      <c r="L219" s="9" t="s">
        <v>8893</v>
      </c>
      <c r="M219" s="9" t="s">
        <v>8894</v>
      </c>
      <c r="N219" s="9" t="str">
        <f>HYPERLINK("https://seichotoushi-hojo.jp/assets/pdf/koufu_3_4ji/outline_214.pdf","PDFを開く")</f>
        <v>PDFを開く</v>
      </c>
      <c r="O219" s="9" t="s">
        <v>1851</v>
      </c>
    </row>
    <row r="220" spans="1:15" ht="120" customHeight="1">
      <c r="A220" s="2" t="s">
        <v>1852</v>
      </c>
      <c r="B220" s="2" t="s">
        <v>1595</v>
      </c>
      <c r="C220" s="8" t="s">
        <v>1853</v>
      </c>
      <c r="D220" s="8" t="s">
        <v>8895</v>
      </c>
      <c r="E220" s="8"/>
      <c r="F220" s="8" t="s">
        <v>8896</v>
      </c>
      <c r="G220" s="8" t="s">
        <v>8897</v>
      </c>
      <c r="H220" s="8" t="s">
        <v>8898</v>
      </c>
      <c r="I220" s="8"/>
      <c r="J220" s="8" t="s">
        <v>8899</v>
      </c>
      <c r="K220" s="8" t="s">
        <v>8900</v>
      </c>
      <c r="L220" s="8" t="s">
        <v>8901</v>
      </c>
      <c r="M220" s="8" t="s">
        <v>8902</v>
      </c>
      <c r="N220" s="8" t="str">
        <f>HYPERLINK("https://seichotoushi-hojo.jp/assets/pdf/koufu_3_4ji/outline_215.pdf","PDFを開く")</f>
        <v>PDFを開く</v>
      </c>
      <c r="O220" s="8" t="s">
        <v>1858</v>
      </c>
    </row>
    <row r="221" spans="1:15" ht="120" customHeight="1">
      <c r="A221" s="5" t="s">
        <v>1859</v>
      </c>
      <c r="B221" s="5" t="s">
        <v>1595</v>
      </c>
      <c r="C221" s="9" t="s">
        <v>1860</v>
      </c>
      <c r="D221" s="9" t="s">
        <v>8903</v>
      </c>
      <c r="E221" s="9"/>
      <c r="F221" s="9" t="s">
        <v>8904</v>
      </c>
      <c r="G221" s="9" t="s">
        <v>8905</v>
      </c>
      <c r="H221" s="9" t="s">
        <v>8906</v>
      </c>
      <c r="I221" s="9"/>
      <c r="J221" s="9" t="s">
        <v>8907</v>
      </c>
      <c r="K221" s="9" t="s">
        <v>8908</v>
      </c>
      <c r="L221" s="9" t="s">
        <v>8909</v>
      </c>
      <c r="M221" s="9" t="s">
        <v>8910</v>
      </c>
      <c r="N221" s="9" t="str">
        <f>HYPERLINK("https://seichotoushi-hojo.jp/assets/pdf/koufu_3_4ji/outline_216.pdf","PDFを開く")</f>
        <v>PDFを開く</v>
      </c>
      <c r="O221" s="9" t="s">
        <v>1866</v>
      </c>
    </row>
    <row r="222" spans="1:15" ht="120" customHeight="1">
      <c r="A222" s="2" t="s">
        <v>1867</v>
      </c>
      <c r="B222" s="2" t="s">
        <v>1595</v>
      </c>
      <c r="C222" s="8" t="s">
        <v>1868</v>
      </c>
      <c r="D222" s="8" t="s">
        <v>8911</v>
      </c>
      <c r="E222" s="8"/>
      <c r="F222" s="8" t="s">
        <v>8912</v>
      </c>
      <c r="G222" s="8" t="s">
        <v>8913</v>
      </c>
      <c r="H222" s="8" t="s">
        <v>8914</v>
      </c>
      <c r="I222" s="8"/>
      <c r="J222" s="8" t="s">
        <v>8915</v>
      </c>
      <c r="K222" s="8" t="s">
        <v>8916</v>
      </c>
      <c r="L222" s="8" t="s">
        <v>8917</v>
      </c>
      <c r="M222" s="8" t="s">
        <v>8918</v>
      </c>
      <c r="N222" s="8" t="str">
        <f>HYPERLINK("https://seichotoushi-hojo.jp/assets/pdf/koufu_3_4ji/outline_22.pdf","PDFを開く")</f>
        <v>PDFを開く</v>
      </c>
      <c r="O222" s="8" t="s">
        <v>1873</v>
      </c>
    </row>
    <row r="223" spans="1:15" ht="120" customHeight="1">
      <c r="A223" s="5" t="s">
        <v>1874</v>
      </c>
      <c r="B223" s="5" t="s">
        <v>1595</v>
      </c>
      <c r="C223" s="9" t="s">
        <v>1875</v>
      </c>
      <c r="D223" s="9" t="s">
        <v>8919</v>
      </c>
      <c r="E223" s="9"/>
      <c r="F223" s="9" t="s">
        <v>8920</v>
      </c>
      <c r="G223" s="9" t="s">
        <v>8921</v>
      </c>
      <c r="H223" s="9" t="s">
        <v>8922</v>
      </c>
      <c r="I223" s="9"/>
      <c r="J223" s="9" t="s">
        <v>8923</v>
      </c>
      <c r="K223" s="9" t="s">
        <v>8924</v>
      </c>
      <c r="L223" s="9" t="s">
        <v>8925</v>
      </c>
      <c r="M223" s="9" t="s">
        <v>8926</v>
      </c>
      <c r="N223" s="9" t="str">
        <f>HYPERLINK("https://seichotoushi-hojo.jp/assets/pdf/koufu_3_4ji/outline_229.pdf","PDFを開く")</f>
        <v>PDFを開く</v>
      </c>
      <c r="O223" s="9" t="s">
        <v>1880</v>
      </c>
    </row>
    <row r="224" spans="1:15" ht="120" customHeight="1">
      <c r="A224" s="2" t="s">
        <v>1881</v>
      </c>
      <c r="B224" s="2" t="s">
        <v>1595</v>
      </c>
      <c r="C224" s="8" t="s">
        <v>1882</v>
      </c>
      <c r="D224" s="8" t="s">
        <v>8927</v>
      </c>
      <c r="E224" s="8"/>
      <c r="F224" s="8" t="s">
        <v>8928</v>
      </c>
      <c r="G224" s="8" t="s">
        <v>8929</v>
      </c>
      <c r="H224" s="8" t="s">
        <v>8930</v>
      </c>
      <c r="I224" s="8"/>
      <c r="J224" s="8" t="s">
        <v>8931</v>
      </c>
      <c r="K224" s="8" t="s">
        <v>8932</v>
      </c>
      <c r="L224" s="8" t="s">
        <v>8933</v>
      </c>
      <c r="M224" s="8" t="s">
        <v>8934</v>
      </c>
      <c r="N224" s="8" t="str">
        <f>HYPERLINK("https://seichotoushi-hojo.jp/assets/pdf/koufu_3_4ji/outline_23.pdf","PDFを開く")</f>
        <v>PDFを開く</v>
      </c>
      <c r="O224" s="8" t="s">
        <v>1887</v>
      </c>
    </row>
    <row r="225" spans="1:15" ht="120" customHeight="1">
      <c r="A225" s="5" t="s">
        <v>1888</v>
      </c>
      <c r="B225" s="5" t="s">
        <v>1595</v>
      </c>
      <c r="C225" s="9" t="s">
        <v>1889</v>
      </c>
      <c r="D225" s="9" t="s">
        <v>8935</v>
      </c>
      <c r="E225" s="9"/>
      <c r="F225" s="9" t="s">
        <v>8936</v>
      </c>
      <c r="G225" s="9" t="s">
        <v>8937</v>
      </c>
      <c r="H225" s="9" t="s">
        <v>8938</v>
      </c>
      <c r="I225" s="9"/>
      <c r="J225" s="9" t="s">
        <v>8939</v>
      </c>
      <c r="K225" s="9" t="s">
        <v>8940</v>
      </c>
      <c r="L225" s="9" t="s">
        <v>8941</v>
      </c>
      <c r="M225" s="9" t="s">
        <v>8942</v>
      </c>
      <c r="N225" s="9" t="str">
        <f>HYPERLINK("https://seichotoushi-hojo.jp/assets/pdf/koufu_3_4ji/outline_232.pdf","PDFを開く")</f>
        <v>PDFを開く</v>
      </c>
      <c r="O225" s="9" t="s">
        <v>1896</v>
      </c>
    </row>
    <row r="226" spans="1:15" ht="120" customHeight="1">
      <c r="A226" s="2" t="s">
        <v>1897</v>
      </c>
      <c r="B226" s="2" t="s">
        <v>1595</v>
      </c>
      <c r="C226" s="8" t="s">
        <v>1898</v>
      </c>
      <c r="D226" s="8" t="s">
        <v>8943</v>
      </c>
      <c r="E226" s="8"/>
      <c r="F226" s="8" t="s">
        <v>8944</v>
      </c>
      <c r="G226" s="8" t="s">
        <v>8945</v>
      </c>
      <c r="H226" s="8" t="s">
        <v>8946</v>
      </c>
      <c r="I226" s="8"/>
      <c r="J226" s="8" t="s">
        <v>8947</v>
      </c>
      <c r="K226" s="8" t="s">
        <v>8948</v>
      </c>
      <c r="L226" s="8" t="s">
        <v>8949</v>
      </c>
      <c r="M226" s="8" t="s">
        <v>8950</v>
      </c>
      <c r="N226" s="8" t="str">
        <f>HYPERLINK("https://seichotoushi-hojo.jp/assets/pdf/koufu_3_4ji/outline_234.pdf","PDFを開く")</f>
        <v>PDFを開く</v>
      </c>
      <c r="O226" s="8" t="s">
        <v>1903</v>
      </c>
    </row>
    <row r="227" spans="1:15" ht="120" customHeight="1">
      <c r="A227" s="5" t="s">
        <v>1904</v>
      </c>
      <c r="B227" s="5" t="s">
        <v>1595</v>
      </c>
      <c r="C227" s="9" t="s">
        <v>1905</v>
      </c>
      <c r="D227" s="9" t="s">
        <v>8951</v>
      </c>
      <c r="E227" s="9"/>
      <c r="F227" s="9" t="s">
        <v>8952</v>
      </c>
      <c r="G227" s="9" t="s">
        <v>8953</v>
      </c>
      <c r="H227" s="9" t="s">
        <v>8954</v>
      </c>
      <c r="I227" s="9"/>
      <c r="J227" s="9" t="s">
        <v>8955</v>
      </c>
      <c r="K227" s="9" t="s">
        <v>8956</v>
      </c>
      <c r="L227" s="9" t="s">
        <v>8957</v>
      </c>
      <c r="M227" s="9" t="s">
        <v>8958</v>
      </c>
      <c r="N227" s="9" t="str">
        <f>HYPERLINK("https://seichotoushi-hojo.jp/assets/pdf/koufu_3_4ji/outline_24.pdf","PDFを開く")</f>
        <v>PDFを開く</v>
      </c>
      <c r="O227" s="9" t="s">
        <v>1911</v>
      </c>
    </row>
    <row r="228" spans="1:15" ht="120" customHeight="1">
      <c r="A228" s="2" t="s">
        <v>1912</v>
      </c>
      <c r="B228" s="2" t="s">
        <v>1595</v>
      </c>
      <c r="C228" s="8" t="s">
        <v>1913</v>
      </c>
      <c r="D228" s="8" t="s">
        <v>8959</v>
      </c>
      <c r="E228" s="8" t="s">
        <v>8960</v>
      </c>
      <c r="F228" s="8" t="s">
        <v>8961</v>
      </c>
      <c r="G228" s="8" t="s">
        <v>8962</v>
      </c>
      <c r="H228" s="8" t="s">
        <v>8963</v>
      </c>
      <c r="I228" s="8" t="s">
        <v>8964</v>
      </c>
      <c r="J228" s="8" t="s">
        <v>8965</v>
      </c>
      <c r="K228" s="8" t="s">
        <v>8966</v>
      </c>
      <c r="L228" s="8" t="s">
        <v>8967</v>
      </c>
      <c r="M228" s="8" t="s">
        <v>8968</v>
      </c>
      <c r="N228" s="8" t="str">
        <f>HYPERLINK("https://seichotoushi-hojo.jp/assets/pdf/koufu_3_4ji/outline_25.pdf","PDFを開く")</f>
        <v>PDFを開く</v>
      </c>
      <c r="O228" s="8" t="s">
        <v>1917</v>
      </c>
    </row>
    <row r="229" spans="1:15" ht="120" customHeight="1">
      <c r="A229" s="5" t="s">
        <v>1918</v>
      </c>
      <c r="B229" s="5" t="s">
        <v>1595</v>
      </c>
      <c r="C229" s="9" t="s">
        <v>1919</v>
      </c>
      <c r="D229" s="9" t="s">
        <v>8969</v>
      </c>
      <c r="E229" s="9"/>
      <c r="F229" s="9" t="s">
        <v>8970</v>
      </c>
      <c r="G229" s="9" t="s">
        <v>8971</v>
      </c>
      <c r="H229" s="9" t="s">
        <v>8972</v>
      </c>
      <c r="I229" s="9"/>
      <c r="J229" s="9" t="s">
        <v>8973</v>
      </c>
      <c r="K229" s="9" t="s">
        <v>8974</v>
      </c>
      <c r="L229" s="9" t="s">
        <v>8975</v>
      </c>
      <c r="M229" s="9" t="s">
        <v>8976</v>
      </c>
      <c r="N229" s="9" t="str">
        <f>HYPERLINK("https://seichotoushi-hojo.jp/assets/pdf/koufu_3_4ji/outline_26.pdf","PDFを開く")</f>
        <v>PDFを開く</v>
      </c>
      <c r="O229" s="9" t="s">
        <v>1926</v>
      </c>
    </row>
    <row r="230" spans="1:15" ht="120" customHeight="1">
      <c r="A230" s="2" t="s">
        <v>1927</v>
      </c>
      <c r="B230" s="2" t="s">
        <v>1595</v>
      </c>
      <c r="C230" s="8" t="s">
        <v>1928</v>
      </c>
      <c r="D230" s="8" t="s">
        <v>8977</v>
      </c>
      <c r="E230" s="8"/>
      <c r="F230" s="8" t="s">
        <v>8978</v>
      </c>
      <c r="G230" s="8" t="s">
        <v>8979</v>
      </c>
      <c r="H230" s="8" t="s">
        <v>8980</v>
      </c>
      <c r="I230" s="8"/>
      <c r="J230" s="8"/>
      <c r="K230" s="8"/>
      <c r="L230" s="8" t="s">
        <v>8981</v>
      </c>
      <c r="M230" s="8" t="s">
        <v>8982</v>
      </c>
      <c r="N230" s="8" t="str">
        <f>HYPERLINK("https://seichotoushi-hojo.jp/assets/pdf/koufu_3_4ji/outline_27.pdf","PDFを開く")</f>
        <v>PDFを開く</v>
      </c>
      <c r="O230" s="8" t="s">
        <v>1935</v>
      </c>
    </row>
    <row r="231" spans="1:15" ht="120" customHeight="1">
      <c r="A231" s="5" t="s">
        <v>1936</v>
      </c>
      <c r="B231" s="5" t="s">
        <v>1595</v>
      </c>
      <c r="C231" s="9" t="s">
        <v>1937</v>
      </c>
      <c r="D231" s="9" t="s">
        <v>8983</v>
      </c>
      <c r="E231" s="9"/>
      <c r="F231" s="9" t="s">
        <v>8984</v>
      </c>
      <c r="G231" s="9" t="s">
        <v>8985</v>
      </c>
      <c r="H231" s="9" t="s">
        <v>8986</v>
      </c>
      <c r="I231" s="9"/>
      <c r="J231" s="9" t="s">
        <v>8987</v>
      </c>
      <c r="K231" s="9" t="s">
        <v>8988</v>
      </c>
      <c r="L231" s="9" t="s">
        <v>8989</v>
      </c>
      <c r="M231" s="9" t="s">
        <v>8990</v>
      </c>
      <c r="N231" s="9" t="str">
        <f>HYPERLINK("https://seichotoushi-hojo.jp/assets/pdf/koufu_3_4ji/outline_3.pdf","PDFを開く")</f>
        <v>PDFを開く</v>
      </c>
      <c r="O231" s="9" t="s">
        <v>1943</v>
      </c>
    </row>
    <row r="232" spans="1:15" ht="120" customHeight="1">
      <c r="A232" s="2" t="s">
        <v>1944</v>
      </c>
      <c r="B232" s="2" t="s">
        <v>1595</v>
      </c>
      <c r="C232" s="8" t="s">
        <v>1945</v>
      </c>
      <c r="D232" s="8" t="s">
        <v>8991</v>
      </c>
      <c r="E232" s="8"/>
      <c r="F232" s="8" t="s">
        <v>8992</v>
      </c>
      <c r="G232" s="8" t="s">
        <v>8993</v>
      </c>
      <c r="H232" s="8" t="s">
        <v>8994</v>
      </c>
      <c r="I232" s="8"/>
      <c r="J232" s="8" t="s">
        <v>8995</v>
      </c>
      <c r="K232" s="8" t="s">
        <v>8996</v>
      </c>
      <c r="L232" s="8" t="s">
        <v>8997</v>
      </c>
      <c r="M232" s="8" t="s">
        <v>8998</v>
      </c>
      <c r="N232" s="8" t="str">
        <f>HYPERLINK("https://seichotoushi-hojo.jp/assets/pdf/koufu_3_4ji/outline_30.pdf","PDFを開く")</f>
        <v>PDFを開く</v>
      </c>
      <c r="O232" s="8" t="s">
        <v>1951</v>
      </c>
    </row>
    <row r="233" spans="1:15" ht="120" customHeight="1">
      <c r="A233" s="5" t="s">
        <v>1952</v>
      </c>
      <c r="B233" s="5" t="s">
        <v>1595</v>
      </c>
      <c r="C233" s="9" t="s">
        <v>1953</v>
      </c>
      <c r="D233" s="9" t="s">
        <v>8999</v>
      </c>
      <c r="E233" s="9"/>
      <c r="F233" s="9" t="s">
        <v>9000</v>
      </c>
      <c r="G233" s="9" t="s">
        <v>9001</v>
      </c>
      <c r="H233" s="9" t="s">
        <v>9002</v>
      </c>
      <c r="I233" s="9"/>
      <c r="J233" s="9" t="s">
        <v>9003</v>
      </c>
      <c r="K233" s="9" t="s">
        <v>9004</v>
      </c>
      <c r="L233" s="9" t="s">
        <v>9005</v>
      </c>
      <c r="M233" s="9" t="s">
        <v>9006</v>
      </c>
      <c r="N233" s="9" t="str">
        <f>HYPERLINK("https://seichotoushi-hojo.jp/assets/pdf/koufu_3_4ji/outline_31.pdf","PDFを開く")</f>
        <v>PDFを開く</v>
      </c>
      <c r="O233" s="9" t="s">
        <v>1959</v>
      </c>
    </row>
    <row r="234" spans="1:15" ht="120" customHeight="1">
      <c r="A234" s="2" t="s">
        <v>1960</v>
      </c>
      <c r="B234" s="2" t="s">
        <v>1595</v>
      </c>
      <c r="C234" s="8" t="s">
        <v>1961</v>
      </c>
      <c r="D234" s="8" t="s">
        <v>9007</v>
      </c>
      <c r="E234" s="8"/>
      <c r="F234" s="8" t="s">
        <v>9008</v>
      </c>
      <c r="G234" s="8" t="s">
        <v>9009</v>
      </c>
      <c r="H234" s="8" t="s">
        <v>9010</v>
      </c>
      <c r="I234" s="8"/>
      <c r="J234" s="8" t="s">
        <v>9011</v>
      </c>
      <c r="K234" s="8" t="s">
        <v>9012</v>
      </c>
      <c r="L234" s="8" t="s">
        <v>9013</v>
      </c>
      <c r="M234" s="8" t="s">
        <v>9014</v>
      </c>
      <c r="N234" s="8" t="str">
        <f>HYPERLINK("https://seichotoushi-hojo.jp/assets/pdf/koufu_3_4ji/outline_32.pdf","PDFを開く")</f>
        <v>PDFを開く</v>
      </c>
      <c r="O234" s="8" t="s">
        <v>1967</v>
      </c>
    </row>
    <row r="235" spans="1:15" ht="120" customHeight="1">
      <c r="A235" s="5" t="s">
        <v>1968</v>
      </c>
      <c r="B235" s="5" t="s">
        <v>1595</v>
      </c>
      <c r="C235" s="9" t="s">
        <v>1969</v>
      </c>
      <c r="D235" s="9" t="s">
        <v>9015</v>
      </c>
      <c r="E235" s="9"/>
      <c r="F235" s="9" t="s">
        <v>9016</v>
      </c>
      <c r="G235" s="9" t="s">
        <v>9017</v>
      </c>
      <c r="H235" s="9" t="s">
        <v>9018</v>
      </c>
      <c r="I235" s="9"/>
      <c r="J235" s="9" t="s">
        <v>9019</v>
      </c>
      <c r="K235" s="9" t="s">
        <v>9020</v>
      </c>
      <c r="L235" s="9" t="s">
        <v>9021</v>
      </c>
      <c r="M235" s="9" t="s">
        <v>9022</v>
      </c>
      <c r="N235" s="9" t="str">
        <f>HYPERLINK("https://seichotoushi-hojo.jp/assets/pdf/koufu_3_4ji/outline_33.pdf","PDFを開く")</f>
        <v>PDFを開く</v>
      </c>
      <c r="O235" s="9" t="s">
        <v>1974</v>
      </c>
    </row>
    <row r="236" spans="1:15" ht="120" customHeight="1">
      <c r="A236" s="2" t="s">
        <v>1975</v>
      </c>
      <c r="B236" s="2" t="s">
        <v>1595</v>
      </c>
      <c r="C236" s="8" t="s">
        <v>1976</v>
      </c>
      <c r="D236" s="8" t="s">
        <v>9023</v>
      </c>
      <c r="E236" s="8"/>
      <c r="F236" s="8" t="s">
        <v>9024</v>
      </c>
      <c r="G236" s="8" t="s">
        <v>9025</v>
      </c>
      <c r="H236" s="8" t="s">
        <v>9026</v>
      </c>
      <c r="I236" s="8"/>
      <c r="J236" s="8" t="s">
        <v>9027</v>
      </c>
      <c r="K236" s="8" t="s">
        <v>9028</v>
      </c>
      <c r="L236" s="8" t="s">
        <v>9029</v>
      </c>
      <c r="M236" s="8" t="s">
        <v>9030</v>
      </c>
      <c r="N236" s="8" t="str">
        <f>HYPERLINK("https://seichotoushi-hojo.jp/assets/pdf/koufu_3_4ji/outline_34.pdf","PDFを開く")</f>
        <v>PDFを開く</v>
      </c>
      <c r="O236" s="8" t="s">
        <v>1982</v>
      </c>
    </row>
    <row r="237" spans="1:15" ht="120" customHeight="1">
      <c r="A237" s="5" t="s">
        <v>1983</v>
      </c>
      <c r="B237" s="5" t="s">
        <v>1595</v>
      </c>
      <c r="C237" s="9" t="s">
        <v>1984</v>
      </c>
      <c r="D237" s="9" t="s">
        <v>9031</v>
      </c>
      <c r="E237" s="9"/>
      <c r="F237" s="9" t="s">
        <v>9032</v>
      </c>
      <c r="G237" s="9" t="s">
        <v>9033</v>
      </c>
      <c r="H237" s="9" t="s">
        <v>9034</v>
      </c>
      <c r="I237" s="9"/>
      <c r="J237" s="9" t="s">
        <v>9035</v>
      </c>
      <c r="K237" s="9" t="s">
        <v>9036</v>
      </c>
      <c r="L237" s="9" t="s">
        <v>9037</v>
      </c>
      <c r="M237" s="9" t="s">
        <v>9038</v>
      </c>
      <c r="N237" s="9" t="str">
        <f>HYPERLINK("https://seichotoushi-hojo.jp/assets/pdf/koufu_3_4ji/outline_35.pdf","PDFを開く")</f>
        <v>PDFを開く</v>
      </c>
      <c r="O237" s="9" t="s">
        <v>1991</v>
      </c>
    </row>
    <row r="238" spans="1:15" ht="120" customHeight="1">
      <c r="A238" s="2" t="s">
        <v>1992</v>
      </c>
      <c r="B238" s="2" t="s">
        <v>1595</v>
      </c>
      <c r="C238" s="8" t="s">
        <v>1993</v>
      </c>
      <c r="D238" s="8"/>
      <c r="E238" s="8"/>
      <c r="F238" s="8"/>
      <c r="G238" s="8"/>
      <c r="H238" s="8"/>
      <c r="I238" s="8"/>
      <c r="J238" s="8"/>
      <c r="K238" s="8"/>
      <c r="L238" s="8"/>
      <c r="M238" s="8"/>
      <c r="N238" s="8" t="str">
        <f>HYPERLINK("https://seichotoushi-hojo.jp/assets/pdf/koufu_3_4ji/outline_37.pdf","PDFを開く")</f>
        <v>PDFを開く</v>
      </c>
      <c r="O238" s="8" t="s">
        <v>2000</v>
      </c>
    </row>
    <row r="239" spans="1:15" ht="120" customHeight="1">
      <c r="A239" s="5" t="s">
        <v>2001</v>
      </c>
      <c r="B239" s="5" t="s">
        <v>1595</v>
      </c>
      <c r="C239" s="9" t="s">
        <v>2002</v>
      </c>
      <c r="D239" s="9" t="s">
        <v>9039</v>
      </c>
      <c r="E239" s="9"/>
      <c r="F239" s="9" t="s">
        <v>9040</v>
      </c>
      <c r="G239" s="9" t="s">
        <v>9041</v>
      </c>
      <c r="H239" s="9" t="s">
        <v>9042</v>
      </c>
      <c r="I239" s="9"/>
      <c r="J239" s="9" t="s">
        <v>9043</v>
      </c>
      <c r="K239" s="9" t="s">
        <v>9044</v>
      </c>
      <c r="L239" s="9" t="s">
        <v>9045</v>
      </c>
      <c r="M239" s="9" t="s">
        <v>9046</v>
      </c>
      <c r="N239" s="9" t="str">
        <f>HYPERLINK("https://seichotoushi-hojo.jp/assets/pdf/koufu_3_4ji/outline_39.pdf","PDFを開く")</f>
        <v>PDFを開く</v>
      </c>
      <c r="O239" s="9" t="s">
        <v>2009</v>
      </c>
    </row>
    <row r="240" spans="1:15" ht="120" customHeight="1">
      <c r="A240" s="2" t="s">
        <v>2010</v>
      </c>
      <c r="B240" s="2" t="s">
        <v>1595</v>
      </c>
      <c r="C240" s="8" t="s">
        <v>2011</v>
      </c>
      <c r="D240" s="8" t="s">
        <v>9047</v>
      </c>
      <c r="E240" s="8"/>
      <c r="F240" s="8" t="s">
        <v>9048</v>
      </c>
      <c r="G240" s="8" t="s">
        <v>9049</v>
      </c>
      <c r="H240" s="8" t="s">
        <v>9050</v>
      </c>
      <c r="I240" s="8"/>
      <c r="J240" s="8" t="s">
        <v>9051</v>
      </c>
      <c r="K240" s="8" t="s">
        <v>9052</v>
      </c>
      <c r="L240" s="8" t="s">
        <v>9053</v>
      </c>
      <c r="M240" s="8" t="s">
        <v>9054</v>
      </c>
      <c r="N240" s="8" t="str">
        <f>HYPERLINK("https://seichotoushi-hojo.jp/assets/pdf/koufu_3_4ji/outline_40.pdf","PDFを開く")</f>
        <v>PDFを開く</v>
      </c>
      <c r="O240" s="8" t="s">
        <v>2017</v>
      </c>
    </row>
    <row r="241" spans="1:15" ht="120" customHeight="1">
      <c r="A241" s="5" t="s">
        <v>2018</v>
      </c>
      <c r="B241" s="5" t="s">
        <v>1595</v>
      </c>
      <c r="C241" s="9" t="s">
        <v>2019</v>
      </c>
      <c r="D241" s="9" t="s">
        <v>9055</v>
      </c>
      <c r="E241" s="9"/>
      <c r="F241" s="9" t="s">
        <v>9056</v>
      </c>
      <c r="G241" s="9" t="s">
        <v>9057</v>
      </c>
      <c r="H241" s="9" t="s">
        <v>9058</v>
      </c>
      <c r="I241" s="9"/>
      <c r="J241" s="9" t="s">
        <v>9059</v>
      </c>
      <c r="K241" s="9" t="s">
        <v>9060</v>
      </c>
      <c r="L241" s="9" t="s">
        <v>9061</v>
      </c>
      <c r="M241" s="9" t="s">
        <v>9062</v>
      </c>
      <c r="N241" s="9" t="str">
        <f>HYPERLINK("https://seichotoushi-hojo.jp/assets/pdf/koufu_3_4ji/outline_41.pdf","PDFを開く")</f>
        <v>PDFを開く</v>
      </c>
      <c r="O241" s="9" t="s">
        <v>2025</v>
      </c>
    </row>
    <row r="242" spans="1:15" ht="120" customHeight="1">
      <c r="A242" s="2" t="s">
        <v>2026</v>
      </c>
      <c r="B242" s="2" t="s">
        <v>1595</v>
      </c>
      <c r="C242" s="8" t="s">
        <v>2027</v>
      </c>
      <c r="D242" s="8" t="s">
        <v>9063</v>
      </c>
      <c r="E242" s="8"/>
      <c r="F242" s="8" t="s">
        <v>9064</v>
      </c>
      <c r="G242" s="8" t="s">
        <v>9065</v>
      </c>
      <c r="H242" s="8" t="s">
        <v>9066</v>
      </c>
      <c r="I242" s="8"/>
      <c r="J242" s="8" t="s">
        <v>9067</v>
      </c>
      <c r="K242" s="8" t="s">
        <v>9068</v>
      </c>
      <c r="L242" s="8" t="s">
        <v>9069</v>
      </c>
      <c r="M242" s="8" t="s">
        <v>9070</v>
      </c>
      <c r="N242" s="8" t="str">
        <f>HYPERLINK("https://seichotoushi-hojo.jp/assets/pdf/koufu_3_4ji/outline_42.pdf","PDFを開く")</f>
        <v>PDFを開く</v>
      </c>
      <c r="O242" s="8" t="s">
        <v>2033</v>
      </c>
    </row>
    <row r="243" spans="1:15" ht="120" customHeight="1">
      <c r="A243" s="5" t="s">
        <v>2034</v>
      </c>
      <c r="B243" s="5" t="s">
        <v>1595</v>
      </c>
      <c r="C243" s="9" t="s">
        <v>2035</v>
      </c>
      <c r="D243" s="9" t="s">
        <v>9071</v>
      </c>
      <c r="E243" s="9"/>
      <c r="F243" s="9" t="s">
        <v>9072</v>
      </c>
      <c r="G243" s="9" t="s">
        <v>9073</v>
      </c>
      <c r="H243" s="9" t="s">
        <v>9074</v>
      </c>
      <c r="I243" s="9"/>
      <c r="J243" s="9" t="s">
        <v>9075</v>
      </c>
      <c r="K243" s="9" t="s">
        <v>9076</v>
      </c>
      <c r="L243" s="9" t="s">
        <v>9077</v>
      </c>
      <c r="M243" s="9" t="s">
        <v>9078</v>
      </c>
      <c r="N243" s="9" t="str">
        <f>HYPERLINK("https://seichotoushi-hojo.jp/assets/pdf/koufu_3_4ji/outline_43.pdf","PDFを開く")</f>
        <v>PDFを開く</v>
      </c>
      <c r="O243" s="9" t="s">
        <v>2042</v>
      </c>
    </row>
    <row r="244" spans="1:15" ht="120" customHeight="1">
      <c r="A244" s="2" t="s">
        <v>2043</v>
      </c>
      <c r="B244" s="2" t="s">
        <v>1595</v>
      </c>
      <c r="C244" s="8" t="s">
        <v>2044</v>
      </c>
      <c r="D244" s="8" t="s">
        <v>9079</v>
      </c>
      <c r="E244" s="8"/>
      <c r="F244" s="8" t="s">
        <v>9080</v>
      </c>
      <c r="G244" s="8" t="s">
        <v>9081</v>
      </c>
      <c r="H244" s="8" t="s">
        <v>9082</v>
      </c>
      <c r="I244" s="8"/>
      <c r="J244" s="8" t="s">
        <v>9083</v>
      </c>
      <c r="K244" s="8" t="s">
        <v>9084</v>
      </c>
      <c r="L244" s="8" t="s">
        <v>9085</v>
      </c>
      <c r="M244" s="8" t="s">
        <v>9086</v>
      </c>
      <c r="N244" s="8" t="str">
        <f>HYPERLINK("https://seichotoushi-hojo.jp/assets/pdf/koufu_3_4ji/outline_44.pdf","PDFを開く")</f>
        <v>PDFを開く</v>
      </c>
      <c r="O244" s="8" t="s">
        <v>2049</v>
      </c>
    </row>
    <row r="245" spans="1:15" ht="120" customHeight="1">
      <c r="A245" s="5" t="s">
        <v>2050</v>
      </c>
      <c r="B245" s="5" t="s">
        <v>1595</v>
      </c>
      <c r="C245" s="9" t="s">
        <v>2051</v>
      </c>
      <c r="D245" s="9" t="s">
        <v>9087</v>
      </c>
      <c r="E245" s="9"/>
      <c r="F245" s="9" t="s">
        <v>9088</v>
      </c>
      <c r="G245" s="9" t="s">
        <v>9089</v>
      </c>
      <c r="H245" s="9" t="s">
        <v>9090</v>
      </c>
      <c r="I245" s="9"/>
      <c r="J245" s="9" t="s">
        <v>9091</v>
      </c>
      <c r="K245" s="9" t="s">
        <v>9092</v>
      </c>
      <c r="L245" s="9" t="s">
        <v>9093</v>
      </c>
      <c r="M245" s="9" t="s">
        <v>9094</v>
      </c>
      <c r="N245" s="9" t="str">
        <f>HYPERLINK("https://seichotoushi-hojo.jp/assets/pdf/koufu_3_4ji/outline_45.pdf","PDFを開く")</f>
        <v>PDFを開く</v>
      </c>
      <c r="O245" s="9" t="s">
        <v>2057</v>
      </c>
    </row>
    <row r="246" spans="1:15" ht="120" customHeight="1">
      <c r="A246" s="2" t="s">
        <v>2058</v>
      </c>
      <c r="B246" s="2" t="s">
        <v>1595</v>
      </c>
      <c r="C246" s="8" t="s">
        <v>2059</v>
      </c>
      <c r="D246" s="8" t="s">
        <v>9095</v>
      </c>
      <c r="E246" s="8"/>
      <c r="F246" s="8" t="s">
        <v>9096</v>
      </c>
      <c r="G246" s="8" t="s">
        <v>9097</v>
      </c>
      <c r="H246" s="8" t="s">
        <v>9098</v>
      </c>
      <c r="I246" s="8"/>
      <c r="J246" s="8" t="s">
        <v>9099</v>
      </c>
      <c r="K246" s="8" t="s">
        <v>9100</v>
      </c>
      <c r="L246" s="8" t="s">
        <v>9101</v>
      </c>
      <c r="M246" s="8" t="s">
        <v>9102</v>
      </c>
      <c r="N246" s="8" t="str">
        <f>HYPERLINK("https://seichotoushi-hojo.jp/assets/pdf/koufu_3_4ji/outline_46.pdf","PDFを開く")</f>
        <v>PDFを開く</v>
      </c>
      <c r="O246" s="8" t="s">
        <v>2065</v>
      </c>
    </row>
    <row r="247" spans="1:15" ht="120" customHeight="1">
      <c r="A247" s="5" t="s">
        <v>2066</v>
      </c>
      <c r="B247" s="5" t="s">
        <v>1595</v>
      </c>
      <c r="C247" s="9" t="s">
        <v>2067</v>
      </c>
      <c r="D247" s="9" t="s">
        <v>9103</v>
      </c>
      <c r="E247" s="9"/>
      <c r="F247" s="9" t="s">
        <v>9104</v>
      </c>
      <c r="G247" s="9" t="s">
        <v>9105</v>
      </c>
      <c r="H247" s="9" t="s">
        <v>9106</v>
      </c>
      <c r="I247" s="9"/>
      <c r="J247" s="9" t="s">
        <v>9107</v>
      </c>
      <c r="K247" s="9" t="s">
        <v>9108</v>
      </c>
      <c r="L247" s="9" t="s">
        <v>9109</v>
      </c>
      <c r="M247" s="9" t="s">
        <v>9110</v>
      </c>
      <c r="N247" s="9" t="str">
        <f>HYPERLINK("https://seichotoushi-hojo.jp/assets/pdf/koufu_3_4ji/outline_47.pdf","PDFを開く")</f>
        <v>PDFを開く</v>
      </c>
      <c r="O247" s="9" t="s">
        <v>2072</v>
      </c>
    </row>
    <row r="248" spans="1:15" ht="120" customHeight="1">
      <c r="A248" s="2" t="s">
        <v>2073</v>
      </c>
      <c r="B248" s="2" t="s">
        <v>1595</v>
      </c>
      <c r="C248" s="8" t="s">
        <v>2074</v>
      </c>
      <c r="D248" s="8" t="s">
        <v>9111</v>
      </c>
      <c r="E248" s="8"/>
      <c r="F248" s="8" t="s">
        <v>9112</v>
      </c>
      <c r="G248" s="8" t="s">
        <v>9113</v>
      </c>
      <c r="H248" s="8" t="s">
        <v>9114</v>
      </c>
      <c r="I248" s="8"/>
      <c r="J248" s="8" t="s">
        <v>9115</v>
      </c>
      <c r="K248" s="8" t="s">
        <v>9116</v>
      </c>
      <c r="L248" s="8" t="s">
        <v>9117</v>
      </c>
      <c r="M248" s="8" t="s">
        <v>9118</v>
      </c>
      <c r="N248" s="8" t="str">
        <f>HYPERLINK("https://seichotoushi-hojo.jp/assets/pdf/koufu_3_4ji/outline_48.pdf","PDFを開く")</f>
        <v>PDFを開く</v>
      </c>
      <c r="O248" s="8" t="s">
        <v>2080</v>
      </c>
    </row>
    <row r="249" spans="1:15" ht="120" customHeight="1">
      <c r="A249" s="5" t="s">
        <v>2081</v>
      </c>
      <c r="B249" s="5" t="s">
        <v>1595</v>
      </c>
      <c r="C249" s="9" t="s">
        <v>2082</v>
      </c>
      <c r="D249" s="9" t="s">
        <v>9119</v>
      </c>
      <c r="E249" s="9"/>
      <c r="F249" s="9" t="s">
        <v>9120</v>
      </c>
      <c r="G249" s="9" t="s">
        <v>9121</v>
      </c>
      <c r="H249" s="9" t="s">
        <v>9122</v>
      </c>
      <c r="I249" s="9"/>
      <c r="J249" s="9" t="s">
        <v>9123</v>
      </c>
      <c r="K249" s="9" t="s">
        <v>9124</v>
      </c>
      <c r="L249" s="9" t="s">
        <v>9125</v>
      </c>
      <c r="M249" s="9" t="s">
        <v>9126</v>
      </c>
      <c r="N249" s="9" t="str">
        <f>HYPERLINK("https://seichotoushi-hojo.jp/assets/pdf/koufu_3_4ji/outline_49.pdf","PDFを開く")</f>
        <v>PDFを開く</v>
      </c>
      <c r="O249" s="9" t="s">
        <v>2089</v>
      </c>
    </row>
    <row r="250" spans="1:15" ht="120" customHeight="1">
      <c r="A250" s="2" t="s">
        <v>2090</v>
      </c>
      <c r="B250" s="2" t="s">
        <v>1595</v>
      </c>
      <c r="C250" s="8" t="s">
        <v>2091</v>
      </c>
      <c r="D250" s="8" t="s">
        <v>9127</v>
      </c>
      <c r="E250" s="8" t="s">
        <v>9128</v>
      </c>
      <c r="F250" s="8" t="s">
        <v>9129</v>
      </c>
      <c r="G250" s="8" t="s">
        <v>9130</v>
      </c>
      <c r="H250" s="8" t="s">
        <v>9131</v>
      </c>
      <c r="I250" s="8"/>
      <c r="J250" s="8" t="s">
        <v>9132</v>
      </c>
      <c r="K250" s="8" t="s">
        <v>9133</v>
      </c>
      <c r="L250" s="8" t="s">
        <v>9134</v>
      </c>
      <c r="M250" s="8" t="s">
        <v>9135</v>
      </c>
      <c r="N250" s="8" t="str">
        <f>HYPERLINK("https://seichotoushi-hojo.jp/assets/pdf/koufu_3_4ji/outline_5.pdf","PDFを開く")</f>
        <v>PDFを開く</v>
      </c>
      <c r="O250" s="8" t="s">
        <v>2097</v>
      </c>
    </row>
    <row r="251" spans="1:15" ht="120" customHeight="1">
      <c r="A251" s="5" t="s">
        <v>2098</v>
      </c>
      <c r="B251" s="5" t="s">
        <v>1595</v>
      </c>
      <c r="C251" s="9" t="s">
        <v>2099</v>
      </c>
      <c r="D251" s="9" t="s">
        <v>9136</v>
      </c>
      <c r="E251" s="9"/>
      <c r="F251" s="9" t="s">
        <v>9137</v>
      </c>
      <c r="G251" s="9" t="s">
        <v>9138</v>
      </c>
      <c r="H251" s="9" t="s">
        <v>9139</v>
      </c>
      <c r="I251" s="9" t="s">
        <v>9140</v>
      </c>
      <c r="J251" s="9" t="s">
        <v>9141</v>
      </c>
      <c r="K251" s="9" t="s">
        <v>9142</v>
      </c>
      <c r="L251" s="9" t="s">
        <v>9143</v>
      </c>
      <c r="M251" s="9" t="s">
        <v>9144</v>
      </c>
      <c r="N251" s="9" t="str">
        <f>HYPERLINK("https://seichotoushi-hojo.jp/assets/pdf/koufu_3_4ji/outline_51.pdf","PDFを開く")</f>
        <v>PDFを開く</v>
      </c>
      <c r="O251" s="9" t="s">
        <v>2104</v>
      </c>
    </row>
    <row r="252" spans="1:15" ht="120" customHeight="1">
      <c r="A252" s="2" t="s">
        <v>2105</v>
      </c>
      <c r="B252" s="2" t="s">
        <v>1595</v>
      </c>
      <c r="C252" s="8" t="s">
        <v>2106</v>
      </c>
      <c r="D252" s="8" t="s">
        <v>9145</v>
      </c>
      <c r="E252" s="8"/>
      <c r="F252" s="8" t="s">
        <v>9146</v>
      </c>
      <c r="G252" s="8" t="s">
        <v>9147</v>
      </c>
      <c r="H252" s="8" t="s">
        <v>9148</v>
      </c>
      <c r="I252" s="8"/>
      <c r="J252" s="8"/>
      <c r="K252" s="8" t="s">
        <v>9149</v>
      </c>
      <c r="L252" s="8" t="s">
        <v>9150</v>
      </c>
      <c r="M252" s="8" t="s">
        <v>9151</v>
      </c>
      <c r="N252" s="8" t="str">
        <f>HYPERLINK("https://seichotoushi-hojo.jp/assets/pdf/koufu_3_4ji/outline_52.pdf","PDFを開く")</f>
        <v>PDFを開く</v>
      </c>
      <c r="O252" s="8" t="s">
        <v>2113</v>
      </c>
    </row>
    <row r="253" spans="1:15" ht="120" customHeight="1">
      <c r="A253" s="5" t="s">
        <v>2114</v>
      </c>
      <c r="B253" s="5" t="s">
        <v>1595</v>
      </c>
      <c r="C253" s="9" t="s">
        <v>2115</v>
      </c>
      <c r="D253" s="9" t="s">
        <v>9152</v>
      </c>
      <c r="E253" s="9"/>
      <c r="F253" s="9" t="s">
        <v>9153</v>
      </c>
      <c r="G253" s="9" t="s">
        <v>9154</v>
      </c>
      <c r="H253" s="9" t="s">
        <v>9155</v>
      </c>
      <c r="I253" s="9"/>
      <c r="J253" s="9" t="s">
        <v>9156</v>
      </c>
      <c r="K253" s="9" t="s">
        <v>9157</v>
      </c>
      <c r="L253" s="9" t="s">
        <v>9158</v>
      </c>
      <c r="M253" s="9" t="s">
        <v>9159</v>
      </c>
      <c r="N253" s="9" t="str">
        <f>HYPERLINK("https://seichotoushi-hojo.jp/assets/pdf/koufu_3_4ji/outline_58.pdf","PDFを開く")</f>
        <v>PDFを開く</v>
      </c>
      <c r="O253" s="9" t="s">
        <v>2122</v>
      </c>
    </row>
    <row r="254" spans="1:15" ht="120" customHeight="1">
      <c r="A254" s="2" t="s">
        <v>2123</v>
      </c>
      <c r="B254" s="2" t="s">
        <v>1595</v>
      </c>
      <c r="C254" s="8" t="s">
        <v>2124</v>
      </c>
      <c r="D254" s="8" t="s">
        <v>9160</v>
      </c>
      <c r="E254" s="8"/>
      <c r="F254" s="8" t="s">
        <v>9161</v>
      </c>
      <c r="G254" s="8" t="s">
        <v>9162</v>
      </c>
      <c r="H254" s="8" t="s">
        <v>9163</v>
      </c>
      <c r="I254" s="8"/>
      <c r="J254" s="8" t="s">
        <v>9164</v>
      </c>
      <c r="K254" s="8" t="s">
        <v>9165</v>
      </c>
      <c r="L254" s="8" t="s">
        <v>9166</v>
      </c>
      <c r="M254" s="8" t="s">
        <v>9167</v>
      </c>
      <c r="N254" s="8" t="str">
        <f>HYPERLINK("https://seichotoushi-hojo.jp/assets/pdf/koufu_3_4ji/outline_6.pdf","PDFを開く")</f>
        <v>PDFを開く</v>
      </c>
      <c r="O254" s="8" t="s">
        <v>2131</v>
      </c>
    </row>
    <row r="255" spans="1:15" ht="120" customHeight="1">
      <c r="A255" s="5" t="s">
        <v>2132</v>
      </c>
      <c r="B255" s="5" t="s">
        <v>1595</v>
      </c>
      <c r="C255" s="9" t="s">
        <v>2133</v>
      </c>
      <c r="D255" s="9" t="s">
        <v>9168</v>
      </c>
      <c r="E255" s="9"/>
      <c r="F255" s="9" t="s">
        <v>9169</v>
      </c>
      <c r="G255" s="9" t="s">
        <v>9170</v>
      </c>
      <c r="H255" s="9" t="s">
        <v>9171</v>
      </c>
      <c r="I255" s="9" t="s">
        <v>9172</v>
      </c>
      <c r="J255" s="9" t="s">
        <v>9173</v>
      </c>
      <c r="K255" s="9" t="s">
        <v>9174</v>
      </c>
      <c r="L255" s="9" t="s">
        <v>9175</v>
      </c>
      <c r="M255" s="9" t="s">
        <v>9176</v>
      </c>
      <c r="N255" s="9" t="str">
        <f>HYPERLINK("https://seichotoushi-hojo.jp/assets/pdf/koufu_3_4ji/outline_60.pdf","PDFを開く")</f>
        <v>PDFを開く</v>
      </c>
      <c r="O255" s="9" t="s">
        <v>2137</v>
      </c>
    </row>
    <row r="256" spans="1:15" ht="120" customHeight="1">
      <c r="A256" s="2" t="s">
        <v>2138</v>
      </c>
      <c r="B256" s="2" t="s">
        <v>1595</v>
      </c>
      <c r="C256" s="8" t="s">
        <v>2139</v>
      </c>
      <c r="D256" s="8" t="s">
        <v>9177</v>
      </c>
      <c r="E256" s="8"/>
      <c r="F256" s="8"/>
      <c r="G256" s="8" t="s">
        <v>9178</v>
      </c>
      <c r="H256" s="8" t="s">
        <v>9179</v>
      </c>
      <c r="I256" s="8"/>
      <c r="J256" s="8" t="s">
        <v>9180</v>
      </c>
      <c r="K256" s="8" t="s">
        <v>9181</v>
      </c>
      <c r="L256" s="8" t="s">
        <v>9182</v>
      </c>
      <c r="M256" s="8" t="s">
        <v>9183</v>
      </c>
      <c r="N256" s="8" t="str">
        <f>HYPERLINK("https://seichotoushi-hojo.jp/assets/pdf/koufu_3_4ji/outline_61.pdf","PDFを開く")</f>
        <v>PDFを開く</v>
      </c>
      <c r="O256" s="8" t="s">
        <v>2144</v>
      </c>
    </row>
    <row r="257" spans="1:15" ht="120" customHeight="1">
      <c r="A257" s="5" t="s">
        <v>2145</v>
      </c>
      <c r="B257" s="5" t="s">
        <v>1595</v>
      </c>
      <c r="C257" s="9" t="s">
        <v>2146</v>
      </c>
      <c r="D257" s="9" t="s">
        <v>9184</v>
      </c>
      <c r="E257" s="9"/>
      <c r="F257" s="9" t="s">
        <v>9185</v>
      </c>
      <c r="G257" s="9" t="s">
        <v>9186</v>
      </c>
      <c r="H257" s="9" t="s">
        <v>9187</v>
      </c>
      <c r="I257" s="9"/>
      <c r="J257" s="9" t="s">
        <v>9188</v>
      </c>
      <c r="K257" s="9" t="s">
        <v>9189</v>
      </c>
      <c r="L257" s="9" t="s">
        <v>9190</v>
      </c>
      <c r="M257" s="9" t="s">
        <v>9191</v>
      </c>
      <c r="N257" s="9" t="str">
        <f>HYPERLINK("https://seichotoushi-hojo.jp/assets/pdf/koufu_3_4ji/outline_62.pdf","PDFを開く")</f>
        <v>PDFを開く</v>
      </c>
      <c r="O257" s="9" t="s">
        <v>2151</v>
      </c>
    </row>
    <row r="258" spans="1:15" ht="120" customHeight="1">
      <c r="A258" s="2" t="s">
        <v>2152</v>
      </c>
      <c r="B258" s="2" t="s">
        <v>1595</v>
      </c>
      <c r="C258" s="8" t="s">
        <v>2153</v>
      </c>
      <c r="D258" s="8" t="s">
        <v>9192</v>
      </c>
      <c r="E258" s="8"/>
      <c r="F258" s="8" t="s">
        <v>9193</v>
      </c>
      <c r="G258" s="8" t="s">
        <v>9194</v>
      </c>
      <c r="H258" s="8" t="s">
        <v>9195</v>
      </c>
      <c r="I258" s="8"/>
      <c r="J258" s="8" t="s">
        <v>9196</v>
      </c>
      <c r="K258" s="8" t="s">
        <v>9197</v>
      </c>
      <c r="L258" s="8" t="s">
        <v>9198</v>
      </c>
      <c r="M258" s="8" t="s">
        <v>9199</v>
      </c>
      <c r="N258" s="8" t="str">
        <f>HYPERLINK("https://seichotoushi-hojo.jp/assets/pdf/koufu_3_4ji/outline_63.pdf","PDFを開く")</f>
        <v>PDFを開く</v>
      </c>
      <c r="O258" s="8" t="s">
        <v>2161</v>
      </c>
    </row>
    <row r="259" spans="1:15" ht="120" customHeight="1">
      <c r="A259" s="5" t="s">
        <v>2162</v>
      </c>
      <c r="B259" s="5" t="s">
        <v>1595</v>
      </c>
      <c r="C259" s="9" t="s">
        <v>2163</v>
      </c>
      <c r="D259" s="9" t="s">
        <v>9200</v>
      </c>
      <c r="E259" s="9"/>
      <c r="F259" s="9" t="s">
        <v>9201</v>
      </c>
      <c r="G259" s="9" t="s">
        <v>9202</v>
      </c>
      <c r="H259" s="9" t="s">
        <v>9203</v>
      </c>
      <c r="I259" s="9"/>
      <c r="J259" s="9" t="s">
        <v>2165</v>
      </c>
      <c r="K259" s="9" t="s">
        <v>9204</v>
      </c>
      <c r="L259" s="9" t="s">
        <v>9205</v>
      </c>
      <c r="M259" s="9" t="s">
        <v>9206</v>
      </c>
      <c r="N259" s="9" t="str">
        <f>HYPERLINK("https://seichotoushi-hojo.jp/assets/pdf/koufu_3_4ji/outline_65.pdf","PDFを開く")</f>
        <v>PDFを開く</v>
      </c>
      <c r="O259" s="9" t="s">
        <v>2167</v>
      </c>
    </row>
    <row r="260" spans="1:15" ht="120" customHeight="1">
      <c r="A260" s="2" t="s">
        <v>2168</v>
      </c>
      <c r="B260" s="2" t="s">
        <v>1595</v>
      </c>
      <c r="C260" s="8" t="s">
        <v>2169</v>
      </c>
      <c r="D260" s="8" t="s">
        <v>9207</v>
      </c>
      <c r="E260" s="8"/>
      <c r="F260" s="8" t="s">
        <v>9208</v>
      </c>
      <c r="G260" s="8" t="s">
        <v>9209</v>
      </c>
      <c r="H260" s="8" t="s">
        <v>9210</v>
      </c>
      <c r="I260" s="8"/>
      <c r="J260" s="8" t="s">
        <v>9211</v>
      </c>
      <c r="K260" s="8" t="s">
        <v>9212</v>
      </c>
      <c r="L260" s="8" t="s">
        <v>9213</v>
      </c>
      <c r="M260" s="8" t="s">
        <v>9214</v>
      </c>
      <c r="N260" s="8" t="str">
        <f>HYPERLINK("https://seichotoushi-hojo.jp/assets/pdf/koufu_3_4ji/outline_66.pdf","PDFを開く")</f>
        <v>PDFを開く</v>
      </c>
      <c r="O260" s="8" t="s">
        <v>2176</v>
      </c>
    </row>
    <row r="261" spans="1:15" ht="120" customHeight="1">
      <c r="A261" s="5" t="s">
        <v>2177</v>
      </c>
      <c r="B261" s="5" t="s">
        <v>1595</v>
      </c>
      <c r="C261" s="9" t="s">
        <v>2178</v>
      </c>
      <c r="D261" s="9" t="s">
        <v>9215</v>
      </c>
      <c r="E261" s="9"/>
      <c r="F261" s="9" t="s">
        <v>9216</v>
      </c>
      <c r="G261" s="9" t="s">
        <v>9217</v>
      </c>
      <c r="H261" s="9" t="s">
        <v>9218</v>
      </c>
      <c r="I261" s="9"/>
      <c r="J261" s="9" t="s">
        <v>9219</v>
      </c>
      <c r="K261" s="9" t="s">
        <v>9220</v>
      </c>
      <c r="L261" s="9" t="s">
        <v>9221</v>
      </c>
      <c r="M261" s="9" t="s">
        <v>9222</v>
      </c>
      <c r="N261" s="9" t="str">
        <f>HYPERLINK("https://seichotoushi-hojo.jp/assets/pdf/koufu_3_4ji/outline_67.pdf","PDFを開く")</f>
        <v>PDFを開く</v>
      </c>
      <c r="O261" s="9" t="s">
        <v>2184</v>
      </c>
    </row>
    <row r="262" spans="1:15" ht="120" customHeight="1">
      <c r="A262" s="2" t="s">
        <v>2185</v>
      </c>
      <c r="B262" s="2" t="s">
        <v>1595</v>
      </c>
      <c r="C262" s="8" t="s">
        <v>2186</v>
      </c>
      <c r="D262" s="8" t="s">
        <v>9223</v>
      </c>
      <c r="E262" s="8"/>
      <c r="F262" s="8" t="s">
        <v>9224</v>
      </c>
      <c r="G262" s="8" t="s">
        <v>9225</v>
      </c>
      <c r="H262" s="8" t="s">
        <v>9226</v>
      </c>
      <c r="I262" s="8"/>
      <c r="J262" s="8" t="s">
        <v>9227</v>
      </c>
      <c r="K262" s="8" t="s">
        <v>9228</v>
      </c>
      <c r="L262" s="8" t="s">
        <v>9229</v>
      </c>
      <c r="M262" s="8" t="s">
        <v>9230</v>
      </c>
      <c r="N262" s="8" t="str">
        <f>HYPERLINK("https://seichotoushi-hojo.jp/assets/pdf/koufu_3_4ji/outline_68.pdf","PDFを開く")</f>
        <v>PDFを開く</v>
      </c>
      <c r="O262" s="8" t="s">
        <v>2192</v>
      </c>
    </row>
    <row r="263" spans="1:15" ht="120" customHeight="1">
      <c r="A263" s="5" t="s">
        <v>2193</v>
      </c>
      <c r="B263" s="5" t="s">
        <v>1595</v>
      </c>
      <c r="C263" s="9" t="s">
        <v>2194</v>
      </c>
      <c r="D263" s="9" t="s">
        <v>9231</v>
      </c>
      <c r="E263" s="9"/>
      <c r="F263" s="9" t="s">
        <v>9232</v>
      </c>
      <c r="G263" s="9" t="s">
        <v>9233</v>
      </c>
      <c r="H263" s="9" t="s">
        <v>9234</v>
      </c>
      <c r="I263" s="9"/>
      <c r="J263" s="9" t="s">
        <v>9235</v>
      </c>
      <c r="K263" s="9" t="s">
        <v>9236</v>
      </c>
      <c r="L263" s="9" t="s">
        <v>9237</v>
      </c>
      <c r="M263" s="9" t="s">
        <v>9238</v>
      </c>
      <c r="N263" s="9" t="str">
        <f>HYPERLINK("https://seichotoushi-hojo.jp/assets/pdf/koufu_3_4ji/outline_69.pdf","PDFを開く")</f>
        <v>PDFを開く</v>
      </c>
      <c r="O263" s="9" t="s">
        <v>2199</v>
      </c>
    </row>
    <row r="264" spans="1:15" ht="120" customHeight="1">
      <c r="A264" s="2" t="s">
        <v>2200</v>
      </c>
      <c r="B264" s="2" t="s">
        <v>1595</v>
      </c>
      <c r="C264" s="8" t="s">
        <v>706</v>
      </c>
      <c r="D264" s="8" t="s">
        <v>9239</v>
      </c>
      <c r="E264" s="8"/>
      <c r="F264" s="8" t="s">
        <v>9240</v>
      </c>
      <c r="G264" s="8" t="s">
        <v>9241</v>
      </c>
      <c r="H264" s="8" t="s">
        <v>9242</v>
      </c>
      <c r="I264" s="8"/>
      <c r="J264" s="8" t="s">
        <v>2204</v>
      </c>
      <c r="K264" s="8" t="s">
        <v>9243</v>
      </c>
      <c r="L264" s="8" t="s">
        <v>9244</v>
      </c>
      <c r="M264" s="8" t="s">
        <v>9245</v>
      </c>
      <c r="N264" s="8" t="str">
        <f>HYPERLINK("https://seichotoushi-hojo.jp/assets/pdf/koufu_3_4ji/outline_70.pdf","PDFを開く")</f>
        <v>PDFを開く</v>
      </c>
      <c r="O264" s="8" t="s">
        <v>2206</v>
      </c>
    </row>
    <row r="265" spans="1:15" ht="120" customHeight="1">
      <c r="A265" s="5" t="s">
        <v>2207</v>
      </c>
      <c r="B265" s="5" t="s">
        <v>1595</v>
      </c>
      <c r="C265" s="9" t="s">
        <v>2208</v>
      </c>
      <c r="D265" s="9" t="s">
        <v>9246</v>
      </c>
      <c r="E265" s="9"/>
      <c r="F265" s="9" t="s">
        <v>9247</v>
      </c>
      <c r="G265" s="9" t="s">
        <v>9248</v>
      </c>
      <c r="H265" s="9" t="s">
        <v>9249</v>
      </c>
      <c r="I265" s="9"/>
      <c r="J265" s="9" t="s">
        <v>9250</v>
      </c>
      <c r="K265" s="9" t="s">
        <v>9251</v>
      </c>
      <c r="L265" s="9" t="s">
        <v>9252</v>
      </c>
      <c r="M265" s="9" t="s">
        <v>9253</v>
      </c>
      <c r="N265" s="9" t="str">
        <f>HYPERLINK("https://seichotoushi-hojo.jp/assets/pdf/koufu_3_4ji/outline_71.pdf","PDFを開く")</f>
        <v>PDFを開く</v>
      </c>
      <c r="O265" s="9" t="s">
        <v>2214</v>
      </c>
    </row>
    <row r="266" spans="1:15" ht="120" customHeight="1">
      <c r="A266" s="2" t="s">
        <v>2215</v>
      </c>
      <c r="B266" s="2" t="s">
        <v>1595</v>
      </c>
      <c r="C266" s="8" t="s">
        <v>2216</v>
      </c>
      <c r="D266" s="8" t="s">
        <v>9254</v>
      </c>
      <c r="E266" s="8" t="s">
        <v>9255</v>
      </c>
      <c r="F266" s="8" t="s">
        <v>9256</v>
      </c>
      <c r="G266" s="8" t="s">
        <v>9257</v>
      </c>
      <c r="H266" s="8" t="s">
        <v>9258</v>
      </c>
      <c r="I266" s="8"/>
      <c r="J266" s="8" t="s">
        <v>9259</v>
      </c>
      <c r="K266" s="8" t="s">
        <v>9260</v>
      </c>
      <c r="L266" s="8" t="s">
        <v>9261</v>
      </c>
      <c r="M266" s="8" t="s">
        <v>9262</v>
      </c>
      <c r="N266" s="8" t="str">
        <f>HYPERLINK("https://seichotoushi-hojo.jp/assets/pdf/koufu_3_4ji/outline_72.pdf","PDFを開く")</f>
        <v>PDFを開く</v>
      </c>
      <c r="O266" s="8" t="s">
        <v>2221</v>
      </c>
    </row>
    <row r="267" spans="1:15" ht="120" customHeight="1">
      <c r="A267" s="5" t="s">
        <v>2222</v>
      </c>
      <c r="B267" s="5" t="s">
        <v>1595</v>
      </c>
      <c r="C267" s="9" t="s">
        <v>2223</v>
      </c>
      <c r="D267" s="9" t="s">
        <v>9263</v>
      </c>
      <c r="E267" s="9"/>
      <c r="F267" s="9" t="s">
        <v>9264</v>
      </c>
      <c r="G267" s="9" t="s">
        <v>9265</v>
      </c>
      <c r="H267" s="9" t="s">
        <v>9266</v>
      </c>
      <c r="I267" s="9"/>
      <c r="J267" s="9" t="s">
        <v>9267</v>
      </c>
      <c r="K267" s="9" t="s">
        <v>9268</v>
      </c>
      <c r="L267" s="9" t="s">
        <v>9269</v>
      </c>
      <c r="M267" s="9" t="s">
        <v>9270</v>
      </c>
      <c r="N267" s="9" t="str">
        <f>HYPERLINK("https://seichotoushi-hojo.jp/assets/pdf/koufu_3_4ji/outline_73.pdf","PDFを開く")</f>
        <v>PDFを開く</v>
      </c>
      <c r="O267" s="9" t="s">
        <v>2227</v>
      </c>
    </row>
    <row r="268" spans="1:15" ht="120" customHeight="1">
      <c r="A268" s="2" t="s">
        <v>2228</v>
      </c>
      <c r="B268" s="2" t="s">
        <v>1595</v>
      </c>
      <c r="C268" s="8" t="s">
        <v>2229</v>
      </c>
      <c r="D268" s="8" t="s">
        <v>9271</v>
      </c>
      <c r="E268" s="8"/>
      <c r="F268" s="8" t="s">
        <v>9272</v>
      </c>
      <c r="G268" s="8" t="s">
        <v>9273</v>
      </c>
      <c r="H268" s="8" t="s">
        <v>9274</v>
      </c>
      <c r="I268" s="8" t="s">
        <v>9275</v>
      </c>
      <c r="J268" s="8" t="s">
        <v>2233</v>
      </c>
      <c r="K268" s="8" t="s">
        <v>9276</v>
      </c>
      <c r="L268" s="8" t="s">
        <v>9277</v>
      </c>
      <c r="M268" s="8" t="s">
        <v>9278</v>
      </c>
      <c r="N268" s="8" t="str">
        <f>HYPERLINK("https://seichotoushi-hojo.jp/assets/pdf/koufu_3_4ji/outline_74.pdf","PDFを開く")</f>
        <v>PDFを開く</v>
      </c>
      <c r="O268" s="8" t="s">
        <v>2236</v>
      </c>
    </row>
    <row r="269" spans="1:15" ht="120" customHeight="1">
      <c r="A269" s="5" t="s">
        <v>2237</v>
      </c>
      <c r="B269" s="5" t="s">
        <v>1595</v>
      </c>
      <c r="C269" s="9" t="s">
        <v>2238</v>
      </c>
      <c r="D269" s="9" t="s">
        <v>9279</v>
      </c>
      <c r="E269" s="9"/>
      <c r="F269" s="9" t="s">
        <v>9280</v>
      </c>
      <c r="G269" s="9" t="s">
        <v>9281</v>
      </c>
      <c r="H269" s="9" t="s">
        <v>9282</v>
      </c>
      <c r="I269" s="9"/>
      <c r="J269" s="9" t="s">
        <v>9283</v>
      </c>
      <c r="K269" s="9" t="s">
        <v>9284</v>
      </c>
      <c r="L269" s="9" t="s">
        <v>9285</v>
      </c>
      <c r="M269" s="9" t="s">
        <v>9286</v>
      </c>
      <c r="N269" s="9" t="str">
        <f>HYPERLINK("https://seichotoushi-hojo.jp/assets/pdf/koufu_3_4ji/outline_77.pdf","PDFを開く")</f>
        <v>PDFを開く</v>
      </c>
      <c r="O269" s="9" t="s">
        <v>2244</v>
      </c>
    </row>
    <row r="270" spans="1:15" ht="120" customHeight="1">
      <c r="A270" s="2" t="s">
        <v>2245</v>
      </c>
      <c r="B270" s="2" t="s">
        <v>1595</v>
      </c>
      <c r="C270" s="8" t="s">
        <v>2246</v>
      </c>
      <c r="D270" s="8" t="s">
        <v>9287</v>
      </c>
      <c r="E270" s="8"/>
      <c r="F270" s="8" t="s">
        <v>9288</v>
      </c>
      <c r="G270" s="8" t="s">
        <v>9289</v>
      </c>
      <c r="H270" s="8" t="s">
        <v>9290</v>
      </c>
      <c r="I270" s="8"/>
      <c r="J270" s="8" t="s">
        <v>9291</v>
      </c>
      <c r="K270" s="8" t="s">
        <v>9292</v>
      </c>
      <c r="L270" s="8" t="s">
        <v>9293</v>
      </c>
      <c r="M270" s="8" t="s">
        <v>9294</v>
      </c>
      <c r="N270" s="8" t="str">
        <f>HYPERLINK("https://seichotoushi-hojo.jp/assets/pdf/koufu_3_4ji/outline_78.pdf","PDFを開く")</f>
        <v>PDFを開く</v>
      </c>
      <c r="O270" s="8" t="s">
        <v>2251</v>
      </c>
    </row>
    <row r="271" spans="1:15" ht="120" customHeight="1">
      <c r="A271" s="5" t="s">
        <v>2252</v>
      </c>
      <c r="B271" s="5" t="s">
        <v>1595</v>
      </c>
      <c r="C271" s="9" t="s">
        <v>2253</v>
      </c>
      <c r="D271" s="9" t="s">
        <v>9295</v>
      </c>
      <c r="E271" s="9"/>
      <c r="F271" s="9" t="s">
        <v>9296</v>
      </c>
      <c r="G271" s="9" t="s">
        <v>9297</v>
      </c>
      <c r="H271" s="9" t="s">
        <v>9298</v>
      </c>
      <c r="I271" s="9"/>
      <c r="J271" s="9" t="s">
        <v>9299</v>
      </c>
      <c r="K271" s="9" t="s">
        <v>9300</v>
      </c>
      <c r="L271" s="9" t="s">
        <v>9301</v>
      </c>
      <c r="M271" s="9" t="s">
        <v>9302</v>
      </c>
      <c r="N271" s="9" t="str">
        <f>HYPERLINK("https://seichotoushi-hojo.jp/assets/pdf/koufu_3_4ji/outline_79.pdf","PDFを開く")</f>
        <v>PDFを開く</v>
      </c>
      <c r="O271" s="9" t="s">
        <v>2258</v>
      </c>
    </row>
    <row r="272" spans="1:15" ht="120" customHeight="1">
      <c r="A272" s="2" t="s">
        <v>2259</v>
      </c>
      <c r="B272" s="2" t="s">
        <v>1595</v>
      </c>
      <c r="C272" s="8" t="s">
        <v>2260</v>
      </c>
      <c r="D272" s="8" t="s">
        <v>9303</v>
      </c>
      <c r="E272" s="8"/>
      <c r="F272" s="8" t="s">
        <v>9304</v>
      </c>
      <c r="G272" s="8" t="s">
        <v>9305</v>
      </c>
      <c r="H272" s="8" t="s">
        <v>9306</v>
      </c>
      <c r="I272" s="8"/>
      <c r="J272" s="8" t="s">
        <v>9307</v>
      </c>
      <c r="K272" s="8" t="s">
        <v>9308</v>
      </c>
      <c r="L272" s="8" t="s">
        <v>9309</v>
      </c>
      <c r="M272" s="8" t="s">
        <v>9310</v>
      </c>
      <c r="N272" s="8" t="str">
        <f>HYPERLINK("https://seichotoushi-hojo.jp/assets/pdf/koufu_3_4ji/outline_8.pdf","PDFを開く")</f>
        <v>PDFを開く</v>
      </c>
      <c r="O272" s="8" t="s">
        <v>2265</v>
      </c>
    </row>
    <row r="273" spans="1:15" ht="120" customHeight="1">
      <c r="A273" s="5" t="s">
        <v>2266</v>
      </c>
      <c r="B273" s="5" t="s">
        <v>1595</v>
      </c>
      <c r="C273" s="9" t="s">
        <v>2267</v>
      </c>
      <c r="D273" s="9" t="s">
        <v>9311</v>
      </c>
      <c r="E273" s="9"/>
      <c r="F273" s="9" t="s">
        <v>9312</v>
      </c>
      <c r="G273" s="9" t="s">
        <v>9313</v>
      </c>
      <c r="H273" s="9" t="s">
        <v>9314</v>
      </c>
      <c r="I273" s="9"/>
      <c r="J273" s="9" t="s">
        <v>9315</v>
      </c>
      <c r="K273" s="9" t="s">
        <v>9316</v>
      </c>
      <c r="L273" s="9" t="s">
        <v>9317</v>
      </c>
      <c r="M273" s="9" t="s">
        <v>9318</v>
      </c>
      <c r="N273" s="9" t="str">
        <f>HYPERLINK("https://seichotoushi-hojo.jp/assets/pdf/koufu_3_4ji/outline_80.pdf","PDFを開く")</f>
        <v>PDFを開く</v>
      </c>
      <c r="O273" s="9" t="s">
        <v>2273</v>
      </c>
    </row>
    <row r="274" spans="1:15" ht="120" customHeight="1">
      <c r="A274" s="2" t="s">
        <v>2274</v>
      </c>
      <c r="B274" s="2" t="s">
        <v>1595</v>
      </c>
      <c r="C274" s="8" t="s">
        <v>2275</v>
      </c>
      <c r="D274" s="8" t="s">
        <v>9319</v>
      </c>
      <c r="E274" s="8"/>
      <c r="F274" s="8" t="s">
        <v>9320</v>
      </c>
      <c r="G274" s="8" t="s">
        <v>9321</v>
      </c>
      <c r="H274" s="8" t="s">
        <v>9322</v>
      </c>
      <c r="I274" s="8"/>
      <c r="J274" s="8" t="s">
        <v>9323</v>
      </c>
      <c r="K274" s="8" t="s">
        <v>9324</v>
      </c>
      <c r="L274" s="8" t="s">
        <v>9325</v>
      </c>
      <c r="M274" s="8" t="s">
        <v>9326</v>
      </c>
      <c r="N274" s="8" t="str">
        <f>HYPERLINK("https://seichotoushi-hojo.jp/assets/pdf/koufu_3_4ji/outline_81.pdf","PDFを開く")</f>
        <v>PDFを開く</v>
      </c>
      <c r="O274" s="8" t="s">
        <v>2282</v>
      </c>
    </row>
    <row r="275" spans="1:15" ht="120" customHeight="1">
      <c r="A275" s="5" t="s">
        <v>2283</v>
      </c>
      <c r="B275" s="5" t="s">
        <v>1595</v>
      </c>
      <c r="C275" s="9" t="s">
        <v>2284</v>
      </c>
      <c r="D275" s="9" t="s">
        <v>9327</v>
      </c>
      <c r="E275" s="9"/>
      <c r="F275" s="9" t="s">
        <v>9328</v>
      </c>
      <c r="G275" s="9" t="s">
        <v>9329</v>
      </c>
      <c r="H275" s="9" t="s">
        <v>9330</v>
      </c>
      <c r="I275" s="9"/>
      <c r="J275" s="9" t="s">
        <v>9331</v>
      </c>
      <c r="K275" s="9" t="s">
        <v>9332</v>
      </c>
      <c r="L275" s="9" t="s">
        <v>9333</v>
      </c>
      <c r="M275" s="9" t="s">
        <v>9334</v>
      </c>
      <c r="N275" s="9" t="str">
        <f>HYPERLINK("https://seichotoushi-hojo.jp/assets/pdf/koufu_3_4ji/outline_82.pdf","PDFを開く")</f>
        <v>PDFを開く</v>
      </c>
      <c r="O275" s="9" t="s">
        <v>2290</v>
      </c>
    </row>
    <row r="276" spans="1:15" ht="120" customHeight="1">
      <c r="A276" s="2" t="s">
        <v>2291</v>
      </c>
      <c r="B276" s="2" t="s">
        <v>1595</v>
      </c>
      <c r="C276" s="8" t="s">
        <v>2292</v>
      </c>
      <c r="D276" s="8" t="s">
        <v>9335</v>
      </c>
      <c r="E276" s="8"/>
      <c r="F276" s="8" t="s">
        <v>9336</v>
      </c>
      <c r="G276" s="8" t="s">
        <v>9337</v>
      </c>
      <c r="H276" s="8" t="s">
        <v>9338</v>
      </c>
      <c r="I276" s="8"/>
      <c r="J276" s="8" t="s">
        <v>9339</v>
      </c>
      <c r="K276" s="8" t="s">
        <v>9340</v>
      </c>
      <c r="L276" s="8" t="s">
        <v>9341</v>
      </c>
      <c r="M276" s="8" t="s">
        <v>9342</v>
      </c>
      <c r="N276" s="8" t="str">
        <f>HYPERLINK("https://seichotoushi-hojo.jp/assets/pdf/koufu_3_4ji/outline_83.pdf","PDFを開く")</f>
        <v>PDFを開く</v>
      </c>
      <c r="O276" s="8" t="s">
        <v>2297</v>
      </c>
    </row>
    <row r="277" spans="1:15" ht="120" customHeight="1">
      <c r="A277" s="5" t="s">
        <v>2298</v>
      </c>
      <c r="B277" s="5" t="s">
        <v>1595</v>
      </c>
      <c r="C277" s="9" t="s">
        <v>2299</v>
      </c>
      <c r="D277" s="9" t="s">
        <v>9343</v>
      </c>
      <c r="E277" s="9"/>
      <c r="F277" s="9" t="s">
        <v>9344</v>
      </c>
      <c r="G277" s="9" t="s">
        <v>9345</v>
      </c>
      <c r="H277" s="9" t="s">
        <v>9346</v>
      </c>
      <c r="I277" s="9"/>
      <c r="J277" s="9"/>
      <c r="K277" s="9" t="s">
        <v>9347</v>
      </c>
      <c r="L277" s="9" t="s">
        <v>9348</v>
      </c>
      <c r="M277" s="9" t="s">
        <v>9349</v>
      </c>
      <c r="N277" s="9" t="str">
        <f>HYPERLINK("https://seichotoushi-hojo.jp/assets/pdf/koufu_3_4ji/outline_84.pdf","PDFを開く")</f>
        <v>PDFを開く</v>
      </c>
      <c r="O277" s="9" t="s">
        <v>2304</v>
      </c>
    </row>
    <row r="278" spans="1:15" ht="120" customHeight="1">
      <c r="A278" s="2" t="s">
        <v>2305</v>
      </c>
      <c r="B278" s="2" t="s">
        <v>1595</v>
      </c>
      <c r="C278" s="8" t="s">
        <v>2306</v>
      </c>
      <c r="D278" s="8" t="s">
        <v>9350</v>
      </c>
      <c r="E278" s="8"/>
      <c r="F278" s="8" t="s">
        <v>9351</v>
      </c>
      <c r="G278" s="8" t="s">
        <v>9352</v>
      </c>
      <c r="H278" s="8" t="s">
        <v>9353</v>
      </c>
      <c r="I278" s="8"/>
      <c r="J278" s="8" t="s">
        <v>9354</v>
      </c>
      <c r="K278" s="8" t="s">
        <v>9355</v>
      </c>
      <c r="L278" s="8" t="s">
        <v>9356</v>
      </c>
      <c r="M278" s="8" t="s">
        <v>9357</v>
      </c>
      <c r="N278" s="8" t="str">
        <f>HYPERLINK("https://seichotoushi-hojo.jp/assets/pdf/koufu_3_4ji/outline_85.pdf","PDFを開く")</f>
        <v>PDFを開く</v>
      </c>
      <c r="O278" s="8" t="s">
        <v>2312</v>
      </c>
    </row>
    <row r="279" spans="1:15" ht="120" customHeight="1">
      <c r="A279" s="5" t="s">
        <v>2313</v>
      </c>
      <c r="B279" s="5" t="s">
        <v>1595</v>
      </c>
      <c r="C279" s="9" t="s">
        <v>2314</v>
      </c>
      <c r="D279" s="9" t="s">
        <v>9358</v>
      </c>
      <c r="E279" s="9"/>
      <c r="F279" s="9" t="s">
        <v>9359</v>
      </c>
      <c r="G279" s="9" t="s">
        <v>9360</v>
      </c>
      <c r="H279" s="9" t="s">
        <v>9361</v>
      </c>
      <c r="I279" s="9"/>
      <c r="J279" s="9"/>
      <c r="K279" s="9" t="s">
        <v>9362</v>
      </c>
      <c r="L279" s="9" t="s">
        <v>9363</v>
      </c>
      <c r="M279" s="9" t="s">
        <v>9364</v>
      </c>
      <c r="N279" s="9" t="str">
        <f>HYPERLINK("https://seichotoushi-hojo.jp/assets/pdf/koufu_3_4ji/outline_86.pdf","PDFを開く")</f>
        <v>PDFを開く</v>
      </c>
      <c r="O279" s="9" t="s">
        <v>2319</v>
      </c>
    </row>
    <row r="280" spans="1:15" ht="120" customHeight="1">
      <c r="A280" s="2" t="s">
        <v>2320</v>
      </c>
      <c r="B280" s="2" t="s">
        <v>1595</v>
      </c>
      <c r="C280" s="8" t="s">
        <v>2321</v>
      </c>
      <c r="D280" s="8" t="s">
        <v>9365</v>
      </c>
      <c r="E280" s="8"/>
      <c r="F280" s="8" t="s">
        <v>9366</v>
      </c>
      <c r="G280" s="8" t="s">
        <v>9367</v>
      </c>
      <c r="H280" s="8" t="s">
        <v>9368</v>
      </c>
      <c r="I280" s="8"/>
      <c r="J280" s="8" t="s">
        <v>9369</v>
      </c>
      <c r="K280" s="8" t="s">
        <v>9370</v>
      </c>
      <c r="L280" s="8" t="s">
        <v>9371</v>
      </c>
      <c r="M280" s="8" t="s">
        <v>9372</v>
      </c>
      <c r="N280" s="8" t="str">
        <f>HYPERLINK("https://seichotoushi-hojo.jp/assets/pdf/koufu_3_4ji/outline_87.pdf","PDFを開く")</f>
        <v>PDFを開く</v>
      </c>
      <c r="O280" s="8" t="s">
        <v>2327</v>
      </c>
    </row>
    <row r="281" spans="1:15" ht="120" customHeight="1">
      <c r="A281" s="5" t="s">
        <v>2328</v>
      </c>
      <c r="B281" s="5" t="s">
        <v>1595</v>
      </c>
      <c r="C281" s="9" t="s">
        <v>2329</v>
      </c>
      <c r="D281" s="9" t="s">
        <v>9373</v>
      </c>
      <c r="E281" s="9"/>
      <c r="F281" s="9" t="s">
        <v>9374</v>
      </c>
      <c r="G281" s="9" t="s">
        <v>9375</v>
      </c>
      <c r="H281" s="9" t="s">
        <v>9376</v>
      </c>
      <c r="I281" s="9"/>
      <c r="J281" s="9" t="s">
        <v>9377</v>
      </c>
      <c r="K281" s="9" t="s">
        <v>9378</v>
      </c>
      <c r="L281" s="9" t="s">
        <v>9379</v>
      </c>
      <c r="M281" s="9" t="s">
        <v>9380</v>
      </c>
      <c r="N281" s="9" t="str">
        <f>HYPERLINK("https://seichotoushi-hojo.jp/assets/pdf/koufu_3_4ji/outline_88.pdf","PDFを開く")</f>
        <v>PDFを開く</v>
      </c>
      <c r="O281" s="9" t="s">
        <v>2335</v>
      </c>
    </row>
    <row r="282" spans="1:15" ht="120" customHeight="1">
      <c r="A282" s="2" t="s">
        <v>2336</v>
      </c>
      <c r="B282" s="2" t="s">
        <v>1595</v>
      </c>
      <c r="C282" s="8" t="s">
        <v>2337</v>
      </c>
      <c r="D282" s="8" t="s">
        <v>9381</v>
      </c>
      <c r="E282" s="8"/>
      <c r="F282" s="8" t="s">
        <v>9382</v>
      </c>
      <c r="G282" s="8" t="s">
        <v>9383</v>
      </c>
      <c r="H282" s="8" t="s">
        <v>9384</v>
      </c>
      <c r="I282" s="8"/>
      <c r="J282" s="8" t="s">
        <v>9385</v>
      </c>
      <c r="K282" s="8" t="s">
        <v>9386</v>
      </c>
      <c r="L282" s="8" t="s">
        <v>9387</v>
      </c>
      <c r="M282" s="8" t="s">
        <v>9388</v>
      </c>
      <c r="N282" s="8" t="str">
        <f>HYPERLINK("https://seichotoushi-hojo.jp/assets/pdf/koufu_3_4ji/outline_89.pdf","PDFを開く")</f>
        <v>PDFを開く</v>
      </c>
      <c r="O282" s="8" t="s">
        <v>2344</v>
      </c>
    </row>
    <row r="283" spans="1:15" ht="120" customHeight="1">
      <c r="A283" s="5" t="s">
        <v>2345</v>
      </c>
      <c r="B283" s="5" t="s">
        <v>1595</v>
      </c>
      <c r="C283" s="9" t="s">
        <v>2346</v>
      </c>
      <c r="D283" s="9" t="s">
        <v>9389</v>
      </c>
      <c r="E283" s="9"/>
      <c r="F283" s="9" t="s">
        <v>9390</v>
      </c>
      <c r="G283" s="9" t="s">
        <v>9391</v>
      </c>
      <c r="H283" s="9" t="s">
        <v>9392</v>
      </c>
      <c r="I283" s="9"/>
      <c r="J283" s="9" t="s">
        <v>9393</v>
      </c>
      <c r="K283" s="9" t="s">
        <v>9394</v>
      </c>
      <c r="L283" s="9" t="s">
        <v>9395</v>
      </c>
      <c r="M283" s="9" t="s">
        <v>9396</v>
      </c>
      <c r="N283" s="9" t="str">
        <f>HYPERLINK("https://seichotoushi-hojo.jp/assets/pdf/koufu_3_4ji/outline_9.pdf","PDFを開く")</f>
        <v>PDFを開く</v>
      </c>
      <c r="O283" s="9" t="s">
        <v>2352</v>
      </c>
    </row>
    <row r="284" spans="1:15" ht="120" customHeight="1">
      <c r="A284" s="2" t="s">
        <v>2353</v>
      </c>
      <c r="B284" s="2" t="s">
        <v>1595</v>
      </c>
      <c r="C284" s="8" t="s">
        <v>2354</v>
      </c>
      <c r="D284" s="8" t="s">
        <v>9397</v>
      </c>
      <c r="E284" s="8"/>
      <c r="F284" s="8" t="s">
        <v>9398</v>
      </c>
      <c r="G284" s="8" t="s">
        <v>9399</v>
      </c>
      <c r="H284" s="8" t="s">
        <v>9400</v>
      </c>
      <c r="I284" s="8"/>
      <c r="J284" s="8" t="s">
        <v>9401</v>
      </c>
      <c r="K284" s="8" t="s">
        <v>9402</v>
      </c>
      <c r="L284" s="8" t="s">
        <v>9403</v>
      </c>
      <c r="M284" s="8" t="s">
        <v>9404</v>
      </c>
      <c r="N284" s="8" t="str">
        <f>HYPERLINK("https://seichotoushi-hojo.jp/assets/pdf/koufu_3_4ji/outline_90.pdf","PDFを開く")</f>
        <v>PDFを開く</v>
      </c>
      <c r="O284" s="8" t="s">
        <v>2361</v>
      </c>
    </row>
    <row r="285" spans="1:15" ht="120" customHeight="1">
      <c r="A285" s="5" t="s">
        <v>2362</v>
      </c>
      <c r="B285" s="5" t="s">
        <v>1595</v>
      </c>
      <c r="C285" s="9" t="s">
        <v>2363</v>
      </c>
      <c r="D285" s="9" t="s">
        <v>9405</v>
      </c>
      <c r="E285" s="9"/>
      <c r="F285" s="9" t="s">
        <v>9406</v>
      </c>
      <c r="G285" s="9" t="s">
        <v>9407</v>
      </c>
      <c r="H285" s="9" t="s">
        <v>9408</v>
      </c>
      <c r="I285" s="9"/>
      <c r="J285" s="9" t="s">
        <v>9409</v>
      </c>
      <c r="K285" s="9" t="s">
        <v>9410</v>
      </c>
      <c r="L285" s="9" t="s">
        <v>9411</v>
      </c>
      <c r="M285" s="9" t="s">
        <v>9412</v>
      </c>
      <c r="N285" s="9" t="str">
        <f>HYPERLINK("https://seichotoushi-hojo.jp/assets/pdf/koufu_3_4ji/outline_91.pdf","PDFを開く")</f>
        <v>PDFを開く</v>
      </c>
      <c r="O285" s="9" t="s">
        <v>2371</v>
      </c>
    </row>
    <row r="286" spans="1:15" ht="120" customHeight="1">
      <c r="A286" s="2" t="s">
        <v>2372</v>
      </c>
      <c r="B286" s="2" t="s">
        <v>1595</v>
      </c>
      <c r="C286" s="8" t="s">
        <v>2373</v>
      </c>
      <c r="D286" s="8" t="s">
        <v>9413</v>
      </c>
      <c r="E286" s="8"/>
      <c r="F286" s="8" t="s">
        <v>9414</v>
      </c>
      <c r="G286" s="8" t="s">
        <v>9415</v>
      </c>
      <c r="H286" s="8" t="s">
        <v>9416</v>
      </c>
      <c r="I286" s="8"/>
      <c r="J286" s="8" t="s">
        <v>9417</v>
      </c>
      <c r="K286" s="8" t="s">
        <v>9418</v>
      </c>
      <c r="L286" s="8" t="s">
        <v>9419</v>
      </c>
      <c r="M286" s="8" t="s">
        <v>9420</v>
      </c>
      <c r="N286" s="8" t="str">
        <f>HYPERLINK("https://seichotoushi-hojo.jp/assets/pdf/koufu_3_4ji/outline_93.pdf","PDFを開く")</f>
        <v>PDFを開く</v>
      </c>
      <c r="O286" s="8" t="s">
        <v>2379</v>
      </c>
    </row>
    <row r="287" spans="1:15" ht="120" customHeight="1">
      <c r="A287" s="5" t="s">
        <v>2380</v>
      </c>
      <c r="B287" s="5" t="s">
        <v>1595</v>
      </c>
      <c r="C287" s="9" t="s">
        <v>2381</v>
      </c>
      <c r="D287" s="9" t="s">
        <v>9421</v>
      </c>
      <c r="E287" s="9"/>
      <c r="F287" s="9" t="s">
        <v>9422</v>
      </c>
      <c r="G287" s="9" t="s">
        <v>9423</v>
      </c>
      <c r="H287" s="9" t="s">
        <v>9424</v>
      </c>
      <c r="I287" s="9"/>
      <c r="J287" s="9" t="s">
        <v>9425</v>
      </c>
      <c r="K287" s="9" t="s">
        <v>9426</v>
      </c>
      <c r="L287" s="9" t="s">
        <v>9427</v>
      </c>
      <c r="M287" s="9" t="s">
        <v>9428</v>
      </c>
      <c r="N287" s="9" t="str">
        <f>HYPERLINK("https://seichotoushi-hojo.jp/assets/pdf/koufu_3_4ji/outline_94.pdf","PDFを開く")</f>
        <v>PDFを開く</v>
      </c>
      <c r="O287" s="9" t="s">
        <v>2388</v>
      </c>
    </row>
    <row r="288" spans="1:15" ht="120" customHeight="1">
      <c r="A288" s="2" t="s">
        <v>2389</v>
      </c>
      <c r="B288" s="2" t="s">
        <v>1595</v>
      </c>
      <c r="C288" s="8" t="s">
        <v>2390</v>
      </c>
      <c r="D288" s="8" t="s">
        <v>9429</v>
      </c>
      <c r="E288" s="8"/>
      <c r="F288" s="8" t="s">
        <v>9430</v>
      </c>
      <c r="G288" s="8" t="s">
        <v>9431</v>
      </c>
      <c r="H288" s="8" t="s">
        <v>9432</v>
      </c>
      <c r="I288" s="8"/>
      <c r="J288" s="8" t="s">
        <v>9433</v>
      </c>
      <c r="K288" s="8" t="s">
        <v>9434</v>
      </c>
      <c r="L288" s="8" t="s">
        <v>9435</v>
      </c>
      <c r="M288" s="8" t="s">
        <v>9436</v>
      </c>
      <c r="N288" s="8" t="str">
        <f>HYPERLINK("https://seichotoushi-hojo.jp/assets/pdf/koufu_3_4ji/outline_95.pdf","PDFを開く")</f>
        <v>PDFを開く</v>
      </c>
      <c r="O288" s="8" t="s">
        <v>2395</v>
      </c>
    </row>
    <row r="289" spans="1:15" ht="120" customHeight="1">
      <c r="A289" s="5" t="s">
        <v>2396</v>
      </c>
      <c r="B289" s="5" t="s">
        <v>1595</v>
      </c>
      <c r="C289" s="9" t="s">
        <v>2397</v>
      </c>
      <c r="D289" s="9" t="s">
        <v>9437</v>
      </c>
      <c r="E289" s="9"/>
      <c r="F289" s="9" t="s">
        <v>9438</v>
      </c>
      <c r="G289" s="9" t="s">
        <v>9439</v>
      </c>
      <c r="H289" s="9" t="s">
        <v>9440</v>
      </c>
      <c r="I289" s="9"/>
      <c r="J289" s="9" t="s">
        <v>9441</v>
      </c>
      <c r="K289" s="9" t="s">
        <v>9442</v>
      </c>
      <c r="L289" s="9" t="s">
        <v>9443</v>
      </c>
      <c r="M289" s="9" t="s">
        <v>9444</v>
      </c>
      <c r="N289" s="9" t="str">
        <f>HYPERLINK("https://seichotoushi-hojo.jp/assets/pdf/koufu_3_4ji/outline_96.pdf","PDFを開く")</f>
        <v>PDFを開く</v>
      </c>
      <c r="O289" s="9" t="s">
        <v>2403</v>
      </c>
    </row>
    <row r="290" spans="1:15" ht="120" customHeight="1">
      <c r="A290" s="2" t="s">
        <v>2404</v>
      </c>
      <c r="B290" s="2" t="s">
        <v>1595</v>
      </c>
      <c r="C290" s="8" t="s">
        <v>2405</v>
      </c>
      <c r="D290" s="8" t="s">
        <v>9445</v>
      </c>
      <c r="E290" s="8"/>
      <c r="F290" s="8" t="s">
        <v>9446</v>
      </c>
      <c r="G290" s="8" t="s">
        <v>9447</v>
      </c>
      <c r="H290" s="8" t="s">
        <v>9448</v>
      </c>
      <c r="I290" s="8"/>
      <c r="J290" s="8" t="s">
        <v>9449</v>
      </c>
      <c r="K290" s="8" t="s">
        <v>9450</v>
      </c>
      <c r="L290" s="8" t="s">
        <v>9451</v>
      </c>
      <c r="M290" s="8" t="s">
        <v>9452</v>
      </c>
      <c r="N290" s="8" t="str">
        <f>HYPERLINK("https://seichotoushi-hojo.jp/assets/pdf/koufu_3_4ji/outline_97.pdf","PDFを開く")</f>
        <v>PDFを開く</v>
      </c>
      <c r="O290" s="8" t="s">
        <v>2411</v>
      </c>
    </row>
    <row r="291" spans="1:15" ht="120" customHeight="1">
      <c r="A291" s="5" t="s">
        <v>2412</v>
      </c>
      <c r="B291" s="5" t="s">
        <v>1595</v>
      </c>
      <c r="C291" s="9" t="s">
        <v>2413</v>
      </c>
      <c r="D291" s="9" t="s">
        <v>9453</v>
      </c>
      <c r="E291" s="9"/>
      <c r="F291" s="9"/>
      <c r="G291" s="9" t="s">
        <v>9454</v>
      </c>
      <c r="H291" s="9" t="s">
        <v>9455</v>
      </c>
      <c r="I291" s="9"/>
      <c r="J291" s="9" t="s">
        <v>9456</v>
      </c>
      <c r="K291" s="9" t="s">
        <v>9457</v>
      </c>
      <c r="L291" s="9" t="s">
        <v>9458</v>
      </c>
      <c r="M291" s="9" t="s">
        <v>9459</v>
      </c>
      <c r="N291" s="9" t="str">
        <f>HYPERLINK("https://seichotoushi-hojo.jp/assets/pdf/koufu_3_4ji/outline_98.pdf","PDFを開く")</f>
        <v>PDFを開く</v>
      </c>
      <c r="O291" s="9" t="s">
        <v>2419</v>
      </c>
    </row>
    <row r="292" spans="1:15" ht="120" customHeight="1">
      <c r="A292" s="2" t="s">
        <v>2420</v>
      </c>
      <c r="B292" s="2" t="s">
        <v>1595</v>
      </c>
      <c r="C292" s="8" t="s">
        <v>2421</v>
      </c>
      <c r="D292" s="8" t="s">
        <v>9460</v>
      </c>
      <c r="E292" s="8"/>
      <c r="F292" s="8" t="s">
        <v>9461</v>
      </c>
      <c r="G292" s="8" t="s">
        <v>9462</v>
      </c>
      <c r="H292" s="8" t="s">
        <v>9463</v>
      </c>
      <c r="I292" s="8" t="s">
        <v>9464</v>
      </c>
      <c r="J292" s="8" t="s">
        <v>9465</v>
      </c>
      <c r="K292" s="8" t="s">
        <v>9466</v>
      </c>
      <c r="L292" s="8" t="s">
        <v>9467</v>
      </c>
      <c r="M292" s="8" t="s">
        <v>9468</v>
      </c>
      <c r="N292" s="8" t="str">
        <f>HYPERLINK("https://seichotoushi-hojo.jp/assets/pdf/koufu_3_4ji/outline_99.pdf","PDFを開く")</f>
        <v>PDFを開く</v>
      </c>
      <c r="O292" s="8" t="s">
        <v>2427</v>
      </c>
    </row>
    <row r="293" spans="1:15" ht="120" customHeight="1">
      <c r="A293" s="5" t="s">
        <v>2429</v>
      </c>
      <c r="B293" s="5" t="s">
        <v>2430</v>
      </c>
      <c r="C293" s="9" t="s">
        <v>2431</v>
      </c>
      <c r="D293" s="9" t="s">
        <v>9469</v>
      </c>
      <c r="E293" s="9" t="s">
        <v>9470</v>
      </c>
      <c r="F293" s="9" t="s">
        <v>9471</v>
      </c>
      <c r="G293" s="9" t="s">
        <v>9472</v>
      </c>
      <c r="H293" s="9" t="s">
        <v>9473</v>
      </c>
      <c r="I293" s="9"/>
      <c r="J293" s="9" t="s">
        <v>9474</v>
      </c>
      <c r="K293" s="9" t="s">
        <v>9475</v>
      </c>
      <c r="L293" s="9" t="s">
        <v>9476</v>
      </c>
      <c r="M293" s="9" t="s">
        <v>9477</v>
      </c>
      <c r="N293" s="9" t="str">
        <f>HYPERLINK("https://seichotoushi-hojo.jp/assets/pdf/koufu_3_4ji/outline_113.pdf","PDFを開く")</f>
        <v>PDFを開く</v>
      </c>
      <c r="O293" s="9" t="s">
        <v>2436</v>
      </c>
    </row>
    <row r="294" spans="1:15" ht="120" customHeight="1">
      <c r="A294" s="2" t="s">
        <v>2437</v>
      </c>
      <c r="B294" s="2" t="s">
        <v>2430</v>
      </c>
      <c r="C294" s="8" t="s">
        <v>2438</v>
      </c>
      <c r="D294" s="8" t="s">
        <v>9478</v>
      </c>
      <c r="E294" s="8"/>
      <c r="F294" s="8" t="s">
        <v>9479</v>
      </c>
      <c r="G294" s="8" t="s">
        <v>9480</v>
      </c>
      <c r="H294" s="8" t="s">
        <v>9481</v>
      </c>
      <c r="I294" s="8"/>
      <c r="J294" s="8" t="s">
        <v>9482</v>
      </c>
      <c r="K294" s="8" t="s">
        <v>9483</v>
      </c>
      <c r="L294" s="8" t="s">
        <v>9484</v>
      </c>
      <c r="M294" s="8" t="s">
        <v>9485</v>
      </c>
      <c r="N294" s="8" t="str">
        <f>HYPERLINK("https://seichotoushi-hojo.jp/assets/pdf/koufu_3_4ji/outline_115.pdf","PDFを開く")</f>
        <v>PDFを開く</v>
      </c>
      <c r="O294" s="8" t="s">
        <v>2443</v>
      </c>
    </row>
    <row r="295" spans="1:15" ht="120" customHeight="1">
      <c r="A295" s="5" t="s">
        <v>2444</v>
      </c>
      <c r="B295" s="5" t="s">
        <v>2430</v>
      </c>
      <c r="C295" s="9" t="s">
        <v>2445</v>
      </c>
      <c r="D295" s="9" t="s">
        <v>9486</v>
      </c>
      <c r="E295" s="9"/>
      <c r="F295" s="9" t="s">
        <v>9487</v>
      </c>
      <c r="G295" s="9" t="s">
        <v>9488</v>
      </c>
      <c r="H295" s="9" t="s">
        <v>9489</v>
      </c>
      <c r="I295" s="9"/>
      <c r="J295" s="9" t="s">
        <v>2448</v>
      </c>
      <c r="K295" s="9" t="s">
        <v>9490</v>
      </c>
      <c r="L295" s="9" t="s">
        <v>9491</v>
      </c>
      <c r="M295" s="9" t="s">
        <v>9492</v>
      </c>
      <c r="N295" s="9" t="str">
        <f>HYPERLINK("https://seichotoushi-hojo.jp/assets/pdf/koufu_3_4ji/outline_116.pdf","PDFを開く")</f>
        <v>PDFを開く</v>
      </c>
      <c r="O295" s="9" t="s">
        <v>2450</v>
      </c>
    </row>
    <row r="296" spans="1:15" ht="120" customHeight="1">
      <c r="A296" s="2" t="s">
        <v>2451</v>
      </c>
      <c r="B296" s="2" t="s">
        <v>2430</v>
      </c>
      <c r="C296" s="8" t="s">
        <v>2452</v>
      </c>
      <c r="D296" s="8" t="s">
        <v>9493</v>
      </c>
      <c r="E296" s="8"/>
      <c r="F296" s="8"/>
      <c r="G296" s="8" t="s">
        <v>9494</v>
      </c>
      <c r="H296" s="8" t="s">
        <v>9495</v>
      </c>
      <c r="I296" s="8"/>
      <c r="J296" s="8" t="s">
        <v>9496</v>
      </c>
      <c r="K296" s="8" t="s">
        <v>9497</v>
      </c>
      <c r="L296" s="8" t="s">
        <v>9498</v>
      </c>
      <c r="M296" s="8" t="s">
        <v>9499</v>
      </c>
      <c r="N296" s="8" t="str">
        <f>HYPERLINK("https://seichotoushi-hojo.jp/assets/pdf/koufu_3_4ji/outline_117.pdf","PDFを開く")</f>
        <v>PDFを開く</v>
      </c>
      <c r="O296" s="8" t="s">
        <v>2458</v>
      </c>
    </row>
    <row r="297" spans="1:15" ht="120" customHeight="1">
      <c r="A297" s="5" t="s">
        <v>2459</v>
      </c>
      <c r="B297" s="5" t="s">
        <v>2430</v>
      </c>
      <c r="C297" s="9" t="s">
        <v>2460</v>
      </c>
      <c r="D297" s="9" t="s">
        <v>9500</v>
      </c>
      <c r="E297" s="9"/>
      <c r="F297" s="9" t="s">
        <v>9501</v>
      </c>
      <c r="G297" s="9" t="s">
        <v>9502</v>
      </c>
      <c r="H297" s="9" t="s">
        <v>9503</v>
      </c>
      <c r="I297" s="9"/>
      <c r="J297" s="9" t="s">
        <v>9504</v>
      </c>
      <c r="K297" s="9" t="s">
        <v>9505</v>
      </c>
      <c r="L297" s="9" t="s">
        <v>9506</v>
      </c>
      <c r="M297" s="9" t="s">
        <v>9507</v>
      </c>
      <c r="N297" s="9" t="str">
        <f>HYPERLINK("https://seichotoushi-hojo.jp/assets/pdf/koufu_3_4ji/outline_118.pdf","PDFを開く")</f>
        <v>PDFを開く</v>
      </c>
      <c r="O297" s="9" t="s">
        <v>2466</v>
      </c>
    </row>
    <row r="298" spans="1:15" ht="120" customHeight="1">
      <c r="A298" s="2" t="s">
        <v>2467</v>
      </c>
      <c r="B298" s="2" t="s">
        <v>2430</v>
      </c>
      <c r="C298" s="8" t="s">
        <v>2468</v>
      </c>
      <c r="D298" s="8" t="s">
        <v>9508</v>
      </c>
      <c r="E298" s="8" t="s">
        <v>9509</v>
      </c>
      <c r="F298" s="8" t="s">
        <v>9510</v>
      </c>
      <c r="G298" s="8" t="s">
        <v>9511</v>
      </c>
      <c r="H298" s="8" t="s">
        <v>9512</v>
      </c>
      <c r="I298" s="8"/>
      <c r="J298" s="8" t="s">
        <v>2471</v>
      </c>
      <c r="K298" s="8" t="s">
        <v>9513</v>
      </c>
      <c r="L298" s="8" t="s">
        <v>9514</v>
      </c>
      <c r="M298" s="8" t="s">
        <v>9515</v>
      </c>
      <c r="N298" s="8" t="str">
        <f>HYPERLINK("https://seichotoushi-hojo.jp/assets/pdf/koufu_3_4ji/outline_119.pdf","PDFを開く")</f>
        <v>PDFを開く</v>
      </c>
      <c r="O298" s="8" t="s">
        <v>2474</v>
      </c>
    </row>
    <row r="299" spans="1:15" ht="120" customHeight="1">
      <c r="A299" s="5" t="s">
        <v>2475</v>
      </c>
      <c r="B299" s="5" t="s">
        <v>2430</v>
      </c>
      <c r="C299" s="9" t="s">
        <v>2476</v>
      </c>
      <c r="D299" s="9" t="s">
        <v>9516</v>
      </c>
      <c r="E299" s="9"/>
      <c r="F299" s="9" t="s">
        <v>9517</v>
      </c>
      <c r="G299" s="9" t="s">
        <v>9518</v>
      </c>
      <c r="H299" s="9" t="s">
        <v>9519</v>
      </c>
      <c r="I299" s="9"/>
      <c r="J299" s="9" t="s">
        <v>2480</v>
      </c>
      <c r="K299" s="9" t="s">
        <v>9520</v>
      </c>
      <c r="L299" s="9" t="s">
        <v>9521</v>
      </c>
      <c r="M299" s="9" t="s">
        <v>9522</v>
      </c>
      <c r="N299" s="9" t="str">
        <f>HYPERLINK("https://seichotoushi-hojo.jp/assets/pdf/koufu_3_4ji/outline_120.pdf","PDFを開く")</f>
        <v>PDFを開く</v>
      </c>
      <c r="O299" s="9" t="s">
        <v>2482</v>
      </c>
    </row>
    <row r="300" spans="1:15" ht="120" customHeight="1">
      <c r="A300" s="2" t="s">
        <v>2483</v>
      </c>
      <c r="B300" s="2" t="s">
        <v>2430</v>
      </c>
      <c r="C300" s="8" t="s">
        <v>2484</v>
      </c>
      <c r="D300" s="8" t="s">
        <v>9523</v>
      </c>
      <c r="E300" s="8"/>
      <c r="F300" s="8" t="s">
        <v>9524</v>
      </c>
      <c r="G300" s="8" t="s">
        <v>9525</v>
      </c>
      <c r="H300" s="8" t="s">
        <v>9526</v>
      </c>
      <c r="I300" s="8"/>
      <c r="J300" s="8" t="s">
        <v>2488</v>
      </c>
      <c r="K300" s="8" t="s">
        <v>9527</v>
      </c>
      <c r="L300" s="8" t="s">
        <v>9528</v>
      </c>
      <c r="M300" s="8" t="s">
        <v>9529</v>
      </c>
      <c r="N300" s="8" t="str">
        <f>HYPERLINK("https://seichotoushi-hojo.jp/assets/pdf/koufu_3_4ji/outline_121.pdf","PDFを開く")</f>
        <v>PDFを開く</v>
      </c>
      <c r="O300" s="8" t="s">
        <v>2490</v>
      </c>
    </row>
    <row r="301" spans="1:15" ht="120" customHeight="1">
      <c r="A301" s="5" t="s">
        <v>2491</v>
      </c>
      <c r="B301" s="5" t="s">
        <v>2430</v>
      </c>
      <c r="C301" s="9" t="s">
        <v>2492</v>
      </c>
      <c r="D301" s="9" t="s">
        <v>9530</v>
      </c>
      <c r="E301" s="9"/>
      <c r="F301" s="9" t="s">
        <v>9531</v>
      </c>
      <c r="G301" s="9" t="s">
        <v>9532</v>
      </c>
      <c r="H301" s="9" t="s">
        <v>9533</v>
      </c>
      <c r="I301" s="9"/>
      <c r="J301" s="9" t="s">
        <v>9534</v>
      </c>
      <c r="K301" s="9" t="s">
        <v>9535</v>
      </c>
      <c r="L301" s="9" t="s">
        <v>9536</v>
      </c>
      <c r="M301" s="9" t="s">
        <v>9537</v>
      </c>
      <c r="N301" s="9" t="str">
        <f>HYPERLINK("https://seichotoushi-hojo.jp/assets/pdf/koufu_3_4ji/outline_122.pdf","PDFを開く")</f>
        <v>PDFを開く</v>
      </c>
      <c r="O301" s="9" t="s">
        <v>2498</v>
      </c>
    </row>
    <row r="302" spans="1:15" ht="120" customHeight="1">
      <c r="A302" s="2" t="s">
        <v>2499</v>
      </c>
      <c r="B302" s="2" t="s">
        <v>2430</v>
      </c>
      <c r="C302" s="8" t="s">
        <v>2500</v>
      </c>
      <c r="D302" s="8" t="s">
        <v>9538</v>
      </c>
      <c r="E302" s="8"/>
      <c r="F302" s="8" t="s">
        <v>9539</v>
      </c>
      <c r="G302" s="8" t="s">
        <v>9540</v>
      </c>
      <c r="H302" s="8" t="s">
        <v>9541</v>
      </c>
      <c r="I302" s="8" t="s">
        <v>9542</v>
      </c>
      <c r="J302" s="8" t="s">
        <v>2504</v>
      </c>
      <c r="K302" s="8" t="s">
        <v>9543</v>
      </c>
      <c r="L302" s="8" t="s">
        <v>9544</v>
      </c>
      <c r="M302" s="8" t="s">
        <v>9545</v>
      </c>
      <c r="N302" s="8" t="str">
        <f>HYPERLINK("https://seichotoushi-hojo.jp/assets/pdf/koufu_3_4ji/outline_125.pdf","PDFを開く")</f>
        <v>PDFを開く</v>
      </c>
      <c r="O302" s="8" t="s">
        <v>2506</v>
      </c>
    </row>
    <row r="303" spans="1:15" ht="120" customHeight="1">
      <c r="A303" s="5" t="s">
        <v>2507</v>
      </c>
      <c r="B303" s="5" t="s">
        <v>2430</v>
      </c>
      <c r="C303" s="9" t="s">
        <v>2508</v>
      </c>
      <c r="D303" s="9" t="s">
        <v>9546</v>
      </c>
      <c r="E303" s="9" t="s">
        <v>9547</v>
      </c>
      <c r="F303" s="9" t="s">
        <v>9548</v>
      </c>
      <c r="G303" s="9" t="s">
        <v>9549</v>
      </c>
      <c r="H303" s="9" t="s">
        <v>9550</v>
      </c>
      <c r="I303" s="9"/>
      <c r="J303" s="9" t="s">
        <v>9551</v>
      </c>
      <c r="K303" s="9" t="s">
        <v>9552</v>
      </c>
      <c r="L303" s="9" t="s">
        <v>9553</v>
      </c>
      <c r="M303" s="9" t="s">
        <v>9554</v>
      </c>
      <c r="N303" s="9" t="str">
        <f>HYPERLINK("https://seichotoushi-hojo.jp/assets/pdf/koufu_3_4ji/outline_127.pdf","PDFを開く")</f>
        <v>PDFを開く</v>
      </c>
      <c r="O303" s="9" t="s">
        <v>2515</v>
      </c>
    </row>
    <row r="304" spans="1:15" ht="120" customHeight="1">
      <c r="A304" s="2" t="s">
        <v>2516</v>
      </c>
      <c r="B304" s="2" t="s">
        <v>2430</v>
      </c>
      <c r="C304" s="8" t="s">
        <v>2517</v>
      </c>
      <c r="D304" s="8" t="s">
        <v>9555</v>
      </c>
      <c r="E304" s="8"/>
      <c r="F304" s="8" t="s">
        <v>9556</v>
      </c>
      <c r="G304" s="8" t="s">
        <v>9557</v>
      </c>
      <c r="H304" s="8" t="s">
        <v>9558</v>
      </c>
      <c r="I304" s="8"/>
      <c r="J304" s="8" t="s">
        <v>2520</v>
      </c>
      <c r="K304" s="8" t="s">
        <v>9559</v>
      </c>
      <c r="L304" s="8" t="s">
        <v>9560</v>
      </c>
      <c r="M304" s="8" t="s">
        <v>9561</v>
      </c>
      <c r="N304" s="8" t="str">
        <f>HYPERLINK("https://seichotoushi-hojo.jp/assets/pdf/koufu_3_4ji/outline_130.pdf","PDFを開く")</f>
        <v>PDFを開く</v>
      </c>
      <c r="O304" s="8" t="s">
        <v>2523</v>
      </c>
    </row>
    <row r="305" spans="1:15" ht="120" customHeight="1">
      <c r="A305" s="5" t="s">
        <v>2524</v>
      </c>
      <c r="B305" s="5" t="s">
        <v>2430</v>
      </c>
      <c r="C305" s="9" t="s">
        <v>2525</v>
      </c>
      <c r="D305" s="9" t="s">
        <v>9562</v>
      </c>
      <c r="E305" s="9"/>
      <c r="F305" s="9" t="s">
        <v>9563</v>
      </c>
      <c r="G305" s="9" t="s">
        <v>9564</v>
      </c>
      <c r="H305" s="9" t="s">
        <v>9565</v>
      </c>
      <c r="I305" s="9"/>
      <c r="J305" s="9" t="s">
        <v>2528</v>
      </c>
      <c r="K305" s="9" t="s">
        <v>9566</v>
      </c>
      <c r="L305" s="9" t="s">
        <v>9567</v>
      </c>
      <c r="M305" s="9" t="s">
        <v>9568</v>
      </c>
      <c r="N305" s="9" t="str">
        <f>HYPERLINK("https://seichotoushi-hojo.jp/assets/pdf/koufu_3_4ji/outline_131.pdf","PDFを開く")</f>
        <v>PDFを開く</v>
      </c>
      <c r="O305" s="9" t="s">
        <v>2530</v>
      </c>
    </row>
    <row r="306" spans="1:15" ht="120" customHeight="1">
      <c r="A306" s="2" t="s">
        <v>2531</v>
      </c>
      <c r="B306" s="2" t="s">
        <v>2430</v>
      </c>
      <c r="C306" s="8" t="s">
        <v>2532</v>
      </c>
      <c r="D306" s="8" t="s">
        <v>9569</v>
      </c>
      <c r="E306" s="8"/>
      <c r="F306" s="8" t="s">
        <v>9570</v>
      </c>
      <c r="G306" s="8" t="s">
        <v>9571</v>
      </c>
      <c r="H306" s="8" t="s">
        <v>9572</v>
      </c>
      <c r="I306" s="8"/>
      <c r="J306" s="8" t="s">
        <v>9573</v>
      </c>
      <c r="K306" s="8" t="s">
        <v>9574</v>
      </c>
      <c r="L306" s="8" t="s">
        <v>9575</v>
      </c>
      <c r="M306" s="8" t="s">
        <v>9576</v>
      </c>
      <c r="N306" s="8" t="str">
        <f>HYPERLINK("https://seichotoushi-hojo.jp/assets/pdf/koufu_3_4ji/outline_132.pdf","PDFを開く")</f>
        <v>PDFを開く</v>
      </c>
      <c r="O306" s="8" t="s">
        <v>2538</v>
      </c>
    </row>
    <row r="307" spans="1:15" ht="120" customHeight="1">
      <c r="A307" s="5" t="s">
        <v>2539</v>
      </c>
      <c r="B307" s="5" t="s">
        <v>2430</v>
      </c>
      <c r="C307" s="9" t="s">
        <v>2540</v>
      </c>
      <c r="D307" s="9" t="s">
        <v>9577</v>
      </c>
      <c r="E307" s="9"/>
      <c r="F307" s="9" t="s">
        <v>9578</v>
      </c>
      <c r="G307" s="9"/>
      <c r="H307" s="9"/>
      <c r="I307" s="9"/>
      <c r="J307" s="9" t="s">
        <v>2543</v>
      </c>
      <c r="K307" s="9" t="s">
        <v>9579</v>
      </c>
      <c r="L307" s="9" t="s">
        <v>9580</v>
      </c>
      <c r="M307" s="9" t="s">
        <v>9581</v>
      </c>
      <c r="N307" s="9" t="str">
        <f>HYPERLINK("https://seichotoushi-hojo.jp/assets/pdf/koufu_3_4ji/outline_133.pdf","PDFを開く")</f>
        <v>PDFを開く</v>
      </c>
      <c r="O307" s="9" t="s">
        <v>2545</v>
      </c>
    </row>
    <row r="308" spans="1:15" ht="120" customHeight="1">
      <c r="A308" s="2" t="s">
        <v>2546</v>
      </c>
      <c r="B308" s="2" t="s">
        <v>2430</v>
      </c>
      <c r="C308" s="8" t="s">
        <v>2547</v>
      </c>
      <c r="D308" s="8" t="s">
        <v>9582</v>
      </c>
      <c r="E308" s="8" t="s">
        <v>9583</v>
      </c>
      <c r="F308" s="8" t="s">
        <v>9584</v>
      </c>
      <c r="G308" s="8" t="s">
        <v>9585</v>
      </c>
      <c r="H308" s="8" t="s">
        <v>9586</v>
      </c>
      <c r="I308" s="8"/>
      <c r="J308" s="8" t="s">
        <v>9587</v>
      </c>
      <c r="K308" s="8" t="s">
        <v>9588</v>
      </c>
      <c r="L308" s="8" t="s">
        <v>9589</v>
      </c>
      <c r="M308" s="8" t="s">
        <v>9590</v>
      </c>
      <c r="N308" s="8" t="str">
        <f>HYPERLINK("https://seichotoushi-hojo.jp/assets/pdf/koufu_3_4ji/outline_134.pdf","PDFを開く")</f>
        <v>PDFを開く</v>
      </c>
      <c r="O308" s="8" t="s">
        <v>2554</v>
      </c>
    </row>
    <row r="309" spans="1:15" ht="120" customHeight="1">
      <c r="A309" s="5" t="s">
        <v>2555</v>
      </c>
      <c r="B309" s="5" t="s">
        <v>2430</v>
      </c>
      <c r="C309" s="9" t="s">
        <v>2556</v>
      </c>
      <c r="D309" s="9" t="s">
        <v>9591</v>
      </c>
      <c r="E309" s="9"/>
      <c r="F309" s="9" t="s">
        <v>9592</v>
      </c>
      <c r="G309" s="9" t="s">
        <v>9593</v>
      </c>
      <c r="H309" s="9" t="s">
        <v>9594</v>
      </c>
      <c r="I309" s="9" t="s">
        <v>9595</v>
      </c>
      <c r="J309" s="9"/>
      <c r="K309" s="9" t="s">
        <v>9596</v>
      </c>
      <c r="L309" s="9" t="s">
        <v>9597</v>
      </c>
      <c r="M309" s="9" t="s">
        <v>9598</v>
      </c>
      <c r="N309" s="9" t="str">
        <f>HYPERLINK("https://seichotoushi-hojo.jp/assets/pdf/koufu_3_4ji/outline_135.pdf","PDFを開く")</f>
        <v>PDFを開く</v>
      </c>
      <c r="O309" s="9" t="s">
        <v>2563</v>
      </c>
    </row>
    <row r="310" spans="1:15" ht="120" customHeight="1">
      <c r="A310" s="2" t="s">
        <v>2564</v>
      </c>
      <c r="B310" s="2" t="s">
        <v>2430</v>
      </c>
      <c r="C310" s="8" t="s">
        <v>2565</v>
      </c>
      <c r="D310" s="8" t="s">
        <v>9599</v>
      </c>
      <c r="E310" s="8"/>
      <c r="F310" s="8"/>
      <c r="G310" s="8"/>
      <c r="H310" s="8"/>
      <c r="I310" s="8"/>
      <c r="J310" s="8"/>
      <c r="K310" s="8" t="s">
        <v>9600</v>
      </c>
      <c r="L310" s="8" t="s">
        <v>9601</v>
      </c>
      <c r="M310" s="8" t="s">
        <v>9602</v>
      </c>
      <c r="N310" s="8" t="str">
        <f>HYPERLINK("https://seichotoushi-hojo.jp/assets/pdf/koufu_3_4ji/outline_136.pdf","PDFを開く")</f>
        <v>PDFを開く</v>
      </c>
      <c r="O310" s="8" t="s">
        <v>2571</v>
      </c>
    </row>
    <row r="311" spans="1:15" ht="120" customHeight="1">
      <c r="A311" s="5" t="s">
        <v>2572</v>
      </c>
      <c r="B311" s="5" t="s">
        <v>2430</v>
      </c>
      <c r="C311" s="9" t="s">
        <v>2573</v>
      </c>
      <c r="D311" s="9" t="s">
        <v>9603</v>
      </c>
      <c r="E311" s="9"/>
      <c r="F311" s="9" t="s">
        <v>9604</v>
      </c>
      <c r="G311" s="9" t="s">
        <v>9605</v>
      </c>
      <c r="H311" s="9" t="s">
        <v>9606</v>
      </c>
      <c r="I311" s="9"/>
      <c r="J311" s="9" t="s">
        <v>9607</v>
      </c>
      <c r="K311" s="9" t="s">
        <v>9608</v>
      </c>
      <c r="L311" s="9" t="s">
        <v>9609</v>
      </c>
      <c r="M311" s="9" t="s">
        <v>9610</v>
      </c>
      <c r="N311" s="9" t="str">
        <f>HYPERLINK("https://seichotoushi-hojo.jp/assets/pdf/koufu_3_4ji/outline_137.pdf","PDFを開く")</f>
        <v>PDFを開く</v>
      </c>
      <c r="O311" s="9" t="s">
        <v>2579</v>
      </c>
    </row>
    <row r="312" spans="1:15" ht="120" customHeight="1">
      <c r="A312" s="2" t="s">
        <v>2580</v>
      </c>
      <c r="B312" s="2" t="s">
        <v>2430</v>
      </c>
      <c r="C312" s="8" t="s">
        <v>2581</v>
      </c>
      <c r="D312" s="8" t="s">
        <v>9611</v>
      </c>
      <c r="E312" s="8"/>
      <c r="F312" s="8" t="s">
        <v>9612</v>
      </c>
      <c r="G312" s="8" t="s">
        <v>9613</v>
      </c>
      <c r="H312" s="8" t="s">
        <v>9614</v>
      </c>
      <c r="I312" s="8"/>
      <c r="J312" s="8" t="s">
        <v>2584</v>
      </c>
      <c r="K312" s="8" t="s">
        <v>9615</v>
      </c>
      <c r="L312" s="8" t="s">
        <v>9616</v>
      </c>
      <c r="M312" s="8" t="s">
        <v>9617</v>
      </c>
      <c r="N312" s="8" t="str">
        <f>HYPERLINK("https://seichotoushi-hojo.jp/assets/pdf/koufu_3_4ji/outline_138.pdf","PDFを開く")</f>
        <v>PDFを開く</v>
      </c>
      <c r="O312" s="8" t="s">
        <v>2586</v>
      </c>
    </row>
    <row r="313" spans="1:15" ht="120" customHeight="1">
      <c r="A313" s="5" t="s">
        <v>2587</v>
      </c>
      <c r="B313" s="5" t="s">
        <v>2430</v>
      </c>
      <c r="C313" s="9" t="s">
        <v>2588</v>
      </c>
      <c r="D313" s="9" t="s">
        <v>9618</v>
      </c>
      <c r="E313" s="9"/>
      <c r="F313" s="9" t="s">
        <v>9619</v>
      </c>
      <c r="G313" s="9" t="s">
        <v>9620</v>
      </c>
      <c r="H313" s="9" t="s">
        <v>9621</v>
      </c>
      <c r="I313" s="9"/>
      <c r="J313" s="9" t="s">
        <v>9622</v>
      </c>
      <c r="K313" s="9" t="s">
        <v>9623</v>
      </c>
      <c r="L313" s="9" t="s">
        <v>9624</v>
      </c>
      <c r="M313" s="9" t="s">
        <v>9625</v>
      </c>
      <c r="N313" s="9" t="str">
        <f>HYPERLINK("https://seichotoushi-hojo.jp/assets/pdf/koufu_3_4ji/outline_139.pdf","PDFを開く")</f>
        <v>PDFを開く</v>
      </c>
      <c r="O313" s="9" t="s">
        <v>2594</v>
      </c>
    </row>
    <row r="314" spans="1:15" ht="120" customHeight="1">
      <c r="A314" s="2" t="s">
        <v>2595</v>
      </c>
      <c r="B314" s="2" t="s">
        <v>2430</v>
      </c>
      <c r="C314" s="8" t="s">
        <v>2596</v>
      </c>
      <c r="D314" s="8" t="s">
        <v>9626</v>
      </c>
      <c r="E314" s="8"/>
      <c r="F314" s="8" t="s">
        <v>9627</v>
      </c>
      <c r="G314" s="8" t="s">
        <v>9628</v>
      </c>
      <c r="H314" s="8" t="s">
        <v>9629</v>
      </c>
      <c r="I314" s="8"/>
      <c r="J314" s="8" t="s">
        <v>2601</v>
      </c>
      <c r="K314" s="8" t="s">
        <v>9630</v>
      </c>
      <c r="L314" s="8" t="s">
        <v>9631</v>
      </c>
      <c r="M314" s="8" t="s">
        <v>9632</v>
      </c>
      <c r="N314" s="8" t="str">
        <f>HYPERLINK("https://seichotoushi-hojo.jp/assets/pdf/koufu_3_4ji/outline_141.pdf","PDFを開く")</f>
        <v>PDFを開く</v>
      </c>
      <c r="O314" s="8" t="s">
        <v>2604</v>
      </c>
    </row>
    <row r="315" spans="1:15" ht="120" customHeight="1">
      <c r="A315" s="5" t="s">
        <v>2605</v>
      </c>
      <c r="B315" s="5" t="s">
        <v>2430</v>
      </c>
      <c r="C315" s="9" t="s">
        <v>2606</v>
      </c>
      <c r="D315" s="9" t="s">
        <v>9633</v>
      </c>
      <c r="E315" s="9"/>
      <c r="F315" s="9" t="s">
        <v>9634</v>
      </c>
      <c r="G315" s="9" t="s">
        <v>9635</v>
      </c>
      <c r="H315" s="9" t="s">
        <v>9636</v>
      </c>
      <c r="I315" s="9"/>
      <c r="J315" s="9" t="s">
        <v>2609</v>
      </c>
      <c r="K315" s="9" t="s">
        <v>9637</v>
      </c>
      <c r="L315" s="9" t="s">
        <v>9638</v>
      </c>
      <c r="M315" s="9" t="s">
        <v>9639</v>
      </c>
      <c r="N315" s="9" t="str">
        <f>HYPERLINK("https://seichotoushi-hojo.jp/assets/pdf/koufu_3_4ji/outline_143.pdf","PDFを開く")</f>
        <v>PDFを開く</v>
      </c>
      <c r="O315" s="9" t="s">
        <v>2611</v>
      </c>
    </row>
    <row r="316" spans="1:15" ht="120" customHeight="1">
      <c r="A316" s="2" t="s">
        <v>2612</v>
      </c>
      <c r="B316" s="2" t="s">
        <v>2430</v>
      </c>
      <c r="C316" s="8" t="s">
        <v>2613</v>
      </c>
      <c r="D316" s="8" t="s">
        <v>9640</v>
      </c>
      <c r="E316" s="8"/>
      <c r="F316" s="8" t="s">
        <v>9641</v>
      </c>
      <c r="G316" s="8" t="s">
        <v>9642</v>
      </c>
      <c r="H316" s="8" t="s">
        <v>9643</v>
      </c>
      <c r="I316" s="8"/>
      <c r="J316" s="8" t="s">
        <v>2617</v>
      </c>
      <c r="K316" s="8" t="s">
        <v>9644</v>
      </c>
      <c r="L316" s="8" t="s">
        <v>9645</v>
      </c>
      <c r="M316" s="8" t="s">
        <v>9646</v>
      </c>
      <c r="N316" s="8" t="str">
        <f>HYPERLINK("https://seichotoushi-hojo.jp/assets/pdf/koufu_3_4ji/outline_144.pdf","PDFを開く")</f>
        <v>PDFを開く</v>
      </c>
      <c r="O316" s="8" t="s">
        <v>2619</v>
      </c>
    </row>
    <row r="317" spans="1:15" ht="120" customHeight="1">
      <c r="A317" s="5" t="s">
        <v>2620</v>
      </c>
      <c r="B317" s="5" t="s">
        <v>2430</v>
      </c>
      <c r="C317" s="9" t="s">
        <v>2621</v>
      </c>
      <c r="D317" s="9" t="s">
        <v>9647</v>
      </c>
      <c r="E317" s="9"/>
      <c r="F317" s="9" t="s">
        <v>9648</v>
      </c>
      <c r="G317" s="9" t="s">
        <v>9649</v>
      </c>
      <c r="H317" s="9" t="s">
        <v>9650</v>
      </c>
      <c r="I317" s="9"/>
      <c r="J317" s="9" t="s">
        <v>2625</v>
      </c>
      <c r="K317" s="9" t="s">
        <v>9651</v>
      </c>
      <c r="L317" s="9" t="s">
        <v>9652</v>
      </c>
      <c r="M317" s="9" t="s">
        <v>9653</v>
      </c>
      <c r="N317" s="9" t="str">
        <f>HYPERLINK("https://seichotoushi-hojo.jp/assets/pdf/koufu_3_4ji/outline_145.pdf","PDFを開く")</f>
        <v>PDFを開く</v>
      </c>
      <c r="O317" s="9" t="s">
        <v>2628</v>
      </c>
    </row>
    <row r="318" spans="1:15" ht="120" customHeight="1">
      <c r="A318" s="2" t="s">
        <v>2629</v>
      </c>
      <c r="B318" s="2" t="s">
        <v>2430</v>
      </c>
      <c r="C318" s="8" t="s">
        <v>2630</v>
      </c>
      <c r="D318" s="8" t="s">
        <v>9654</v>
      </c>
      <c r="E318" s="8"/>
      <c r="F318" s="8" t="s">
        <v>9655</v>
      </c>
      <c r="G318" s="8" t="s">
        <v>9656</v>
      </c>
      <c r="H318" s="8" t="s">
        <v>9657</v>
      </c>
      <c r="I318" s="8"/>
      <c r="J318" s="8" t="s">
        <v>2633</v>
      </c>
      <c r="K318" s="8" t="s">
        <v>9658</v>
      </c>
      <c r="L318" s="8" t="s">
        <v>9659</v>
      </c>
      <c r="M318" s="8" t="s">
        <v>9660</v>
      </c>
      <c r="N318" s="8" t="str">
        <f>HYPERLINK("https://seichotoushi-hojo.jp/assets/pdf/koufu_3_4ji/outline_146.pdf","PDFを開く")</f>
        <v>PDFを開く</v>
      </c>
      <c r="O318" s="8" t="s">
        <v>2635</v>
      </c>
    </row>
    <row r="319" spans="1:15" ht="120" customHeight="1">
      <c r="A319" s="5" t="s">
        <v>2636</v>
      </c>
      <c r="B319" s="5" t="s">
        <v>2430</v>
      </c>
      <c r="C319" s="9" t="s">
        <v>2637</v>
      </c>
      <c r="D319" s="9" t="s">
        <v>9661</v>
      </c>
      <c r="E319" s="9"/>
      <c r="F319" s="9" t="s">
        <v>9662</v>
      </c>
      <c r="G319" s="9" t="s">
        <v>9663</v>
      </c>
      <c r="H319" s="9" t="s">
        <v>9664</v>
      </c>
      <c r="I319" s="9"/>
      <c r="J319" s="9" t="s">
        <v>9665</v>
      </c>
      <c r="K319" s="9" t="s">
        <v>9666</v>
      </c>
      <c r="L319" s="9" t="s">
        <v>9667</v>
      </c>
      <c r="M319" s="9" t="s">
        <v>9668</v>
      </c>
      <c r="N319" s="9" t="str">
        <f>HYPERLINK("https://seichotoushi-hojo.jp/assets/pdf/koufu_3_4ji/outline_147.pdf","PDFを開く")</f>
        <v>PDFを開く</v>
      </c>
      <c r="O319" s="9" t="s">
        <v>2645</v>
      </c>
    </row>
    <row r="320" spans="1:15" ht="120" customHeight="1">
      <c r="A320" s="2" t="s">
        <v>2646</v>
      </c>
      <c r="B320" s="2" t="s">
        <v>2430</v>
      </c>
      <c r="C320" s="8" t="s">
        <v>2647</v>
      </c>
      <c r="D320" s="8" t="s">
        <v>9669</v>
      </c>
      <c r="E320" s="8"/>
      <c r="F320" s="8" t="s">
        <v>9670</v>
      </c>
      <c r="G320" s="8" t="s">
        <v>9671</v>
      </c>
      <c r="H320" s="8" t="s">
        <v>9672</v>
      </c>
      <c r="I320" s="8"/>
      <c r="J320" s="8" t="s">
        <v>9673</v>
      </c>
      <c r="K320" s="8" t="s">
        <v>9674</v>
      </c>
      <c r="L320" s="8" t="s">
        <v>9675</v>
      </c>
      <c r="M320" s="8" t="s">
        <v>9676</v>
      </c>
      <c r="N320" s="8" t="str">
        <f>HYPERLINK("https://seichotoushi-hojo.jp/assets/pdf/koufu_3_4ji/outline_148.pdf","PDFを開く")</f>
        <v>PDFを開く</v>
      </c>
      <c r="O320" s="8" t="s">
        <v>2653</v>
      </c>
    </row>
    <row r="321" spans="1:15" ht="120" customHeight="1">
      <c r="A321" s="5" t="s">
        <v>2654</v>
      </c>
      <c r="B321" s="5" t="s">
        <v>2430</v>
      </c>
      <c r="C321" s="9" t="s">
        <v>2655</v>
      </c>
      <c r="D321" s="9" t="s">
        <v>9677</v>
      </c>
      <c r="E321" s="9"/>
      <c r="F321" s="9" t="s">
        <v>9678</v>
      </c>
      <c r="G321" s="9" t="s">
        <v>9679</v>
      </c>
      <c r="H321" s="9" t="s">
        <v>9680</v>
      </c>
      <c r="I321" s="9"/>
      <c r="J321" s="9" t="s">
        <v>2659</v>
      </c>
      <c r="K321" s="9" t="s">
        <v>9681</v>
      </c>
      <c r="L321" s="9" t="s">
        <v>9682</v>
      </c>
      <c r="M321" s="9" t="s">
        <v>9683</v>
      </c>
      <c r="N321" s="9" t="str">
        <f>HYPERLINK("https://seichotoushi-hojo.jp/assets/pdf/koufu_3_4ji/outline_149.pdf","PDFを開く")</f>
        <v>PDFを開く</v>
      </c>
      <c r="O321" s="9" t="s">
        <v>2661</v>
      </c>
    </row>
    <row r="322" spans="1:15" ht="120" customHeight="1">
      <c r="A322" s="2" t="s">
        <v>2662</v>
      </c>
      <c r="B322" s="2" t="s">
        <v>2430</v>
      </c>
      <c r="C322" s="8" t="s">
        <v>2663</v>
      </c>
      <c r="D322" s="8" t="s">
        <v>9684</v>
      </c>
      <c r="E322" s="8"/>
      <c r="F322" s="8" t="s">
        <v>9685</v>
      </c>
      <c r="G322" s="8" t="s">
        <v>9686</v>
      </c>
      <c r="H322" s="8" t="s">
        <v>9687</v>
      </c>
      <c r="I322" s="8"/>
      <c r="J322" s="8" t="s">
        <v>2665</v>
      </c>
      <c r="K322" s="8" t="s">
        <v>9688</v>
      </c>
      <c r="L322" s="8" t="s">
        <v>9689</v>
      </c>
      <c r="M322" s="8" t="s">
        <v>9690</v>
      </c>
      <c r="N322" s="8" t="str">
        <f>HYPERLINK("https://seichotoushi-hojo.jp/assets/pdf/koufu_3_4ji/outline_150.pdf","PDFを開く")</f>
        <v>PDFを開く</v>
      </c>
      <c r="O322" s="8" t="s">
        <v>2667</v>
      </c>
    </row>
    <row r="323" spans="1:15" ht="120" customHeight="1">
      <c r="A323" s="5" t="s">
        <v>2668</v>
      </c>
      <c r="B323" s="5" t="s">
        <v>2430</v>
      </c>
      <c r="C323" s="9" t="s">
        <v>2669</v>
      </c>
      <c r="D323" s="9" t="s">
        <v>9691</v>
      </c>
      <c r="E323" s="9"/>
      <c r="F323" s="9" t="s">
        <v>9692</v>
      </c>
      <c r="G323" s="9" t="s">
        <v>9693</v>
      </c>
      <c r="H323" s="9" t="s">
        <v>9694</v>
      </c>
      <c r="I323" s="9"/>
      <c r="J323" s="9" t="s">
        <v>2673</v>
      </c>
      <c r="K323" s="9" t="s">
        <v>9695</v>
      </c>
      <c r="L323" s="9" t="s">
        <v>9696</v>
      </c>
      <c r="M323" s="9" t="s">
        <v>9697</v>
      </c>
      <c r="N323" s="9" t="str">
        <f>HYPERLINK("https://seichotoushi-hojo.jp/assets/pdf/koufu_3_4ji/outline_152.pdf","PDFを開く")</f>
        <v>PDFを開く</v>
      </c>
      <c r="O323" s="9" t="s">
        <v>2675</v>
      </c>
    </row>
    <row r="324" spans="1:15" ht="120" customHeight="1">
      <c r="A324" s="2" t="s">
        <v>2676</v>
      </c>
      <c r="B324" s="2" t="s">
        <v>2430</v>
      </c>
      <c r="C324" s="8" t="s">
        <v>2677</v>
      </c>
      <c r="D324" s="8" t="s">
        <v>9698</v>
      </c>
      <c r="E324" s="8"/>
      <c r="F324" s="8" t="s">
        <v>9699</v>
      </c>
      <c r="G324" s="8" t="s">
        <v>9700</v>
      </c>
      <c r="H324" s="8" t="s">
        <v>9701</v>
      </c>
      <c r="I324" s="8"/>
      <c r="J324" s="8" t="s">
        <v>2681</v>
      </c>
      <c r="K324" s="8" t="s">
        <v>9702</v>
      </c>
      <c r="L324" s="8" t="s">
        <v>9703</v>
      </c>
      <c r="M324" s="8" t="s">
        <v>9704</v>
      </c>
      <c r="N324" s="8" t="str">
        <f>HYPERLINK("https://seichotoushi-hojo.jp/assets/pdf/koufu_3_4ji/outline_153.pdf","PDFを開く")</f>
        <v>PDFを開く</v>
      </c>
      <c r="O324" s="8" t="s">
        <v>2683</v>
      </c>
    </row>
    <row r="325" spans="1:15" ht="120" customHeight="1">
      <c r="A325" s="5" t="s">
        <v>2684</v>
      </c>
      <c r="B325" s="5" t="s">
        <v>2430</v>
      </c>
      <c r="C325" s="9" t="s">
        <v>2685</v>
      </c>
      <c r="D325" s="9" t="s">
        <v>9705</v>
      </c>
      <c r="E325" s="9"/>
      <c r="F325" s="9" t="s">
        <v>9706</v>
      </c>
      <c r="G325" s="9" t="s">
        <v>9707</v>
      </c>
      <c r="H325" s="9" t="s">
        <v>9708</v>
      </c>
      <c r="I325" s="9"/>
      <c r="J325" s="9" t="s">
        <v>9709</v>
      </c>
      <c r="K325" s="9" t="s">
        <v>9710</v>
      </c>
      <c r="L325" s="9" t="s">
        <v>9711</v>
      </c>
      <c r="M325" s="9" t="s">
        <v>9712</v>
      </c>
      <c r="N325" s="9" t="str">
        <f>HYPERLINK("https://seichotoushi-hojo.jp/assets/pdf/koufu_3_4ji/outline_154.pdf","PDFを開く")</f>
        <v>PDFを開く</v>
      </c>
      <c r="O325" s="9" t="s">
        <v>2692</v>
      </c>
    </row>
    <row r="326" spans="1:15" ht="120" customHeight="1">
      <c r="A326" s="2" t="s">
        <v>2693</v>
      </c>
      <c r="B326" s="2" t="s">
        <v>2430</v>
      </c>
      <c r="C326" s="8" t="s">
        <v>2694</v>
      </c>
      <c r="D326" s="8" t="s">
        <v>9713</v>
      </c>
      <c r="E326" s="8"/>
      <c r="F326" s="8" t="s">
        <v>9714</v>
      </c>
      <c r="G326" s="8" t="s">
        <v>9715</v>
      </c>
      <c r="H326" s="8" t="s">
        <v>9716</v>
      </c>
      <c r="I326" s="8"/>
      <c r="J326" s="8" t="s">
        <v>2697</v>
      </c>
      <c r="K326" s="8" t="s">
        <v>9717</v>
      </c>
      <c r="L326" s="8" t="s">
        <v>9718</v>
      </c>
      <c r="M326" s="8" t="s">
        <v>9719</v>
      </c>
      <c r="N326" s="8" t="str">
        <f>HYPERLINK("https://seichotoushi-hojo.jp/assets/pdf/koufu_3_4ji/outline_155.pdf","PDFを開く")</f>
        <v>PDFを開く</v>
      </c>
      <c r="O326" s="8" t="s">
        <v>2699</v>
      </c>
    </row>
    <row r="327" spans="1:15" ht="120" customHeight="1">
      <c r="A327" s="5" t="s">
        <v>2700</v>
      </c>
      <c r="B327" s="5" t="s">
        <v>2430</v>
      </c>
      <c r="C327" s="9" t="s">
        <v>2701</v>
      </c>
      <c r="D327" s="9" t="s">
        <v>9720</v>
      </c>
      <c r="E327" s="9"/>
      <c r="F327" s="9" t="s">
        <v>9721</v>
      </c>
      <c r="G327" s="9" t="s">
        <v>9722</v>
      </c>
      <c r="H327" s="9" t="s">
        <v>9723</v>
      </c>
      <c r="I327" s="9"/>
      <c r="J327" s="9"/>
      <c r="K327" s="9" t="s">
        <v>9724</v>
      </c>
      <c r="L327" s="9" t="s">
        <v>9725</v>
      </c>
      <c r="M327" s="9" t="s">
        <v>9726</v>
      </c>
      <c r="N327" s="9" t="str">
        <f>HYPERLINK("https://seichotoushi-hojo.jp/assets/pdf/koufu_3_4ji/outline_156.pdf","PDFを開く")</f>
        <v>PDFを開く</v>
      </c>
      <c r="O327" s="9" t="s">
        <v>2708</v>
      </c>
    </row>
    <row r="328" spans="1:15" ht="120" customHeight="1">
      <c r="A328" s="2" t="s">
        <v>2709</v>
      </c>
      <c r="B328" s="2" t="s">
        <v>2430</v>
      </c>
      <c r="C328" s="8" t="s">
        <v>2710</v>
      </c>
      <c r="D328" s="8" t="s">
        <v>9727</v>
      </c>
      <c r="E328" s="8"/>
      <c r="F328" s="8" t="s">
        <v>9728</v>
      </c>
      <c r="G328" s="8" t="s">
        <v>9729</v>
      </c>
      <c r="H328" s="8" t="s">
        <v>9730</v>
      </c>
      <c r="I328" s="8"/>
      <c r="J328" s="8" t="s">
        <v>9731</v>
      </c>
      <c r="K328" s="8" t="s">
        <v>9732</v>
      </c>
      <c r="L328" s="8" t="s">
        <v>9733</v>
      </c>
      <c r="M328" s="8" t="s">
        <v>9734</v>
      </c>
      <c r="N328" s="8" t="str">
        <f>HYPERLINK("https://seichotoushi-hojo.jp/assets/pdf/koufu_3_4ji/outline_157.pdf","PDFを開く")</f>
        <v>PDFを開く</v>
      </c>
      <c r="O328" s="8" t="s">
        <v>2716</v>
      </c>
    </row>
    <row r="329" spans="1:15" ht="120" customHeight="1">
      <c r="A329" s="5" t="s">
        <v>2717</v>
      </c>
      <c r="B329" s="5" t="s">
        <v>2430</v>
      </c>
      <c r="C329" s="9" t="s">
        <v>2718</v>
      </c>
      <c r="D329" s="9" t="s">
        <v>9735</v>
      </c>
      <c r="E329" s="9"/>
      <c r="F329" s="9" t="s">
        <v>9736</v>
      </c>
      <c r="G329" s="9" t="s">
        <v>9737</v>
      </c>
      <c r="H329" s="9" t="s">
        <v>9738</v>
      </c>
      <c r="I329" s="9"/>
      <c r="J329" s="9" t="s">
        <v>9739</v>
      </c>
      <c r="K329" s="9" t="s">
        <v>9740</v>
      </c>
      <c r="L329" s="9" t="s">
        <v>9741</v>
      </c>
      <c r="M329" s="9" t="s">
        <v>9742</v>
      </c>
      <c r="N329" s="9" t="str">
        <f>HYPERLINK("https://seichotoushi-hojo.jp/assets/pdf/koufu_3_4ji/outline_158.pdf","PDFを開く")</f>
        <v>PDFを開く</v>
      </c>
      <c r="O329" s="9" t="s">
        <v>2724</v>
      </c>
    </row>
    <row r="330" spans="1:15" ht="120" customHeight="1">
      <c r="A330" s="2" t="s">
        <v>2725</v>
      </c>
      <c r="B330" s="2" t="s">
        <v>2430</v>
      </c>
      <c r="C330" s="8" t="s">
        <v>2726</v>
      </c>
      <c r="D330" s="8" t="s">
        <v>9743</v>
      </c>
      <c r="E330" s="8"/>
      <c r="F330" s="8" t="s">
        <v>9744</v>
      </c>
      <c r="G330" s="8" t="s">
        <v>9745</v>
      </c>
      <c r="H330" s="8" t="s">
        <v>9746</v>
      </c>
      <c r="I330" s="8"/>
      <c r="J330" s="8" t="s">
        <v>2731</v>
      </c>
      <c r="K330" s="8" t="s">
        <v>9747</v>
      </c>
      <c r="L330" s="8" t="s">
        <v>9748</v>
      </c>
      <c r="M330" s="8" t="s">
        <v>9749</v>
      </c>
      <c r="N330" s="8" t="str">
        <f>HYPERLINK("https://seichotoushi-hojo.jp/assets/pdf/koufu_3_4ji/outline_159.pdf","PDFを開く")</f>
        <v>PDFを開く</v>
      </c>
      <c r="O330" s="8" t="s">
        <v>2733</v>
      </c>
    </row>
    <row r="331" spans="1:15" ht="120" customHeight="1">
      <c r="A331" s="5" t="s">
        <v>2734</v>
      </c>
      <c r="B331" s="5" t="s">
        <v>2430</v>
      </c>
      <c r="C331" s="9" t="s">
        <v>2735</v>
      </c>
      <c r="D331" s="9" t="s">
        <v>9750</v>
      </c>
      <c r="E331" s="9"/>
      <c r="F331" s="9" t="s">
        <v>9751</v>
      </c>
      <c r="G331" s="9" t="s">
        <v>9752</v>
      </c>
      <c r="H331" s="9" t="s">
        <v>9753</v>
      </c>
      <c r="I331" s="9"/>
      <c r="J331" s="9" t="s">
        <v>2738</v>
      </c>
      <c r="K331" s="9" t="s">
        <v>9754</v>
      </c>
      <c r="L331" s="9" t="s">
        <v>9755</v>
      </c>
      <c r="M331" s="9" t="s">
        <v>9756</v>
      </c>
      <c r="N331" s="9" t="str">
        <f>HYPERLINK("https://seichotoushi-hojo.jp/assets/pdf/koufu_3_4ji/outline_160.pdf","PDFを開く")</f>
        <v>PDFを開く</v>
      </c>
      <c r="O331" s="9" t="s">
        <v>2740</v>
      </c>
    </row>
    <row r="332" spans="1:15" ht="120" customHeight="1">
      <c r="A332" s="2" t="s">
        <v>2741</v>
      </c>
      <c r="B332" s="2" t="s">
        <v>2430</v>
      </c>
      <c r="C332" s="8" t="s">
        <v>2742</v>
      </c>
      <c r="D332" s="8" t="s">
        <v>9757</v>
      </c>
      <c r="E332" s="8"/>
      <c r="F332" s="8" t="s">
        <v>9758</v>
      </c>
      <c r="G332" s="8" t="s">
        <v>9759</v>
      </c>
      <c r="H332" s="8" t="s">
        <v>9760</v>
      </c>
      <c r="I332" s="8"/>
      <c r="J332" s="8" t="s">
        <v>2746</v>
      </c>
      <c r="K332" s="8" t="s">
        <v>9761</v>
      </c>
      <c r="L332" s="8" t="s">
        <v>9762</v>
      </c>
      <c r="M332" s="8" t="s">
        <v>9763</v>
      </c>
      <c r="N332" s="8" t="str">
        <f>HYPERLINK("https://seichotoushi-hojo.jp/assets/pdf/koufu_3_4ji/outline_161.pdf","PDFを開く")</f>
        <v>PDFを開く</v>
      </c>
      <c r="O332" s="8" t="s">
        <v>2749</v>
      </c>
    </row>
    <row r="333" spans="1:15" ht="120" customHeight="1">
      <c r="A333" s="5" t="s">
        <v>2750</v>
      </c>
      <c r="B333" s="5" t="s">
        <v>2430</v>
      </c>
      <c r="C333" s="9" t="s">
        <v>2751</v>
      </c>
      <c r="D333" s="9" t="s">
        <v>9764</v>
      </c>
      <c r="E333" s="9"/>
      <c r="F333" s="9" t="s">
        <v>9765</v>
      </c>
      <c r="G333" s="9" t="s">
        <v>9766</v>
      </c>
      <c r="H333" s="9" t="s">
        <v>9767</v>
      </c>
      <c r="I333" s="9"/>
      <c r="J333" s="9"/>
      <c r="K333" s="9"/>
      <c r="L333" s="9" t="s">
        <v>9768</v>
      </c>
      <c r="M333" s="9" t="s">
        <v>9769</v>
      </c>
      <c r="N333" s="9" t="str">
        <f>HYPERLINK("https://seichotoushi-hojo.jp/assets/pdf/koufu_3_4ji/outline_162.pdf","PDFを開く")</f>
        <v>PDFを開く</v>
      </c>
      <c r="O333" s="9" t="s">
        <v>2757</v>
      </c>
    </row>
    <row r="334" spans="1:15" ht="120" customHeight="1">
      <c r="A334" s="2" t="s">
        <v>2758</v>
      </c>
      <c r="B334" s="2" t="s">
        <v>2430</v>
      </c>
      <c r="C334" s="8" t="s">
        <v>2759</v>
      </c>
      <c r="D334" s="8" t="s">
        <v>9770</v>
      </c>
      <c r="E334" s="8"/>
      <c r="F334" s="8" t="s">
        <v>9771</v>
      </c>
      <c r="G334" s="8" t="s">
        <v>9772</v>
      </c>
      <c r="H334" s="8" t="s">
        <v>9773</v>
      </c>
      <c r="I334" s="8"/>
      <c r="J334" s="8" t="s">
        <v>2762</v>
      </c>
      <c r="K334" s="8" t="s">
        <v>9774</v>
      </c>
      <c r="L334" s="8" t="s">
        <v>9775</v>
      </c>
      <c r="M334" s="8" t="s">
        <v>9776</v>
      </c>
      <c r="N334" s="8" t="str">
        <f>HYPERLINK("https://seichotoushi-hojo.jp/assets/pdf/koufu_3_4ji/outline_163.pdf","PDFを開く")</f>
        <v>PDFを開く</v>
      </c>
      <c r="O334" s="8" t="s">
        <v>2765</v>
      </c>
    </row>
    <row r="335" spans="1:15" ht="120" customHeight="1">
      <c r="A335" s="5" t="s">
        <v>2766</v>
      </c>
      <c r="B335" s="5" t="s">
        <v>2430</v>
      </c>
      <c r="C335" s="9" t="s">
        <v>2767</v>
      </c>
      <c r="D335" s="9" t="s">
        <v>9777</v>
      </c>
      <c r="E335" s="9"/>
      <c r="F335" s="9"/>
      <c r="G335" s="9" t="s">
        <v>9778</v>
      </c>
      <c r="H335" s="9" t="s">
        <v>9779</v>
      </c>
      <c r="I335" s="9"/>
      <c r="J335" s="9" t="s">
        <v>2770</v>
      </c>
      <c r="K335" s="9" t="s">
        <v>9780</v>
      </c>
      <c r="L335" s="9" t="s">
        <v>9781</v>
      </c>
      <c r="M335" s="9" t="s">
        <v>9782</v>
      </c>
      <c r="N335" s="9" t="str">
        <f>HYPERLINK("https://seichotoushi-hojo.jp/assets/pdf/koufu_3_4ji/outline_164.pdf","PDFを開く")</f>
        <v>PDFを開く</v>
      </c>
      <c r="O335" s="9" t="s">
        <v>2772</v>
      </c>
    </row>
    <row r="336" spans="1:15" ht="120" customHeight="1">
      <c r="A336" s="2" t="s">
        <v>2773</v>
      </c>
      <c r="B336" s="2" t="s">
        <v>2430</v>
      </c>
      <c r="C336" s="8" t="s">
        <v>2774</v>
      </c>
      <c r="D336" s="8" t="s">
        <v>9783</v>
      </c>
      <c r="E336" s="8"/>
      <c r="F336" s="8" t="s">
        <v>9784</v>
      </c>
      <c r="G336" s="8" t="s">
        <v>9785</v>
      </c>
      <c r="H336" s="8" t="s">
        <v>9786</v>
      </c>
      <c r="I336" s="8"/>
      <c r="J336" s="8" t="s">
        <v>2778</v>
      </c>
      <c r="K336" s="8" t="s">
        <v>9787</v>
      </c>
      <c r="L336" s="8" t="s">
        <v>9788</v>
      </c>
      <c r="M336" s="8" t="s">
        <v>9789</v>
      </c>
      <c r="N336" s="8" t="str">
        <f>HYPERLINK("https://seichotoushi-hojo.jp/assets/pdf/koufu_3_4ji/outline_165.pdf","PDFを開く")</f>
        <v>PDFを開く</v>
      </c>
      <c r="O336" s="8" t="s">
        <v>2780</v>
      </c>
    </row>
    <row r="337" spans="1:15" ht="120" customHeight="1">
      <c r="A337" s="5" t="s">
        <v>2781</v>
      </c>
      <c r="B337" s="5" t="s">
        <v>2430</v>
      </c>
      <c r="C337" s="9" t="s">
        <v>2782</v>
      </c>
      <c r="D337" s="9" t="s">
        <v>9790</v>
      </c>
      <c r="E337" s="9"/>
      <c r="F337" s="9" t="s">
        <v>9791</v>
      </c>
      <c r="G337" s="9" t="s">
        <v>9792</v>
      </c>
      <c r="H337" s="9" t="s">
        <v>9793</v>
      </c>
      <c r="I337" s="9"/>
      <c r="J337" s="9" t="s">
        <v>9794</v>
      </c>
      <c r="K337" s="9" t="s">
        <v>9795</v>
      </c>
      <c r="L337" s="9" t="s">
        <v>9796</v>
      </c>
      <c r="M337" s="9" t="s">
        <v>9797</v>
      </c>
      <c r="N337" s="9" t="str">
        <f>HYPERLINK("https://seichotoushi-hojo.jp/assets/pdf/koufu_3_4ji/outline_166.pdf","PDFを開く")</f>
        <v>PDFを開く</v>
      </c>
      <c r="O337" s="9" t="s">
        <v>2789</v>
      </c>
    </row>
    <row r="338" spans="1:15" ht="120" customHeight="1">
      <c r="A338" s="2" t="s">
        <v>2790</v>
      </c>
      <c r="B338" s="2" t="s">
        <v>2430</v>
      </c>
      <c r="C338" s="8" t="s">
        <v>2791</v>
      </c>
      <c r="D338" s="8" t="s">
        <v>9798</v>
      </c>
      <c r="E338" s="8"/>
      <c r="F338" s="8" t="s">
        <v>9799</v>
      </c>
      <c r="G338" s="8" t="s">
        <v>9800</v>
      </c>
      <c r="H338" s="8" t="s">
        <v>9801</v>
      </c>
      <c r="I338" s="8"/>
      <c r="J338" s="8" t="s">
        <v>2795</v>
      </c>
      <c r="K338" s="8" t="s">
        <v>9802</v>
      </c>
      <c r="L338" s="8" t="s">
        <v>9803</v>
      </c>
      <c r="M338" s="8" t="s">
        <v>9804</v>
      </c>
      <c r="N338" s="8" t="str">
        <f>HYPERLINK("https://seichotoushi-hojo.jp/assets/pdf/koufu_3_4ji/outline_167.pdf","PDFを開く")</f>
        <v>PDFを開く</v>
      </c>
      <c r="O338" s="8" t="s">
        <v>2797</v>
      </c>
    </row>
    <row r="339" spans="1:15" ht="120" customHeight="1">
      <c r="A339" s="5" t="s">
        <v>2798</v>
      </c>
      <c r="B339" s="5" t="s">
        <v>2430</v>
      </c>
      <c r="C339" s="9" t="s">
        <v>2799</v>
      </c>
      <c r="D339" s="9" t="s">
        <v>9805</v>
      </c>
      <c r="E339" s="9" t="s">
        <v>9806</v>
      </c>
      <c r="F339" s="9" t="s">
        <v>9807</v>
      </c>
      <c r="G339" s="9" t="s">
        <v>9808</v>
      </c>
      <c r="H339" s="9" t="s">
        <v>9809</v>
      </c>
      <c r="I339" s="9"/>
      <c r="J339" s="9" t="s">
        <v>2804</v>
      </c>
      <c r="K339" s="9" t="s">
        <v>9810</v>
      </c>
      <c r="L339" s="9" t="s">
        <v>9811</v>
      </c>
      <c r="M339" s="9" t="s">
        <v>9812</v>
      </c>
      <c r="N339" s="9" t="str">
        <f>HYPERLINK("https://seichotoushi-hojo.jp/assets/pdf/koufu_3_4ji/outline_168.pdf","PDFを開く")</f>
        <v>PDFを開く</v>
      </c>
      <c r="O339" s="9" t="s">
        <v>2808</v>
      </c>
    </row>
    <row r="340" spans="1:15" ht="120" customHeight="1">
      <c r="A340" s="2" t="s">
        <v>2809</v>
      </c>
      <c r="B340" s="2" t="s">
        <v>2430</v>
      </c>
      <c r="C340" s="8" t="s">
        <v>2810</v>
      </c>
      <c r="D340" s="8" t="s">
        <v>9813</v>
      </c>
      <c r="E340" s="8"/>
      <c r="F340" s="8" t="s">
        <v>9814</v>
      </c>
      <c r="G340" s="8" t="s">
        <v>9815</v>
      </c>
      <c r="H340" s="8" t="s">
        <v>9816</v>
      </c>
      <c r="I340" s="8"/>
      <c r="J340" s="8" t="s">
        <v>2814</v>
      </c>
      <c r="K340" s="8" t="s">
        <v>9817</v>
      </c>
      <c r="L340" s="8" t="s">
        <v>9818</v>
      </c>
      <c r="M340" s="8" t="s">
        <v>9819</v>
      </c>
      <c r="N340" s="8" t="str">
        <f>HYPERLINK("https://seichotoushi-hojo.jp/assets/pdf/koufu_3_4ji/outline_170.pdf","PDFを開く")</f>
        <v>PDFを開く</v>
      </c>
      <c r="O340" s="8" t="s">
        <v>2816</v>
      </c>
    </row>
    <row r="341" spans="1:15" ht="120" customHeight="1">
      <c r="A341" s="5" t="s">
        <v>2817</v>
      </c>
      <c r="B341" s="5" t="s">
        <v>2430</v>
      </c>
      <c r="C341" s="9" t="s">
        <v>2818</v>
      </c>
      <c r="D341" s="9" t="s">
        <v>9820</v>
      </c>
      <c r="E341" s="9"/>
      <c r="F341" s="9" t="s">
        <v>9821</v>
      </c>
      <c r="G341" s="9" t="s">
        <v>9822</v>
      </c>
      <c r="H341" s="9" t="s">
        <v>9823</v>
      </c>
      <c r="I341" s="9"/>
      <c r="J341" s="9" t="s">
        <v>2822</v>
      </c>
      <c r="K341" s="9" t="s">
        <v>9824</v>
      </c>
      <c r="L341" s="9" t="s">
        <v>9825</v>
      </c>
      <c r="M341" s="9" t="s">
        <v>9826</v>
      </c>
      <c r="N341" s="9" t="str">
        <f>HYPERLINK("https://seichotoushi-hojo.jp/assets/pdf/koufu_3_4ji/outline_171.pdf","PDFを開く")</f>
        <v>PDFを開く</v>
      </c>
      <c r="O341" s="9" t="s">
        <v>2824</v>
      </c>
    </row>
    <row r="342" spans="1:15" ht="120" customHeight="1">
      <c r="A342" s="2" t="s">
        <v>2825</v>
      </c>
      <c r="B342" s="2" t="s">
        <v>2430</v>
      </c>
      <c r="C342" s="8" t="s">
        <v>2826</v>
      </c>
      <c r="D342" s="8" t="s">
        <v>9827</v>
      </c>
      <c r="E342" s="8"/>
      <c r="F342" s="8" t="s">
        <v>9828</v>
      </c>
      <c r="G342" s="8" t="s">
        <v>9829</v>
      </c>
      <c r="H342" s="8" t="s">
        <v>9830</v>
      </c>
      <c r="I342" s="8"/>
      <c r="J342" s="8" t="s">
        <v>2830</v>
      </c>
      <c r="K342" s="8" t="s">
        <v>9831</v>
      </c>
      <c r="L342" s="8" t="s">
        <v>9832</v>
      </c>
      <c r="M342" s="8" t="s">
        <v>9833</v>
      </c>
      <c r="N342" s="8" t="str">
        <f>HYPERLINK("https://seichotoushi-hojo.jp/assets/pdf/koufu_3_4ji/outline_172.pdf","PDFを開く")</f>
        <v>PDFを開く</v>
      </c>
      <c r="O342" s="8" t="s">
        <v>2832</v>
      </c>
    </row>
    <row r="343" spans="1:15" ht="120" customHeight="1">
      <c r="A343" s="5" t="s">
        <v>2833</v>
      </c>
      <c r="B343" s="5" t="s">
        <v>2430</v>
      </c>
      <c r="C343" s="9" t="s">
        <v>2834</v>
      </c>
      <c r="D343" s="9" t="s">
        <v>9834</v>
      </c>
      <c r="E343" s="9"/>
      <c r="F343" s="9" t="s">
        <v>9835</v>
      </c>
      <c r="G343" s="9" t="s">
        <v>9836</v>
      </c>
      <c r="H343" s="9" t="s">
        <v>9837</v>
      </c>
      <c r="I343" s="9"/>
      <c r="J343" s="9" t="s">
        <v>2837</v>
      </c>
      <c r="K343" s="9" t="s">
        <v>9838</v>
      </c>
      <c r="L343" s="9" t="s">
        <v>9839</v>
      </c>
      <c r="M343" s="9" t="s">
        <v>9840</v>
      </c>
      <c r="N343" s="9" t="str">
        <f>HYPERLINK("https://seichotoushi-hojo.jp/assets/pdf/koufu_3_4ji/outline_174.pdf","PDFを開く")</f>
        <v>PDFを開く</v>
      </c>
      <c r="O343" s="9" t="s">
        <v>2840</v>
      </c>
    </row>
    <row r="344" spans="1:15" ht="120" customHeight="1">
      <c r="A344" s="2" t="s">
        <v>2841</v>
      </c>
      <c r="B344" s="2" t="s">
        <v>2430</v>
      </c>
      <c r="C344" s="8" t="s">
        <v>2842</v>
      </c>
      <c r="D344" s="8" t="s">
        <v>9841</v>
      </c>
      <c r="E344" s="8"/>
      <c r="F344" s="8" t="s">
        <v>9842</v>
      </c>
      <c r="G344" s="8" t="s">
        <v>9843</v>
      </c>
      <c r="H344" s="8" t="s">
        <v>9844</v>
      </c>
      <c r="I344" s="8"/>
      <c r="J344" s="8"/>
      <c r="K344" s="8"/>
      <c r="L344" s="8" t="s">
        <v>9845</v>
      </c>
      <c r="M344" s="8" t="s">
        <v>9846</v>
      </c>
      <c r="N344" s="8" t="str">
        <f>HYPERLINK("https://seichotoushi-hojo.jp/assets/pdf/koufu_3_4ji/outline_175.pdf","PDFを開く")</f>
        <v>PDFを開く</v>
      </c>
      <c r="O344" s="8" t="s">
        <v>2848</v>
      </c>
    </row>
    <row r="345" spans="1:15" ht="120" customHeight="1">
      <c r="A345" s="5" t="s">
        <v>2849</v>
      </c>
      <c r="B345" s="5" t="s">
        <v>2430</v>
      </c>
      <c r="C345" s="9" t="s">
        <v>2850</v>
      </c>
      <c r="D345" s="9" t="s">
        <v>9847</v>
      </c>
      <c r="E345" s="9"/>
      <c r="F345" s="9" t="s">
        <v>9848</v>
      </c>
      <c r="G345" s="9" t="s">
        <v>9849</v>
      </c>
      <c r="H345" s="9" t="s">
        <v>9850</v>
      </c>
      <c r="I345" s="9"/>
      <c r="J345" s="9" t="s">
        <v>9851</v>
      </c>
      <c r="K345" s="9" t="s">
        <v>9852</v>
      </c>
      <c r="L345" s="9" t="s">
        <v>9853</v>
      </c>
      <c r="M345" s="9" t="s">
        <v>9854</v>
      </c>
      <c r="N345" s="9" t="str">
        <f>HYPERLINK("https://seichotoushi-hojo.jp/assets/pdf/koufu_3_4ji/outline_176.pdf","PDFを開く")</f>
        <v>PDFを開く</v>
      </c>
      <c r="O345" s="9" t="s">
        <v>2856</v>
      </c>
    </row>
    <row r="346" spans="1:15" ht="120" customHeight="1">
      <c r="A346" s="2" t="s">
        <v>2857</v>
      </c>
      <c r="B346" s="2" t="s">
        <v>2430</v>
      </c>
      <c r="C346" s="8" t="s">
        <v>2858</v>
      </c>
      <c r="D346" s="8" t="s">
        <v>9855</v>
      </c>
      <c r="E346" s="8"/>
      <c r="F346" s="8" t="s">
        <v>9856</v>
      </c>
      <c r="G346" s="8" t="s">
        <v>9857</v>
      </c>
      <c r="H346" s="8" t="s">
        <v>9858</v>
      </c>
      <c r="I346" s="8"/>
      <c r="J346" s="8" t="s">
        <v>9859</v>
      </c>
      <c r="K346" s="8" t="s">
        <v>9860</v>
      </c>
      <c r="L346" s="8" t="s">
        <v>9861</v>
      </c>
      <c r="M346" s="8" t="s">
        <v>9862</v>
      </c>
      <c r="N346" s="8" t="str">
        <f>HYPERLINK("https://seichotoushi-hojo.jp/assets/pdf/koufu_3_4ji/outline_177.pdf","PDFを開く")</f>
        <v>PDFを開く</v>
      </c>
      <c r="O346" s="8" t="s">
        <v>2864</v>
      </c>
    </row>
    <row r="347" spans="1:15" ht="120" customHeight="1">
      <c r="A347" s="5" t="s">
        <v>2865</v>
      </c>
      <c r="B347" s="5" t="s">
        <v>2430</v>
      </c>
      <c r="C347" s="9" t="s">
        <v>2866</v>
      </c>
      <c r="D347" s="9" t="s">
        <v>9863</v>
      </c>
      <c r="E347" s="9"/>
      <c r="F347" s="9" t="s">
        <v>9864</v>
      </c>
      <c r="G347" s="9" t="s">
        <v>9865</v>
      </c>
      <c r="H347" s="9" t="s">
        <v>9866</v>
      </c>
      <c r="I347" s="9"/>
      <c r="J347" s="9" t="s">
        <v>9867</v>
      </c>
      <c r="K347" s="9" t="s">
        <v>9868</v>
      </c>
      <c r="L347" s="9" t="s">
        <v>9869</v>
      </c>
      <c r="M347" s="9" t="s">
        <v>9870</v>
      </c>
      <c r="N347" s="9" t="str">
        <f>HYPERLINK("https://seichotoushi-hojo.jp/assets/pdf/koufu_3_4ji/outline_178.pdf","PDFを開く")</f>
        <v>PDFを開く</v>
      </c>
      <c r="O347" s="9" t="s">
        <v>2872</v>
      </c>
    </row>
    <row r="348" spans="1:15" ht="120" customHeight="1">
      <c r="A348" s="2" t="s">
        <v>2873</v>
      </c>
      <c r="B348" s="2" t="s">
        <v>2430</v>
      </c>
      <c r="C348" s="8" t="s">
        <v>2874</v>
      </c>
      <c r="D348" s="8" t="s">
        <v>9871</v>
      </c>
      <c r="E348" s="8"/>
      <c r="F348" s="8" t="s">
        <v>9872</v>
      </c>
      <c r="G348" s="8" t="s">
        <v>9873</v>
      </c>
      <c r="H348" s="8" t="s">
        <v>9874</v>
      </c>
      <c r="I348" s="8"/>
      <c r="J348" s="8" t="s">
        <v>9875</v>
      </c>
      <c r="K348" s="8" t="s">
        <v>9876</v>
      </c>
      <c r="L348" s="8" t="s">
        <v>9877</v>
      </c>
      <c r="M348" s="8" t="s">
        <v>9878</v>
      </c>
      <c r="N348" s="8" t="str">
        <f>HYPERLINK("https://seichotoushi-hojo.jp/assets/pdf/koufu_3_4ji/outline_179.pdf","PDFを開く")</f>
        <v>PDFを開く</v>
      </c>
      <c r="O348" s="8" t="s">
        <v>2880</v>
      </c>
    </row>
    <row r="349" spans="1:15" ht="120" customHeight="1">
      <c r="A349" s="5" t="s">
        <v>2881</v>
      </c>
      <c r="B349" s="5" t="s">
        <v>2430</v>
      </c>
      <c r="C349" s="9" t="s">
        <v>2882</v>
      </c>
      <c r="D349" s="9" t="s">
        <v>9879</v>
      </c>
      <c r="E349" s="9"/>
      <c r="F349" s="9" t="s">
        <v>9880</v>
      </c>
      <c r="G349" s="9" t="s">
        <v>9881</v>
      </c>
      <c r="H349" s="9" t="s">
        <v>9882</v>
      </c>
      <c r="I349" s="9"/>
      <c r="J349" s="9" t="s">
        <v>2886</v>
      </c>
      <c r="K349" s="9" t="s">
        <v>9883</v>
      </c>
      <c r="L349" s="9" t="s">
        <v>9884</v>
      </c>
      <c r="M349" s="9" t="s">
        <v>9885</v>
      </c>
      <c r="N349" s="9" t="str">
        <f>HYPERLINK("https://seichotoushi-hojo.jp/assets/pdf/koufu_3_4ji/outline_180.pdf","PDFを開く")</f>
        <v>PDFを開く</v>
      </c>
      <c r="O349" s="9" t="s">
        <v>2888</v>
      </c>
    </row>
    <row r="350" spans="1:15" ht="120" customHeight="1">
      <c r="A350" s="2" t="s">
        <v>2889</v>
      </c>
      <c r="B350" s="2" t="s">
        <v>2430</v>
      </c>
      <c r="C350" s="8" t="s">
        <v>2890</v>
      </c>
      <c r="D350" s="8" t="s">
        <v>9886</v>
      </c>
      <c r="E350" s="8"/>
      <c r="F350" s="8" t="s">
        <v>9887</v>
      </c>
      <c r="G350" s="8" t="s">
        <v>9888</v>
      </c>
      <c r="H350" s="8" t="s">
        <v>9889</v>
      </c>
      <c r="I350" s="8"/>
      <c r="J350" s="8" t="s">
        <v>2894</v>
      </c>
      <c r="K350" s="8" t="s">
        <v>9890</v>
      </c>
      <c r="L350" s="8" t="s">
        <v>9891</v>
      </c>
      <c r="M350" s="8" t="s">
        <v>9892</v>
      </c>
      <c r="N350" s="8" t="str">
        <f>HYPERLINK("https://seichotoushi-hojo.jp/assets/pdf/koufu_3_4ji/outline_181.pdf","PDFを開く")</f>
        <v>PDFを開く</v>
      </c>
      <c r="O350" s="8" t="s">
        <v>2896</v>
      </c>
    </row>
    <row r="351" spans="1:15" ht="120" customHeight="1">
      <c r="A351" s="5" t="s">
        <v>2897</v>
      </c>
      <c r="B351" s="5" t="s">
        <v>2430</v>
      </c>
      <c r="C351" s="9" t="s">
        <v>2898</v>
      </c>
      <c r="D351" s="9" t="s">
        <v>9893</v>
      </c>
      <c r="E351" s="9"/>
      <c r="F351" s="9" t="s">
        <v>9894</v>
      </c>
      <c r="G351" s="9" t="s">
        <v>9895</v>
      </c>
      <c r="H351" s="9" t="s">
        <v>9896</v>
      </c>
      <c r="I351" s="9"/>
      <c r="J351" s="9" t="s">
        <v>2900</v>
      </c>
      <c r="K351" s="9" t="s">
        <v>9897</v>
      </c>
      <c r="L351" s="9" t="s">
        <v>9898</v>
      </c>
      <c r="M351" s="9" t="s">
        <v>9899</v>
      </c>
      <c r="N351" s="9" t="str">
        <f>HYPERLINK("https://seichotoushi-hojo.jp/assets/pdf/koufu_3_4ji/outline_182.pdf","PDFを開く")</f>
        <v>PDFを開く</v>
      </c>
      <c r="O351" s="9" t="s">
        <v>2902</v>
      </c>
    </row>
    <row r="352" spans="1:15" ht="120" customHeight="1">
      <c r="A352" s="2" t="s">
        <v>2903</v>
      </c>
      <c r="B352" s="2" t="s">
        <v>2430</v>
      </c>
      <c r="C352" s="8" t="s">
        <v>2904</v>
      </c>
      <c r="D352" s="8" t="s">
        <v>9900</v>
      </c>
      <c r="E352" s="8"/>
      <c r="F352" s="8" t="s">
        <v>9901</v>
      </c>
      <c r="G352" s="8" t="s">
        <v>9902</v>
      </c>
      <c r="H352" s="8" t="s">
        <v>9903</v>
      </c>
      <c r="I352" s="8"/>
      <c r="J352" s="8" t="s">
        <v>2907</v>
      </c>
      <c r="K352" s="8" t="s">
        <v>9904</v>
      </c>
      <c r="L352" s="8" t="s">
        <v>9905</v>
      </c>
      <c r="M352" s="8" t="s">
        <v>9906</v>
      </c>
      <c r="N352" s="8" t="str">
        <f>HYPERLINK("https://seichotoushi-hojo.jp/assets/pdf/koufu_3_4ji/outline_183.pdf","PDFを開く")</f>
        <v>PDFを開く</v>
      </c>
      <c r="O352" s="8" t="s">
        <v>2909</v>
      </c>
    </row>
    <row r="353" spans="1:15" ht="120" customHeight="1">
      <c r="A353" s="5" t="s">
        <v>2910</v>
      </c>
      <c r="B353" s="5" t="s">
        <v>2430</v>
      </c>
      <c r="C353" s="9" t="s">
        <v>2911</v>
      </c>
      <c r="D353" s="9" t="s">
        <v>9907</v>
      </c>
      <c r="E353" s="9"/>
      <c r="F353" s="9" t="s">
        <v>9908</v>
      </c>
      <c r="G353" s="9" t="s">
        <v>9909</v>
      </c>
      <c r="H353" s="9" t="s">
        <v>9910</v>
      </c>
      <c r="I353" s="9"/>
      <c r="J353" s="9" t="s">
        <v>9911</v>
      </c>
      <c r="K353" s="9" t="s">
        <v>9912</v>
      </c>
      <c r="L353" s="9" t="s">
        <v>9913</v>
      </c>
      <c r="M353" s="9" t="s">
        <v>9914</v>
      </c>
      <c r="N353" s="9" t="str">
        <f>HYPERLINK("https://seichotoushi-hojo.jp/assets/pdf/koufu_3_4ji/outline_184.pdf","PDFを開く")</f>
        <v>PDFを開く</v>
      </c>
      <c r="O353" s="9" t="s">
        <v>2917</v>
      </c>
    </row>
    <row r="354" spans="1:15" ht="120" customHeight="1">
      <c r="A354" s="2" t="s">
        <v>2918</v>
      </c>
      <c r="B354" s="2" t="s">
        <v>2430</v>
      </c>
      <c r="C354" s="8" t="s">
        <v>2919</v>
      </c>
      <c r="D354" s="8" t="s">
        <v>9915</v>
      </c>
      <c r="E354" s="8"/>
      <c r="F354" s="8" t="s">
        <v>9916</v>
      </c>
      <c r="G354" s="8" t="s">
        <v>9917</v>
      </c>
      <c r="H354" s="8" t="s">
        <v>9918</v>
      </c>
      <c r="I354" s="8"/>
      <c r="J354" s="8" t="s">
        <v>2923</v>
      </c>
      <c r="K354" s="8" t="s">
        <v>9919</v>
      </c>
      <c r="L354" s="8" t="s">
        <v>9920</v>
      </c>
      <c r="M354" s="8" t="s">
        <v>9921</v>
      </c>
      <c r="N354" s="8" t="str">
        <f>HYPERLINK("https://seichotoushi-hojo.jp/assets/pdf/koufu_3_4ji/outline_187.pdf","PDFを開く")</f>
        <v>PDFを開く</v>
      </c>
      <c r="O354" s="8" t="s">
        <v>2925</v>
      </c>
    </row>
    <row r="355" spans="1:15" ht="120" customHeight="1">
      <c r="A355" s="5" t="s">
        <v>2926</v>
      </c>
      <c r="B355" s="5" t="s">
        <v>2430</v>
      </c>
      <c r="C355" s="9" t="s">
        <v>2927</v>
      </c>
      <c r="D355" s="9" t="s">
        <v>9922</v>
      </c>
      <c r="E355" s="9"/>
      <c r="F355" s="9" t="s">
        <v>9923</v>
      </c>
      <c r="G355" s="9" t="s">
        <v>9924</v>
      </c>
      <c r="H355" s="9" t="s">
        <v>9925</v>
      </c>
      <c r="I355" s="9"/>
      <c r="J355" s="9" t="s">
        <v>2931</v>
      </c>
      <c r="K355" s="9" t="s">
        <v>9926</v>
      </c>
      <c r="L355" s="9" t="s">
        <v>9927</v>
      </c>
      <c r="M355" s="9" t="s">
        <v>9928</v>
      </c>
      <c r="N355" s="9" t="str">
        <f>HYPERLINK("https://seichotoushi-hojo.jp/assets/pdf/koufu_3_4ji/outline_189.pdf","PDFを開く")</f>
        <v>PDFを開く</v>
      </c>
      <c r="O355" s="9" t="s">
        <v>2934</v>
      </c>
    </row>
    <row r="356" spans="1:15" ht="120" customHeight="1">
      <c r="A356" s="2" t="s">
        <v>2935</v>
      </c>
      <c r="B356" s="2" t="s">
        <v>2430</v>
      </c>
      <c r="C356" s="8" t="s">
        <v>2936</v>
      </c>
      <c r="D356" s="8" t="s">
        <v>9929</v>
      </c>
      <c r="E356" s="8"/>
      <c r="F356" s="8" t="s">
        <v>9930</v>
      </c>
      <c r="G356" s="8" t="s">
        <v>9931</v>
      </c>
      <c r="H356" s="8" t="s">
        <v>9932</v>
      </c>
      <c r="I356" s="8"/>
      <c r="J356" s="8" t="s">
        <v>2940</v>
      </c>
      <c r="K356" s="8" t="s">
        <v>9933</v>
      </c>
      <c r="L356" s="8" t="s">
        <v>9934</v>
      </c>
      <c r="M356" s="8" t="s">
        <v>9935</v>
      </c>
      <c r="N356" s="8" t="str">
        <f>HYPERLINK("https://seichotoushi-hojo.jp/assets/pdf/koufu_3_4ji/outline_191.pdf","PDFを開く")</f>
        <v>PDFを開く</v>
      </c>
      <c r="O356" s="8" t="s">
        <v>2942</v>
      </c>
    </row>
    <row r="357" spans="1:15" ht="120" customHeight="1">
      <c r="A357" s="5" t="s">
        <v>2943</v>
      </c>
      <c r="B357" s="5" t="s">
        <v>2430</v>
      </c>
      <c r="C357" s="9" t="s">
        <v>2944</v>
      </c>
      <c r="D357" s="9" t="s">
        <v>9936</v>
      </c>
      <c r="E357" s="9"/>
      <c r="F357" s="9" t="s">
        <v>9937</v>
      </c>
      <c r="G357" s="9" t="s">
        <v>9938</v>
      </c>
      <c r="H357" s="9" t="s">
        <v>9939</v>
      </c>
      <c r="I357" s="9"/>
      <c r="J357" s="9" t="s">
        <v>9940</v>
      </c>
      <c r="K357" s="9" t="s">
        <v>9941</v>
      </c>
      <c r="L357" s="9" t="s">
        <v>9942</v>
      </c>
      <c r="M357" s="9" t="s">
        <v>9943</v>
      </c>
      <c r="N357" s="9" t="str">
        <f>HYPERLINK("https://seichotoushi-hojo.jp/assets/pdf/koufu_3_4ji/outline_192.pdf","PDFを開く")</f>
        <v>PDFを開く</v>
      </c>
      <c r="O357" s="9" t="s">
        <v>2949</v>
      </c>
    </row>
    <row r="358" spans="1:15" ht="120" customHeight="1">
      <c r="A358" s="2" t="s">
        <v>2950</v>
      </c>
      <c r="B358" s="2" t="s">
        <v>2430</v>
      </c>
      <c r="C358" s="8" t="s">
        <v>2951</v>
      </c>
      <c r="D358" s="8" t="s">
        <v>9944</v>
      </c>
      <c r="E358" s="8"/>
      <c r="F358" s="8" t="s">
        <v>9945</v>
      </c>
      <c r="G358" s="8" t="s">
        <v>9946</v>
      </c>
      <c r="H358" s="8" t="s">
        <v>9947</v>
      </c>
      <c r="I358" s="8"/>
      <c r="J358" s="8" t="s">
        <v>9948</v>
      </c>
      <c r="K358" s="8" t="s">
        <v>9949</v>
      </c>
      <c r="L358" s="8" t="s">
        <v>9950</v>
      </c>
      <c r="M358" s="8" t="s">
        <v>9951</v>
      </c>
      <c r="N358" s="8" t="str">
        <f>HYPERLINK("https://seichotoushi-hojo.jp/assets/pdf/koufu_3_4ji/outline_193.pdf","PDFを開く")</f>
        <v>PDFを開く</v>
      </c>
      <c r="O358" s="8" t="s">
        <v>2957</v>
      </c>
    </row>
    <row r="359" spans="1:15" ht="120" customHeight="1">
      <c r="A359" s="5" t="s">
        <v>2958</v>
      </c>
      <c r="B359" s="5" t="s">
        <v>2430</v>
      </c>
      <c r="C359" s="9" t="s">
        <v>2959</v>
      </c>
      <c r="D359" s="9" t="s">
        <v>9952</v>
      </c>
      <c r="E359" s="9"/>
      <c r="F359" s="9" t="s">
        <v>9953</v>
      </c>
      <c r="G359" s="9" t="s">
        <v>9954</v>
      </c>
      <c r="H359" s="9" t="s">
        <v>9955</v>
      </c>
      <c r="I359" s="9"/>
      <c r="J359" s="9" t="s">
        <v>9956</v>
      </c>
      <c r="K359" s="9" t="s">
        <v>9957</v>
      </c>
      <c r="L359" s="9" t="s">
        <v>9958</v>
      </c>
      <c r="M359" s="9" t="s">
        <v>9959</v>
      </c>
      <c r="N359" s="9" t="str">
        <f>HYPERLINK("https://seichotoushi-hojo.jp/assets/pdf/koufu_3_4ji/outline_194.pdf","PDFを開く")</f>
        <v>PDFを開く</v>
      </c>
      <c r="O359" s="9" t="s">
        <v>2964</v>
      </c>
    </row>
    <row r="360" spans="1:15" ht="120" customHeight="1">
      <c r="A360" s="2" t="s">
        <v>2965</v>
      </c>
      <c r="B360" s="2" t="s">
        <v>2430</v>
      </c>
      <c r="C360" s="8" t="s">
        <v>2966</v>
      </c>
      <c r="D360" s="8" t="s">
        <v>9960</v>
      </c>
      <c r="E360" s="8"/>
      <c r="F360" s="8" t="s">
        <v>9961</v>
      </c>
      <c r="G360" s="8" t="s">
        <v>9962</v>
      </c>
      <c r="H360" s="8" t="s">
        <v>9963</v>
      </c>
      <c r="I360" s="8"/>
      <c r="J360" s="8" t="s">
        <v>9964</v>
      </c>
      <c r="K360" s="8" t="s">
        <v>9965</v>
      </c>
      <c r="L360" s="8" t="s">
        <v>9966</v>
      </c>
      <c r="M360" s="8" t="s">
        <v>9967</v>
      </c>
      <c r="N360" s="8" t="str">
        <f>HYPERLINK("https://seichotoushi-hojo.jp/assets/pdf/koufu_3_4ji/outline_195.pdf","PDFを開く")</f>
        <v>PDFを開く</v>
      </c>
      <c r="O360" s="8" t="s">
        <v>2971</v>
      </c>
    </row>
    <row r="361" spans="1:15" ht="120" customHeight="1">
      <c r="A361" s="5" t="s">
        <v>2972</v>
      </c>
      <c r="B361" s="5" t="s">
        <v>2430</v>
      </c>
      <c r="C361" s="9" t="s">
        <v>2973</v>
      </c>
      <c r="D361" s="9" t="s">
        <v>9968</v>
      </c>
      <c r="E361" s="9"/>
      <c r="F361" s="9" t="s">
        <v>9969</v>
      </c>
      <c r="G361" s="9" t="s">
        <v>9970</v>
      </c>
      <c r="H361" s="9" t="s">
        <v>9971</v>
      </c>
      <c r="I361" s="9"/>
      <c r="J361" s="9" t="s">
        <v>2977</v>
      </c>
      <c r="K361" s="9" t="s">
        <v>9972</v>
      </c>
      <c r="L361" s="9" t="s">
        <v>9973</v>
      </c>
      <c r="M361" s="9" t="s">
        <v>9974</v>
      </c>
      <c r="N361" s="9" t="str">
        <f>HYPERLINK("https://seichotoushi-hojo.jp/assets/pdf/koufu_3_4ji/outline_196.pdf","PDFを開く")</f>
        <v>PDFを開く</v>
      </c>
      <c r="O361" s="9" t="s">
        <v>2979</v>
      </c>
    </row>
    <row r="362" spans="1:15" ht="120" customHeight="1">
      <c r="A362" s="2" t="s">
        <v>2980</v>
      </c>
      <c r="B362" s="2" t="s">
        <v>2430</v>
      </c>
      <c r="C362" s="8" t="s">
        <v>2981</v>
      </c>
      <c r="D362" s="8" t="s">
        <v>9975</v>
      </c>
      <c r="E362" s="8"/>
      <c r="F362" s="8" t="s">
        <v>9976</v>
      </c>
      <c r="G362" s="8" t="s">
        <v>9977</v>
      </c>
      <c r="H362" s="8" t="s">
        <v>9978</v>
      </c>
      <c r="I362" s="8"/>
      <c r="J362" s="8" t="s">
        <v>9979</v>
      </c>
      <c r="K362" s="8" t="s">
        <v>9980</v>
      </c>
      <c r="L362" s="8" t="s">
        <v>9981</v>
      </c>
      <c r="M362" s="8" t="s">
        <v>9982</v>
      </c>
      <c r="N362" s="8" t="str">
        <f>HYPERLINK("https://seichotoushi-hojo.jp/assets/pdf/koufu_3_4ji/outline_199.pdf","PDFを開く")</f>
        <v>PDFを開く</v>
      </c>
      <c r="O362" s="8" t="s">
        <v>2986</v>
      </c>
    </row>
    <row r="363" spans="1:15" ht="120" customHeight="1">
      <c r="A363" s="5" t="s">
        <v>2987</v>
      </c>
      <c r="B363" s="5" t="s">
        <v>2430</v>
      </c>
      <c r="C363" s="9" t="s">
        <v>2988</v>
      </c>
      <c r="D363" s="9" t="s">
        <v>9983</v>
      </c>
      <c r="E363" s="9"/>
      <c r="F363" s="9" t="s">
        <v>9984</v>
      </c>
      <c r="G363" s="9" t="s">
        <v>9985</v>
      </c>
      <c r="H363" s="9" t="s">
        <v>9986</v>
      </c>
      <c r="I363" s="9"/>
      <c r="J363" s="9" t="s">
        <v>2992</v>
      </c>
      <c r="K363" s="9" t="s">
        <v>9987</v>
      </c>
      <c r="L363" s="9" t="s">
        <v>9988</v>
      </c>
      <c r="M363" s="9" t="s">
        <v>9989</v>
      </c>
      <c r="N363" s="9" t="str">
        <f>HYPERLINK("https://seichotoushi-hojo.jp/assets/pdf/koufu_3_4ji/outline_200.pdf","PDFを開く")</f>
        <v>PDFを開く</v>
      </c>
      <c r="O363" s="9" t="s">
        <v>2994</v>
      </c>
    </row>
    <row r="364" spans="1:15" ht="120" customHeight="1">
      <c r="A364" s="2" t="s">
        <v>2995</v>
      </c>
      <c r="B364" s="2" t="s">
        <v>2430</v>
      </c>
      <c r="C364" s="8" t="s">
        <v>2996</v>
      </c>
      <c r="D364" s="8" t="s">
        <v>9990</v>
      </c>
      <c r="E364" s="8"/>
      <c r="F364" s="8" t="s">
        <v>9991</v>
      </c>
      <c r="G364" s="8" t="s">
        <v>9992</v>
      </c>
      <c r="H364" s="8" t="s">
        <v>9993</v>
      </c>
      <c r="I364" s="8"/>
      <c r="J364" s="8"/>
      <c r="K364" s="8" t="s">
        <v>9994</v>
      </c>
      <c r="L364" s="8" t="s">
        <v>9995</v>
      </c>
      <c r="M364" s="8" t="s">
        <v>9996</v>
      </c>
      <c r="N364" s="8" t="str">
        <f>HYPERLINK("https://seichotoushi-hojo.jp/assets/pdf/koufu_3_4ji/outline_201.pdf","PDFを開く")</f>
        <v>PDFを開く</v>
      </c>
      <c r="O364" s="8" t="s">
        <v>3001</v>
      </c>
    </row>
    <row r="365" spans="1:15" ht="120" customHeight="1">
      <c r="A365" s="5" t="s">
        <v>3002</v>
      </c>
      <c r="B365" s="5" t="s">
        <v>2430</v>
      </c>
      <c r="C365" s="9" t="s">
        <v>3003</v>
      </c>
      <c r="D365" s="9" t="s">
        <v>9997</v>
      </c>
      <c r="E365" s="9"/>
      <c r="F365" s="9" t="s">
        <v>9998</v>
      </c>
      <c r="G365" s="9" t="s">
        <v>9999</v>
      </c>
      <c r="H365" s="9" t="s">
        <v>10000</v>
      </c>
      <c r="I365" s="9"/>
      <c r="J365" s="9" t="s">
        <v>3007</v>
      </c>
      <c r="K365" s="9" t="s">
        <v>10001</v>
      </c>
      <c r="L365" s="9" t="s">
        <v>10002</v>
      </c>
      <c r="M365" s="9" t="s">
        <v>10003</v>
      </c>
      <c r="N365" s="9" t="str">
        <f>HYPERLINK("https://seichotoushi-hojo.jp/assets/pdf/koufu_3_4ji/outline_202.pdf","PDFを開く")</f>
        <v>PDFを開く</v>
      </c>
      <c r="O365" s="9" t="s">
        <v>3009</v>
      </c>
    </row>
    <row r="366" spans="1:15" ht="120" customHeight="1">
      <c r="A366" s="2" t="s">
        <v>3010</v>
      </c>
      <c r="B366" s="2" t="s">
        <v>2430</v>
      </c>
      <c r="C366" s="8" t="s">
        <v>3011</v>
      </c>
      <c r="D366" s="8" t="s">
        <v>10004</v>
      </c>
      <c r="E366" s="8" t="s">
        <v>10005</v>
      </c>
      <c r="F366" s="8" t="s">
        <v>10006</v>
      </c>
      <c r="G366" s="8" t="s">
        <v>10007</v>
      </c>
      <c r="H366" s="8" t="s">
        <v>10008</v>
      </c>
      <c r="I366" s="8"/>
      <c r="J366" s="8"/>
      <c r="K366" s="8" t="s">
        <v>10009</v>
      </c>
      <c r="L366" s="8" t="s">
        <v>10010</v>
      </c>
      <c r="M366" s="8" t="s">
        <v>10011</v>
      </c>
      <c r="N366" s="8" t="str">
        <f>HYPERLINK("https://seichotoushi-hojo.jp/assets/pdf/koufu_3_4ji/outline_204.pdf","PDFを開く")</f>
        <v>PDFを開く</v>
      </c>
      <c r="O366" s="8" t="s">
        <v>3018</v>
      </c>
    </row>
    <row r="367" spans="1:15" ht="120" customHeight="1">
      <c r="A367" s="5" t="s">
        <v>3019</v>
      </c>
      <c r="B367" s="5" t="s">
        <v>2430</v>
      </c>
      <c r="C367" s="9" t="s">
        <v>3020</v>
      </c>
      <c r="D367" s="9" t="s">
        <v>10012</v>
      </c>
      <c r="E367" s="9"/>
      <c r="F367" s="9" t="s">
        <v>10013</v>
      </c>
      <c r="G367" s="9" t="s">
        <v>10014</v>
      </c>
      <c r="H367" s="9" t="s">
        <v>10015</v>
      </c>
      <c r="I367" s="9"/>
      <c r="J367" s="9" t="s">
        <v>10016</v>
      </c>
      <c r="K367" s="9" t="s">
        <v>10017</v>
      </c>
      <c r="L367" s="9" t="s">
        <v>10018</v>
      </c>
      <c r="M367" s="9" t="s">
        <v>10019</v>
      </c>
      <c r="N367" s="9" t="str">
        <f>HYPERLINK("https://seichotoushi-hojo.jp/assets/pdf/koufu_3_4ji/outline_206.pdf","PDFを開く")</f>
        <v>PDFを開く</v>
      </c>
      <c r="O367" s="9" t="s">
        <v>3025</v>
      </c>
    </row>
    <row r="368" spans="1:15" ht="120" customHeight="1">
      <c r="A368" s="2" t="s">
        <v>3026</v>
      </c>
      <c r="B368" s="2" t="s">
        <v>2430</v>
      </c>
      <c r="C368" s="8" t="s">
        <v>3027</v>
      </c>
      <c r="D368" s="8" t="s">
        <v>10020</v>
      </c>
      <c r="E368" s="8"/>
      <c r="F368" s="8" t="s">
        <v>10021</v>
      </c>
      <c r="G368" s="8" t="s">
        <v>10022</v>
      </c>
      <c r="H368" s="8" t="s">
        <v>10023</v>
      </c>
      <c r="I368" s="8"/>
      <c r="J368" s="8" t="s">
        <v>10024</v>
      </c>
      <c r="K368" s="8" t="s">
        <v>10025</v>
      </c>
      <c r="L368" s="8" t="s">
        <v>10026</v>
      </c>
      <c r="M368" s="8" t="s">
        <v>10027</v>
      </c>
      <c r="N368" s="8" t="str">
        <f>HYPERLINK("https://seichotoushi-hojo.jp/assets/pdf/koufu_3_4ji/outline_207.pdf","PDFを開く")</f>
        <v>PDFを開く</v>
      </c>
      <c r="O368" s="8" t="s">
        <v>3033</v>
      </c>
    </row>
    <row r="369" spans="1:15" ht="120" customHeight="1">
      <c r="A369" s="5" t="s">
        <v>3034</v>
      </c>
      <c r="B369" s="5" t="s">
        <v>2430</v>
      </c>
      <c r="C369" s="9" t="s">
        <v>3035</v>
      </c>
      <c r="D369" s="9" t="s">
        <v>10028</v>
      </c>
      <c r="E369" s="9"/>
      <c r="F369" s="9" t="s">
        <v>10029</v>
      </c>
      <c r="G369" s="9" t="s">
        <v>10030</v>
      </c>
      <c r="H369" s="9" t="s">
        <v>10031</v>
      </c>
      <c r="I369" s="9"/>
      <c r="J369" s="9" t="s">
        <v>3038</v>
      </c>
      <c r="K369" s="9" t="s">
        <v>10032</v>
      </c>
      <c r="L369" s="9" t="s">
        <v>10033</v>
      </c>
      <c r="M369" s="9" t="s">
        <v>10034</v>
      </c>
      <c r="N369" s="9" t="str">
        <f>HYPERLINK("https://seichotoushi-hojo.jp/assets/pdf/koufu_3_4ji/outline_208.pdf","PDFを開く")</f>
        <v>PDFを開く</v>
      </c>
      <c r="O369" s="9" t="s">
        <v>3040</v>
      </c>
    </row>
    <row r="370" spans="1:15" ht="120" customHeight="1">
      <c r="A370" s="2" t="s">
        <v>3041</v>
      </c>
      <c r="B370" s="2" t="s">
        <v>2430</v>
      </c>
      <c r="C370" s="8" t="s">
        <v>3042</v>
      </c>
      <c r="D370" s="8" t="s">
        <v>10035</v>
      </c>
      <c r="E370" s="8"/>
      <c r="F370" s="8" t="s">
        <v>10036</v>
      </c>
      <c r="G370" s="8" t="s">
        <v>10037</v>
      </c>
      <c r="H370" s="8" t="s">
        <v>10038</v>
      </c>
      <c r="I370" s="8"/>
      <c r="J370" s="8" t="s">
        <v>10039</v>
      </c>
      <c r="K370" s="8" t="s">
        <v>10040</v>
      </c>
      <c r="L370" s="8" t="s">
        <v>10041</v>
      </c>
      <c r="M370" s="8" t="s">
        <v>10042</v>
      </c>
      <c r="N370" s="8" t="str">
        <f>HYPERLINK("https://seichotoushi-hojo.jp/assets/pdf/koufu_3_4ji/outline_210.pdf","PDFを開く")</f>
        <v>PDFを開く</v>
      </c>
      <c r="O370" s="8" t="s">
        <v>3048</v>
      </c>
    </row>
    <row r="371" spans="1:15" ht="120" customHeight="1">
      <c r="A371" s="5" t="s">
        <v>3049</v>
      </c>
      <c r="B371" s="5" t="s">
        <v>2430</v>
      </c>
      <c r="C371" s="9" t="s">
        <v>3050</v>
      </c>
      <c r="D371" s="9" t="s">
        <v>10043</v>
      </c>
      <c r="E371" s="9"/>
      <c r="F371" s="9" t="s">
        <v>10044</v>
      </c>
      <c r="G371" s="9" t="s">
        <v>10045</v>
      </c>
      <c r="H371" s="9" t="s">
        <v>10046</v>
      </c>
      <c r="I371" s="9"/>
      <c r="J371" s="9" t="s">
        <v>3054</v>
      </c>
      <c r="K371" s="9" t="s">
        <v>10047</v>
      </c>
      <c r="L371" s="9" t="s">
        <v>10048</v>
      </c>
      <c r="M371" s="9" t="s">
        <v>10049</v>
      </c>
      <c r="N371" s="9" t="str">
        <f>HYPERLINK("https://seichotoushi-hojo.jp/assets/pdf/koufu_3_4ji/outline_211.pdf","PDFを開く")</f>
        <v>PDFを開く</v>
      </c>
      <c r="O371" s="9" t="s">
        <v>3056</v>
      </c>
    </row>
    <row r="372" spans="1:15" ht="120" customHeight="1">
      <c r="A372" s="2" t="s">
        <v>3057</v>
      </c>
      <c r="B372" s="2" t="s">
        <v>2430</v>
      </c>
      <c r="C372" s="8" t="s">
        <v>3058</v>
      </c>
      <c r="D372" s="8" t="s">
        <v>10050</v>
      </c>
      <c r="E372" s="8"/>
      <c r="F372" s="8" t="s">
        <v>10051</v>
      </c>
      <c r="G372" s="8" t="s">
        <v>10052</v>
      </c>
      <c r="H372" s="8" t="s">
        <v>10053</v>
      </c>
      <c r="I372" s="8"/>
      <c r="J372" s="8" t="s">
        <v>3062</v>
      </c>
      <c r="K372" s="8" t="s">
        <v>10054</v>
      </c>
      <c r="L372" s="8" t="s">
        <v>10055</v>
      </c>
      <c r="M372" s="8" t="s">
        <v>10056</v>
      </c>
      <c r="N372" s="8" t="str">
        <f>HYPERLINK("https://seichotoushi-hojo.jp/assets/pdf/koufu_3_4ji/outline_213.pdf","PDFを開く")</f>
        <v>PDFを開く</v>
      </c>
      <c r="O372" s="8" t="s">
        <v>3064</v>
      </c>
    </row>
    <row r="373" spans="1:15" ht="120" customHeight="1">
      <c r="A373" s="5" t="s">
        <v>3065</v>
      </c>
      <c r="B373" s="5" t="s">
        <v>2430</v>
      </c>
      <c r="C373" s="9" t="s">
        <v>3066</v>
      </c>
      <c r="D373" s="9" t="s">
        <v>10057</v>
      </c>
      <c r="E373" s="9"/>
      <c r="F373" s="9" t="s">
        <v>10058</v>
      </c>
      <c r="G373" s="9" t="s">
        <v>10059</v>
      </c>
      <c r="H373" s="9" t="s">
        <v>10060</v>
      </c>
      <c r="I373" s="9"/>
      <c r="J373" s="9" t="s">
        <v>3069</v>
      </c>
      <c r="K373" s="9" t="s">
        <v>10061</v>
      </c>
      <c r="L373" s="9" t="s">
        <v>10062</v>
      </c>
      <c r="M373" s="9" t="s">
        <v>10063</v>
      </c>
      <c r="N373" s="9" t="str">
        <f>HYPERLINK("https://seichotoushi-hojo.jp/assets/pdf/koufu_3_4ji/outline_217.pdf","PDFを開く")</f>
        <v>PDFを開く</v>
      </c>
      <c r="O373" s="9" t="s">
        <v>3071</v>
      </c>
    </row>
    <row r="374" spans="1:15" ht="120" customHeight="1">
      <c r="A374" s="2" t="s">
        <v>3072</v>
      </c>
      <c r="B374" s="2" t="s">
        <v>2430</v>
      </c>
      <c r="C374" s="8" t="s">
        <v>3073</v>
      </c>
      <c r="D374" s="8" t="s">
        <v>10064</v>
      </c>
      <c r="E374" s="8"/>
      <c r="F374" s="8" t="s">
        <v>10065</v>
      </c>
      <c r="G374" s="8" t="s">
        <v>10066</v>
      </c>
      <c r="H374" s="8" t="s">
        <v>10067</v>
      </c>
      <c r="I374" s="8"/>
      <c r="J374" s="8" t="s">
        <v>3076</v>
      </c>
      <c r="K374" s="8" t="s">
        <v>10068</v>
      </c>
      <c r="L374" s="8" t="s">
        <v>10069</v>
      </c>
      <c r="M374" s="8" t="s">
        <v>10070</v>
      </c>
      <c r="N374" s="8" t="str">
        <f>HYPERLINK("https://seichotoushi-hojo.jp/assets/pdf/koufu_3_4ji/outline_218.pdf","PDFを開く")</f>
        <v>PDFを開く</v>
      </c>
      <c r="O374" s="8" t="s">
        <v>3078</v>
      </c>
    </row>
    <row r="375" spans="1:15" ht="120" customHeight="1">
      <c r="A375" s="5" t="s">
        <v>3079</v>
      </c>
      <c r="B375" s="5" t="s">
        <v>2430</v>
      </c>
      <c r="C375" s="9" t="s">
        <v>3080</v>
      </c>
      <c r="D375" s="9" t="s">
        <v>10071</v>
      </c>
      <c r="E375" s="9"/>
      <c r="F375" s="9" t="s">
        <v>10072</v>
      </c>
      <c r="G375" s="9" t="s">
        <v>10073</v>
      </c>
      <c r="H375" s="9" t="s">
        <v>10074</v>
      </c>
      <c r="I375" s="9"/>
      <c r="J375" s="9" t="s">
        <v>3084</v>
      </c>
      <c r="K375" s="9" t="s">
        <v>10075</v>
      </c>
      <c r="L375" s="9" t="s">
        <v>10076</v>
      </c>
      <c r="M375" s="9" t="s">
        <v>10077</v>
      </c>
      <c r="N375" s="9" t="str">
        <f>HYPERLINK("https://seichotoushi-hojo.jp/assets/pdf/koufu_3_4ji/outline_219.pdf","PDFを開く")</f>
        <v>PDFを開く</v>
      </c>
      <c r="O375" s="9" t="s">
        <v>3086</v>
      </c>
    </row>
    <row r="376" spans="1:15" ht="120" customHeight="1">
      <c r="A376" s="2" t="s">
        <v>3087</v>
      </c>
      <c r="B376" s="2" t="s">
        <v>2430</v>
      </c>
      <c r="C376" s="8" t="s">
        <v>3088</v>
      </c>
      <c r="D376" s="8" t="s">
        <v>10078</v>
      </c>
      <c r="E376" s="8"/>
      <c r="F376" s="8" t="s">
        <v>10079</v>
      </c>
      <c r="G376" s="8" t="s">
        <v>10080</v>
      </c>
      <c r="H376" s="8" t="s">
        <v>10081</v>
      </c>
      <c r="I376" s="8"/>
      <c r="J376" s="8" t="s">
        <v>10082</v>
      </c>
      <c r="K376" s="8" t="s">
        <v>10083</v>
      </c>
      <c r="L376" s="8" t="s">
        <v>10084</v>
      </c>
      <c r="M376" s="8" t="s">
        <v>10085</v>
      </c>
      <c r="N376" s="8" t="str">
        <f>HYPERLINK("https://seichotoushi-hojo.jp/assets/pdf/koufu_3_4ji/outline_220.pdf","PDFを開く")</f>
        <v>PDFを開く</v>
      </c>
      <c r="O376" s="8" t="s">
        <v>3093</v>
      </c>
    </row>
    <row r="377" spans="1:15" ht="120" customHeight="1">
      <c r="A377" s="5" t="s">
        <v>3094</v>
      </c>
      <c r="B377" s="5" t="s">
        <v>2430</v>
      </c>
      <c r="C377" s="9" t="s">
        <v>3095</v>
      </c>
      <c r="D377" s="9" t="s">
        <v>10086</v>
      </c>
      <c r="E377" s="9"/>
      <c r="F377" s="9" t="s">
        <v>10087</v>
      </c>
      <c r="G377" s="9" t="s">
        <v>10088</v>
      </c>
      <c r="H377" s="9" t="s">
        <v>10089</v>
      </c>
      <c r="I377" s="9"/>
      <c r="J377" s="9" t="s">
        <v>3099</v>
      </c>
      <c r="K377" s="9" t="s">
        <v>10090</v>
      </c>
      <c r="L377" s="9" t="s">
        <v>10091</v>
      </c>
      <c r="M377" s="9" t="s">
        <v>10092</v>
      </c>
      <c r="N377" s="9" t="str">
        <f>HYPERLINK("https://seichotoushi-hojo.jp/assets/pdf/koufu_3_4ji/outline_221.pdf","PDFを開く")</f>
        <v>PDFを開く</v>
      </c>
      <c r="O377" s="9" t="s">
        <v>3101</v>
      </c>
    </row>
    <row r="378" spans="1:15" ht="120" customHeight="1">
      <c r="A378" s="2" t="s">
        <v>3102</v>
      </c>
      <c r="B378" s="2" t="s">
        <v>2430</v>
      </c>
      <c r="C378" s="8" t="s">
        <v>3103</v>
      </c>
      <c r="D378" s="8" t="s">
        <v>10093</v>
      </c>
      <c r="E378" s="8"/>
      <c r="F378" s="8" t="s">
        <v>10094</v>
      </c>
      <c r="G378" s="8" t="s">
        <v>10095</v>
      </c>
      <c r="H378" s="8" t="s">
        <v>10096</v>
      </c>
      <c r="I378" s="8"/>
      <c r="J378" s="8" t="s">
        <v>3106</v>
      </c>
      <c r="K378" s="8" t="s">
        <v>10097</v>
      </c>
      <c r="L378" s="8" t="s">
        <v>10098</v>
      </c>
      <c r="M378" s="8" t="s">
        <v>10099</v>
      </c>
      <c r="N378" s="8" t="str">
        <f>HYPERLINK("https://seichotoushi-hojo.jp/assets/pdf/koufu_3_4ji/outline_222.pdf","PDFを開く")</f>
        <v>PDFを開く</v>
      </c>
      <c r="O378" s="8" t="s">
        <v>3108</v>
      </c>
    </row>
    <row r="379" spans="1:15" ht="120" customHeight="1">
      <c r="A379" s="5" t="s">
        <v>3109</v>
      </c>
      <c r="B379" s="5" t="s">
        <v>2430</v>
      </c>
      <c r="C379" s="9" t="s">
        <v>3110</v>
      </c>
      <c r="D379" s="9" t="s">
        <v>10100</v>
      </c>
      <c r="E379" s="9"/>
      <c r="F379" s="9" t="s">
        <v>10101</v>
      </c>
      <c r="G379" s="9" t="s">
        <v>10102</v>
      </c>
      <c r="H379" s="9" t="s">
        <v>10103</v>
      </c>
      <c r="I379" s="9"/>
      <c r="J379" s="9" t="s">
        <v>3113</v>
      </c>
      <c r="K379" s="9" t="s">
        <v>10104</v>
      </c>
      <c r="L379" s="9" t="s">
        <v>10105</v>
      </c>
      <c r="M379" s="9" t="s">
        <v>10106</v>
      </c>
      <c r="N379" s="9" t="str">
        <f>HYPERLINK("https://seichotoushi-hojo.jp/assets/pdf/koufu_3_4ji/outline_223.pdf","PDFを開く")</f>
        <v>PDFを開く</v>
      </c>
      <c r="O379" s="9" t="s">
        <v>3116</v>
      </c>
    </row>
    <row r="380" spans="1:15" ht="120" customHeight="1">
      <c r="A380" s="2" t="s">
        <v>3117</v>
      </c>
      <c r="B380" s="2" t="s">
        <v>2430</v>
      </c>
      <c r="C380" s="8" t="s">
        <v>3118</v>
      </c>
      <c r="D380" s="8" t="s">
        <v>10107</v>
      </c>
      <c r="E380" s="8"/>
      <c r="F380" s="8" t="s">
        <v>9578</v>
      </c>
      <c r="G380" s="8" t="s">
        <v>10108</v>
      </c>
      <c r="H380" s="8" t="s">
        <v>10109</v>
      </c>
      <c r="I380" s="8"/>
      <c r="J380" s="8" t="s">
        <v>3122</v>
      </c>
      <c r="K380" s="8" t="s">
        <v>10110</v>
      </c>
      <c r="L380" s="8" t="s">
        <v>10111</v>
      </c>
      <c r="M380" s="8" t="s">
        <v>10112</v>
      </c>
      <c r="N380" s="8" t="str">
        <f>HYPERLINK("https://seichotoushi-hojo.jp/assets/pdf/koufu_3_4ji/outline_225.pdf","PDFを開く")</f>
        <v>PDFを開く</v>
      </c>
      <c r="O380" s="8" t="s">
        <v>3124</v>
      </c>
    </row>
    <row r="381" spans="1:15" ht="120" customHeight="1">
      <c r="A381" s="5" t="s">
        <v>3125</v>
      </c>
      <c r="B381" s="5" t="s">
        <v>2430</v>
      </c>
      <c r="C381" s="9" t="s">
        <v>3126</v>
      </c>
      <c r="D381" s="9" t="s">
        <v>10113</v>
      </c>
      <c r="E381" s="9"/>
      <c r="F381" s="9" t="s">
        <v>10114</v>
      </c>
      <c r="G381" s="9" t="s">
        <v>10115</v>
      </c>
      <c r="H381" s="9" t="s">
        <v>10116</v>
      </c>
      <c r="I381" s="9"/>
      <c r="J381" s="9" t="s">
        <v>3130</v>
      </c>
      <c r="K381" s="9" t="s">
        <v>10117</v>
      </c>
      <c r="L381" s="9" t="s">
        <v>10118</v>
      </c>
      <c r="M381" s="9" t="s">
        <v>10119</v>
      </c>
      <c r="N381" s="9" t="str">
        <f>HYPERLINK("https://seichotoushi-hojo.jp/assets/pdf/koufu_3_4ji/outline_226.pdf","PDFを開く")</f>
        <v>PDFを開く</v>
      </c>
      <c r="O381" s="9" t="s">
        <v>3132</v>
      </c>
    </row>
    <row r="382" spans="1:15" ht="120" customHeight="1">
      <c r="A382" s="2" t="s">
        <v>3133</v>
      </c>
      <c r="B382" s="2" t="s">
        <v>2430</v>
      </c>
      <c r="C382" s="8" t="s">
        <v>3134</v>
      </c>
      <c r="D382" s="8" t="s">
        <v>10120</v>
      </c>
      <c r="E382" s="8"/>
      <c r="F382" s="8" t="s">
        <v>10121</v>
      </c>
      <c r="G382" s="8" t="s">
        <v>10122</v>
      </c>
      <c r="H382" s="8" t="s">
        <v>10123</v>
      </c>
      <c r="I382" s="8"/>
      <c r="J382" s="8" t="s">
        <v>3138</v>
      </c>
      <c r="K382" s="8" t="s">
        <v>10124</v>
      </c>
      <c r="L382" s="8" t="s">
        <v>10125</v>
      </c>
      <c r="M382" s="8" t="s">
        <v>10126</v>
      </c>
      <c r="N382" s="8" t="str">
        <f>HYPERLINK("https://seichotoushi-hojo.jp/assets/pdf/koufu_3_4ji/outline_227.pdf","PDFを開く")</f>
        <v>PDFを開く</v>
      </c>
      <c r="O382" s="8" t="s">
        <v>3140</v>
      </c>
    </row>
    <row r="383" spans="1:15" ht="120" customHeight="1">
      <c r="A383" s="5" t="s">
        <v>3141</v>
      </c>
      <c r="B383" s="5" t="s">
        <v>2430</v>
      </c>
      <c r="C383" s="9" t="s">
        <v>3142</v>
      </c>
      <c r="D383" s="9" t="s">
        <v>10127</v>
      </c>
      <c r="E383" s="9"/>
      <c r="F383" s="9" t="s">
        <v>10128</v>
      </c>
      <c r="G383" s="9"/>
      <c r="H383" s="9"/>
      <c r="I383" s="9"/>
      <c r="J383" s="9" t="s">
        <v>3145</v>
      </c>
      <c r="K383" s="9" t="s">
        <v>10129</v>
      </c>
      <c r="L383" s="9" t="s">
        <v>10130</v>
      </c>
      <c r="M383" s="9" t="s">
        <v>10131</v>
      </c>
      <c r="N383" s="9" t="str">
        <f>HYPERLINK("https://seichotoushi-hojo.jp/assets/pdf/koufu_3_4ji/outline_228.pdf","PDFを開く")</f>
        <v>PDFを開く</v>
      </c>
      <c r="O383" s="9" t="s">
        <v>3148</v>
      </c>
    </row>
    <row r="384" spans="1:15" ht="120" customHeight="1">
      <c r="A384" s="2" t="s">
        <v>3149</v>
      </c>
      <c r="B384" s="2" t="s">
        <v>2430</v>
      </c>
      <c r="C384" s="8" t="s">
        <v>3150</v>
      </c>
      <c r="D384" s="8" t="s">
        <v>10132</v>
      </c>
      <c r="E384" s="8"/>
      <c r="F384" s="8" t="s">
        <v>10133</v>
      </c>
      <c r="G384" s="8" t="s">
        <v>10134</v>
      </c>
      <c r="H384" s="8" t="s">
        <v>10135</v>
      </c>
      <c r="I384" s="8"/>
      <c r="J384" s="8" t="s">
        <v>10136</v>
      </c>
      <c r="K384" s="8" t="s">
        <v>10137</v>
      </c>
      <c r="L384" s="8" t="s">
        <v>10138</v>
      </c>
      <c r="M384" s="8" t="s">
        <v>10139</v>
      </c>
      <c r="N384" s="8" t="str">
        <f>HYPERLINK("https://seichotoushi-hojo.jp/assets/pdf/koufu_3_4ji/outline_230.pdf","PDFを開く")</f>
        <v>PDFを開く</v>
      </c>
      <c r="O384" s="8" t="s">
        <v>3154</v>
      </c>
    </row>
    <row r="385" spans="1:15" ht="120" customHeight="1">
      <c r="A385" s="6" t="s">
        <v>3155</v>
      </c>
      <c r="B385" s="6" t="s">
        <v>2430</v>
      </c>
      <c r="C385" s="10" t="s">
        <v>3156</v>
      </c>
      <c r="D385" s="10" t="s">
        <v>10140</v>
      </c>
      <c r="E385" s="10" t="s">
        <v>10141</v>
      </c>
      <c r="F385" s="10" t="s">
        <v>9578</v>
      </c>
      <c r="G385" s="10"/>
      <c r="H385" s="10"/>
      <c r="I385" s="10"/>
      <c r="J385" s="10" t="s">
        <v>3160</v>
      </c>
      <c r="K385" s="10" t="s">
        <v>10142</v>
      </c>
      <c r="L385" s="10" t="s">
        <v>10143</v>
      </c>
      <c r="M385" s="10" t="s">
        <v>10144</v>
      </c>
      <c r="N385" s="10" t="str">
        <f>HYPERLINK("https://seichotoushi-hojo.jp/assets/pdf/koufu_3_4ji/outline_231.pdf","PDFを開く")</f>
        <v>PDFを開く</v>
      </c>
      <c r="O385" s="10" t="s">
        <v>3162</v>
      </c>
    </row>
  </sheetData>
  <mergeCells count="2">
    <mergeCell ref="A1:O1"/>
    <mergeCell ref="A2:O2"/>
  </mergeCells>
  <phoneticPr fontId="8"/>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999"/>
  <sheetViews>
    <sheetView showGridLines="0" workbookViewId="0"/>
  </sheetViews>
  <sheetFormatPr defaultRowHeight="14.25"/>
  <cols>
    <col min="1" max="1" width="19" customWidth="1"/>
    <col min="2" max="2" width="7" customWidth="1"/>
    <col min="3" max="3" width="25" customWidth="1"/>
    <col min="4" max="4" width="8" customWidth="1"/>
    <col min="5" max="5" width="24" customWidth="1"/>
    <col min="6" max="6" width="9" customWidth="1"/>
    <col min="7" max="7" width="27" customWidth="1"/>
    <col min="8" max="8" width="38" customWidth="1"/>
    <col min="9" max="12" width="10" customWidth="1"/>
    <col min="13" max="13" width="18" customWidth="1"/>
    <col min="14" max="14" width="25" customWidth="1"/>
    <col min="15" max="15" width="95" customWidth="1"/>
    <col min="16" max="16" width="48" customWidth="1"/>
    <col min="17" max="17" width="65" customWidth="1"/>
  </cols>
  <sheetData>
    <row r="1" spans="1:17" ht="30" customHeight="1">
      <c r="A1" s="24" t="s">
        <v>10145</v>
      </c>
      <c r="B1" s="24"/>
      <c r="C1" s="24"/>
      <c r="D1" s="24"/>
      <c r="E1" s="24"/>
      <c r="F1" s="24"/>
      <c r="G1" s="24"/>
      <c r="H1" s="24"/>
      <c r="I1" s="24"/>
      <c r="J1" s="24"/>
      <c r="K1" s="24"/>
      <c r="L1" s="24"/>
      <c r="M1" s="24"/>
      <c r="N1" s="24"/>
      <c r="O1" s="24"/>
      <c r="P1" s="24"/>
      <c r="Q1" s="24"/>
    </row>
    <row r="2" spans="1:17" ht="38.1" customHeight="1">
      <c r="A2" s="25" t="s">
        <v>10146</v>
      </c>
      <c r="B2" s="25"/>
      <c r="C2" s="25"/>
      <c r="D2" s="25"/>
      <c r="E2" s="25"/>
      <c r="F2" s="25"/>
      <c r="G2" s="25"/>
      <c r="H2" s="25"/>
      <c r="I2" s="25"/>
      <c r="J2" s="25"/>
      <c r="K2" s="25"/>
      <c r="L2" s="25"/>
      <c r="M2" s="25"/>
      <c r="N2" s="25"/>
      <c r="O2" s="25"/>
      <c r="P2" s="25"/>
      <c r="Q2" s="25"/>
    </row>
    <row r="4" spans="1:17" ht="45.95" customHeight="1">
      <c r="A4" s="1" t="s">
        <v>2</v>
      </c>
      <c r="B4" s="1" t="s">
        <v>3</v>
      </c>
      <c r="C4" s="1" t="s">
        <v>4</v>
      </c>
      <c r="D4" s="1" t="s">
        <v>3165</v>
      </c>
      <c r="E4" s="1" t="s">
        <v>10147</v>
      </c>
      <c r="F4" s="1" t="s">
        <v>10148</v>
      </c>
      <c r="G4" s="1" t="s">
        <v>10149</v>
      </c>
      <c r="H4" s="1" t="s">
        <v>10150</v>
      </c>
      <c r="I4" s="1" t="s">
        <v>10151</v>
      </c>
      <c r="J4" s="1" t="s">
        <v>10152</v>
      </c>
      <c r="K4" s="1" t="s">
        <v>10153</v>
      </c>
      <c r="L4" s="1" t="s">
        <v>10154</v>
      </c>
      <c r="M4" s="1" t="s">
        <v>10155</v>
      </c>
      <c r="N4" s="1" t="s">
        <v>7324</v>
      </c>
      <c r="O4" s="1" t="s">
        <v>7326</v>
      </c>
      <c r="P4" s="1" t="s">
        <v>65</v>
      </c>
      <c r="Q4" s="1" t="s">
        <v>67</v>
      </c>
    </row>
    <row r="5" spans="1:17" ht="62.1" customHeight="1">
      <c r="A5" s="4" t="s">
        <v>72</v>
      </c>
      <c r="B5" s="4" t="s">
        <v>73</v>
      </c>
      <c r="C5" s="7" t="s">
        <v>74</v>
      </c>
      <c r="D5" s="4">
        <v>1</v>
      </c>
      <c r="E5" s="7" t="s">
        <v>10156</v>
      </c>
      <c r="F5" s="4">
        <v>1</v>
      </c>
      <c r="G5" s="7" t="s">
        <v>10157</v>
      </c>
      <c r="H5" s="7" t="s">
        <v>10157</v>
      </c>
      <c r="I5" s="4">
        <v>40.32</v>
      </c>
      <c r="J5" s="4">
        <v>40.32</v>
      </c>
      <c r="K5" s="4">
        <v>740.52</v>
      </c>
      <c r="L5" s="4">
        <v>87.84</v>
      </c>
      <c r="M5" s="7" t="s">
        <v>10158</v>
      </c>
      <c r="N5" s="7" t="s">
        <v>10159</v>
      </c>
      <c r="O5" s="7" t="s">
        <v>10160</v>
      </c>
      <c r="P5" s="7" t="str">
        <f t="shared" ref="P5:P12" si="0">HYPERLINK("https://seichotoushi-hojo.jp/assets/pdf/koufu/outline_1.pdf","PDFを開く")</f>
        <v>PDFを開く</v>
      </c>
      <c r="Q5" s="7" t="s">
        <v>89</v>
      </c>
    </row>
    <row r="6" spans="1:17" ht="62.1" customHeight="1">
      <c r="A6" s="2" t="s">
        <v>72</v>
      </c>
      <c r="B6" s="2" t="s">
        <v>73</v>
      </c>
      <c r="C6" s="8" t="s">
        <v>74</v>
      </c>
      <c r="D6" s="2">
        <v>1</v>
      </c>
      <c r="E6" s="8" t="s">
        <v>10156</v>
      </c>
      <c r="F6" s="2">
        <v>2</v>
      </c>
      <c r="G6" s="8" t="s">
        <v>9578</v>
      </c>
      <c r="H6" s="8" t="s">
        <v>9578</v>
      </c>
      <c r="I6" s="2">
        <v>39.6</v>
      </c>
      <c r="J6" s="2">
        <v>105</v>
      </c>
      <c r="K6" s="2">
        <v>378.84</v>
      </c>
      <c r="L6" s="2">
        <v>486.72</v>
      </c>
      <c r="M6" s="8"/>
      <c r="N6" s="8" t="s">
        <v>10159</v>
      </c>
      <c r="O6" s="8" t="s">
        <v>10161</v>
      </c>
      <c r="P6" s="8" t="str">
        <f t="shared" si="0"/>
        <v>PDFを開く</v>
      </c>
      <c r="Q6" s="8" t="s">
        <v>89</v>
      </c>
    </row>
    <row r="7" spans="1:17" ht="62.1" customHeight="1">
      <c r="A7" s="5" t="s">
        <v>72</v>
      </c>
      <c r="B7" s="5" t="s">
        <v>73</v>
      </c>
      <c r="C7" s="9" t="s">
        <v>74</v>
      </c>
      <c r="D7" s="5">
        <v>1</v>
      </c>
      <c r="E7" s="9" t="s">
        <v>10156</v>
      </c>
      <c r="F7" s="5">
        <v>3</v>
      </c>
      <c r="G7" s="9" t="s">
        <v>10162</v>
      </c>
      <c r="H7" s="9" t="s">
        <v>10162</v>
      </c>
      <c r="I7" s="5">
        <v>396.36</v>
      </c>
      <c r="J7" s="5">
        <v>105</v>
      </c>
      <c r="K7" s="5">
        <v>739.8</v>
      </c>
      <c r="L7" s="5">
        <v>295.2</v>
      </c>
      <c r="M7" s="9"/>
      <c r="N7" s="9" t="s">
        <v>10159</v>
      </c>
      <c r="O7" s="9" t="s">
        <v>7354</v>
      </c>
      <c r="P7" s="9" t="str">
        <f t="shared" si="0"/>
        <v>PDFを開く</v>
      </c>
      <c r="Q7" s="9" t="s">
        <v>89</v>
      </c>
    </row>
    <row r="8" spans="1:17" ht="62.1" customHeight="1">
      <c r="A8" s="2" t="s">
        <v>72</v>
      </c>
      <c r="B8" s="2" t="s">
        <v>73</v>
      </c>
      <c r="C8" s="8" t="s">
        <v>74</v>
      </c>
      <c r="D8" s="2">
        <v>1</v>
      </c>
      <c r="E8" s="8" t="s">
        <v>10156</v>
      </c>
      <c r="F8" s="2">
        <v>4</v>
      </c>
      <c r="G8" s="8" t="s">
        <v>10163</v>
      </c>
      <c r="H8" s="8" t="s">
        <v>10163</v>
      </c>
      <c r="I8" s="2">
        <v>396.48</v>
      </c>
      <c r="J8" s="2">
        <v>302.27999999999997</v>
      </c>
      <c r="K8" s="2">
        <v>739.92</v>
      </c>
      <c r="L8" s="2">
        <v>492.48</v>
      </c>
      <c r="M8" s="8"/>
      <c r="N8" s="8" t="s">
        <v>10159</v>
      </c>
      <c r="O8" s="8" t="s">
        <v>7355</v>
      </c>
      <c r="P8" s="8" t="str">
        <f t="shared" si="0"/>
        <v>PDFを開く</v>
      </c>
      <c r="Q8" s="8" t="s">
        <v>89</v>
      </c>
    </row>
    <row r="9" spans="1:17" ht="62.1" customHeight="1">
      <c r="A9" s="5" t="s">
        <v>72</v>
      </c>
      <c r="B9" s="5" t="s">
        <v>73</v>
      </c>
      <c r="C9" s="9" t="s">
        <v>74</v>
      </c>
      <c r="D9" s="5">
        <v>1</v>
      </c>
      <c r="E9" s="9" t="s">
        <v>10156</v>
      </c>
      <c r="F9" s="5">
        <v>5</v>
      </c>
      <c r="G9" s="9" t="s">
        <v>8581</v>
      </c>
      <c r="H9" s="9" t="s">
        <v>8581</v>
      </c>
      <c r="I9" s="5">
        <v>48.36</v>
      </c>
      <c r="J9" s="5">
        <v>431.64</v>
      </c>
      <c r="K9" s="5">
        <v>367.8</v>
      </c>
      <c r="L9" s="5">
        <v>483</v>
      </c>
      <c r="M9" s="9"/>
      <c r="N9" s="9" t="s">
        <v>10159</v>
      </c>
      <c r="O9" s="9" t="s">
        <v>85</v>
      </c>
      <c r="P9" s="9" t="str">
        <f t="shared" si="0"/>
        <v>PDFを開く</v>
      </c>
      <c r="Q9" s="9" t="s">
        <v>89</v>
      </c>
    </row>
    <row r="10" spans="1:17" ht="62.1" customHeight="1">
      <c r="A10" s="2" t="s">
        <v>72</v>
      </c>
      <c r="B10" s="2" t="s">
        <v>73</v>
      </c>
      <c r="C10" s="8" t="s">
        <v>74</v>
      </c>
      <c r="D10" s="2">
        <v>1</v>
      </c>
      <c r="E10" s="8" t="s">
        <v>10156</v>
      </c>
      <c r="F10" s="2">
        <v>6</v>
      </c>
      <c r="G10" s="8" t="s">
        <v>9578</v>
      </c>
      <c r="H10" s="8" t="s">
        <v>9578</v>
      </c>
      <c r="I10" s="2">
        <v>39.6</v>
      </c>
      <c r="J10" s="2">
        <v>495.96</v>
      </c>
      <c r="K10" s="2">
        <v>740.52</v>
      </c>
      <c r="L10" s="2">
        <v>535.67999999999995</v>
      </c>
      <c r="M10" s="8"/>
      <c r="N10" s="8" t="s">
        <v>10159</v>
      </c>
      <c r="O10" s="8" t="s">
        <v>10164</v>
      </c>
      <c r="P10" s="8" t="str">
        <f t="shared" si="0"/>
        <v>PDFを開く</v>
      </c>
      <c r="Q10" s="8" t="s">
        <v>89</v>
      </c>
    </row>
    <row r="11" spans="1:17" ht="62.1" customHeight="1">
      <c r="A11" s="5" t="s">
        <v>72</v>
      </c>
      <c r="B11" s="5" t="s">
        <v>73</v>
      </c>
      <c r="C11" s="9" t="s">
        <v>74</v>
      </c>
      <c r="D11" s="5">
        <v>2</v>
      </c>
      <c r="E11" s="9" t="s">
        <v>10165</v>
      </c>
      <c r="F11" s="5">
        <v>1</v>
      </c>
      <c r="G11" s="9" t="s">
        <v>10157</v>
      </c>
      <c r="H11" s="9" t="s">
        <v>10157</v>
      </c>
      <c r="I11" s="5">
        <v>41.04</v>
      </c>
      <c r="J11" s="5">
        <v>39.840000000000003</v>
      </c>
      <c r="K11" s="5">
        <v>741.12</v>
      </c>
      <c r="L11" s="5">
        <v>87.48</v>
      </c>
      <c r="M11" s="9" t="s">
        <v>10158</v>
      </c>
      <c r="N11" s="9" t="s">
        <v>10159</v>
      </c>
      <c r="O11" s="9" t="s">
        <v>10166</v>
      </c>
      <c r="P11" s="9" t="str">
        <f t="shared" si="0"/>
        <v>PDFを開く</v>
      </c>
      <c r="Q11" s="9" t="s">
        <v>89</v>
      </c>
    </row>
    <row r="12" spans="1:17" ht="62.1" customHeight="1">
      <c r="A12" s="2" t="s">
        <v>72</v>
      </c>
      <c r="B12" s="2" t="s">
        <v>73</v>
      </c>
      <c r="C12" s="8" t="s">
        <v>74</v>
      </c>
      <c r="D12" s="2">
        <v>2</v>
      </c>
      <c r="E12" s="8" t="s">
        <v>10165</v>
      </c>
      <c r="F12" s="2">
        <v>2</v>
      </c>
      <c r="G12" s="8" t="s">
        <v>10167</v>
      </c>
      <c r="H12" s="8" t="s">
        <v>10168</v>
      </c>
      <c r="I12" s="2">
        <v>121.08</v>
      </c>
      <c r="J12" s="2">
        <v>112.8</v>
      </c>
      <c r="K12" s="2">
        <v>582.72</v>
      </c>
      <c r="L12" s="2">
        <v>149.63999999999999</v>
      </c>
      <c r="M12" s="8"/>
      <c r="N12" s="8" t="s">
        <v>10159</v>
      </c>
      <c r="O12" s="8" t="s">
        <v>10169</v>
      </c>
      <c r="P12" s="8" t="str">
        <f t="shared" si="0"/>
        <v>PDFを開く</v>
      </c>
      <c r="Q12" s="8" t="s">
        <v>89</v>
      </c>
    </row>
    <row r="13" spans="1:17" ht="62.1" customHeight="1">
      <c r="A13" s="5" t="s">
        <v>93</v>
      </c>
      <c r="B13" s="5" t="s">
        <v>73</v>
      </c>
      <c r="C13" s="9" t="s">
        <v>94</v>
      </c>
      <c r="D13" s="5">
        <v>1</v>
      </c>
      <c r="E13" s="9" t="s">
        <v>10156</v>
      </c>
      <c r="F13" s="5">
        <v>1</v>
      </c>
      <c r="G13" s="9" t="s">
        <v>10157</v>
      </c>
      <c r="H13" s="9" t="s">
        <v>10157</v>
      </c>
      <c r="I13" s="5">
        <v>40.22</v>
      </c>
      <c r="J13" s="5">
        <v>37.51</v>
      </c>
      <c r="K13" s="5">
        <v>729.04</v>
      </c>
      <c r="L13" s="5">
        <v>62.39</v>
      </c>
      <c r="M13" s="9"/>
      <c r="N13" s="9" t="s">
        <v>10159</v>
      </c>
      <c r="O13" s="9" t="s">
        <v>10170</v>
      </c>
      <c r="P13" s="9" t="str">
        <f t="shared" ref="P13:P23" si="1">HYPERLINK("https://seichotoushi-hojo.jp/assets/pdf/koufu/outline_10.pdf","PDFを開く")</f>
        <v>PDFを開く</v>
      </c>
      <c r="Q13" s="9" t="s">
        <v>104</v>
      </c>
    </row>
    <row r="14" spans="1:17" ht="62.1" customHeight="1">
      <c r="A14" s="2" t="s">
        <v>93</v>
      </c>
      <c r="B14" s="2" t="s">
        <v>73</v>
      </c>
      <c r="C14" s="8" t="s">
        <v>94</v>
      </c>
      <c r="D14" s="2">
        <v>1</v>
      </c>
      <c r="E14" s="8" t="s">
        <v>10156</v>
      </c>
      <c r="F14" s="2">
        <v>2</v>
      </c>
      <c r="G14" s="8" t="s">
        <v>9578</v>
      </c>
      <c r="H14" s="8" t="s">
        <v>9578</v>
      </c>
      <c r="I14" s="2">
        <v>21.69</v>
      </c>
      <c r="J14" s="2">
        <v>95.87</v>
      </c>
      <c r="K14" s="2">
        <v>378.78</v>
      </c>
      <c r="L14" s="2">
        <v>453.33</v>
      </c>
      <c r="M14" s="8"/>
      <c r="N14" s="8" t="s">
        <v>10159</v>
      </c>
      <c r="O14" s="8" t="s">
        <v>7361</v>
      </c>
      <c r="P14" s="8" t="str">
        <f t="shared" si="1"/>
        <v>PDFを開く</v>
      </c>
      <c r="Q14" s="8" t="s">
        <v>104</v>
      </c>
    </row>
    <row r="15" spans="1:17" ht="62.1" customHeight="1">
      <c r="A15" s="5" t="s">
        <v>93</v>
      </c>
      <c r="B15" s="5" t="s">
        <v>73</v>
      </c>
      <c r="C15" s="9" t="s">
        <v>94</v>
      </c>
      <c r="D15" s="5">
        <v>1</v>
      </c>
      <c r="E15" s="9" t="s">
        <v>10156</v>
      </c>
      <c r="F15" s="5">
        <v>3</v>
      </c>
      <c r="G15" s="9" t="s">
        <v>10162</v>
      </c>
      <c r="H15" s="9" t="s">
        <v>10162</v>
      </c>
      <c r="I15" s="5">
        <v>396.3</v>
      </c>
      <c r="J15" s="5">
        <v>96.31</v>
      </c>
      <c r="K15" s="5">
        <v>758.31</v>
      </c>
      <c r="L15" s="5">
        <v>297.20999999999998</v>
      </c>
      <c r="M15" s="9"/>
      <c r="N15" s="9" t="s">
        <v>10159</v>
      </c>
      <c r="O15" s="9" t="s">
        <v>7362</v>
      </c>
      <c r="P15" s="9" t="str">
        <f t="shared" si="1"/>
        <v>PDFを開く</v>
      </c>
      <c r="Q15" s="9" t="s">
        <v>104</v>
      </c>
    </row>
    <row r="16" spans="1:17" ht="62.1" customHeight="1">
      <c r="A16" s="2" t="s">
        <v>93</v>
      </c>
      <c r="B16" s="2" t="s">
        <v>73</v>
      </c>
      <c r="C16" s="8" t="s">
        <v>94</v>
      </c>
      <c r="D16" s="2">
        <v>1</v>
      </c>
      <c r="E16" s="8" t="s">
        <v>10156</v>
      </c>
      <c r="F16" s="2">
        <v>4</v>
      </c>
      <c r="G16" s="8" t="s">
        <v>10163</v>
      </c>
      <c r="H16" s="8" t="s">
        <v>10163</v>
      </c>
      <c r="I16" s="2">
        <v>396.3</v>
      </c>
      <c r="J16" s="2">
        <v>307.25</v>
      </c>
      <c r="K16" s="2">
        <v>758.31</v>
      </c>
      <c r="L16" s="2">
        <v>453.33</v>
      </c>
      <c r="M16" s="8"/>
      <c r="N16" s="8" t="s">
        <v>10159</v>
      </c>
      <c r="O16" s="8" t="s">
        <v>7363</v>
      </c>
      <c r="P16" s="8" t="str">
        <f t="shared" si="1"/>
        <v>PDFを開く</v>
      </c>
      <c r="Q16" s="8" t="s">
        <v>104</v>
      </c>
    </row>
    <row r="17" spans="1:17" ht="62.1" customHeight="1">
      <c r="A17" s="5" t="s">
        <v>93</v>
      </c>
      <c r="B17" s="5" t="s">
        <v>73</v>
      </c>
      <c r="C17" s="9" t="s">
        <v>94</v>
      </c>
      <c r="D17" s="5">
        <v>1</v>
      </c>
      <c r="E17" s="9" t="s">
        <v>10156</v>
      </c>
      <c r="F17" s="5">
        <v>5</v>
      </c>
      <c r="G17" s="9" t="s">
        <v>8581</v>
      </c>
      <c r="H17" s="9" t="s">
        <v>8581</v>
      </c>
      <c r="I17" s="5">
        <v>32.33</v>
      </c>
      <c r="J17" s="5">
        <v>360</v>
      </c>
      <c r="K17" s="5">
        <v>370.89</v>
      </c>
      <c r="L17" s="5">
        <v>446</v>
      </c>
      <c r="M17" s="9"/>
      <c r="N17" s="9" t="s">
        <v>10159</v>
      </c>
      <c r="O17" s="9" t="s">
        <v>101</v>
      </c>
      <c r="P17" s="9" t="str">
        <f t="shared" si="1"/>
        <v>PDFを開く</v>
      </c>
      <c r="Q17" s="9" t="s">
        <v>104</v>
      </c>
    </row>
    <row r="18" spans="1:17" ht="62.1" customHeight="1">
      <c r="A18" s="2" t="s">
        <v>93</v>
      </c>
      <c r="B18" s="2" t="s">
        <v>73</v>
      </c>
      <c r="C18" s="8" t="s">
        <v>94</v>
      </c>
      <c r="D18" s="2">
        <v>1</v>
      </c>
      <c r="E18" s="8" t="s">
        <v>10156</v>
      </c>
      <c r="F18" s="2">
        <v>6</v>
      </c>
      <c r="G18" s="8" t="s">
        <v>10171</v>
      </c>
      <c r="H18" s="8" t="s">
        <v>10171</v>
      </c>
      <c r="I18" s="2">
        <v>40.22</v>
      </c>
      <c r="J18" s="2">
        <v>469.06</v>
      </c>
      <c r="K18" s="2">
        <v>739.78</v>
      </c>
      <c r="L18" s="2">
        <v>533.46</v>
      </c>
      <c r="M18" s="8"/>
      <c r="N18" s="8" t="s">
        <v>10159</v>
      </c>
      <c r="O18" s="8" t="s">
        <v>7364</v>
      </c>
      <c r="P18" s="8" t="str">
        <f t="shared" si="1"/>
        <v>PDFを開く</v>
      </c>
      <c r="Q18" s="8" t="s">
        <v>104</v>
      </c>
    </row>
    <row r="19" spans="1:17" ht="62.1" customHeight="1">
      <c r="A19" s="5" t="s">
        <v>93</v>
      </c>
      <c r="B19" s="5" t="s">
        <v>73</v>
      </c>
      <c r="C19" s="9" t="s">
        <v>94</v>
      </c>
      <c r="D19" s="5">
        <v>2</v>
      </c>
      <c r="E19" s="9" t="s">
        <v>10165</v>
      </c>
      <c r="F19" s="5">
        <v>1</v>
      </c>
      <c r="G19" s="9" t="s">
        <v>10157</v>
      </c>
      <c r="H19" s="9" t="s">
        <v>10157</v>
      </c>
      <c r="I19" s="5">
        <v>40.22</v>
      </c>
      <c r="J19" s="5">
        <v>37.51</v>
      </c>
      <c r="K19" s="5">
        <v>751.71</v>
      </c>
      <c r="L19" s="5">
        <v>62.39</v>
      </c>
      <c r="M19" s="9" t="s">
        <v>10158</v>
      </c>
      <c r="N19" s="9" t="s">
        <v>10159</v>
      </c>
      <c r="O19" s="9" t="s">
        <v>10172</v>
      </c>
      <c r="P19" s="9" t="str">
        <f t="shared" si="1"/>
        <v>PDFを開く</v>
      </c>
      <c r="Q19" s="9" t="s">
        <v>104</v>
      </c>
    </row>
    <row r="20" spans="1:17" ht="62.1" customHeight="1">
      <c r="A20" s="2" t="s">
        <v>93</v>
      </c>
      <c r="B20" s="2" t="s">
        <v>73</v>
      </c>
      <c r="C20" s="8" t="s">
        <v>94</v>
      </c>
      <c r="D20" s="2">
        <v>2</v>
      </c>
      <c r="E20" s="8" t="s">
        <v>10165</v>
      </c>
      <c r="F20" s="2">
        <v>2</v>
      </c>
      <c r="G20" s="8" t="s">
        <v>10157</v>
      </c>
      <c r="H20" s="8" t="s">
        <v>10157</v>
      </c>
      <c r="I20" s="2">
        <v>120.37</v>
      </c>
      <c r="J20" s="2">
        <v>91.11</v>
      </c>
      <c r="K20" s="2">
        <v>626.4</v>
      </c>
      <c r="L20" s="2">
        <v>127.89</v>
      </c>
      <c r="M20" s="8"/>
      <c r="N20" s="8" t="s">
        <v>10159</v>
      </c>
      <c r="O20" s="8" t="s">
        <v>10173</v>
      </c>
      <c r="P20" s="8" t="str">
        <f t="shared" si="1"/>
        <v>PDFを開く</v>
      </c>
      <c r="Q20" s="8" t="s">
        <v>104</v>
      </c>
    </row>
    <row r="21" spans="1:17" ht="62.1" customHeight="1">
      <c r="A21" s="5" t="s">
        <v>93</v>
      </c>
      <c r="B21" s="5" t="s">
        <v>73</v>
      </c>
      <c r="C21" s="9" t="s">
        <v>94</v>
      </c>
      <c r="D21" s="5">
        <v>2</v>
      </c>
      <c r="E21" s="9" t="s">
        <v>10165</v>
      </c>
      <c r="F21" s="5">
        <v>3</v>
      </c>
      <c r="G21" s="9" t="s">
        <v>10167</v>
      </c>
      <c r="H21" s="9" t="s">
        <v>10174</v>
      </c>
      <c r="I21" s="5">
        <v>127.24</v>
      </c>
      <c r="J21" s="5">
        <v>142.72999999999999</v>
      </c>
      <c r="K21" s="5">
        <v>758.64</v>
      </c>
      <c r="L21" s="5">
        <v>301.12</v>
      </c>
      <c r="M21" s="9"/>
      <c r="N21" s="9" t="s">
        <v>10159</v>
      </c>
      <c r="O21" s="9" t="s">
        <v>10175</v>
      </c>
      <c r="P21" s="9" t="str">
        <f t="shared" si="1"/>
        <v>PDFを開く</v>
      </c>
      <c r="Q21" s="9" t="s">
        <v>104</v>
      </c>
    </row>
    <row r="22" spans="1:17" ht="62.1" customHeight="1">
      <c r="A22" s="2" t="s">
        <v>93</v>
      </c>
      <c r="B22" s="2" t="s">
        <v>73</v>
      </c>
      <c r="C22" s="8" t="s">
        <v>94</v>
      </c>
      <c r="D22" s="2">
        <v>2</v>
      </c>
      <c r="E22" s="8" t="s">
        <v>10165</v>
      </c>
      <c r="F22" s="2">
        <v>4</v>
      </c>
      <c r="G22" s="8" t="s">
        <v>10167</v>
      </c>
      <c r="H22" s="8" t="s">
        <v>10176</v>
      </c>
      <c r="I22" s="2">
        <v>126.83</v>
      </c>
      <c r="J22" s="2">
        <v>319.66000000000003</v>
      </c>
      <c r="K22" s="2">
        <v>758.23</v>
      </c>
      <c r="L22" s="2">
        <v>448.88</v>
      </c>
      <c r="M22" s="8"/>
      <c r="N22" s="8" t="s">
        <v>10159</v>
      </c>
      <c r="O22" s="8" t="s">
        <v>10177</v>
      </c>
      <c r="P22" s="8" t="str">
        <f t="shared" si="1"/>
        <v>PDFを開く</v>
      </c>
      <c r="Q22" s="8" t="s">
        <v>104</v>
      </c>
    </row>
    <row r="23" spans="1:17" ht="62.1" customHeight="1">
      <c r="A23" s="5" t="s">
        <v>93</v>
      </c>
      <c r="B23" s="5" t="s">
        <v>73</v>
      </c>
      <c r="C23" s="9" t="s">
        <v>94</v>
      </c>
      <c r="D23" s="5">
        <v>2</v>
      </c>
      <c r="E23" s="9" t="s">
        <v>10165</v>
      </c>
      <c r="F23" s="5">
        <v>5</v>
      </c>
      <c r="G23" s="9" t="s">
        <v>10167</v>
      </c>
      <c r="H23" s="9" t="s">
        <v>10178</v>
      </c>
      <c r="I23" s="5">
        <v>40.22</v>
      </c>
      <c r="J23" s="5">
        <v>464.51</v>
      </c>
      <c r="K23" s="5">
        <v>739.78</v>
      </c>
      <c r="L23" s="5">
        <v>528.91</v>
      </c>
      <c r="M23" s="9"/>
      <c r="N23" s="9" t="s">
        <v>10159</v>
      </c>
      <c r="O23" s="9" t="s">
        <v>10179</v>
      </c>
      <c r="P23" s="9" t="str">
        <f t="shared" si="1"/>
        <v>PDFを開く</v>
      </c>
      <c r="Q23" s="9" t="s">
        <v>104</v>
      </c>
    </row>
    <row r="24" spans="1:17" ht="62.1" customHeight="1">
      <c r="A24" s="2" t="s">
        <v>105</v>
      </c>
      <c r="B24" s="2" t="s">
        <v>73</v>
      </c>
      <c r="C24" s="8" t="s">
        <v>106</v>
      </c>
      <c r="D24" s="2">
        <v>1</v>
      </c>
      <c r="E24" s="8" t="s">
        <v>10156</v>
      </c>
      <c r="F24" s="2">
        <v>1</v>
      </c>
      <c r="G24" s="8" t="s">
        <v>10162</v>
      </c>
      <c r="H24" s="8" t="s">
        <v>10162</v>
      </c>
      <c r="I24" s="2">
        <v>427.68</v>
      </c>
      <c r="J24" s="2">
        <v>106.88</v>
      </c>
      <c r="K24" s="2">
        <v>833.04</v>
      </c>
      <c r="L24" s="2">
        <v>214.88</v>
      </c>
      <c r="M24" s="8"/>
      <c r="N24" s="8" t="s">
        <v>10159</v>
      </c>
      <c r="O24" s="8" t="s">
        <v>7370</v>
      </c>
      <c r="P24" s="8" t="str">
        <f>HYPERLINK("https://seichotoushi-hojo.jp/assets/pdf/koufu/outline_100.pdf","PDFを開く")</f>
        <v>PDFを開く</v>
      </c>
      <c r="Q24" s="8" t="s">
        <v>112</v>
      </c>
    </row>
    <row r="25" spans="1:17" ht="62.1" customHeight="1">
      <c r="A25" s="5" t="s">
        <v>105</v>
      </c>
      <c r="B25" s="5" t="s">
        <v>73</v>
      </c>
      <c r="C25" s="9" t="s">
        <v>106</v>
      </c>
      <c r="D25" s="5">
        <v>1</v>
      </c>
      <c r="E25" s="9" t="s">
        <v>10156</v>
      </c>
      <c r="F25" s="5">
        <v>2</v>
      </c>
      <c r="G25" s="9" t="s">
        <v>9578</v>
      </c>
      <c r="H25" s="9" t="s">
        <v>9578</v>
      </c>
      <c r="I25" s="5">
        <v>8.8800000000000008</v>
      </c>
      <c r="J25" s="5">
        <v>109.53</v>
      </c>
      <c r="K25" s="5">
        <v>387.36</v>
      </c>
      <c r="L25" s="5">
        <v>481.17</v>
      </c>
      <c r="M25" s="9"/>
      <c r="N25" s="9" t="s">
        <v>10159</v>
      </c>
      <c r="O25" s="9" t="s">
        <v>10180</v>
      </c>
      <c r="P25" s="9" t="str">
        <f>HYPERLINK("https://seichotoushi-hojo.jp/assets/pdf/koufu/outline_100.pdf","PDFを開く")</f>
        <v>PDFを開く</v>
      </c>
      <c r="Q25" s="9" t="s">
        <v>112</v>
      </c>
    </row>
    <row r="26" spans="1:17" ht="62.1" customHeight="1">
      <c r="A26" s="2" t="s">
        <v>105</v>
      </c>
      <c r="B26" s="2" t="s">
        <v>73</v>
      </c>
      <c r="C26" s="8" t="s">
        <v>106</v>
      </c>
      <c r="D26" s="2">
        <v>1</v>
      </c>
      <c r="E26" s="8" t="s">
        <v>10156</v>
      </c>
      <c r="F26" s="2">
        <v>3</v>
      </c>
      <c r="G26" s="8" t="s">
        <v>10163</v>
      </c>
      <c r="H26" s="8" t="s">
        <v>10163</v>
      </c>
      <c r="I26" s="2">
        <v>427.68</v>
      </c>
      <c r="J26" s="2">
        <v>218.73</v>
      </c>
      <c r="K26" s="2">
        <v>833.04</v>
      </c>
      <c r="L26" s="2">
        <v>451.88</v>
      </c>
      <c r="M26" s="8"/>
      <c r="N26" s="8" t="s">
        <v>10159</v>
      </c>
      <c r="O26" s="8" t="s">
        <v>7371</v>
      </c>
      <c r="P26" s="8" t="str">
        <f>HYPERLINK("https://seichotoushi-hojo.jp/assets/pdf/koufu/outline_100.pdf","PDFを開く")</f>
        <v>PDFを開く</v>
      </c>
      <c r="Q26" s="8" t="s">
        <v>112</v>
      </c>
    </row>
    <row r="27" spans="1:17" ht="62.1" customHeight="1">
      <c r="A27" s="5" t="s">
        <v>105</v>
      </c>
      <c r="B27" s="5" t="s">
        <v>73</v>
      </c>
      <c r="C27" s="9" t="s">
        <v>106</v>
      </c>
      <c r="D27" s="5">
        <v>1</v>
      </c>
      <c r="E27" s="9" t="s">
        <v>10156</v>
      </c>
      <c r="F27" s="5">
        <v>4</v>
      </c>
      <c r="G27" s="9" t="s">
        <v>8581</v>
      </c>
      <c r="H27" s="9" t="s">
        <v>8581</v>
      </c>
      <c r="I27" s="5">
        <v>33.36</v>
      </c>
      <c r="J27" s="5">
        <v>499.64</v>
      </c>
      <c r="K27" s="5">
        <v>388.68</v>
      </c>
      <c r="L27" s="5">
        <v>577.88</v>
      </c>
      <c r="M27" s="9"/>
      <c r="N27" s="9" t="s">
        <v>10159</v>
      </c>
      <c r="O27" s="9" t="s">
        <v>110</v>
      </c>
      <c r="P27" s="9" t="str">
        <f>HYPERLINK("https://seichotoushi-hojo.jp/assets/pdf/koufu/outline_100.pdf","PDFを開く")</f>
        <v>PDFを開く</v>
      </c>
      <c r="Q27" s="9" t="s">
        <v>112</v>
      </c>
    </row>
    <row r="28" spans="1:17" ht="62.1" customHeight="1">
      <c r="A28" s="2" t="s">
        <v>105</v>
      </c>
      <c r="B28" s="2" t="s">
        <v>73</v>
      </c>
      <c r="C28" s="8" t="s">
        <v>106</v>
      </c>
      <c r="D28" s="2">
        <v>2</v>
      </c>
      <c r="E28" s="8" t="s">
        <v>10165</v>
      </c>
      <c r="F28" s="2">
        <v>1</v>
      </c>
      <c r="G28" s="8" t="s">
        <v>9578</v>
      </c>
      <c r="H28" s="8" t="s">
        <v>9578</v>
      </c>
      <c r="I28" s="2">
        <v>204.84</v>
      </c>
      <c r="J28" s="2">
        <v>79.2</v>
      </c>
      <c r="K28" s="2">
        <v>433.63</v>
      </c>
      <c r="L28" s="2">
        <v>294.39999999999998</v>
      </c>
      <c r="M28" s="8"/>
      <c r="N28" s="8" t="s">
        <v>10181</v>
      </c>
      <c r="O28" s="8" t="s">
        <v>10182</v>
      </c>
      <c r="P28" s="8" t="str">
        <f>HYPERLINK("https://seichotoushi-hojo.jp/assets/pdf/koufu/outline_100.pdf","PDFを開く")</f>
        <v>PDFを開く</v>
      </c>
      <c r="Q28" s="8" t="s">
        <v>112</v>
      </c>
    </row>
    <row r="29" spans="1:17" ht="62.1" customHeight="1">
      <c r="A29" s="5" t="s">
        <v>114</v>
      </c>
      <c r="B29" s="5" t="s">
        <v>73</v>
      </c>
      <c r="C29" s="9" t="s">
        <v>115</v>
      </c>
      <c r="D29" s="5">
        <v>1</v>
      </c>
      <c r="E29" s="9" t="s">
        <v>10156</v>
      </c>
      <c r="F29" s="5">
        <v>1</v>
      </c>
      <c r="G29" s="9" t="s">
        <v>10162</v>
      </c>
      <c r="H29" s="9" t="s">
        <v>10162</v>
      </c>
      <c r="I29" s="5">
        <v>491.4</v>
      </c>
      <c r="J29" s="5">
        <v>119.64</v>
      </c>
      <c r="K29" s="5">
        <v>831.36</v>
      </c>
      <c r="L29" s="5">
        <v>355.2</v>
      </c>
      <c r="M29" s="9"/>
      <c r="N29" s="9" t="s">
        <v>10159</v>
      </c>
      <c r="O29" s="9" t="s">
        <v>7376</v>
      </c>
      <c r="P29" s="9" t="str">
        <f>HYPERLINK("https://seichotoushi-hojo.jp/assets/pdf/koufu/outline_101.pdf","PDFを開く")</f>
        <v>PDFを開く</v>
      </c>
      <c r="Q29" s="9" t="s">
        <v>124</v>
      </c>
    </row>
    <row r="30" spans="1:17" ht="62.1" customHeight="1">
      <c r="A30" s="2" t="s">
        <v>114</v>
      </c>
      <c r="B30" s="2" t="s">
        <v>73</v>
      </c>
      <c r="C30" s="8" t="s">
        <v>115</v>
      </c>
      <c r="D30" s="2">
        <v>1</v>
      </c>
      <c r="E30" s="8" t="s">
        <v>10156</v>
      </c>
      <c r="F30" s="2">
        <v>2</v>
      </c>
      <c r="G30" s="8" t="s">
        <v>10167</v>
      </c>
      <c r="H30" s="8" t="s">
        <v>10183</v>
      </c>
      <c r="I30" s="2">
        <v>26.28</v>
      </c>
      <c r="J30" s="2">
        <v>294.72000000000003</v>
      </c>
      <c r="K30" s="2">
        <v>457.2</v>
      </c>
      <c r="L30" s="2">
        <v>569.52</v>
      </c>
      <c r="M30" s="8"/>
      <c r="N30" s="8" t="s">
        <v>10159</v>
      </c>
      <c r="O30" s="8" t="s">
        <v>121</v>
      </c>
      <c r="P30" s="8" t="str">
        <f>HYPERLINK("https://seichotoushi-hojo.jp/assets/pdf/koufu/outline_101.pdf","PDFを開く")</f>
        <v>PDFを開く</v>
      </c>
      <c r="Q30" s="8" t="s">
        <v>124</v>
      </c>
    </row>
    <row r="31" spans="1:17" ht="62.1" customHeight="1">
      <c r="A31" s="5" t="s">
        <v>114</v>
      </c>
      <c r="B31" s="5" t="s">
        <v>73</v>
      </c>
      <c r="C31" s="9" t="s">
        <v>115</v>
      </c>
      <c r="D31" s="5">
        <v>1</v>
      </c>
      <c r="E31" s="9" t="s">
        <v>10156</v>
      </c>
      <c r="F31" s="5">
        <v>3</v>
      </c>
      <c r="G31" s="9" t="s">
        <v>10163</v>
      </c>
      <c r="H31" s="9" t="s">
        <v>10163</v>
      </c>
      <c r="I31" s="5">
        <v>491.4</v>
      </c>
      <c r="J31" s="5">
        <v>361.2</v>
      </c>
      <c r="K31" s="5">
        <v>832.2</v>
      </c>
      <c r="L31" s="5">
        <v>563.76</v>
      </c>
      <c r="M31" s="9"/>
      <c r="N31" s="9" t="s">
        <v>10159</v>
      </c>
      <c r="O31" s="9" t="s">
        <v>7377</v>
      </c>
      <c r="P31" s="9" t="str">
        <f>HYPERLINK("https://seichotoushi-hojo.jp/assets/pdf/koufu/outline_101.pdf","PDFを開く")</f>
        <v>PDFを開く</v>
      </c>
      <c r="Q31" s="9" t="s">
        <v>124</v>
      </c>
    </row>
    <row r="32" spans="1:17" ht="62.1" customHeight="1">
      <c r="A32" s="2" t="s">
        <v>125</v>
      </c>
      <c r="B32" s="2" t="s">
        <v>73</v>
      </c>
      <c r="C32" s="8" t="s">
        <v>126</v>
      </c>
      <c r="D32" s="2">
        <v>1</v>
      </c>
      <c r="E32" s="8" t="s">
        <v>10156</v>
      </c>
      <c r="F32" s="2">
        <v>1</v>
      </c>
      <c r="G32" s="8" t="s">
        <v>10162</v>
      </c>
      <c r="H32" s="8" t="s">
        <v>10162</v>
      </c>
      <c r="I32" s="2">
        <v>420.96</v>
      </c>
      <c r="J32" s="2">
        <v>109.8</v>
      </c>
      <c r="K32" s="2">
        <v>814.32</v>
      </c>
      <c r="L32" s="2">
        <v>323.76</v>
      </c>
      <c r="M32" s="8"/>
      <c r="N32" s="8" t="s">
        <v>10159</v>
      </c>
      <c r="O32" s="8" t="s">
        <v>7383</v>
      </c>
      <c r="P32" s="8" t="str">
        <f t="shared" ref="P32:P37" si="2">HYPERLINK("https://seichotoushi-hojo.jp/assets/pdf/koufu/outline_102.pdf","PDFを開く")</f>
        <v>PDFを開く</v>
      </c>
      <c r="Q32" s="8" t="s">
        <v>131</v>
      </c>
    </row>
    <row r="33" spans="1:17" ht="62.1" customHeight="1">
      <c r="A33" s="5" t="s">
        <v>125</v>
      </c>
      <c r="B33" s="5" t="s">
        <v>73</v>
      </c>
      <c r="C33" s="9" t="s">
        <v>126</v>
      </c>
      <c r="D33" s="5">
        <v>1</v>
      </c>
      <c r="E33" s="9" t="s">
        <v>10156</v>
      </c>
      <c r="F33" s="5">
        <v>2</v>
      </c>
      <c r="G33" s="9" t="s">
        <v>9578</v>
      </c>
      <c r="H33" s="9" t="s">
        <v>9578</v>
      </c>
      <c r="I33" s="5">
        <v>29.04</v>
      </c>
      <c r="J33" s="5">
        <v>116.4</v>
      </c>
      <c r="K33" s="5">
        <v>395.04</v>
      </c>
      <c r="L33" s="5">
        <v>473.28</v>
      </c>
      <c r="M33" s="9"/>
      <c r="N33" s="9" t="s">
        <v>10159</v>
      </c>
      <c r="O33" s="9" t="s">
        <v>7382</v>
      </c>
      <c r="P33" s="9" t="str">
        <f t="shared" si="2"/>
        <v>PDFを開く</v>
      </c>
      <c r="Q33" s="9" t="s">
        <v>131</v>
      </c>
    </row>
    <row r="34" spans="1:17" ht="62.1" customHeight="1">
      <c r="A34" s="2" t="s">
        <v>125</v>
      </c>
      <c r="B34" s="2" t="s">
        <v>73</v>
      </c>
      <c r="C34" s="8" t="s">
        <v>126</v>
      </c>
      <c r="D34" s="2">
        <v>1</v>
      </c>
      <c r="E34" s="8" t="s">
        <v>10156</v>
      </c>
      <c r="F34" s="2">
        <v>3</v>
      </c>
      <c r="G34" s="8" t="s">
        <v>10163</v>
      </c>
      <c r="H34" s="8" t="s">
        <v>10163</v>
      </c>
      <c r="I34" s="2">
        <v>420.96</v>
      </c>
      <c r="J34" s="2">
        <v>327.48</v>
      </c>
      <c r="K34" s="2">
        <v>814.32</v>
      </c>
      <c r="L34" s="2">
        <v>582.96</v>
      </c>
      <c r="M34" s="8"/>
      <c r="N34" s="8" t="s">
        <v>10159</v>
      </c>
      <c r="O34" s="8" t="s">
        <v>7384</v>
      </c>
      <c r="P34" s="8" t="str">
        <f t="shared" si="2"/>
        <v>PDFを開く</v>
      </c>
      <c r="Q34" s="8" t="s">
        <v>131</v>
      </c>
    </row>
    <row r="35" spans="1:17" ht="62.1" customHeight="1">
      <c r="A35" s="5" t="s">
        <v>125</v>
      </c>
      <c r="B35" s="5" t="s">
        <v>73</v>
      </c>
      <c r="C35" s="9" t="s">
        <v>126</v>
      </c>
      <c r="D35" s="5">
        <v>1</v>
      </c>
      <c r="E35" s="9" t="s">
        <v>10156</v>
      </c>
      <c r="F35" s="5">
        <v>4</v>
      </c>
      <c r="G35" s="9" t="s">
        <v>8581</v>
      </c>
      <c r="H35" s="9" t="s">
        <v>8581</v>
      </c>
      <c r="I35" s="5">
        <v>29.04</v>
      </c>
      <c r="J35" s="5">
        <v>479.04</v>
      </c>
      <c r="K35" s="5">
        <v>395.04</v>
      </c>
      <c r="L35" s="5">
        <v>542.04</v>
      </c>
      <c r="M35" s="9"/>
      <c r="N35" s="9" t="s">
        <v>10159</v>
      </c>
      <c r="O35" s="9" t="s">
        <v>129</v>
      </c>
      <c r="P35" s="9" t="str">
        <f t="shared" si="2"/>
        <v>PDFを開く</v>
      </c>
      <c r="Q35" s="9" t="s">
        <v>131</v>
      </c>
    </row>
    <row r="36" spans="1:17" ht="62.1" customHeight="1">
      <c r="A36" s="2" t="s">
        <v>125</v>
      </c>
      <c r="B36" s="2" t="s">
        <v>73</v>
      </c>
      <c r="C36" s="8" t="s">
        <v>126</v>
      </c>
      <c r="D36" s="2">
        <v>2</v>
      </c>
      <c r="E36" s="8" t="s">
        <v>10165</v>
      </c>
      <c r="F36" s="2">
        <v>1</v>
      </c>
      <c r="G36" s="8" t="s">
        <v>10184</v>
      </c>
      <c r="H36" s="8" t="s">
        <v>10184</v>
      </c>
      <c r="I36" s="2">
        <v>137.30000000000001</v>
      </c>
      <c r="J36" s="2">
        <v>175.17</v>
      </c>
      <c r="K36" s="2">
        <v>433.59</v>
      </c>
      <c r="L36" s="2">
        <v>390.49</v>
      </c>
      <c r="M36" s="8"/>
      <c r="N36" s="8" t="s">
        <v>10181</v>
      </c>
      <c r="O36" s="8" t="s">
        <v>10185</v>
      </c>
      <c r="P36" s="8" t="str">
        <f t="shared" si="2"/>
        <v>PDFを開く</v>
      </c>
      <c r="Q36" s="8" t="s">
        <v>131</v>
      </c>
    </row>
    <row r="37" spans="1:17" ht="62.1" customHeight="1">
      <c r="A37" s="5" t="s">
        <v>125</v>
      </c>
      <c r="B37" s="5" t="s">
        <v>73</v>
      </c>
      <c r="C37" s="9" t="s">
        <v>126</v>
      </c>
      <c r="D37" s="5">
        <v>2</v>
      </c>
      <c r="E37" s="9" t="s">
        <v>10165</v>
      </c>
      <c r="F37" s="5">
        <v>2</v>
      </c>
      <c r="G37" s="9" t="s">
        <v>10167</v>
      </c>
      <c r="H37" s="9" t="s">
        <v>3504</v>
      </c>
      <c r="I37" s="5">
        <v>136.91999999999999</v>
      </c>
      <c r="J37" s="5">
        <v>422.52</v>
      </c>
      <c r="K37" s="5">
        <v>566.76</v>
      </c>
      <c r="L37" s="5">
        <v>453</v>
      </c>
      <c r="M37" s="9"/>
      <c r="N37" s="9" t="s">
        <v>10159</v>
      </c>
      <c r="O37" s="9" t="s">
        <v>10186</v>
      </c>
      <c r="P37" s="9" t="str">
        <f t="shared" si="2"/>
        <v>PDFを開く</v>
      </c>
      <c r="Q37" s="9" t="s">
        <v>131</v>
      </c>
    </row>
    <row r="38" spans="1:17" ht="62.1" customHeight="1">
      <c r="A38" s="2" t="s">
        <v>132</v>
      </c>
      <c r="B38" s="2" t="s">
        <v>73</v>
      </c>
      <c r="C38" s="8" t="s">
        <v>133</v>
      </c>
      <c r="D38" s="2">
        <v>1</v>
      </c>
      <c r="E38" s="8" t="s">
        <v>10156</v>
      </c>
      <c r="F38" s="2">
        <v>1</v>
      </c>
      <c r="G38" s="8" t="s">
        <v>9578</v>
      </c>
      <c r="H38" s="8" t="s">
        <v>9578</v>
      </c>
      <c r="I38" s="2">
        <v>42.84</v>
      </c>
      <c r="J38" s="2">
        <v>109.8</v>
      </c>
      <c r="K38" s="2">
        <v>408.84</v>
      </c>
      <c r="L38" s="2">
        <v>559.08000000000004</v>
      </c>
      <c r="M38" s="8"/>
      <c r="N38" s="8" t="s">
        <v>10159</v>
      </c>
      <c r="O38" s="8" t="s">
        <v>7389</v>
      </c>
      <c r="P38" s="8" t="str">
        <f>HYPERLINK("https://seichotoushi-hojo.jp/assets/pdf/koufu/outline_103.pdf","PDFを開く")</f>
        <v>PDFを開く</v>
      </c>
      <c r="Q38" s="8" t="s">
        <v>138</v>
      </c>
    </row>
    <row r="39" spans="1:17" ht="62.1" customHeight="1">
      <c r="A39" s="5" t="s">
        <v>132</v>
      </c>
      <c r="B39" s="5" t="s">
        <v>73</v>
      </c>
      <c r="C39" s="9" t="s">
        <v>133</v>
      </c>
      <c r="D39" s="5">
        <v>1</v>
      </c>
      <c r="E39" s="9" t="s">
        <v>10156</v>
      </c>
      <c r="F39" s="5">
        <v>2</v>
      </c>
      <c r="G39" s="9" t="s">
        <v>10162</v>
      </c>
      <c r="H39" s="9" t="s">
        <v>10162</v>
      </c>
      <c r="I39" s="5">
        <v>429</v>
      </c>
      <c r="J39" s="5">
        <v>111.12</v>
      </c>
      <c r="K39" s="5">
        <v>799.68</v>
      </c>
      <c r="L39" s="5">
        <v>297.72000000000003</v>
      </c>
      <c r="M39" s="9"/>
      <c r="N39" s="9" t="s">
        <v>10159</v>
      </c>
      <c r="O39" s="9" t="s">
        <v>7390</v>
      </c>
      <c r="P39" s="9" t="str">
        <f>HYPERLINK("https://seichotoushi-hojo.jp/assets/pdf/koufu/outline_103.pdf","PDFを開く")</f>
        <v>PDFを開く</v>
      </c>
      <c r="Q39" s="9" t="s">
        <v>138</v>
      </c>
    </row>
    <row r="40" spans="1:17" ht="62.1" customHeight="1">
      <c r="A40" s="2" t="s">
        <v>132</v>
      </c>
      <c r="B40" s="2" t="s">
        <v>73</v>
      </c>
      <c r="C40" s="8" t="s">
        <v>133</v>
      </c>
      <c r="D40" s="2">
        <v>1</v>
      </c>
      <c r="E40" s="8" t="s">
        <v>10156</v>
      </c>
      <c r="F40" s="2">
        <v>3</v>
      </c>
      <c r="G40" s="8" t="s">
        <v>10163</v>
      </c>
      <c r="H40" s="8" t="s">
        <v>10163</v>
      </c>
      <c r="I40" s="2">
        <v>427.8</v>
      </c>
      <c r="J40" s="2">
        <v>315</v>
      </c>
      <c r="K40" s="2">
        <v>798.48</v>
      </c>
      <c r="L40" s="2">
        <v>559.08000000000004</v>
      </c>
      <c r="M40" s="8"/>
      <c r="N40" s="8" t="s">
        <v>10159</v>
      </c>
      <c r="O40" s="8" t="s">
        <v>7391</v>
      </c>
      <c r="P40" s="8" t="str">
        <f>HYPERLINK("https://seichotoushi-hojo.jp/assets/pdf/koufu/outline_103.pdf","PDFを開く")</f>
        <v>PDFを開く</v>
      </c>
      <c r="Q40" s="8" t="s">
        <v>138</v>
      </c>
    </row>
    <row r="41" spans="1:17" ht="62.1" customHeight="1">
      <c r="A41" s="5" t="s">
        <v>132</v>
      </c>
      <c r="B41" s="5" t="s">
        <v>73</v>
      </c>
      <c r="C41" s="9" t="s">
        <v>133</v>
      </c>
      <c r="D41" s="5">
        <v>1</v>
      </c>
      <c r="E41" s="9" t="s">
        <v>10156</v>
      </c>
      <c r="F41" s="5">
        <v>4</v>
      </c>
      <c r="G41" s="9" t="s">
        <v>8581</v>
      </c>
      <c r="H41" s="9" t="s">
        <v>8581</v>
      </c>
      <c r="I41" s="5">
        <v>51.24</v>
      </c>
      <c r="J41" s="5">
        <v>485.64</v>
      </c>
      <c r="K41" s="5">
        <v>400.44</v>
      </c>
      <c r="L41" s="5">
        <v>553.91999999999996</v>
      </c>
      <c r="M41" s="9"/>
      <c r="N41" s="9" t="s">
        <v>10159</v>
      </c>
      <c r="O41" s="9" t="s">
        <v>136</v>
      </c>
      <c r="P41" s="9" t="str">
        <f>HYPERLINK("https://seichotoushi-hojo.jp/assets/pdf/koufu/outline_103.pdf","PDFを開く")</f>
        <v>PDFを開く</v>
      </c>
      <c r="Q41" s="9" t="s">
        <v>138</v>
      </c>
    </row>
    <row r="42" spans="1:17" ht="62.1" customHeight="1">
      <c r="A42" s="2" t="s">
        <v>132</v>
      </c>
      <c r="B42" s="2" t="s">
        <v>73</v>
      </c>
      <c r="C42" s="8" t="s">
        <v>133</v>
      </c>
      <c r="D42" s="2">
        <v>2</v>
      </c>
      <c r="E42" s="8" t="s">
        <v>10165</v>
      </c>
      <c r="F42" s="2">
        <v>1</v>
      </c>
      <c r="G42" s="8" t="s">
        <v>10167</v>
      </c>
      <c r="H42" s="8" t="s">
        <v>5265</v>
      </c>
      <c r="I42" s="2">
        <v>136.91999999999999</v>
      </c>
      <c r="J42" s="2">
        <v>436.68</v>
      </c>
      <c r="K42" s="2">
        <v>566.76</v>
      </c>
      <c r="L42" s="2">
        <v>467.16</v>
      </c>
      <c r="M42" s="8"/>
      <c r="N42" s="8" t="s">
        <v>10159</v>
      </c>
      <c r="O42" s="8" t="s">
        <v>10187</v>
      </c>
      <c r="P42" s="8" t="str">
        <f>HYPERLINK("https://seichotoushi-hojo.jp/assets/pdf/koufu/outline_103.pdf","PDFを開く")</f>
        <v>PDFを開く</v>
      </c>
      <c r="Q42" s="8" t="s">
        <v>138</v>
      </c>
    </row>
    <row r="43" spans="1:17" ht="62.1" customHeight="1">
      <c r="A43" s="5" t="s">
        <v>139</v>
      </c>
      <c r="B43" s="5" t="s">
        <v>73</v>
      </c>
      <c r="C43" s="9" t="s">
        <v>140</v>
      </c>
      <c r="D43" s="5">
        <v>1</v>
      </c>
      <c r="E43" s="9" t="s">
        <v>10156</v>
      </c>
      <c r="F43" s="5">
        <v>1</v>
      </c>
      <c r="G43" s="9" t="s">
        <v>9578</v>
      </c>
      <c r="H43" s="9" t="s">
        <v>9578</v>
      </c>
      <c r="I43" s="5">
        <v>39.75</v>
      </c>
      <c r="J43" s="5">
        <v>147.75</v>
      </c>
      <c r="K43" s="5">
        <v>378.75</v>
      </c>
      <c r="L43" s="5">
        <v>499.5</v>
      </c>
      <c r="M43" s="9"/>
      <c r="N43" s="9" t="s">
        <v>10159</v>
      </c>
      <c r="O43" s="9" t="s">
        <v>7396</v>
      </c>
      <c r="P43" s="9" t="str">
        <f>HYPERLINK("https://seichotoushi-hojo.jp/assets/pdf/koufu/outline_104.pdf","PDFを開く")</f>
        <v>PDFを開く</v>
      </c>
      <c r="Q43" s="9" t="s">
        <v>145</v>
      </c>
    </row>
    <row r="44" spans="1:17" ht="62.1" customHeight="1">
      <c r="A44" s="2" t="s">
        <v>139</v>
      </c>
      <c r="B44" s="2" t="s">
        <v>73</v>
      </c>
      <c r="C44" s="8" t="s">
        <v>140</v>
      </c>
      <c r="D44" s="2">
        <v>1</v>
      </c>
      <c r="E44" s="8" t="s">
        <v>10156</v>
      </c>
      <c r="F44" s="2">
        <v>2</v>
      </c>
      <c r="G44" s="8" t="s">
        <v>10162</v>
      </c>
      <c r="H44" s="8" t="s">
        <v>10162</v>
      </c>
      <c r="I44" s="2">
        <v>396.38</v>
      </c>
      <c r="J44" s="2">
        <v>148.12</v>
      </c>
      <c r="K44" s="2">
        <v>739.88</v>
      </c>
      <c r="L44" s="2">
        <v>318.37</v>
      </c>
      <c r="M44" s="8"/>
      <c r="N44" s="8" t="s">
        <v>10159</v>
      </c>
      <c r="O44" s="8" t="s">
        <v>7397</v>
      </c>
      <c r="P44" s="8" t="str">
        <f>HYPERLINK("https://seichotoushi-hojo.jp/assets/pdf/koufu/outline_104.pdf","PDFを開く")</f>
        <v>PDFを開く</v>
      </c>
      <c r="Q44" s="8" t="s">
        <v>145</v>
      </c>
    </row>
    <row r="45" spans="1:17" ht="62.1" customHeight="1">
      <c r="A45" s="5" t="s">
        <v>139</v>
      </c>
      <c r="B45" s="5" t="s">
        <v>73</v>
      </c>
      <c r="C45" s="9" t="s">
        <v>140</v>
      </c>
      <c r="D45" s="5">
        <v>1</v>
      </c>
      <c r="E45" s="9" t="s">
        <v>10156</v>
      </c>
      <c r="F45" s="5">
        <v>3</v>
      </c>
      <c r="G45" s="9" t="s">
        <v>10163</v>
      </c>
      <c r="H45" s="9" t="s">
        <v>10163</v>
      </c>
      <c r="I45" s="5">
        <v>396.38</v>
      </c>
      <c r="J45" s="5">
        <v>329.62</v>
      </c>
      <c r="K45" s="5">
        <v>739.88</v>
      </c>
      <c r="L45" s="5">
        <v>499.88</v>
      </c>
      <c r="M45" s="9"/>
      <c r="N45" s="9" t="s">
        <v>10159</v>
      </c>
      <c r="O45" s="9" t="s">
        <v>7398</v>
      </c>
      <c r="P45" s="9" t="str">
        <f>HYPERLINK("https://seichotoushi-hojo.jp/assets/pdf/koufu/outline_104.pdf","PDFを開く")</f>
        <v>PDFを開く</v>
      </c>
      <c r="Q45" s="9" t="s">
        <v>145</v>
      </c>
    </row>
    <row r="46" spans="1:17" ht="62.1" customHeight="1">
      <c r="A46" s="2" t="s">
        <v>139</v>
      </c>
      <c r="B46" s="2" t="s">
        <v>73</v>
      </c>
      <c r="C46" s="8" t="s">
        <v>140</v>
      </c>
      <c r="D46" s="2">
        <v>1</v>
      </c>
      <c r="E46" s="8" t="s">
        <v>10156</v>
      </c>
      <c r="F46" s="2">
        <v>4</v>
      </c>
      <c r="G46" s="8" t="s">
        <v>8581</v>
      </c>
      <c r="H46" s="8" t="s">
        <v>8581</v>
      </c>
      <c r="I46" s="2">
        <v>49.5</v>
      </c>
      <c r="J46" s="2">
        <v>432.75</v>
      </c>
      <c r="K46" s="2">
        <v>369</v>
      </c>
      <c r="L46" s="2">
        <v>492</v>
      </c>
      <c r="M46" s="8"/>
      <c r="N46" s="8" t="s">
        <v>10159</v>
      </c>
      <c r="O46" s="8" t="s">
        <v>143</v>
      </c>
      <c r="P46" s="8" t="str">
        <f>HYPERLINK("https://seichotoushi-hojo.jp/assets/pdf/koufu/outline_104.pdf","PDFを開く")</f>
        <v>PDFを開く</v>
      </c>
      <c r="Q46" s="8" t="s">
        <v>145</v>
      </c>
    </row>
    <row r="47" spans="1:17" ht="62.1" customHeight="1">
      <c r="A47" s="5" t="s">
        <v>146</v>
      </c>
      <c r="B47" s="5" t="s">
        <v>73</v>
      </c>
      <c r="C47" s="9" t="s">
        <v>147</v>
      </c>
      <c r="D47" s="5">
        <v>1</v>
      </c>
      <c r="E47" s="9" t="s">
        <v>10156</v>
      </c>
      <c r="F47" s="5">
        <v>1</v>
      </c>
      <c r="G47" s="9" t="s">
        <v>9578</v>
      </c>
      <c r="H47" s="9" t="s">
        <v>9578</v>
      </c>
      <c r="I47" s="5">
        <v>35.299999999999997</v>
      </c>
      <c r="J47" s="5">
        <v>118.4</v>
      </c>
      <c r="K47" s="5">
        <v>374.43</v>
      </c>
      <c r="L47" s="5">
        <v>520.9</v>
      </c>
      <c r="M47" s="9"/>
      <c r="N47" s="9" t="s">
        <v>10159</v>
      </c>
      <c r="O47" s="9" t="s">
        <v>7403</v>
      </c>
      <c r="P47" s="9" t="str">
        <f>HYPERLINK("https://seichotoushi-hojo.jp/assets/pdf/koufu/outline_105.pdf","PDFを開く")</f>
        <v>PDFを開く</v>
      </c>
      <c r="Q47" s="9" t="s">
        <v>155</v>
      </c>
    </row>
    <row r="48" spans="1:17" ht="62.1" customHeight="1">
      <c r="A48" s="2" t="s">
        <v>146</v>
      </c>
      <c r="B48" s="2" t="s">
        <v>73</v>
      </c>
      <c r="C48" s="8" t="s">
        <v>147</v>
      </c>
      <c r="D48" s="2">
        <v>1</v>
      </c>
      <c r="E48" s="8" t="s">
        <v>10156</v>
      </c>
      <c r="F48" s="2">
        <v>2</v>
      </c>
      <c r="G48" s="8" t="s">
        <v>10162</v>
      </c>
      <c r="H48" s="8" t="s">
        <v>10162</v>
      </c>
      <c r="I48" s="2">
        <v>396.86</v>
      </c>
      <c r="J48" s="2">
        <v>127.47</v>
      </c>
      <c r="K48" s="2">
        <v>740.34</v>
      </c>
      <c r="L48" s="2">
        <v>298.37</v>
      </c>
      <c r="M48" s="8"/>
      <c r="N48" s="8" t="s">
        <v>10159</v>
      </c>
      <c r="O48" s="8" t="s">
        <v>7404</v>
      </c>
      <c r="P48" s="8" t="str">
        <f>HYPERLINK("https://seichotoushi-hojo.jp/assets/pdf/koufu/outline_105.pdf","PDFを開く")</f>
        <v>PDFを開く</v>
      </c>
      <c r="Q48" s="8" t="s">
        <v>155</v>
      </c>
    </row>
    <row r="49" spans="1:17" ht="62.1" customHeight="1">
      <c r="A49" s="5" t="s">
        <v>146</v>
      </c>
      <c r="B49" s="5" t="s">
        <v>73</v>
      </c>
      <c r="C49" s="9" t="s">
        <v>147</v>
      </c>
      <c r="D49" s="5">
        <v>1</v>
      </c>
      <c r="E49" s="9" t="s">
        <v>10156</v>
      </c>
      <c r="F49" s="5">
        <v>3</v>
      </c>
      <c r="G49" s="9" t="s">
        <v>10163</v>
      </c>
      <c r="H49" s="9" t="s">
        <v>10163</v>
      </c>
      <c r="I49" s="5">
        <v>396.3</v>
      </c>
      <c r="J49" s="5">
        <v>319.64999999999998</v>
      </c>
      <c r="K49" s="5">
        <v>739.78</v>
      </c>
      <c r="L49" s="5">
        <v>515.15</v>
      </c>
      <c r="M49" s="9"/>
      <c r="N49" s="9" t="s">
        <v>10159</v>
      </c>
      <c r="O49" s="9" t="s">
        <v>7405</v>
      </c>
      <c r="P49" s="9" t="str">
        <f>HYPERLINK("https://seichotoushi-hojo.jp/assets/pdf/koufu/outline_105.pdf","PDFを開く")</f>
        <v>PDFを開く</v>
      </c>
      <c r="Q49" s="9" t="s">
        <v>155</v>
      </c>
    </row>
    <row r="50" spans="1:17" ht="62.1" customHeight="1">
      <c r="A50" s="2" t="s">
        <v>146</v>
      </c>
      <c r="B50" s="2" t="s">
        <v>73</v>
      </c>
      <c r="C50" s="8" t="s">
        <v>147</v>
      </c>
      <c r="D50" s="2">
        <v>1</v>
      </c>
      <c r="E50" s="8" t="s">
        <v>10156</v>
      </c>
      <c r="F50" s="2">
        <v>4</v>
      </c>
      <c r="G50" s="8" t="s">
        <v>8581</v>
      </c>
      <c r="H50" s="8" t="s">
        <v>8581</v>
      </c>
      <c r="I50" s="2">
        <v>48.35</v>
      </c>
      <c r="J50" s="2">
        <v>405.65</v>
      </c>
      <c r="K50" s="2">
        <v>367.85</v>
      </c>
      <c r="L50" s="2">
        <v>508.74</v>
      </c>
      <c r="M50" s="8"/>
      <c r="N50" s="8" t="s">
        <v>10159</v>
      </c>
      <c r="O50" s="8" t="s">
        <v>150</v>
      </c>
      <c r="P50" s="8" t="str">
        <f>HYPERLINK("https://seichotoushi-hojo.jp/assets/pdf/koufu/outline_105.pdf","PDFを開く")</f>
        <v>PDFを開く</v>
      </c>
      <c r="Q50" s="8" t="s">
        <v>155</v>
      </c>
    </row>
    <row r="51" spans="1:17" ht="62.1" customHeight="1">
      <c r="A51" s="5" t="s">
        <v>146</v>
      </c>
      <c r="B51" s="5" t="s">
        <v>73</v>
      </c>
      <c r="C51" s="9" t="s">
        <v>147</v>
      </c>
      <c r="D51" s="5">
        <v>2</v>
      </c>
      <c r="E51" s="9" t="s">
        <v>10165</v>
      </c>
      <c r="F51" s="5">
        <v>1</v>
      </c>
      <c r="G51" s="9" t="s">
        <v>10167</v>
      </c>
      <c r="H51" s="9" t="s">
        <v>5261</v>
      </c>
      <c r="I51" s="5">
        <v>462.48</v>
      </c>
      <c r="J51" s="5">
        <v>371.65</v>
      </c>
      <c r="K51" s="5">
        <v>721.15</v>
      </c>
      <c r="L51" s="5">
        <v>406.12</v>
      </c>
      <c r="M51" s="9"/>
      <c r="N51" s="9" t="s">
        <v>10159</v>
      </c>
      <c r="O51" s="9" t="s">
        <v>10188</v>
      </c>
      <c r="P51" s="9" t="str">
        <f>HYPERLINK("https://seichotoushi-hojo.jp/assets/pdf/koufu/outline_105.pdf","PDFを開く")</f>
        <v>PDFを開く</v>
      </c>
      <c r="Q51" s="9" t="s">
        <v>155</v>
      </c>
    </row>
    <row r="52" spans="1:17" ht="62.1" customHeight="1">
      <c r="A52" s="2" t="s">
        <v>158</v>
      </c>
      <c r="B52" s="2" t="s">
        <v>73</v>
      </c>
      <c r="C52" s="8" t="s">
        <v>159</v>
      </c>
      <c r="D52" s="2">
        <v>1</v>
      </c>
      <c r="E52" s="8" t="s">
        <v>10156</v>
      </c>
      <c r="F52" s="2">
        <v>1</v>
      </c>
      <c r="G52" s="8" t="s">
        <v>9578</v>
      </c>
      <c r="H52" s="8" t="s">
        <v>9578</v>
      </c>
      <c r="I52" s="2">
        <v>9.1199999999999992</v>
      </c>
      <c r="J52" s="2">
        <v>165</v>
      </c>
      <c r="K52" s="2">
        <v>408.84</v>
      </c>
      <c r="L52" s="2">
        <v>574.44000000000005</v>
      </c>
      <c r="M52" s="8"/>
      <c r="N52" s="8" t="s">
        <v>10159</v>
      </c>
      <c r="O52" s="8" t="s">
        <v>7410</v>
      </c>
      <c r="P52" s="8" t="str">
        <f>HYPERLINK("https://seichotoushi-hojo.jp/assets/pdf/koufu/outline_106.pdf","PDFを開く")</f>
        <v>PDFを開く</v>
      </c>
      <c r="Q52" s="8" t="s">
        <v>165</v>
      </c>
    </row>
    <row r="53" spans="1:17" ht="62.1" customHeight="1">
      <c r="A53" s="5" t="s">
        <v>158</v>
      </c>
      <c r="B53" s="5" t="s">
        <v>73</v>
      </c>
      <c r="C53" s="9" t="s">
        <v>159</v>
      </c>
      <c r="D53" s="5">
        <v>1</v>
      </c>
      <c r="E53" s="9" t="s">
        <v>10156</v>
      </c>
      <c r="F53" s="5">
        <v>2</v>
      </c>
      <c r="G53" s="9" t="s">
        <v>10162</v>
      </c>
      <c r="H53" s="9" t="s">
        <v>10162</v>
      </c>
      <c r="I53" s="5">
        <v>427.8</v>
      </c>
      <c r="J53" s="5">
        <v>167.52</v>
      </c>
      <c r="K53" s="5">
        <v>798.48</v>
      </c>
      <c r="L53" s="5">
        <v>338.4</v>
      </c>
      <c r="M53" s="9"/>
      <c r="N53" s="9" t="s">
        <v>10159</v>
      </c>
      <c r="O53" s="9" t="s">
        <v>7411</v>
      </c>
      <c r="P53" s="9" t="str">
        <f>HYPERLINK("https://seichotoushi-hojo.jp/assets/pdf/koufu/outline_106.pdf","PDFを開く")</f>
        <v>PDFを開く</v>
      </c>
      <c r="Q53" s="9" t="s">
        <v>165</v>
      </c>
    </row>
    <row r="54" spans="1:17" ht="62.1" customHeight="1">
      <c r="A54" s="2" t="s">
        <v>158</v>
      </c>
      <c r="B54" s="2" t="s">
        <v>73</v>
      </c>
      <c r="C54" s="8" t="s">
        <v>159</v>
      </c>
      <c r="D54" s="2">
        <v>1</v>
      </c>
      <c r="E54" s="8" t="s">
        <v>10156</v>
      </c>
      <c r="F54" s="2">
        <v>3</v>
      </c>
      <c r="G54" s="8" t="s">
        <v>10163</v>
      </c>
      <c r="H54" s="8" t="s">
        <v>10163</v>
      </c>
      <c r="I54" s="2">
        <v>427.8</v>
      </c>
      <c r="J54" s="2">
        <v>352.44</v>
      </c>
      <c r="K54" s="2">
        <v>798.48</v>
      </c>
      <c r="L54" s="2">
        <v>532.44000000000005</v>
      </c>
      <c r="M54" s="8"/>
      <c r="N54" s="8" t="s">
        <v>10159</v>
      </c>
      <c r="O54" s="8" t="s">
        <v>7412</v>
      </c>
      <c r="P54" s="8" t="str">
        <f>HYPERLINK("https://seichotoushi-hojo.jp/assets/pdf/koufu/outline_106.pdf","PDFを開く")</f>
        <v>PDFを開く</v>
      </c>
      <c r="Q54" s="8" t="s">
        <v>165</v>
      </c>
    </row>
    <row r="55" spans="1:17" ht="62.1" customHeight="1">
      <c r="A55" s="5" t="s">
        <v>158</v>
      </c>
      <c r="B55" s="5" t="s">
        <v>73</v>
      </c>
      <c r="C55" s="9" t="s">
        <v>159</v>
      </c>
      <c r="D55" s="5">
        <v>1</v>
      </c>
      <c r="E55" s="9" t="s">
        <v>10156</v>
      </c>
      <c r="F55" s="5">
        <v>4</v>
      </c>
      <c r="G55" s="9" t="s">
        <v>8581</v>
      </c>
      <c r="H55" s="9" t="s">
        <v>8581</v>
      </c>
      <c r="I55" s="5">
        <v>17.399999999999999</v>
      </c>
      <c r="J55" s="5">
        <v>414.36</v>
      </c>
      <c r="K55" s="5">
        <v>396.72</v>
      </c>
      <c r="L55" s="5">
        <v>563.16</v>
      </c>
      <c r="M55" s="9"/>
      <c r="N55" s="9" t="s">
        <v>10159</v>
      </c>
      <c r="O55" s="9" t="s">
        <v>163</v>
      </c>
      <c r="P55" s="9" t="str">
        <f>HYPERLINK("https://seichotoushi-hojo.jp/assets/pdf/koufu/outline_106.pdf","PDFを開く")</f>
        <v>PDFを開く</v>
      </c>
      <c r="Q55" s="9" t="s">
        <v>165</v>
      </c>
    </row>
    <row r="56" spans="1:17" ht="62.1" customHeight="1">
      <c r="A56" s="2" t="s">
        <v>167</v>
      </c>
      <c r="B56" s="2" t="s">
        <v>73</v>
      </c>
      <c r="C56" s="8" t="s">
        <v>168</v>
      </c>
      <c r="D56" s="2">
        <v>1</v>
      </c>
      <c r="E56" s="8" t="s">
        <v>10156</v>
      </c>
      <c r="F56" s="2">
        <v>1</v>
      </c>
      <c r="G56" s="8" t="s">
        <v>9578</v>
      </c>
      <c r="H56" s="8" t="s">
        <v>9578</v>
      </c>
      <c r="I56" s="2">
        <v>39.6</v>
      </c>
      <c r="J56" s="2">
        <v>115.8</v>
      </c>
      <c r="K56" s="2">
        <v>378.84</v>
      </c>
      <c r="L56" s="2">
        <v>489.6</v>
      </c>
      <c r="M56" s="8"/>
      <c r="N56" s="8" t="s">
        <v>10159</v>
      </c>
      <c r="O56" s="8" t="s">
        <v>7417</v>
      </c>
      <c r="P56" s="8" t="str">
        <f>HYPERLINK("https://seichotoushi-hojo.jp/assets/pdf/koufu/outline_107.pdf","PDFを開く")</f>
        <v>PDFを開く</v>
      </c>
      <c r="Q56" s="8" t="s">
        <v>174</v>
      </c>
    </row>
    <row r="57" spans="1:17" ht="62.1" customHeight="1">
      <c r="A57" s="5" t="s">
        <v>167</v>
      </c>
      <c r="B57" s="5" t="s">
        <v>73</v>
      </c>
      <c r="C57" s="9" t="s">
        <v>168</v>
      </c>
      <c r="D57" s="5">
        <v>1</v>
      </c>
      <c r="E57" s="9" t="s">
        <v>10156</v>
      </c>
      <c r="F57" s="5">
        <v>2</v>
      </c>
      <c r="G57" s="9" t="s">
        <v>10162</v>
      </c>
      <c r="H57" s="9" t="s">
        <v>10162</v>
      </c>
      <c r="I57" s="5">
        <v>397.44</v>
      </c>
      <c r="J57" s="5">
        <v>115.8</v>
      </c>
      <c r="K57" s="5">
        <v>740.88</v>
      </c>
      <c r="L57" s="5">
        <v>292.2</v>
      </c>
      <c r="M57" s="9"/>
      <c r="N57" s="9" t="s">
        <v>10159</v>
      </c>
      <c r="O57" s="9" t="s">
        <v>7418</v>
      </c>
      <c r="P57" s="9" t="str">
        <f>HYPERLINK("https://seichotoushi-hojo.jp/assets/pdf/koufu/outline_107.pdf","PDFを開く")</f>
        <v>PDFを開く</v>
      </c>
      <c r="Q57" s="9" t="s">
        <v>174</v>
      </c>
    </row>
    <row r="58" spans="1:17" ht="62.1" customHeight="1">
      <c r="A58" s="2" t="s">
        <v>167</v>
      </c>
      <c r="B58" s="2" t="s">
        <v>73</v>
      </c>
      <c r="C58" s="8" t="s">
        <v>168</v>
      </c>
      <c r="D58" s="2">
        <v>1</v>
      </c>
      <c r="E58" s="8" t="s">
        <v>10156</v>
      </c>
      <c r="F58" s="2">
        <v>3</v>
      </c>
      <c r="G58" s="8" t="s">
        <v>10163</v>
      </c>
      <c r="H58" s="8" t="s">
        <v>10163</v>
      </c>
      <c r="I58" s="2">
        <v>397.44</v>
      </c>
      <c r="J58" s="2">
        <v>313.2</v>
      </c>
      <c r="K58" s="2">
        <v>740.88</v>
      </c>
      <c r="L58" s="2">
        <v>489.72</v>
      </c>
      <c r="M58" s="8"/>
      <c r="N58" s="8" t="s">
        <v>10159</v>
      </c>
      <c r="O58" s="8" t="s">
        <v>7419</v>
      </c>
      <c r="P58" s="8" t="str">
        <f>HYPERLINK("https://seichotoushi-hojo.jp/assets/pdf/koufu/outline_107.pdf","PDFを開く")</f>
        <v>PDFを開く</v>
      </c>
      <c r="Q58" s="8" t="s">
        <v>174</v>
      </c>
    </row>
    <row r="59" spans="1:17" ht="62.1" customHeight="1">
      <c r="A59" s="5" t="s">
        <v>167</v>
      </c>
      <c r="B59" s="5" t="s">
        <v>73</v>
      </c>
      <c r="C59" s="9" t="s">
        <v>168</v>
      </c>
      <c r="D59" s="5">
        <v>1</v>
      </c>
      <c r="E59" s="9" t="s">
        <v>10156</v>
      </c>
      <c r="F59" s="5">
        <v>4</v>
      </c>
      <c r="G59" s="9" t="s">
        <v>8581</v>
      </c>
      <c r="H59" s="9" t="s">
        <v>8581</v>
      </c>
      <c r="I59" s="5">
        <v>48</v>
      </c>
      <c r="J59" s="5">
        <v>427.2</v>
      </c>
      <c r="K59" s="5">
        <v>367.44</v>
      </c>
      <c r="L59" s="5">
        <v>476.28</v>
      </c>
      <c r="M59" s="9"/>
      <c r="N59" s="9" t="s">
        <v>10159</v>
      </c>
      <c r="O59" s="9" t="s">
        <v>172</v>
      </c>
      <c r="P59" s="9" t="str">
        <f>HYPERLINK("https://seichotoushi-hojo.jp/assets/pdf/koufu/outline_107.pdf","PDFを開く")</f>
        <v>PDFを開く</v>
      </c>
      <c r="Q59" s="9" t="s">
        <v>174</v>
      </c>
    </row>
    <row r="60" spans="1:17" ht="62.1" customHeight="1">
      <c r="A60" s="2" t="s">
        <v>175</v>
      </c>
      <c r="B60" s="2" t="s">
        <v>73</v>
      </c>
      <c r="C60" s="8" t="s">
        <v>176</v>
      </c>
      <c r="D60" s="2">
        <v>1</v>
      </c>
      <c r="E60" s="8" t="s">
        <v>10156</v>
      </c>
      <c r="F60" s="2">
        <v>1</v>
      </c>
      <c r="G60" s="8" t="s">
        <v>10171</v>
      </c>
      <c r="H60" s="8" t="s">
        <v>10171</v>
      </c>
      <c r="I60" s="2">
        <v>126.82</v>
      </c>
      <c r="J60" s="2">
        <v>14.12</v>
      </c>
      <c r="K60" s="2">
        <v>401.7</v>
      </c>
      <c r="L60" s="2">
        <v>146.66999999999999</v>
      </c>
      <c r="M60" s="8"/>
      <c r="N60" s="8" t="s">
        <v>10181</v>
      </c>
      <c r="O60" s="8" t="s">
        <v>10189</v>
      </c>
      <c r="P60" s="8" t="str">
        <f t="shared" ref="P60:P73" si="3">HYPERLINK("https://seichotoushi-hojo.jp/assets/pdf/koufu/outline_108.pdf","PDFを開く")</f>
        <v>PDFを開く</v>
      </c>
      <c r="Q60" s="8" t="s">
        <v>183</v>
      </c>
    </row>
    <row r="61" spans="1:17" ht="62.1" customHeight="1">
      <c r="A61" s="5" t="s">
        <v>175</v>
      </c>
      <c r="B61" s="5" t="s">
        <v>73</v>
      </c>
      <c r="C61" s="9" t="s">
        <v>176</v>
      </c>
      <c r="D61" s="5">
        <v>1</v>
      </c>
      <c r="E61" s="9" t="s">
        <v>10156</v>
      </c>
      <c r="F61" s="5">
        <v>2</v>
      </c>
      <c r="G61" s="9" t="s">
        <v>10167</v>
      </c>
      <c r="H61" s="9" t="s">
        <v>10190</v>
      </c>
      <c r="I61" s="5">
        <v>97.2</v>
      </c>
      <c r="J61" s="5">
        <v>109.92</v>
      </c>
      <c r="K61" s="5">
        <v>411.12</v>
      </c>
      <c r="L61" s="5">
        <v>218.28</v>
      </c>
      <c r="M61" s="9"/>
      <c r="N61" s="9" t="s">
        <v>10159</v>
      </c>
      <c r="O61" s="9" t="s">
        <v>10191</v>
      </c>
      <c r="P61" s="9" t="str">
        <f t="shared" si="3"/>
        <v>PDFを開く</v>
      </c>
      <c r="Q61" s="9" t="s">
        <v>183</v>
      </c>
    </row>
    <row r="62" spans="1:17" ht="62.1" customHeight="1">
      <c r="A62" s="2" t="s">
        <v>175</v>
      </c>
      <c r="B62" s="2" t="s">
        <v>73</v>
      </c>
      <c r="C62" s="8" t="s">
        <v>176</v>
      </c>
      <c r="D62" s="2">
        <v>1</v>
      </c>
      <c r="E62" s="8" t="s">
        <v>10156</v>
      </c>
      <c r="F62" s="2">
        <v>3</v>
      </c>
      <c r="G62" s="8" t="s">
        <v>10167</v>
      </c>
      <c r="H62" s="8" t="s">
        <v>10192</v>
      </c>
      <c r="I62" s="2">
        <v>421.32</v>
      </c>
      <c r="J62" s="2">
        <v>109.92</v>
      </c>
      <c r="K62" s="2">
        <v>739.44</v>
      </c>
      <c r="L62" s="2">
        <v>218.28</v>
      </c>
      <c r="M62" s="8"/>
      <c r="N62" s="8" t="s">
        <v>10159</v>
      </c>
      <c r="O62" s="8" t="s">
        <v>10193</v>
      </c>
      <c r="P62" s="8" t="str">
        <f t="shared" si="3"/>
        <v>PDFを開く</v>
      </c>
      <c r="Q62" s="8" t="s">
        <v>183</v>
      </c>
    </row>
    <row r="63" spans="1:17" ht="62.1" customHeight="1">
      <c r="A63" s="5" t="s">
        <v>175</v>
      </c>
      <c r="B63" s="5" t="s">
        <v>73</v>
      </c>
      <c r="C63" s="9" t="s">
        <v>176</v>
      </c>
      <c r="D63" s="5">
        <v>1</v>
      </c>
      <c r="E63" s="9" t="s">
        <v>10156</v>
      </c>
      <c r="F63" s="5">
        <v>4</v>
      </c>
      <c r="G63" s="9" t="s">
        <v>10171</v>
      </c>
      <c r="H63" s="9" t="s">
        <v>10171</v>
      </c>
      <c r="I63" s="5">
        <v>24.55</v>
      </c>
      <c r="J63" s="5">
        <v>145.66999999999999</v>
      </c>
      <c r="K63" s="5">
        <v>401.7</v>
      </c>
      <c r="L63" s="5">
        <v>341.07</v>
      </c>
      <c r="M63" s="9"/>
      <c r="N63" s="9" t="s">
        <v>10181</v>
      </c>
      <c r="O63" s="9" t="s">
        <v>10194</v>
      </c>
      <c r="P63" s="9" t="str">
        <f t="shared" si="3"/>
        <v>PDFを開く</v>
      </c>
      <c r="Q63" s="9" t="s">
        <v>183</v>
      </c>
    </row>
    <row r="64" spans="1:17" ht="62.1" customHeight="1">
      <c r="A64" s="2" t="s">
        <v>175</v>
      </c>
      <c r="B64" s="2" t="s">
        <v>73</v>
      </c>
      <c r="C64" s="8" t="s">
        <v>176</v>
      </c>
      <c r="D64" s="2">
        <v>2</v>
      </c>
      <c r="E64" s="8" t="s">
        <v>10156</v>
      </c>
      <c r="F64" s="2">
        <v>1</v>
      </c>
      <c r="G64" s="8" t="s">
        <v>9578</v>
      </c>
      <c r="H64" s="8" t="s">
        <v>9578</v>
      </c>
      <c r="I64" s="2">
        <v>13.56</v>
      </c>
      <c r="J64" s="2">
        <v>104.04</v>
      </c>
      <c r="K64" s="2">
        <v>760.68</v>
      </c>
      <c r="L64" s="2">
        <v>396.6</v>
      </c>
      <c r="M64" s="8"/>
      <c r="N64" s="8" t="s">
        <v>10159</v>
      </c>
      <c r="O64" s="8" t="s">
        <v>7424</v>
      </c>
      <c r="P64" s="8" t="str">
        <f t="shared" si="3"/>
        <v>PDFを開く</v>
      </c>
      <c r="Q64" s="8" t="s">
        <v>183</v>
      </c>
    </row>
    <row r="65" spans="1:17" ht="62.1" customHeight="1">
      <c r="A65" s="5" t="s">
        <v>175</v>
      </c>
      <c r="B65" s="5" t="s">
        <v>73</v>
      </c>
      <c r="C65" s="9" t="s">
        <v>176</v>
      </c>
      <c r="D65" s="5">
        <v>2</v>
      </c>
      <c r="E65" s="9" t="s">
        <v>10156</v>
      </c>
      <c r="F65" s="5">
        <v>2</v>
      </c>
      <c r="G65" s="9" t="s">
        <v>10163</v>
      </c>
      <c r="H65" s="9" t="s">
        <v>10163</v>
      </c>
      <c r="I65" s="5">
        <v>542.74</v>
      </c>
      <c r="J65" s="5">
        <v>409.62</v>
      </c>
      <c r="K65" s="5">
        <v>768.3</v>
      </c>
      <c r="L65" s="5">
        <v>525.20000000000005</v>
      </c>
      <c r="M65" s="9"/>
      <c r="N65" s="9" t="s">
        <v>10181</v>
      </c>
      <c r="O65" s="9" t="s">
        <v>10195</v>
      </c>
      <c r="P65" s="9" t="str">
        <f t="shared" si="3"/>
        <v>PDFを開く</v>
      </c>
      <c r="Q65" s="9" t="s">
        <v>183</v>
      </c>
    </row>
    <row r="66" spans="1:17" ht="62.1" customHeight="1">
      <c r="A66" s="2" t="s">
        <v>175</v>
      </c>
      <c r="B66" s="2" t="s">
        <v>73</v>
      </c>
      <c r="C66" s="8" t="s">
        <v>176</v>
      </c>
      <c r="D66" s="2">
        <v>2</v>
      </c>
      <c r="E66" s="8" t="s">
        <v>10156</v>
      </c>
      <c r="F66" s="2">
        <v>3</v>
      </c>
      <c r="G66" s="8" t="s">
        <v>10162</v>
      </c>
      <c r="H66" s="8" t="s">
        <v>10162</v>
      </c>
      <c r="I66" s="2">
        <v>153.6</v>
      </c>
      <c r="J66" s="2">
        <v>410.22</v>
      </c>
      <c r="K66" s="2">
        <v>401.7</v>
      </c>
      <c r="L66" s="2">
        <v>525.20000000000005</v>
      </c>
      <c r="M66" s="8"/>
      <c r="N66" s="8" t="s">
        <v>10181</v>
      </c>
      <c r="O66" s="8" t="s">
        <v>10196</v>
      </c>
      <c r="P66" s="8" t="str">
        <f t="shared" si="3"/>
        <v>PDFを開く</v>
      </c>
      <c r="Q66" s="8" t="s">
        <v>183</v>
      </c>
    </row>
    <row r="67" spans="1:17" ht="62.1" customHeight="1">
      <c r="A67" s="5" t="s">
        <v>175</v>
      </c>
      <c r="B67" s="5" t="s">
        <v>73</v>
      </c>
      <c r="C67" s="9" t="s">
        <v>176</v>
      </c>
      <c r="D67" s="5">
        <v>2</v>
      </c>
      <c r="E67" s="9" t="s">
        <v>10156</v>
      </c>
      <c r="F67" s="5">
        <v>4</v>
      </c>
      <c r="G67" s="9" t="s">
        <v>10167</v>
      </c>
      <c r="H67" s="9" t="s">
        <v>10197</v>
      </c>
      <c r="I67" s="5">
        <v>402.6</v>
      </c>
      <c r="J67" s="5">
        <v>428.28</v>
      </c>
      <c r="K67" s="5">
        <v>766.68</v>
      </c>
      <c r="L67" s="5">
        <v>457.92</v>
      </c>
      <c r="M67" s="9"/>
      <c r="N67" s="9" t="s">
        <v>10159</v>
      </c>
      <c r="O67" s="9" t="s">
        <v>10197</v>
      </c>
      <c r="P67" s="9" t="str">
        <f t="shared" si="3"/>
        <v>PDFを開く</v>
      </c>
      <c r="Q67" s="9" t="s">
        <v>183</v>
      </c>
    </row>
    <row r="68" spans="1:17" ht="62.1" customHeight="1">
      <c r="A68" s="2" t="s">
        <v>175</v>
      </c>
      <c r="B68" s="2" t="s">
        <v>73</v>
      </c>
      <c r="C68" s="8" t="s">
        <v>176</v>
      </c>
      <c r="D68" s="2">
        <v>2</v>
      </c>
      <c r="E68" s="8" t="s">
        <v>10156</v>
      </c>
      <c r="F68" s="2">
        <v>5</v>
      </c>
      <c r="G68" s="8" t="s">
        <v>10167</v>
      </c>
      <c r="H68" s="8" t="s">
        <v>10198</v>
      </c>
      <c r="I68" s="2">
        <v>402.6</v>
      </c>
      <c r="J68" s="2">
        <v>457.92</v>
      </c>
      <c r="K68" s="2">
        <v>766.68</v>
      </c>
      <c r="L68" s="2">
        <v>488.52</v>
      </c>
      <c r="M68" s="8"/>
      <c r="N68" s="8" t="s">
        <v>10159</v>
      </c>
      <c r="O68" s="8" t="s">
        <v>10198</v>
      </c>
      <c r="P68" s="8" t="str">
        <f t="shared" si="3"/>
        <v>PDFを開く</v>
      </c>
      <c r="Q68" s="8" t="s">
        <v>183</v>
      </c>
    </row>
    <row r="69" spans="1:17" ht="62.1" customHeight="1">
      <c r="A69" s="5" t="s">
        <v>175</v>
      </c>
      <c r="B69" s="5" t="s">
        <v>73</v>
      </c>
      <c r="C69" s="9" t="s">
        <v>176</v>
      </c>
      <c r="D69" s="5">
        <v>2</v>
      </c>
      <c r="E69" s="9" t="s">
        <v>10156</v>
      </c>
      <c r="F69" s="5">
        <v>6</v>
      </c>
      <c r="G69" s="9" t="s">
        <v>10167</v>
      </c>
      <c r="H69" s="9" t="s">
        <v>10199</v>
      </c>
      <c r="I69" s="5">
        <v>402.6</v>
      </c>
      <c r="J69" s="5">
        <v>488.52</v>
      </c>
      <c r="K69" s="5">
        <v>766.68</v>
      </c>
      <c r="L69" s="5">
        <v>519.6</v>
      </c>
      <c r="M69" s="9"/>
      <c r="N69" s="9" t="s">
        <v>10159</v>
      </c>
      <c r="O69" s="9" t="s">
        <v>10199</v>
      </c>
      <c r="P69" s="9" t="str">
        <f t="shared" si="3"/>
        <v>PDFを開く</v>
      </c>
      <c r="Q69" s="9" t="s">
        <v>183</v>
      </c>
    </row>
    <row r="70" spans="1:17" ht="62.1" customHeight="1">
      <c r="A70" s="2" t="s">
        <v>175</v>
      </c>
      <c r="B70" s="2" t="s">
        <v>73</v>
      </c>
      <c r="C70" s="8" t="s">
        <v>176</v>
      </c>
      <c r="D70" s="2">
        <v>3</v>
      </c>
      <c r="E70" s="8" t="s">
        <v>10156</v>
      </c>
      <c r="F70" s="2">
        <v>1</v>
      </c>
      <c r="G70" s="8" t="s">
        <v>10167</v>
      </c>
      <c r="H70" s="8" t="s">
        <v>10200</v>
      </c>
      <c r="I70" s="2">
        <v>98.52</v>
      </c>
      <c r="J70" s="2">
        <v>105.12</v>
      </c>
      <c r="K70" s="2">
        <v>757.92</v>
      </c>
      <c r="L70" s="2">
        <v>320.16000000000003</v>
      </c>
      <c r="M70" s="8"/>
      <c r="N70" s="8" t="s">
        <v>10159</v>
      </c>
      <c r="O70" s="8" t="s">
        <v>10201</v>
      </c>
      <c r="P70" s="8" t="str">
        <f t="shared" si="3"/>
        <v>PDFを開く</v>
      </c>
      <c r="Q70" s="8" t="s">
        <v>183</v>
      </c>
    </row>
    <row r="71" spans="1:17" ht="62.1" customHeight="1">
      <c r="A71" s="5" t="s">
        <v>175</v>
      </c>
      <c r="B71" s="5" t="s">
        <v>73</v>
      </c>
      <c r="C71" s="9" t="s">
        <v>176</v>
      </c>
      <c r="D71" s="5">
        <v>3</v>
      </c>
      <c r="E71" s="9" t="s">
        <v>10156</v>
      </c>
      <c r="F71" s="5">
        <v>2</v>
      </c>
      <c r="G71" s="9" t="s">
        <v>10162</v>
      </c>
      <c r="H71" s="9" t="s">
        <v>10162</v>
      </c>
      <c r="I71" s="5">
        <v>15.19</v>
      </c>
      <c r="J71" s="5">
        <v>194.27</v>
      </c>
      <c r="K71" s="5">
        <v>401.7</v>
      </c>
      <c r="L71" s="5">
        <v>397.01</v>
      </c>
      <c r="M71" s="9"/>
      <c r="N71" s="9" t="s">
        <v>10181</v>
      </c>
      <c r="O71" s="9" t="s">
        <v>10202</v>
      </c>
      <c r="P71" s="9" t="str">
        <f t="shared" si="3"/>
        <v>PDFを開く</v>
      </c>
      <c r="Q71" s="9" t="s">
        <v>183</v>
      </c>
    </row>
    <row r="72" spans="1:17" ht="62.1" customHeight="1">
      <c r="A72" s="2" t="s">
        <v>175</v>
      </c>
      <c r="B72" s="2" t="s">
        <v>73</v>
      </c>
      <c r="C72" s="8" t="s">
        <v>176</v>
      </c>
      <c r="D72" s="2">
        <v>3</v>
      </c>
      <c r="E72" s="8" t="s">
        <v>10156</v>
      </c>
      <c r="F72" s="2">
        <v>3</v>
      </c>
      <c r="G72" s="8" t="s">
        <v>10167</v>
      </c>
      <c r="H72" s="8" t="s">
        <v>10203</v>
      </c>
      <c r="I72" s="2">
        <v>98.52</v>
      </c>
      <c r="J72" s="2">
        <v>324.12</v>
      </c>
      <c r="K72" s="2">
        <v>592.55999999999995</v>
      </c>
      <c r="L72" s="2">
        <v>502.92</v>
      </c>
      <c r="M72" s="8"/>
      <c r="N72" s="8" t="s">
        <v>10159</v>
      </c>
      <c r="O72" s="8" t="s">
        <v>10204</v>
      </c>
      <c r="P72" s="8" t="str">
        <f t="shared" si="3"/>
        <v>PDFを開く</v>
      </c>
      <c r="Q72" s="8" t="s">
        <v>183</v>
      </c>
    </row>
    <row r="73" spans="1:17" ht="62.1" customHeight="1">
      <c r="A73" s="5" t="s">
        <v>175</v>
      </c>
      <c r="B73" s="5" t="s">
        <v>73</v>
      </c>
      <c r="C73" s="9" t="s">
        <v>176</v>
      </c>
      <c r="D73" s="5">
        <v>3</v>
      </c>
      <c r="E73" s="9" t="s">
        <v>10156</v>
      </c>
      <c r="F73" s="5">
        <v>4</v>
      </c>
      <c r="G73" s="9" t="s">
        <v>10163</v>
      </c>
      <c r="H73" s="9" t="s">
        <v>10163</v>
      </c>
      <c r="I73" s="5">
        <v>15.19</v>
      </c>
      <c r="J73" s="5">
        <v>396.01</v>
      </c>
      <c r="K73" s="5">
        <v>401.7</v>
      </c>
      <c r="L73" s="5">
        <v>525.20000000000005</v>
      </c>
      <c r="M73" s="9"/>
      <c r="N73" s="9" t="s">
        <v>10181</v>
      </c>
      <c r="O73" s="9" t="s">
        <v>10205</v>
      </c>
      <c r="P73" s="9" t="str">
        <f t="shared" si="3"/>
        <v>PDFを開く</v>
      </c>
      <c r="Q73" s="9" t="s">
        <v>183</v>
      </c>
    </row>
    <row r="74" spans="1:17" ht="62.1" customHeight="1">
      <c r="A74" s="2" t="s">
        <v>184</v>
      </c>
      <c r="B74" s="2" t="s">
        <v>73</v>
      </c>
      <c r="C74" s="8" t="s">
        <v>185</v>
      </c>
      <c r="D74" s="2">
        <v>1</v>
      </c>
      <c r="E74" s="8" t="s">
        <v>10156</v>
      </c>
      <c r="F74" s="2">
        <v>1</v>
      </c>
      <c r="G74" s="8" t="s">
        <v>9578</v>
      </c>
      <c r="H74" s="8" t="s">
        <v>9578</v>
      </c>
      <c r="I74" s="2">
        <v>21.17</v>
      </c>
      <c r="J74" s="2">
        <v>105.53</v>
      </c>
      <c r="K74" s="2">
        <v>360.3</v>
      </c>
      <c r="L74" s="2">
        <v>520.9</v>
      </c>
      <c r="M74" s="8"/>
      <c r="N74" s="8" t="s">
        <v>10159</v>
      </c>
      <c r="O74" s="8" t="s">
        <v>7432</v>
      </c>
      <c r="P74" s="8" t="str">
        <f>HYPERLINK("https://seichotoushi-hojo.jp/assets/pdf/koufu/outline_109.pdf","PDFを開く")</f>
        <v>PDFを開く</v>
      </c>
      <c r="Q74" s="8" t="s">
        <v>194</v>
      </c>
    </row>
    <row r="75" spans="1:17" ht="62.1" customHeight="1">
      <c r="A75" s="5" t="s">
        <v>184</v>
      </c>
      <c r="B75" s="5" t="s">
        <v>73</v>
      </c>
      <c r="C75" s="9" t="s">
        <v>185</v>
      </c>
      <c r="D75" s="5">
        <v>1</v>
      </c>
      <c r="E75" s="9" t="s">
        <v>10156</v>
      </c>
      <c r="F75" s="5">
        <v>2</v>
      </c>
      <c r="G75" s="9" t="s">
        <v>10162</v>
      </c>
      <c r="H75" s="9" t="s">
        <v>10162</v>
      </c>
      <c r="I75" s="5">
        <v>399.64</v>
      </c>
      <c r="J75" s="5">
        <v>110.28</v>
      </c>
      <c r="K75" s="5">
        <v>743.12</v>
      </c>
      <c r="L75" s="5">
        <v>302.57</v>
      </c>
      <c r="M75" s="9"/>
      <c r="N75" s="9" t="s">
        <v>10159</v>
      </c>
      <c r="O75" s="9" t="s">
        <v>7433</v>
      </c>
      <c r="P75" s="9" t="str">
        <f>HYPERLINK("https://seichotoushi-hojo.jp/assets/pdf/koufu/outline_109.pdf","PDFを開く")</f>
        <v>PDFを開く</v>
      </c>
      <c r="Q75" s="9" t="s">
        <v>194</v>
      </c>
    </row>
    <row r="76" spans="1:17" ht="62.1" customHeight="1">
      <c r="A76" s="2" t="s">
        <v>184</v>
      </c>
      <c r="B76" s="2" t="s">
        <v>73</v>
      </c>
      <c r="C76" s="8" t="s">
        <v>185</v>
      </c>
      <c r="D76" s="2">
        <v>1</v>
      </c>
      <c r="E76" s="8" t="s">
        <v>10156</v>
      </c>
      <c r="F76" s="2">
        <v>3</v>
      </c>
      <c r="G76" s="8" t="s">
        <v>10163</v>
      </c>
      <c r="H76" s="8" t="s">
        <v>10163</v>
      </c>
      <c r="I76" s="2">
        <v>399.64</v>
      </c>
      <c r="J76" s="2">
        <v>308.75</v>
      </c>
      <c r="K76" s="2">
        <v>743.12</v>
      </c>
      <c r="L76" s="2">
        <v>531.83000000000004</v>
      </c>
      <c r="M76" s="8"/>
      <c r="N76" s="8" t="s">
        <v>10159</v>
      </c>
      <c r="O76" s="8" t="s">
        <v>7434</v>
      </c>
      <c r="P76" s="8" t="str">
        <f>HYPERLINK("https://seichotoushi-hojo.jp/assets/pdf/koufu/outline_109.pdf","PDFを開く")</f>
        <v>PDFを開く</v>
      </c>
      <c r="Q76" s="8" t="s">
        <v>194</v>
      </c>
    </row>
    <row r="77" spans="1:17" ht="62.1" customHeight="1">
      <c r="A77" s="5" t="s">
        <v>184</v>
      </c>
      <c r="B77" s="5" t="s">
        <v>73</v>
      </c>
      <c r="C77" s="9" t="s">
        <v>185</v>
      </c>
      <c r="D77" s="5">
        <v>1</v>
      </c>
      <c r="E77" s="9" t="s">
        <v>10156</v>
      </c>
      <c r="F77" s="5">
        <v>4</v>
      </c>
      <c r="G77" s="9" t="s">
        <v>8581</v>
      </c>
      <c r="H77" s="9" t="s">
        <v>8581</v>
      </c>
      <c r="I77" s="5">
        <v>30.82</v>
      </c>
      <c r="J77" s="5">
        <v>426.56</v>
      </c>
      <c r="K77" s="5">
        <v>350.31</v>
      </c>
      <c r="L77" s="5">
        <v>514.91</v>
      </c>
      <c r="M77" s="9"/>
      <c r="N77" s="9" t="s">
        <v>10159</v>
      </c>
      <c r="O77" s="9" t="s">
        <v>190</v>
      </c>
      <c r="P77" s="9" t="str">
        <f>HYPERLINK("https://seichotoushi-hojo.jp/assets/pdf/koufu/outline_109.pdf","PDFを開く")</f>
        <v>PDFを開く</v>
      </c>
      <c r="Q77" s="9" t="s">
        <v>194</v>
      </c>
    </row>
    <row r="78" spans="1:17" ht="62.1" customHeight="1">
      <c r="A78" s="2" t="s">
        <v>184</v>
      </c>
      <c r="B78" s="2" t="s">
        <v>73</v>
      </c>
      <c r="C78" s="8" t="s">
        <v>185</v>
      </c>
      <c r="D78" s="2">
        <v>2</v>
      </c>
      <c r="E78" s="8" t="s">
        <v>10165</v>
      </c>
      <c r="F78" s="2">
        <v>1</v>
      </c>
      <c r="G78" s="8" t="s">
        <v>10167</v>
      </c>
      <c r="H78" s="8" t="s">
        <v>10206</v>
      </c>
      <c r="I78" s="2">
        <v>122.88</v>
      </c>
      <c r="J78" s="2">
        <v>325.2</v>
      </c>
      <c r="K78" s="2">
        <v>489.24</v>
      </c>
      <c r="L78" s="2">
        <v>402.24</v>
      </c>
      <c r="M78" s="8"/>
      <c r="N78" s="8" t="s">
        <v>10159</v>
      </c>
      <c r="O78" s="8" t="s">
        <v>10207</v>
      </c>
      <c r="P78" s="8" t="str">
        <f>HYPERLINK("https://seichotoushi-hojo.jp/assets/pdf/koufu/outline_109.pdf","PDFを開く")</f>
        <v>PDFを開く</v>
      </c>
      <c r="Q78" s="8" t="s">
        <v>194</v>
      </c>
    </row>
    <row r="79" spans="1:17" ht="62.1" customHeight="1">
      <c r="A79" s="5" t="s">
        <v>195</v>
      </c>
      <c r="B79" s="5" t="s">
        <v>73</v>
      </c>
      <c r="C79" s="9" t="s">
        <v>196</v>
      </c>
      <c r="D79" s="5">
        <v>1</v>
      </c>
      <c r="E79" s="9" t="s">
        <v>10156</v>
      </c>
      <c r="F79" s="5">
        <v>1</v>
      </c>
      <c r="G79" s="9" t="s">
        <v>9578</v>
      </c>
      <c r="H79" s="9" t="s">
        <v>9578</v>
      </c>
      <c r="I79" s="5">
        <v>39.659999999999997</v>
      </c>
      <c r="J79" s="5">
        <v>113.08</v>
      </c>
      <c r="K79" s="5">
        <v>378.79</v>
      </c>
      <c r="L79" s="5">
        <v>499.73</v>
      </c>
      <c r="M79" s="9"/>
      <c r="N79" s="9" t="s">
        <v>10159</v>
      </c>
      <c r="O79" s="9" t="s">
        <v>7439</v>
      </c>
      <c r="P79" s="9" t="str">
        <f>HYPERLINK("https://seichotoushi-hojo.jp/assets/pdf/koufu/outline_11.pdf","PDFを開く")</f>
        <v>PDFを開く</v>
      </c>
      <c r="Q79" s="9" t="s">
        <v>204</v>
      </c>
    </row>
    <row r="80" spans="1:17" ht="62.1" customHeight="1">
      <c r="A80" s="2" t="s">
        <v>195</v>
      </c>
      <c r="B80" s="2" t="s">
        <v>73</v>
      </c>
      <c r="C80" s="8" t="s">
        <v>196</v>
      </c>
      <c r="D80" s="2">
        <v>1</v>
      </c>
      <c r="E80" s="8" t="s">
        <v>10156</v>
      </c>
      <c r="F80" s="2">
        <v>2</v>
      </c>
      <c r="G80" s="8" t="s">
        <v>10162</v>
      </c>
      <c r="H80" s="8" t="s">
        <v>10162</v>
      </c>
      <c r="I80" s="2">
        <v>398.23</v>
      </c>
      <c r="J80" s="2">
        <v>113.08</v>
      </c>
      <c r="K80" s="2">
        <v>741.71</v>
      </c>
      <c r="L80" s="2">
        <v>305.08</v>
      </c>
      <c r="M80" s="8"/>
      <c r="N80" s="8" t="s">
        <v>10159</v>
      </c>
      <c r="O80" s="8" t="s">
        <v>7440</v>
      </c>
      <c r="P80" s="8" t="str">
        <f>HYPERLINK("https://seichotoushi-hojo.jp/assets/pdf/koufu/outline_11.pdf","PDFを開く")</f>
        <v>PDFを開く</v>
      </c>
      <c r="Q80" s="8" t="s">
        <v>204</v>
      </c>
    </row>
    <row r="81" spans="1:17" ht="62.1" customHeight="1">
      <c r="A81" s="5" t="s">
        <v>195</v>
      </c>
      <c r="B81" s="5" t="s">
        <v>73</v>
      </c>
      <c r="C81" s="9" t="s">
        <v>196</v>
      </c>
      <c r="D81" s="5">
        <v>1</v>
      </c>
      <c r="E81" s="9" t="s">
        <v>10156</v>
      </c>
      <c r="F81" s="5">
        <v>3</v>
      </c>
      <c r="G81" s="9" t="s">
        <v>10163</v>
      </c>
      <c r="H81" s="9" t="s">
        <v>10163</v>
      </c>
      <c r="I81" s="5">
        <v>398.23</v>
      </c>
      <c r="J81" s="5">
        <v>318.93</v>
      </c>
      <c r="K81" s="5">
        <v>741.71</v>
      </c>
      <c r="L81" s="5">
        <v>499.73</v>
      </c>
      <c r="M81" s="9"/>
      <c r="N81" s="9" t="s">
        <v>10159</v>
      </c>
      <c r="O81" s="9" t="s">
        <v>7441</v>
      </c>
      <c r="P81" s="9" t="str">
        <f>HYPERLINK("https://seichotoushi-hojo.jp/assets/pdf/koufu/outline_11.pdf","PDFを開く")</f>
        <v>PDFを開く</v>
      </c>
      <c r="Q81" s="9" t="s">
        <v>204</v>
      </c>
    </row>
    <row r="82" spans="1:17" ht="62.1" customHeight="1">
      <c r="A82" s="2" t="s">
        <v>195</v>
      </c>
      <c r="B82" s="2" t="s">
        <v>73</v>
      </c>
      <c r="C82" s="8" t="s">
        <v>196</v>
      </c>
      <c r="D82" s="2">
        <v>1</v>
      </c>
      <c r="E82" s="8" t="s">
        <v>10156</v>
      </c>
      <c r="F82" s="2">
        <v>4</v>
      </c>
      <c r="G82" s="8" t="s">
        <v>8581</v>
      </c>
      <c r="H82" s="8" t="s">
        <v>8581</v>
      </c>
      <c r="I82" s="2">
        <v>48</v>
      </c>
      <c r="J82" s="2">
        <v>355.85</v>
      </c>
      <c r="K82" s="2">
        <v>367.5</v>
      </c>
      <c r="L82" s="2">
        <v>486.75</v>
      </c>
      <c r="M82" s="8"/>
      <c r="N82" s="8" t="s">
        <v>10159</v>
      </c>
      <c r="O82" s="8" t="s">
        <v>201</v>
      </c>
      <c r="P82" s="8" t="str">
        <f>HYPERLINK("https://seichotoushi-hojo.jp/assets/pdf/koufu/outline_11.pdf","PDFを開く")</f>
        <v>PDFを開く</v>
      </c>
      <c r="Q82" s="8" t="s">
        <v>204</v>
      </c>
    </row>
    <row r="83" spans="1:17" ht="62.1" customHeight="1">
      <c r="A83" s="5" t="s">
        <v>205</v>
      </c>
      <c r="B83" s="5" t="s">
        <v>73</v>
      </c>
      <c r="C83" s="9" t="s">
        <v>206</v>
      </c>
      <c r="D83" s="5">
        <v>1</v>
      </c>
      <c r="E83" s="9" t="s">
        <v>10156</v>
      </c>
      <c r="F83" s="5">
        <v>1</v>
      </c>
      <c r="G83" s="9" t="s">
        <v>10167</v>
      </c>
      <c r="H83" s="9" t="s">
        <v>10208</v>
      </c>
      <c r="I83" s="5">
        <v>43.56</v>
      </c>
      <c r="J83" s="5">
        <v>108.84</v>
      </c>
      <c r="K83" s="5">
        <v>799.2</v>
      </c>
      <c r="L83" s="5">
        <v>181.08</v>
      </c>
      <c r="M83" s="9"/>
      <c r="N83" s="9" t="s">
        <v>10159</v>
      </c>
      <c r="O83" s="9" t="s">
        <v>10209</v>
      </c>
      <c r="P83" s="9" t="str">
        <f t="shared" ref="P83:P88" si="4">HYPERLINK("https://seichotoushi-hojo.jp/assets/pdf/koufu/outline_110.pdf","PDFを開く")</f>
        <v>PDFを開く</v>
      </c>
      <c r="Q83" s="9" t="s">
        <v>214</v>
      </c>
    </row>
    <row r="84" spans="1:17" ht="62.1" customHeight="1">
      <c r="A84" s="2" t="s">
        <v>205</v>
      </c>
      <c r="B84" s="2" t="s">
        <v>73</v>
      </c>
      <c r="C84" s="8" t="s">
        <v>206</v>
      </c>
      <c r="D84" s="2">
        <v>1</v>
      </c>
      <c r="E84" s="8" t="s">
        <v>10156</v>
      </c>
      <c r="F84" s="2">
        <v>2</v>
      </c>
      <c r="G84" s="8" t="s">
        <v>9578</v>
      </c>
      <c r="H84" s="8" t="s">
        <v>9578</v>
      </c>
      <c r="I84" s="2">
        <v>42.84</v>
      </c>
      <c r="J84" s="2">
        <v>187.44</v>
      </c>
      <c r="K84" s="2">
        <v>408.84</v>
      </c>
      <c r="L84" s="2">
        <v>545.64</v>
      </c>
      <c r="M84" s="8"/>
      <c r="N84" s="8" t="s">
        <v>10159</v>
      </c>
      <c r="O84" s="8" t="s">
        <v>7446</v>
      </c>
      <c r="P84" s="8" t="str">
        <f t="shared" si="4"/>
        <v>PDFを開く</v>
      </c>
      <c r="Q84" s="8" t="s">
        <v>214</v>
      </c>
    </row>
    <row r="85" spans="1:17" ht="62.1" customHeight="1">
      <c r="A85" s="5" t="s">
        <v>205</v>
      </c>
      <c r="B85" s="5" t="s">
        <v>73</v>
      </c>
      <c r="C85" s="9" t="s">
        <v>206</v>
      </c>
      <c r="D85" s="5">
        <v>1</v>
      </c>
      <c r="E85" s="9" t="s">
        <v>10156</v>
      </c>
      <c r="F85" s="5">
        <v>3</v>
      </c>
      <c r="G85" s="9" t="s">
        <v>10162</v>
      </c>
      <c r="H85" s="9" t="s">
        <v>10162</v>
      </c>
      <c r="I85" s="5">
        <v>427.8</v>
      </c>
      <c r="J85" s="5">
        <v>189.96</v>
      </c>
      <c r="K85" s="5">
        <v>798.48</v>
      </c>
      <c r="L85" s="5">
        <v>360.84</v>
      </c>
      <c r="M85" s="9"/>
      <c r="N85" s="9" t="s">
        <v>10159</v>
      </c>
      <c r="O85" s="9" t="s">
        <v>7447</v>
      </c>
      <c r="P85" s="9" t="str">
        <f t="shared" si="4"/>
        <v>PDFを開く</v>
      </c>
      <c r="Q85" s="9" t="s">
        <v>214</v>
      </c>
    </row>
    <row r="86" spans="1:17" ht="62.1" customHeight="1">
      <c r="A86" s="2" t="s">
        <v>205</v>
      </c>
      <c r="B86" s="2" t="s">
        <v>73</v>
      </c>
      <c r="C86" s="8" t="s">
        <v>206</v>
      </c>
      <c r="D86" s="2">
        <v>1</v>
      </c>
      <c r="E86" s="8" t="s">
        <v>10156</v>
      </c>
      <c r="F86" s="2">
        <v>4</v>
      </c>
      <c r="G86" s="8" t="s">
        <v>10163</v>
      </c>
      <c r="H86" s="8" t="s">
        <v>10163</v>
      </c>
      <c r="I86" s="2">
        <v>427.8</v>
      </c>
      <c r="J86" s="2">
        <v>374.76</v>
      </c>
      <c r="K86" s="2">
        <v>798.48</v>
      </c>
      <c r="L86" s="2">
        <v>545.64</v>
      </c>
      <c r="M86" s="8"/>
      <c r="N86" s="8" t="s">
        <v>10159</v>
      </c>
      <c r="O86" s="8" t="s">
        <v>7448</v>
      </c>
      <c r="P86" s="8" t="str">
        <f t="shared" si="4"/>
        <v>PDFを開く</v>
      </c>
      <c r="Q86" s="8" t="s">
        <v>214</v>
      </c>
    </row>
    <row r="87" spans="1:17" ht="62.1" customHeight="1">
      <c r="A87" s="5" t="s">
        <v>205</v>
      </c>
      <c r="B87" s="5" t="s">
        <v>73</v>
      </c>
      <c r="C87" s="9" t="s">
        <v>206</v>
      </c>
      <c r="D87" s="5">
        <v>1</v>
      </c>
      <c r="E87" s="9" t="s">
        <v>10156</v>
      </c>
      <c r="F87" s="5">
        <v>5</v>
      </c>
      <c r="G87" s="9" t="s">
        <v>8581</v>
      </c>
      <c r="H87" s="9" t="s">
        <v>8581</v>
      </c>
      <c r="I87" s="5">
        <v>51.84</v>
      </c>
      <c r="J87" s="5">
        <v>446.4</v>
      </c>
      <c r="K87" s="5">
        <v>400.08</v>
      </c>
      <c r="L87" s="5">
        <v>536.28</v>
      </c>
      <c r="M87" s="9"/>
      <c r="N87" s="9" t="s">
        <v>10159</v>
      </c>
      <c r="O87" s="9" t="s">
        <v>211</v>
      </c>
      <c r="P87" s="9" t="str">
        <f t="shared" si="4"/>
        <v>PDFを開く</v>
      </c>
      <c r="Q87" s="9" t="s">
        <v>214</v>
      </c>
    </row>
    <row r="88" spans="1:17" ht="62.1" customHeight="1">
      <c r="A88" s="2" t="s">
        <v>205</v>
      </c>
      <c r="B88" s="2" t="s">
        <v>73</v>
      </c>
      <c r="C88" s="8" t="s">
        <v>206</v>
      </c>
      <c r="D88" s="2">
        <v>2</v>
      </c>
      <c r="E88" s="8" t="s">
        <v>10165</v>
      </c>
      <c r="F88" s="2">
        <v>1</v>
      </c>
      <c r="G88" s="8" t="s">
        <v>10167</v>
      </c>
      <c r="H88" s="8" t="s">
        <v>10210</v>
      </c>
      <c r="I88" s="2">
        <v>402.96</v>
      </c>
      <c r="J88" s="2">
        <v>238.2</v>
      </c>
      <c r="K88" s="2">
        <v>808.08</v>
      </c>
      <c r="L88" s="2">
        <v>415.68</v>
      </c>
      <c r="M88" s="8"/>
      <c r="N88" s="8" t="s">
        <v>10159</v>
      </c>
      <c r="O88" s="8" t="s">
        <v>10211</v>
      </c>
      <c r="P88" s="8" t="str">
        <f t="shared" si="4"/>
        <v>PDFを開く</v>
      </c>
      <c r="Q88" s="8" t="s">
        <v>214</v>
      </c>
    </row>
    <row r="89" spans="1:17" ht="62.1" customHeight="1">
      <c r="A89" s="5" t="s">
        <v>215</v>
      </c>
      <c r="B89" s="5" t="s">
        <v>73</v>
      </c>
      <c r="C89" s="9" t="s">
        <v>216</v>
      </c>
      <c r="D89" s="5">
        <v>1</v>
      </c>
      <c r="E89" s="9" t="s">
        <v>10156</v>
      </c>
      <c r="F89" s="5">
        <v>1</v>
      </c>
      <c r="G89" s="9" t="s">
        <v>10157</v>
      </c>
      <c r="H89" s="9" t="s">
        <v>10157</v>
      </c>
      <c r="I89" s="5">
        <v>24.23</v>
      </c>
      <c r="J89" s="5">
        <v>96.96</v>
      </c>
      <c r="K89" s="5">
        <v>771.43</v>
      </c>
      <c r="L89" s="5">
        <v>180.96</v>
      </c>
      <c r="M89" s="9"/>
      <c r="N89" s="9" t="s">
        <v>10159</v>
      </c>
      <c r="O89" s="9" t="s">
        <v>7453</v>
      </c>
      <c r="P89" s="9" t="str">
        <f t="shared" ref="P89:P94" si="5">HYPERLINK("https://seichotoushi-hojo.jp/assets/pdf/koufu/outline_111.pdf","PDFを開く")</f>
        <v>PDFを開く</v>
      </c>
      <c r="Q89" s="9" t="s">
        <v>222</v>
      </c>
    </row>
    <row r="90" spans="1:17" ht="62.1" customHeight="1">
      <c r="A90" s="2" t="s">
        <v>215</v>
      </c>
      <c r="B90" s="2" t="s">
        <v>73</v>
      </c>
      <c r="C90" s="8" t="s">
        <v>216</v>
      </c>
      <c r="D90" s="2">
        <v>1</v>
      </c>
      <c r="E90" s="8" t="s">
        <v>10156</v>
      </c>
      <c r="F90" s="2">
        <v>2</v>
      </c>
      <c r="G90" s="8" t="s">
        <v>9578</v>
      </c>
      <c r="H90" s="8" t="s">
        <v>9578</v>
      </c>
      <c r="I90" s="2">
        <v>24.23</v>
      </c>
      <c r="J90" s="2">
        <v>186.86</v>
      </c>
      <c r="K90" s="2">
        <v>363.36</v>
      </c>
      <c r="L90" s="2">
        <v>529.07000000000005</v>
      </c>
      <c r="M90" s="8"/>
      <c r="N90" s="8" t="s">
        <v>10159</v>
      </c>
      <c r="O90" s="8" t="s">
        <v>7454</v>
      </c>
      <c r="P90" s="8" t="str">
        <f t="shared" si="5"/>
        <v>PDFを開く</v>
      </c>
      <c r="Q90" s="8" t="s">
        <v>222</v>
      </c>
    </row>
    <row r="91" spans="1:17" ht="62.1" customHeight="1">
      <c r="A91" s="5" t="s">
        <v>215</v>
      </c>
      <c r="B91" s="5" t="s">
        <v>73</v>
      </c>
      <c r="C91" s="9" t="s">
        <v>216</v>
      </c>
      <c r="D91" s="5">
        <v>1</v>
      </c>
      <c r="E91" s="9" t="s">
        <v>10156</v>
      </c>
      <c r="F91" s="5">
        <v>3</v>
      </c>
      <c r="G91" s="9" t="s">
        <v>10162</v>
      </c>
      <c r="H91" s="9" t="s">
        <v>10162</v>
      </c>
      <c r="I91" s="5">
        <v>380.87</v>
      </c>
      <c r="J91" s="5">
        <v>190.08</v>
      </c>
      <c r="K91" s="5">
        <v>755.77</v>
      </c>
      <c r="L91" s="5">
        <v>388.29</v>
      </c>
      <c r="M91" s="9"/>
      <c r="N91" s="9" t="s">
        <v>10159</v>
      </c>
      <c r="O91" s="9" t="s">
        <v>7455</v>
      </c>
      <c r="P91" s="9" t="str">
        <f t="shared" si="5"/>
        <v>PDFを開く</v>
      </c>
      <c r="Q91" s="9" t="s">
        <v>222</v>
      </c>
    </row>
    <row r="92" spans="1:17" ht="62.1" customHeight="1">
      <c r="A92" s="2" t="s">
        <v>215</v>
      </c>
      <c r="B92" s="2" t="s">
        <v>73</v>
      </c>
      <c r="C92" s="8" t="s">
        <v>216</v>
      </c>
      <c r="D92" s="2">
        <v>1</v>
      </c>
      <c r="E92" s="8" t="s">
        <v>10156</v>
      </c>
      <c r="F92" s="2">
        <v>4</v>
      </c>
      <c r="G92" s="8" t="s">
        <v>10163</v>
      </c>
      <c r="H92" s="8" t="s">
        <v>10163</v>
      </c>
      <c r="I92" s="2">
        <v>380.87</v>
      </c>
      <c r="J92" s="2">
        <v>394.07</v>
      </c>
      <c r="K92" s="2">
        <v>755.77</v>
      </c>
      <c r="L92" s="2">
        <v>529.71</v>
      </c>
      <c r="M92" s="8"/>
      <c r="N92" s="8" t="s">
        <v>10159</v>
      </c>
      <c r="O92" s="8" t="s">
        <v>7456</v>
      </c>
      <c r="P92" s="8" t="str">
        <f t="shared" si="5"/>
        <v>PDFを開く</v>
      </c>
      <c r="Q92" s="8" t="s">
        <v>222</v>
      </c>
    </row>
    <row r="93" spans="1:17" ht="62.1" customHeight="1">
      <c r="A93" s="5" t="s">
        <v>215</v>
      </c>
      <c r="B93" s="5" t="s">
        <v>73</v>
      </c>
      <c r="C93" s="9" t="s">
        <v>216</v>
      </c>
      <c r="D93" s="5">
        <v>1</v>
      </c>
      <c r="E93" s="9" t="s">
        <v>10156</v>
      </c>
      <c r="F93" s="5">
        <v>5</v>
      </c>
      <c r="G93" s="9" t="s">
        <v>8581</v>
      </c>
      <c r="H93" s="9" t="s">
        <v>8581</v>
      </c>
      <c r="I93" s="5">
        <v>34.04</v>
      </c>
      <c r="J93" s="5">
        <v>477.06</v>
      </c>
      <c r="K93" s="5">
        <v>353.54</v>
      </c>
      <c r="L93" s="5">
        <v>529.71</v>
      </c>
      <c r="M93" s="9"/>
      <c r="N93" s="9" t="s">
        <v>10159</v>
      </c>
      <c r="O93" s="9" t="s">
        <v>220</v>
      </c>
      <c r="P93" s="9" t="str">
        <f t="shared" si="5"/>
        <v>PDFを開く</v>
      </c>
      <c r="Q93" s="9" t="s">
        <v>222</v>
      </c>
    </row>
    <row r="94" spans="1:17" ht="62.1" customHeight="1">
      <c r="A94" s="2" t="s">
        <v>215</v>
      </c>
      <c r="B94" s="2" t="s">
        <v>73</v>
      </c>
      <c r="C94" s="8" t="s">
        <v>216</v>
      </c>
      <c r="D94" s="2">
        <v>2</v>
      </c>
      <c r="E94" s="8" t="s">
        <v>10165</v>
      </c>
      <c r="F94" s="2">
        <v>1</v>
      </c>
      <c r="G94" s="8" t="s">
        <v>10167</v>
      </c>
      <c r="H94" s="8" t="s">
        <v>10212</v>
      </c>
      <c r="I94" s="2">
        <v>14.79</v>
      </c>
      <c r="J94" s="2">
        <v>95.92</v>
      </c>
      <c r="K94" s="2">
        <v>767.58</v>
      </c>
      <c r="L94" s="2">
        <v>230.31</v>
      </c>
      <c r="M94" s="8"/>
      <c r="N94" s="8" t="s">
        <v>10159</v>
      </c>
      <c r="O94" s="8" t="s">
        <v>10213</v>
      </c>
      <c r="P94" s="8" t="str">
        <f t="shared" si="5"/>
        <v>PDFを開く</v>
      </c>
      <c r="Q94" s="8" t="s">
        <v>222</v>
      </c>
    </row>
    <row r="95" spans="1:17" ht="62.1" customHeight="1">
      <c r="A95" s="5" t="s">
        <v>223</v>
      </c>
      <c r="B95" s="5" t="s">
        <v>73</v>
      </c>
      <c r="C95" s="9" t="s">
        <v>224</v>
      </c>
      <c r="D95" s="5">
        <v>1</v>
      </c>
      <c r="E95" s="9" t="s">
        <v>10156</v>
      </c>
      <c r="F95" s="5">
        <v>1</v>
      </c>
      <c r="G95" s="9" t="s">
        <v>9578</v>
      </c>
      <c r="H95" s="9" t="s">
        <v>9578</v>
      </c>
      <c r="I95" s="5">
        <v>33.18</v>
      </c>
      <c r="J95" s="5">
        <v>101.81</v>
      </c>
      <c r="K95" s="5">
        <v>372.31</v>
      </c>
      <c r="L95" s="5">
        <v>531.36</v>
      </c>
      <c r="M95" s="9"/>
      <c r="N95" s="9" t="s">
        <v>10159</v>
      </c>
      <c r="O95" s="9" t="s">
        <v>7461</v>
      </c>
      <c r="P95" s="9" t="str">
        <f>HYPERLINK("https://seichotoushi-hojo.jp/assets/pdf/koufu/outline_112.pdf","PDFを開く")</f>
        <v>PDFを開く</v>
      </c>
      <c r="Q95" s="9" t="s">
        <v>232</v>
      </c>
    </row>
    <row r="96" spans="1:17" ht="62.1" customHeight="1">
      <c r="A96" s="2" t="s">
        <v>223</v>
      </c>
      <c r="B96" s="2" t="s">
        <v>73</v>
      </c>
      <c r="C96" s="8" t="s">
        <v>224</v>
      </c>
      <c r="D96" s="2">
        <v>1</v>
      </c>
      <c r="E96" s="8" t="s">
        <v>10156</v>
      </c>
      <c r="F96" s="2">
        <v>2</v>
      </c>
      <c r="G96" s="8" t="s">
        <v>10162</v>
      </c>
      <c r="H96" s="8" t="s">
        <v>10162</v>
      </c>
      <c r="I96" s="2">
        <v>392.7</v>
      </c>
      <c r="J96" s="2">
        <v>101.81</v>
      </c>
      <c r="K96" s="2">
        <v>749.87</v>
      </c>
      <c r="L96" s="2">
        <v>270.75</v>
      </c>
      <c r="M96" s="8"/>
      <c r="N96" s="8" t="s">
        <v>10159</v>
      </c>
      <c r="O96" s="8" t="s">
        <v>7462</v>
      </c>
      <c r="P96" s="8" t="str">
        <f>HYPERLINK("https://seichotoushi-hojo.jp/assets/pdf/koufu/outline_112.pdf","PDFを開く")</f>
        <v>PDFを開く</v>
      </c>
      <c r="Q96" s="8" t="s">
        <v>232</v>
      </c>
    </row>
    <row r="97" spans="1:17" ht="62.1" customHeight="1">
      <c r="A97" s="5" t="s">
        <v>223</v>
      </c>
      <c r="B97" s="5" t="s">
        <v>73</v>
      </c>
      <c r="C97" s="9" t="s">
        <v>224</v>
      </c>
      <c r="D97" s="5">
        <v>1</v>
      </c>
      <c r="E97" s="9" t="s">
        <v>10156</v>
      </c>
      <c r="F97" s="5">
        <v>3</v>
      </c>
      <c r="G97" s="9" t="s">
        <v>10163</v>
      </c>
      <c r="H97" s="9" t="s">
        <v>10163</v>
      </c>
      <c r="I97" s="5">
        <v>392.7</v>
      </c>
      <c r="J97" s="5">
        <v>277.2</v>
      </c>
      <c r="K97" s="5">
        <v>749.87</v>
      </c>
      <c r="L97" s="5">
        <v>531.04999999999995</v>
      </c>
      <c r="M97" s="9"/>
      <c r="N97" s="9" t="s">
        <v>10159</v>
      </c>
      <c r="O97" s="9" t="s">
        <v>7463</v>
      </c>
      <c r="P97" s="9" t="str">
        <f>HYPERLINK("https://seichotoushi-hojo.jp/assets/pdf/koufu/outline_112.pdf","PDFを開く")</f>
        <v>PDFを開く</v>
      </c>
      <c r="Q97" s="9" t="s">
        <v>232</v>
      </c>
    </row>
    <row r="98" spans="1:17" ht="62.1" customHeight="1">
      <c r="A98" s="2" t="s">
        <v>223</v>
      </c>
      <c r="B98" s="2" t="s">
        <v>73</v>
      </c>
      <c r="C98" s="8" t="s">
        <v>224</v>
      </c>
      <c r="D98" s="2">
        <v>1</v>
      </c>
      <c r="E98" s="8" t="s">
        <v>10156</v>
      </c>
      <c r="F98" s="2">
        <v>4</v>
      </c>
      <c r="G98" s="8" t="s">
        <v>8581</v>
      </c>
      <c r="H98" s="8" t="s">
        <v>8581</v>
      </c>
      <c r="I98" s="2">
        <v>42.99</v>
      </c>
      <c r="J98" s="2">
        <v>454.4</v>
      </c>
      <c r="K98" s="2">
        <v>362.49</v>
      </c>
      <c r="L98" s="2">
        <v>528.1</v>
      </c>
      <c r="M98" s="8"/>
      <c r="N98" s="8" t="s">
        <v>10159</v>
      </c>
      <c r="O98" s="8" t="s">
        <v>229</v>
      </c>
      <c r="P98" s="8" t="str">
        <f>HYPERLINK("https://seichotoushi-hojo.jp/assets/pdf/koufu/outline_112.pdf","PDFを開く")</f>
        <v>PDFを開く</v>
      </c>
      <c r="Q98" s="8" t="s">
        <v>232</v>
      </c>
    </row>
    <row r="99" spans="1:17" ht="62.1" customHeight="1">
      <c r="A99" s="5" t="s">
        <v>233</v>
      </c>
      <c r="B99" s="5" t="s">
        <v>73</v>
      </c>
      <c r="C99" s="9" t="s">
        <v>234</v>
      </c>
      <c r="D99" s="5">
        <v>1</v>
      </c>
      <c r="E99" s="9" t="s">
        <v>10156</v>
      </c>
      <c r="F99" s="5">
        <v>1</v>
      </c>
      <c r="G99" s="9" t="s">
        <v>9578</v>
      </c>
      <c r="H99" s="9" t="s">
        <v>9578</v>
      </c>
      <c r="I99" s="5">
        <v>32.799999999999997</v>
      </c>
      <c r="J99" s="5">
        <v>147.29</v>
      </c>
      <c r="K99" s="5">
        <v>371.93</v>
      </c>
      <c r="L99" s="5">
        <v>479.15</v>
      </c>
      <c r="M99" s="9"/>
      <c r="N99" s="9" t="s">
        <v>10159</v>
      </c>
      <c r="O99" s="9" t="s">
        <v>7468</v>
      </c>
      <c r="P99" s="9" t="str">
        <f>HYPERLINK("https://seichotoushi-hojo.jp/assets/pdf/koufu/outline_113.pdf","PDFを開く")</f>
        <v>PDFを開く</v>
      </c>
      <c r="Q99" s="9" t="s">
        <v>239</v>
      </c>
    </row>
    <row r="100" spans="1:17" ht="62.1" customHeight="1">
      <c r="A100" s="2" t="s">
        <v>233</v>
      </c>
      <c r="B100" s="2" t="s">
        <v>73</v>
      </c>
      <c r="C100" s="8" t="s">
        <v>234</v>
      </c>
      <c r="D100" s="2">
        <v>1</v>
      </c>
      <c r="E100" s="8" t="s">
        <v>10156</v>
      </c>
      <c r="F100" s="2">
        <v>2</v>
      </c>
      <c r="G100" s="8" t="s">
        <v>10162</v>
      </c>
      <c r="H100" s="8" t="s">
        <v>10162</v>
      </c>
      <c r="I100" s="2">
        <v>389.44</v>
      </c>
      <c r="J100" s="2">
        <v>149.58000000000001</v>
      </c>
      <c r="K100" s="2">
        <v>732.92</v>
      </c>
      <c r="L100" s="2">
        <v>307.88</v>
      </c>
      <c r="M100" s="8"/>
      <c r="N100" s="8" t="s">
        <v>10159</v>
      </c>
      <c r="O100" s="8" t="s">
        <v>7469</v>
      </c>
      <c r="P100" s="8" t="str">
        <f>HYPERLINK("https://seichotoushi-hojo.jp/assets/pdf/koufu/outline_113.pdf","PDFを開く")</f>
        <v>PDFを開く</v>
      </c>
      <c r="Q100" s="8" t="s">
        <v>239</v>
      </c>
    </row>
    <row r="101" spans="1:17" ht="62.1" customHeight="1">
      <c r="A101" s="5" t="s">
        <v>233</v>
      </c>
      <c r="B101" s="5" t="s">
        <v>73</v>
      </c>
      <c r="C101" s="9" t="s">
        <v>234</v>
      </c>
      <c r="D101" s="5">
        <v>1</v>
      </c>
      <c r="E101" s="9" t="s">
        <v>10156</v>
      </c>
      <c r="F101" s="5">
        <v>3</v>
      </c>
      <c r="G101" s="9" t="s">
        <v>10163</v>
      </c>
      <c r="H101" s="9" t="s">
        <v>10163</v>
      </c>
      <c r="I101" s="5">
        <v>389.44</v>
      </c>
      <c r="J101" s="5">
        <v>320.86</v>
      </c>
      <c r="K101" s="5">
        <v>732.92</v>
      </c>
      <c r="L101" s="5">
        <v>479.15</v>
      </c>
      <c r="M101" s="9"/>
      <c r="N101" s="9" t="s">
        <v>10159</v>
      </c>
      <c r="O101" s="9" t="s">
        <v>7470</v>
      </c>
      <c r="P101" s="9" t="str">
        <f>HYPERLINK("https://seichotoushi-hojo.jp/assets/pdf/koufu/outline_113.pdf","PDFを開く")</f>
        <v>PDFを開く</v>
      </c>
      <c r="Q101" s="9" t="s">
        <v>239</v>
      </c>
    </row>
    <row r="102" spans="1:17" ht="62.1" customHeight="1">
      <c r="A102" s="2" t="s">
        <v>233</v>
      </c>
      <c r="B102" s="2" t="s">
        <v>73</v>
      </c>
      <c r="C102" s="8" t="s">
        <v>234</v>
      </c>
      <c r="D102" s="2">
        <v>1</v>
      </c>
      <c r="E102" s="8" t="s">
        <v>10156</v>
      </c>
      <c r="F102" s="2">
        <v>4</v>
      </c>
      <c r="G102" s="8" t="s">
        <v>8581</v>
      </c>
      <c r="H102" s="8" t="s">
        <v>8581</v>
      </c>
      <c r="I102" s="2">
        <v>41.14</v>
      </c>
      <c r="J102" s="2">
        <v>394.66</v>
      </c>
      <c r="K102" s="2">
        <v>360.64</v>
      </c>
      <c r="L102" s="2">
        <v>466.18</v>
      </c>
      <c r="M102" s="8"/>
      <c r="N102" s="8" t="s">
        <v>10159</v>
      </c>
      <c r="O102" s="8" t="s">
        <v>237</v>
      </c>
      <c r="P102" s="8" t="str">
        <f>HYPERLINK("https://seichotoushi-hojo.jp/assets/pdf/koufu/outline_113.pdf","PDFを開く")</f>
        <v>PDFを開く</v>
      </c>
      <c r="Q102" s="8" t="s">
        <v>239</v>
      </c>
    </row>
    <row r="103" spans="1:17" ht="62.1" customHeight="1">
      <c r="A103" s="5" t="s">
        <v>240</v>
      </c>
      <c r="B103" s="5" t="s">
        <v>73</v>
      </c>
      <c r="C103" s="9" t="s">
        <v>241</v>
      </c>
      <c r="D103" s="5">
        <v>1</v>
      </c>
      <c r="E103" s="9" t="s">
        <v>10156</v>
      </c>
      <c r="F103" s="5">
        <v>1</v>
      </c>
      <c r="G103" s="9" t="s">
        <v>9578</v>
      </c>
      <c r="H103" s="9" t="s">
        <v>9578</v>
      </c>
      <c r="I103" s="5">
        <v>39.659999999999997</v>
      </c>
      <c r="J103" s="5">
        <v>140.49</v>
      </c>
      <c r="K103" s="5">
        <v>378.79</v>
      </c>
      <c r="L103" s="5">
        <v>499.73</v>
      </c>
      <c r="M103" s="9"/>
      <c r="N103" s="9" t="s">
        <v>10159</v>
      </c>
      <c r="O103" s="9" t="s">
        <v>7475</v>
      </c>
      <c r="P103" s="9" t="str">
        <f>HYPERLINK("https://seichotoushi-hojo.jp/assets/pdf/koufu/outline_114.pdf","PDFを開く")</f>
        <v>PDFを開く</v>
      </c>
      <c r="Q103" s="9" t="s">
        <v>247</v>
      </c>
    </row>
    <row r="104" spans="1:17" ht="62.1" customHeight="1">
      <c r="A104" s="2" t="s">
        <v>240</v>
      </c>
      <c r="B104" s="2" t="s">
        <v>73</v>
      </c>
      <c r="C104" s="8" t="s">
        <v>241</v>
      </c>
      <c r="D104" s="2">
        <v>1</v>
      </c>
      <c r="E104" s="8" t="s">
        <v>10156</v>
      </c>
      <c r="F104" s="2">
        <v>2</v>
      </c>
      <c r="G104" s="8" t="s">
        <v>10162</v>
      </c>
      <c r="H104" s="8" t="s">
        <v>10162</v>
      </c>
      <c r="I104" s="2">
        <v>396.3</v>
      </c>
      <c r="J104" s="2">
        <v>142.77000000000001</v>
      </c>
      <c r="K104" s="2">
        <v>739.78</v>
      </c>
      <c r="L104" s="2">
        <v>301.07</v>
      </c>
      <c r="M104" s="8"/>
      <c r="N104" s="8" t="s">
        <v>10159</v>
      </c>
      <c r="O104" s="8" t="s">
        <v>7476</v>
      </c>
      <c r="P104" s="8" t="str">
        <f>HYPERLINK("https://seichotoushi-hojo.jp/assets/pdf/koufu/outline_114.pdf","PDFを開く")</f>
        <v>PDFを開く</v>
      </c>
      <c r="Q104" s="8" t="s">
        <v>247</v>
      </c>
    </row>
    <row r="105" spans="1:17" ht="62.1" customHeight="1">
      <c r="A105" s="5" t="s">
        <v>240</v>
      </c>
      <c r="B105" s="5" t="s">
        <v>73</v>
      </c>
      <c r="C105" s="9" t="s">
        <v>241</v>
      </c>
      <c r="D105" s="5">
        <v>1</v>
      </c>
      <c r="E105" s="9" t="s">
        <v>10156</v>
      </c>
      <c r="F105" s="5">
        <v>3</v>
      </c>
      <c r="G105" s="9" t="s">
        <v>10163</v>
      </c>
      <c r="H105" s="9" t="s">
        <v>10163</v>
      </c>
      <c r="I105" s="5">
        <v>396.3</v>
      </c>
      <c r="J105" s="5">
        <v>314.05</v>
      </c>
      <c r="K105" s="5">
        <v>739.78</v>
      </c>
      <c r="L105" s="5">
        <v>499.73</v>
      </c>
      <c r="M105" s="9"/>
      <c r="N105" s="9" t="s">
        <v>10159</v>
      </c>
      <c r="O105" s="9" t="s">
        <v>7477</v>
      </c>
      <c r="P105" s="9" t="str">
        <f>HYPERLINK("https://seichotoushi-hojo.jp/assets/pdf/koufu/outline_114.pdf","PDFを開く")</f>
        <v>PDFを開く</v>
      </c>
      <c r="Q105" s="9" t="s">
        <v>247</v>
      </c>
    </row>
    <row r="106" spans="1:17" ht="62.1" customHeight="1">
      <c r="A106" s="2" t="s">
        <v>240</v>
      </c>
      <c r="B106" s="2" t="s">
        <v>73</v>
      </c>
      <c r="C106" s="8" t="s">
        <v>241</v>
      </c>
      <c r="D106" s="2">
        <v>1</v>
      </c>
      <c r="E106" s="8" t="s">
        <v>10156</v>
      </c>
      <c r="F106" s="2">
        <v>4</v>
      </c>
      <c r="G106" s="8" t="s">
        <v>8581</v>
      </c>
      <c r="H106" s="8" t="s">
        <v>8581</v>
      </c>
      <c r="I106" s="2">
        <v>50.52</v>
      </c>
      <c r="J106" s="2">
        <v>413.14</v>
      </c>
      <c r="K106" s="2">
        <v>370.02</v>
      </c>
      <c r="L106" s="2">
        <v>493.52</v>
      </c>
      <c r="M106" s="8"/>
      <c r="N106" s="8" t="s">
        <v>10159</v>
      </c>
      <c r="O106" s="8" t="s">
        <v>244</v>
      </c>
      <c r="P106" s="8" t="str">
        <f>HYPERLINK("https://seichotoushi-hojo.jp/assets/pdf/koufu/outline_114.pdf","PDFを開く")</f>
        <v>PDFを開く</v>
      </c>
      <c r="Q106" s="8" t="s">
        <v>247</v>
      </c>
    </row>
    <row r="107" spans="1:17" ht="62.1" customHeight="1">
      <c r="A107" s="5" t="s">
        <v>248</v>
      </c>
      <c r="B107" s="5" t="s">
        <v>73</v>
      </c>
      <c r="C107" s="9" t="s">
        <v>249</v>
      </c>
      <c r="D107" s="5">
        <v>1</v>
      </c>
      <c r="E107" s="9" t="s">
        <v>10156</v>
      </c>
      <c r="F107" s="5">
        <v>1</v>
      </c>
      <c r="G107" s="9" t="s">
        <v>10162</v>
      </c>
      <c r="H107" s="9" t="s">
        <v>10162</v>
      </c>
      <c r="I107" s="5">
        <v>388.47</v>
      </c>
      <c r="J107" s="5">
        <v>104.02</v>
      </c>
      <c r="K107" s="5">
        <v>741.27</v>
      </c>
      <c r="L107" s="5">
        <v>303.63</v>
      </c>
      <c r="M107" s="9"/>
      <c r="N107" s="9" t="s">
        <v>10159</v>
      </c>
      <c r="O107" s="9" t="s">
        <v>7483</v>
      </c>
      <c r="P107" s="9" t="str">
        <f t="shared" ref="P107:P119" si="6">HYPERLINK("https://seichotoushi-hojo.jp/assets/pdf/koufu/outline_115.pdf","PDFを開く")</f>
        <v>PDFを開く</v>
      </c>
      <c r="Q107" s="9" t="s">
        <v>256</v>
      </c>
    </row>
    <row r="108" spans="1:17" ht="62.1" customHeight="1">
      <c r="A108" s="2" t="s">
        <v>248</v>
      </c>
      <c r="B108" s="2" t="s">
        <v>73</v>
      </c>
      <c r="C108" s="8" t="s">
        <v>249</v>
      </c>
      <c r="D108" s="2">
        <v>1</v>
      </c>
      <c r="E108" s="8" t="s">
        <v>10156</v>
      </c>
      <c r="F108" s="2">
        <v>2</v>
      </c>
      <c r="G108" s="8" t="s">
        <v>9578</v>
      </c>
      <c r="H108" s="8" t="s">
        <v>9578</v>
      </c>
      <c r="I108" s="2">
        <v>22.55</v>
      </c>
      <c r="J108" s="2">
        <v>105.51</v>
      </c>
      <c r="K108" s="2">
        <v>366.03</v>
      </c>
      <c r="L108" s="2">
        <v>534.62</v>
      </c>
      <c r="M108" s="8"/>
      <c r="N108" s="8" t="s">
        <v>10159</v>
      </c>
      <c r="O108" s="8" t="s">
        <v>7482</v>
      </c>
      <c r="P108" s="8" t="str">
        <f t="shared" si="6"/>
        <v>PDFを開く</v>
      </c>
      <c r="Q108" s="8" t="s">
        <v>256</v>
      </c>
    </row>
    <row r="109" spans="1:17" ht="62.1" customHeight="1">
      <c r="A109" s="5" t="s">
        <v>248</v>
      </c>
      <c r="B109" s="5" t="s">
        <v>73</v>
      </c>
      <c r="C109" s="9" t="s">
        <v>249</v>
      </c>
      <c r="D109" s="5">
        <v>1</v>
      </c>
      <c r="E109" s="9" t="s">
        <v>10156</v>
      </c>
      <c r="F109" s="5">
        <v>3</v>
      </c>
      <c r="G109" s="9" t="s">
        <v>10163</v>
      </c>
      <c r="H109" s="9" t="s">
        <v>10163</v>
      </c>
      <c r="I109" s="5">
        <v>388.47</v>
      </c>
      <c r="J109" s="5">
        <v>310.06</v>
      </c>
      <c r="K109" s="5">
        <v>741.27</v>
      </c>
      <c r="L109" s="5">
        <v>475.3</v>
      </c>
      <c r="M109" s="9"/>
      <c r="N109" s="9" t="s">
        <v>10159</v>
      </c>
      <c r="O109" s="9" t="s">
        <v>7484</v>
      </c>
      <c r="P109" s="9" t="str">
        <f t="shared" si="6"/>
        <v>PDFを開く</v>
      </c>
      <c r="Q109" s="9" t="s">
        <v>256</v>
      </c>
    </row>
    <row r="110" spans="1:17" ht="62.1" customHeight="1">
      <c r="A110" s="2" t="s">
        <v>248</v>
      </c>
      <c r="B110" s="2" t="s">
        <v>73</v>
      </c>
      <c r="C110" s="8" t="s">
        <v>249</v>
      </c>
      <c r="D110" s="2">
        <v>1</v>
      </c>
      <c r="E110" s="8" t="s">
        <v>10156</v>
      </c>
      <c r="F110" s="2">
        <v>4</v>
      </c>
      <c r="G110" s="8" t="s">
        <v>8581</v>
      </c>
      <c r="H110" s="8" t="s">
        <v>8581</v>
      </c>
      <c r="I110" s="2">
        <v>34.54</v>
      </c>
      <c r="J110" s="2">
        <v>453.43</v>
      </c>
      <c r="K110" s="2">
        <v>354.04</v>
      </c>
      <c r="L110" s="2">
        <v>526</v>
      </c>
      <c r="M110" s="8"/>
      <c r="N110" s="8" t="s">
        <v>10159</v>
      </c>
      <c r="O110" s="8" t="s">
        <v>253</v>
      </c>
      <c r="P110" s="8" t="str">
        <f t="shared" si="6"/>
        <v>PDFを開く</v>
      </c>
      <c r="Q110" s="8" t="s">
        <v>256</v>
      </c>
    </row>
    <row r="111" spans="1:17" ht="62.1" customHeight="1">
      <c r="A111" s="5" t="s">
        <v>248</v>
      </c>
      <c r="B111" s="5" t="s">
        <v>73</v>
      </c>
      <c r="C111" s="9" t="s">
        <v>249</v>
      </c>
      <c r="D111" s="5">
        <v>1</v>
      </c>
      <c r="E111" s="9" t="s">
        <v>10156</v>
      </c>
      <c r="F111" s="5">
        <v>5</v>
      </c>
      <c r="G111" s="9" t="s">
        <v>10167</v>
      </c>
      <c r="H111" s="9" t="s">
        <v>10214</v>
      </c>
      <c r="I111" s="5">
        <v>368.49</v>
      </c>
      <c r="J111" s="5">
        <v>480.57</v>
      </c>
      <c r="K111" s="5">
        <v>741.27</v>
      </c>
      <c r="L111" s="5">
        <v>534.62</v>
      </c>
      <c r="M111" s="9"/>
      <c r="N111" s="9" t="s">
        <v>10159</v>
      </c>
      <c r="O111" s="9" t="s">
        <v>10215</v>
      </c>
      <c r="P111" s="9" t="str">
        <f t="shared" si="6"/>
        <v>PDFを開く</v>
      </c>
      <c r="Q111" s="9" t="s">
        <v>256</v>
      </c>
    </row>
    <row r="112" spans="1:17" ht="62.1" customHeight="1">
      <c r="A112" s="2" t="s">
        <v>248</v>
      </c>
      <c r="B112" s="2" t="s">
        <v>73</v>
      </c>
      <c r="C112" s="8" t="s">
        <v>249</v>
      </c>
      <c r="D112" s="2">
        <v>3</v>
      </c>
      <c r="E112" s="8" t="s">
        <v>10165</v>
      </c>
      <c r="F112" s="2">
        <v>1</v>
      </c>
      <c r="G112" s="8" t="s">
        <v>10167</v>
      </c>
      <c r="H112" s="8" t="s">
        <v>10216</v>
      </c>
      <c r="I112" s="2">
        <v>313.82</v>
      </c>
      <c r="J112" s="2">
        <v>132.13999999999999</v>
      </c>
      <c r="K112" s="2">
        <v>674.66</v>
      </c>
      <c r="L112" s="2">
        <v>209.16</v>
      </c>
      <c r="M112" s="8"/>
      <c r="N112" s="8" t="s">
        <v>10159</v>
      </c>
      <c r="O112" s="8" t="s">
        <v>10217</v>
      </c>
      <c r="P112" s="8" t="str">
        <f t="shared" si="6"/>
        <v>PDFを開く</v>
      </c>
      <c r="Q112" s="8" t="s">
        <v>256</v>
      </c>
    </row>
    <row r="113" spans="1:17" ht="62.1" customHeight="1">
      <c r="A113" s="5" t="s">
        <v>248</v>
      </c>
      <c r="B113" s="5" t="s">
        <v>73</v>
      </c>
      <c r="C113" s="9" t="s">
        <v>249</v>
      </c>
      <c r="D113" s="5">
        <v>3</v>
      </c>
      <c r="E113" s="9" t="s">
        <v>10165</v>
      </c>
      <c r="F113" s="5">
        <v>2</v>
      </c>
      <c r="G113" s="9" t="s">
        <v>10167</v>
      </c>
      <c r="H113" s="9" t="s">
        <v>10218</v>
      </c>
      <c r="I113" s="5">
        <v>313.66000000000003</v>
      </c>
      <c r="J113" s="5">
        <v>209.17</v>
      </c>
      <c r="K113" s="5">
        <v>674.57</v>
      </c>
      <c r="L113" s="5">
        <v>294.97000000000003</v>
      </c>
      <c r="M113" s="9"/>
      <c r="N113" s="9" t="s">
        <v>10159</v>
      </c>
      <c r="O113" s="9" t="s">
        <v>10219</v>
      </c>
      <c r="P113" s="9" t="str">
        <f t="shared" si="6"/>
        <v>PDFを開く</v>
      </c>
      <c r="Q113" s="9" t="s">
        <v>256</v>
      </c>
    </row>
    <row r="114" spans="1:17" ht="62.1" customHeight="1">
      <c r="A114" s="2" t="s">
        <v>248</v>
      </c>
      <c r="B114" s="2" t="s">
        <v>73</v>
      </c>
      <c r="C114" s="8" t="s">
        <v>249</v>
      </c>
      <c r="D114" s="2">
        <v>3</v>
      </c>
      <c r="E114" s="8" t="s">
        <v>10165</v>
      </c>
      <c r="F114" s="2">
        <v>3</v>
      </c>
      <c r="G114" s="8" t="s">
        <v>10167</v>
      </c>
      <c r="H114" s="8" t="s">
        <v>10220</v>
      </c>
      <c r="I114" s="2">
        <v>314.06</v>
      </c>
      <c r="J114" s="2">
        <v>293.19</v>
      </c>
      <c r="K114" s="2">
        <v>674.75</v>
      </c>
      <c r="L114" s="2">
        <v>370.21</v>
      </c>
      <c r="M114" s="8"/>
      <c r="N114" s="8" t="s">
        <v>10159</v>
      </c>
      <c r="O114" s="8" t="s">
        <v>10221</v>
      </c>
      <c r="P114" s="8" t="str">
        <f t="shared" si="6"/>
        <v>PDFを開く</v>
      </c>
      <c r="Q114" s="8" t="s">
        <v>256</v>
      </c>
    </row>
    <row r="115" spans="1:17" ht="62.1" customHeight="1">
      <c r="A115" s="5" t="s">
        <v>248</v>
      </c>
      <c r="B115" s="5" t="s">
        <v>73</v>
      </c>
      <c r="C115" s="9" t="s">
        <v>249</v>
      </c>
      <c r="D115" s="5">
        <v>3</v>
      </c>
      <c r="E115" s="9" t="s">
        <v>10165</v>
      </c>
      <c r="F115" s="5">
        <v>4</v>
      </c>
      <c r="G115" s="9" t="s">
        <v>10167</v>
      </c>
      <c r="H115" s="9" t="s">
        <v>10222</v>
      </c>
      <c r="I115" s="5">
        <v>313.41000000000003</v>
      </c>
      <c r="J115" s="5">
        <v>370.21</v>
      </c>
      <c r="K115" s="5">
        <v>674.78</v>
      </c>
      <c r="L115" s="5">
        <v>447.23</v>
      </c>
      <c r="M115" s="9"/>
      <c r="N115" s="9" t="s">
        <v>10159</v>
      </c>
      <c r="O115" s="9" t="s">
        <v>10223</v>
      </c>
      <c r="P115" s="9" t="str">
        <f t="shared" si="6"/>
        <v>PDFを開く</v>
      </c>
      <c r="Q115" s="9" t="s">
        <v>256</v>
      </c>
    </row>
    <row r="116" spans="1:17" ht="62.1" customHeight="1">
      <c r="A116" s="2" t="s">
        <v>248</v>
      </c>
      <c r="B116" s="2" t="s">
        <v>73</v>
      </c>
      <c r="C116" s="8" t="s">
        <v>249</v>
      </c>
      <c r="D116" s="2">
        <v>3</v>
      </c>
      <c r="E116" s="8" t="s">
        <v>10165</v>
      </c>
      <c r="F116" s="2">
        <v>5</v>
      </c>
      <c r="G116" s="8" t="s">
        <v>10167</v>
      </c>
      <c r="H116" s="8" t="s">
        <v>10224</v>
      </c>
      <c r="I116" s="2">
        <v>313.37</v>
      </c>
      <c r="J116" s="2">
        <v>446.21</v>
      </c>
      <c r="K116" s="2">
        <v>675.43</v>
      </c>
      <c r="L116" s="2">
        <v>519.09</v>
      </c>
      <c r="M116" s="8"/>
      <c r="N116" s="8" t="s">
        <v>10159</v>
      </c>
      <c r="O116" s="8" t="s">
        <v>10225</v>
      </c>
      <c r="P116" s="8" t="str">
        <f t="shared" si="6"/>
        <v>PDFを開く</v>
      </c>
      <c r="Q116" s="8" t="s">
        <v>256</v>
      </c>
    </row>
    <row r="117" spans="1:17" ht="62.1" customHeight="1">
      <c r="A117" s="5" t="s">
        <v>248</v>
      </c>
      <c r="B117" s="5" t="s">
        <v>73</v>
      </c>
      <c r="C117" s="9" t="s">
        <v>249</v>
      </c>
      <c r="D117" s="5">
        <v>4</v>
      </c>
      <c r="E117" s="9" t="s">
        <v>10165</v>
      </c>
      <c r="F117" s="5">
        <v>1</v>
      </c>
      <c r="G117" s="9" t="s">
        <v>10167</v>
      </c>
      <c r="H117" s="9" t="s">
        <v>10212</v>
      </c>
      <c r="I117" s="5">
        <v>311.04000000000002</v>
      </c>
      <c r="J117" s="5">
        <v>133.12</v>
      </c>
      <c r="K117" s="5">
        <v>633.20000000000005</v>
      </c>
      <c r="L117" s="5">
        <v>210.14</v>
      </c>
      <c r="M117" s="9"/>
      <c r="N117" s="9" t="s">
        <v>10159</v>
      </c>
      <c r="O117" s="9" t="s">
        <v>10226</v>
      </c>
      <c r="P117" s="9" t="str">
        <f t="shared" si="6"/>
        <v>PDFを開く</v>
      </c>
      <c r="Q117" s="9" t="s">
        <v>256</v>
      </c>
    </row>
    <row r="118" spans="1:17" ht="62.1" customHeight="1">
      <c r="A118" s="2" t="s">
        <v>248</v>
      </c>
      <c r="B118" s="2" t="s">
        <v>73</v>
      </c>
      <c r="C118" s="8" t="s">
        <v>249</v>
      </c>
      <c r="D118" s="2">
        <v>4</v>
      </c>
      <c r="E118" s="8" t="s">
        <v>10165</v>
      </c>
      <c r="F118" s="2">
        <v>2</v>
      </c>
      <c r="G118" s="8" t="s">
        <v>10167</v>
      </c>
      <c r="H118" s="8" t="s">
        <v>10227</v>
      </c>
      <c r="I118" s="2">
        <v>311.04000000000002</v>
      </c>
      <c r="J118" s="2">
        <v>232.33</v>
      </c>
      <c r="K118" s="2">
        <v>632.91999999999996</v>
      </c>
      <c r="L118" s="2">
        <v>367.04</v>
      </c>
      <c r="M118" s="8"/>
      <c r="N118" s="8" t="s">
        <v>10159</v>
      </c>
      <c r="O118" s="8" t="s">
        <v>10228</v>
      </c>
      <c r="P118" s="8" t="str">
        <f t="shared" si="6"/>
        <v>PDFを開く</v>
      </c>
      <c r="Q118" s="8" t="s">
        <v>256</v>
      </c>
    </row>
    <row r="119" spans="1:17" ht="62.1" customHeight="1">
      <c r="A119" s="5" t="s">
        <v>248</v>
      </c>
      <c r="B119" s="5" t="s">
        <v>73</v>
      </c>
      <c r="C119" s="9" t="s">
        <v>249</v>
      </c>
      <c r="D119" s="5">
        <v>4</v>
      </c>
      <c r="E119" s="9" t="s">
        <v>10165</v>
      </c>
      <c r="F119" s="5">
        <v>3</v>
      </c>
      <c r="G119" s="9" t="s">
        <v>10167</v>
      </c>
      <c r="H119" s="9" t="s">
        <v>10229</v>
      </c>
      <c r="I119" s="5">
        <v>311.04000000000002</v>
      </c>
      <c r="J119" s="5">
        <v>367.04</v>
      </c>
      <c r="K119" s="5">
        <v>633.20000000000005</v>
      </c>
      <c r="L119" s="5">
        <v>444.05</v>
      </c>
      <c r="M119" s="9"/>
      <c r="N119" s="9" t="s">
        <v>10159</v>
      </c>
      <c r="O119" s="9" t="s">
        <v>10230</v>
      </c>
      <c r="P119" s="9" t="str">
        <f t="shared" si="6"/>
        <v>PDFを開く</v>
      </c>
      <c r="Q119" s="9" t="s">
        <v>256</v>
      </c>
    </row>
    <row r="120" spans="1:17" ht="62.1" customHeight="1">
      <c r="A120" s="2" t="s">
        <v>257</v>
      </c>
      <c r="B120" s="2" t="s">
        <v>73</v>
      </c>
      <c r="C120" s="8" t="s">
        <v>258</v>
      </c>
      <c r="D120" s="2">
        <v>1</v>
      </c>
      <c r="E120" s="8" t="s">
        <v>10156</v>
      </c>
      <c r="F120" s="2">
        <v>1</v>
      </c>
      <c r="G120" s="8" t="s">
        <v>9578</v>
      </c>
      <c r="H120" s="8" t="s">
        <v>9578</v>
      </c>
      <c r="I120" s="2">
        <v>30.12</v>
      </c>
      <c r="J120" s="2">
        <v>100.08</v>
      </c>
      <c r="K120" s="2">
        <v>376.68</v>
      </c>
      <c r="L120" s="2">
        <v>532.44000000000005</v>
      </c>
      <c r="M120" s="8"/>
      <c r="N120" s="8" t="s">
        <v>10159</v>
      </c>
      <c r="O120" s="8" t="s">
        <v>7489</v>
      </c>
      <c r="P120" s="8" t="str">
        <f>HYPERLINK("https://seichotoushi-hojo.jp/assets/pdf/koufu/outline_116.pdf","PDFを開く")</f>
        <v>PDFを開く</v>
      </c>
      <c r="Q120" s="8" t="s">
        <v>264</v>
      </c>
    </row>
    <row r="121" spans="1:17" ht="62.1" customHeight="1">
      <c r="A121" s="5" t="s">
        <v>257</v>
      </c>
      <c r="B121" s="5" t="s">
        <v>73</v>
      </c>
      <c r="C121" s="9" t="s">
        <v>258</v>
      </c>
      <c r="D121" s="5">
        <v>1</v>
      </c>
      <c r="E121" s="9" t="s">
        <v>10156</v>
      </c>
      <c r="F121" s="5">
        <v>2</v>
      </c>
      <c r="G121" s="9" t="s">
        <v>10162</v>
      </c>
      <c r="H121" s="9" t="s">
        <v>10162</v>
      </c>
      <c r="I121" s="5">
        <v>396.96</v>
      </c>
      <c r="J121" s="5">
        <v>100.08</v>
      </c>
      <c r="K121" s="5">
        <v>740.4</v>
      </c>
      <c r="L121" s="5">
        <v>297.72000000000003</v>
      </c>
      <c r="M121" s="9"/>
      <c r="N121" s="9" t="s">
        <v>10159</v>
      </c>
      <c r="O121" s="9" t="s">
        <v>7490</v>
      </c>
      <c r="P121" s="9" t="str">
        <f>HYPERLINK("https://seichotoushi-hojo.jp/assets/pdf/koufu/outline_116.pdf","PDFを開く")</f>
        <v>PDFを開く</v>
      </c>
      <c r="Q121" s="9" t="s">
        <v>264</v>
      </c>
    </row>
    <row r="122" spans="1:17" ht="62.1" customHeight="1">
      <c r="A122" s="2" t="s">
        <v>257</v>
      </c>
      <c r="B122" s="2" t="s">
        <v>73</v>
      </c>
      <c r="C122" s="8" t="s">
        <v>258</v>
      </c>
      <c r="D122" s="2">
        <v>1</v>
      </c>
      <c r="E122" s="8" t="s">
        <v>10156</v>
      </c>
      <c r="F122" s="2">
        <v>3</v>
      </c>
      <c r="G122" s="8" t="s">
        <v>10163</v>
      </c>
      <c r="H122" s="8" t="s">
        <v>10163</v>
      </c>
      <c r="I122" s="2">
        <v>397.56</v>
      </c>
      <c r="J122" s="2">
        <v>303.60000000000002</v>
      </c>
      <c r="K122" s="2">
        <v>741.12</v>
      </c>
      <c r="L122" s="2">
        <v>531.72</v>
      </c>
      <c r="M122" s="8"/>
      <c r="N122" s="8" t="s">
        <v>10159</v>
      </c>
      <c r="O122" s="8" t="s">
        <v>7491</v>
      </c>
      <c r="P122" s="8" t="str">
        <f>HYPERLINK("https://seichotoushi-hojo.jp/assets/pdf/koufu/outline_116.pdf","PDFを開く")</f>
        <v>PDFを開く</v>
      </c>
      <c r="Q122" s="8" t="s">
        <v>264</v>
      </c>
    </row>
    <row r="123" spans="1:17" ht="62.1" customHeight="1">
      <c r="A123" s="5" t="s">
        <v>257</v>
      </c>
      <c r="B123" s="5" t="s">
        <v>73</v>
      </c>
      <c r="C123" s="9" t="s">
        <v>258</v>
      </c>
      <c r="D123" s="5">
        <v>1</v>
      </c>
      <c r="E123" s="9" t="s">
        <v>10156</v>
      </c>
      <c r="F123" s="5">
        <v>4</v>
      </c>
      <c r="G123" s="9" t="s">
        <v>8581</v>
      </c>
      <c r="H123" s="9" t="s">
        <v>8581</v>
      </c>
      <c r="I123" s="5">
        <v>50.4</v>
      </c>
      <c r="J123" s="5">
        <v>427.68</v>
      </c>
      <c r="K123" s="5">
        <v>368.28</v>
      </c>
      <c r="L123" s="5">
        <v>523.08000000000004</v>
      </c>
      <c r="M123" s="9"/>
      <c r="N123" s="9" t="s">
        <v>10159</v>
      </c>
      <c r="O123" s="9" t="s">
        <v>262</v>
      </c>
      <c r="P123" s="9" t="str">
        <f>HYPERLINK("https://seichotoushi-hojo.jp/assets/pdf/koufu/outline_116.pdf","PDFを開く")</f>
        <v>PDFを開く</v>
      </c>
      <c r="Q123" s="9" t="s">
        <v>264</v>
      </c>
    </row>
    <row r="124" spans="1:17" ht="62.1" customHeight="1">
      <c r="A124" s="2" t="s">
        <v>257</v>
      </c>
      <c r="B124" s="2" t="s">
        <v>73</v>
      </c>
      <c r="C124" s="8" t="s">
        <v>258</v>
      </c>
      <c r="D124" s="2">
        <v>2</v>
      </c>
      <c r="E124" s="8" t="s">
        <v>10165</v>
      </c>
      <c r="F124" s="2">
        <v>1</v>
      </c>
      <c r="G124" s="8" t="s">
        <v>10184</v>
      </c>
      <c r="H124" s="8" t="s">
        <v>10184</v>
      </c>
      <c r="I124" s="2">
        <v>126.12</v>
      </c>
      <c r="J124" s="2">
        <v>178.72</v>
      </c>
      <c r="K124" s="2">
        <v>401.7</v>
      </c>
      <c r="L124" s="2">
        <v>374.12</v>
      </c>
      <c r="M124" s="8"/>
      <c r="N124" s="8" t="s">
        <v>10181</v>
      </c>
      <c r="O124" s="8" t="s">
        <v>10231</v>
      </c>
      <c r="P124" s="8" t="str">
        <f>HYPERLINK("https://seichotoushi-hojo.jp/assets/pdf/koufu/outline_116.pdf","PDFを開く")</f>
        <v>PDFを開く</v>
      </c>
      <c r="Q124" s="8" t="s">
        <v>264</v>
      </c>
    </row>
    <row r="125" spans="1:17" ht="62.1" customHeight="1">
      <c r="A125" s="5" t="s">
        <v>265</v>
      </c>
      <c r="B125" s="5" t="s">
        <v>73</v>
      </c>
      <c r="C125" s="9" t="s">
        <v>266</v>
      </c>
      <c r="D125" s="5">
        <v>1</v>
      </c>
      <c r="E125" s="9" t="s">
        <v>10156</v>
      </c>
      <c r="F125" s="5">
        <v>1</v>
      </c>
      <c r="G125" s="9" t="s">
        <v>9578</v>
      </c>
      <c r="H125" s="9" t="s">
        <v>9578</v>
      </c>
      <c r="I125" s="5">
        <v>20.16</v>
      </c>
      <c r="J125" s="5">
        <v>135.36000000000001</v>
      </c>
      <c r="K125" s="5">
        <v>385.08</v>
      </c>
      <c r="L125" s="5">
        <v>544.44000000000005</v>
      </c>
      <c r="M125" s="9"/>
      <c r="N125" s="9" t="s">
        <v>10159</v>
      </c>
      <c r="O125" s="9" t="s">
        <v>7496</v>
      </c>
      <c r="P125" s="9" t="str">
        <f>HYPERLINK("https://seichotoushi-hojo.jp/assets/pdf/koufu/outline_117.pdf","PDFを開く")</f>
        <v>PDFを開く</v>
      </c>
      <c r="Q125" s="9" t="s">
        <v>273</v>
      </c>
    </row>
    <row r="126" spans="1:17" ht="62.1" customHeight="1">
      <c r="A126" s="2" t="s">
        <v>265</v>
      </c>
      <c r="B126" s="2" t="s">
        <v>73</v>
      </c>
      <c r="C126" s="8" t="s">
        <v>266</v>
      </c>
      <c r="D126" s="2">
        <v>1</v>
      </c>
      <c r="E126" s="8" t="s">
        <v>10156</v>
      </c>
      <c r="F126" s="2">
        <v>2</v>
      </c>
      <c r="G126" s="8" t="s">
        <v>10162</v>
      </c>
      <c r="H126" s="8" t="s">
        <v>10162</v>
      </c>
      <c r="I126" s="2">
        <v>402.48</v>
      </c>
      <c r="J126" s="2">
        <v>135.36000000000001</v>
      </c>
      <c r="K126" s="2">
        <v>751.2</v>
      </c>
      <c r="L126" s="2">
        <v>319.32</v>
      </c>
      <c r="M126" s="8"/>
      <c r="N126" s="8" t="s">
        <v>10159</v>
      </c>
      <c r="O126" s="8" t="s">
        <v>7497</v>
      </c>
      <c r="P126" s="8" t="str">
        <f>HYPERLINK("https://seichotoushi-hojo.jp/assets/pdf/koufu/outline_117.pdf","PDFを開く")</f>
        <v>PDFを開く</v>
      </c>
      <c r="Q126" s="8" t="s">
        <v>273</v>
      </c>
    </row>
    <row r="127" spans="1:17" ht="62.1" customHeight="1">
      <c r="A127" s="5" t="s">
        <v>265</v>
      </c>
      <c r="B127" s="5" t="s">
        <v>73</v>
      </c>
      <c r="C127" s="9" t="s">
        <v>266</v>
      </c>
      <c r="D127" s="5">
        <v>1</v>
      </c>
      <c r="E127" s="9" t="s">
        <v>10156</v>
      </c>
      <c r="F127" s="5">
        <v>3</v>
      </c>
      <c r="G127" s="9" t="s">
        <v>10163</v>
      </c>
      <c r="H127" s="9" t="s">
        <v>10163</v>
      </c>
      <c r="I127" s="5">
        <v>402.48</v>
      </c>
      <c r="J127" s="5">
        <v>339.84</v>
      </c>
      <c r="K127" s="5">
        <v>751.2</v>
      </c>
      <c r="L127" s="5">
        <v>544.44000000000005</v>
      </c>
      <c r="M127" s="9"/>
      <c r="N127" s="9" t="s">
        <v>10159</v>
      </c>
      <c r="O127" s="9" t="s">
        <v>7498</v>
      </c>
      <c r="P127" s="9" t="str">
        <f>HYPERLINK("https://seichotoushi-hojo.jp/assets/pdf/koufu/outline_117.pdf","PDFを開く")</f>
        <v>PDFを開く</v>
      </c>
      <c r="Q127" s="9" t="s">
        <v>273</v>
      </c>
    </row>
    <row r="128" spans="1:17" ht="62.1" customHeight="1">
      <c r="A128" s="2" t="s">
        <v>265</v>
      </c>
      <c r="B128" s="2" t="s">
        <v>73</v>
      </c>
      <c r="C128" s="8" t="s">
        <v>266</v>
      </c>
      <c r="D128" s="2">
        <v>1</v>
      </c>
      <c r="E128" s="8" t="s">
        <v>10156</v>
      </c>
      <c r="F128" s="2">
        <v>4</v>
      </c>
      <c r="G128" s="8" t="s">
        <v>8581</v>
      </c>
      <c r="H128" s="8" t="s">
        <v>8581</v>
      </c>
      <c r="I128" s="2">
        <v>31.32</v>
      </c>
      <c r="J128" s="2">
        <v>457.56</v>
      </c>
      <c r="K128" s="2">
        <v>355.8</v>
      </c>
      <c r="L128" s="2">
        <v>530.64</v>
      </c>
      <c r="M128" s="8"/>
      <c r="N128" s="8" t="s">
        <v>10159</v>
      </c>
      <c r="O128" s="8" t="s">
        <v>270</v>
      </c>
      <c r="P128" s="8" t="str">
        <f>HYPERLINK("https://seichotoushi-hojo.jp/assets/pdf/koufu/outline_117.pdf","PDFを開く")</f>
        <v>PDFを開く</v>
      </c>
      <c r="Q128" s="8" t="s">
        <v>273</v>
      </c>
    </row>
    <row r="129" spans="1:17" ht="62.1" customHeight="1">
      <c r="A129" s="5" t="s">
        <v>274</v>
      </c>
      <c r="B129" s="5" t="s">
        <v>73</v>
      </c>
      <c r="C129" s="9" t="s">
        <v>275</v>
      </c>
      <c r="D129" s="5">
        <v>1</v>
      </c>
      <c r="E129" s="9" t="s">
        <v>10156</v>
      </c>
      <c r="F129" s="5">
        <v>1</v>
      </c>
      <c r="G129" s="9" t="s">
        <v>9578</v>
      </c>
      <c r="H129" s="9" t="s">
        <v>9578</v>
      </c>
      <c r="I129" s="5">
        <v>39.75</v>
      </c>
      <c r="J129" s="5">
        <v>120.75</v>
      </c>
      <c r="K129" s="5">
        <v>369.75</v>
      </c>
      <c r="L129" s="5">
        <v>528.75</v>
      </c>
      <c r="M129" s="9"/>
      <c r="N129" s="9" t="s">
        <v>10159</v>
      </c>
      <c r="O129" s="9" t="s">
        <v>10232</v>
      </c>
      <c r="P129" s="9" t="str">
        <f t="shared" ref="P129:P134" si="7">HYPERLINK("https://seichotoushi-hojo.jp/assets/pdf/koufu/outline_118.pdf","PDFを開く")</f>
        <v>PDFを開く</v>
      </c>
      <c r="Q129" s="9" t="s">
        <v>279</v>
      </c>
    </row>
    <row r="130" spans="1:17" ht="62.1" customHeight="1">
      <c r="A130" s="2" t="s">
        <v>274</v>
      </c>
      <c r="B130" s="2" t="s">
        <v>73</v>
      </c>
      <c r="C130" s="8" t="s">
        <v>275</v>
      </c>
      <c r="D130" s="2">
        <v>1</v>
      </c>
      <c r="E130" s="8" t="s">
        <v>10156</v>
      </c>
      <c r="F130" s="2">
        <v>2</v>
      </c>
      <c r="G130" s="8" t="s">
        <v>10162</v>
      </c>
      <c r="H130" s="8" t="s">
        <v>10162</v>
      </c>
      <c r="I130" s="2">
        <v>396.38</v>
      </c>
      <c r="J130" s="2">
        <v>124.87</v>
      </c>
      <c r="K130" s="2">
        <v>739.88</v>
      </c>
      <c r="L130" s="2">
        <v>312.37</v>
      </c>
      <c r="M130" s="8"/>
      <c r="N130" s="8" t="s">
        <v>10159</v>
      </c>
      <c r="O130" s="8" t="s">
        <v>7504</v>
      </c>
      <c r="P130" s="8" t="str">
        <f t="shared" si="7"/>
        <v>PDFを開く</v>
      </c>
      <c r="Q130" s="8" t="s">
        <v>279</v>
      </c>
    </row>
    <row r="131" spans="1:17" ht="62.1" customHeight="1">
      <c r="A131" s="5" t="s">
        <v>274</v>
      </c>
      <c r="B131" s="5" t="s">
        <v>73</v>
      </c>
      <c r="C131" s="9" t="s">
        <v>275</v>
      </c>
      <c r="D131" s="5">
        <v>1</v>
      </c>
      <c r="E131" s="9" t="s">
        <v>10156</v>
      </c>
      <c r="F131" s="5">
        <v>3</v>
      </c>
      <c r="G131" s="9" t="s">
        <v>10163</v>
      </c>
      <c r="H131" s="9" t="s">
        <v>10163</v>
      </c>
      <c r="I131" s="5">
        <v>396.38</v>
      </c>
      <c r="J131" s="5">
        <v>315.38</v>
      </c>
      <c r="K131" s="5">
        <v>739.88</v>
      </c>
      <c r="L131" s="5">
        <v>529.12</v>
      </c>
      <c r="M131" s="9"/>
      <c r="N131" s="9" t="s">
        <v>10159</v>
      </c>
      <c r="O131" s="9" t="s">
        <v>7505</v>
      </c>
      <c r="P131" s="9" t="str">
        <f t="shared" si="7"/>
        <v>PDFを開く</v>
      </c>
      <c r="Q131" s="9" t="s">
        <v>279</v>
      </c>
    </row>
    <row r="132" spans="1:17" ht="62.1" customHeight="1">
      <c r="A132" s="2" t="s">
        <v>274</v>
      </c>
      <c r="B132" s="2" t="s">
        <v>73</v>
      </c>
      <c r="C132" s="8" t="s">
        <v>275</v>
      </c>
      <c r="D132" s="2">
        <v>1</v>
      </c>
      <c r="E132" s="8" t="s">
        <v>10156</v>
      </c>
      <c r="F132" s="2">
        <v>4</v>
      </c>
      <c r="G132" s="8" t="s">
        <v>8581</v>
      </c>
      <c r="H132" s="8" t="s">
        <v>8581</v>
      </c>
      <c r="I132" s="2">
        <v>51.75</v>
      </c>
      <c r="J132" s="2">
        <v>474.75</v>
      </c>
      <c r="K132" s="2">
        <v>358.5</v>
      </c>
      <c r="L132" s="2">
        <v>522</v>
      </c>
      <c r="M132" s="8"/>
      <c r="N132" s="8" t="s">
        <v>10159</v>
      </c>
      <c r="O132" s="8" t="s">
        <v>277</v>
      </c>
      <c r="P132" s="8" t="str">
        <f t="shared" si="7"/>
        <v>PDFを開く</v>
      </c>
      <c r="Q132" s="8" t="s">
        <v>279</v>
      </c>
    </row>
    <row r="133" spans="1:17" ht="62.1" customHeight="1">
      <c r="A133" s="5" t="s">
        <v>274</v>
      </c>
      <c r="B133" s="5" t="s">
        <v>73</v>
      </c>
      <c r="C133" s="9" t="s">
        <v>275</v>
      </c>
      <c r="D133" s="5">
        <v>2</v>
      </c>
      <c r="E133" s="9" t="s">
        <v>10156</v>
      </c>
      <c r="F133" s="5">
        <v>1</v>
      </c>
      <c r="G133" s="9" t="s">
        <v>9578</v>
      </c>
      <c r="H133" s="9" t="s">
        <v>9578</v>
      </c>
      <c r="I133" s="5">
        <v>39.75</v>
      </c>
      <c r="J133" s="5">
        <v>120.75</v>
      </c>
      <c r="K133" s="5">
        <v>739.5</v>
      </c>
      <c r="L133" s="5">
        <v>528.75</v>
      </c>
      <c r="M133" s="9"/>
      <c r="N133" s="9" t="s">
        <v>10159</v>
      </c>
      <c r="O133" s="9" t="s">
        <v>10233</v>
      </c>
      <c r="P133" s="9" t="str">
        <f t="shared" si="7"/>
        <v>PDFを開く</v>
      </c>
      <c r="Q133" s="9" t="s">
        <v>279</v>
      </c>
    </row>
    <row r="134" spans="1:17" ht="62.1" customHeight="1">
      <c r="A134" s="2" t="s">
        <v>274</v>
      </c>
      <c r="B134" s="2" t="s">
        <v>73</v>
      </c>
      <c r="C134" s="8" t="s">
        <v>275</v>
      </c>
      <c r="D134" s="2">
        <v>4</v>
      </c>
      <c r="E134" s="8" t="s">
        <v>10165</v>
      </c>
      <c r="F134" s="2">
        <v>1</v>
      </c>
      <c r="G134" s="8" t="s">
        <v>10167</v>
      </c>
      <c r="H134" s="8" t="s">
        <v>10234</v>
      </c>
      <c r="I134" s="2">
        <v>123.75</v>
      </c>
      <c r="J134" s="2">
        <v>123.75</v>
      </c>
      <c r="K134" s="2">
        <v>534.75</v>
      </c>
      <c r="L134" s="2">
        <v>192</v>
      </c>
      <c r="M134" s="8"/>
      <c r="N134" s="8" t="s">
        <v>10159</v>
      </c>
      <c r="O134" s="8" t="s">
        <v>10235</v>
      </c>
      <c r="P134" s="8" t="str">
        <f t="shared" si="7"/>
        <v>PDFを開く</v>
      </c>
      <c r="Q134" s="8" t="s">
        <v>279</v>
      </c>
    </row>
    <row r="135" spans="1:17" ht="62.1" customHeight="1">
      <c r="A135" s="5" t="s">
        <v>280</v>
      </c>
      <c r="B135" s="5" t="s">
        <v>73</v>
      </c>
      <c r="C135" s="9" t="s">
        <v>281</v>
      </c>
      <c r="D135" s="5">
        <v>1</v>
      </c>
      <c r="E135" s="9" t="s">
        <v>10156</v>
      </c>
      <c r="F135" s="5">
        <v>1</v>
      </c>
      <c r="G135" s="9" t="s">
        <v>10162</v>
      </c>
      <c r="H135" s="9" t="s">
        <v>10162</v>
      </c>
      <c r="I135" s="5">
        <v>384.36</v>
      </c>
      <c r="J135" s="5">
        <v>107.64</v>
      </c>
      <c r="K135" s="5">
        <v>764.28</v>
      </c>
      <c r="L135" s="5">
        <v>355.56</v>
      </c>
      <c r="M135" s="9"/>
      <c r="N135" s="9" t="s">
        <v>10159</v>
      </c>
      <c r="O135" s="9" t="s">
        <v>7511</v>
      </c>
      <c r="P135" s="9" t="str">
        <f>HYPERLINK("https://seichotoushi-hojo.jp/assets/pdf/koufu/outline_119.pdf","PDFを開く")</f>
        <v>PDFを開く</v>
      </c>
      <c r="Q135" s="9" t="s">
        <v>287</v>
      </c>
    </row>
    <row r="136" spans="1:17" ht="62.1" customHeight="1">
      <c r="A136" s="2" t="s">
        <v>280</v>
      </c>
      <c r="B136" s="2" t="s">
        <v>73</v>
      </c>
      <c r="C136" s="8" t="s">
        <v>281</v>
      </c>
      <c r="D136" s="2">
        <v>1</v>
      </c>
      <c r="E136" s="8" t="s">
        <v>10156</v>
      </c>
      <c r="F136" s="2">
        <v>2</v>
      </c>
      <c r="G136" s="8" t="s">
        <v>9578</v>
      </c>
      <c r="H136" s="8" t="s">
        <v>9578</v>
      </c>
      <c r="I136" s="2">
        <v>17.760000000000002</v>
      </c>
      <c r="J136" s="2">
        <v>107.76</v>
      </c>
      <c r="K136" s="2">
        <v>366.84</v>
      </c>
      <c r="L136" s="2">
        <v>527.76</v>
      </c>
      <c r="M136" s="8"/>
      <c r="N136" s="8" t="s">
        <v>10159</v>
      </c>
      <c r="O136" s="8" t="s">
        <v>7510</v>
      </c>
      <c r="P136" s="8" t="str">
        <f>HYPERLINK("https://seichotoushi-hojo.jp/assets/pdf/koufu/outline_119.pdf","PDFを開く")</f>
        <v>PDFを開く</v>
      </c>
      <c r="Q136" s="8" t="s">
        <v>287</v>
      </c>
    </row>
    <row r="137" spans="1:17" ht="62.1" customHeight="1">
      <c r="A137" s="5" t="s">
        <v>280</v>
      </c>
      <c r="B137" s="5" t="s">
        <v>73</v>
      </c>
      <c r="C137" s="9" t="s">
        <v>281</v>
      </c>
      <c r="D137" s="5">
        <v>1</v>
      </c>
      <c r="E137" s="9" t="s">
        <v>10156</v>
      </c>
      <c r="F137" s="5">
        <v>3</v>
      </c>
      <c r="G137" s="9" t="s">
        <v>10163</v>
      </c>
      <c r="H137" s="9" t="s">
        <v>10163</v>
      </c>
      <c r="I137" s="5">
        <v>384.36</v>
      </c>
      <c r="J137" s="5">
        <v>364.32</v>
      </c>
      <c r="K137" s="5">
        <v>764.28</v>
      </c>
      <c r="L137" s="5">
        <v>522.6</v>
      </c>
      <c r="M137" s="9"/>
      <c r="N137" s="9" t="s">
        <v>10159</v>
      </c>
      <c r="O137" s="9" t="s">
        <v>7512</v>
      </c>
      <c r="P137" s="9" t="str">
        <f>HYPERLINK("https://seichotoushi-hojo.jp/assets/pdf/koufu/outline_119.pdf","PDFを開く")</f>
        <v>PDFを開く</v>
      </c>
      <c r="Q137" s="9" t="s">
        <v>287</v>
      </c>
    </row>
    <row r="138" spans="1:17" ht="62.1" customHeight="1">
      <c r="A138" s="2" t="s">
        <v>280</v>
      </c>
      <c r="B138" s="2" t="s">
        <v>73</v>
      </c>
      <c r="C138" s="8" t="s">
        <v>281</v>
      </c>
      <c r="D138" s="2">
        <v>1</v>
      </c>
      <c r="E138" s="8" t="s">
        <v>10156</v>
      </c>
      <c r="F138" s="2">
        <v>4</v>
      </c>
      <c r="G138" s="8" t="s">
        <v>8581</v>
      </c>
      <c r="H138" s="8" t="s">
        <v>8581</v>
      </c>
      <c r="I138" s="2">
        <v>21.84</v>
      </c>
      <c r="J138" s="2">
        <v>468.72</v>
      </c>
      <c r="K138" s="2">
        <v>363.12</v>
      </c>
      <c r="L138" s="2">
        <v>525.36</v>
      </c>
      <c r="M138" s="8"/>
      <c r="N138" s="8" t="s">
        <v>10159</v>
      </c>
      <c r="O138" s="8" t="s">
        <v>285</v>
      </c>
      <c r="P138" s="8" t="str">
        <f>HYPERLINK("https://seichotoushi-hojo.jp/assets/pdf/koufu/outline_119.pdf","PDFを開く")</f>
        <v>PDFを開く</v>
      </c>
      <c r="Q138" s="8" t="s">
        <v>287</v>
      </c>
    </row>
    <row r="139" spans="1:17" ht="62.1" customHeight="1">
      <c r="A139" s="5" t="s">
        <v>288</v>
      </c>
      <c r="B139" s="5" t="s">
        <v>73</v>
      </c>
      <c r="C139" s="9" t="s">
        <v>289</v>
      </c>
      <c r="D139" s="5">
        <v>1</v>
      </c>
      <c r="E139" s="9" t="s">
        <v>10156</v>
      </c>
      <c r="F139" s="5">
        <v>1</v>
      </c>
      <c r="G139" s="9" t="s">
        <v>10162</v>
      </c>
      <c r="H139" s="9" t="s">
        <v>10162</v>
      </c>
      <c r="I139" s="5">
        <v>396.33</v>
      </c>
      <c r="J139" s="5">
        <v>110.97</v>
      </c>
      <c r="K139" s="5">
        <v>739.83</v>
      </c>
      <c r="L139" s="5">
        <v>330.99</v>
      </c>
      <c r="M139" s="9"/>
      <c r="N139" s="9" t="s">
        <v>10159</v>
      </c>
      <c r="O139" s="9" t="s">
        <v>7518</v>
      </c>
      <c r="P139" s="9" t="str">
        <f>HYPERLINK("https://seichotoushi-hojo.jp/assets/pdf/koufu/outline_12.pdf","PDFを開く")</f>
        <v>PDFを開く</v>
      </c>
      <c r="Q139" s="9" t="s">
        <v>296</v>
      </c>
    </row>
    <row r="140" spans="1:17" ht="62.1" customHeight="1">
      <c r="A140" s="2" t="s">
        <v>288</v>
      </c>
      <c r="B140" s="2" t="s">
        <v>73</v>
      </c>
      <c r="C140" s="8" t="s">
        <v>289</v>
      </c>
      <c r="D140" s="2">
        <v>1</v>
      </c>
      <c r="E140" s="8" t="s">
        <v>10156</v>
      </c>
      <c r="F140" s="2">
        <v>2</v>
      </c>
      <c r="G140" s="8" t="s">
        <v>9578</v>
      </c>
      <c r="H140" s="8" t="s">
        <v>9578</v>
      </c>
      <c r="I140" s="2">
        <v>39.659999999999997</v>
      </c>
      <c r="J140" s="2">
        <v>111.18</v>
      </c>
      <c r="K140" s="2">
        <v>378.78</v>
      </c>
      <c r="L140" s="2">
        <v>499.74</v>
      </c>
      <c r="M140" s="8"/>
      <c r="N140" s="8" t="s">
        <v>10159</v>
      </c>
      <c r="O140" s="8" t="s">
        <v>7517</v>
      </c>
      <c r="P140" s="8" t="str">
        <f>HYPERLINK("https://seichotoushi-hojo.jp/assets/pdf/koufu/outline_12.pdf","PDFを開く")</f>
        <v>PDFを開く</v>
      </c>
      <c r="Q140" s="8" t="s">
        <v>296</v>
      </c>
    </row>
    <row r="141" spans="1:17" ht="62.1" customHeight="1">
      <c r="A141" s="5" t="s">
        <v>288</v>
      </c>
      <c r="B141" s="5" t="s">
        <v>73</v>
      </c>
      <c r="C141" s="9" t="s">
        <v>289</v>
      </c>
      <c r="D141" s="5">
        <v>1</v>
      </c>
      <c r="E141" s="9" t="s">
        <v>10156</v>
      </c>
      <c r="F141" s="5">
        <v>3</v>
      </c>
      <c r="G141" s="9" t="s">
        <v>10163</v>
      </c>
      <c r="H141" s="9" t="s">
        <v>10163</v>
      </c>
      <c r="I141" s="5">
        <v>396.33</v>
      </c>
      <c r="J141" s="5">
        <v>342.99</v>
      </c>
      <c r="K141" s="5">
        <v>739.83</v>
      </c>
      <c r="L141" s="5">
        <v>499.77</v>
      </c>
      <c r="M141" s="9"/>
      <c r="N141" s="9" t="s">
        <v>10159</v>
      </c>
      <c r="O141" s="9" t="s">
        <v>7519</v>
      </c>
      <c r="P141" s="9" t="str">
        <f>HYPERLINK("https://seichotoushi-hojo.jp/assets/pdf/koufu/outline_12.pdf","PDFを開く")</f>
        <v>PDFを開く</v>
      </c>
      <c r="Q141" s="9" t="s">
        <v>296</v>
      </c>
    </row>
    <row r="142" spans="1:17" ht="62.1" customHeight="1">
      <c r="A142" s="2" t="s">
        <v>288</v>
      </c>
      <c r="B142" s="2" t="s">
        <v>73</v>
      </c>
      <c r="C142" s="8" t="s">
        <v>289</v>
      </c>
      <c r="D142" s="2">
        <v>1</v>
      </c>
      <c r="E142" s="8" t="s">
        <v>10156</v>
      </c>
      <c r="F142" s="2">
        <v>4</v>
      </c>
      <c r="G142" s="8" t="s">
        <v>8581</v>
      </c>
      <c r="H142" s="8" t="s">
        <v>8581</v>
      </c>
      <c r="I142" s="2">
        <v>48</v>
      </c>
      <c r="J142" s="2">
        <v>370.98</v>
      </c>
      <c r="K142" s="2">
        <v>367.5</v>
      </c>
      <c r="L142" s="2">
        <v>486.78</v>
      </c>
      <c r="M142" s="8"/>
      <c r="N142" s="8" t="s">
        <v>10159</v>
      </c>
      <c r="O142" s="8" t="s">
        <v>7520</v>
      </c>
      <c r="P142" s="8" t="str">
        <f>HYPERLINK("https://seichotoushi-hojo.jp/assets/pdf/koufu/outline_12.pdf","PDFを開く")</f>
        <v>PDFを開く</v>
      </c>
      <c r="Q142" s="8" t="s">
        <v>296</v>
      </c>
    </row>
    <row r="143" spans="1:17" ht="62.1" customHeight="1">
      <c r="A143" s="5" t="s">
        <v>288</v>
      </c>
      <c r="B143" s="5" t="s">
        <v>73</v>
      </c>
      <c r="C143" s="9" t="s">
        <v>289</v>
      </c>
      <c r="D143" s="5">
        <v>2</v>
      </c>
      <c r="E143" s="9" t="s">
        <v>10165</v>
      </c>
      <c r="F143" s="5">
        <v>1</v>
      </c>
      <c r="G143" s="9" t="s">
        <v>10167</v>
      </c>
      <c r="H143" s="9" t="s">
        <v>10236</v>
      </c>
      <c r="I143" s="5">
        <v>126.78</v>
      </c>
      <c r="J143" s="5">
        <v>490.68</v>
      </c>
      <c r="K143" s="5">
        <v>739.5</v>
      </c>
      <c r="L143" s="5">
        <v>525.29999999999995</v>
      </c>
      <c r="M143" s="9"/>
      <c r="N143" s="9" t="s">
        <v>10159</v>
      </c>
      <c r="O143" s="9" t="s">
        <v>10237</v>
      </c>
      <c r="P143" s="9" t="str">
        <f>HYPERLINK("https://seichotoushi-hojo.jp/assets/pdf/koufu/outline_12.pdf","PDFを開く")</f>
        <v>PDFを開く</v>
      </c>
      <c r="Q143" s="9" t="s">
        <v>296</v>
      </c>
    </row>
    <row r="144" spans="1:17" ht="62.1" customHeight="1">
      <c r="A144" s="2" t="s">
        <v>297</v>
      </c>
      <c r="B144" s="2" t="s">
        <v>73</v>
      </c>
      <c r="C144" s="8" t="s">
        <v>298</v>
      </c>
      <c r="D144" s="2">
        <v>1</v>
      </c>
      <c r="E144" s="8" t="s">
        <v>10156</v>
      </c>
      <c r="F144" s="2">
        <v>1</v>
      </c>
      <c r="G144" s="8" t="s">
        <v>9578</v>
      </c>
      <c r="H144" s="8" t="s">
        <v>9578</v>
      </c>
      <c r="I144" s="2">
        <v>39.659999999999997</v>
      </c>
      <c r="J144" s="2">
        <v>110.46</v>
      </c>
      <c r="K144" s="2">
        <v>378.78</v>
      </c>
      <c r="L144" s="2">
        <v>499.74</v>
      </c>
      <c r="M144" s="8"/>
      <c r="N144" s="8" t="s">
        <v>10159</v>
      </c>
      <c r="O144" s="8" t="s">
        <v>7525</v>
      </c>
      <c r="P144" s="8" t="str">
        <f>HYPERLINK("https://seichotoushi-hojo.jp/assets/pdf/koufu/outline_120.pdf","PDFを開く")</f>
        <v>PDFを開く</v>
      </c>
      <c r="Q144" s="8" t="s">
        <v>304</v>
      </c>
    </row>
    <row r="145" spans="1:17" ht="62.1" customHeight="1">
      <c r="A145" s="5" t="s">
        <v>297</v>
      </c>
      <c r="B145" s="5" t="s">
        <v>73</v>
      </c>
      <c r="C145" s="9" t="s">
        <v>298</v>
      </c>
      <c r="D145" s="5">
        <v>1</v>
      </c>
      <c r="E145" s="9" t="s">
        <v>10156</v>
      </c>
      <c r="F145" s="5">
        <v>2</v>
      </c>
      <c r="G145" s="9" t="s">
        <v>10162</v>
      </c>
      <c r="H145" s="9" t="s">
        <v>10162</v>
      </c>
      <c r="I145" s="5">
        <v>396.33</v>
      </c>
      <c r="J145" s="5">
        <v>111.81</v>
      </c>
      <c r="K145" s="5">
        <v>739.83</v>
      </c>
      <c r="L145" s="5">
        <v>299.55</v>
      </c>
      <c r="M145" s="9"/>
      <c r="N145" s="9" t="s">
        <v>10159</v>
      </c>
      <c r="O145" s="9" t="s">
        <v>7526</v>
      </c>
      <c r="P145" s="9" t="str">
        <f>HYPERLINK("https://seichotoushi-hojo.jp/assets/pdf/koufu/outline_120.pdf","PDFを開く")</f>
        <v>PDFを開く</v>
      </c>
      <c r="Q145" s="9" t="s">
        <v>304</v>
      </c>
    </row>
    <row r="146" spans="1:17" ht="62.1" customHeight="1">
      <c r="A146" s="2" t="s">
        <v>297</v>
      </c>
      <c r="B146" s="2" t="s">
        <v>73</v>
      </c>
      <c r="C146" s="8" t="s">
        <v>298</v>
      </c>
      <c r="D146" s="2">
        <v>1</v>
      </c>
      <c r="E146" s="8" t="s">
        <v>10156</v>
      </c>
      <c r="F146" s="2">
        <v>3</v>
      </c>
      <c r="G146" s="8" t="s">
        <v>10163</v>
      </c>
      <c r="H146" s="8" t="s">
        <v>10163</v>
      </c>
      <c r="I146" s="2">
        <v>396.33</v>
      </c>
      <c r="J146" s="2">
        <v>311.97000000000003</v>
      </c>
      <c r="K146" s="2">
        <v>739.83</v>
      </c>
      <c r="L146" s="2">
        <v>499.77</v>
      </c>
      <c r="M146" s="8"/>
      <c r="N146" s="8" t="s">
        <v>10159</v>
      </c>
      <c r="O146" s="8" t="s">
        <v>7527</v>
      </c>
      <c r="P146" s="8" t="str">
        <f>HYPERLINK("https://seichotoushi-hojo.jp/assets/pdf/koufu/outline_120.pdf","PDFを開く")</f>
        <v>PDFを開く</v>
      </c>
      <c r="Q146" s="8" t="s">
        <v>304</v>
      </c>
    </row>
    <row r="147" spans="1:17" ht="62.1" customHeight="1">
      <c r="A147" s="5" t="s">
        <v>297</v>
      </c>
      <c r="B147" s="5" t="s">
        <v>73</v>
      </c>
      <c r="C147" s="9" t="s">
        <v>298</v>
      </c>
      <c r="D147" s="5">
        <v>1</v>
      </c>
      <c r="E147" s="9" t="s">
        <v>10156</v>
      </c>
      <c r="F147" s="5">
        <v>4</v>
      </c>
      <c r="G147" s="9" t="s">
        <v>8581</v>
      </c>
      <c r="H147" s="9" t="s">
        <v>8581</v>
      </c>
      <c r="I147" s="5">
        <v>49.44</v>
      </c>
      <c r="J147" s="5">
        <v>378.36</v>
      </c>
      <c r="K147" s="5">
        <v>368.94</v>
      </c>
      <c r="L147" s="5">
        <v>489.9</v>
      </c>
      <c r="M147" s="9"/>
      <c r="N147" s="9" t="s">
        <v>10159</v>
      </c>
      <c r="O147" s="9" t="s">
        <v>301</v>
      </c>
      <c r="P147" s="9" t="str">
        <f>HYPERLINK("https://seichotoushi-hojo.jp/assets/pdf/koufu/outline_120.pdf","PDFを開く")</f>
        <v>PDFを開く</v>
      </c>
      <c r="Q147" s="9" t="s">
        <v>304</v>
      </c>
    </row>
    <row r="148" spans="1:17" ht="62.1" customHeight="1">
      <c r="A148" s="2" t="s">
        <v>305</v>
      </c>
      <c r="B148" s="2" t="s">
        <v>73</v>
      </c>
      <c r="C148" s="8" t="s">
        <v>306</v>
      </c>
      <c r="D148" s="2">
        <v>1</v>
      </c>
      <c r="E148" s="8" t="s">
        <v>10156</v>
      </c>
      <c r="F148" s="2">
        <v>1</v>
      </c>
      <c r="G148" s="8" t="s">
        <v>9578</v>
      </c>
      <c r="H148" s="8" t="s">
        <v>9578</v>
      </c>
      <c r="I148" s="2">
        <v>18.75</v>
      </c>
      <c r="J148" s="2">
        <v>84.02</v>
      </c>
      <c r="K148" s="2">
        <v>399</v>
      </c>
      <c r="L148" s="2">
        <v>508.72</v>
      </c>
      <c r="M148" s="8"/>
      <c r="N148" s="8" t="s">
        <v>10159</v>
      </c>
      <c r="O148" s="8" t="s">
        <v>7532</v>
      </c>
      <c r="P148" s="8" t="str">
        <f>HYPERLINK("https://seichotoushi-hojo.jp/assets/pdf/koufu/outline_121.pdf","PDFを開く")</f>
        <v>PDFを開く</v>
      </c>
      <c r="Q148" s="8" t="s">
        <v>313</v>
      </c>
    </row>
    <row r="149" spans="1:17" ht="62.1" customHeight="1">
      <c r="A149" s="5" t="s">
        <v>305</v>
      </c>
      <c r="B149" s="5" t="s">
        <v>73</v>
      </c>
      <c r="C149" s="9" t="s">
        <v>306</v>
      </c>
      <c r="D149" s="5">
        <v>1</v>
      </c>
      <c r="E149" s="9" t="s">
        <v>10156</v>
      </c>
      <c r="F149" s="5">
        <v>2</v>
      </c>
      <c r="G149" s="9" t="s">
        <v>10162</v>
      </c>
      <c r="H149" s="9" t="s">
        <v>10162</v>
      </c>
      <c r="I149" s="5">
        <v>429</v>
      </c>
      <c r="J149" s="5">
        <v>84.02</v>
      </c>
      <c r="K149" s="5">
        <v>759.7</v>
      </c>
      <c r="L149" s="5">
        <v>253.22</v>
      </c>
      <c r="M149" s="9"/>
      <c r="N149" s="9" t="s">
        <v>10159</v>
      </c>
      <c r="O149" s="9" t="s">
        <v>7533</v>
      </c>
      <c r="P149" s="9" t="str">
        <f>HYPERLINK("https://seichotoushi-hojo.jp/assets/pdf/koufu/outline_121.pdf","PDFを開く")</f>
        <v>PDFを開く</v>
      </c>
      <c r="Q149" s="9" t="s">
        <v>313</v>
      </c>
    </row>
    <row r="150" spans="1:17" ht="62.1" customHeight="1">
      <c r="A150" s="2" t="s">
        <v>305</v>
      </c>
      <c r="B150" s="2" t="s">
        <v>73</v>
      </c>
      <c r="C150" s="8" t="s">
        <v>306</v>
      </c>
      <c r="D150" s="2">
        <v>1</v>
      </c>
      <c r="E150" s="8" t="s">
        <v>10156</v>
      </c>
      <c r="F150" s="2">
        <v>3</v>
      </c>
      <c r="G150" s="8" t="s">
        <v>10163</v>
      </c>
      <c r="H150" s="8" t="s">
        <v>10163</v>
      </c>
      <c r="I150" s="2">
        <v>429</v>
      </c>
      <c r="J150" s="2">
        <v>251.28</v>
      </c>
      <c r="K150" s="2">
        <v>758.85</v>
      </c>
      <c r="L150" s="2">
        <v>508.73</v>
      </c>
      <c r="M150" s="8"/>
      <c r="N150" s="8" t="s">
        <v>10159</v>
      </c>
      <c r="O150" s="8" t="s">
        <v>7534</v>
      </c>
      <c r="P150" s="8" t="str">
        <f>HYPERLINK("https://seichotoushi-hojo.jp/assets/pdf/koufu/outline_121.pdf","PDFを開く")</f>
        <v>PDFを開く</v>
      </c>
      <c r="Q150" s="8" t="s">
        <v>313</v>
      </c>
    </row>
    <row r="151" spans="1:17" ht="62.1" customHeight="1">
      <c r="A151" s="5" t="s">
        <v>305</v>
      </c>
      <c r="B151" s="5" t="s">
        <v>73</v>
      </c>
      <c r="C151" s="9" t="s">
        <v>306</v>
      </c>
      <c r="D151" s="5">
        <v>1</v>
      </c>
      <c r="E151" s="9" t="s">
        <v>10156</v>
      </c>
      <c r="F151" s="5">
        <v>4</v>
      </c>
      <c r="G151" s="9" t="s">
        <v>8581</v>
      </c>
      <c r="H151" s="9" t="s">
        <v>8581</v>
      </c>
      <c r="I151" s="5">
        <v>39.549999999999997</v>
      </c>
      <c r="J151" s="5">
        <v>406.33</v>
      </c>
      <c r="K151" s="5">
        <v>377.8</v>
      </c>
      <c r="L151" s="5">
        <v>492.03</v>
      </c>
      <c r="M151" s="9"/>
      <c r="N151" s="9" t="s">
        <v>10159</v>
      </c>
      <c r="O151" s="9" t="s">
        <v>311</v>
      </c>
      <c r="P151" s="9" t="str">
        <f>HYPERLINK("https://seichotoushi-hojo.jp/assets/pdf/koufu/outline_121.pdf","PDFを開く")</f>
        <v>PDFを開く</v>
      </c>
      <c r="Q151" s="9" t="s">
        <v>313</v>
      </c>
    </row>
    <row r="152" spans="1:17" ht="62.1" customHeight="1">
      <c r="A152" s="2" t="s">
        <v>314</v>
      </c>
      <c r="B152" s="2" t="s">
        <v>73</v>
      </c>
      <c r="C152" s="8" t="s">
        <v>315</v>
      </c>
      <c r="D152" s="2">
        <v>1</v>
      </c>
      <c r="E152" s="8" t="s">
        <v>10156</v>
      </c>
      <c r="F152" s="2">
        <v>1</v>
      </c>
      <c r="G152" s="8" t="s">
        <v>10162</v>
      </c>
      <c r="H152" s="8" t="s">
        <v>10162</v>
      </c>
      <c r="I152" s="2">
        <v>405.75</v>
      </c>
      <c r="J152" s="2">
        <v>98.73</v>
      </c>
      <c r="K152" s="2">
        <v>749.25</v>
      </c>
      <c r="L152" s="2">
        <v>270.69</v>
      </c>
      <c r="M152" s="8"/>
      <c r="N152" s="8" t="s">
        <v>10159</v>
      </c>
      <c r="O152" s="8" t="s">
        <v>7540</v>
      </c>
      <c r="P152" s="8" t="str">
        <f>HYPERLINK("https://seichotoushi-hojo.jp/assets/pdf/koufu/outline_122.pdf","PDFを開く")</f>
        <v>PDFを開く</v>
      </c>
      <c r="Q152" s="8" t="s">
        <v>322</v>
      </c>
    </row>
    <row r="153" spans="1:17" ht="62.1" customHeight="1">
      <c r="A153" s="5" t="s">
        <v>314</v>
      </c>
      <c r="B153" s="5" t="s">
        <v>73</v>
      </c>
      <c r="C153" s="9" t="s">
        <v>315</v>
      </c>
      <c r="D153" s="5">
        <v>1</v>
      </c>
      <c r="E153" s="9" t="s">
        <v>10156</v>
      </c>
      <c r="F153" s="5">
        <v>2</v>
      </c>
      <c r="G153" s="9" t="s">
        <v>9578</v>
      </c>
      <c r="H153" s="9" t="s">
        <v>9578</v>
      </c>
      <c r="I153" s="5">
        <v>39.659999999999997</v>
      </c>
      <c r="J153" s="5">
        <v>102.3</v>
      </c>
      <c r="K153" s="5">
        <v>378.78</v>
      </c>
      <c r="L153" s="5">
        <v>499.74</v>
      </c>
      <c r="M153" s="9"/>
      <c r="N153" s="9" t="s">
        <v>10159</v>
      </c>
      <c r="O153" s="9" t="s">
        <v>7539</v>
      </c>
      <c r="P153" s="9" t="str">
        <f>HYPERLINK("https://seichotoushi-hojo.jp/assets/pdf/koufu/outline_122.pdf","PDFを開く")</f>
        <v>PDFを開く</v>
      </c>
      <c r="Q153" s="9" t="s">
        <v>322</v>
      </c>
    </row>
    <row r="154" spans="1:17" ht="62.1" customHeight="1">
      <c r="A154" s="2" t="s">
        <v>314</v>
      </c>
      <c r="B154" s="2" t="s">
        <v>73</v>
      </c>
      <c r="C154" s="8" t="s">
        <v>315</v>
      </c>
      <c r="D154" s="2">
        <v>1</v>
      </c>
      <c r="E154" s="8" t="s">
        <v>10156</v>
      </c>
      <c r="F154" s="2">
        <v>3</v>
      </c>
      <c r="G154" s="8" t="s">
        <v>8581</v>
      </c>
      <c r="H154" s="8" t="s">
        <v>8581</v>
      </c>
      <c r="I154" s="2">
        <v>48.9</v>
      </c>
      <c r="J154" s="2">
        <v>274.26</v>
      </c>
      <c r="K154" s="2">
        <v>368.4</v>
      </c>
      <c r="L154" s="2">
        <v>478.02</v>
      </c>
      <c r="M154" s="8"/>
      <c r="N154" s="8" t="s">
        <v>10159</v>
      </c>
      <c r="O154" s="8" t="s">
        <v>319</v>
      </c>
      <c r="P154" s="8" t="str">
        <f>HYPERLINK("https://seichotoushi-hojo.jp/assets/pdf/koufu/outline_122.pdf","PDFを開く")</f>
        <v>PDFを開く</v>
      </c>
      <c r="Q154" s="8" t="s">
        <v>322</v>
      </c>
    </row>
    <row r="155" spans="1:17" ht="62.1" customHeight="1">
      <c r="A155" s="5" t="s">
        <v>314</v>
      </c>
      <c r="B155" s="5" t="s">
        <v>73</v>
      </c>
      <c r="C155" s="9" t="s">
        <v>315</v>
      </c>
      <c r="D155" s="5">
        <v>1</v>
      </c>
      <c r="E155" s="9" t="s">
        <v>10156</v>
      </c>
      <c r="F155" s="5">
        <v>4</v>
      </c>
      <c r="G155" s="9" t="s">
        <v>10163</v>
      </c>
      <c r="H155" s="9" t="s">
        <v>10163</v>
      </c>
      <c r="I155" s="5">
        <v>405.75</v>
      </c>
      <c r="J155" s="5">
        <v>275.49</v>
      </c>
      <c r="K155" s="5">
        <v>749.25</v>
      </c>
      <c r="L155" s="5">
        <v>419.97</v>
      </c>
      <c r="M155" s="9"/>
      <c r="N155" s="9" t="s">
        <v>10159</v>
      </c>
      <c r="O155" s="9" t="s">
        <v>7541</v>
      </c>
      <c r="P155" s="9" t="str">
        <f>HYPERLINK("https://seichotoushi-hojo.jp/assets/pdf/koufu/outline_122.pdf","PDFを開く")</f>
        <v>PDFを開く</v>
      </c>
      <c r="Q155" s="9" t="s">
        <v>322</v>
      </c>
    </row>
    <row r="156" spans="1:17" ht="62.1" customHeight="1">
      <c r="A156" s="2" t="s">
        <v>314</v>
      </c>
      <c r="B156" s="2" t="s">
        <v>73</v>
      </c>
      <c r="C156" s="8" t="s">
        <v>315</v>
      </c>
      <c r="D156" s="2">
        <v>1</v>
      </c>
      <c r="E156" s="8" t="s">
        <v>10156</v>
      </c>
      <c r="F156" s="2">
        <v>5</v>
      </c>
      <c r="G156" s="8" t="s">
        <v>10167</v>
      </c>
      <c r="H156" s="8" t="s">
        <v>10238</v>
      </c>
      <c r="I156" s="2">
        <v>405.75</v>
      </c>
      <c r="J156" s="2">
        <v>437.67</v>
      </c>
      <c r="K156" s="2">
        <v>749.25</v>
      </c>
      <c r="L156" s="2">
        <v>499.77</v>
      </c>
      <c r="M156" s="8"/>
      <c r="N156" s="8" t="s">
        <v>10159</v>
      </c>
      <c r="O156" s="8" t="s">
        <v>10239</v>
      </c>
      <c r="P156" s="8" t="str">
        <f>HYPERLINK("https://seichotoushi-hojo.jp/assets/pdf/koufu/outline_122.pdf","PDFを開く")</f>
        <v>PDFを開く</v>
      </c>
      <c r="Q156" s="8" t="s">
        <v>322</v>
      </c>
    </row>
    <row r="157" spans="1:17" ht="62.1" customHeight="1">
      <c r="A157" s="5" t="s">
        <v>323</v>
      </c>
      <c r="B157" s="5" t="s">
        <v>73</v>
      </c>
      <c r="C157" s="9" t="s">
        <v>324</v>
      </c>
      <c r="D157" s="5">
        <v>1</v>
      </c>
      <c r="E157" s="9" t="s">
        <v>10156</v>
      </c>
      <c r="F157" s="5">
        <v>1</v>
      </c>
      <c r="G157" s="9" t="s">
        <v>9578</v>
      </c>
      <c r="H157" s="9" t="s">
        <v>9578</v>
      </c>
      <c r="I157" s="5">
        <v>17.04</v>
      </c>
      <c r="J157" s="5">
        <v>142.19999999999999</v>
      </c>
      <c r="K157" s="5">
        <v>402.12</v>
      </c>
      <c r="L157" s="5">
        <v>500.4</v>
      </c>
      <c r="M157" s="9"/>
      <c r="N157" s="9" t="s">
        <v>10159</v>
      </c>
      <c r="O157" s="9" t="s">
        <v>7546</v>
      </c>
      <c r="P157" s="9" t="str">
        <f t="shared" ref="P157:P162" si="8">HYPERLINK("https://seichotoushi-hojo.jp/assets/pdf/koufu/outline_123.pdf","PDFを開く")</f>
        <v>PDFを開く</v>
      </c>
      <c r="Q157" s="9" t="s">
        <v>330</v>
      </c>
    </row>
    <row r="158" spans="1:17" ht="62.1" customHeight="1">
      <c r="A158" s="2" t="s">
        <v>323</v>
      </c>
      <c r="B158" s="2" t="s">
        <v>73</v>
      </c>
      <c r="C158" s="8" t="s">
        <v>324</v>
      </c>
      <c r="D158" s="2">
        <v>1</v>
      </c>
      <c r="E158" s="8" t="s">
        <v>10156</v>
      </c>
      <c r="F158" s="2">
        <v>2</v>
      </c>
      <c r="G158" s="8" t="s">
        <v>10162</v>
      </c>
      <c r="H158" s="8" t="s">
        <v>10162</v>
      </c>
      <c r="I158" s="2">
        <v>429.72</v>
      </c>
      <c r="J158" s="2">
        <v>144.72</v>
      </c>
      <c r="K158" s="2">
        <v>800.4</v>
      </c>
      <c r="L158" s="2">
        <v>315.60000000000002</v>
      </c>
      <c r="M158" s="8"/>
      <c r="N158" s="8" t="s">
        <v>10159</v>
      </c>
      <c r="O158" s="8" t="s">
        <v>7547</v>
      </c>
      <c r="P158" s="8" t="str">
        <f t="shared" si="8"/>
        <v>PDFを開く</v>
      </c>
      <c r="Q158" s="8" t="s">
        <v>330</v>
      </c>
    </row>
    <row r="159" spans="1:17" ht="62.1" customHeight="1">
      <c r="A159" s="5" t="s">
        <v>323</v>
      </c>
      <c r="B159" s="5" t="s">
        <v>73</v>
      </c>
      <c r="C159" s="9" t="s">
        <v>324</v>
      </c>
      <c r="D159" s="5">
        <v>1</v>
      </c>
      <c r="E159" s="9" t="s">
        <v>10156</v>
      </c>
      <c r="F159" s="5">
        <v>3</v>
      </c>
      <c r="G159" s="9" t="s">
        <v>10163</v>
      </c>
      <c r="H159" s="9" t="s">
        <v>10163</v>
      </c>
      <c r="I159" s="5">
        <v>429.72</v>
      </c>
      <c r="J159" s="5">
        <v>329.64</v>
      </c>
      <c r="K159" s="5">
        <v>800.4</v>
      </c>
      <c r="L159" s="5">
        <v>500.4</v>
      </c>
      <c r="M159" s="9"/>
      <c r="N159" s="9" t="s">
        <v>10159</v>
      </c>
      <c r="O159" s="9" t="s">
        <v>7548</v>
      </c>
      <c r="P159" s="9" t="str">
        <f t="shared" si="8"/>
        <v>PDFを開く</v>
      </c>
      <c r="Q159" s="9" t="s">
        <v>330</v>
      </c>
    </row>
    <row r="160" spans="1:17" ht="62.1" customHeight="1">
      <c r="A160" s="2" t="s">
        <v>323</v>
      </c>
      <c r="B160" s="2" t="s">
        <v>73</v>
      </c>
      <c r="C160" s="8" t="s">
        <v>324</v>
      </c>
      <c r="D160" s="2">
        <v>1</v>
      </c>
      <c r="E160" s="8" t="s">
        <v>10156</v>
      </c>
      <c r="F160" s="2">
        <v>4</v>
      </c>
      <c r="G160" s="8" t="s">
        <v>8581</v>
      </c>
      <c r="H160" s="8" t="s">
        <v>8581</v>
      </c>
      <c r="I160" s="2">
        <v>20.76</v>
      </c>
      <c r="J160" s="2">
        <v>377.28</v>
      </c>
      <c r="K160" s="2">
        <v>399.6</v>
      </c>
      <c r="L160" s="2">
        <v>492.12</v>
      </c>
      <c r="M160" s="8"/>
      <c r="N160" s="8" t="s">
        <v>10159</v>
      </c>
      <c r="O160" s="8" t="s">
        <v>328</v>
      </c>
      <c r="P160" s="8" t="str">
        <f t="shared" si="8"/>
        <v>PDFを開く</v>
      </c>
      <c r="Q160" s="8" t="s">
        <v>330</v>
      </c>
    </row>
    <row r="161" spans="1:17" ht="62.1" customHeight="1">
      <c r="A161" s="5" t="s">
        <v>323</v>
      </c>
      <c r="B161" s="5" t="s">
        <v>73</v>
      </c>
      <c r="C161" s="9" t="s">
        <v>324</v>
      </c>
      <c r="D161" s="5">
        <v>2</v>
      </c>
      <c r="E161" s="9" t="s">
        <v>10165</v>
      </c>
      <c r="F161" s="5">
        <v>1</v>
      </c>
      <c r="G161" s="9" t="s">
        <v>10167</v>
      </c>
      <c r="H161" s="9" t="s">
        <v>10240</v>
      </c>
      <c r="I161" s="5">
        <v>543.36</v>
      </c>
      <c r="J161" s="5">
        <v>156.72</v>
      </c>
      <c r="K161" s="5">
        <v>805.2</v>
      </c>
      <c r="L161" s="5">
        <v>425.76</v>
      </c>
      <c r="M161" s="9"/>
      <c r="N161" s="9" t="s">
        <v>10159</v>
      </c>
      <c r="O161" s="9" t="s">
        <v>10241</v>
      </c>
      <c r="P161" s="9" t="str">
        <f t="shared" si="8"/>
        <v>PDFを開く</v>
      </c>
      <c r="Q161" s="9" t="s">
        <v>330</v>
      </c>
    </row>
    <row r="162" spans="1:17" ht="62.1" customHeight="1">
      <c r="A162" s="2" t="s">
        <v>323</v>
      </c>
      <c r="B162" s="2" t="s">
        <v>73</v>
      </c>
      <c r="C162" s="8" t="s">
        <v>324</v>
      </c>
      <c r="D162" s="2">
        <v>2</v>
      </c>
      <c r="E162" s="8" t="s">
        <v>10165</v>
      </c>
      <c r="F162" s="2">
        <v>2</v>
      </c>
      <c r="G162" s="8" t="s">
        <v>10167</v>
      </c>
      <c r="H162" s="8" t="s">
        <v>3504</v>
      </c>
      <c r="I162" s="2">
        <v>136.91999999999999</v>
      </c>
      <c r="J162" s="2">
        <v>436.68</v>
      </c>
      <c r="K162" s="2">
        <v>566.76</v>
      </c>
      <c r="L162" s="2">
        <v>467.16</v>
      </c>
      <c r="M162" s="8"/>
      <c r="N162" s="8" t="s">
        <v>10159</v>
      </c>
      <c r="O162" s="8" t="s">
        <v>10186</v>
      </c>
      <c r="P162" s="8" t="str">
        <f t="shared" si="8"/>
        <v>PDFを開く</v>
      </c>
      <c r="Q162" s="8" t="s">
        <v>330</v>
      </c>
    </row>
    <row r="163" spans="1:17" ht="62.1" customHeight="1">
      <c r="A163" s="5" t="s">
        <v>331</v>
      </c>
      <c r="B163" s="5" t="s">
        <v>73</v>
      </c>
      <c r="C163" s="9" t="s">
        <v>332</v>
      </c>
      <c r="D163" s="5">
        <v>1</v>
      </c>
      <c r="E163" s="9" t="s">
        <v>10156</v>
      </c>
      <c r="F163" s="5">
        <v>1</v>
      </c>
      <c r="G163" s="9" t="s">
        <v>9578</v>
      </c>
      <c r="H163" s="9" t="s">
        <v>9578</v>
      </c>
      <c r="I163" s="5">
        <v>39.659999999999997</v>
      </c>
      <c r="J163" s="5">
        <v>162</v>
      </c>
      <c r="K163" s="5">
        <v>378.78</v>
      </c>
      <c r="L163" s="5">
        <v>499.73</v>
      </c>
      <c r="M163" s="9"/>
      <c r="N163" s="9" t="s">
        <v>10159</v>
      </c>
      <c r="O163" s="9" t="s">
        <v>7553</v>
      </c>
      <c r="P163" s="9" t="str">
        <f>HYPERLINK("https://seichotoushi-hojo.jp/assets/pdf/koufu/outline_124.pdf","PDFを開く")</f>
        <v>PDFを開く</v>
      </c>
      <c r="Q163" s="9" t="s">
        <v>337</v>
      </c>
    </row>
    <row r="164" spans="1:17" ht="62.1" customHeight="1">
      <c r="A164" s="2" t="s">
        <v>331</v>
      </c>
      <c r="B164" s="2" t="s">
        <v>73</v>
      </c>
      <c r="C164" s="8" t="s">
        <v>332</v>
      </c>
      <c r="D164" s="2">
        <v>1</v>
      </c>
      <c r="E164" s="8" t="s">
        <v>10156</v>
      </c>
      <c r="F164" s="2">
        <v>2</v>
      </c>
      <c r="G164" s="8" t="s">
        <v>10162</v>
      </c>
      <c r="H164" s="8" t="s">
        <v>10162</v>
      </c>
      <c r="I164" s="2">
        <v>396.3</v>
      </c>
      <c r="J164" s="2">
        <v>170.15</v>
      </c>
      <c r="K164" s="2">
        <v>739.78</v>
      </c>
      <c r="L164" s="2">
        <v>328.45</v>
      </c>
      <c r="M164" s="8"/>
      <c r="N164" s="8" t="s">
        <v>10159</v>
      </c>
      <c r="O164" s="8" t="s">
        <v>7554</v>
      </c>
      <c r="P164" s="8" t="str">
        <f>HYPERLINK("https://seichotoushi-hojo.jp/assets/pdf/koufu/outline_124.pdf","PDFを開く")</f>
        <v>PDFを開く</v>
      </c>
      <c r="Q164" s="8" t="s">
        <v>337</v>
      </c>
    </row>
    <row r="165" spans="1:17" ht="62.1" customHeight="1">
      <c r="A165" s="5" t="s">
        <v>331</v>
      </c>
      <c r="B165" s="5" t="s">
        <v>73</v>
      </c>
      <c r="C165" s="9" t="s">
        <v>332</v>
      </c>
      <c r="D165" s="5">
        <v>1</v>
      </c>
      <c r="E165" s="9" t="s">
        <v>10156</v>
      </c>
      <c r="F165" s="5">
        <v>3</v>
      </c>
      <c r="G165" s="9" t="s">
        <v>10163</v>
      </c>
      <c r="H165" s="9" t="s">
        <v>10163</v>
      </c>
      <c r="I165" s="5">
        <v>396.3</v>
      </c>
      <c r="J165" s="5">
        <v>341.42</v>
      </c>
      <c r="K165" s="5">
        <v>739.78</v>
      </c>
      <c r="L165" s="5">
        <v>499.73</v>
      </c>
      <c r="M165" s="9"/>
      <c r="N165" s="9" t="s">
        <v>10159</v>
      </c>
      <c r="O165" s="9" t="s">
        <v>7555</v>
      </c>
      <c r="P165" s="9" t="str">
        <f>HYPERLINK("https://seichotoushi-hojo.jp/assets/pdf/koufu/outline_124.pdf","PDFを開く")</f>
        <v>PDFを開く</v>
      </c>
      <c r="Q165" s="9" t="s">
        <v>337</v>
      </c>
    </row>
    <row r="166" spans="1:17" ht="62.1" customHeight="1">
      <c r="A166" s="2" t="s">
        <v>331</v>
      </c>
      <c r="B166" s="2" t="s">
        <v>73</v>
      </c>
      <c r="C166" s="8" t="s">
        <v>332</v>
      </c>
      <c r="D166" s="2">
        <v>1</v>
      </c>
      <c r="E166" s="8" t="s">
        <v>10156</v>
      </c>
      <c r="F166" s="2">
        <v>4</v>
      </c>
      <c r="G166" s="8" t="s">
        <v>8581</v>
      </c>
      <c r="H166" s="8" t="s">
        <v>8581</v>
      </c>
      <c r="I166" s="2">
        <v>48</v>
      </c>
      <c r="J166" s="2">
        <v>380.84</v>
      </c>
      <c r="K166" s="2">
        <v>367.5</v>
      </c>
      <c r="L166" s="2">
        <v>486.75</v>
      </c>
      <c r="M166" s="8"/>
      <c r="N166" s="8" t="s">
        <v>10159</v>
      </c>
      <c r="O166" s="8" t="s">
        <v>335</v>
      </c>
      <c r="P166" s="8" t="str">
        <f>HYPERLINK("https://seichotoushi-hojo.jp/assets/pdf/koufu/outline_124.pdf","PDFを開く")</f>
        <v>PDFを開く</v>
      </c>
      <c r="Q166" s="8" t="s">
        <v>337</v>
      </c>
    </row>
    <row r="167" spans="1:17" ht="62.1" customHeight="1">
      <c r="A167" s="5" t="s">
        <v>338</v>
      </c>
      <c r="B167" s="5" t="s">
        <v>73</v>
      </c>
      <c r="C167" s="9" t="s">
        <v>339</v>
      </c>
      <c r="D167" s="5">
        <v>1</v>
      </c>
      <c r="E167" s="9" t="s">
        <v>10156</v>
      </c>
      <c r="F167" s="5">
        <v>1</v>
      </c>
      <c r="G167" s="9" t="s">
        <v>8581</v>
      </c>
      <c r="H167" s="9" t="s">
        <v>8581</v>
      </c>
      <c r="I167" s="5">
        <v>260.83</v>
      </c>
      <c r="J167" s="5">
        <v>35.799999999999997</v>
      </c>
      <c r="K167" s="5">
        <v>401.7</v>
      </c>
      <c r="L167" s="5">
        <v>135.41</v>
      </c>
      <c r="M167" s="9"/>
      <c r="N167" s="9" t="s">
        <v>10181</v>
      </c>
      <c r="O167" s="9" t="s">
        <v>10242</v>
      </c>
      <c r="P167" s="9" t="str">
        <f t="shared" ref="P167:P174" si="9">HYPERLINK("https://seichotoushi-hojo.jp/assets/pdf/koufu/outline_125.pdf","PDFを開く")</f>
        <v>PDFを開く</v>
      </c>
      <c r="Q167" s="9" t="s">
        <v>346</v>
      </c>
    </row>
    <row r="168" spans="1:17" ht="62.1" customHeight="1">
      <c r="A168" s="2" t="s">
        <v>338</v>
      </c>
      <c r="B168" s="2" t="s">
        <v>73</v>
      </c>
      <c r="C168" s="8" t="s">
        <v>339</v>
      </c>
      <c r="D168" s="2">
        <v>1</v>
      </c>
      <c r="E168" s="8" t="s">
        <v>10156</v>
      </c>
      <c r="F168" s="2">
        <v>2</v>
      </c>
      <c r="G168" s="8" t="s">
        <v>8581</v>
      </c>
      <c r="H168" s="8" t="s">
        <v>8581</v>
      </c>
      <c r="I168" s="2">
        <v>398.13</v>
      </c>
      <c r="J168" s="2">
        <v>67.58</v>
      </c>
      <c r="K168" s="2">
        <v>768.3</v>
      </c>
      <c r="L168" s="2">
        <v>136.68</v>
      </c>
      <c r="M168" s="8"/>
      <c r="N168" s="8" t="s">
        <v>10181</v>
      </c>
      <c r="O168" s="8" t="s">
        <v>10243</v>
      </c>
      <c r="P168" s="8" t="str">
        <f t="shared" si="9"/>
        <v>PDFを開く</v>
      </c>
      <c r="Q168" s="8" t="s">
        <v>346</v>
      </c>
    </row>
    <row r="169" spans="1:17" ht="62.1" customHeight="1">
      <c r="A169" s="5" t="s">
        <v>338</v>
      </c>
      <c r="B169" s="5" t="s">
        <v>73</v>
      </c>
      <c r="C169" s="9" t="s">
        <v>339</v>
      </c>
      <c r="D169" s="5">
        <v>1</v>
      </c>
      <c r="E169" s="9" t="s">
        <v>10156</v>
      </c>
      <c r="F169" s="5">
        <v>3</v>
      </c>
      <c r="G169" s="9" t="s">
        <v>9578</v>
      </c>
      <c r="H169" s="9" t="s">
        <v>9578</v>
      </c>
      <c r="I169" s="5">
        <v>20.67</v>
      </c>
      <c r="J169" s="5">
        <v>133.88999999999999</v>
      </c>
      <c r="K169" s="5">
        <v>356.01</v>
      </c>
      <c r="L169" s="5">
        <v>524.54999999999995</v>
      </c>
      <c r="M169" s="9"/>
      <c r="N169" s="9" t="s">
        <v>10159</v>
      </c>
      <c r="O169" s="9" t="s">
        <v>7560</v>
      </c>
      <c r="P169" s="9" t="str">
        <f t="shared" si="9"/>
        <v>PDFを開く</v>
      </c>
      <c r="Q169" s="9" t="s">
        <v>346</v>
      </c>
    </row>
    <row r="170" spans="1:17" ht="62.1" customHeight="1">
      <c r="A170" s="2" t="s">
        <v>338</v>
      </c>
      <c r="B170" s="2" t="s">
        <v>73</v>
      </c>
      <c r="C170" s="8" t="s">
        <v>339</v>
      </c>
      <c r="D170" s="2">
        <v>1</v>
      </c>
      <c r="E170" s="8" t="s">
        <v>10156</v>
      </c>
      <c r="F170" s="2">
        <v>4</v>
      </c>
      <c r="G170" s="8" t="s">
        <v>10162</v>
      </c>
      <c r="H170" s="8" t="s">
        <v>10162</v>
      </c>
      <c r="I170" s="2">
        <v>395.67</v>
      </c>
      <c r="J170" s="2">
        <v>135.33000000000001</v>
      </c>
      <c r="K170" s="2">
        <v>747.21</v>
      </c>
      <c r="L170" s="2">
        <v>317.31</v>
      </c>
      <c r="M170" s="8"/>
      <c r="N170" s="8" t="s">
        <v>10159</v>
      </c>
      <c r="O170" s="8" t="s">
        <v>7561</v>
      </c>
      <c r="P170" s="8" t="str">
        <f t="shared" si="9"/>
        <v>PDFを開く</v>
      </c>
      <c r="Q170" s="8" t="s">
        <v>346</v>
      </c>
    </row>
    <row r="171" spans="1:17" ht="62.1" customHeight="1">
      <c r="A171" s="5" t="s">
        <v>338</v>
      </c>
      <c r="B171" s="5" t="s">
        <v>73</v>
      </c>
      <c r="C171" s="9" t="s">
        <v>339</v>
      </c>
      <c r="D171" s="5">
        <v>1</v>
      </c>
      <c r="E171" s="9" t="s">
        <v>10156</v>
      </c>
      <c r="F171" s="5">
        <v>5</v>
      </c>
      <c r="G171" s="9" t="s">
        <v>10163</v>
      </c>
      <c r="H171" s="9" t="s">
        <v>10163</v>
      </c>
      <c r="I171" s="5">
        <v>395.97</v>
      </c>
      <c r="J171" s="5">
        <v>330.27</v>
      </c>
      <c r="K171" s="5">
        <v>747.21</v>
      </c>
      <c r="L171" s="5">
        <v>524.54999999999995</v>
      </c>
      <c r="M171" s="9"/>
      <c r="N171" s="9" t="s">
        <v>10159</v>
      </c>
      <c r="O171" s="9" t="s">
        <v>7562</v>
      </c>
      <c r="P171" s="9" t="str">
        <f t="shared" si="9"/>
        <v>PDFを開く</v>
      </c>
      <c r="Q171" s="9" t="s">
        <v>346</v>
      </c>
    </row>
    <row r="172" spans="1:17" ht="62.1" customHeight="1">
      <c r="A172" s="2" t="s">
        <v>338</v>
      </c>
      <c r="B172" s="2" t="s">
        <v>73</v>
      </c>
      <c r="C172" s="8" t="s">
        <v>339</v>
      </c>
      <c r="D172" s="2">
        <v>2</v>
      </c>
      <c r="E172" s="8" t="s">
        <v>10165</v>
      </c>
      <c r="F172" s="2">
        <v>1</v>
      </c>
      <c r="G172" s="8" t="s">
        <v>10167</v>
      </c>
      <c r="H172" s="8" t="s">
        <v>10244</v>
      </c>
      <c r="I172" s="2">
        <v>80.61</v>
      </c>
      <c r="J172" s="2">
        <v>98.25</v>
      </c>
      <c r="K172" s="2">
        <v>629.79</v>
      </c>
      <c r="L172" s="2">
        <v>141.09</v>
      </c>
      <c r="M172" s="8"/>
      <c r="N172" s="8" t="s">
        <v>10159</v>
      </c>
      <c r="O172" s="8" t="s">
        <v>10245</v>
      </c>
      <c r="P172" s="8" t="str">
        <f t="shared" si="9"/>
        <v>PDFを開く</v>
      </c>
      <c r="Q172" s="8" t="s">
        <v>346</v>
      </c>
    </row>
    <row r="173" spans="1:17" ht="62.1" customHeight="1">
      <c r="A173" s="5" t="s">
        <v>338</v>
      </c>
      <c r="B173" s="5" t="s">
        <v>73</v>
      </c>
      <c r="C173" s="9" t="s">
        <v>339</v>
      </c>
      <c r="D173" s="5">
        <v>2</v>
      </c>
      <c r="E173" s="9" t="s">
        <v>10165</v>
      </c>
      <c r="F173" s="5">
        <v>2</v>
      </c>
      <c r="G173" s="9" t="s">
        <v>10167</v>
      </c>
      <c r="H173" s="9" t="s">
        <v>10246</v>
      </c>
      <c r="I173" s="5">
        <v>472.97</v>
      </c>
      <c r="J173" s="5">
        <v>163.37</v>
      </c>
      <c r="K173" s="5">
        <v>762.31</v>
      </c>
      <c r="L173" s="5">
        <v>276.49</v>
      </c>
      <c r="M173" s="9"/>
      <c r="N173" s="9" t="s">
        <v>10159</v>
      </c>
      <c r="O173" s="9" t="s">
        <v>10246</v>
      </c>
      <c r="P173" s="9" t="str">
        <f t="shared" si="9"/>
        <v>PDFを開く</v>
      </c>
      <c r="Q173" s="9" t="s">
        <v>346</v>
      </c>
    </row>
    <row r="174" spans="1:17" ht="62.1" customHeight="1">
      <c r="A174" s="2" t="s">
        <v>338</v>
      </c>
      <c r="B174" s="2" t="s">
        <v>73</v>
      </c>
      <c r="C174" s="8" t="s">
        <v>339</v>
      </c>
      <c r="D174" s="2">
        <v>2</v>
      </c>
      <c r="E174" s="8" t="s">
        <v>10165</v>
      </c>
      <c r="F174" s="2">
        <v>3</v>
      </c>
      <c r="G174" s="8" t="s">
        <v>10184</v>
      </c>
      <c r="H174" s="8" t="s">
        <v>10184</v>
      </c>
      <c r="I174" s="2">
        <v>172.37</v>
      </c>
      <c r="J174" s="2">
        <v>211.39</v>
      </c>
      <c r="K174" s="2">
        <v>401.7</v>
      </c>
      <c r="L174" s="2">
        <v>406.79</v>
      </c>
      <c r="M174" s="8"/>
      <c r="N174" s="8" t="s">
        <v>10181</v>
      </c>
      <c r="O174" s="8" t="s">
        <v>10247</v>
      </c>
      <c r="P174" s="8" t="str">
        <f t="shared" si="9"/>
        <v>PDFを開く</v>
      </c>
      <c r="Q174" s="8" t="s">
        <v>346</v>
      </c>
    </row>
    <row r="175" spans="1:17" ht="62.1" customHeight="1">
      <c r="A175" s="5" t="s">
        <v>347</v>
      </c>
      <c r="B175" s="5" t="s">
        <v>73</v>
      </c>
      <c r="C175" s="9" t="s">
        <v>348</v>
      </c>
      <c r="D175" s="5">
        <v>1</v>
      </c>
      <c r="E175" s="9" t="s">
        <v>10156</v>
      </c>
      <c r="F175" s="5">
        <v>1</v>
      </c>
      <c r="G175" s="9" t="s">
        <v>9578</v>
      </c>
      <c r="H175" s="9" t="s">
        <v>9578</v>
      </c>
      <c r="I175" s="5">
        <v>22.73</v>
      </c>
      <c r="J175" s="5">
        <v>108.9</v>
      </c>
      <c r="K175" s="5">
        <v>418.19</v>
      </c>
      <c r="L175" s="5">
        <v>565.08000000000004</v>
      </c>
      <c r="M175" s="9"/>
      <c r="N175" s="9" t="s">
        <v>10159</v>
      </c>
      <c r="O175" s="9" t="s">
        <v>7568</v>
      </c>
      <c r="P175" s="9" t="str">
        <f>HYPERLINK("https://seichotoushi-hojo.jp/assets/pdf/koufu/outline_126.pdf","PDFを開く")</f>
        <v>PDFを開く</v>
      </c>
      <c r="Q175" s="9" t="s">
        <v>353</v>
      </c>
    </row>
    <row r="176" spans="1:17" ht="62.1" customHeight="1">
      <c r="A176" s="2" t="s">
        <v>347</v>
      </c>
      <c r="B176" s="2" t="s">
        <v>73</v>
      </c>
      <c r="C176" s="8" t="s">
        <v>348</v>
      </c>
      <c r="D176" s="2">
        <v>1</v>
      </c>
      <c r="E176" s="8" t="s">
        <v>10156</v>
      </c>
      <c r="F176" s="2">
        <v>2</v>
      </c>
      <c r="G176" s="8" t="s">
        <v>10162</v>
      </c>
      <c r="H176" s="8" t="s">
        <v>10162</v>
      </c>
      <c r="I176" s="2">
        <v>437.09</v>
      </c>
      <c r="J176" s="2">
        <v>108.9</v>
      </c>
      <c r="K176" s="2">
        <v>815.57</v>
      </c>
      <c r="L176" s="2">
        <v>326.58</v>
      </c>
      <c r="M176" s="8"/>
      <c r="N176" s="8" t="s">
        <v>10159</v>
      </c>
      <c r="O176" s="8" t="s">
        <v>7569</v>
      </c>
      <c r="P176" s="8" t="str">
        <f>HYPERLINK("https://seichotoushi-hojo.jp/assets/pdf/koufu/outline_126.pdf","PDFを開く")</f>
        <v>PDFを開く</v>
      </c>
      <c r="Q176" s="8" t="s">
        <v>353</v>
      </c>
    </row>
    <row r="177" spans="1:17" ht="62.1" customHeight="1">
      <c r="A177" s="5" t="s">
        <v>347</v>
      </c>
      <c r="B177" s="5" t="s">
        <v>73</v>
      </c>
      <c r="C177" s="9" t="s">
        <v>348</v>
      </c>
      <c r="D177" s="5">
        <v>1</v>
      </c>
      <c r="E177" s="9" t="s">
        <v>10156</v>
      </c>
      <c r="F177" s="5">
        <v>3</v>
      </c>
      <c r="G177" s="9" t="s">
        <v>10163</v>
      </c>
      <c r="H177" s="9" t="s">
        <v>10163</v>
      </c>
      <c r="I177" s="5">
        <v>437.09</v>
      </c>
      <c r="J177" s="5">
        <v>347.4</v>
      </c>
      <c r="K177" s="5">
        <v>815.57</v>
      </c>
      <c r="L177" s="5">
        <v>565.08000000000004</v>
      </c>
      <c r="M177" s="9"/>
      <c r="N177" s="9" t="s">
        <v>10159</v>
      </c>
      <c r="O177" s="9" t="s">
        <v>7570</v>
      </c>
      <c r="P177" s="9" t="str">
        <f>HYPERLINK("https://seichotoushi-hojo.jp/assets/pdf/koufu/outline_126.pdf","PDFを開く")</f>
        <v>PDFを開く</v>
      </c>
      <c r="Q177" s="9" t="s">
        <v>353</v>
      </c>
    </row>
    <row r="178" spans="1:17" ht="62.1" customHeight="1">
      <c r="A178" s="2" t="s">
        <v>347</v>
      </c>
      <c r="B178" s="2" t="s">
        <v>73</v>
      </c>
      <c r="C178" s="8" t="s">
        <v>348</v>
      </c>
      <c r="D178" s="2">
        <v>1</v>
      </c>
      <c r="E178" s="8" t="s">
        <v>10156</v>
      </c>
      <c r="F178" s="2">
        <v>4</v>
      </c>
      <c r="G178" s="8" t="s">
        <v>8581</v>
      </c>
      <c r="H178" s="8" t="s">
        <v>8581</v>
      </c>
      <c r="I178" s="2">
        <v>30.71</v>
      </c>
      <c r="J178" s="2">
        <v>502.08</v>
      </c>
      <c r="K178" s="2">
        <v>410.63</v>
      </c>
      <c r="L178" s="2">
        <v>561.78</v>
      </c>
      <c r="M178" s="8"/>
      <c r="N178" s="8" t="s">
        <v>10159</v>
      </c>
      <c r="O178" s="8" t="s">
        <v>351</v>
      </c>
      <c r="P178" s="8" t="str">
        <f>HYPERLINK("https://seichotoushi-hojo.jp/assets/pdf/koufu/outline_126.pdf","PDFを開く")</f>
        <v>PDFを開く</v>
      </c>
      <c r="Q178" s="8" t="s">
        <v>353</v>
      </c>
    </row>
    <row r="179" spans="1:17" ht="62.1" customHeight="1">
      <c r="A179" s="5" t="s">
        <v>354</v>
      </c>
      <c r="B179" s="5" t="s">
        <v>73</v>
      </c>
      <c r="C179" s="9" t="s">
        <v>355</v>
      </c>
      <c r="D179" s="5">
        <v>1</v>
      </c>
      <c r="E179" s="9" t="s">
        <v>10156</v>
      </c>
      <c r="F179" s="5">
        <v>1</v>
      </c>
      <c r="G179" s="9" t="s">
        <v>9578</v>
      </c>
      <c r="H179" s="9" t="s">
        <v>9578</v>
      </c>
      <c r="I179" s="5">
        <v>33.369999999999997</v>
      </c>
      <c r="J179" s="5">
        <v>108.89</v>
      </c>
      <c r="K179" s="5">
        <v>376.36</v>
      </c>
      <c r="L179" s="5">
        <v>499.62</v>
      </c>
      <c r="M179" s="9"/>
      <c r="N179" s="9" t="s">
        <v>10159</v>
      </c>
      <c r="O179" s="9" t="s">
        <v>7575</v>
      </c>
      <c r="P179" s="9" t="str">
        <f>HYPERLINK("https://seichotoushi-hojo.jp/assets/pdf/koufu/outline_127.pdf","PDFを開く")</f>
        <v>PDFを開く</v>
      </c>
      <c r="Q179" s="9" t="s">
        <v>361</v>
      </c>
    </row>
    <row r="180" spans="1:17" ht="62.1" customHeight="1">
      <c r="A180" s="2" t="s">
        <v>354</v>
      </c>
      <c r="B180" s="2" t="s">
        <v>73</v>
      </c>
      <c r="C180" s="8" t="s">
        <v>355</v>
      </c>
      <c r="D180" s="2">
        <v>1</v>
      </c>
      <c r="E180" s="8" t="s">
        <v>10156</v>
      </c>
      <c r="F180" s="2">
        <v>2</v>
      </c>
      <c r="G180" s="8" t="s">
        <v>10162</v>
      </c>
      <c r="H180" s="8" t="s">
        <v>10162</v>
      </c>
      <c r="I180" s="2">
        <v>396.3</v>
      </c>
      <c r="J180" s="2">
        <v>108.89</v>
      </c>
      <c r="K180" s="2">
        <v>747.51</v>
      </c>
      <c r="L180" s="2">
        <v>257.14</v>
      </c>
      <c r="M180" s="8"/>
      <c r="N180" s="8" t="s">
        <v>10159</v>
      </c>
      <c r="O180" s="8" t="s">
        <v>7576</v>
      </c>
      <c r="P180" s="8" t="str">
        <f>HYPERLINK("https://seichotoushi-hojo.jp/assets/pdf/koufu/outline_127.pdf","PDFを開く")</f>
        <v>PDFを開く</v>
      </c>
      <c r="Q180" s="8" t="s">
        <v>361</v>
      </c>
    </row>
    <row r="181" spans="1:17" ht="62.1" customHeight="1">
      <c r="A181" s="5" t="s">
        <v>354</v>
      </c>
      <c r="B181" s="5" t="s">
        <v>73</v>
      </c>
      <c r="C181" s="9" t="s">
        <v>355</v>
      </c>
      <c r="D181" s="5">
        <v>1</v>
      </c>
      <c r="E181" s="9" t="s">
        <v>10156</v>
      </c>
      <c r="F181" s="5">
        <v>3</v>
      </c>
      <c r="G181" s="9" t="s">
        <v>8581</v>
      </c>
      <c r="H181" s="9" t="s">
        <v>8581</v>
      </c>
      <c r="I181" s="5">
        <v>45.11</v>
      </c>
      <c r="J181" s="5">
        <v>271.49</v>
      </c>
      <c r="K181" s="5">
        <v>364.61</v>
      </c>
      <c r="L181" s="5">
        <v>492.26</v>
      </c>
      <c r="M181" s="9"/>
      <c r="N181" s="9" t="s">
        <v>10159</v>
      </c>
      <c r="O181" s="9" t="s">
        <v>358</v>
      </c>
      <c r="P181" s="9" t="str">
        <f>HYPERLINK("https://seichotoushi-hojo.jp/assets/pdf/koufu/outline_127.pdf","PDFを開く")</f>
        <v>PDFを開く</v>
      </c>
      <c r="Q181" s="9" t="s">
        <v>361</v>
      </c>
    </row>
    <row r="182" spans="1:17" ht="62.1" customHeight="1">
      <c r="A182" s="2" t="s">
        <v>354</v>
      </c>
      <c r="B182" s="2" t="s">
        <v>73</v>
      </c>
      <c r="C182" s="8" t="s">
        <v>355</v>
      </c>
      <c r="D182" s="2">
        <v>1</v>
      </c>
      <c r="E182" s="8" t="s">
        <v>10156</v>
      </c>
      <c r="F182" s="2">
        <v>4</v>
      </c>
      <c r="G182" s="8" t="s">
        <v>10163</v>
      </c>
      <c r="H182" s="8" t="s">
        <v>10163</v>
      </c>
      <c r="I182" s="2">
        <v>396.3</v>
      </c>
      <c r="J182" s="2">
        <v>273.76</v>
      </c>
      <c r="K182" s="2">
        <v>747.51</v>
      </c>
      <c r="L182" s="2">
        <v>499.89</v>
      </c>
      <c r="M182" s="8"/>
      <c r="N182" s="8" t="s">
        <v>10159</v>
      </c>
      <c r="O182" s="8" t="s">
        <v>7577</v>
      </c>
      <c r="P182" s="8" t="str">
        <f>HYPERLINK("https://seichotoushi-hojo.jp/assets/pdf/koufu/outline_127.pdf","PDFを開く")</f>
        <v>PDFを開く</v>
      </c>
      <c r="Q182" s="8" t="s">
        <v>361</v>
      </c>
    </row>
    <row r="183" spans="1:17" ht="62.1" customHeight="1">
      <c r="A183" s="5" t="s">
        <v>362</v>
      </c>
      <c r="B183" s="5" t="s">
        <v>73</v>
      </c>
      <c r="C183" s="9" t="s">
        <v>363</v>
      </c>
      <c r="D183" s="5">
        <v>1</v>
      </c>
      <c r="E183" s="9" t="s">
        <v>10156</v>
      </c>
      <c r="F183" s="5">
        <v>1</v>
      </c>
      <c r="G183" s="9" t="s">
        <v>9578</v>
      </c>
      <c r="H183" s="9" t="s">
        <v>9578</v>
      </c>
      <c r="I183" s="5">
        <v>39.6</v>
      </c>
      <c r="J183" s="5">
        <v>101.76</v>
      </c>
      <c r="K183" s="5">
        <v>378.84</v>
      </c>
      <c r="L183" s="5">
        <v>499.68</v>
      </c>
      <c r="M183" s="9"/>
      <c r="N183" s="9" t="s">
        <v>10159</v>
      </c>
      <c r="O183" s="9" t="s">
        <v>7582</v>
      </c>
      <c r="P183" s="9" t="str">
        <f>HYPERLINK("https://seichotoushi-hojo.jp/assets/pdf/koufu/outline_128.pdf","PDFを開く")</f>
        <v>PDFを開く</v>
      </c>
      <c r="Q183" s="9" t="s">
        <v>368</v>
      </c>
    </row>
    <row r="184" spans="1:17" ht="62.1" customHeight="1">
      <c r="A184" s="2" t="s">
        <v>362</v>
      </c>
      <c r="B184" s="2" t="s">
        <v>73</v>
      </c>
      <c r="C184" s="8" t="s">
        <v>363</v>
      </c>
      <c r="D184" s="2">
        <v>1</v>
      </c>
      <c r="E184" s="8" t="s">
        <v>10156</v>
      </c>
      <c r="F184" s="2">
        <v>2</v>
      </c>
      <c r="G184" s="8" t="s">
        <v>10162</v>
      </c>
      <c r="H184" s="8" t="s">
        <v>10162</v>
      </c>
      <c r="I184" s="2">
        <v>396.36</v>
      </c>
      <c r="J184" s="2">
        <v>104.52</v>
      </c>
      <c r="K184" s="2">
        <v>739.8</v>
      </c>
      <c r="L184" s="2">
        <v>294.36</v>
      </c>
      <c r="M184" s="8"/>
      <c r="N184" s="8" t="s">
        <v>10159</v>
      </c>
      <c r="O184" s="8" t="s">
        <v>7583</v>
      </c>
      <c r="P184" s="8" t="str">
        <f>HYPERLINK("https://seichotoushi-hojo.jp/assets/pdf/koufu/outline_128.pdf","PDFを開く")</f>
        <v>PDFを開く</v>
      </c>
      <c r="Q184" s="8" t="s">
        <v>368</v>
      </c>
    </row>
    <row r="185" spans="1:17" ht="62.1" customHeight="1">
      <c r="A185" s="5" t="s">
        <v>362</v>
      </c>
      <c r="B185" s="5" t="s">
        <v>73</v>
      </c>
      <c r="C185" s="9" t="s">
        <v>363</v>
      </c>
      <c r="D185" s="5">
        <v>1</v>
      </c>
      <c r="E185" s="9" t="s">
        <v>10156</v>
      </c>
      <c r="F185" s="5">
        <v>3</v>
      </c>
      <c r="G185" s="9" t="s">
        <v>10163</v>
      </c>
      <c r="H185" s="9" t="s">
        <v>10163</v>
      </c>
      <c r="I185" s="5">
        <v>396.36</v>
      </c>
      <c r="J185" s="5">
        <v>309.95999999999998</v>
      </c>
      <c r="K185" s="5">
        <v>739.8</v>
      </c>
      <c r="L185" s="5">
        <v>499.68</v>
      </c>
      <c r="M185" s="9"/>
      <c r="N185" s="9" t="s">
        <v>10159</v>
      </c>
      <c r="O185" s="9" t="s">
        <v>7584</v>
      </c>
      <c r="P185" s="9" t="str">
        <f>HYPERLINK("https://seichotoushi-hojo.jp/assets/pdf/koufu/outline_128.pdf","PDFを開く")</f>
        <v>PDFを開く</v>
      </c>
      <c r="Q185" s="9" t="s">
        <v>368</v>
      </c>
    </row>
    <row r="186" spans="1:17" ht="62.1" customHeight="1">
      <c r="A186" s="2" t="s">
        <v>362</v>
      </c>
      <c r="B186" s="2" t="s">
        <v>73</v>
      </c>
      <c r="C186" s="8" t="s">
        <v>363</v>
      </c>
      <c r="D186" s="2">
        <v>1</v>
      </c>
      <c r="E186" s="8" t="s">
        <v>10156</v>
      </c>
      <c r="F186" s="2">
        <v>4</v>
      </c>
      <c r="G186" s="8" t="s">
        <v>8581</v>
      </c>
      <c r="H186" s="8" t="s">
        <v>8581</v>
      </c>
      <c r="I186" s="2">
        <v>50.4</v>
      </c>
      <c r="J186" s="2">
        <v>400.32</v>
      </c>
      <c r="K186" s="2">
        <v>369.96</v>
      </c>
      <c r="L186" s="2">
        <v>485.16</v>
      </c>
      <c r="M186" s="8"/>
      <c r="N186" s="8" t="s">
        <v>10159</v>
      </c>
      <c r="O186" s="8" t="s">
        <v>366</v>
      </c>
      <c r="P186" s="8" t="str">
        <f>HYPERLINK("https://seichotoushi-hojo.jp/assets/pdf/koufu/outline_128.pdf","PDFを開く")</f>
        <v>PDFを開く</v>
      </c>
      <c r="Q186" s="8" t="s">
        <v>368</v>
      </c>
    </row>
    <row r="187" spans="1:17" ht="62.1" customHeight="1">
      <c r="A187" s="5" t="s">
        <v>369</v>
      </c>
      <c r="B187" s="5" t="s">
        <v>73</v>
      </c>
      <c r="C187" s="9" t="s">
        <v>370</v>
      </c>
      <c r="D187" s="5">
        <v>1</v>
      </c>
      <c r="E187" s="9" t="s">
        <v>10156</v>
      </c>
      <c r="F187" s="5">
        <v>1</v>
      </c>
      <c r="G187" s="9" t="s">
        <v>10157</v>
      </c>
      <c r="H187" s="9" t="s">
        <v>10157</v>
      </c>
      <c r="I187" s="5">
        <v>40.22</v>
      </c>
      <c r="J187" s="5">
        <v>96.94</v>
      </c>
      <c r="K187" s="5">
        <v>739.78</v>
      </c>
      <c r="L187" s="5">
        <v>165.34</v>
      </c>
      <c r="M187" s="9"/>
      <c r="N187" s="9" t="s">
        <v>10159</v>
      </c>
      <c r="O187" s="9" t="s">
        <v>7589</v>
      </c>
      <c r="P187" s="9" t="str">
        <f t="shared" ref="P187:P193" si="10">HYPERLINK("https://seichotoushi-hojo.jp/assets/pdf/koufu/outline_129.pdf","PDFを開く")</f>
        <v>PDFを開く</v>
      </c>
      <c r="Q187" s="9" t="s">
        <v>377</v>
      </c>
    </row>
    <row r="188" spans="1:17" ht="62.1" customHeight="1">
      <c r="A188" s="2" t="s">
        <v>369</v>
      </c>
      <c r="B188" s="2" t="s">
        <v>73</v>
      </c>
      <c r="C188" s="8" t="s">
        <v>370</v>
      </c>
      <c r="D188" s="2">
        <v>1</v>
      </c>
      <c r="E188" s="8" t="s">
        <v>10156</v>
      </c>
      <c r="F188" s="2">
        <v>2</v>
      </c>
      <c r="G188" s="8" t="s">
        <v>9578</v>
      </c>
      <c r="H188" s="8" t="s">
        <v>9578</v>
      </c>
      <c r="I188" s="2">
        <v>39.659999999999997</v>
      </c>
      <c r="J188" s="2">
        <v>167.86</v>
      </c>
      <c r="K188" s="2">
        <v>378.78</v>
      </c>
      <c r="L188" s="2">
        <v>513.51</v>
      </c>
      <c r="M188" s="8"/>
      <c r="N188" s="8" t="s">
        <v>10159</v>
      </c>
      <c r="O188" s="8" t="s">
        <v>7590</v>
      </c>
      <c r="P188" s="8" t="str">
        <f t="shared" si="10"/>
        <v>PDFを開く</v>
      </c>
      <c r="Q188" s="8" t="s">
        <v>377</v>
      </c>
    </row>
    <row r="189" spans="1:17" ht="62.1" customHeight="1">
      <c r="A189" s="5" t="s">
        <v>369</v>
      </c>
      <c r="B189" s="5" t="s">
        <v>73</v>
      </c>
      <c r="C189" s="9" t="s">
        <v>370</v>
      </c>
      <c r="D189" s="5">
        <v>1</v>
      </c>
      <c r="E189" s="9" t="s">
        <v>10156</v>
      </c>
      <c r="F189" s="5">
        <v>3</v>
      </c>
      <c r="G189" s="9" t="s">
        <v>10162</v>
      </c>
      <c r="H189" s="9" t="s">
        <v>10162</v>
      </c>
      <c r="I189" s="5">
        <v>396.3</v>
      </c>
      <c r="J189" s="5">
        <v>170.15</v>
      </c>
      <c r="K189" s="5">
        <v>739.78</v>
      </c>
      <c r="L189" s="5">
        <v>336.42</v>
      </c>
      <c r="M189" s="9"/>
      <c r="N189" s="9" t="s">
        <v>10159</v>
      </c>
      <c r="O189" s="9" t="s">
        <v>7591</v>
      </c>
      <c r="P189" s="9" t="str">
        <f t="shared" si="10"/>
        <v>PDFを開く</v>
      </c>
      <c r="Q189" s="9" t="s">
        <v>377</v>
      </c>
    </row>
    <row r="190" spans="1:17" ht="62.1" customHeight="1">
      <c r="A190" s="2" t="s">
        <v>369</v>
      </c>
      <c r="B190" s="2" t="s">
        <v>73</v>
      </c>
      <c r="C190" s="8" t="s">
        <v>370</v>
      </c>
      <c r="D190" s="2">
        <v>1</v>
      </c>
      <c r="E190" s="8" t="s">
        <v>10156</v>
      </c>
      <c r="F190" s="2">
        <v>4</v>
      </c>
      <c r="G190" s="8" t="s">
        <v>10163</v>
      </c>
      <c r="H190" s="8" t="s">
        <v>10163</v>
      </c>
      <c r="I190" s="2">
        <v>396.3</v>
      </c>
      <c r="J190" s="2">
        <v>341.42</v>
      </c>
      <c r="K190" s="2">
        <v>739.78</v>
      </c>
      <c r="L190" s="2">
        <v>513.51</v>
      </c>
      <c r="M190" s="8"/>
      <c r="N190" s="8" t="s">
        <v>10159</v>
      </c>
      <c r="O190" s="8" t="s">
        <v>7592</v>
      </c>
      <c r="P190" s="8" t="str">
        <f t="shared" si="10"/>
        <v>PDFを開く</v>
      </c>
      <c r="Q190" s="8" t="s">
        <v>377</v>
      </c>
    </row>
    <row r="191" spans="1:17" ht="62.1" customHeight="1">
      <c r="A191" s="5" t="s">
        <v>369</v>
      </c>
      <c r="B191" s="5" t="s">
        <v>73</v>
      </c>
      <c r="C191" s="9" t="s">
        <v>370</v>
      </c>
      <c r="D191" s="5">
        <v>1</v>
      </c>
      <c r="E191" s="9" t="s">
        <v>10156</v>
      </c>
      <c r="F191" s="5">
        <v>5</v>
      </c>
      <c r="G191" s="9" t="s">
        <v>8581</v>
      </c>
      <c r="H191" s="9" t="s">
        <v>8581</v>
      </c>
      <c r="I191" s="5">
        <v>49.38</v>
      </c>
      <c r="J191" s="5">
        <v>405.51</v>
      </c>
      <c r="K191" s="5">
        <v>368.88</v>
      </c>
      <c r="L191" s="5">
        <v>503.37</v>
      </c>
      <c r="M191" s="9"/>
      <c r="N191" s="9" t="s">
        <v>10159</v>
      </c>
      <c r="O191" s="9" t="s">
        <v>374</v>
      </c>
      <c r="P191" s="9" t="str">
        <f t="shared" si="10"/>
        <v>PDFを開く</v>
      </c>
      <c r="Q191" s="9" t="s">
        <v>377</v>
      </c>
    </row>
    <row r="192" spans="1:17" ht="62.1" customHeight="1">
      <c r="A192" s="2" t="s">
        <v>369</v>
      </c>
      <c r="B192" s="2" t="s">
        <v>73</v>
      </c>
      <c r="C192" s="8" t="s">
        <v>370</v>
      </c>
      <c r="D192" s="2">
        <v>2</v>
      </c>
      <c r="E192" s="8" t="s">
        <v>10165</v>
      </c>
      <c r="F192" s="2">
        <v>1</v>
      </c>
      <c r="G192" s="8" t="s">
        <v>10167</v>
      </c>
      <c r="H192" s="8" t="s">
        <v>10248</v>
      </c>
      <c r="I192" s="2">
        <v>40.22</v>
      </c>
      <c r="J192" s="2">
        <v>99.48</v>
      </c>
      <c r="K192" s="2">
        <v>739.78</v>
      </c>
      <c r="L192" s="2">
        <v>138.62</v>
      </c>
      <c r="M192" s="8"/>
      <c r="N192" s="8" t="s">
        <v>10159</v>
      </c>
      <c r="O192" s="8" t="s">
        <v>10249</v>
      </c>
      <c r="P192" s="8" t="str">
        <f t="shared" si="10"/>
        <v>PDFを開く</v>
      </c>
      <c r="Q192" s="8" t="s">
        <v>377</v>
      </c>
    </row>
    <row r="193" spans="1:17" ht="62.1" customHeight="1">
      <c r="A193" s="5" t="s">
        <v>369</v>
      </c>
      <c r="B193" s="5" t="s">
        <v>73</v>
      </c>
      <c r="C193" s="9" t="s">
        <v>370</v>
      </c>
      <c r="D193" s="5">
        <v>2</v>
      </c>
      <c r="E193" s="9" t="s">
        <v>10165</v>
      </c>
      <c r="F193" s="5">
        <v>2</v>
      </c>
      <c r="G193" s="9" t="s">
        <v>10167</v>
      </c>
      <c r="H193" s="9" t="s">
        <v>10250</v>
      </c>
      <c r="I193" s="5">
        <v>125.22</v>
      </c>
      <c r="J193" s="5">
        <v>339.99</v>
      </c>
      <c r="K193" s="5">
        <v>410.38</v>
      </c>
      <c r="L193" s="5">
        <v>382.88</v>
      </c>
      <c r="M193" s="9"/>
      <c r="N193" s="9" t="s">
        <v>10159</v>
      </c>
      <c r="O193" s="9" t="s">
        <v>10251</v>
      </c>
      <c r="P193" s="9" t="str">
        <f t="shared" si="10"/>
        <v>PDFを開く</v>
      </c>
      <c r="Q193" s="9" t="s">
        <v>377</v>
      </c>
    </row>
    <row r="194" spans="1:17" ht="62.1" customHeight="1">
      <c r="A194" s="2" t="s">
        <v>378</v>
      </c>
      <c r="B194" s="2" t="s">
        <v>73</v>
      </c>
      <c r="C194" s="8" t="s">
        <v>379</v>
      </c>
      <c r="D194" s="2">
        <v>1</v>
      </c>
      <c r="E194" s="8" t="s">
        <v>10156</v>
      </c>
      <c r="F194" s="2">
        <v>1</v>
      </c>
      <c r="G194" s="8" t="s">
        <v>8581</v>
      </c>
      <c r="H194" s="8" t="s">
        <v>8581</v>
      </c>
      <c r="I194" s="2">
        <v>436.44</v>
      </c>
      <c r="J194" s="2">
        <v>114.12</v>
      </c>
      <c r="K194" s="2">
        <v>805.8</v>
      </c>
      <c r="L194" s="2">
        <v>186.6</v>
      </c>
      <c r="M194" s="8"/>
      <c r="N194" s="8" t="s">
        <v>10159</v>
      </c>
      <c r="O194" s="8" t="s">
        <v>7600</v>
      </c>
      <c r="P194" s="8" t="str">
        <f>HYPERLINK("https://seichotoushi-hojo.jp/assets/pdf/koufu/outline_13.pdf","PDFを開く")</f>
        <v>PDFを開く</v>
      </c>
      <c r="Q194" s="8" t="s">
        <v>385</v>
      </c>
    </row>
    <row r="195" spans="1:17" ht="62.1" customHeight="1">
      <c r="A195" s="5" t="s">
        <v>378</v>
      </c>
      <c r="B195" s="5" t="s">
        <v>73</v>
      </c>
      <c r="C195" s="9" t="s">
        <v>379</v>
      </c>
      <c r="D195" s="5">
        <v>1</v>
      </c>
      <c r="E195" s="9" t="s">
        <v>10156</v>
      </c>
      <c r="F195" s="5">
        <v>2</v>
      </c>
      <c r="G195" s="9" t="s">
        <v>9578</v>
      </c>
      <c r="H195" s="9" t="s">
        <v>9578</v>
      </c>
      <c r="I195" s="5">
        <v>35.4</v>
      </c>
      <c r="J195" s="5">
        <v>116.16</v>
      </c>
      <c r="K195" s="5">
        <v>405.6</v>
      </c>
      <c r="L195" s="5">
        <v>566.04</v>
      </c>
      <c r="M195" s="9"/>
      <c r="N195" s="9" t="s">
        <v>10159</v>
      </c>
      <c r="O195" s="9" t="s">
        <v>7597</v>
      </c>
      <c r="P195" s="9" t="str">
        <f>HYPERLINK("https://seichotoushi-hojo.jp/assets/pdf/koufu/outline_13.pdf","PDFを開く")</f>
        <v>PDFを開く</v>
      </c>
      <c r="Q195" s="9" t="s">
        <v>385</v>
      </c>
    </row>
    <row r="196" spans="1:17" ht="62.1" customHeight="1">
      <c r="A196" s="2" t="s">
        <v>378</v>
      </c>
      <c r="B196" s="2" t="s">
        <v>73</v>
      </c>
      <c r="C196" s="8" t="s">
        <v>379</v>
      </c>
      <c r="D196" s="2">
        <v>1</v>
      </c>
      <c r="E196" s="8" t="s">
        <v>10156</v>
      </c>
      <c r="F196" s="2">
        <v>3</v>
      </c>
      <c r="G196" s="8" t="s">
        <v>10162</v>
      </c>
      <c r="H196" s="8" t="s">
        <v>10162</v>
      </c>
      <c r="I196" s="2">
        <v>437.28</v>
      </c>
      <c r="J196" s="2">
        <v>186.6</v>
      </c>
      <c r="K196" s="2">
        <v>806.64</v>
      </c>
      <c r="L196" s="2">
        <v>356.04</v>
      </c>
      <c r="M196" s="8"/>
      <c r="N196" s="8" t="s">
        <v>10159</v>
      </c>
      <c r="O196" s="8" t="s">
        <v>7598</v>
      </c>
      <c r="P196" s="8" t="str">
        <f>HYPERLINK("https://seichotoushi-hojo.jp/assets/pdf/koufu/outline_13.pdf","PDFを開く")</f>
        <v>PDFを開く</v>
      </c>
      <c r="Q196" s="8" t="s">
        <v>385</v>
      </c>
    </row>
    <row r="197" spans="1:17" ht="62.1" customHeight="1">
      <c r="A197" s="5" t="s">
        <v>378</v>
      </c>
      <c r="B197" s="5" t="s">
        <v>73</v>
      </c>
      <c r="C197" s="9" t="s">
        <v>379</v>
      </c>
      <c r="D197" s="5">
        <v>1</v>
      </c>
      <c r="E197" s="9" t="s">
        <v>10156</v>
      </c>
      <c r="F197" s="5">
        <v>4</v>
      </c>
      <c r="G197" s="9" t="s">
        <v>10163</v>
      </c>
      <c r="H197" s="9" t="s">
        <v>10163</v>
      </c>
      <c r="I197" s="5">
        <v>437.28</v>
      </c>
      <c r="J197" s="5">
        <v>359.52</v>
      </c>
      <c r="K197" s="5">
        <v>806.64</v>
      </c>
      <c r="L197" s="5">
        <v>566.04</v>
      </c>
      <c r="M197" s="9"/>
      <c r="N197" s="9" t="s">
        <v>10159</v>
      </c>
      <c r="O197" s="9" t="s">
        <v>7599</v>
      </c>
      <c r="P197" s="9" t="str">
        <f>HYPERLINK("https://seichotoushi-hojo.jp/assets/pdf/koufu/outline_13.pdf","PDFを開く")</f>
        <v>PDFを開く</v>
      </c>
      <c r="Q197" s="9" t="s">
        <v>385</v>
      </c>
    </row>
    <row r="198" spans="1:17" ht="62.1" customHeight="1">
      <c r="A198" s="2" t="s">
        <v>378</v>
      </c>
      <c r="B198" s="2" t="s">
        <v>73</v>
      </c>
      <c r="C198" s="8" t="s">
        <v>379</v>
      </c>
      <c r="D198" s="2">
        <v>2</v>
      </c>
      <c r="E198" s="8" t="s">
        <v>10165</v>
      </c>
      <c r="F198" s="2">
        <v>1</v>
      </c>
      <c r="G198" s="8" t="s">
        <v>10167</v>
      </c>
      <c r="H198" s="8" t="s">
        <v>10252</v>
      </c>
      <c r="I198" s="2">
        <v>109.29</v>
      </c>
      <c r="J198" s="2">
        <v>99.87</v>
      </c>
      <c r="K198" s="2">
        <v>579.21</v>
      </c>
      <c r="L198" s="2">
        <v>250.65</v>
      </c>
      <c r="M198" s="8"/>
      <c r="N198" s="8" t="s">
        <v>10159</v>
      </c>
      <c r="O198" s="8" t="s">
        <v>10253</v>
      </c>
      <c r="P198" s="8" t="str">
        <f>HYPERLINK("https://seichotoushi-hojo.jp/assets/pdf/koufu/outline_13.pdf","PDFを開く")</f>
        <v>PDFを開く</v>
      </c>
      <c r="Q198" s="8" t="s">
        <v>385</v>
      </c>
    </row>
    <row r="199" spans="1:17" ht="62.1" customHeight="1">
      <c r="A199" s="5" t="s">
        <v>386</v>
      </c>
      <c r="B199" s="5" t="s">
        <v>73</v>
      </c>
      <c r="C199" s="9" t="s">
        <v>387</v>
      </c>
      <c r="D199" s="5">
        <v>1</v>
      </c>
      <c r="E199" s="9" t="s">
        <v>10156</v>
      </c>
      <c r="F199" s="5">
        <v>1</v>
      </c>
      <c r="G199" s="9" t="s">
        <v>9578</v>
      </c>
      <c r="H199" s="9" t="s">
        <v>9578</v>
      </c>
      <c r="I199" s="5">
        <v>39.659999999999997</v>
      </c>
      <c r="J199" s="5">
        <v>104.65</v>
      </c>
      <c r="K199" s="5">
        <v>378.79</v>
      </c>
      <c r="L199" s="5">
        <v>534.14</v>
      </c>
      <c r="M199" s="9"/>
      <c r="N199" s="9" t="s">
        <v>10159</v>
      </c>
      <c r="O199" s="9" t="s">
        <v>7605</v>
      </c>
      <c r="P199" s="9" t="str">
        <f>HYPERLINK("https://seichotoushi-hojo.jp/assets/pdf/koufu/outline_130.pdf","PDFを開く")</f>
        <v>PDFを開く</v>
      </c>
      <c r="Q199" s="9" t="s">
        <v>394</v>
      </c>
    </row>
    <row r="200" spans="1:17" ht="62.1" customHeight="1">
      <c r="A200" s="2" t="s">
        <v>386</v>
      </c>
      <c r="B200" s="2" t="s">
        <v>73</v>
      </c>
      <c r="C200" s="8" t="s">
        <v>387</v>
      </c>
      <c r="D200" s="2">
        <v>1</v>
      </c>
      <c r="E200" s="8" t="s">
        <v>10156</v>
      </c>
      <c r="F200" s="2">
        <v>2</v>
      </c>
      <c r="G200" s="8" t="s">
        <v>10162</v>
      </c>
      <c r="H200" s="8" t="s">
        <v>10162</v>
      </c>
      <c r="I200" s="2">
        <v>396.3</v>
      </c>
      <c r="J200" s="2">
        <v>104.65</v>
      </c>
      <c r="K200" s="2">
        <v>739.78</v>
      </c>
      <c r="L200" s="2">
        <v>290.51</v>
      </c>
      <c r="M200" s="8"/>
      <c r="N200" s="8" t="s">
        <v>10159</v>
      </c>
      <c r="O200" s="8" t="s">
        <v>7606</v>
      </c>
      <c r="P200" s="8" t="str">
        <f>HYPERLINK("https://seichotoushi-hojo.jp/assets/pdf/koufu/outline_130.pdf","PDFを開く")</f>
        <v>PDFを開く</v>
      </c>
      <c r="Q200" s="8" t="s">
        <v>394</v>
      </c>
    </row>
    <row r="201" spans="1:17" ht="62.1" customHeight="1">
      <c r="A201" s="5" t="s">
        <v>386</v>
      </c>
      <c r="B201" s="5" t="s">
        <v>73</v>
      </c>
      <c r="C201" s="9" t="s">
        <v>387</v>
      </c>
      <c r="D201" s="5">
        <v>1</v>
      </c>
      <c r="E201" s="9" t="s">
        <v>10156</v>
      </c>
      <c r="F201" s="5">
        <v>3</v>
      </c>
      <c r="G201" s="9" t="s">
        <v>10163</v>
      </c>
      <c r="H201" s="9" t="s">
        <v>10163</v>
      </c>
      <c r="I201" s="5">
        <v>395.53</v>
      </c>
      <c r="J201" s="5">
        <v>297.63</v>
      </c>
      <c r="K201" s="5">
        <v>739.01</v>
      </c>
      <c r="L201" s="5">
        <v>534.14</v>
      </c>
      <c r="M201" s="9"/>
      <c r="N201" s="9" t="s">
        <v>10159</v>
      </c>
      <c r="O201" s="9" t="s">
        <v>7607</v>
      </c>
      <c r="P201" s="9" t="str">
        <f>HYPERLINK("https://seichotoushi-hojo.jp/assets/pdf/koufu/outline_130.pdf","PDFを開く")</f>
        <v>PDFを開く</v>
      </c>
      <c r="Q201" s="9" t="s">
        <v>394</v>
      </c>
    </row>
    <row r="202" spans="1:17" ht="62.1" customHeight="1">
      <c r="A202" s="2" t="s">
        <v>386</v>
      </c>
      <c r="B202" s="2" t="s">
        <v>73</v>
      </c>
      <c r="C202" s="8" t="s">
        <v>387</v>
      </c>
      <c r="D202" s="2">
        <v>1</v>
      </c>
      <c r="E202" s="8" t="s">
        <v>10156</v>
      </c>
      <c r="F202" s="2">
        <v>4</v>
      </c>
      <c r="G202" s="8" t="s">
        <v>8581</v>
      </c>
      <c r="H202" s="8" t="s">
        <v>8581</v>
      </c>
      <c r="I202" s="2">
        <v>49.47</v>
      </c>
      <c r="J202" s="2">
        <v>412</v>
      </c>
      <c r="K202" s="2">
        <v>368.97</v>
      </c>
      <c r="L202" s="2">
        <v>527.77</v>
      </c>
      <c r="M202" s="8"/>
      <c r="N202" s="8" t="s">
        <v>10159</v>
      </c>
      <c r="O202" s="8" t="s">
        <v>391</v>
      </c>
      <c r="P202" s="8" t="str">
        <f>HYPERLINK("https://seichotoushi-hojo.jp/assets/pdf/koufu/outline_130.pdf","PDFを開く")</f>
        <v>PDFを開く</v>
      </c>
      <c r="Q202" s="8" t="s">
        <v>394</v>
      </c>
    </row>
    <row r="203" spans="1:17" ht="62.1" customHeight="1">
      <c r="A203" s="5" t="s">
        <v>395</v>
      </c>
      <c r="B203" s="5" t="s">
        <v>73</v>
      </c>
      <c r="C203" s="9" t="s">
        <v>396</v>
      </c>
      <c r="D203" s="5">
        <v>1</v>
      </c>
      <c r="E203" s="9" t="s">
        <v>10156</v>
      </c>
      <c r="F203" s="5">
        <v>1</v>
      </c>
      <c r="G203" s="9" t="s">
        <v>10162</v>
      </c>
      <c r="H203" s="9" t="s">
        <v>10162</v>
      </c>
      <c r="I203" s="5">
        <v>390.21</v>
      </c>
      <c r="J203" s="5">
        <v>95.92</v>
      </c>
      <c r="K203" s="5">
        <v>773.76</v>
      </c>
      <c r="L203" s="5">
        <v>347.5</v>
      </c>
      <c r="M203" s="9"/>
      <c r="N203" s="9" t="s">
        <v>10159</v>
      </c>
      <c r="O203" s="9" t="s">
        <v>7613</v>
      </c>
      <c r="P203" s="9" t="str">
        <f>HYPERLINK("https://seichotoushi-hojo.jp/assets/pdf/koufu/outline_131.pdf","PDFを開く")</f>
        <v>PDFを開く</v>
      </c>
      <c r="Q203" s="9" t="s">
        <v>403</v>
      </c>
    </row>
    <row r="204" spans="1:17" ht="62.1" customHeight="1">
      <c r="A204" s="2" t="s">
        <v>395</v>
      </c>
      <c r="B204" s="2" t="s">
        <v>73</v>
      </c>
      <c r="C204" s="8" t="s">
        <v>396</v>
      </c>
      <c r="D204" s="2">
        <v>1</v>
      </c>
      <c r="E204" s="8" t="s">
        <v>10156</v>
      </c>
      <c r="F204" s="2">
        <v>2</v>
      </c>
      <c r="G204" s="8" t="s">
        <v>9578</v>
      </c>
      <c r="H204" s="8" t="s">
        <v>9578</v>
      </c>
      <c r="I204" s="2">
        <v>1.92</v>
      </c>
      <c r="J204" s="2">
        <v>95.93</v>
      </c>
      <c r="K204" s="2">
        <v>383.51</v>
      </c>
      <c r="L204" s="2">
        <v>536.09</v>
      </c>
      <c r="M204" s="8"/>
      <c r="N204" s="8" t="s">
        <v>10159</v>
      </c>
      <c r="O204" s="8" t="s">
        <v>7612</v>
      </c>
      <c r="P204" s="8" t="str">
        <f>HYPERLINK("https://seichotoushi-hojo.jp/assets/pdf/koufu/outline_131.pdf","PDFを開く")</f>
        <v>PDFを開く</v>
      </c>
      <c r="Q204" s="8" t="s">
        <v>403</v>
      </c>
    </row>
    <row r="205" spans="1:17" ht="62.1" customHeight="1">
      <c r="A205" s="5" t="s">
        <v>395</v>
      </c>
      <c r="B205" s="5" t="s">
        <v>73</v>
      </c>
      <c r="C205" s="9" t="s">
        <v>396</v>
      </c>
      <c r="D205" s="5">
        <v>1</v>
      </c>
      <c r="E205" s="9" t="s">
        <v>10156</v>
      </c>
      <c r="F205" s="5">
        <v>3</v>
      </c>
      <c r="G205" s="9" t="s">
        <v>10163</v>
      </c>
      <c r="H205" s="9" t="s">
        <v>10163</v>
      </c>
      <c r="I205" s="5">
        <v>390.21</v>
      </c>
      <c r="J205" s="5">
        <v>347.5</v>
      </c>
      <c r="K205" s="5">
        <v>773.76</v>
      </c>
      <c r="L205" s="5">
        <v>540</v>
      </c>
      <c r="M205" s="9"/>
      <c r="N205" s="9" t="s">
        <v>10159</v>
      </c>
      <c r="O205" s="9" t="s">
        <v>7614</v>
      </c>
      <c r="P205" s="9" t="str">
        <f>HYPERLINK("https://seichotoushi-hojo.jp/assets/pdf/koufu/outline_131.pdf","PDFを開く")</f>
        <v>PDFを開く</v>
      </c>
      <c r="Q205" s="9" t="s">
        <v>403</v>
      </c>
    </row>
    <row r="206" spans="1:17" ht="62.1" customHeight="1">
      <c r="A206" s="2" t="s">
        <v>395</v>
      </c>
      <c r="B206" s="2" t="s">
        <v>73</v>
      </c>
      <c r="C206" s="8" t="s">
        <v>396</v>
      </c>
      <c r="D206" s="2">
        <v>1</v>
      </c>
      <c r="E206" s="8" t="s">
        <v>10156</v>
      </c>
      <c r="F206" s="2">
        <v>4</v>
      </c>
      <c r="G206" s="8" t="s">
        <v>8581</v>
      </c>
      <c r="H206" s="8" t="s">
        <v>8581</v>
      </c>
      <c r="I206" s="2">
        <v>22.39</v>
      </c>
      <c r="J206" s="2">
        <v>483.62</v>
      </c>
      <c r="K206" s="2">
        <v>341.89</v>
      </c>
      <c r="L206" s="2">
        <v>533.11</v>
      </c>
      <c r="M206" s="8"/>
      <c r="N206" s="8" t="s">
        <v>10159</v>
      </c>
      <c r="O206" s="8" t="s">
        <v>401</v>
      </c>
      <c r="P206" s="8" t="str">
        <f>HYPERLINK("https://seichotoushi-hojo.jp/assets/pdf/koufu/outline_131.pdf","PDFを開く")</f>
        <v>PDFを開く</v>
      </c>
      <c r="Q206" s="8" t="s">
        <v>403</v>
      </c>
    </row>
    <row r="207" spans="1:17" ht="62.1" customHeight="1">
      <c r="A207" s="5" t="s">
        <v>404</v>
      </c>
      <c r="B207" s="5" t="s">
        <v>73</v>
      </c>
      <c r="C207" s="9" t="s">
        <v>405</v>
      </c>
      <c r="D207" s="5">
        <v>1</v>
      </c>
      <c r="E207" s="9" t="s">
        <v>10156</v>
      </c>
      <c r="F207" s="5">
        <v>1</v>
      </c>
      <c r="G207" s="9" t="s">
        <v>10167</v>
      </c>
      <c r="H207" s="9" t="s">
        <v>10254</v>
      </c>
      <c r="I207" s="5">
        <v>12.24</v>
      </c>
      <c r="J207" s="5">
        <v>98.16</v>
      </c>
      <c r="K207" s="5">
        <v>773.4</v>
      </c>
      <c r="L207" s="5">
        <v>196.08</v>
      </c>
      <c r="M207" s="9"/>
      <c r="N207" s="9" t="s">
        <v>10159</v>
      </c>
      <c r="O207" s="9" t="s">
        <v>10255</v>
      </c>
      <c r="P207" s="9" t="str">
        <f>HYPERLINK("https://seichotoushi-hojo.jp/assets/pdf/koufu/outline_132.pdf","PDFを開く")</f>
        <v>PDFを開く</v>
      </c>
      <c r="Q207" s="9" t="s">
        <v>411</v>
      </c>
    </row>
    <row r="208" spans="1:17" ht="62.1" customHeight="1">
      <c r="A208" s="2" t="s">
        <v>404</v>
      </c>
      <c r="B208" s="2" t="s">
        <v>73</v>
      </c>
      <c r="C208" s="8" t="s">
        <v>405</v>
      </c>
      <c r="D208" s="2">
        <v>1</v>
      </c>
      <c r="E208" s="8" t="s">
        <v>10156</v>
      </c>
      <c r="F208" s="2">
        <v>2</v>
      </c>
      <c r="G208" s="8" t="s">
        <v>9578</v>
      </c>
      <c r="H208" s="8" t="s">
        <v>9578</v>
      </c>
      <c r="I208" s="2">
        <v>12.24</v>
      </c>
      <c r="J208" s="2">
        <v>203.76</v>
      </c>
      <c r="K208" s="2">
        <v>383.52</v>
      </c>
      <c r="L208" s="2">
        <v>505.08</v>
      </c>
      <c r="M208" s="8"/>
      <c r="N208" s="8" t="s">
        <v>10159</v>
      </c>
      <c r="O208" s="8" t="s">
        <v>7619</v>
      </c>
      <c r="P208" s="8" t="str">
        <f>HYPERLINK("https://seichotoushi-hojo.jp/assets/pdf/koufu/outline_132.pdf","PDFを開く")</f>
        <v>PDFを開く</v>
      </c>
      <c r="Q208" s="8" t="s">
        <v>411</v>
      </c>
    </row>
    <row r="209" spans="1:17" ht="62.1" customHeight="1">
      <c r="A209" s="5" t="s">
        <v>404</v>
      </c>
      <c r="B209" s="5" t="s">
        <v>73</v>
      </c>
      <c r="C209" s="9" t="s">
        <v>405</v>
      </c>
      <c r="D209" s="5">
        <v>1</v>
      </c>
      <c r="E209" s="9" t="s">
        <v>10156</v>
      </c>
      <c r="F209" s="5">
        <v>3</v>
      </c>
      <c r="G209" s="9" t="s">
        <v>10162</v>
      </c>
      <c r="H209" s="9" t="s">
        <v>10162</v>
      </c>
      <c r="I209" s="5">
        <v>410.64</v>
      </c>
      <c r="J209" s="5">
        <v>203.76</v>
      </c>
      <c r="K209" s="5">
        <v>773.4</v>
      </c>
      <c r="L209" s="5">
        <v>351.6</v>
      </c>
      <c r="M209" s="9"/>
      <c r="N209" s="9" t="s">
        <v>10159</v>
      </c>
      <c r="O209" s="9" t="s">
        <v>7620</v>
      </c>
      <c r="P209" s="9" t="str">
        <f>HYPERLINK("https://seichotoushi-hojo.jp/assets/pdf/koufu/outline_132.pdf","PDFを開く")</f>
        <v>PDFを開く</v>
      </c>
      <c r="Q209" s="9" t="s">
        <v>411</v>
      </c>
    </row>
    <row r="210" spans="1:17" ht="62.1" customHeight="1">
      <c r="A210" s="2" t="s">
        <v>404</v>
      </c>
      <c r="B210" s="2" t="s">
        <v>73</v>
      </c>
      <c r="C210" s="8" t="s">
        <v>405</v>
      </c>
      <c r="D210" s="2">
        <v>1</v>
      </c>
      <c r="E210" s="8" t="s">
        <v>10156</v>
      </c>
      <c r="F210" s="2">
        <v>4</v>
      </c>
      <c r="G210" s="8" t="s">
        <v>10163</v>
      </c>
      <c r="H210" s="8" t="s">
        <v>10163</v>
      </c>
      <c r="I210" s="2">
        <v>409.92</v>
      </c>
      <c r="J210" s="2">
        <v>362.88</v>
      </c>
      <c r="K210" s="2">
        <v>773.4</v>
      </c>
      <c r="L210" s="2">
        <v>505.08</v>
      </c>
      <c r="M210" s="8"/>
      <c r="N210" s="8" t="s">
        <v>10159</v>
      </c>
      <c r="O210" s="8" t="s">
        <v>7621</v>
      </c>
      <c r="P210" s="8" t="str">
        <f>HYPERLINK("https://seichotoushi-hojo.jp/assets/pdf/koufu/outline_132.pdf","PDFを開く")</f>
        <v>PDFを開く</v>
      </c>
      <c r="Q210" s="8" t="s">
        <v>411</v>
      </c>
    </row>
    <row r="211" spans="1:17" ht="62.1" customHeight="1">
      <c r="A211" s="5" t="s">
        <v>404</v>
      </c>
      <c r="B211" s="5" t="s">
        <v>73</v>
      </c>
      <c r="C211" s="9" t="s">
        <v>405</v>
      </c>
      <c r="D211" s="5">
        <v>1</v>
      </c>
      <c r="E211" s="9" t="s">
        <v>10156</v>
      </c>
      <c r="F211" s="5">
        <v>5</v>
      </c>
      <c r="G211" s="9" t="s">
        <v>8581</v>
      </c>
      <c r="H211" s="9" t="s">
        <v>8581</v>
      </c>
      <c r="I211" s="5">
        <v>34.200000000000003</v>
      </c>
      <c r="J211" s="5">
        <v>441.36</v>
      </c>
      <c r="K211" s="5">
        <v>353.64</v>
      </c>
      <c r="L211" s="5">
        <v>494.88</v>
      </c>
      <c r="M211" s="9"/>
      <c r="N211" s="9" t="s">
        <v>10159</v>
      </c>
      <c r="O211" s="9" t="s">
        <v>409</v>
      </c>
      <c r="P211" s="9" t="str">
        <f>HYPERLINK("https://seichotoushi-hojo.jp/assets/pdf/koufu/outline_132.pdf","PDFを開く")</f>
        <v>PDFを開く</v>
      </c>
      <c r="Q211" s="9" t="s">
        <v>411</v>
      </c>
    </row>
    <row r="212" spans="1:17" ht="62.1" customHeight="1">
      <c r="A212" s="2" t="s">
        <v>412</v>
      </c>
      <c r="B212" s="2" t="s">
        <v>73</v>
      </c>
      <c r="C212" s="8" t="s">
        <v>413</v>
      </c>
      <c r="D212" s="2">
        <v>1</v>
      </c>
      <c r="E212" s="8" t="s">
        <v>10156</v>
      </c>
      <c r="F212" s="2">
        <v>1</v>
      </c>
      <c r="G212" s="8" t="s">
        <v>9578</v>
      </c>
      <c r="H212" s="8" t="s">
        <v>9578</v>
      </c>
      <c r="I212" s="2">
        <v>36.72</v>
      </c>
      <c r="J212" s="2">
        <v>123.24</v>
      </c>
      <c r="K212" s="2">
        <v>402.84</v>
      </c>
      <c r="L212" s="2">
        <v>562.91999999999996</v>
      </c>
      <c r="M212" s="8"/>
      <c r="N212" s="8" t="s">
        <v>10159</v>
      </c>
      <c r="O212" s="8" t="s">
        <v>7626</v>
      </c>
      <c r="P212" s="8" t="str">
        <f>HYPERLINK("https://seichotoushi-hojo.jp/assets/pdf/koufu/outline_134.pdf","PDFを開く")</f>
        <v>PDFを開く</v>
      </c>
      <c r="Q212" s="8" t="s">
        <v>422</v>
      </c>
    </row>
    <row r="213" spans="1:17" ht="62.1" customHeight="1">
      <c r="A213" s="5" t="s">
        <v>412</v>
      </c>
      <c r="B213" s="5" t="s">
        <v>73</v>
      </c>
      <c r="C213" s="9" t="s">
        <v>413</v>
      </c>
      <c r="D213" s="5">
        <v>1</v>
      </c>
      <c r="E213" s="9" t="s">
        <v>10156</v>
      </c>
      <c r="F213" s="5">
        <v>2</v>
      </c>
      <c r="G213" s="9" t="s">
        <v>10162</v>
      </c>
      <c r="H213" s="9" t="s">
        <v>10162</v>
      </c>
      <c r="I213" s="5">
        <v>431.64</v>
      </c>
      <c r="J213" s="5">
        <v>125.04</v>
      </c>
      <c r="K213" s="5">
        <v>802.32</v>
      </c>
      <c r="L213" s="5">
        <v>347.64</v>
      </c>
      <c r="M213" s="9"/>
      <c r="N213" s="9" t="s">
        <v>10159</v>
      </c>
      <c r="O213" s="9" t="s">
        <v>7627</v>
      </c>
      <c r="P213" s="9" t="str">
        <f>HYPERLINK("https://seichotoushi-hojo.jp/assets/pdf/koufu/outline_134.pdf","PDFを開く")</f>
        <v>PDFを開く</v>
      </c>
      <c r="Q213" s="9" t="s">
        <v>422</v>
      </c>
    </row>
    <row r="214" spans="1:17" ht="62.1" customHeight="1">
      <c r="A214" s="2" t="s">
        <v>412</v>
      </c>
      <c r="B214" s="2" t="s">
        <v>73</v>
      </c>
      <c r="C214" s="8" t="s">
        <v>413</v>
      </c>
      <c r="D214" s="2">
        <v>1</v>
      </c>
      <c r="E214" s="8" t="s">
        <v>10156</v>
      </c>
      <c r="F214" s="2">
        <v>3</v>
      </c>
      <c r="G214" s="8" t="s">
        <v>10163</v>
      </c>
      <c r="H214" s="8" t="s">
        <v>10163</v>
      </c>
      <c r="I214" s="2">
        <v>431.64</v>
      </c>
      <c r="J214" s="2">
        <v>352.44</v>
      </c>
      <c r="K214" s="2">
        <v>802.32</v>
      </c>
      <c r="L214" s="2">
        <v>562.32000000000005</v>
      </c>
      <c r="M214" s="8"/>
      <c r="N214" s="8" t="s">
        <v>10159</v>
      </c>
      <c r="O214" s="8" t="s">
        <v>7628</v>
      </c>
      <c r="P214" s="8" t="str">
        <f>HYPERLINK("https://seichotoushi-hojo.jp/assets/pdf/koufu/outline_134.pdf","PDFを開く")</f>
        <v>PDFを開く</v>
      </c>
      <c r="Q214" s="8" t="s">
        <v>422</v>
      </c>
    </row>
    <row r="215" spans="1:17" ht="62.1" customHeight="1">
      <c r="A215" s="5" t="s">
        <v>412</v>
      </c>
      <c r="B215" s="5" t="s">
        <v>73</v>
      </c>
      <c r="C215" s="9" t="s">
        <v>413</v>
      </c>
      <c r="D215" s="5">
        <v>1</v>
      </c>
      <c r="E215" s="9" t="s">
        <v>10156</v>
      </c>
      <c r="F215" s="5">
        <v>4</v>
      </c>
      <c r="G215" s="9" t="s">
        <v>8581</v>
      </c>
      <c r="H215" s="9" t="s">
        <v>8581</v>
      </c>
      <c r="I215" s="5">
        <v>45.72</v>
      </c>
      <c r="J215" s="5">
        <v>422.76</v>
      </c>
      <c r="K215" s="5">
        <v>390.6</v>
      </c>
      <c r="L215" s="5">
        <v>552.72</v>
      </c>
      <c r="M215" s="9"/>
      <c r="N215" s="9" t="s">
        <v>10159</v>
      </c>
      <c r="O215" s="9" t="s">
        <v>419</v>
      </c>
      <c r="P215" s="9" t="str">
        <f>HYPERLINK("https://seichotoushi-hojo.jp/assets/pdf/koufu/outline_134.pdf","PDFを開く")</f>
        <v>PDFを開く</v>
      </c>
      <c r="Q215" s="9" t="s">
        <v>422</v>
      </c>
    </row>
    <row r="216" spans="1:17" ht="62.1" customHeight="1">
      <c r="A216" s="2" t="s">
        <v>412</v>
      </c>
      <c r="B216" s="2" t="s">
        <v>73</v>
      </c>
      <c r="C216" s="8" t="s">
        <v>413</v>
      </c>
      <c r="D216" s="2">
        <v>2</v>
      </c>
      <c r="E216" s="8" t="s">
        <v>10165</v>
      </c>
      <c r="F216" s="2">
        <v>1</v>
      </c>
      <c r="G216" s="8" t="s">
        <v>10184</v>
      </c>
      <c r="H216" s="8" t="s">
        <v>10184</v>
      </c>
      <c r="I216" s="2">
        <v>138.35</v>
      </c>
      <c r="J216" s="2">
        <v>183.36</v>
      </c>
      <c r="K216" s="2">
        <v>433.59</v>
      </c>
      <c r="L216" s="2">
        <v>398.68</v>
      </c>
      <c r="M216" s="8"/>
      <c r="N216" s="8" t="s">
        <v>10181</v>
      </c>
      <c r="O216" s="8" t="s">
        <v>10256</v>
      </c>
      <c r="P216" s="8" t="str">
        <f>HYPERLINK("https://seichotoushi-hojo.jp/assets/pdf/koufu/outline_134.pdf","PDFを開く")</f>
        <v>PDFを開く</v>
      </c>
      <c r="Q216" s="8" t="s">
        <v>422</v>
      </c>
    </row>
    <row r="217" spans="1:17" ht="62.1" customHeight="1">
      <c r="A217" s="5" t="s">
        <v>423</v>
      </c>
      <c r="B217" s="5" t="s">
        <v>73</v>
      </c>
      <c r="C217" s="9" t="s">
        <v>424</v>
      </c>
      <c r="D217" s="5">
        <v>1</v>
      </c>
      <c r="E217" s="9" t="s">
        <v>10156</v>
      </c>
      <c r="F217" s="5">
        <v>1</v>
      </c>
      <c r="G217" s="9" t="s">
        <v>10162</v>
      </c>
      <c r="H217" s="9" t="s">
        <v>10162</v>
      </c>
      <c r="I217" s="5">
        <v>402.72</v>
      </c>
      <c r="J217" s="5">
        <v>94.68</v>
      </c>
      <c r="K217" s="5">
        <v>746.16</v>
      </c>
      <c r="L217" s="5">
        <v>277.2</v>
      </c>
      <c r="M217" s="9"/>
      <c r="N217" s="9" t="s">
        <v>10159</v>
      </c>
      <c r="O217" s="9" t="s">
        <v>7634</v>
      </c>
      <c r="P217" s="9" t="str">
        <f>HYPERLINK("https://seichotoushi-hojo.jp/assets/pdf/koufu/outline_135.pdf","PDFを開く")</f>
        <v>PDFを開く</v>
      </c>
      <c r="Q217" s="9" t="s">
        <v>430</v>
      </c>
    </row>
    <row r="218" spans="1:17" ht="62.1" customHeight="1">
      <c r="A218" s="2" t="s">
        <v>423</v>
      </c>
      <c r="B218" s="2" t="s">
        <v>73</v>
      </c>
      <c r="C218" s="8" t="s">
        <v>424</v>
      </c>
      <c r="D218" s="2">
        <v>1</v>
      </c>
      <c r="E218" s="8" t="s">
        <v>10156</v>
      </c>
      <c r="F218" s="2">
        <v>2</v>
      </c>
      <c r="G218" s="8" t="s">
        <v>9578</v>
      </c>
      <c r="H218" s="8" t="s">
        <v>9578</v>
      </c>
      <c r="I218" s="2">
        <v>39.6</v>
      </c>
      <c r="J218" s="2">
        <v>109.8</v>
      </c>
      <c r="K218" s="2">
        <v>378.84</v>
      </c>
      <c r="L218" s="2">
        <v>507.36</v>
      </c>
      <c r="M218" s="8"/>
      <c r="N218" s="8" t="s">
        <v>10159</v>
      </c>
      <c r="O218" s="8" t="s">
        <v>7633</v>
      </c>
      <c r="P218" s="8" t="str">
        <f>HYPERLINK("https://seichotoushi-hojo.jp/assets/pdf/koufu/outline_135.pdf","PDFを開く")</f>
        <v>PDFを開く</v>
      </c>
      <c r="Q218" s="8" t="s">
        <v>430</v>
      </c>
    </row>
    <row r="219" spans="1:17" ht="62.1" customHeight="1">
      <c r="A219" s="5" t="s">
        <v>423</v>
      </c>
      <c r="B219" s="5" t="s">
        <v>73</v>
      </c>
      <c r="C219" s="9" t="s">
        <v>424</v>
      </c>
      <c r="D219" s="5">
        <v>1</v>
      </c>
      <c r="E219" s="9" t="s">
        <v>10156</v>
      </c>
      <c r="F219" s="5">
        <v>3</v>
      </c>
      <c r="G219" s="9" t="s">
        <v>10163</v>
      </c>
      <c r="H219" s="9" t="s">
        <v>10163</v>
      </c>
      <c r="I219" s="5">
        <v>403.44</v>
      </c>
      <c r="J219" s="5">
        <v>280.08</v>
      </c>
      <c r="K219" s="5">
        <v>746.16</v>
      </c>
      <c r="L219" s="5">
        <v>533.76</v>
      </c>
      <c r="M219" s="9"/>
      <c r="N219" s="9" t="s">
        <v>10159</v>
      </c>
      <c r="O219" s="9" t="s">
        <v>7635</v>
      </c>
      <c r="P219" s="9" t="str">
        <f>HYPERLINK("https://seichotoushi-hojo.jp/assets/pdf/koufu/outline_135.pdf","PDFを開く")</f>
        <v>PDFを開く</v>
      </c>
      <c r="Q219" s="9" t="s">
        <v>430</v>
      </c>
    </row>
    <row r="220" spans="1:17" ht="62.1" customHeight="1">
      <c r="A220" s="2" t="s">
        <v>423</v>
      </c>
      <c r="B220" s="2" t="s">
        <v>73</v>
      </c>
      <c r="C220" s="8" t="s">
        <v>424</v>
      </c>
      <c r="D220" s="2">
        <v>1</v>
      </c>
      <c r="E220" s="8" t="s">
        <v>10156</v>
      </c>
      <c r="F220" s="2">
        <v>4</v>
      </c>
      <c r="G220" s="8" t="s">
        <v>8581</v>
      </c>
      <c r="H220" s="8" t="s">
        <v>8581</v>
      </c>
      <c r="I220" s="2">
        <v>49.08</v>
      </c>
      <c r="J220" s="2">
        <v>430.2</v>
      </c>
      <c r="K220" s="2">
        <v>368.52</v>
      </c>
      <c r="L220" s="2">
        <v>491.04</v>
      </c>
      <c r="M220" s="8"/>
      <c r="N220" s="8" t="s">
        <v>10159</v>
      </c>
      <c r="O220" s="8" t="s">
        <v>428</v>
      </c>
      <c r="P220" s="8" t="str">
        <f>HYPERLINK("https://seichotoushi-hojo.jp/assets/pdf/koufu/outline_135.pdf","PDFを開く")</f>
        <v>PDFを開く</v>
      </c>
      <c r="Q220" s="8" t="s">
        <v>430</v>
      </c>
    </row>
    <row r="221" spans="1:17" ht="62.1" customHeight="1">
      <c r="A221" s="5" t="s">
        <v>423</v>
      </c>
      <c r="B221" s="5" t="s">
        <v>73</v>
      </c>
      <c r="C221" s="9" t="s">
        <v>424</v>
      </c>
      <c r="D221" s="5">
        <v>2</v>
      </c>
      <c r="E221" s="9" t="s">
        <v>10165</v>
      </c>
      <c r="F221" s="5">
        <v>1</v>
      </c>
      <c r="G221" s="9" t="s">
        <v>10184</v>
      </c>
      <c r="H221" s="9" t="s">
        <v>10184</v>
      </c>
      <c r="I221" s="5">
        <v>119.33</v>
      </c>
      <c r="J221" s="5">
        <v>166.07</v>
      </c>
      <c r="K221" s="5">
        <v>401.7</v>
      </c>
      <c r="L221" s="5">
        <v>361.47</v>
      </c>
      <c r="M221" s="9"/>
      <c r="N221" s="9" t="s">
        <v>10181</v>
      </c>
      <c r="O221" s="9" t="s">
        <v>10257</v>
      </c>
      <c r="P221" s="9" t="str">
        <f>HYPERLINK("https://seichotoushi-hojo.jp/assets/pdf/koufu/outline_135.pdf","PDFを開く")</f>
        <v>PDFを開く</v>
      </c>
      <c r="Q221" s="9" t="s">
        <v>430</v>
      </c>
    </row>
    <row r="222" spans="1:17" ht="62.1" customHeight="1">
      <c r="A222" s="2" t="s">
        <v>431</v>
      </c>
      <c r="B222" s="2" t="s">
        <v>73</v>
      </c>
      <c r="C222" s="8" t="s">
        <v>432</v>
      </c>
      <c r="D222" s="2">
        <v>1</v>
      </c>
      <c r="E222" s="8" t="s">
        <v>10156</v>
      </c>
      <c r="F222" s="2">
        <v>1</v>
      </c>
      <c r="G222" s="8" t="s">
        <v>9578</v>
      </c>
      <c r="H222" s="8" t="s">
        <v>9578</v>
      </c>
      <c r="I222" s="2">
        <v>29.04</v>
      </c>
      <c r="J222" s="2">
        <v>80.760000000000005</v>
      </c>
      <c r="K222" s="2">
        <v>372.6</v>
      </c>
      <c r="L222" s="2">
        <v>525.48</v>
      </c>
      <c r="M222" s="8"/>
      <c r="N222" s="8" t="s">
        <v>10159</v>
      </c>
      <c r="O222" s="8" t="s">
        <v>7640</v>
      </c>
      <c r="P222" s="8" t="str">
        <f>HYPERLINK("https://seichotoushi-hojo.jp/assets/pdf/koufu/outline_136.pdf","PDFを開く")</f>
        <v>PDFを開く</v>
      </c>
      <c r="Q222" s="8" t="s">
        <v>439</v>
      </c>
    </row>
    <row r="223" spans="1:17" ht="62.1" customHeight="1">
      <c r="A223" s="5" t="s">
        <v>431</v>
      </c>
      <c r="B223" s="5" t="s">
        <v>73</v>
      </c>
      <c r="C223" s="9" t="s">
        <v>432</v>
      </c>
      <c r="D223" s="5">
        <v>1</v>
      </c>
      <c r="E223" s="9" t="s">
        <v>10156</v>
      </c>
      <c r="F223" s="5">
        <v>2</v>
      </c>
      <c r="G223" s="9" t="s">
        <v>10162</v>
      </c>
      <c r="H223" s="9" t="s">
        <v>10162</v>
      </c>
      <c r="I223" s="5">
        <v>390.12</v>
      </c>
      <c r="J223" s="5">
        <v>80.760000000000005</v>
      </c>
      <c r="K223" s="5">
        <v>758.64</v>
      </c>
      <c r="L223" s="5">
        <v>298.2</v>
      </c>
      <c r="M223" s="9"/>
      <c r="N223" s="9" t="s">
        <v>10159</v>
      </c>
      <c r="O223" s="9" t="s">
        <v>7641</v>
      </c>
      <c r="P223" s="9" t="str">
        <f>HYPERLINK("https://seichotoushi-hojo.jp/assets/pdf/koufu/outline_136.pdf","PDFを開く")</f>
        <v>PDFを開く</v>
      </c>
      <c r="Q223" s="9" t="s">
        <v>439</v>
      </c>
    </row>
    <row r="224" spans="1:17" ht="62.1" customHeight="1">
      <c r="A224" s="2" t="s">
        <v>431</v>
      </c>
      <c r="B224" s="2" t="s">
        <v>73</v>
      </c>
      <c r="C224" s="8" t="s">
        <v>432</v>
      </c>
      <c r="D224" s="2">
        <v>1</v>
      </c>
      <c r="E224" s="8" t="s">
        <v>10156</v>
      </c>
      <c r="F224" s="2">
        <v>3</v>
      </c>
      <c r="G224" s="8" t="s">
        <v>10163</v>
      </c>
      <c r="H224" s="8" t="s">
        <v>10163</v>
      </c>
      <c r="I224" s="2">
        <v>390.12</v>
      </c>
      <c r="J224" s="2">
        <v>301.8</v>
      </c>
      <c r="K224" s="2">
        <v>758.64</v>
      </c>
      <c r="L224" s="2">
        <v>522.72</v>
      </c>
      <c r="M224" s="8"/>
      <c r="N224" s="8" t="s">
        <v>10159</v>
      </c>
      <c r="O224" s="8" t="s">
        <v>7642</v>
      </c>
      <c r="P224" s="8" t="str">
        <f>HYPERLINK("https://seichotoushi-hojo.jp/assets/pdf/koufu/outline_136.pdf","PDFを開く")</f>
        <v>PDFを開く</v>
      </c>
      <c r="Q224" s="8" t="s">
        <v>439</v>
      </c>
    </row>
    <row r="225" spans="1:17" ht="62.1" customHeight="1">
      <c r="A225" s="5" t="s">
        <v>431</v>
      </c>
      <c r="B225" s="5" t="s">
        <v>73</v>
      </c>
      <c r="C225" s="9" t="s">
        <v>432</v>
      </c>
      <c r="D225" s="5">
        <v>1</v>
      </c>
      <c r="E225" s="9" t="s">
        <v>10156</v>
      </c>
      <c r="F225" s="5">
        <v>4</v>
      </c>
      <c r="G225" s="9" t="s">
        <v>8581</v>
      </c>
      <c r="H225" s="9" t="s">
        <v>8581</v>
      </c>
      <c r="I225" s="5">
        <v>36.479999999999997</v>
      </c>
      <c r="J225" s="5">
        <v>377.76</v>
      </c>
      <c r="K225" s="5">
        <v>365.16</v>
      </c>
      <c r="L225" s="5">
        <v>520.08000000000004</v>
      </c>
      <c r="M225" s="9"/>
      <c r="N225" s="9" t="s">
        <v>10159</v>
      </c>
      <c r="O225" s="9" t="s">
        <v>436</v>
      </c>
      <c r="P225" s="9" t="str">
        <f>HYPERLINK("https://seichotoushi-hojo.jp/assets/pdf/koufu/outline_136.pdf","PDFを開く")</f>
        <v>PDFを開く</v>
      </c>
      <c r="Q225" s="9" t="s">
        <v>439</v>
      </c>
    </row>
    <row r="226" spans="1:17" ht="62.1" customHeight="1">
      <c r="A226" s="2" t="s">
        <v>440</v>
      </c>
      <c r="B226" s="2" t="s">
        <v>73</v>
      </c>
      <c r="C226" s="8" t="s">
        <v>441</v>
      </c>
      <c r="D226" s="2">
        <v>1</v>
      </c>
      <c r="E226" s="8" t="s">
        <v>10156</v>
      </c>
      <c r="F226" s="2">
        <v>1</v>
      </c>
      <c r="G226" s="8" t="s">
        <v>9578</v>
      </c>
      <c r="H226" s="8" t="s">
        <v>9578</v>
      </c>
      <c r="I226" s="2">
        <v>39.659999999999997</v>
      </c>
      <c r="J226" s="2">
        <v>105.97</v>
      </c>
      <c r="K226" s="2">
        <v>378.79</v>
      </c>
      <c r="L226" s="2">
        <v>499.73</v>
      </c>
      <c r="M226" s="8"/>
      <c r="N226" s="8" t="s">
        <v>10159</v>
      </c>
      <c r="O226" s="8" t="s">
        <v>7647</v>
      </c>
      <c r="P226" s="8" t="str">
        <f>HYPERLINK("https://seichotoushi-hojo.jp/assets/pdf/koufu/outline_137.pdf","PDFを開く")</f>
        <v>PDFを開く</v>
      </c>
      <c r="Q226" s="8" t="s">
        <v>449</v>
      </c>
    </row>
    <row r="227" spans="1:17" ht="62.1" customHeight="1">
      <c r="A227" s="5" t="s">
        <v>440</v>
      </c>
      <c r="B227" s="5" t="s">
        <v>73</v>
      </c>
      <c r="C227" s="9" t="s">
        <v>441</v>
      </c>
      <c r="D227" s="5">
        <v>1</v>
      </c>
      <c r="E227" s="9" t="s">
        <v>10156</v>
      </c>
      <c r="F227" s="5">
        <v>2</v>
      </c>
      <c r="G227" s="9" t="s">
        <v>10162</v>
      </c>
      <c r="H227" s="9" t="s">
        <v>10162</v>
      </c>
      <c r="I227" s="5">
        <v>396.3</v>
      </c>
      <c r="J227" s="5">
        <v>105.97</v>
      </c>
      <c r="K227" s="5">
        <v>739.78</v>
      </c>
      <c r="L227" s="5">
        <v>328.45</v>
      </c>
      <c r="M227" s="9"/>
      <c r="N227" s="9" t="s">
        <v>10159</v>
      </c>
      <c r="O227" s="9" t="s">
        <v>7648</v>
      </c>
      <c r="P227" s="9" t="str">
        <f>HYPERLINK("https://seichotoushi-hojo.jp/assets/pdf/koufu/outline_137.pdf","PDFを開く")</f>
        <v>PDFを開く</v>
      </c>
      <c r="Q227" s="9" t="s">
        <v>449</v>
      </c>
    </row>
    <row r="228" spans="1:17" ht="62.1" customHeight="1">
      <c r="A228" s="2" t="s">
        <v>440</v>
      </c>
      <c r="B228" s="2" t="s">
        <v>73</v>
      </c>
      <c r="C228" s="8" t="s">
        <v>441</v>
      </c>
      <c r="D228" s="2">
        <v>1</v>
      </c>
      <c r="E228" s="8" t="s">
        <v>10156</v>
      </c>
      <c r="F228" s="2">
        <v>3</v>
      </c>
      <c r="G228" s="8" t="s">
        <v>10163</v>
      </c>
      <c r="H228" s="8" t="s">
        <v>10163</v>
      </c>
      <c r="I228" s="2">
        <v>396.3</v>
      </c>
      <c r="J228" s="2">
        <v>341.43</v>
      </c>
      <c r="K228" s="2">
        <v>739.78</v>
      </c>
      <c r="L228" s="2">
        <v>499.73</v>
      </c>
      <c r="M228" s="8"/>
      <c r="N228" s="8" t="s">
        <v>10159</v>
      </c>
      <c r="O228" s="8" t="s">
        <v>7649</v>
      </c>
      <c r="P228" s="8" t="str">
        <f>HYPERLINK("https://seichotoushi-hojo.jp/assets/pdf/koufu/outline_137.pdf","PDFを開く")</f>
        <v>PDFを開く</v>
      </c>
      <c r="Q228" s="8" t="s">
        <v>449</v>
      </c>
    </row>
    <row r="229" spans="1:17" ht="62.1" customHeight="1">
      <c r="A229" s="5" t="s">
        <v>440</v>
      </c>
      <c r="B229" s="5" t="s">
        <v>73</v>
      </c>
      <c r="C229" s="9" t="s">
        <v>441</v>
      </c>
      <c r="D229" s="5">
        <v>1</v>
      </c>
      <c r="E229" s="9" t="s">
        <v>10156</v>
      </c>
      <c r="F229" s="5">
        <v>4</v>
      </c>
      <c r="G229" s="9" t="s">
        <v>8581</v>
      </c>
      <c r="H229" s="9" t="s">
        <v>8581</v>
      </c>
      <c r="I229" s="5">
        <v>48</v>
      </c>
      <c r="J229" s="5">
        <v>370.98</v>
      </c>
      <c r="K229" s="5">
        <v>367.5</v>
      </c>
      <c r="L229" s="5">
        <v>486.75</v>
      </c>
      <c r="M229" s="9"/>
      <c r="N229" s="9" t="s">
        <v>10159</v>
      </c>
      <c r="O229" s="9" t="s">
        <v>445</v>
      </c>
      <c r="P229" s="9" t="str">
        <f>HYPERLINK("https://seichotoushi-hojo.jp/assets/pdf/koufu/outline_137.pdf","PDFを開く")</f>
        <v>PDFを開く</v>
      </c>
      <c r="Q229" s="9" t="s">
        <v>449</v>
      </c>
    </row>
    <row r="230" spans="1:17" ht="62.1" customHeight="1">
      <c r="A230" s="2" t="s">
        <v>450</v>
      </c>
      <c r="B230" s="2" t="s">
        <v>73</v>
      </c>
      <c r="C230" s="8" t="s">
        <v>451</v>
      </c>
      <c r="D230" s="2">
        <v>1</v>
      </c>
      <c r="E230" s="8" t="s">
        <v>10156</v>
      </c>
      <c r="F230" s="2">
        <v>1</v>
      </c>
      <c r="G230" s="8" t="s">
        <v>9578</v>
      </c>
      <c r="H230" s="8" t="s">
        <v>9578</v>
      </c>
      <c r="I230" s="2">
        <v>39.979999999999997</v>
      </c>
      <c r="J230" s="2">
        <v>14.12</v>
      </c>
      <c r="K230" s="2">
        <v>401.7</v>
      </c>
      <c r="L230" s="2">
        <v>99.95</v>
      </c>
      <c r="M230" s="8"/>
      <c r="N230" s="8" t="s">
        <v>10181</v>
      </c>
      <c r="O230" s="8" t="s">
        <v>10258</v>
      </c>
      <c r="P230" s="8" t="str">
        <f t="shared" ref="P230:P241" si="11">HYPERLINK("https://seichotoushi-hojo.jp/assets/pdf/koufu/outline_138.pdf","PDFを開く")</f>
        <v>PDFを開く</v>
      </c>
      <c r="Q230" s="8" t="s">
        <v>458</v>
      </c>
    </row>
    <row r="231" spans="1:17" ht="62.1" customHeight="1">
      <c r="A231" s="5" t="s">
        <v>450</v>
      </c>
      <c r="B231" s="5" t="s">
        <v>73</v>
      </c>
      <c r="C231" s="9" t="s">
        <v>451</v>
      </c>
      <c r="D231" s="5">
        <v>1</v>
      </c>
      <c r="E231" s="9" t="s">
        <v>10156</v>
      </c>
      <c r="F231" s="5">
        <v>2</v>
      </c>
      <c r="G231" s="9" t="s">
        <v>9578</v>
      </c>
      <c r="H231" s="9" t="s">
        <v>9578</v>
      </c>
      <c r="I231" s="5">
        <v>38.090000000000003</v>
      </c>
      <c r="J231" s="5">
        <v>98.61</v>
      </c>
      <c r="K231" s="5">
        <v>377.22</v>
      </c>
      <c r="L231" s="5">
        <v>517.70000000000005</v>
      </c>
      <c r="M231" s="9"/>
      <c r="N231" s="9" t="s">
        <v>10159</v>
      </c>
      <c r="O231" s="9" t="s">
        <v>10259</v>
      </c>
      <c r="P231" s="9" t="str">
        <f t="shared" si="11"/>
        <v>PDFを開く</v>
      </c>
      <c r="Q231" s="9" t="s">
        <v>458</v>
      </c>
    </row>
    <row r="232" spans="1:17" ht="62.1" customHeight="1">
      <c r="A232" s="2" t="s">
        <v>450</v>
      </c>
      <c r="B232" s="2" t="s">
        <v>73</v>
      </c>
      <c r="C232" s="8" t="s">
        <v>451</v>
      </c>
      <c r="D232" s="2">
        <v>1</v>
      </c>
      <c r="E232" s="8" t="s">
        <v>10156</v>
      </c>
      <c r="F232" s="2">
        <v>3</v>
      </c>
      <c r="G232" s="8" t="s">
        <v>10162</v>
      </c>
      <c r="H232" s="8" t="s">
        <v>10162</v>
      </c>
      <c r="I232" s="2">
        <v>396.86</v>
      </c>
      <c r="J232" s="2">
        <v>106.44</v>
      </c>
      <c r="K232" s="2">
        <v>740.34</v>
      </c>
      <c r="L232" s="2">
        <v>304.87</v>
      </c>
      <c r="M232" s="8"/>
      <c r="N232" s="8" t="s">
        <v>10159</v>
      </c>
      <c r="O232" s="8" t="s">
        <v>7655</v>
      </c>
      <c r="P232" s="8" t="str">
        <f t="shared" si="11"/>
        <v>PDFを開く</v>
      </c>
      <c r="Q232" s="8" t="s">
        <v>458</v>
      </c>
    </row>
    <row r="233" spans="1:17" ht="62.1" customHeight="1">
      <c r="A233" s="5" t="s">
        <v>450</v>
      </c>
      <c r="B233" s="5" t="s">
        <v>73</v>
      </c>
      <c r="C233" s="9" t="s">
        <v>451</v>
      </c>
      <c r="D233" s="5">
        <v>1</v>
      </c>
      <c r="E233" s="9" t="s">
        <v>10156</v>
      </c>
      <c r="F233" s="5">
        <v>4</v>
      </c>
      <c r="G233" s="9" t="s">
        <v>10163</v>
      </c>
      <c r="H233" s="9" t="s">
        <v>10163</v>
      </c>
      <c r="I233" s="5">
        <v>396.3</v>
      </c>
      <c r="J233" s="5">
        <v>313.49</v>
      </c>
      <c r="K233" s="5">
        <v>739.78</v>
      </c>
      <c r="L233" s="5">
        <v>511.92</v>
      </c>
      <c r="M233" s="9"/>
      <c r="N233" s="9" t="s">
        <v>10159</v>
      </c>
      <c r="O233" s="9" t="s">
        <v>7656</v>
      </c>
      <c r="P233" s="9" t="str">
        <f t="shared" si="11"/>
        <v>PDFを開く</v>
      </c>
      <c r="Q233" s="9" t="s">
        <v>458</v>
      </c>
    </row>
    <row r="234" spans="1:17" ht="62.1" customHeight="1">
      <c r="A234" s="2" t="s">
        <v>450</v>
      </c>
      <c r="B234" s="2" t="s">
        <v>73</v>
      </c>
      <c r="C234" s="8" t="s">
        <v>451</v>
      </c>
      <c r="D234" s="2">
        <v>1</v>
      </c>
      <c r="E234" s="8" t="s">
        <v>10156</v>
      </c>
      <c r="F234" s="2">
        <v>5</v>
      </c>
      <c r="G234" s="8" t="s">
        <v>8581</v>
      </c>
      <c r="H234" s="8" t="s">
        <v>8581</v>
      </c>
      <c r="I234" s="2">
        <v>48</v>
      </c>
      <c r="J234" s="2">
        <v>434.31</v>
      </c>
      <c r="K234" s="2">
        <v>367.5</v>
      </c>
      <c r="L234" s="2">
        <v>510.51</v>
      </c>
      <c r="M234" s="8"/>
      <c r="N234" s="8" t="s">
        <v>10159</v>
      </c>
      <c r="O234" s="8" t="s">
        <v>455</v>
      </c>
      <c r="P234" s="8" t="str">
        <f t="shared" si="11"/>
        <v>PDFを開く</v>
      </c>
      <c r="Q234" s="8" t="s">
        <v>458</v>
      </c>
    </row>
    <row r="235" spans="1:17" ht="62.1" customHeight="1">
      <c r="A235" s="5" t="s">
        <v>450</v>
      </c>
      <c r="B235" s="5" t="s">
        <v>73</v>
      </c>
      <c r="C235" s="9" t="s">
        <v>451</v>
      </c>
      <c r="D235" s="5">
        <v>2</v>
      </c>
      <c r="E235" s="9" t="s">
        <v>10165</v>
      </c>
      <c r="F235" s="5">
        <v>1</v>
      </c>
      <c r="G235" s="9" t="s">
        <v>10167</v>
      </c>
      <c r="H235" s="9" t="s">
        <v>10260</v>
      </c>
      <c r="I235" s="5">
        <v>414.94</v>
      </c>
      <c r="J235" s="5">
        <v>215.81</v>
      </c>
      <c r="K235" s="5">
        <v>752.76</v>
      </c>
      <c r="L235" s="5">
        <v>356.27</v>
      </c>
      <c r="M235" s="9"/>
      <c r="N235" s="9" t="s">
        <v>10159</v>
      </c>
      <c r="O235" s="9" t="s">
        <v>10261</v>
      </c>
      <c r="P235" s="9" t="str">
        <f t="shared" si="11"/>
        <v>PDFを開く</v>
      </c>
      <c r="Q235" s="9" t="s">
        <v>458</v>
      </c>
    </row>
    <row r="236" spans="1:17" ht="62.1" customHeight="1">
      <c r="A236" s="2" t="s">
        <v>450</v>
      </c>
      <c r="B236" s="2" t="s">
        <v>73</v>
      </c>
      <c r="C236" s="8" t="s">
        <v>451</v>
      </c>
      <c r="D236" s="2">
        <v>2</v>
      </c>
      <c r="E236" s="8" t="s">
        <v>10165</v>
      </c>
      <c r="F236" s="2">
        <v>2</v>
      </c>
      <c r="G236" s="8" t="s">
        <v>10167</v>
      </c>
      <c r="H236" s="8" t="s">
        <v>10260</v>
      </c>
      <c r="I236" s="2">
        <v>36.32</v>
      </c>
      <c r="J236" s="2">
        <v>216.74</v>
      </c>
      <c r="K236" s="2">
        <v>374.14</v>
      </c>
      <c r="L236" s="2">
        <v>357.2</v>
      </c>
      <c r="M236" s="8"/>
      <c r="N236" s="8" t="s">
        <v>10159</v>
      </c>
      <c r="O236" s="8" t="s">
        <v>10262</v>
      </c>
      <c r="P236" s="8" t="str">
        <f t="shared" si="11"/>
        <v>PDFを開く</v>
      </c>
      <c r="Q236" s="8" t="s">
        <v>458</v>
      </c>
    </row>
    <row r="237" spans="1:17" ht="62.1" customHeight="1">
      <c r="A237" s="5" t="s">
        <v>450</v>
      </c>
      <c r="B237" s="5" t="s">
        <v>73</v>
      </c>
      <c r="C237" s="9" t="s">
        <v>451</v>
      </c>
      <c r="D237" s="5">
        <v>2</v>
      </c>
      <c r="E237" s="9" t="s">
        <v>10165</v>
      </c>
      <c r="F237" s="5">
        <v>3</v>
      </c>
      <c r="G237" s="9" t="s">
        <v>10167</v>
      </c>
      <c r="H237" s="9" t="s">
        <v>10263</v>
      </c>
      <c r="I237" s="5">
        <v>414.94</v>
      </c>
      <c r="J237" s="5">
        <v>374.64</v>
      </c>
      <c r="K237" s="5">
        <v>755.1</v>
      </c>
      <c r="L237" s="5">
        <v>519.27</v>
      </c>
      <c r="M237" s="9"/>
      <c r="N237" s="9" t="s">
        <v>10159</v>
      </c>
      <c r="O237" s="9" t="s">
        <v>10264</v>
      </c>
      <c r="P237" s="9" t="str">
        <f t="shared" si="11"/>
        <v>PDFを開く</v>
      </c>
      <c r="Q237" s="9" t="s">
        <v>458</v>
      </c>
    </row>
    <row r="238" spans="1:17" ht="62.1" customHeight="1">
      <c r="A238" s="2" t="s">
        <v>450</v>
      </c>
      <c r="B238" s="2" t="s">
        <v>73</v>
      </c>
      <c r="C238" s="8" t="s">
        <v>451</v>
      </c>
      <c r="D238" s="2">
        <v>2</v>
      </c>
      <c r="E238" s="8" t="s">
        <v>10165</v>
      </c>
      <c r="F238" s="2">
        <v>4</v>
      </c>
      <c r="G238" s="8" t="s">
        <v>10167</v>
      </c>
      <c r="H238" s="8" t="s">
        <v>10263</v>
      </c>
      <c r="I238" s="2">
        <v>36.32</v>
      </c>
      <c r="J238" s="2">
        <v>374.65</v>
      </c>
      <c r="K238" s="2">
        <v>376.48</v>
      </c>
      <c r="L238" s="2">
        <v>534</v>
      </c>
      <c r="M238" s="8"/>
      <c r="N238" s="8" t="s">
        <v>10159</v>
      </c>
      <c r="O238" s="8" t="s">
        <v>10265</v>
      </c>
      <c r="P238" s="8" t="str">
        <f t="shared" si="11"/>
        <v>PDFを開く</v>
      </c>
      <c r="Q238" s="8" t="s">
        <v>458</v>
      </c>
    </row>
    <row r="239" spans="1:17" ht="62.1" customHeight="1">
      <c r="A239" s="5" t="s">
        <v>450</v>
      </c>
      <c r="B239" s="5" t="s">
        <v>73</v>
      </c>
      <c r="C239" s="9" t="s">
        <v>451</v>
      </c>
      <c r="D239" s="5">
        <v>3</v>
      </c>
      <c r="E239" s="9" t="s">
        <v>10165</v>
      </c>
      <c r="F239" s="5">
        <v>1</v>
      </c>
      <c r="G239" s="9" t="s">
        <v>10167</v>
      </c>
      <c r="H239" s="9" t="s">
        <v>10266</v>
      </c>
      <c r="I239" s="5">
        <v>121.19</v>
      </c>
      <c r="J239" s="5">
        <v>95.61</v>
      </c>
      <c r="K239" s="5">
        <v>758.99</v>
      </c>
      <c r="L239" s="5">
        <v>194.82</v>
      </c>
      <c r="M239" s="9"/>
      <c r="N239" s="9" t="s">
        <v>10159</v>
      </c>
      <c r="O239" s="9" t="s">
        <v>10267</v>
      </c>
      <c r="P239" s="9" t="str">
        <f t="shared" si="11"/>
        <v>PDFを開く</v>
      </c>
      <c r="Q239" s="9" t="s">
        <v>458</v>
      </c>
    </row>
    <row r="240" spans="1:17" ht="62.1" customHeight="1">
      <c r="A240" s="2" t="s">
        <v>450</v>
      </c>
      <c r="B240" s="2" t="s">
        <v>73</v>
      </c>
      <c r="C240" s="8" t="s">
        <v>451</v>
      </c>
      <c r="D240" s="2">
        <v>4</v>
      </c>
      <c r="E240" s="8" t="s">
        <v>10165</v>
      </c>
      <c r="F240" s="2">
        <v>1</v>
      </c>
      <c r="G240" s="8" t="s">
        <v>10167</v>
      </c>
      <c r="H240" s="8" t="s">
        <v>10268</v>
      </c>
      <c r="I240" s="2">
        <v>121.17</v>
      </c>
      <c r="J240" s="2">
        <v>96.8</v>
      </c>
      <c r="K240" s="2">
        <v>765.13</v>
      </c>
      <c r="L240" s="2">
        <v>203.9</v>
      </c>
      <c r="M240" s="8"/>
      <c r="N240" s="8" t="s">
        <v>10159</v>
      </c>
      <c r="O240" s="8" t="s">
        <v>10269</v>
      </c>
      <c r="P240" s="8" t="str">
        <f t="shared" si="11"/>
        <v>PDFを開く</v>
      </c>
      <c r="Q240" s="8" t="s">
        <v>458</v>
      </c>
    </row>
    <row r="241" spans="1:17" ht="62.1" customHeight="1">
      <c r="A241" s="5" t="s">
        <v>450</v>
      </c>
      <c r="B241" s="5" t="s">
        <v>73</v>
      </c>
      <c r="C241" s="9" t="s">
        <v>451</v>
      </c>
      <c r="D241" s="5">
        <v>6</v>
      </c>
      <c r="E241" s="9" t="s">
        <v>10165</v>
      </c>
      <c r="F241" s="5">
        <v>1</v>
      </c>
      <c r="G241" s="9" t="s">
        <v>10167</v>
      </c>
      <c r="H241" s="9" t="s">
        <v>10270</v>
      </c>
      <c r="I241" s="5">
        <v>121.39</v>
      </c>
      <c r="J241" s="5">
        <v>97.07</v>
      </c>
      <c r="K241" s="5">
        <v>749.46</v>
      </c>
      <c r="L241" s="5">
        <v>194.56</v>
      </c>
      <c r="M241" s="9"/>
      <c r="N241" s="9" t="s">
        <v>10159</v>
      </c>
      <c r="O241" s="9" t="s">
        <v>10271</v>
      </c>
      <c r="P241" s="9" t="str">
        <f t="shared" si="11"/>
        <v>PDFを開く</v>
      </c>
      <c r="Q241" s="9" t="s">
        <v>458</v>
      </c>
    </row>
    <row r="242" spans="1:17" ht="62.1" customHeight="1">
      <c r="A242" s="2" t="s">
        <v>459</v>
      </c>
      <c r="B242" s="2" t="s">
        <v>73</v>
      </c>
      <c r="C242" s="8" t="s">
        <v>460</v>
      </c>
      <c r="D242" s="2">
        <v>1</v>
      </c>
      <c r="E242" s="8" t="s">
        <v>10156</v>
      </c>
      <c r="F242" s="2">
        <v>1</v>
      </c>
      <c r="G242" s="8" t="s">
        <v>9578</v>
      </c>
      <c r="H242" s="8" t="s">
        <v>9578</v>
      </c>
      <c r="I242" s="2">
        <v>30.6</v>
      </c>
      <c r="J242" s="2">
        <v>103.06</v>
      </c>
      <c r="K242" s="2">
        <v>378.78</v>
      </c>
      <c r="L242" s="2">
        <v>493.35</v>
      </c>
      <c r="M242" s="8"/>
      <c r="N242" s="8" t="s">
        <v>10159</v>
      </c>
      <c r="O242" s="8" t="s">
        <v>7661</v>
      </c>
      <c r="P242" s="8" t="str">
        <f>HYPERLINK("https://seichotoushi-hojo.jp/assets/pdf/koufu/outline_139.pdf","PDFを開く")</f>
        <v>PDFを開く</v>
      </c>
      <c r="Q242" s="8" t="s">
        <v>466</v>
      </c>
    </row>
    <row r="243" spans="1:17" ht="62.1" customHeight="1">
      <c r="A243" s="5" t="s">
        <v>459</v>
      </c>
      <c r="B243" s="5" t="s">
        <v>73</v>
      </c>
      <c r="C243" s="9" t="s">
        <v>460</v>
      </c>
      <c r="D243" s="5">
        <v>1</v>
      </c>
      <c r="E243" s="9" t="s">
        <v>10156</v>
      </c>
      <c r="F243" s="5">
        <v>2</v>
      </c>
      <c r="G243" s="9" t="s">
        <v>10162</v>
      </c>
      <c r="H243" s="9" t="s">
        <v>10162</v>
      </c>
      <c r="I243" s="5">
        <v>396.3</v>
      </c>
      <c r="J243" s="5">
        <v>103.06</v>
      </c>
      <c r="K243" s="5">
        <v>740.46</v>
      </c>
      <c r="L243" s="5">
        <v>300.45999999999998</v>
      </c>
      <c r="M243" s="9"/>
      <c r="N243" s="9" t="s">
        <v>10159</v>
      </c>
      <c r="O243" s="9" t="s">
        <v>7662</v>
      </c>
      <c r="P243" s="9" t="str">
        <f>HYPERLINK("https://seichotoushi-hojo.jp/assets/pdf/koufu/outline_139.pdf","PDFを開く")</f>
        <v>PDFを開く</v>
      </c>
      <c r="Q243" s="9" t="s">
        <v>466</v>
      </c>
    </row>
    <row r="244" spans="1:17" ht="62.1" customHeight="1">
      <c r="A244" s="2" t="s">
        <v>459</v>
      </c>
      <c r="B244" s="2" t="s">
        <v>73</v>
      </c>
      <c r="C244" s="8" t="s">
        <v>460</v>
      </c>
      <c r="D244" s="2">
        <v>1</v>
      </c>
      <c r="E244" s="8" t="s">
        <v>10156</v>
      </c>
      <c r="F244" s="2">
        <v>3</v>
      </c>
      <c r="G244" s="8" t="s">
        <v>10163</v>
      </c>
      <c r="H244" s="8" t="s">
        <v>10163</v>
      </c>
      <c r="I244" s="2">
        <v>396.3</v>
      </c>
      <c r="J244" s="2">
        <v>313.67</v>
      </c>
      <c r="K244" s="2">
        <v>740.46</v>
      </c>
      <c r="L244" s="2">
        <v>493.35</v>
      </c>
      <c r="M244" s="8"/>
      <c r="N244" s="8" t="s">
        <v>10159</v>
      </c>
      <c r="O244" s="8" t="s">
        <v>7663</v>
      </c>
      <c r="P244" s="8" t="str">
        <f>HYPERLINK("https://seichotoushi-hojo.jp/assets/pdf/koufu/outline_139.pdf","PDFを開く")</f>
        <v>PDFを開く</v>
      </c>
      <c r="Q244" s="8" t="s">
        <v>466</v>
      </c>
    </row>
    <row r="245" spans="1:17" ht="62.1" customHeight="1">
      <c r="A245" s="5" t="s">
        <v>459</v>
      </c>
      <c r="B245" s="5" t="s">
        <v>73</v>
      </c>
      <c r="C245" s="9" t="s">
        <v>460</v>
      </c>
      <c r="D245" s="5">
        <v>1</v>
      </c>
      <c r="E245" s="9" t="s">
        <v>10156</v>
      </c>
      <c r="F245" s="5">
        <v>4</v>
      </c>
      <c r="G245" s="9" t="s">
        <v>8581</v>
      </c>
      <c r="H245" s="9" t="s">
        <v>8581</v>
      </c>
      <c r="I245" s="5">
        <v>49.79</v>
      </c>
      <c r="J245" s="5">
        <v>361.83</v>
      </c>
      <c r="K245" s="5">
        <v>369.29</v>
      </c>
      <c r="L245" s="5">
        <v>489.04</v>
      </c>
      <c r="M245" s="9"/>
      <c r="N245" s="9" t="s">
        <v>10159</v>
      </c>
      <c r="O245" s="9" t="s">
        <v>463</v>
      </c>
      <c r="P245" s="9" t="str">
        <f>HYPERLINK("https://seichotoushi-hojo.jp/assets/pdf/koufu/outline_139.pdf","PDFを開く")</f>
        <v>PDFを開く</v>
      </c>
      <c r="Q245" s="9" t="s">
        <v>466</v>
      </c>
    </row>
    <row r="246" spans="1:17" ht="62.1" customHeight="1">
      <c r="A246" s="2" t="s">
        <v>467</v>
      </c>
      <c r="B246" s="2" t="s">
        <v>73</v>
      </c>
      <c r="C246" s="8" t="s">
        <v>468</v>
      </c>
      <c r="D246" s="2">
        <v>1</v>
      </c>
      <c r="E246" s="8" t="s">
        <v>10156</v>
      </c>
      <c r="F246" s="2">
        <v>1</v>
      </c>
      <c r="G246" s="8" t="s">
        <v>10167</v>
      </c>
      <c r="H246" s="8" t="s">
        <v>10212</v>
      </c>
      <c r="I246" s="2">
        <v>40.200000000000003</v>
      </c>
      <c r="J246" s="2">
        <v>99.48</v>
      </c>
      <c r="K246" s="2">
        <v>739.8</v>
      </c>
      <c r="L246" s="2">
        <v>156</v>
      </c>
      <c r="M246" s="8"/>
      <c r="N246" s="8" t="s">
        <v>10159</v>
      </c>
      <c r="O246" s="8" t="s">
        <v>10272</v>
      </c>
      <c r="P246" s="8" t="str">
        <f t="shared" ref="P246:P252" si="12">HYPERLINK("https://seichotoushi-hojo.jp/assets/pdf/koufu/outline_14.pdf","PDFを開く")</f>
        <v>PDFを開く</v>
      </c>
      <c r="Q246" s="8" t="s">
        <v>475</v>
      </c>
    </row>
    <row r="247" spans="1:17" ht="62.1" customHeight="1">
      <c r="A247" s="5" t="s">
        <v>467</v>
      </c>
      <c r="B247" s="5" t="s">
        <v>73</v>
      </c>
      <c r="C247" s="9" t="s">
        <v>468</v>
      </c>
      <c r="D247" s="5">
        <v>1</v>
      </c>
      <c r="E247" s="9" t="s">
        <v>10156</v>
      </c>
      <c r="F247" s="5">
        <v>2</v>
      </c>
      <c r="G247" s="9" t="s">
        <v>9578</v>
      </c>
      <c r="H247" s="9" t="s">
        <v>9578</v>
      </c>
      <c r="I247" s="5">
        <v>39.6</v>
      </c>
      <c r="J247" s="5">
        <v>167.88</v>
      </c>
      <c r="K247" s="5">
        <v>378.84</v>
      </c>
      <c r="L247" s="5">
        <v>499.68</v>
      </c>
      <c r="M247" s="9"/>
      <c r="N247" s="9" t="s">
        <v>10159</v>
      </c>
      <c r="O247" s="9" t="s">
        <v>7668</v>
      </c>
      <c r="P247" s="9" t="str">
        <f t="shared" si="12"/>
        <v>PDFを開く</v>
      </c>
      <c r="Q247" s="9" t="s">
        <v>475</v>
      </c>
    </row>
    <row r="248" spans="1:17" ht="62.1" customHeight="1">
      <c r="A248" s="2" t="s">
        <v>467</v>
      </c>
      <c r="B248" s="2" t="s">
        <v>73</v>
      </c>
      <c r="C248" s="8" t="s">
        <v>468</v>
      </c>
      <c r="D248" s="2">
        <v>1</v>
      </c>
      <c r="E248" s="8" t="s">
        <v>10156</v>
      </c>
      <c r="F248" s="2">
        <v>3</v>
      </c>
      <c r="G248" s="8" t="s">
        <v>10162</v>
      </c>
      <c r="H248" s="8" t="s">
        <v>10162</v>
      </c>
      <c r="I248" s="2">
        <v>396.36</v>
      </c>
      <c r="J248" s="2">
        <v>167.88</v>
      </c>
      <c r="K248" s="2">
        <v>739.8</v>
      </c>
      <c r="L248" s="2">
        <v>326.16000000000003</v>
      </c>
      <c r="M248" s="8"/>
      <c r="N248" s="8" t="s">
        <v>10159</v>
      </c>
      <c r="O248" s="8" t="s">
        <v>7669</v>
      </c>
      <c r="P248" s="8" t="str">
        <f t="shared" si="12"/>
        <v>PDFを開く</v>
      </c>
      <c r="Q248" s="8" t="s">
        <v>475</v>
      </c>
    </row>
    <row r="249" spans="1:17" ht="62.1" customHeight="1">
      <c r="A249" s="5" t="s">
        <v>467</v>
      </c>
      <c r="B249" s="5" t="s">
        <v>73</v>
      </c>
      <c r="C249" s="9" t="s">
        <v>468</v>
      </c>
      <c r="D249" s="5">
        <v>1</v>
      </c>
      <c r="E249" s="9" t="s">
        <v>10156</v>
      </c>
      <c r="F249" s="5">
        <v>4</v>
      </c>
      <c r="G249" s="9" t="s">
        <v>10163</v>
      </c>
      <c r="H249" s="9" t="s">
        <v>10163</v>
      </c>
      <c r="I249" s="5">
        <v>396.36</v>
      </c>
      <c r="J249" s="5">
        <v>330</v>
      </c>
      <c r="K249" s="5">
        <v>739.8</v>
      </c>
      <c r="L249" s="5">
        <v>499.68</v>
      </c>
      <c r="M249" s="9"/>
      <c r="N249" s="9" t="s">
        <v>10159</v>
      </c>
      <c r="O249" s="9" t="s">
        <v>7670</v>
      </c>
      <c r="P249" s="9" t="str">
        <f t="shared" si="12"/>
        <v>PDFを開く</v>
      </c>
      <c r="Q249" s="9" t="s">
        <v>475</v>
      </c>
    </row>
    <row r="250" spans="1:17" ht="62.1" customHeight="1">
      <c r="A250" s="2" t="s">
        <v>467</v>
      </c>
      <c r="B250" s="2" t="s">
        <v>73</v>
      </c>
      <c r="C250" s="8" t="s">
        <v>468</v>
      </c>
      <c r="D250" s="2">
        <v>1</v>
      </c>
      <c r="E250" s="8" t="s">
        <v>10156</v>
      </c>
      <c r="F250" s="2">
        <v>5</v>
      </c>
      <c r="G250" s="8" t="s">
        <v>8581</v>
      </c>
      <c r="H250" s="8" t="s">
        <v>8581</v>
      </c>
      <c r="I250" s="2">
        <v>49.2</v>
      </c>
      <c r="J250" s="2">
        <v>376.08</v>
      </c>
      <c r="K250" s="2">
        <v>365.28</v>
      </c>
      <c r="L250" s="2">
        <v>461.16</v>
      </c>
      <c r="M250" s="8"/>
      <c r="N250" s="8" t="s">
        <v>10159</v>
      </c>
      <c r="O250" s="8" t="s">
        <v>472</v>
      </c>
      <c r="P250" s="8" t="str">
        <f t="shared" si="12"/>
        <v>PDFを開く</v>
      </c>
      <c r="Q250" s="8" t="s">
        <v>475</v>
      </c>
    </row>
    <row r="251" spans="1:17" ht="62.1" customHeight="1">
      <c r="A251" s="5" t="s">
        <v>467</v>
      </c>
      <c r="B251" s="5" t="s">
        <v>73</v>
      </c>
      <c r="C251" s="9" t="s">
        <v>468</v>
      </c>
      <c r="D251" s="5">
        <v>1</v>
      </c>
      <c r="E251" s="9" t="s">
        <v>10156</v>
      </c>
      <c r="F251" s="5">
        <v>6</v>
      </c>
      <c r="G251" s="9" t="s">
        <v>10171</v>
      </c>
      <c r="H251" s="9" t="s">
        <v>10171</v>
      </c>
      <c r="I251" s="5">
        <v>497.83</v>
      </c>
      <c r="J251" s="5">
        <v>468.53</v>
      </c>
      <c r="K251" s="5">
        <v>768.3</v>
      </c>
      <c r="L251" s="5">
        <v>525.20000000000005</v>
      </c>
      <c r="M251" s="9"/>
      <c r="N251" s="9" t="s">
        <v>10181</v>
      </c>
      <c r="O251" s="9" t="s">
        <v>7671</v>
      </c>
      <c r="P251" s="9" t="str">
        <f t="shared" si="12"/>
        <v>PDFを開く</v>
      </c>
      <c r="Q251" s="9" t="s">
        <v>475</v>
      </c>
    </row>
    <row r="252" spans="1:17" ht="62.1" customHeight="1">
      <c r="A252" s="2" t="s">
        <v>467</v>
      </c>
      <c r="B252" s="2" t="s">
        <v>73</v>
      </c>
      <c r="C252" s="8" t="s">
        <v>468</v>
      </c>
      <c r="D252" s="2">
        <v>2</v>
      </c>
      <c r="E252" s="8" t="s">
        <v>10165</v>
      </c>
      <c r="F252" s="2">
        <v>1</v>
      </c>
      <c r="G252" s="8" t="s">
        <v>10167</v>
      </c>
      <c r="H252" s="8" t="s">
        <v>10273</v>
      </c>
      <c r="I252" s="2">
        <v>40.32</v>
      </c>
      <c r="J252" s="2">
        <v>102.72</v>
      </c>
      <c r="K252" s="2">
        <v>739.92</v>
      </c>
      <c r="L252" s="2">
        <v>140.52000000000001</v>
      </c>
      <c r="M252" s="8"/>
      <c r="N252" s="8" t="s">
        <v>10159</v>
      </c>
      <c r="O252" s="8" t="s">
        <v>10274</v>
      </c>
      <c r="P252" s="8" t="str">
        <f t="shared" si="12"/>
        <v>PDFを開く</v>
      </c>
      <c r="Q252" s="8" t="s">
        <v>475</v>
      </c>
    </row>
    <row r="253" spans="1:17" ht="62.1" customHeight="1">
      <c r="A253" s="5" t="s">
        <v>476</v>
      </c>
      <c r="B253" s="5" t="s">
        <v>73</v>
      </c>
      <c r="C253" s="9" t="s">
        <v>477</v>
      </c>
      <c r="D253" s="5">
        <v>1</v>
      </c>
      <c r="E253" s="9" t="s">
        <v>10156</v>
      </c>
      <c r="F253" s="5">
        <v>1</v>
      </c>
      <c r="G253" s="9" t="s">
        <v>10167</v>
      </c>
      <c r="H253" s="9" t="s">
        <v>10275</v>
      </c>
      <c r="I253" s="5">
        <v>354.72</v>
      </c>
      <c r="J253" s="5">
        <v>124.32</v>
      </c>
      <c r="K253" s="5">
        <v>643.08000000000004</v>
      </c>
      <c r="L253" s="5">
        <v>235.08</v>
      </c>
      <c r="M253" s="9"/>
      <c r="N253" s="9" t="s">
        <v>10159</v>
      </c>
      <c r="O253" s="9" t="s">
        <v>10276</v>
      </c>
      <c r="P253" s="9" t="str">
        <f t="shared" ref="P253:P262" si="13">HYPERLINK("https://seichotoushi-hojo.jp/assets/pdf/koufu/outline_140.pdf","PDFを開く")</f>
        <v>PDFを開く</v>
      </c>
      <c r="Q253" s="9" t="s">
        <v>484</v>
      </c>
    </row>
    <row r="254" spans="1:17" ht="62.1" customHeight="1">
      <c r="A254" s="2" t="s">
        <v>476</v>
      </c>
      <c r="B254" s="2" t="s">
        <v>73</v>
      </c>
      <c r="C254" s="8" t="s">
        <v>477</v>
      </c>
      <c r="D254" s="2">
        <v>1</v>
      </c>
      <c r="E254" s="8" t="s">
        <v>10156</v>
      </c>
      <c r="F254" s="2">
        <v>2</v>
      </c>
      <c r="G254" s="8" t="s">
        <v>10167</v>
      </c>
      <c r="H254" s="8" t="s">
        <v>10277</v>
      </c>
      <c r="I254" s="2">
        <v>354.72</v>
      </c>
      <c r="J254" s="2">
        <v>239.28</v>
      </c>
      <c r="K254" s="2">
        <v>642</v>
      </c>
      <c r="L254" s="2">
        <v>349.92</v>
      </c>
      <c r="M254" s="8"/>
      <c r="N254" s="8" t="s">
        <v>10159</v>
      </c>
      <c r="O254" s="8" t="s">
        <v>10278</v>
      </c>
      <c r="P254" s="8" t="str">
        <f t="shared" si="13"/>
        <v>PDFを開く</v>
      </c>
      <c r="Q254" s="8" t="s">
        <v>484</v>
      </c>
    </row>
    <row r="255" spans="1:17" ht="62.1" customHeight="1">
      <c r="A255" s="5" t="s">
        <v>476</v>
      </c>
      <c r="B255" s="5" t="s">
        <v>73</v>
      </c>
      <c r="C255" s="9" t="s">
        <v>477</v>
      </c>
      <c r="D255" s="5">
        <v>1</v>
      </c>
      <c r="E255" s="9" t="s">
        <v>10156</v>
      </c>
      <c r="F255" s="5">
        <v>3</v>
      </c>
      <c r="G255" s="9" t="s">
        <v>10167</v>
      </c>
      <c r="H255" s="9" t="s">
        <v>10279</v>
      </c>
      <c r="I255" s="5">
        <v>354.72</v>
      </c>
      <c r="J255" s="5">
        <v>354.24</v>
      </c>
      <c r="K255" s="5">
        <v>642</v>
      </c>
      <c r="L255" s="5">
        <v>464.88</v>
      </c>
      <c r="M255" s="9"/>
      <c r="N255" s="9" t="s">
        <v>10159</v>
      </c>
      <c r="O255" s="9" t="s">
        <v>10280</v>
      </c>
      <c r="P255" s="9" t="str">
        <f t="shared" si="13"/>
        <v>PDFを開く</v>
      </c>
      <c r="Q255" s="9" t="s">
        <v>484</v>
      </c>
    </row>
    <row r="256" spans="1:17" ht="62.1" customHeight="1">
      <c r="A256" s="2" t="s">
        <v>476</v>
      </c>
      <c r="B256" s="2" t="s">
        <v>73</v>
      </c>
      <c r="C256" s="8" t="s">
        <v>477</v>
      </c>
      <c r="D256" s="2">
        <v>1</v>
      </c>
      <c r="E256" s="8" t="s">
        <v>10156</v>
      </c>
      <c r="F256" s="2">
        <v>4</v>
      </c>
      <c r="G256" s="8" t="s">
        <v>10167</v>
      </c>
      <c r="H256" s="8" t="s">
        <v>10281</v>
      </c>
      <c r="I256" s="2">
        <v>355.68</v>
      </c>
      <c r="J256" s="2">
        <v>469.2</v>
      </c>
      <c r="K256" s="2">
        <v>643.08000000000004</v>
      </c>
      <c r="L256" s="2">
        <v>579.84</v>
      </c>
      <c r="M256" s="8"/>
      <c r="N256" s="8" t="s">
        <v>10159</v>
      </c>
      <c r="O256" s="8" t="s">
        <v>10282</v>
      </c>
      <c r="P256" s="8" t="str">
        <f t="shared" si="13"/>
        <v>PDFを開く</v>
      </c>
      <c r="Q256" s="8" t="s">
        <v>484</v>
      </c>
    </row>
    <row r="257" spans="1:17" ht="62.1" customHeight="1">
      <c r="A257" s="5" t="s">
        <v>476</v>
      </c>
      <c r="B257" s="5" t="s">
        <v>73</v>
      </c>
      <c r="C257" s="9" t="s">
        <v>477</v>
      </c>
      <c r="D257" s="5">
        <v>2</v>
      </c>
      <c r="E257" s="9" t="s">
        <v>10156</v>
      </c>
      <c r="F257" s="5">
        <v>1</v>
      </c>
      <c r="G257" s="9" t="s">
        <v>9578</v>
      </c>
      <c r="H257" s="9" t="s">
        <v>9578</v>
      </c>
      <c r="I257" s="5">
        <v>17.399999999999999</v>
      </c>
      <c r="J257" s="5">
        <v>108.24</v>
      </c>
      <c r="K257" s="5">
        <v>408.84</v>
      </c>
      <c r="L257" s="5">
        <v>579</v>
      </c>
      <c r="M257" s="9"/>
      <c r="N257" s="9" t="s">
        <v>10159</v>
      </c>
      <c r="O257" s="9" t="s">
        <v>7676</v>
      </c>
      <c r="P257" s="9" t="str">
        <f t="shared" si="13"/>
        <v>PDFを開く</v>
      </c>
      <c r="Q257" s="9" t="s">
        <v>484</v>
      </c>
    </row>
    <row r="258" spans="1:17" ht="62.1" customHeight="1">
      <c r="A258" s="2" t="s">
        <v>476</v>
      </c>
      <c r="B258" s="2" t="s">
        <v>73</v>
      </c>
      <c r="C258" s="8" t="s">
        <v>477</v>
      </c>
      <c r="D258" s="2">
        <v>2</v>
      </c>
      <c r="E258" s="8" t="s">
        <v>10156</v>
      </c>
      <c r="F258" s="2">
        <v>2</v>
      </c>
      <c r="G258" s="8" t="s">
        <v>10162</v>
      </c>
      <c r="H258" s="8" t="s">
        <v>10162</v>
      </c>
      <c r="I258" s="2">
        <v>427.8</v>
      </c>
      <c r="J258" s="2">
        <v>109.8</v>
      </c>
      <c r="K258" s="2">
        <v>798.48</v>
      </c>
      <c r="L258" s="2">
        <v>347.4</v>
      </c>
      <c r="M258" s="8"/>
      <c r="N258" s="8" t="s">
        <v>10159</v>
      </c>
      <c r="O258" s="8" t="s">
        <v>7677</v>
      </c>
      <c r="P258" s="8" t="str">
        <f t="shared" si="13"/>
        <v>PDFを開く</v>
      </c>
      <c r="Q258" s="8" t="s">
        <v>484</v>
      </c>
    </row>
    <row r="259" spans="1:17" ht="62.1" customHeight="1">
      <c r="A259" s="5" t="s">
        <v>476</v>
      </c>
      <c r="B259" s="5" t="s">
        <v>73</v>
      </c>
      <c r="C259" s="9" t="s">
        <v>477</v>
      </c>
      <c r="D259" s="5">
        <v>2</v>
      </c>
      <c r="E259" s="9" t="s">
        <v>10156</v>
      </c>
      <c r="F259" s="5">
        <v>3</v>
      </c>
      <c r="G259" s="9" t="s">
        <v>10163</v>
      </c>
      <c r="H259" s="9" t="s">
        <v>10163</v>
      </c>
      <c r="I259" s="5">
        <v>427.8</v>
      </c>
      <c r="J259" s="5">
        <v>354.48</v>
      </c>
      <c r="K259" s="5">
        <v>798.48</v>
      </c>
      <c r="L259" s="5">
        <v>579.12</v>
      </c>
      <c r="M259" s="9"/>
      <c r="N259" s="9" t="s">
        <v>10159</v>
      </c>
      <c r="O259" s="9" t="s">
        <v>7678</v>
      </c>
      <c r="P259" s="9" t="str">
        <f t="shared" si="13"/>
        <v>PDFを開く</v>
      </c>
      <c r="Q259" s="9" t="s">
        <v>484</v>
      </c>
    </row>
    <row r="260" spans="1:17" ht="62.1" customHeight="1">
      <c r="A260" s="2" t="s">
        <v>476</v>
      </c>
      <c r="B260" s="2" t="s">
        <v>73</v>
      </c>
      <c r="C260" s="8" t="s">
        <v>477</v>
      </c>
      <c r="D260" s="2">
        <v>3</v>
      </c>
      <c r="E260" s="8" t="s">
        <v>10165</v>
      </c>
      <c r="F260" s="2">
        <v>1</v>
      </c>
      <c r="G260" s="8" t="s">
        <v>10167</v>
      </c>
      <c r="H260" s="8" t="s">
        <v>3504</v>
      </c>
      <c r="I260" s="2">
        <v>136.91999999999999</v>
      </c>
      <c r="J260" s="2">
        <v>447.84</v>
      </c>
      <c r="K260" s="2">
        <v>566.76</v>
      </c>
      <c r="L260" s="2">
        <v>478.32</v>
      </c>
      <c r="M260" s="8"/>
      <c r="N260" s="8" t="s">
        <v>10159</v>
      </c>
      <c r="O260" s="8" t="s">
        <v>10186</v>
      </c>
      <c r="P260" s="8" t="str">
        <f t="shared" si="13"/>
        <v>PDFを開く</v>
      </c>
      <c r="Q260" s="8" t="s">
        <v>484</v>
      </c>
    </row>
    <row r="261" spans="1:17" ht="62.1" customHeight="1">
      <c r="A261" s="5" t="s">
        <v>476</v>
      </c>
      <c r="B261" s="5" t="s">
        <v>73</v>
      </c>
      <c r="C261" s="9" t="s">
        <v>477</v>
      </c>
      <c r="D261" s="5">
        <v>4</v>
      </c>
      <c r="E261" s="9" t="s">
        <v>10165</v>
      </c>
      <c r="F261" s="5">
        <v>1</v>
      </c>
      <c r="G261" s="9" t="s">
        <v>10167</v>
      </c>
      <c r="H261" s="9" t="s">
        <v>10283</v>
      </c>
      <c r="I261" s="5">
        <v>31.92</v>
      </c>
      <c r="J261" s="5">
        <v>161.76</v>
      </c>
      <c r="K261" s="5">
        <v>276.60000000000002</v>
      </c>
      <c r="L261" s="5">
        <v>443.28</v>
      </c>
      <c r="M261" s="9"/>
      <c r="N261" s="9" t="s">
        <v>10159</v>
      </c>
      <c r="O261" s="9" t="s">
        <v>10284</v>
      </c>
      <c r="P261" s="9" t="str">
        <f t="shared" si="13"/>
        <v>PDFを開く</v>
      </c>
      <c r="Q261" s="9" t="s">
        <v>484</v>
      </c>
    </row>
    <row r="262" spans="1:17" ht="62.1" customHeight="1">
      <c r="A262" s="2" t="s">
        <v>476</v>
      </c>
      <c r="B262" s="2" t="s">
        <v>73</v>
      </c>
      <c r="C262" s="8" t="s">
        <v>477</v>
      </c>
      <c r="D262" s="2">
        <v>4</v>
      </c>
      <c r="E262" s="8" t="s">
        <v>10165</v>
      </c>
      <c r="F262" s="2">
        <v>2</v>
      </c>
      <c r="G262" s="8" t="s">
        <v>10167</v>
      </c>
      <c r="H262" s="8" t="s">
        <v>10283</v>
      </c>
      <c r="I262" s="2">
        <v>308.16000000000003</v>
      </c>
      <c r="J262" s="2">
        <v>161.76</v>
      </c>
      <c r="K262" s="2">
        <v>548.52</v>
      </c>
      <c r="L262" s="2">
        <v>443.28</v>
      </c>
      <c r="M262" s="8"/>
      <c r="N262" s="8" t="s">
        <v>10159</v>
      </c>
      <c r="O262" s="8" t="s">
        <v>10285</v>
      </c>
      <c r="P262" s="8" t="str">
        <f t="shared" si="13"/>
        <v>PDFを開く</v>
      </c>
      <c r="Q262" s="8" t="s">
        <v>484</v>
      </c>
    </row>
    <row r="263" spans="1:17" ht="62.1" customHeight="1">
      <c r="A263" s="5" t="s">
        <v>485</v>
      </c>
      <c r="B263" s="5" t="s">
        <v>73</v>
      </c>
      <c r="C263" s="9" t="s">
        <v>486</v>
      </c>
      <c r="D263" s="5">
        <v>1</v>
      </c>
      <c r="E263" s="9" t="s">
        <v>10156</v>
      </c>
      <c r="F263" s="5">
        <v>1</v>
      </c>
      <c r="G263" s="9" t="s">
        <v>9578</v>
      </c>
      <c r="H263" s="9" t="s">
        <v>9578</v>
      </c>
      <c r="I263" s="5">
        <v>39.92</v>
      </c>
      <c r="J263" s="5">
        <v>108.42</v>
      </c>
      <c r="K263" s="5">
        <v>379.05</v>
      </c>
      <c r="L263" s="5">
        <v>523.13</v>
      </c>
      <c r="M263" s="9"/>
      <c r="N263" s="9" t="s">
        <v>10159</v>
      </c>
      <c r="O263" s="9" t="s">
        <v>7683</v>
      </c>
      <c r="P263" s="9" t="str">
        <f>HYPERLINK("https://seichotoushi-hojo.jp/assets/pdf/koufu/outline_141.pdf","PDFを開く")</f>
        <v>PDFを開く</v>
      </c>
      <c r="Q263" s="9" t="s">
        <v>494</v>
      </c>
    </row>
    <row r="264" spans="1:17" ht="62.1" customHeight="1">
      <c r="A264" s="2" t="s">
        <v>485</v>
      </c>
      <c r="B264" s="2" t="s">
        <v>73</v>
      </c>
      <c r="C264" s="8" t="s">
        <v>486</v>
      </c>
      <c r="D264" s="2">
        <v>1</v>
      </c>
      <c r="E264" s="8" t="s">
        <v>10156</v>
      </c>
      <c r="F264" s="2">
        <v>2</v>
      </c>
      <c r="G264" s="8" t="s">
        <v>10162</v>
      </c>
      <c r="H264" s="8" t="s">
        <v>10162</v>
      </c>
      <c r="I264" s="2">
        <v>396.57</v>
      </c>
      <c r="J264" s="2">
        <v>108.82</v>
      </c>
      <c r="K264" s="2">
        <v>740.05</v>
      </c>
      <c r="L264" s="2">
        <v>315.36</v>
      </c>
      <c r="M264" s="8"/>
      <c r="N264" s="8" t="s">
        <v>10159</v>
      </c>
      <c r="O264" s="8" t="s">
        <v>7684</v>
      </c>
      <c r="P264" s="8" t="str">
        <f>HYPERLINK("https://seichotoushi-hojo.jp/assets/pdf/koufu/outline_141.pdf","PDFを開く")</f>
        <v>PDFを開く</v>
      </c>
      <c r="Q264" s="8" t="s">
        <v>494</v>
      </c>
    </row>
    <row r="265" spans="1:17" ht="62.1" customHeight="1">
      <c r="A265" s="5" t="s">
        <v>485</v>
      </c>
      <c r="B265" s="5" t="s">
        <v>73</v>
      </c>
      <c r="C265" s="9" t="s">
        <v>486</v>
      </c>
      <c r="D265" s="5">
        <v>1</v>
      </c>
      <c r="E265" s="9" t="s">
        <v>10156</v>
      </c>
      <c r="F265" s="5">
        <v>3</v>
      </c>
      <c r="G265" s="9" t="s">
        <v>10163</v>
      </c>
      <c r="H265" s="9" t="s">
        <v>10163</v>
      </c>
      <c r="I265" s="5">
        <v>396.57</v>
      </c>
      <c r="J265" s="5">
        <v>315.36</v>
      </c>
      <c r="K265" s="5">
        <v>740.05</v>
      </c>
      <c r="L265" s="5">
        <v>525.15</v>
      </c>
      <c r="M265" s="9"/>
      <c r="N265" s="9" t="s">
        <v>10159</v>
      </c>
      <c r="O265" s="9" t="s">
        <v>7685</v>
      </c>
      <c r="P265" s="9" t="str">
        <f>HYPERLINK("https://seichotoushi-hojo.jp/assets/pdf/koufu/outline_141.pdf","PDFを開く")</f>
        <v>PDFを開く</v>
      </c>
      <c r="Q265" s="9" t="s">
        <v>494</v>
      </c>
    </row>
    <row r="266" spans="1:17" ht="62.1" customHeight="1">
      <c r="A266" s="2" t="s">
        <v>485</v>
      </c>
      <c r="B266" s="2" t="s">
        <v>73</v>
      </c>
      <c r="C266" s="8" t="s">
        <v>486</v>
      </c>
      <c r="D266" s="2">
        <v>1</v>
      </c>
      <c r="E266" s="8" t="s">
        <v>10156</v>
      </c>
      <c r="F266" s="2">
        <v>4</v>
      </c>
      <c r="G266" s="8" t="s">
        <v>8581</v>
      </c>
      <c r="H266" s="8" t="s">
        <v>8581</v>
      </c>
      <c r="I266" s="2">
        <v>44.13</v>
      </c>
      <c r="J266" s="2">
        <v>427.92</v>
      </c>
      <c r="K266" s="2">
        <v>373</v>
      </c>
      <c r="L266" s="2">
        <v>519.48</v>
      </c>
      <c r="M266" s="8"/>
      <c r="N266" s="8" t="s">
        <v>10159</v>
      </c>
      <c r="O266" s="8" t="s">
        <v>7686</v>
      </c>
      <c r="P266" s="8" t="str">
        <f>HYPERLINK("https://seichotoushi-hojo.jp/assets/pdf/koufu/outline_141.pdf","PDFを開く")</f>
        <v>PDFを開く</v>
      </c>
      <c r="Q266" s="8" t="s">
        <v>494</v>
      </c>
    </row>
    <row r="267" spans="1:17" ht="62.1" customHeight="1">
      <c r="A267" s="5" t="s">
        <v>495</v>
      </c>
      <c r="B267" s="5" t="s">
        <v>73</v>
      </c>
      <c r="C267" s="9" t="s">
        <v>496</v>
      </c>
      <c r="D267" s="5">
        <v>1</v>
      </c>
      <c r="E267" s="9" t="s">
        <v>10156</v>
      </c>
      <c r="F267" s="5">
        <v>1</v>
      </c>
      <c r="G267" s="9" t="s">
        <v>10162</v>
      </c>
      <c r="H267" s="9" t="s">
        <v>10162</v>
      </c>
      <c r="I267" s="5">
        <v>428.4</v>
      </c>
      <c r="J267" s="5">
        <v>120.12</v>
      </c>
      <c r="K267" s="5">
        <v>799.08</v>
      </c>
      <c r="L267" s="5">
        <v>322.44</v>
      </c>
      <c r="M267" s="9"/>
      <c r="N267" s="9" t="s">
        <v>10159</v>
      </c>
      <c r="O267" s="9" t="s">
        <v>7692</v>
      </c>
      <c r="P267" s="9" t="str">
        <f t="shared" ref="P267:P287" si="14">HYPERLINK("https://seichotoushi-hojo.jp/assets/pdf/koufu/outline_143.pdf","PDFを開く")</f>
        <v>PDFを開く</v>
      </c>
      <c r="Q267" s="9" t="s">
        <v>503</v>
      </c>
    </row>
    <row r="268" spans="1:17" ht="62.1" customHeight="1">
      <c r="A268" s="2" t="s">
        <v>495</v>
      </c>
      <c r="B268" s="2" t="s">
        <v>73</v>
      </c>
      <c r="C268" s="8" t="s">
        <v>496</v>
      </c>
      <c r="D268" s="2">
        <v>1</v>
      </c>
      <c r="E268" s="8" t="s">
        <v>10156</v>
      </c>
      <c r="F268" s="2">
        <v>2</v>
      </c>
      <c r="G268" s="8" t="s">
        <v>9578</v>
      </c>
      <c r="H268" s="8" t="s">
        <v>9578</v>
      </c>
      <c r="I268" s="2">
        <v>42.84</v>
      </c>
      <c r="J268" s="2">
        <v>122.88</v>
      </c>
      <c r="K268" s="2">
        <v>408.84</v>
      </c>
      <c r="L268" s="2">
        <v>552.36</v>
      </c>
      <c r="M268" s="8"/>
      <c r="N268" s="8" t="s">
        <v>10159</v>
      </c>
      <c r="O268" s="8" t="s">
        <v>7691</v>
      </c>
      <c r="P268" s="8" t="str">
        <f t="shared" si="14"/>
        <v>PDFを開く</v>
      </c>
      <c r="Q268" s="8" t="s">
        <v>503</v>
      </c>
    </row>
    <row r="269" spans="1:17" ht="62.1" customHeight="1">
      <c r="A269" s="5" t="s">
        <v>495</v>
      </c>
      <c r="B269" s="5" t="s">
        <v>73</v>
      </c>
      <c r="C269" s="9" t="s">
        <v>496</v>
      </c>
      <c r="D269" s="5">
        <v>1</v>
      </c>
      <c r="E269" s="9" t="s">
        <v>10156</v>
      </c>
      <c r="F269" s="5">
        <v>3</v>
      </c>
      <c r="G269" s="9" t="s">
        <v>10163</v>
      </c>
      <c r="H269" s="9" t="s">
        <v>10163</v>
      </c>
      <c r="I269" s="5">
        <v>427.8</v>
      </c>
      <c r="J269" s="5">
        <v>332.88</v>
      </c>
      <c r="K269" s="5">
        <v>798.48</v>
      </c>
      <c r="L269" s="5">
        <v>552.36</v>
      </c>
      <c r="M269" s="9"/>
      <c r="N269" s="9" t="s">
        <v>10159</v>
      </c>
      <c r="O269" s="9" t="s">
        <v>7693</v>
      </c>
      <c r="P269" s="9" t="str">
        <f t="shared" si="14"/>
        <v>PDFを開く</v>
      </c>
      <c r="Q269" s="9" t="s">
        <v>503</v>
      </c>
    </row>
    <row r="270" spans="1:17" ht="62.1" customHeight="1">
      <c r="A270" s="2" t="s">
        <v>495</v>
      </c>
      <c r="B270" s="2" t="s">
        <v>73</v>
      </c>
      <c r="C270" s="8" t="s">
        <v>496</v>
      </c>
      <c r="D270" s="2">
        <v>1</v>
      </c>
      <c r="E270" s="8" t="s">
        <v>10156</v>
      </c>
      <c r="F270" s="2">
        <v>4</v>
      </c>
      <c r="G270" s="8" t="s">
        <v>8581</v>
      </c>
      <c r="H270" s="8" t="s">
        <v>8581</v>
      </c>
      <c r="I270" s="2">
        <v>53.4</v>
      </c>
      <c r="J270" s="2">
        <v>427.56</v>
      </c>
      <c r="K270" s="2">
        <v>398.28</v>
      </c>
      <c r="L270" s="2">
        <v>527.4</v>
      </c>
      <c r="M270" s="8"/>
      <c r="N270" s="8" t="s">
        <v>10159</v>
      </c>
      <c r="O270" s="8" t="s">
        <v>501</v>
      </c>
      <c r="P270" s="8" t="str">
        <f t="shared" si="14"/>
        <v>PDFを開く</v>
      </c>
      <c r="Q270" s="8" t="s">
        <v>503</v>
      </c>
    </row>
    <row r="271" spans="1:17" ht="62.1" customHeight="1">
      <c r="A271" s="5" t="s">
        <v>495</v>
      </c>
      <c r="B271" s="5" t="s">
        <v>73</v>
      </c>
      <c r="C271" s="9" t="s">
        <v>496</v>
      </c>
      <c r="D271" s="5">
        <v>4</v>
      </c>
      <c r="E271" s="9" t="s">
        <v>10165</v>
      </c>
      <c r="F271" s="5">
        <v>1</v>
      </c>
      <c r="G271" s="9" t="s">
        <v>10167</v>
      </c>
      <c r="H271" s="9" t="s">
        <v>10286</v>
      </c>
      <c r="I271" s="5">
        <v>125.16</v>
      </c>
      <c r="J271" s="5">
        <v>134.52000000000001</v>
      </c>
      <c r="K271" s="5">
        <v>486.36</v>
      </c>
      <c r="L271" s="5">
        <v>195.72</v>
      </c>
      <c r="M271" s="9"/>
      <c r="N271" s="9" t="s">
        <v>10159</v>
      </c>
      <c r="O271" s="9" t="s">
        <v>10287</v>
      </c>
      <c r="P271" s="9" t="str">
        <f t="shared" si="14"/>
        <v>PDFを開く</v>
      </c>
      <c r="Q271" s="9" t="s">
        <v>503</v>
      </c>
    </row>
    <row r="272" spans="1:17" ht="62.1" customHeight="1">
      <c r="A272" s="2" t="s">
        <v>495</v>
      </c>
      <c r="B272" s="2" t="s">
        <v>73</v>
      </c>
      <c r="C272" s="8" t="s">
        <v>496</v>
      </c>
      <c r="D272" s="2">
        <v>4</v>
      </c>
      <c r="E272" s="8" t="s">
        <v>10165</v>
      </c>
      <c r="F272" s="2">
        <v>2</v>
      </c>
      <c r="G272" s="8" t="s">
        <v>10167</v>
      </c>
      <c r="H272" s="8" t="s">
        <v>10288</v>
      </c>
      <c r="I272" s="2">
        <v>124.8</v>
      </c>
      <c r="J272" s="2">
        <v>200.04</v>
      </c>
      <c r="K272" s="2">
        <v>486</v>
      </c>
      <c r="L272" s="2">
        <v>280.68</v>
      </c>
      <c r="M272" s="8"/>
      <c r="N272" s="8" t="s">
        <v>10159</v>
      </c>
      <c r="O272" s="8" t="s">
        <v>10289</v>
      </c>
      <c r="P272" s="8" t="str">
        <f t="shared" si="14"/>
        <v>PDFを開く</v>
      </c>
      <c r="Q272" s="8" t="s">
        <v>503</v>
      </c>
    </row>
    <row r="273" spans="1:17" ht="62.1" customHeight="1">
      <c r="A273" s="5" t="s">
        <v>495</v>
      </c>
      <c r="B273" s="5" t="s">
        <v>73</v>
      </c>
      <c r="C273" s="9" t="s">
        <v>496</v>
      </c>
      <c r="D273" s="5">
        <v>4</v>
      </c>
      <c r="E273" s="9" t="s">
        <v>10165</v>
      </c>
      <c r="F273" s="5">
        <v>3</v>
      </c>
      <c r="G273" s="9" t="s">
        <v>10167</v>
      </c>
      <c r="H273" s="9" t="s">
        <v>10290</v>
      </c>
      <c r="I273" s="5">
        <v>124.44</v>
      </c>
      <c r="J273" s="5">
        <v>285</v>
      </c>
      <c r="K273" s="5">
        <v>485.52</v>
      </c>
      <c r="L273" s="5">
        <v>353.76</v>
      </c>
      <c r="M273" s="9"/>
      <c r="N273" s="9" t="s">
        <v>10159</v>
      </c>
      <c r="O273" s="9" t="s">
        <v>10291</v>
      </c>
      <c r="P273" s="9" t="str">
        <f t="shared" si="14"/>
        <v>PDFを開く</v>
      </c>
      <c r="Q273" s="9" t="s">
        <v>503</v>
      </c>
    </row>
    <row r="274" spans="1:17" ht="62.1" customHeight="1">
      <c r="A274" s="2" t="s">
        <v>495</v>
      </c>
      <c r="B274" s="2" t="s">
        <v>73</v>
      </c>
      <c r="C274" s="8" t="s">
        <v>496</v>
      </c>
      <c r="D274" s="2">
        <v>4</v>
      </c>
      <c r="E274" s="8" t="s">
        <v>10165</v>
      </c>
      <c r="F274" s="2">
        <v>4</v>
      </c>
      <c r="G274" s="8" t="s">
        <v>10167</v>
      </c>
      <c r="H274" s="8" t="s">
        <v>10286</v>
      </c>
      <c r="I274" s="2">
        <v>125.16</v>
      </c>
      <c r="J274" s="2">
        <v>383.04</v>
      </c>
      <c r="K274" s="2">
        <v>485.52</v>
      </c>
      <c r="L274" s="2">
        <v>437.04</v>
      </c>
      <c r="M274" s="8"/>
      <c r="N274" s="8" t="s">
        <v>10159</v>
      </c>
      <c r="O274" s="8" t="s">
        <v>10292</v>
      </c>
      <c r="P274" s="8" t="str">
        <f t="shared" si="14"/>
        <v>PDFを開く</v>
      </c>
      <c r="Q274" s="8" t="s">
        <v>503</v>
      </c>
    </row>
    <row r="275" spans="1:17" ht="62.1" customHeight="1">
      <c r="A275" s="5" t="s">
        <v>495</v>
      </c>
      <c r="B275" s="5" t="s">
        <v>73</v>
      </c>
      <c r="C275" s="9" t="s">
        <v>496</v>
      </c>
      <c r="D275" s="5">
        <v>4</v>
      </c>
      <c r="E275" s="9" t="s">
        <v>10165</v>
      </c>
      <c r="F275" s="5">
        <v>5</v>
      </c>
      <c r="G275" s="9" t="s">
        <v>10167</v>
      </c>
      <c r="H275" s="9" t="s">
        <v>10288</v>
      </c>
      <c r="I275" s="5">
        <v>125.16</v>
      </c>
      <c r="J275" s="5">
        <v>440.52</v>
      </c>
      <c r="K275" s="5">
        <v>485.52</v>
      </c>
      <c r="L275" s="5">
        <v>511.8</v>
      </c>
      <c r="M275" s="9"/>
      <c r="N275" s="9" t="s">
        <v>10159</v>
      </c>
      <c r="O275" s="9" t="s">
        <v>10293</v>
      </c>
      <c r="P275" s="9" t="str">
        <f t="shared" si="14"/>
        <v>PDFを開く</v>
      </c>
      <c r="Q275" s="9" t="s">
        <v>503</v>
      </c>
    </row>
    <row r="276" spans="1:17" ht="62.1" customHeight="1">
      <c r="A276" s="2" t="s">
        <v>495</v>
      </c>
      <c r="B276" s="2" t="s">
        <v>73</v>
      </c>
      <c r="C276" s="8" t="s">
        <v>496</v>
      </c>
      <c r="D276" s="2">
        <v>4</v>
      </c>
      <c r="E276" s="8" t="s">
        <v>10165</v>
      </c>
      <c r="F276" s="2">
        <v>6</v>
      </c>
      <c r="G276" s="8" t="s">
        <v>10167</v>
      </c>
      <c r="H276" s="8" t="s">
        <v>10290</v>
      </c>
      <c r="I276" s="2">
        <v>125.16</v>
      </c>
      <c r="J276" s="2">
        <v>515.4</v>
      </c>
      <c r="K276" s="2">
        <v>485.52</v>
      </c>
      <c r="L276" s="2">
        <v>569.4</v>
      </c>
      <c r="M276" s="8"/>
      <c r="N276" s="8" t="s">
        <v>10159</v>
      </c>
      <c r="O276" s="8" t="s">
        <v>10294</v>
      </c>
      <c r="P276" s="8" t="str">
        <f t="shared" si="14"/>
        <v>PDFを開く</v>
      </c>
      <c r="Q276" s="8" t="s">
        <v>503</v>
      </c>
    </row>
    <row r="277" spans="1:17" ht="62.1" customHeight="1">
      <c r="A277" s="5" t="s">
        <v>495</v>
      </c>
      <c r="B277" s="5" t="s">
        <v>73</v>
      </c>
      <c r="C277" s="9" t="s">
        <v>496</v>
      </c>
      <c r="D277" s="5">
        <v>5</v>
      </c>
      <c r="E277" s="9" t="s">
        <v>10165</v>
      </c>
      <c r="F277" s="5">
        <v>1</v>
      </c>
      <c r="G277" s="9" t="s">
        <v>10167</v>
      </c>
      <c r="H277" s="9" t="s">
        <v>10286</v>
      </c>
      <c r="I277" s="5">
        <v>125.16</v>
      </c>
      <c r="J277" s="5">
        <v>139.91999999999999</v>
      </c>
      <c r="K277" s="5">
        <v>485.52</v>
      </c>
      <c r="L277" s="5">
        <v>193.92</v>
      </c>
      <c r="M277" s="9"/>
      <c r="N277" s="9" t="s">
        <v>10159</v>
      </c>
      <c r="O277" s="9" t="s">
        <v>10295</v>
      </c>
      <c r="P277" s="9" t="str">
        <f t="shared" si="14"/>
        <v>PDFを開く</v>
      </c>
      <c r="Q277" s="9" t="s">
        <v>503</v>
      </c>
    </row>
    <row r="278" spans="1:17" ht="62.1" customHeight="1">
      <c r="A278" s="2" t="s">
        <v>495</v>
      </c>
      <c r="B278" s="2" t="s">
        <v>73</v>
      </c>
      <c r="C278" s="8" t="s">
        <v>496</v>
      </c>
      <c r="D278" s="2">
        <v>5</v>
      </c>
      <c r="E278" s="8" t="s">
        <v>10165</v>
      </c>
      <c r="F278" s="2">
        <v>2</v>
      </c>
      <c r="G278" s="8" t="s">
        <v>10167</v>
      </c>
      <c r="H278" s="8" t="s">
        <v>10288</v>
      </c>
      <c r="I278" s="2">
        <v>125.16</v>
      </c>
      <c r="J278" s="2">
        <v>196.92</v>
      </c>
      <c r="K278" s="2">
        <v>485.52</v>
      </c>
      <c r="L278" s="2">
        <v>263.16000000000003</v>
      </c>
      <c r="M278" s="8"/>
      <c r="N278" s="8" t="s">
        <v>10159</v>
      </c>
      <c r="O278" s="8" t="s">
        <v>10296</v>
      </c>
      <c r="P278" s="8" t="str">
        <f t="shared" si="14"/>
        <v>PDFを開く</v>
      </c>
      <c r="Q278" s="8" t="s">
        <v>503</v>
      </c>
    </row>
    <row r="279" spans="1:17" ht="62.1" customHeight="1">
      <c r="A279" s="5" t="s">
        <v>495</v>
      </c>
      <c r="B279" s="5" t="s">
        <v>73</v>
      </c>
      <c r="C279" s="9" t="s">
        <v>496</v>
      </c>
      <c r="D279" s="5">
        <v>5</v>
      </c>
      <c r="E279" s="9" t="s">
        <v>10165</v>
      </c>
      <c r="F279" s="5">
        <v>3</v>
      </c>
      <c r="G279" s="9" t="s">
        <v>10167</v>
      </c>
      <c r="H279" s="9" t="s">
        <v>10290</v>
      </c>
      <c r="I279" s="5">
        <v>125.16</v>
      </c>
      <c r="J279" s="5">
        <v>266.88</v>
      </c>
      <c r="K279" s="5">
        <v>485.52</v>
      </c>
      <c r="L279" s="5">
        <v>320.88</v>
      </c>
      <c r="M279" s="9"/>
      <c r="N279" s="9" t="s">
        <v>10159</v>
      </c>
      <c r="O279" s="9" t="s">
        <v>10297</v>
      </c>
      <c r="P279" s="9" t="str">
        <f t="shared" si="14"/>
        <v>PDFを開く</v>
      </c>
      <c r="Q279" s="9" t="s">
        <v>503</v>
      </c>
    </row>
    <row r="280" spans="1:17" ht="62.1" customHeight="1">
      <c r="A280" s="2" t="s">
        <v>495</v>
      </c>
      <c r="B280" s="2" t="s">
        <v>73</v>
      </c>
      <c r="C280" s="8" t="s">
        <v>496</v>
      </c>
      <c r="D280" s="2">
        <v>5</v>
      </c>
      <c r="E280" s="8" t="s">
        <v>10165</v>
      </c>
      <c r="F280" s="2">
        <v>4</v>
      </c>
      <c r="G280" s="8" t="s">
        <v>10167</v>
      </c>
      <c r="H280" s="8" t="s">
        <v>10286</v>
      </c>
      <c r="I280" s="2">
        <v>129.24</v>
      </c>
      <c r="J280" s="2">
        <v>358.08</v>
      </c>
      <c r="K280" s="2">
        <v>489.6</v>
      </c>
      <c r="L280" s="2">
        <v>407.28</v>
      </c>
      <c r="M280" s="8"/>
      <c r="N280" s="8" t="s">
        <v>10159</v>
      </c>
      <c r="O280" s="8" t="s">
        <v>10298</v>
      </c>
      <c r="P280" s="8" t="str">
        <f t="shared" si="14"/>
        <v>PDFを開く</v>
      </c>
      <c r="Q280" s="8" t="s">
        <v>503</v>
      </c>
    </row>
    <row r="281" spans="1:17" ht="62.1" customHeight="1">
      <c r="A281" s="5" t="s">
        <v>495</v>
      </c>
      <c r="B281" s="5" t="s">
        <v>73</v>
      </c>
      <c r="C281" s="9" t="s">
        <v>496</v>
      </c>
      <c r="D281" s="5">
        <v>5</v>
      </c>
      <c r="E281" s="9" t="s">
        <v>10165</v>
      </c>
      <c r="F281" s="5">
        <v>5</v>
      </c>
      <c r="G281" s="9" t="s">
        <v>10167</v>
      </c>
      <c r="H281" s="9" t="s">
        <v>10288</v>
      </c>
      <c r="I281" s="5">
        <v>129.24</v>
      </c>
      <c r="J281" s="5">
        <v>415.68</v>
      </c>
      <c r="K281" s="5">
        <v>489.6</v>
      </c>
      <c r="L281" s="5">
        <v>475.92</v>
      </c>
      <c r="M281" s="9"/>
      <c r="N281" s="9" t="s">
        <v>10159</v>
      </c>
      <c r="O281" s="9" t="s">
        <v>10299</v>
      </c>
      <c r="P281" s="9" t="str">
        <f t="shared" si="14"/>
        <v>PDFを開く</v>
      </c>
      <c r="Q281" s="9" t="s">
        <v>503</v>
      </c>
    </row>
    <row r="282" spans="1:17" ht="62.1" customHeight="1">
      <c r="A282" s="2" t="s">
        <v>495</v>
      </c>
      <c r="B282" s="2" t="s">
        <v>73</v>
      </c>
      <c r="C282" s="8" t="s">
        <v>496</v>
      </c>
      <c r="D282" s="2">
        <v>6</v>
      </c>
      <c r="E282" s="8" t="s">
        <v>10165</v>
      </c>
      <c r="F282" s="2">
        <v>1</v>
      </c>
      <c r="G282" s="8" t="s">
        <v>10167</v>
      </c>
      <c r="H282" s="8" t="s">
        <v>10286</v>
      </c>
      <c r="I282" s="2">
        <v>125.16</v>
      </c>
      <c r="J282" s="2">
        <v>135.36000000000001</v>
      </c>
      <c r="K282" s="2">
        <v>485.52</v>
      </c>
      <c r="L282" s="2">
        <v>174.84</v>
      </c>
      <c r="M282" s="8"/>
      <c r="N282" s="8" t="s">
        <v>10159</v>
      </c>
      <c r="O282" s="8" t="s">
        <v>10300</v>
      </c>
      <c r="P282" s="8" t="str">
        <f t="shared" si="14"/>
        <v>PDFを開く</v>
      </c>
      <c r="Q282" s="8" t="s">
        <v>503</v>
      </c>
    </row>
    <row r="283" spans="1:17" ht="62.1" customHeight="1">
      <c r="A283" s="5" t="s">
        <v>495</v>
      </c>
      <c r="B283" s="5" t="s">
        <v>73</v>
      </c>
      <c r="C283" s="9" t="s">
        <v>496</v>
      </c>
      <c r="D283" s="5">
        <v>6</v>
      </c>
      <c r="E283" s="9" t="s">
        <v>10165</v>
      </c>
      <c r="F283" s="5">
        <v>2</v>
      </c>
      <c r="G283" s="9" t="s">
        <v>10167</v>
      </c>
      <c r="H283" s="9" t="s">
        <v>10288</v>
      </c>
      <c r="I283" s="5">
        <v>125.16</v>
      </c>
      <c r="J283" s="5">
        <v>178.56</v>
      </c>
      <c r="K283" s="5">
        <v>485.52</v>
      </c>
      <c r="L283" s="5">
        <v>265.56</v>
      </c>
      <c r="M283" s="9"/>
      <c r="N283" s="9" t="s">
        <v>10159</v>
      </c>
      <c r="O283" s="9" t="s">
        <v>10301</v>
      </c>
      <c r="P283" s="9" t="str">
        <f t="shared" si="14"/>
        <v>PDFを開く</v>
      </c>
      <c r="Q283" s="9" t="s">
        <v>503</v>
      </c>
    </row>
    <row r="284" spans="1:17" ht="62.1" customHeight="1">
      <c r="A284" s="2" t="s">
        <v>495</v>
      </c>
      <c r="B284" s="2" t="s">
        <v>73</v>
      </c>
      <c r="C284" s="8" t="s">
        <v>496</v>
      </c>
      <c r="D284" s="2">
        <v>6</v>
      </c>
      <c r="E284" s="8" t="s">
        <v>10165</v>
      </c>
      <c r="F284" s="2">
        <v>3</v>
      </c>
      <c r="G284" s="8" t="s">
        <v>10167</v>
      </c>
      <c r="H284" s="8" t="s">
        <v>10290</v>
      </c>
      <c r="I284" s="2">
        <v>125.16</v>
      </c>
      <c r="J284" s="2">
        <v>269.27999999999997</v>
      </c>
      <c r="K284" s="2">
        <v>485.52</v>
      </c>
      <c r="L284" s="2">
        <v>331.2</v>
      </c>
      <c r="M284" s="8"/>
      <c r="N284" s="8" t="s">
        <v>10159</v>
      </c>
      <c r="O284" s="8" t="s">
        <v>10302</v>
      </c>
      <c r="P284" s="8" t="str">
        <f t="shared" si="14"/>
        <v>PDFを開く</v>
      </c>
      <c r="Q284" s="8" t="s">
        <v>503</v>
      </c>
    </row>
    <row r="285" spans="1:17" ht="62.1" customHeight="1">
      <c r="A285" s="5" t="s">
        <v>495</v>
      </c>
      <c r="B285" s="5" t="s">
        <v>73</v>
      </c>
      <c r="C285" s="9" t="s">
        <v>496</v>
      </c>
      <c r="D285" s="5">
        <v>6</v>
      </c>
      <c r="E285" s="9" t="s">
        <v>10165</v>
      </c>
      <c r="F285" s="5">
        <v>4</v>
      </c>
      <c r="G285" s="9" t="s">
        <v>10167</v>
      </c>
      <c r="H285" s="9" t="s">
        <v>10286</v>
      </c>
      <c r="I285" s="5">
        <v>125.16</v>
      </c>
      <c r="J285" s="5">
        <v>375.6</v>
      </c>
      <c r="K285" s="5">
        <v>485.52</v>
      </c>
      <c r="L285" s="5">
        <v>420.24</v>
      </c>
      <c r="M285" s="9"/>
      <c r="N285" s="9" t="s">
        <v>10159</v>
      </c>
      <c r="O285" s="9" t="s">
        <v>10303</v>
      </c>
      <c r="P285" s="9" t="str">
        <f t="shared" si="14"/>
        <v>PDFを開く</v>
      </c>
      <c r="Q285" s="9" t="s">
        <v>503</v>
      </c>
    </row>
    <row r="286" spans="1:17" ht="62.1" customHeight="1">
      <c r="A286" s="2" t="s">
        <v>495</v>
      </c>
      <c r="B286" s="2" t="s">
        <v>73</v>
      </c>
      <c r="C286" s="8" t="s">
        <v>496</v>
      </c>
      <c r="D286" s="2">
        <v>6</v>
      </c>
      <c r="E286" s="8" t="s">
        <v>10165</v>
      </c>
      <c r="F286" s="2">
        <v>5</v>
      </c>
      <c r="G286" s="8" t="s">
        <v>10167</v>
      </c>
      <c r="H286" s="8" t="s">
        <v>10288</v>
      </c>
      <c r="I286" s="2">
        <v>125.16</v>
      </c>
      <c r="J286" s="2">
        <v>423.6</v>
      </c>
      <c r="K286" s="2">
        <v>485.52</v>
      </c>
      <c r="L286" s="2">
        <v>512.28</v>
      </c>
      <c r="M286" s="8"/>
      <c r="N286" s="8" t="s">
        <v>10159</v>
      </c>
      <c r="O286" s="8" t="s">
        <v>10304</v>
      </c>
      <c r="P286" s="8" t="str">
        <f t="shared" si="14"/>
        <v>PDFを開く</v>
      </c>
      <c r="Q286" s="8" t="s">
        <v>503</v>
      </c>
    </row>
    <row r="287" spans="1:17" ht="62.1" customHeight="1">
      <c r="A287" s="5" t="s">
        <v>495</v>
      </c>
      <c r="B287" s="5" t="s">
        <v>73</v>
      </c>
      <c r="C287" s="9" t="s">
        <v>496</v>
      </c>
      <c r="D287" s="5">
        <v>6</v>
      </c>
      <c r="E287" s="9" t="s">
        <v>10165</v>
      </c>
      <c r="F287" s="5">
        <v>6</v>
      </c>
      <c r="G287" s="9" t="s">
        <v>10167</v>
      </c>
      <c r="H287" s="9" t="s">
        <v>10290</v>
      </c>
      <c r="I287" s="5">
        <v>125.16</v>
      </c>
      <c r="J287" s="5">
        <v>516.6</v>
      </c>
      <c r="K287" s="5">
        <v>485.52</v>
      </c>
      <c r="L287" s="5">
        <v>567.84</v>
      </c>
      <c r="M287" s="9"/>
      <c r="N287" s="9" t="s">
        <v>10159</v>
      </c>
      <c r="O287" s="9" t="s">
        <v>10305</v>
      </c>
      <c r="P287" s="9" t="str">
        <f t="shared" si="14"/>
        <v>PDFを開く</v>
      </c>
      <c r="Q287" s="9" t="s">
        <v>503</v>
      </c>
    </row>
    <row r="288" spans="1:17" ht="62.1" customHeight="1">
      <c r="A288" s="2" t="s">
        <v>504</v>
      </c>
      <c r="B288" s="2" t="s">
        <v>73</v>
      </c>
      <c r="C288" s="8" t="s">
        <v>505</v>
      </c>
      <c r="D288" s="2">
        <v>1</v>
      </c>
      <c r="E288" s="8" t="s">
        <v>10156</v>
      </c>
      <c r="F288" s="2">
        <v>1</v>
      </c>
      <c r="G288" s="8" t="s">
        <v>9578</v>
      </c>
      <c r="H288" s="8" t="s">
        <v>9578</v>
      </c>
      <c r="I288" s="2">
        <v>22.32</v>
      </c>
      <c r="J288" s="2">
        <v>114.12</v>
      </c>
      <c r="K288" s="2">
        <v>388.32</v>
      </c>
      <c r="L288" s="2">
        <v>571.79999999999995</v>
      </c>
      <c r="M288" s="8"/>
      <c r="N288" s="8" t="s">
        <v>10159</v>
      </c>
      <c r="O288" s="8" t="s">
        <v>7698</v>
      </c>
      <c r="P288" s="8" t="str">
        <f>HYPERLINK("https://seichotoushi-hojo.jp/assets/pdf/koufu/outline_145.pdf","PDFを開く")</f>
        <v>PDFを開く</v>
      </c>
      <c r="Q288" s="8" t="s">
        <v>512</v>
      </c>
    </row>
    <row r="289" spans="1:17" ht="62.1" customHeight="1">
      <c r="A289" s="5" t="s">
        <v>504</v>
      </c>
      <c r="B289" s="5" t="s">
        <v>73</v>
      </c>
      <c r="C289" s="9" t="s">
        <v>505</v>
      </c>
      <c r="D289" s="5">
        <v>1</v>
      </c>
      <c r="E289" s="9" t="s">
        <v>10156</v>
      </c>
      <c r="F289" s="5">
        <v>2</v>
      </c>
      <c r="G289" s="9" t="s">
        <v>10162</v>
      </c>
      <c r="H289" s="9" t="s">
        <v>10162</v>
      </c>
      <c r="I289" s="5">
        <v>407.28</v>
      </c>
      <c r="J289" s="5">
        <v>116.52</v>
      </c>
      <c r="K289" s="5">
        <v>834.24</v>
      </c>
      <c r="L289" s="5">
        <v>281.04000000000002</v>
      </c>
      <c r="M289" s="9"/>
      <c r="N289" s="9" t="s">
        <v>10159</v>
      </c>
      <c r="O289" s="9" t="s">
        <v>7699</v>
      </c>
      <c r="P289" s="9" t="str">
        <f>HYPERLINK("https://seichotoushi-hojo.jp/assets/pdf/koufu/outline_145.pdf","PDFを開く")</f>
        <v>PDFを開く</v>
      </c>
      <c r="Q289" s="9" t="s">
        <v>512</v>
      </c>
    </row>
    <row r="290" spans="1:17" ht="62.1" customHeight="1">
      <c r="A290" s="2" t="s">
        <v>504</v>
      </c>
      <c r="B290" s="2" t="s">
        <v>73</v>
      </c>
      <c r="C290" s="8" t="s">
        <v>505</v>
      </c>
      <c r="D290" s="2">
        <v>1</v>
      </c>
      <c r="E290" s="8" t="s">
        <v>10156</v>
      </c>
      <c r="F290" s="2">
        <v>3</v>
      </c>
      <c r="G290" s="8" t="s">
        <v>10163</v>
      </c>
      <c r="H290" s="8" t="s">
        <v>10163</v>
      </c>
      <c r="I290" s="2">
        <v>407.28</v>
      </c>
      <c r="J290" s="2">
        <v>289.32</v>
      </c>
      <c r="K290" s="2">
        <v>834.24</v>
      </c>
      <c r="L290" s="2">
        <v>584.52</v>
      </c>
      <c r="M290" s="8"/>
      <c r="N290" s="8" t="s">
        <v>10159</v>
      </c>
      <c r="O290" s="8" t="s">
        <v>7700</v>
      </c>
      <c r="P290" s="8" t="str">
        <f>HYPERLINK("https://seichotoushi-hojo.jp/assets/pdf/koufu/outline_145.pdf","PDFを開く")</f>
        <v>PDFを開く</v>
      </c>
      <c r="Q290" s="8" t="s">
        <v>512</v>
      </c>
    </row>
    <row r="291" spans="1:17" ht="62.1" customHeight="1">
      <c r="A291" s="5" t="s">
        <v>504</v>
      </c>
      <c r="B291" s="5" t="s">
        <v>73</v>
      </c>
      <c r="C291" s="9" t="s">
        <v>505</v>
      </c>
      <c r="D291" s="5">
        <v>1</v>
      </c>
      <c r="E291" s="9" t="s">
        <v>10156</v>
      </c>
      <c r="F291" s="5">
        <v>4</v>
      </c>
      <c r="G291" s="9" t="s">
        <v>8581</v>
      </c>
      <c r="H291" s="9" t="s">
        <v>8581</v>
      </c>
      <c r="I291" s="5">
        <v>31.32</v>
      </c>
      <c r="J291" s="5">
        <v>507</v>
      </c>
      <c r="K291" s="5">
        <v>379.56</v>
      </c>
      <c r="L291" s="5">
        <v>560.64</v>
      </c>
      <c r="M291" s="9"/>
      <c r="N291" s="9" t="s">
        <v>10159</v>
      </c>
      <c r="O291" s="9" t="s">
        <v>509</v>
      </c>
      <c r="P291" s="9" t="str">
        <f>HYPERLINK("https://seichotoushi-hojo.jp/assets/pdf/koufu/outline_145.pdf","PDFを開く")</f>
        <v>PDFを開く</v>
      </c>
      <c r="Q291" s="9" t="s">
        <v>512</v>
      </c>
    </row>
    <row r="292" spans="1:17" ht="62.1" customHeight="1">
      <c r="A292" s="2" t="s">
        <v>504</v>
      </c>
      <c r="B292" s="2" t="s">
        <v>73</v>
      </c>
      <c r="C292" s="8" t="s">
        <v>505</v>
      </c>
      <c r="D292" s="2">
        <v>2</v>
      </c>
      <c r="E292" s="8" t="s">
        <v>10165</v>
      </c>
      <c r="F292" s="2">
        <v>1</v>
      </c>
      <c r="G292" s="8" t="s">
        <v>10167</v>
      </c>
      <c r="H292" s="8" t="s">
        <v>3504</v>
      </c>
      <c r="I292" s="2">
        <v>129.24</v>
      </c>
      <c r="J292" s="2">
        <v>465.36</v>
      </c>
      <c r="K292" s="2">
        <v>543.6</v>
      </c>
      <c r="L292" s="2">
        <v>502.68</v>
      </c>
      <c r="M292" s="8"/>
      <c r="N292" s="8" t="s">
        <v>10159</v>
      </c>
      <c r="O292" s="8" t="s">
        <v>10186</v>
      </c>
      <c r="P292" s="8" t="str">
        <f>HYPERLINK("https://seichotoushi-hojo.jp/assets/pdf/koufu/outline_145.pdf","PDFを開く")</f>
        <v>PDFを開く</v>
      </c>
      <c r="Q292" s="8" t="s">
        <v>512</v>
      </c>
    </row>
    <row r="293" spans="1:17" ht="62.1" customHeight="1">
      <c r="A293" s="5" t="s">
        <v>513</v>
      </c>
      <c r="B293" s="5" t="s">
        <v>73</v>
      </c>
      <c r="C293" s="9" t="s">
        <v>514</v>
      </c>
      <c r="D293" s="5">
        <v>1</v>
      </c>
      <c r="E293" s="9" t="s">
        <v>10156</v>
      </c>
      <c r="F293" s="5">
        <v>1</v>
      </c>
      <c r="G293" s="9" t="s">
        <v>9578</v>
      </c>
      <c r="H293" s="9" t="s">
        <v>9578</v>
      </c>
      <c r="I293" s="5">
        <v>42.84</v>
      </c>
      <c r="J293" s="5">
        <v>129.47999999999999</v>
      </c>
      <c r="K293" s="5">
        <v>408.84</v>
      </c>
      <c r="L293" s="5">
        <v>570.72</v>
      </c>
      <c r="M293" s="9"/>
      <c r="N293" s="9" t="s">
        <v>10159</v>
      </c>
      <c r="O293" s="9" t="s">
        <v>7705</v>
      </c>
      <c r="P293" s="9" t="str">
        <f t="shared" ref="P293:P298" si="15">HYPERLINK("https://seichotoushi-hojo.jp/assets/pdf/koufu/outline_146.pdf","PDFを開く")</f>
        <v>PDFを開く</v>
      </c>
      <c r="Q293" s="9" t="s">
        <v>520</v>
      </c>
    </row>
    <row r="294" spans="1:17" ht="62.1" customHeight="1">
      <c r="A294" s="2" t="s">
        <v>513</v>
      </c>
      <c r="B294" s="2" t="s">
        <v>73</v>
      </c>
      <c r="C294" s="8" t="s">
        <v>514</v>
      </c>
      <c r="D294" s="2">
        <v>1</v>
      </c>
      <c r="E294" s="8" t="s">
        <v>10156</v>
      </c>
      <c r="F294" s="2">
        <v>2</v>
      </c>
      <c r="G294" s="8" t="s">
        <v>10162</v>
      </c>
      <c r="H294" s="8" t="s">
        <v>10162</v>
      </c>
      <c r="I294" s="2">
        <v>427.8</v>
      </c>
      <c r="J294" s="2">
        <v>150.47999999999999</v>
      </c>
      <c r="K294" s="2">
        <v>798.48</v>
      </c>
      <c r="L294" s="2">
        <v>321.24</v>
      </c>
      <c r="M294" s="8"/>
      <c r="N294" s="8" t="s">
        <v>10159</v>
      </c>
      <c r="O294" s="8" t="s">
        <v>7706</v>
      </c>
      <c r="P294" s="8" t="str">
        <f t="shared" si="15"/>
        <v>PDFを開く</v>
      </c>
      <c r="Q294" s="8" t="s">
        <v>520</v>
      </c>
    </row>
    <row r="295" spans="1:17" ht="62.1" customHeight="1">
      <c r="A295" s="5" t="s">
        <v>513</v>
      </c>
      <c r="B295" s="5" t="s">
        <v>73</v>
      </c>
      <c r="C295" s="9" t="s">
        <v>514</v>
      </c>
      <c r="D295" s="5">
        <v>1</v>
      </c>
      <c r="E295" s="9" t="s">
        <v>10156</v>
      </c>
      <c r="F295" s="5">
        <v>3</v>
      </c>
      <c r="G295" s="9" t="s">
        <v>10163</v>
      </c>
      <c r="H295" s="9" t="s">
        <v>10163</v>
      </c>
      <c r="I295" s="5">
        <v>427.8</v>
      </c>
      <c r="J295" s="5">
        <v>360.36</v>
      </c>
      <c r="K295" s="5">
        <v>798.48</v>
      </c>
      <c r="L295" s="5">
        <v>531.12</v>
      </c>
      <c r="M295" s="9"/>
      <c r="N295" s="9" t="s">
        <v>10159</v>
      </c>
      <c r="O295" s="9" t="s">
        <v>7707</v>
      </c>
      <c r="P295" s="9" t="str">
        <f t="shared" si="15"/>
        <v>PDFを開く</v>
      </c>
      <c r="Q295" s="9" t="s">
        <v>520</v>
      </c>
    </row>
    <row r="296" spans="1:17" ht="62.1" customHeight="1">
      <c r="A296" s="2" t="s">
        <v>513</v>
      </c>
      <c r="B296" s="2" t="s">
        <v>73</v>
      </c>
      <c r="C296" s="8" t="s">
        <v>514</v>
      </c>
      <c r="D296" s="2">
        <v>1</v>
      </c>
      <c r="E296" s="8" t="s">
        <v>10156</v>
      </c>
      <c r="F296" s="2">
        <v>4</v>
      </c>
      <c r="G296" s="8" t="s">
        <v>8581</v>
      </c>
      <c r="H296" s="8" t="s">
        <v>8581</v>
      </c>
      <c r="I296" s="2">
        <v>49.32</v>
      </c>
      <c r="J296" s="2">
        <v>472.92</v>
      </c>
      <c r="K296" s="2">
        <v>402.48</v>
      </c>
      <c r="L296" s="2">
        <v>565.79999999999995</v>
      </c>
      <c r="M296" s="8"/>
      <c r="N296" s="8" t="s">
        <v>10159</v>
      </c>
      <c r="O296" s="8" t="s">
        <v>518</v>
      </c>
      <c r="P296" s="8" t="str">
        <f t="shared" si="15"/>
        <v>PDFを開く</v>
      </c>
      <c r="Q296" s="8" t="s">
        <v>520</v>
      </c>
    </row>
    <row r="297" spans="1:17" ht="62.1" customHeight="1">
      <c r="A297" s="5" t="s">
        <v>513</v>
      </c>
      <c r="B297" s="5" t="s">
        <v>73</v>
      </c>
      <c r="C297" s="9" t="s">
        <v>514</v>
      </c>
      <c r="D297" s="5">
        <v>2</v>
      </c>
      <c r="E297" s="9" t="s">
        <v>10165</v>
      </c>
      <c r="F297" s="5">
        <v>1</v>
      </c>
      <c r="G297" s="9" t="s">
        <v>10184</v>
      </c>
      <c r="H297" s="9" t="s">
        <v>10184</v>
      </c>
      <c r="I297" s="5">
        <v>137.30000000000001</v>
      </c>
      <c r="J297" s="5">
        <v>195.33</v>
      </c>
      <c r="K297" s="5">
        <v>433.59</v>
      </c>
      <c r="L297" s="5">
        <v>410.65</v>
      </c>
      <c r="M297" s="9"/>
      <c r="N297" s="9" t="s">
        <v>10181</v>
      </c>
      <c r="O297" s="9" t="s">
        <v>10306</v>
      </c>
      <c r="P297" s="9" t="str">
        <f t="shared" si="15"/>
        <v>PDFを開く</v>
      </c>
      <c r="Q297" s="9" t="s">
        <v>520</v>
      </c>
    </row>
    <row r="298" spans="1:17" ht="62.1" customHeight="1">
      <c r="A298" s="2" t="s">
        <v>513</v>
      </c>
      <c r="B298" s="2" t="s">
        <v>73</v>
      </c>
      <c r="C298" s="8" t="s">
        <v>514</v>
      </c>
      <c r="D298" s="2">
        <v>2</v>
      </c>
      <c r="E298" s="8" t="s">
        <v>10165</v>
      </c>
      <c r="F298" s="2">
        <v>2</v>
      </c>
      <c r="G298" s="8" t="s">
        <v>10167</v>
      </c>
      <c r="H298" s="8" t="s">
        <v>3504</v>
      </c>
      <c r="I298" s="2">
        <v>136.91999999999999</v>
      </c>
      <c r="J298" s="2">
        <v>430.2</v>
      </c>
      <c r="K298" s="2">
        <v>566.76</v>
      </c>
      <c r="L298" s="2">
        <v>460.68</v>
      </c>
      <c r="M298" s="8"/>
      <c r="N298" s="8" t="s">
        <v>10159</v>
      </c>
      <c r="O298" s="8" t="s">
        <v>10186</v>
      </c>
      <c r="P298" s="8" t="str">
        <f t="shared" si="15"/>
        <v>PDFを開く</v>
      </c>
      <c r="Q298" s="8" t="s">
        <v>520</v>
      </c>
    </row>
    <row r="299" spans="1:17" ht="62.1" customHeight="1">
      <c r="A299" s="5" t="s">
        <v>521</v>
      </c>
      <c r="B299" s="5" t="s">
        <v>73</v>
      </c>
      <c r="C299" s="9" t="s">
        <v>522</v>
      </c>
      <c r="D299" s="5">
        <v>1</v>
      </c>
      <c r="E299" s="9" t="s">
        <v>10156</v>
      </c>
      <c r="F299" s="5">
        <v>1</v>
      </c>
      <c r="G299" s="9" t="s">
        <v>9578</v>
      </c>
      <c r="H299" s="9" t="s">
        <v>9578</v>
      </c>
      <c r="I299" s="5">
        <v>11.76</v>
      </c>
      <c r="J299" s="5">
        <v>95.88</v>
      </c>
      <c r="K299" s="5">
        <v>378.84</v>
      </c>
      <c r="L299" s="5">
        <v>520.91999999999996</v>
      </c>
      <c r="M299" s="9"/>
      <c r="N299" s="9" t="s">
        <v>10159</v>
      </c>
      <c r="O299" s="9" t="s">
        <v>7712</v>
      </c>
      <c r="P299" s="9" t="str">
        <f>HYPERLINK("https://seichotoushi-hojo.jp/assets/pdf/koufu/outline_147.pdf","PDFを開く")</f>
        <v>PDFを開く</v>
      </c>
      <c r="Q299" s="9" t="s">
        <v>529</v>
      </c>
    </row>
    <row r="300" spans="1:17" ht="62.1" customHeight="1">
      <c r="A300" s="2" t="s">
        <v>521</v>
      </c>
      <c r="B300" s="2" t="s">
        <v>73</v>
      </c>
      <c r="C300" s="8" t="s">
        <v>522</v>
      </c>
      <c r="D300" s="2">
        <v>1</v>
      </c>
      <c r="E300" s="8" t="s">
        <v>10156</v>
      </c>
      <c r="F300" s="2">
        <v>2</v>
      </c>
      <c r="G300" s="8" t="s">
        <v>10162</v>
      </c>
      <c r="H300" s="8" t="s">
        <v>10162</v>
      </c>
      <c r="I300" s="2">
        <v>396.36</v>
      </c>
      <c r="J300" s="2">
        <v>170.16</v>
      </c>
      <c r="K300" s="2">
        <v>739.8</v>
      </c>
      <c r="L300" s="2">
        <v>328.44</v>
      </c>
      <c r="M300" s="8"/>
      <c r="N300" s="8" t="s">
        <v>10159</v>
      </c>
      <c r="O300" s="8" t="s">
        <v>7713</v>
      </c>
      <c r="P300" s="8" t="str">
        <f>HYPERLINK("https://seichotoushi-hojo.jp/assets/pdf/koufu/outline_147.pdf","PDFを開く")</f>
        <v>PDFを開く</v>
      </c>
      <c r="Q300" s="8" t="s">
        <v>529</v>
      </c>
    </row>
    <row r="301" spans="1:17" ht="62.1" customHeight="1">
      <c r="A301" s="5" t="s">
        <v>521</v>
      </c>
      <c r="B301" s="5" t="s">
        <v>73</v>
      </c>
      <c r="C301" s="9" t="s">
        <v>522</v>
      </c>
      <c r="D301" s="5">
        <v>1</v>
      </c>
      <c r="E301" s="9" t="s">
        <v>10156</v>
      </c>
      <c r="F301" s="5">
        <v>3</v>
      </c>
      <c r="G301" s="9" t="s">
        <v>10163</v>
      </c>
      <c r="H301" s="9" t="s">
        <v>10163</v>
      </c>
      <c r="I301" s="5">
        <v>396.36</v>
      </c>
      <c r="J301" s="5">
        <v>341.4</v>
      </c>
      <c r="K301" s="5">
        <v>739.8</v>
      </c>
      <c r="L301" s="5">
        <v>499.68</v>
      </c>
      <c r="M301" s="9"/>
      <c r="N301" s="9" t="s">
        <v>10159</v>
      </c>
      <c r="O301" s="9" t="s">
        <v>7714</v>
      </c>
      <c r="P301" s="9" t="str">
        <f>HYPERLINK("https://seichotoushi-hojo.jp/assets/pdf/koufu/outline_147.pdf","PDFを開く")</f>
        <v>PDFを開く</v>
      </c>
      <c r="Q301" s="9" t="s">
        <v>529</v>
      </c>
    </row>
    <row r="302" spans="1:17" ht="62.1" customHeight="1">
      <c r="A302" s="2" t="s">
        <v>521</v>
      </c>
      <c r="B302" s="2" t="s">
        <v>73</v>
      </c>
      <c r="C302" s="8" t="s">
        <v>522</v>
      </c>
      <c r="D302" s="2">
        <v>1</v>
      </c>
      <c r="E302" s="8" t="s">
        <v>10156</v>
      </c>
      <c r="F302" s="2">
        <v>4</v>
      </c>
      <c r="G302" s="8" t="s">
        <v>8581</v>
      </c>
      <c r="H302" s="8" t="s">
        <v>8581</v>
      </c>
      <c r="I302" s="2">
        <v>15.24</v>
      </c>
      <c r="J302" s="2">
        <v>413.88</v>
      </c>
      <c r="K302" s="2">
        <v>375.36</v>
      </c>
      <c r="L302" s="2">
        <v>499.68</v>
      </c>
      <c r="M302" s="8"/>
      <c r="N302" s="8" t="s">
        <v>10159</v>
      </c>
      <c r="O302" s="8" t="s">
        <v>526</v>
      </c>
      <c r="P302" s="8" t="str">
        <f>HYPERLINK("https://seichotoushi-hojo.jp/assets/pdf/koufu/outline_147.pdf","PDFを開く")</f>
        <v>PDFを開く</v>
      </c>
      <c r="Q302" s="8" t="s">
        <v>529</v>
      </c>
    </row>
    <row r="303" spans="1:17" ht="62.1" customHeight="1">
      <c r="A303" s="5" t="s">
        <v>530</v>
      </c>
      <c r="B303" s="5" t="s">
        <v>73</v>
      </c>
      <c r="C303" s="9" t="s">
        <v>531</v>
      </c>
      <c r="D303" s="5">
        <v>1</v>
      </c>
      <c r="E303" s="9" t="s">
        <v>10156</v>
      </c>
      <c r="F303" s="5">
        <v>1</v>
      </c>
      <c r="G303" s="9" t="s">
        <v>10162</v>
      </c>
      <c r="H303" s="9" t="s">
        <v>10162</v>
      </c>
      <c r="I303" s="5">
        <v>377.06</v>
      </c>
      <c r="J303" s="5">
        <v>106.16</v>
      </c>
      <c r="K303" s="5">
        <v>780.01</v>
      </c>
      <c r="L303" s="5">
        <v>515.33000000000004</v>
      </c>
      <c r="M303" s="9"/>
      <c r="N303" s="9" t="s">
        <v>10159</v>
      </c>
      <c r="O303" s="9" t="s">
        <v>7720</v>
      </c>
      <c r="P303" s="9" t="str">
        <f>HYPERLINK("https://seichotoushi-hojo.jp/assets/pdf/koufu/outline_148.pdf","PDFを開く")</f>
        <v>PDFを開く</v>
      </c>
      <c r="Q303" s="9" t="s">
        <v>538</v>
      </c>
    </row>
    <row r="304" spans="1:17" ht="62.1" customHeight="1">
      <c r="A304" s="2" t="s">
        <v>530</v>
      </c>
      <c r="B304" s="2" t="s">
        <v>73</v>
      </c>
      <c r="C304" s="8" t="s">
        <v>531</v>
      </c>
      <c r="D304" s="2">
        <v>1</v>
      </c>
      <c r="E304" s="8" t="s">
        <v>10156</v>
      </c>
      <c r="F304" s="2">
        <v>2</v>
      </c>
      <c r="G304" s="8" t="s">
        <v>9578</v>
      </c>
      <c r="H304" s="8" t="s">
        <v>9578</v>
      </c>
      <c r="I304" s="2">
        <v>35.5</v>
      </c>
      <c r="J304" s="2">
        <v>111.82</v>
      </c>
      <c r="K304" s="2">
        <v>377.06</v>
      </c>
      <c r="L304" s="2">
        <v>508.75</v>
      </c>
      <c r="M304" s="8"/>
      <c r="N304" s="8" t="s">
        <v>10159</v>
      </c>
      <c r="O304" s="8" t="s">
        <v>7719</v>
      </c>
      <c r="P304" s="8" t="str">
        <f>HYPERLINK("https://seichotoushi-hojo.jp/assets/pdf/koufu/outline_148.pdf","PDFを開く")</f>
        <v>PDFを開く</v>
      </c>
      <c r="Q304" s="8" t="s">
        <v>538</v>
      </c>
    </row>
    <row r="305" spans="1:17" ht="62.1" customHeight="1">
      <c r="A305" s="5" t="s">
        <v>530</v>
      </c>
      <c r="B305" s="5" t="s">
        <v>73</v>
      </c>
      <c r="C305" s="9" t="s">
        <v>531</v>
      </c>
      <c r="D305" s="5">
        <v>1</v>
      </c>
      <c r="E305" s="9" t="s">
        <v>10156</v>
      </c>
      <c r="F305" s="5">
        <v>3</v>
      </c>
      <c r="G305" s="9" t="s">
        <v>10163</v>
      </c>
      <c r="H305" s="9" t="s">
        <v>10163</v>
      </c>
      <c r="I305" s="5">
        <v>395.31</v>
      </c>
      <c r="J305" s="5">
        <v>342.99</v>
      </c>
      <c r="K305" s="5">
        <v>743.12</v>
      </c>
      <c r="L305" s="5">
        <v>508.75</v>
      </c>
      <c r="M305" s="9"/>
      <c r="N305" s="9" t="s">
        <v>10159</v>
      </c>
      <c r="O305" s="9" t="s">
        <v>7721</v>
      </c>
      <c r="P305" s="9" t="str">
        <f>HYPERLINK("https://seichotoushi-hojo.jp/assets/pdf/koufu/outline_148.pdf","PDFを開く")</f>
        <v>PDFを開く</v>
      </c>
      <c r="Q305" s="9" t="s">
        <v>538</v>
      </c>
    </row>
    <row r="306" spans="1:17" ht="62.1" customHeight="1">
      <c r="A306" s="2" t="s">
        <v>530</v>
      </c>
      <c r="B306" s="2" t="s">
        <v>73</v>
      </c>
      <c r="C306" s="8" t="s">
        <v>531</v>
      </c>
      <c r="D306" s="2">
        <v>1</v>
      </c>
      <c r="E306" s="8" t="s">
        <v>10156</v>
      </c>
      <c r="F306" s="2">
        <v>4</v>
      </c>
      <c r="G306" s="8" t="s">
        <v>8581</v>
      </c>
      <c r="H306" s="8" t="s">
        <v>8581</v>
      </c>
      <c r="I306" s="2">
        <v>43.88</v>
      </c>
      <c r="J306" s="2">
        <v>393.52</v>
      </c>
      <c r="K306" s="2">
        <v>364.54</v>
      </c>
      <c r="L306" s="2">
        <v>501.16</v>
      </c>
      <c r="M306" s="8"/>
      <c r="N306" s="8" t="s">
        <v>10159</v>
      </c>
      <c r="O306" s="8" t="s">
        <v>535</v>
      </c>
      <c r="P306" s="8" t="str">
        <f>HYPERLINK("https://seichotoushi-hojo.jp/assets/pdf/koufu/outline_148.pdf","PDFを開く")</f>
        <v>PDFを開く</v>
      </c>
      <c r="Q306" s="8" t="s">
        <v>538</v>
      </c>
    </row>
    <row r="307" spans="1:17" ht="62.1" customHeight="1">
      <c r="A307" s="5" t="s">
        <v>530</v>
      </c>
      <c r="B307" s="5" t="s">
        <v>73</v>
      </c>
      <c r="C307" s="9" t="s">
        <v>531</v>
      </c>
      <c r="D307" s="5">
        <v>2</v>
      </c>
      <c r="E307" s="9" t="s">
        <v>10165</v>
      </c>
      <c r="F307" s="5">
        <v>1</v>
      </c>
      <c r="G307" s="9" t="s">
        <v>10167</v>
      </c>
      <c r="H307" s="9" t="s">
        <v>10307</v>
      </c>
      <c r="I307" s="5">
        <v>117.48</v>
      </c>
      <c r="J307" s="5">
        <v>388.18</v>
      </c>
      <c r="K307" s="5">
        <v>613.5</v>
      </c>
      <c r="L307" s="5">
        <v>417.62</v>
      </c>
      <c r="M307" s="9"/>
      <c r="N307" s="9" t="s">
        <v>10159</v>
      </c>
      <c r="O307" s="9" t="s">
        <v>10308</v>
      </c>
      <c r="P307" s="9" t="str">
        <f>HYPERLINK("https://seichotoushi-hojo.jp/assets/pdf/koufu/outline_148.pdf","PDFを開く")</f>
        <v>PDFを開く</v>
      </c>
      <c r="Q307" s="9" t="s">
        <v>538</v>
      </c>
    </row>
    <row r="308" spans="1:17" ht="62.1" customHeight="1">
      <c r="A308" s="2" t="s">
        <v>539</v>
      </c>
      <c r="B308" s="2" t="s">
        <v>73</v>
      </c>
      <c r="C308" s="8" t="s">
        <v>540</v>
      </c>
      <c r="D308" s="2">
        <v>1</v>
      </c>
      <c r="E308" s="8" t="s">
        <v>10156</v>
      </c>
      <c r="F308" s="2">
        <v>1</v>
      </c>
      <c r="G308" s="8" t="s">
        <v>10162</v>
      </c>
      <c r="H308" s="8" t="s">
        <v>10162</v>
      </c>
      <c r="I308" s="2">
        <v>401.04</v>
      </c>
      <c r="J308" s="2">
        <v>95.88</v>
      </c>
      <c r="K308" s="2">
        <v>744.48</v>
      </c>
      <c r="L308" s="2">
        <v>357.6</v>
      </c>
      <c r="M308" s="8"/>
      <c r="N308" s="8" t="s">
        <v>10159</v>
      </c>
      <c r="O308" s="8" t="s">
        <v>7727</v>
      </c>
      <c r="P308" s="8" t="str">
        <f t="shared" ref="P308:P316" si="16">HYPERLINK("https://seichotoushi-hojo.jp/assets/pdf/koufu/outline_149.pdf","PDFを開く")</f>
        <v>PDFを開く</v>
      </c>
      <c r="Q308" s="8" t="s">
        <v>547</v>
      </c>
    </row>
    <row r="309" spans="1:17" ht="62.1" customHeight="1">
      <c r="A309" s="5" t="s">
        <v>539</v>
      </c>
      <c r="B309" s="5" t="s">
        <v>73</v>
      </c>
      <c r="C309" s="9" t="s">
        <v>540</v>
      </c>
      <c r="D309" s="5">
        <v>1</v>
      </c>
      <c r="E309" s="9" t="s">
        <v>10156</v>
      </c>
      <c r="F309" s="5">
        <v>2</v>
      </c>
      <c r="G309" s="9" t="s">
        <v>9578</v>
      </c>
      <c r="H309" s="9" t="s">
        <v>9578</v>
      </c>
      <c r="I309" s="5">
        <v>25.2</v>
      </c>
      <c r="J309" s="5">
        <v>106.08</v>
      </c>
      <c r="K309" s="5">
        <v>364.32</v>
      </c>
      <c r="L309" s="5">
        <v>520.91999999999996</v>
      </c>
      <c r="M309" s="9"/>
      <c r="N309" s="9" t="s">
        <v>10159</v>
      </c>
      <c r="O309" s="9" t="s">
        <v>10309</v>
      </c>
      <c r="P309" s="9" t="str">
        <f t="shared" si="16"/>
        <v>PDFを開く</v>
      </c>
      <c r="Q309" s="9" t="s">
        <v>547</v>
      </c>
    </row>
    <row r="310" spans="1:17" ht="62.1" customHeight="1">
      <c r="A310" s="2" t="s">
        <v>539</v>
      </c>
      <c r="B310" s="2" t="s">
        <v>73</v>
      </c>
      <c r="C310" s="8" t="s">
        <v>540</v>
      </c>
      <c r="D310" s="2">
        <v>1</v>
      </c>
      <c r="E310" s="8" t="s">
        <v>10156</v>
      </c>
      <c r="F310" s="2">
        <v>3</v>
      </c>
      <c r="G310" s="8" t="s">
        <v>10163</v>
      </c>
      <c r="H310" s="8" t="s">
        <v>10163</v>
      </c>
      <c r="I310" s="2">
        <v>401.04</v>
      </c>
      <c r="J310" s="2">
        <v>357.6</v>
      </c>
      <c r="K310" s="2">
        <v>744.48</v>
      </c>
      <c r="L310" s="2">
        <v>535.67999999999995</v>
      </c>
      <c r="M310" s="8"/>
      <c r="N310" s="8" t="s">
        <v>10159</v>
      </c>
      <c r="O310" s="8" t="s">
        <v>7728</v>
      </c>
      <c r="P310" s="8" t="str">
        <f t="shared" si="16"/>
        <v>PDFを開く</v>
      </c>
      <c r="Q310" s="8" t="s">
        <v>547</v>
      </c>
    </row>
    <row r="311" spans="1:17" ht="62.1" customHeight="1">
      <c r="A311" s="5" t="s">
        <v>539</v>
      </c>
      <c r="B311" s="5" t="s">
        <v>73</v>
      </c>
      <c r="C311" s="9" t="s">
        <v>540</v>
      </c>
      <c r="D311" s="5">
        <v>1</v>
      </c>
      <c r="E311" s="9" t="s">
        <v>10156</v>
      </c>
      <c r="F311" s="5">
        <v>4</v>
      </c>
      <c r="G311" s="9" t="s">
        <v>8581</v>
      </c>
      <c r="H311" s="9" t="s">
        <v>8581</v>
      </c>
      <c r="I311" s="5">
        <v>35.28</v>
      </c>
      <c r="J311" s="5">
        <v>421.32</v>
      </c>
      <c r="K311" s="5">
        <v>354.84</v>
      </c>
      <c r="L311" s="5">
        <v>504.36</v>
      </c>
      <c r="M311" s="9"/>
      <c r="N311" s="9" t="s">
        <v>10159</v>
      </c>
      <c r="O311" s="9" t="s">
        <v>544</v>
      </c>
      <c r="P311" s="9" t="str">
        <f t="shared" si="16"/>
        <v>PDFを開く</v>
      </c>
      <c r="Q311" s="9" t="s">
        <v>547</v>
      </c>
    </row>
    <row r="312" spans="1:17" ht="62.1" customHeight="1">
      <c r="A312" s="2" t="s">
        <v>539</v>
      </c>
      <c r="B312" s="2" t="s">
        <v>73</v>
      </c>
      <c r="C312" s="8" t="s">
        <v>540</v>
      </c>
      <c r="D312" s="2">
        <v>1</v>
      </c>
      <c r="E312" s="8" t="s">
        <v>10156</v>
      </c>
      <c r="F312" s="2">
        <v>5</v>
      </c>
      <c r="G312" s="8" t="s">
        <v>9578</v>
      </c>
      <c r="H312" s="8" t="s">
        <v>9578</v>
      </c>
      <c r="I312" s="2">
        <v>414.53</v>
      </c>
      <c r="J312" s="2">
        <v>451.24</v>
      </c>
      <c r="K312" s="2">
        <v>768.3</v>
      </c>
      <c r="L312" s="2">
        <v>491.87</v>
      </c>
      <c r="M312" s="8"/>
      <c r="N312" s="8" t="s">
        <v>10181</v>
      </c>
      <c r="O312" s="8" t="s">
        <v>10310</v>
      </c>
      <c r="P312" s="8" t="str">
        <f t="shared" si="16"/>
        <v>PDFを開く</v>
      </c>
      <c r="Q312" s="8" t="s">
        <v>547</v>
      </c>
    </row>
    <row r="313" spans="1:17" ht="62.1" customHeight="1">
      <c r="A313" s="5" t="s">
        <v>539</v>
      </c>
      <c r="B313" s="5" t="s">
        <v>73</v>
      </c>
      <c r="C313" s="9" t="s">
        <v>540</v>
      </c>
      <c r="D313" s="5">
        <v>1</v>
      </c>
      <c r="E313" s="9" t="s">
        <v>10156</v>
      </c>
      <c r="F313" s="5">
        <v>6</v>
      </c>
      <c r="G313" s="9" t="s">
        <v>9578</v>
      </c>
      <c r="H313" s="9" t="s">
        <v>9578</v>
      </c>
      <c r="I313" s="5">
        <v>407.33</v>
      </c>
      <c r="J313" s="5">
        <v>490.87</v>
      </c>
      <c r="K313" s="5">
        <v>768.3</v>
      </c>
      <c r="L313" s="5">
        <v>526.91</v>
      </c>
      <c r="M313" s="9"/>
      <c r="N313" s="9" t="s">
        <v>10181</v>
      </c>
      <c r="O313" s="9" t="s">
        <v>10311</v>
      </c>
      <c r="P313" s="9" t="str">
        <f t="shared" si="16"/>
        <v>PDFを開く</v>
      </c>
      <c r="Q313" s="9" t="s">
        <v>547</v>
      </c>
    </row>
    <row r="314" spans="1:17" ht="62.1" customHeight="1">
      <c r="A314" s="2" t="s">
        <v>539</v>
      </c>
      <c r="B314" s="2" t="s">
        <v>73</v>
      </c>
      <c r="C314" s="8" t="s">
        <v>540</v>
      </c>
      <c r="D314" s="2">
        <v>2</v>
      </c>
      <c r="E314" s="8" t="s">
        <v>10165</v>
      </c>
      <c r="F314" s="2">
        <v>1</v>
      </c>
      <c r="G314" s="8" t="s">
        <v>10167</v>
      </c>
      <c r="H314" s="8" t="s">
        <v>10312</v>
      </c>
      <c r="I314" s="2">
        <v>106.08</v>
      </c>
      <c r="J314" s="2">
        <v>101.76</v>
      </c>
      <c r="K314" s="2">
        <v>694.8</v>
      </c>
      <c r="L314" s="2">
        <v>273.48</v>
      </c>
      <c r="M314" s="8"/>
      <c r="N314" s="8" t="s">
        <v>10159</v>
      </c>
      <c r="O314" s="8" t="s">
        <v>10313</v>
      </c>
      <c r="P314" s="8" t="str">
        <f t="shared" si="16"/>
        <v>PDFを開く</v>
      </c>
      <c r="Q314" s="8" t="s">
        <v>547</v>
      </c>
    </row>
    <row r="315" spans="1:17" ht="62.1" customHeight="1">
      <c r="A315" s="5" t="s">
        <v>539</v>
      </c>
      <c r="B315" s="5" t="s">
        <v>73</v>
      </c>
      <c r="C315" s="9" t="s">
        <v>540</v>
      </c>
      <c r="D315" s="5">
        <v>2</v>
      </c>
      <c r="E315" s="9" t="s">
        <v>10165</v>
      </c>
      <c r="F315" s="5">
        <v>2</v>
      </c>
      <c r="G315" s="9" t="s">
        <v>10184</v>
      </c>
      <c r="H315" s="9" t="s">
        <v>10184</v>
      </c>
      <c r="I315" s="5">
        <v>104.88</v>
      </c>
      <c r="J315" s="5">
        <v>291.72000000000003</v>
      </c>
      <c r="K315" s="5">
        <v>493.2</v>
      </c>
      <c r="L315" s="5">
        <v>522.96</v>
      </c>
      <c r="M315" s="9"/>
      <c r="N315" s="9" t="s">
        <v>10159</v>
      </c>
      <c r="O315" s="9" t="s">
        <v>10314</v>
      </c>
      <c r="P315" s="9" t="str">
        <f t="shared" si="16"/>
        <v>PDFを開く</v>
      </c>
      <c r="Q315" s="9" t="s">
        <v>547</v>
      </c>
    </row>
    <row r="316" spans="1:17" ht="62.1" customHeight="1">
      <c r="A316" s="2" t="s">
        <v>539</v>
      </c>
      <c r="B316" s="2" t="s">
        <v>73</v>
      </c>
      <c r="C316" s="8" t="s">
        <v>540</v>
      </c>
      <c r="D316" s="2">
        <v>3</v>
      </c>
      <c r="E316" s="8" t="s">
        <v>10165</v>
      </c>
      <c r="F316" s="2">
        <v>1</v>
      </c>
      <c r="G316" s="8" t="s">
        <v>10167</v>
      </c>
      <c r="H316" s="8" t="s">
        <v>10315</v>
      </c>
      <c r="I316" s="2">
        <v>40.32</v>
      </c>
      <c r="J316" s="2">
        <v>102.84</v>
      </c>
      <c r="K316" s="2">
        <v>739.8</v>
      </c>
      <c r="L316" s="2">
        <v>257.27999999999997</v>
      </c>
      <c r="M316" s="8"/>
      <c r="N316" s="8" t="s">
        <v>10159</v>
      </c>
      <c r="O316" s="8" t="s">
        <v>10316</v>
      </c>
      <c r="P316" s="8" t="str">
        <f t="shared" si="16"/>
        <v>PDFを開く</v>
      </c>
      <c r="Q316" s="8" t="s">
        <v>547</v>
      </c>
    </row>
    <row r="317" spans="1:17" ht="62.1" customHeight="1">
      <c r="A317" s="5" t="s">
        <v>548</v>
      </c>
      <c r="B317" s="5" t="s">
        <v>73</v>
      </c>
      <c r="C317" s="9" t="s">
        <v>549</v>
      </c>
      <c r="D317" s="5">
        <v>1</v>
      </c>
      <c r="E317" s="9" t="s">
        <v>10156</v>
      </c>
      <c r="F317" s="5">
        <v>1</v>
      </c>
      <c r="G317" s="9" t="s">
        <v>9578</v>
      </c>
      <c r="H317" s="9" t="s">
        <v>9578</v>
      </c>
      <c r="I317" s="5">
        <v>42.84</v>
      </c>
      <c r="J317" s="5">
        <v>134.28</v>
      </c>
      <c r="K317" s="5">
        <v>408.84</v>
      </c>
      <c r="L317" s="5">
        <v>560.64</v>
      </c>
      <c r="M317" s="9"/>
      <c r="N317" s="9" t="s">
        <v>10159</v>
      </c>
      <c r="O317" s="9" t="s">
        <v>7733</v>
      </c>
      <c r="P317" s="9" t="str">
        <f>HYPERLINK("https://seichotoushi-hojo.jp/assets/pdf/koufu/outline_150.pdf","PDFを開く")</f>
        <v>PDFを開く</v>
      </c>
      <c r="Q317" s="9" t="s">
        <v>556</v>
      </c>
    </row>
    <row r="318" spans="1:17" ht="62.1" customHeight="1">
      <c r="A318" s="2" t="s">
        <v>548</v>
      </c>
      <c r="B318" s="2" t="s">
        <v>73</v>
      </c>
      <c r="C318" s="8" t="s">
        <v>549</v>
      </c>
      <c r="D318" s="2">
        <v>1</v>
      </c>
      <c r="E318" s="8" t="s">
        <v>10156</v>
      </c>
      <c r="F318" s="2">
        <v>2</v>
      </c>
      <c r="G318" s="8" t="s">
        <v>10162</v>
      </c>
      <c r="H318" s="8" t="s">
        <v>10162</v>
      </c>
      <c r="I318" s="2">
        <v>427.8</v>
      </c>
      <c r="J318" s="2">
        <v>135.72</v>
      </c>
      <c r="K318" s="2">
        <v>798.48</v>
      </c>
      <c r="L318" s="2">
        <v>305.52</v>
      </c>
      <c r="M318" s="8"/>
      <c r="N318" s="8" t="s">
        <v>10159</v>
      </c>
      <c r="O318" s="8" t="s">
        <v>7734</v>
      </c>
      <c r="P318" s="8" t="str">
        <f>HYPERLINK("https://seichotoushi-hojo.jp/assets/pdf/koufu/outline_150.pdf","PDFを開く")</f>
        <v>PDFを開く</v>
      </c>
      <c r="Q318" s="8" t="s">
        <v>556</v>
      </c>
    </row>
    <row r="319" spans="1:17" ht="62.1" customHeight="1">
      <c r="A319" s="5" t="s">
        <v>548</v>
      </c>
      <c r="B319" s="5" t="s">
        <v>73</v>
      </c>
      <c r="C319" s="9" t="s">
        <v>549</v>
      </c>
      <c r="D319" s="5">
        <v>1</v>
      </c>
      <c r="E319" s="9" t="s">
        <v>10156</v>
      </c>
      <c r="F319" s="5">
        <v>3</v>
      </c>
      <c r="G319" s="9" t="s">
        <v>10163</v>
      </c>
      <c r="H319" s="9" t="s">
        <v>10163</v>
      </c>
      <c r="I319" s="5">
        <v>427.8</v>
      </c>
      <c r="J319" s="5">
        <v>314.88</v>
      </c>
      <c r="K319" s="5">
        <v>798.48</v>
      </c>
      <c r="L319" s="5">
        <v>560.64</v>
      </c>
      <c r="M319" s="9"/>
      <c r="N319" s="9" t="s">
        <v>10159</v>
      </c>
      <c r="O319" s="9" t="s">
        <v>7735</v>
      </c>
      <c r="P319" s="9" t="str">
        <f>HYPERLINK("https://seichotoushi-hojo.jp/assets/pdf/koufu/outline_150.pdf","PDFを開く")</f>
        <v>PDFを開く</v>
      </c>
      <c r="Q319" s="9" t="s">
        <v>556</v>
      </c>
    </row>
    <row r="320" spans="1:17" ht="62.1" customHeight="1">
      <c r="A320" s="2" t="s">
        <v>548</v>
      </c>
      <c r="B320" s="2" t="s">
        <v>73</v>
      </c>
      <c r="C320" s="8" t="s">
        <v>549</v>
      </c>
      <c r="D320" s="2">
        <v>1</v>
      </c>
      <c r="E320" s="8" t="s">
        <v>10156</v>
      </c>
      <c r="F320" s="2">
        <v>4</v>
      </c>
      <c r="G320" s="8" t="s">
        <v>8581</v>
      </c>
      <c r="H320" s="8" t="s">
        <v>8581</v>
      </c>
      <c r="I320" s="2">
        <v>51.84</v>
      </c>
      <c r="J320" s="2">
        <v>392.76</v>
      </c>
      <c r="K320" s="2">
        <v>396.72</v>
      </c>
      <c r="L320" s="2">
        <v>549.6</v>
      </c>
      <c r="M320" s="8"/>
      <c r="N320" s="8" t="s">
        <v>10159</v>
      </c>
      <c r="O320" s="8" t="s">
        <v>553</v>
      </c>
      <c r="P320" s="8" t="str">
        <f>HYPERLINK("https://seichotoushi-hojo.jp/assets/pdf/koufu/outline_150.pdf","PDFを開く")</f>
        <v>PDFを開く</v>
      </c>
      <c r="Q320" s="8" t="s">
        <v>556</v>
      </c>
    </row>
    <row r="321" spans="1:17" ht="62.1" customHeight="1">
      <c r="A321" s="5" t="s">
        <v>548</v>
      </c>
      <c r="B321" s="5" t="s">
        <v>73</v>
      </c>
      <c r="C321" s="9" t="s">
        <v>549</v>
      </c>
      <c r="D321" s="5">
        <v>2</v>
      </c>
      <c r="E321" s="9" t="s">
        <v>10165</v>
      </c>
      <c r="F321" s="5">
        <v>1</v>
      </c>
      <c r="G321" s="9" t="s">
        <v>10167</v>
      </c>
      <c r="H321" s="9" t="s">
        <v>3504</v>
      </c>
      <c r="I321" s="5">
        <v>118.68</v>
      </c>
      <c r="J321" s="5">
        <v>436.68</v>
      </c>
      <c r="K321" s="5">
        <v>569.28</v>
      </c>
      <c r="L321" s="5">
        <v>467.16</v>
      </c>
      <c r="M321" s="9"/>
      <c r="N321" s="9" t="s">
        <v>10159</v>
      </c>
      <c r="O321" s="9" t="s">
        <v>10186</v>
      </c>
      <c r="P321" s="9" t="str">
        <f>HYPERLINK("https://seichotoushi-hojo.jp/assets/pdf/koufu/outline_150.pdf","PDFを開く")</f>
        <v>PDFを開く</v>
      </c>
      <c r="Q321" s="9" t="s">
        <v>556</v>
      </c>
    </row>
    <row r="322" spans="1:17" ht="62.1" customHeight="1">
      <c r="A322" s="2" t="s">
        <v>557</v>
      </c>
      <c r="B322" s="2" t="s">
        <v>73</v>
      </c>
      <c r="C322" s="8" t="s">
        <v>558</v>
      </c>
      <c r="D322" s="2">
        <v>1</v>
      </c>
      <c r="E322" s="8" t="s">
        <v>10156</v>
      </c>
      <c r="F322" s="2">
        <v>1</v>
      </c>
      <c r="G322" s="8" t="s">
        <v>9578</v>
      </c>
      <c r="H322" s="8" t="s">
        <v>9578</v>
      </c>
      <c r="I322" s="2">
        <v>38.880000000000003</v>
      </c>
      <c r="J322" s="2">
        <v>110.4</v>
      </c>
      <c r="K322" s="2">
        <v>378</v>
      </c>
      <c r="L322" s="2">
        <v>499.68</v>
      </c>
      <c r="M322" s="8"/>
      <c r="N322" s="8" t="s">
        <v>10159</v>
      </c>
      <c r="O322" s="8" t="s">
        <v>7740</v>
      </c>
      <c r="P322" s="8" t="str">
        <f>HYPERLINK("https://seichotoushi-hojo.jp/assets/pdf/koufu/outline_151.pdf","PDFを開く")</f>
        <v>PDFを開く</v>
      </c>
      <c r="Q322" s="8" t="s">
        <v>564</v>
      </c>
    </row>
    <row r="323" spans="1:17" ht="62.1" customHeight="1">
      <c r="A323" s="5" t="s">
        <v>557</v>
      </c>
      <c r="B323" s="5" t="s">
        <v>73</v>
      </c>
      <c r="C323" s="9" t="s">
        <v>558</v>
      </c>
      <c r="D323" s="5">
        <v>1</v>
      </c>
      <c r="E323" s="9" t="s">
        <v>10156</v>
      </c>
      <c r="F323" s="5">
        <v>2</v>
      </c>
      <c r="G323" s="9" t="s">
        <v>10162</v>
      </c>
      <c r="H323" s="9" t="s">
        <v>10162</v>
      </c>
      <c r="I323" s="5">
        <v>396.36</v>
      </c>
      <c r="J323" s="5">
        <v>110.52</v>
      </c>
      <c r="K323" s="5">
        <v>739.8</v>
      </c>
      <c r="L323" s="5">
        <v>296.04000000000002</v>
      </c>
      <c r="M323" s="9"/>
      <c r="N323" s="9" t="s">
        <v>10159</v>
      </c>
      <c r="O323" s="9" t="s">
        <v>7741</v>
      </c>
      <c r="P323" s="9" t="str">
        <f>HYPERLINK("https://seichotoushi-hojo.jp/assets/pdf/koufu/outline_151.pdf","PDFを開く")</f>
        <v>PDFを開く</v>
      </c>
      <c r="Q323" s="9" t="s">
        <v>564</v>
      </c>
    </row>
    <row r="324" spans="1:17" ht="62.1" customHeight="1">
      <c r="A324" s="2" t="s">
        <v>557</v>
      </c>
      <c r="B324" s="2" t="s">
        <v>73</v>
      </c>
      <c r="C324" s="8" t="s">
        <v>558</v>
      </c>
      <c r="D324" s="2">
        <v>1</v>
      </c>
      <c r="E324" s="8" t="s">
        <v>10156</v>
      </c>
      <c r="F324" s="2">
        <v>3</v>
      </c>
      <c r="G324" s="8" t="s">
        <v>10163</v>
      </c>
      <c r="H324" s="8" t="s">
        <v>10163</v>
      </c>
      <c r="I324" s="2">
        <v>396.36</v>
      </c>
      <c r="J324" s="2">
        <v>314.16000000000003</v>
      </c>
      <c r="K324" s="2">
        <v>739.8</v>
      </c>
      <c r="L324" s="2">
        <v>499.68</v>
      </c>
      <c r="M324" s="8"/>
      <c r="N324" s="8" t="s">
        <v>10159</v>
      </c>
      <c r="O324" s="8" t="s">
        <v>7742</v>
      </c>
      <c r="P324" s="8" t="str">
        <f>HYPERLINK("https://seichotoushi-hojo.jp/assets/pdf/koufu/outline_151.pdf","PDFを開く")</f>
        <v>PDFを開く</v>
      </c>
      <c r="Q324" s="8" t="s">
        <v>564</v>
      </c>
    </row>
    <row r="325" spans="1:17" ht="62.1" customHeight="1">
      <c r="A325" s="5" t="s">
        <v>557</v>
      </c>
      <c r="B325" s="5" t="s">
        <v>73</v>
      </c>
      <c r="C325" s="9" t="s">
        <v>558</v>
      </c>
      <c r="D325" s="5">
        <v>1</v>
      </c>
      <c r="E325" s="9" t="s">
        <v>10156</v>
      </c>
      <c r="F325" s="5">
        <v>4</v>
      </c>
      <c r="G325" s="9" t="s">
        <v>8581</v>
      </c>
      <c r="H325" s="9" t="s">
        <v>8581</v>
      </c>
      <c r="I325" s="5">
        <v>48.72</v>
      </c>
      <c r="J325" s="5">
        <v>407.52</v>
      </c>
      <c r="K325" s="5">
        <v>368.28</v>
      </c>
      <c r="L325" s="5">
        <v>496.44</v>
      </c>
      <c r="M325" s="9"/>
      <c r="N325" s="9" t="s">
        <v>10159</v>
      </c>
      <c r="O325" s="9" t="s">
        <v>562</v>
      </c>
      <c r="P325" s="9" t="str">
        <f>HYPERLINK("https://seichotoushi-hojo.jp/assets/pdf/koufu/outline_151.pdf","PDFを開く")</f>
        <v>PDFを開く</v>
      </c>
      <c r="Q325" s="9" t="s">
        <v>564</v>
      </c>
    </row>
    <row r="326" spans="1:17" ht="62.1" customHeight="1">
      <c r="A326" s="2" t="s">
        <v>565</v>
      </c>
      <c r="B326" s="2" t="s">
        <v>73</v>
      </c>
      <c r="C326" s="8" t="s">
        <v>566</v>
      </c>
      <c r="D326" s="2">
        <v>1</v>
      </c>
      <c r="E326" s="8" t="s">
        <v>10156</v>
      </c>
      <c r="F326" s="2">
        <v>1</v>
      </c>
      <c r="G326" s="8" t="s">
        <v>10162</v>
      </c>
      <c r="H326" s="8" t="s">
        <v>10162</v>
      </c>
      <c r="I326" s="2">
        <v>396.3</v>
      </c>
      <c r="J326" s="2">
        <v>101.24</v>
      </c>
      <c r="K326" s="2">
        <v>739.78</v>
      </c>
      <c r="L326" s="2">
        <v>280.06</v>
      </c>
      <c r="M326" s="8"/>
      <c r="N326" s="8" t="s">
        <v>10159</v>
      </c>
      <c r="O326" s="8" t="s">
        <v>7748</v>
      </c>
      <c r="P326" s="8" t="str">
        <f>HYPERLINK("https://seichotoushi-hojo.jp/assets/pdf/koufu/outline_152.pdf","PDFを開く")</f>
        <v>PDFを開く</v>
      </c>
      <c r="Q326" s="8" t="s">
        <v>572</v>
      </c>
    </row>
    <row r="327" spans="1:17" ht="62.1" customHeight="1">
      <c r="A327" s="5" t="s">
        <v>565</v>
      </c>
      <c r="B327" s="5" t="s">
        <v>73</v>
      </c>
      <c r="C327" s="9" t="s">
        <v>566</v>
      </c>
      <c r="D327" s="5">
        <v>1</v>
      </c>
      <c r="E327" s="9" t="s">
        <v>10156</v>
      </c>
      <c r="F327" s="5">
        <v>2</v>
      </c>
      <c r="G327" s="9" t="s">
        <v>9578</v>
      </c>
      <c r="H327" s="9" t="s">
        <v>9578</v>
      </c>
      <c r="I327" s="5">
        <v>35.299999999999997</v>
      </c>
      <c r="J327" s="5">
        <v>103.72</v>
      </c>
      <c r="K327" s="5">
        <v>374.43</v>
      </c>
      <c r="L327" s="5">
        <v>520.9</v>
      </c>
      <c r="M327" s="9"/>
      <c r="N327" s="9" t="s">
        <v>10159</v>
      </c>
      <c r="O327" s="9" t="s">
        <v>7747</v>
      </c>
      <c r="P327" s="9" t="str">
        <f>HYPERLINK("https://seichotoushi-hojo.jp/assets/pdf/koufu/outline_152.pdf","PDFを開く")</f>
        <v>PDFを開く</v>
      </c>
      <c r="Q327" s="9" t="s">
        <v>572</v>
      </c>
    </row>
    <row r="328" spans="1:17" ht="62.1" customHeight="1">
      <c r="A328" s="2" t="s">
        <v>565</v>
      </c>
      <c r="B328" s="2" t="s">
        <v>73</v>
      </c>
      <c r="C328" s="8" t="s">
        <v>566</v>
      </c>
      <c r="D328" s="2">
        <v>1</v>
      </c>
      <c r="E328" s="8" t="s">
        <v>10156</v>
      </c>
      <c r="F328" s="2">
        <v>3</v>
      </c>
      <c r="G328" s="8" t="s">
        <v>10163</v>
      </c>
      <c r="H328" s="8" t="s">
        <v>10163</v>
      </c>
      <c r="I328" s="2">
        <v>395.7</v>
      </c>
      <c r="J328" s="2">
        <v>289.66000000000003</v>
      </c>
      <c r="K328" s="2">
        <v>739.18</v>
      </c>
      <c r="L328" s="2">
        <v>525.57000000000005</v>
      </c>
      <c r="M328" s="8"/>
      <c r="N328" s="8" t="s">
        <v>10159</v>
      </c>
      <c r="O328" s="8" t="s">
        <v>7749</v>
      </c>
      <c r="P328" s="8" t="str">
        <f>HYPERLINK("https://seichotoushi-hojo.jp/assets/pdf/koufu/outline_152.pdf","PDFを開く")</f>
        <v>PDFを開く</v>
      </c>
      <c r="Q328" s="8" t="s">
        <v>572</v>
      </c>
    </row>
    <row r="329" spans="1:17" ht="62.1" customHeight="1">
      <c r="A329" s="5" t="s">
        <v>565</v>
      </c>
      <c r="B329" s="5" t="s">
        <v>73</v>
      </c>
      <c r="C329" s="9" t="s">
        <v>566</v>
      </c>
      <c r="D329" s="5">
        <v>1</v>
      </c>
      <c r="E329" s="9" t="s">
        <v>10156</v>
      </c>
      <c r="F329" s="5">
        <v>4</v>
      </c>
      <c r="G329" s="9" t="s">
        <v>8581</v>
      </c>
      <c r="H329" s="9" t="s">
        <v>8581</v>
      </c>
      <c r="I329" s="5">
        <v>45.12</v>
      </c>
      <c r="J329" s="5">
        <v>420.39</v>
      </c>
      <c r="K329" s="5">
        <v>364.62</v>
      </c>
      <c r="L329" s="5">
        <v>485.12</v>
      </c>
      <c r="M329" s="9"/>
      <c r="N329" s="9" t="s">
        <v>10159</v>
      </c>
      <c r="O329" s="9" t="s">
        <v>570</v>
      </c>
      <c r="P329" s="9" t="str">
        <f>HYPERLINK("https://seichotoushi-hojo.jp/assets/pdf/koufu/outline_152.pdf","PDFを開く")</f>
        <v>PDFを開く</v>
      </c>
      <c r="Q329" s="9" t="s">
        <v>572</v>
      </c>
    </row>
    <row r="330" spans="1:17" ht="62.1" customHeight="1">
      <c r="A330" s="2" t="s">
        <v>573</v>
      </c>
      <c r="B330" s="2" t="s">
        <v>73</v>
      </c>
      <c r="C330" s="8" t="s">
        <v>574</v>
      </c>
      <c r="D330" s="2">
        <v>1</v>
      </c>
      <c r="E330" s="8" t="s">
        <v>10156</v>
      </c>
      <c r="F330" s="2">
        <v>1</v>
      </c>
      <c r="G330" s="8" t="s">
        <v>9578</v>
      </c>
      <c r="H330" s="8" t="s">
        <v>9578</v>
      </c>
      <c r="I330" s="2">
        <v>12.6</v>
      </c>
      <c r="J330" s="2">
        <v>104.22</v>
      </c>
      <c r="K330" s="2">
        <v>368.94</v>
      </c>
      <c r="L330" s="2">
        <v>532.5</v>
      </c>
      <c r="M330" s="8"/>
      <c r="N330" s="8" t="s">
        <v>10159</v>
      </c>
      <c r="O330" s="8" t="s">
        <v>7754</v>
      </c>
      <c r="P330" s="8" t="str">
        <f>HYPERLINK("https://seichotoushi-hojo.jp/assets/pdf/koufu/outline_153.pdf","PDFを開く")</f>
        <v>PDFを開く</v>
      </c>
      <c r="Q330" s="8" t="s">
        <v>581</v>
      </c>
    </row>
    <row r="331" spans="1:17" ht="62.1" customHeight="1">
      <c r="A331" s="5" t="s">
        <v>573</v>
      </c>
      <c r="B331" s="5" t="s">
        <v>73</v>
      </c>
      <c r="C331" s="9" t="s">
        <v>574</v>
      </c>
      <c r="D331" s="5">
        <v>1</v>
      </c>
      <c r="E331" s="9" t="s">
        <v>10156</v>
      </c>
      <c r="F331" s="5">
        <v>2</v>
      </c>
      <c r="G331" s="9" t="s">
        <v>10162</v>
      </c>
      <c r="H331" s="9" t="s">
        <v>10162</v>
      </c>
      <c r="I331" s="5">
        <v>410.55</v>
      </c>
      <c r="J331" s="5">
        <v>111.27</v>
      </c>
      <c r="K331" s="5">
        <v>768.21</v>
      </c>
      <c r="L331" s="5">
        <v>322.89</v>
      </c>
      <c r="M331" s="9"/>
      <c r="N331" s="9" t="s">
        <v>10159</v>
      </c>
      <c r="O331" s="9" t="s">
        <v>7755</v>
      </c>
      <c r="P331" s="9" t="str">
        <f>HYPERLINK("https://seichotoushi-hojo.jp/assets/pdf/koufu/outline_153.pdf","PDFを開く")</f>
        <v>PDFを開く</v>
      </c>
      <c r="Q331" s="9" t="s">
        <v>581</v>
      </c>
    </row>
    <row r="332" spans="1:17" ht="62.1" customHeight="1">
      <c r="A332" s="2" t="s">
        <v>573</v>
      </c>
      <c r="B332" s="2" t="s">
        <v>73</v>
      </c>
      <c r="C332" s="8" t="s">
        <v>574</v>
      </c>
      <c r="D332" s="2">
        <v>1</v>
      </c>
      <c r="E332" s="8" t="s">
        <v>10156</v>
      </c>
      <c r="F332" s="2">
        <v>3</v>
      </c>
      <c r="G332" s="8" t="s">
        <v>8581</v>
      </c>
      <c r="H332" s="8" t="s">
        <v>8581</v>
      </c>
      <c r="I332" s="2">
        <v>21.78</v>
      </c>
      <c r="J332" s="2">
        <v>311.16000000000003</v>
      </c>
      <c r="K332" s="2">
        <v>360</v>
      </c>
      <c r="L332" s="2">
        <v>524.28</v>
      </c>
      <c r="M332" s="8"/>
      <c r="N332" s="8" t="s">
        <v>10159</v>
      </c>
      <c r="O332" s="8" t="s">
        <v>578</v>
      </c>
      <c r="P332" s="8" t="str">
        <f>HYPERLINK("https://seichotoushi-hojo.jp/assets/pdf/koufu/outline_153.pdf","PDFを開く")</f>
        <v>PDFを開く</v>
      </c>
      <c r="Q332" s="8" t="s">
        <v>581</v>
      </c>
    </row>
    <row r="333" spans="1:17" ht="62.1" customHeight="1">
      <c r="A333" s="5" t="s">
        <v>573</v>
      </c>
      <c r="B333" s="5" t="s">
        <v>73</v>
      </c>
      <c r="C333" s="9" t="s">
        <v>574</v>
      </c>
      <c r="D333" s="5">
        <v>1</v>
      </c>
      <c r="E333" s="9" t="s">
        <v>10156</v>
      </c>
      <c r="F333" s="5">
        <v>4</v>
      </c>
      <c r="G333" s="9" t="s">
        <v>10163</v>
      </c>
      <c r="H333" s="9" t="s">
        <v>10163</v>
      </c>
      <c r="I333" s="5">
        <v>410.49</v>
      </c>
      <c r="J333" s="5">
        <v>334.35</v>
      </c>
      <c r="K333" s="5">
        <v>767.43</v>
      </c>
      <c r="L333" s="5">
        <v>501.39</v>
      </c>
      <c r="M333" s="9"/>
      <c r="N333" s="9" t="s">
        <v>10159</v>
      </c>
      <c r="O333" s="9" t="s">
        <v>7756</v>
      </c>
      <c r="P333" s="9" t="str">
        <f>HYPERLINK("https://seichotoushi-hojo.jp/assets/pdf/koufu/outline_153.pdf","PDFを開く")</f>
        <v>PDFを開く</v>
      </c>
      <c r="Q333" s="9" t="s">
        <v>581</v>
      </c>
    </row>
    <row r="334" spans="1:17" ht="62.1" customHeight="1">
      <c r="A334" s="2" t="s">
        <v>573</v>
      </c>
      <c r="B334" s="2" t="s">
        <v>73</v>
      </c>
      <c r="C334" s="8" t="s">
        <v>574</v>
      </c>
      <c r="D334" s="2">
        <v>2</v>
      </c>
      <c r="E334" s="8" t="s">
        <v>10165</v>
      </c>
      <c r="F334" s="2">
        <v>1</v>
      </c>
      <c r="G334" s="8" t="s">
        <v>10184</v>
      </c>
      <c r="H334" s="8" t="s">
        <v>10184</v>
      </c>
      <c r="I334" s="2">
        <v>126.68</v>
      </c>
      <c r="J334" s="2">
        <v>169.84</v>
      </c>
      <c r="K334" s="2">
        <v>401.7</v>
      </c>
      <c r="L334" s="2">
        <v>365.24</v>
      </c>
      <c r="M334" s="8"/>
      <c r="N334" s="8" t="s">
        <v>10181</v>
      </c>
      <c r="O334" s="8" t="s">
        <v>10317</v>
      </c>
      <c r="P334" s="8" t="str">
        <f>HYPERLINK("https://seichotoushi-hojo.jp/assets/pdf/koufu/outline_153.pdf","PDFを開く")</f>
        <v>PDFを開く</v>
      </c>
      <c r="Q334" s="8" t="s">
        <v>581</v>
      </c>
    </row>
    <row r="335" spans="1:17" ht="62.1" customHeight="1">
      <c r="A335" s="5" t="s">
        <v>582</v>
      </c>
      <c r="B335" s="5" t="s">
        <v>73</v>
      </c>
      <c r="C335" s="9" t="s">
        <v>583</v>
      </c>
      <c r="D335" s="5">
        <v>1</v>
      </c>
      <c r="E335" s="9" t="s">
        <v>10156</v>
      </c>
      <c r="F335" s="5">
        <v>1</v>
      </c>
      <c r="G335" s="9" t="s">
        <v>9578</v>
      </c>
      <c r="H335" s="9" t="s">
        <v>9578</v>
      </c>
      <c r="I335" s="5">
        <v>2.76</v>
      </c>
      <c r="J335" s="5">
        <v>113.89</v>
      </c>
      <c r="K335" s="5">
        <v>433.62</v>
      </c>
      <c r="L335" s="5">
        <v>533.61</v>
      </c>
      <c r="M335" s="9"/>
      <c r="N335" s="9" t="s">
        <v>10181</v>
      </c>
      <c r="O335" s="9" t="s">
        <v>7761</v>
      </c>
      <c r="P335" s="9" t="str">
        <f>HYPERLINK("https://seichotoushi-hojo.jp/assets/pdf/koufu/outline_154.pdf","PDFを開く")</f>
        <v>PDFを開く</v>
      </c>
      <c r="Q335" s="9" t="s">
        <v>591</v>
      </c>
    </row>
    <row r="336" spans="1:17" ht="62.1" customHeight="1">
      <c r="A336" s="2" t="s">
        <v>582</v>
      </c>
      <c r="B336" s="2" t="s">
        <v>73</v>
      </c>
      <c r="C336" s="8" t="s">
        <v>583</v>
      </c>
      <c r="D336" s="2">
        <v>1</v>
      </c>
      <c r="E336" s="8" t="s">
        <v>10156</v>
      </c>
      <c r="F336" s="2">
        <v>2</v>
      </c>
      <c r="G336" s="8" t="s">
        <v>10162</v>
      </c>
      <c r="H336" s="8" t="s">
        <v>10162</v>
      </c>
      <c r="I336" s="2">
        <v>423.52</v>
      </c>
      <c r="J336" s="2">
        <v>120.43</v>
      </c>
      <c r="K336" s="2">
        <v>829.35</v>
      </c>
      <c r="L336" s="2">
        <v>339.02</v>
      </c>
      <c r="M336" s="8"/>
      <c r="N336" s="8" t="s">
        <v>10181</v>
      </c>
      <c r="O336" s="8" t="s">
        <v>7762</v>
      </c>
      <c r="P336" s="8" t="str">
        <f>HYPERLINK("https://seichotoushi-hojo.jp/assets/pdf/koufu/outline_154.pdf","PDFを開く")</f>
        <v>PDFを開く</v>
      </c>
      <c r="Q336" s="8" t="s">
        <v>591</v>
      </c>
    </row>
    <row r="337" spans="1:17" ht="62.1" customHeight="1">
      <c r="A337" s="5" t="s">
        <v>582</v>
      </c>
      <c r="B337" s="5" t="s">
        <v>73</v>
      </c>
      <c r="C337" s="9" t="s">
        <v>583</v>
      </c>
      <c r="D337" s="5">
        <v>1</v>
      </c>
      <c r="E337" s="9" t="s">
        <v>10156</v>
      </c>
      <c r="F337" s="5">
        <v>3</v>
      </c>
      <c r="G337" s="9" t="s">
        <v>10163</v>
      </c>
      <c r="H337" s="9" t="s">
        <v>10163</v>
      </c>
      <c r="I337" s="5">
        <v>424.24</v>
      </c>
      <c r="J337" s="5">
        <v>338.02</v>
      </c>
      <c r="K337" s="5">
        <v>829.35</v>
      </c>
      <c r="L337" s="5">
        <v>553.24</v>
      </c>
      <c r="M337" s="9"/>
      <c r="N337" s="9" t="s">
        <v>10181</v>
      </c>
      <c r="O337" s="9" t="s">
        <v>7763</v>
      </c>
      <c r="P337" s="9" t="str">
        <f>HYPERLINK("https://seichotoushi-hojo.jp/assets/pdf/koufu/outline_154.pdf","PDFを開く")</f>
        <v>PDFを開く</v>
      </c>
      <c r="Q337" s="9" t="s">
        <v>591</v>
      </c>
    </row>
    <row r="338" spans="1:17" ht="62.1" customHeight="1">
      <c r="A338" s="2" t="s">
        <v>582</v>
      </c>
      <c r="B338" s="2" t="s">
        <v>73</v>
      </c>
      <c r="C338" s="8" t="s">
        <v>583</v>
      </c>
      <c r="D338" s="2">
        <v>1</v>
      </c>
      <c r="E338" s="8" t="s">
        <v>10156</v>
      </c>
      <c r="F338" s="2">
        <v>4</v>
      </c>
      <c r="G338" s="8" t="s">
        <v>8581</v>
      </c>
      <c r="H338" s="8" t="s">
        <v>8581</v>
      </c>
      <c r="I338" s="2">
        <v>44.97</v>
      </c>
      <c r="J338" s="2">
        <v>532.61</v>
      </c>
      <c r="K338" s="2">
        <v>433.62</v>
      </c>
      <c r="L338" s="2">
        <v>579.16</v>
      </c>
      <c r="M338" s="8"/>
      <c r="N338" s="8" t="s">
        <v>10181</v>
      </c>
      <c r="O338" s="8" t="s">
        <v>7764</v>
      </c>
      <c r="P338" s="8" t="str">
        <f>HYPERLINK("https://seichotoushi-hojo.jp/assets/pdf/koufu/outline_154.pdf","PDFを開く")</f>
        <v>PDFを開く</v>
      </c>
      <c r="Q338" s="8" t="s">
        <v>591</v>
      </c>
    </row>
    <row r="339" spans="1:17" ht="62.1" customHeight="1">
      <c r="A339" s="5" t="s">
        <v>592</v>
      </c>
      <c r="B339" s="5" t="s">
        <v>73</v>
      </c>
      <c r="C339" s="9" t="s">
        <v>593</v>
      </c>
      <c r="D339" s="5">
        <v>1</v>
      </c>
      <c r="E339" s="9" t="s">
        <v>10156</v>
      </c>
      <c r="F339" s="5">
        <v>1</v>
      </c>
      <c r="G339" s="9" t="s">
        <v>9578</v>
      </c>
      <c r="H339" s="9" t="s">
        <v>9578</v>
      </c>
      <c r="I339" s="5">
        <v>35.880000000000003</v>
      </c>
      <c r="J339" s="5">
        <v>110.46</v>
      </c>
      <c r="K339" s="5">
        <v>375</v>
      </c>
      <c r="L339" s="5">
        <v>509.52</v>
      </c>
      <c r="M339" s="9"/>
      <c r="N339" s="9" t="s">
        <v>10159</v>
      </c>
      <c r="O339" s="9" t="s">
        <v>7769</v>
      </c>
      <c r="P339" s="9" t="str">
        <f>HYPERLINK("https://seichotoushi-hojo.jp/assets/pdf/koufu/outline_155.pdf","PDFを開く")</f>
        <v>PDFを開く</v>
      </c>
      <c r="Q339" s="9" t="s">
        <v>600</v>
      </c>
    </row>
    <row r="340" spans="1:17" ht="62.1" customHeight="1">
      <c r="A340" s="2" t="s">
        <v>592</v>
      </c>
      <c r="B340" s="2" t="s">
        <v>73</v>
      </c>
      <c r="C340" s="8" t="s">
        <v>593</v>
      </c>
      <c r="D340" s="2">
        <v>1</v>
      </c>
      <c r="E340" s="8" t="s">
        <v>10156</v>
      </c>
      <c r="F340" s="2">
        <v>2</v>
      </c>
      <c r="G340" s="8" t="s">
        <v>10162</v>
      </c>
      <c r="H340" s="8" t="s">
        <v>10162</v>
      </c>
      <c r="I340" s="2">
        <v>392.55</v>
      </c>
      <c r="J340" s="2">
        <v>111.81</v>
      </c>
      <c r="K340" s="2">
        <v>741.99</v>
      </c>
      <c r="L340" s="2">
        <v>299.55</v>
      </c>
      <c r="M340" s="8"/>
      <c r="N340" s="8" t="s">
        <v>10159</v>
      </c>
      <c r="O340" s="8" t="s">
        <v>7770</v>
      </c>
      <c r="P340" s="8" t="str">
        <f>HYPERLINK("https://seichotoushi-hojo.jp/assets/pdf/koufu/outline_155.pdf","PDFを開く")</f>
        <v>PDFを開く</v>
      </c>
      <c r="Q340" s="8" t="s">
        <v>600</v>
      </c>
    </row>
    <row r="341" spans="1:17" ht="62.1" customHeight="1">
      <c r="A341" s="5" t="s">
        <v>592</v>
      </c>
      <c r="B341" s="5" t="s">
        <v>73</v>
      </c>
      <c r="C341" s="9" t="s">
        <v>593</v>
      </c>
      <c r="D341" s="5">
        <v>1</v>
      </c>
      <c r="E341" s="9" t="s">
        <v>10156</v>
      </c>
      <c r="F341" s="5">
        <v>3</v>
      </c>
      <c r="G341" s="9" t="s">
        <v>10163</v>
      </c>
      <c r="H341" s="9" t="s">
        <v>10163</v>
      </c>
      <c r="I341" s="5">
        <v>392.55</v>
      </c>
      <c r="J341" s="5">
        <v>311.97000000000003</v>
      </c>
      <c r="K341" s="5">
        <v>741.99</v>
      </c>
      <c r="L341" s="5">
        <v>509.55</v>
      </c>
      <c r="M341" s="9"/>
      <c r="N341" s="9" t="s">
        <v>10159</v>
      </c>
      <c r="O341" s="9" t="s">
        <v>7771</v>
      </c>
      <c r="P341" s="9" t="str">
        <f>HYPERLINK("https://seichotoushi-hojo.jp/assets/pdf/koufu/outline_155.pdf","PDFを開く")</f>
        <v>PDFを開く</v>
      </c>
      <c r="Q341" s="9" t="s">
        <v>600</v>
      </c>
    </row>
    <row r="342" spans="1:17" ht="62.1" customHeight="1">
      <c r="A342" s="2" t="s">
        <v>592</v>
      </c>
      <c r="B342" s="2" t="s">
        <v>73</v>
      </c>
      <c r="C342" s="8" t="s">
        <v>593</v>
      </c>
      <c r="D342" s="2">
        <v>1</v>
      </c>
      <c r="E342" s="8" t="s">
        <v>10156</v>
      </c>
      <c r="F342" s="2">
        <v>4</v>
      </c>
      <c r="G342" s="8" t="s">
        <v>8581</v>
      </c>
      <c r="H342" s="8" t="s">
        <v>8581</v>
      </c>
      <c r="I342" s="2">
        <v>45.9</v>
      </c>
      <c r="J342" s="2">
        <v>408.3</v>
      </c>
      <c r="K342" s="2">
        <v>363.72</v>
      </c>
      <c r="L342" s="2">
        <v>497.64</v>
      </c>
      <c r="M342" s="8"/>
      <c r="N342" s="8" t="s">
        <v>10159</v>
      </c>
      <c r="O342" s="8" t="s">
        <v>597</v>
      </c>
      <c r="P342" s="8" t="str">
        <f>HYPERLINK("https://seichotoushi-hojo.jp/assets/pdf/koufu/outline_155.pdf","PDFを開く")</f>
        <v>PDFを開く</v>
      </c>
      <c r="Q342" s="8" t="s">
        <v>600</v>
      </c>
    </row>
    <row r="343" spans="1:17" ht="62.1" customHeight="1">
      <c r="A343" s="5" t="s">
        <v>601</v>
      </c>
      <c r="B343" s="5" t="s">
        <v>73</v>
      </c>
      <c r="C343" s="9" t="s">
        <v>602</v>
      </c>
      <c r="D343" s="5">
        <v>1</v>
      </c>
      <c r="E343" s="9" t="s">
        <v>10156</v>
      </c>
      <c r="F343" s="5">
        <v>1</v>
      </c>
      <c r="G343" s="9" t="s">
        <v>10162</v>
      </c>
      <c r="H343" s="9" t="s">
        <v>10162</v>
      </c>
      <c r="I343" s="5">
        <v>390.59</v>
      </c>
      <c r="J343" s="5">
        <v>95.91</v>
      </c>
      <c r="K343" s="5">
        <v>752.47</v>
      </c>
      <c r="L343" s="5">
        <v>275.18</v>
      </c>
      <c r="M343" s="9"/>
      <c r="N343" s="9" t="s">
        <v>10159</v>
      </c>
      <c r="O343" s="9" t="s">
        <v>7777</v>
      </c>
      <c r="P343" s="9" t="str">
        <f>HYPERLINK("https://seichotoushi-hojo.jp/assets/pdf/koufu/outline_156.pdf","PDFを開く")</f>
        <v>PDFを開く</v>
      </c>
      <c r="Q343" s="9" t="s">
        <v>608</v>
      </c>
    </row>
    <row r="344" spans="1:17" ht="62.1" customHeight="1">
      <c r="A344" s="2" t="s">
        <v>601</v>
      </c>
      <c r="B344" s="2" t="s">
        <v>73</v>
      </c>
      <c r="C344" s="8" t="s">
        <v>602</v>
      </c>
      <c r="D344" s="2">
        <v>1</v>
      </c>
      <c r="E344" s="8" t="s">
        <v>10156</v>
      </c>
      <c r="F344" s="2">
        <v>2</v>
      </c>
      <c r="G344" s="8" t="s">
        <v>9578</v>
      </c>
      <c r="H344" s="8" t="s">
        <v>9578</v>
      </c>
      <c r="I344" s="2">
        <v>16.8</v>
      </c>
      <c r="J344" s="2">
        <v>101.81</v>
      </c>
      <c r="K344" s="2">
        <v>355.93</v>
      </c>
      <c r="L344" s="2">
        <v>520.9</v>
      </c>
      <c r="M344" s="8"/>
      <c r="N344" s="8" t="s">
        <v>10159</v>
      </c>
      <c r="O344" s="8" t="s">
        <v>7776</v>
      </c>
      <c r="P344" s="8" t="str">
        <f>HYPERLINK("https://seichotoushi-hojo.jp/assets/pdf/koufu/outline_156.pdf","PDFを開く")</f>
        <v>PDFを開く</v>
      </c>
      <c r="Q344" s="8" t="s">
        <v>608</v>
      </c>
    </row>
    <row r="345" spans="1:17" ht="62.1" customHeight="1">
      <c r="A345" s="5" t="s">
        <v>601</v>
      </c>
      <c r="B345" s="5" t="s">
        <v>73</v>
      </c>
      <c r="C345" s="9" t="s">
        <v>602</v>
      </c>
      <c r="D345" s="5">
        <v>1</v>
      </c>
      <c r="E345" s="9" t="s">
        <v>10156</v>
      </c>
      <c r="F345" s="5">
        <v>3</v>
      </c>
      <c r="G345" s="9" t="s">
        <v>8581</v>
      </c>
      <c r="H345" s="9" t="s">
        <v>8581</v>
      </c>
      <c r="I345" s="5">
        <v>21.87</v>
      </c>
      <c r="J345" s="5">
        <v>358.9</v>
      </c>
      <c r="K345" s="5">
        <v>347.85</v>
      </c>
      <c r="L345" s="5">
        <v>514.82000000000005</v>
      </c>
      <c r="M345" s="9"/>
      <c r="N345" s="9" t="s">
        <v>10159</v>
      </c>
      <c r="O345" s="9" t="s">
        <v>605</v>
      </c>
      <c r="P345" s="9" t="str">
        <f>HYPERLINK("https://seichotoushi-hojo.jp/assets/pdf/koufu/outline_156.pdf","PDFを開く")</f>
        <v>PDFを開く</v>
      </c>
      <c r="Q345" s="9" t="s">
        <v>608</v>
      </c>
    </row>
    <row r="346" spans="1:17" ht="62.1" customHeight="1">
      <c r="A346" s="2" t="s">
        <v>601</v>
      </c>
      <c r="B346" s="2" t="s">
        <v>73</v>
      </c>
      <c r="C346" s="8" t="s">
        <v>602</v>
      </c>
      <c r="D346" s="2">
        <v>1</v>
      </c>
      <c r="E346" s="8" t="s">
        <v>10156</v>
      </c>
      <c r="F346" s="2">
        <v>4</v>
      </c>
      <c r="G346" s="8" t="s">
        <v>10163</v>
      </c>
      <c r="H346" s="8" t="s">
        <v>10163</v>
      </c>
      <c r="I346" s="2">
        <v>390.59</v>
      </c>
      <c r="J346" s="2">
        <v>366.5</v>
      </c>
      <c r="K346" s="2">
        <v>752.47</v>
      </c>
      <c r="L346" s="2">
        <v>520.52</v>
      </c>
      <c r="M346" s="8"/>
      <c r="N346" s="8" t="s">
        <v>10159</v>
      </c>
      <c r="O346" s="8" t="s">
        <v>7778</v>
      </c>
      <c r="P346" s="8" t="str">
        <f>HYPERLINK("https://seichotoushi-hojo.jp/assets/pdf/koufu/outline_156.pdf","PDFを開く")</f>
        <v>PDFを開く</v>
      </c>
      <c r="Q346" s="8" t="s">
        <v>608</v>
      </c>
    </row>
    <row r="347" spans="1:17" ht="62.1" customHeight="1">
      <c r="A347" s="5" t="s">
        <v>601</v>
      </c>
      <c r="B347" s="5" t="s">
        <v>73</v>
      </c>
      <c r="C347" s="9" t="s">
        <v>602</v>
      </c>
      <c r="D347" s="5">
        <v>2</v>
      </c>
      <c r="E347" s="9" t="s">
        <v>10165</v>
      </c>
      <c r="F347" s="5">
        <v>1</v>
      </c>
      <c r="G347" s="9" t="s">
        <v>10167</v>
      </c>
      <c r="H347" s="9" t="s">
        <v>10318</v>
      </c>
      <c r="I347" s="5">
        <v>459.46</v>
      </c>
      <c r="J347" s="5">
        <v>402.69</v>
      </c>
      <c r="K347" s="5">
        <v>771.27</v>
      </c>
      <c r="L347" s="5">
        <v>521.75</v>
      </c>
      <c r="M347" s="9"/>
      <c r="N347" s="9" t="s">
        <v>10159</v>
      </c>
      <c r="O347" s="9" t="s">
        <v>10318</v>
      </c>
      <c r="P347" s="9" t="str">
        <f>HYPERLINK("https://seichotoushi-hojo.jp/assets/pdf/koufu/outline_156.pdf","PDFを開く")</f>
        <v>PDFを開く</v>
      </c>
      <c r="Q347" s="9" t="s">
        <v>608</v>
      </c>
    </row>
    <row r="348" spans="1:17" ht="62.1" customHeight="1">
      <c r="A348" s="2" t="s">
        <v>609</v>
      </c>
      <c r="B348" s="2" t="s">
        <v>73</v>
      </c>
      <c r="C348" s="8" t="s">
        <v>610</v>
      </c>
      <c r="D348" s="2">
        <v>1</v>
      </c>
      <c r="E348" s="8" t="s">
        <v>10156</v>
      </c>
      <c r="F348" s="2">
        <v>1</v>
      </c>
      <c r="G348" s="8" t="s">
        <v>9578</v>
      </c>
      <c r="H348" s="8" t="s">
        <v>9578</v>
      </c>
      <c r="I348" s="2">
        <v>39.659999999999997</v>
      </c>
      <c r="J348" s="2">
        <v>109.05</v>
      </c>
      <c r="K348" s="2">
        <v>378.79</v>
      </c>
      <c r="L348" s="2">
        <v>520.9</v>
      </c>
      <c r="M348" s="8"/>
      <c r="N348" s="8" t="s">
        <v>10159</v>
      </c>
      <c r="O348" s="8" t="s">
        <v>7783</v>
      </c>
      <c r="P348" s="8" t="str">
        <f>HYPERLINK("https://seichotoushi-hojo.jp/assets/pdf/koufu/outline_157.pdf","PDFを開く")</f>
        <v>PDFを開く</v>
      </c>
      <c r="Q348" s="8" t="s">
        <v>616</v>
      </c>
    </row>
    <row r="349" spans="1:17" ht="62.1" customHeight="1">
      <c r="A349" s="5" t="s">
        <v>609</v>
      </c>
      <c r="B349" s="5" t="s">
        <v>73</v>
      </c>
      <c r="C349" s="9" t="s">
        <v>610</v>
      </c>
      <c r="D349" s="5">
        <v>1</v>
      </c>
      <c r="E349" s="9" t="s">
        <v>10156</v>
      </c>
      <c r="F349" s="5">
        <v>2</v>
      </c>
      <c r="G349" s="9" t="s">
        <v>10162</v>
      </c>
      <c r="H349" s="9" t="s">
        <v>10162</v>
      </c>
      <c r="I349" s="5">
        <v>396.3</v>
      </c>
      <c r="J349" s="5">
        <v>111.7</v>
      </c>
      <c r="K349" s="5">
        <v>739.78</v>
      </c>
      <c r="L349" s="5">
        <v>270</v>
      </c>
      <c r="M349" s="9"/>
      <c r="N349" s="9" t="s">
        <v>10159</v>
      </c>
      <c r="O349" s="9" t="s">
        <v>7784</v>
      </c>
      <c r="P349" s="9" t="str">
        <f>HYPERLINK("https://seichotoushi-hojo.jp/assets/pdf/koufu/outline_157.pdf","PDFを開く")</f>
        <v>PDFを開く</v>
      </c>
      <c r="Q349" s="9" t="s">
        <v>616</v>
      </c>
    </row>
    <row r="350" spans="1:17" ht="62.1" customHeight="1">
      <c r="A350" s="2" t="s">
        <v>609</v>
      </c>
      <c r="B350" s="2" t="s">
        <v>73</v>
      </c>
      <c r="C350" s="8" t="s">
        <v>610</v>
      </c>
      <c r="D350" s="2">
        <v>1</v>
      </c>
      <c r="E350" s="8" t="s">
        <v>10156</v>
      </c>
      <c r="F350" s="2">
        <v>3</v>
      </c>
      <c r="G350" s="8" t="s">
        <v>10163</v>
      </c>
      <c r="H350" s="8" t="s">
        <v>10163</v>
      </c>
      <c r="I350" s="2">
        <v>396.3</v>
      </c>
      <c r="J350" s="2">
        <v>310.11</v>
      </c>
      <c r="K350" s="2">
        <v>739.78</v>
      </c>
      <c r="L350" s="2">
        <v>427.94</v>
      </c>
      <c r="M350" s="8"/>
      <c r="N350" s="8" t="s">
        <v>10159</v>
      </c>
      <c r="O350" s="8" t="s">
        <v>7785</v>
      </c>
      <c r="P350" s="8" t="str">
        <f>HYPERLINK("https://seichotoushi-hojo.jp/assets/pdf/koufu/outline_157.pdf","PDFを開く")</f>
        <v>PDFを開く</v>
      </c>
      <c r="Q350" s="8" t="s">
        <v>616</v>
      </c>
    </row>
    <row r="351" spans="1:17" ht="62.1" customHeight="1">
      <c r="A351" s="5" t="s">
        <v>609</v>
      </c>
      <c r="B351" s="5" t="s">
        <v>73</v>
      </c>
      <c r="C351" s="9" t="s">
        <v>610</v>
      </c>
      <c r="D351" s="5">
        <v>1</v>
      </c>
      <c r="E351" s="9" t="s">
        <v>10156</v>
      </c>
      <c r="F351" s="5">
        <v>4</v>
      </c>
      <c r="G351" s="9" t="s">
        <v>8581</v>
      </c>
      <c r="H351" s="9" t="s">
        <v>8581</v>
      </c>
      <c r="I351" s="5">
        <v>49.47</v>
      </c>
      <c r="J351" s="5">
        <v>456.35</v>
      </c>
      <c r="K351" s="5">
        <v>368.97</v>
      </c>
      <c r="L351" s="5">
        <v>515.76</v>
      </c>
      <c r="M351" s="9"/>
      <c r="N351" s="9" t="s">
        <v>10159</v>
      </c>
      <c r="O351" s="9" t="s">
        <v>614</v>
      </c>
      <c r="P351" s="9" t="str">
        <f>HYPERLINK("https://seichotoushi-hojo.jp/assets/pdf/koufu/outline_157.pdf","PDFを開く")</f>
        <v>PDFを開く</v>
      </c>
      <c r="Q351" s="9" t="s">
        <v>616</v>
      </c>
    </row>
    <row r="352" spans="1:17" ht="62.1" customHeight="1">
      <c r="A352" s="2" t="s">
        <v>617</v>
      </c>
      <c r="B352" s="2" t="s">
        <v>73</v>
      </c>
      <c r="C352" s="8" t="s">
        <v>618</v>
      </c>
      <c r="D352" s="2">
        <v>1</v>
      </c>
      <c r="E352" s="8" t="s">
        <v>10156</v>
      </c>
      <c r="F352" s="2">
        <v>1</v>
      </c>
      <c r="G352" s="8" t="s">
        <v>10157</v>
      </c>
      <c r="H352" s="8" t="s">
        <v>10157</v>
      </c>
      <c r="I352" s="2">
        <v>35.299999999999997</v>
      </c>
      <c r="J352" s="2">
        <v>96</v>
      </c>
      <c r="K352" s="2">
        <v>766.8</v>
      </c>
      <c r="L352" s="2">
        <v>152.53</v>
      </c>
      <c r="M352" s="8"/>
      <c r="N352" s="8" t="s">
        <v>10159</v>
      </c>
      <c r="O352" s="8" t="s">
        <v>7790</v>
      </c>
      <c r="P352" s="8" t="str">
        <f t="shared" ref="P352:P358" si="17">HYPERLINK("https://seichotoushi-hojo.jp/assets/pdf/koufu/outline_158.pdf","PDFを開く")</f>
        <v>PDFを開く</v>
      </c>
      <c r="Q352" s="8" t="s">
        <v>624</v>
      </c>
    </row>
    <row r="353" spans="1:17" ht="62.1" customHeight="1">
      <c r="A353" s="5" t="s">
        <v>617</v>
      </c>
      <c r="B353" s="5" t="s">
        <v>73</v>
      </c>
      <c r="C353" s="9" t="s">
        <v>618</v>
      </c>
      <c r="D353" s="5">
        <v>1</v>
      </c>
      <c r="E353" s="9" t="s">
        <v>10156</v>
      </c>
      <c r="F353" s="5">
        <v>2</v>
      </c>
      <c r="G353" s="9" t="s">
        <v>10167</v>
      </c>
      <c r="H353" s="9" t="s">
        <v>10319</v>
      </c>
      <c r="I353" s="5">
        <v>35.299999999999997</v>
      </c>
      <c r="J353" s="5">
        <v>155.1</v>
      </c>
      <c r="K353" s="5">
        <v>766.8</v>
      </c>
      <c r="L353" s="5">
        <v>211.12</v>
      </c>
      <c r="M353" s="9"/>
      <c r="N353" s="9" t="s">
        <v>10159</v>
      </c>
      <c r="O353" s="9" t="s">
        <v>10320</v>
      </c>
      <c r="P353" s="9" t="str">
        <f t="shared" si="17"/>
        <v>PDFを開く</v>
      </c>
      <c r="Q353" s="9" t="s">
        <v>624</v>
      </c>
    </row>
    <row r="354" spans="1:17" ht="62.1" customHeight="1">
      <c r="A354" s="2" t="s">
        <v>617</v>
      </c>
      <c r="B354" s="2" t="s">
        <v>73</v>
      </c>
      <c r="C354" s="8" t="s">
        <v>618</v>
      </c>
      <c r="D354" s="2">
        <v>1</v>
      </c>
      <c r="E354" s="8" t="s">
        <v>10156</v>
      </c>
      <c r="F354" s="2">
        <v>3</v>
      </c>
      <c r="G354" s="8" t="s">
        <v>10162</v>
      </c>
      <c r="H354" s="8" t="s">
        <v>10162</v>
      </c>
      <c r="I354" s="2">
        <v>385.5</v>
      </c>
      <c r="J354" s="2">
        <v>214.03</v>
      </c>
      <c r="K354" s="2">
        <v>766.8</v>
      </c>
      <c r="L354" s="2">
        <v>396.58</v>
      </c>
      <c r="M354" s="8"/>
      <c r="N354" s="8" t="s">
        <v>10159</v>
      </c>
      <c r="O354" s="8" t="s">
        <v>7792</v>
      </c>
      <c r="P354" s="8" t="str">
        <f t="shared" si="17"/>
        <v>PDFを開く</v>
      </c>
      <c r="Q354" s="8" t="s">
        <v>624</v>
      </c>
    </row>
    <row r="355" spans="1:17" ht="62.1" customHeight="1">
      <c r="A355" s="5" t="s">
        <v>617</v>
      </c>
      <c r="B355" s="5" t="s">
        <v>73</v>
      </c>
      <c r="C355" s="9" t="s">
        <v>618</v>
      </c>
      <c r="D355" s="5">
        <v>1</v>
      </c>
      <c r="E355" s="9" t="s">
        <v>10156</v>
      </c>
      <c r="F355" s="5">
        <v>4</v>
      </c>
      <c r="G355" s="9" t="s">
        <v>9578</v>
      </c>
      <c r="H355" s="9" t="s">
        <v>9578</v>
      </c>
      <c r="I355" s="5">
        <v>35.299999999999997</v>
      </c>
      <c r="J355" s="5">
        <v>214.93</v>
      </c>
      <c r="K355" s="5">
        <v>364.8</v>
      </c>
      <c r="L355" s="5">
        <v>528.41</v>
      </c>
      <c r="M355" s="9"/>
      <c r="N355" s="9" t="s">
        <v>10159</v>
      </c>
      <c r="O355" s="9" t="s">
        <v>7791</v>
      </c>
      <c r="P355" s="9" t="str">
        <f t="shared" si="17"/>
        <v>PDFを開く</v>
      </c>
      <c r="Q355" s="9" t="s">
        <v>624</v>
      </c>
    </row>
    <row r="356" spans="1:17" ht="62.1" customHeight="1">
      <c r="A356" s="2" t="s">
        <v>617</v>
      </c>
      <c r="B356" s="2" t="s">
        <v>73</v>
      </c>
      <c r="C356" s="8" t="s">
        <v>618</v>
      </c>
      <c r="D356" s="2">
        <v>1</v>
      </c>
      <c r="E356" s="8" t="s">
        <v>10156</v>
      </c>
      <c r="F356" s="2">
        <v>5</v>
      </c>
      <c r="G356" s="8" t="s">
        <v>10163</v>
      </c>
      <c r="H356" s="8" t="s">
        <v>10163</v>
      </c>
      <c r="I356" s="2">
        <v>385.5</v>
      </c>
      <c r="J356" s="2">
        <v>397.74</v>
      </c>
      <c r="K356" s="2">
        <v>766.8</v>
      </c>
      <c r="L356" s="2">
        <v>533.61</v>
      </c>
      <c r="M356" s="8"/>
      <c r="N356" s="8" t="s">
        <v>10159</v>
      </c>
      <c r="O356" s="8" t="s">
        <v>7793</v>
      </c>
      <c r="P356" s="8" t="str">
        <f t="shared" si="17"/>
        <v>PDFを開く</v>
      </c>
      <c r="Q356" s="8" t="s">
        <v>624</v>
      </c>
    </row>
    <row r="357" spans="1:17" ht="62.1" customHeight="1">
      <c r="A357" s="5" t="s">
        <v>617</v>
      </c>
      <c r="B357" s="5" t="s">
        <v>73</v>
      </c>
      <c r="C357" s="9" t="s">
        <v>618</v>
      </c>
      <c r="D357" s="5">
        <v>1</v>
      </c>
      <c r="E357" s="9" t="s">
        <v>10156</v>
      </c>
      <c r="F357" s="5">
        <v>6</v>
      </c>
      <c r="G357" s="9" t="s">
        <v>8581</v>
      </c>
      <c r="H357" s="9" t="s">
        <v>8581</v>
      </c>
      <c r="I357" s="5">
        <v>41.88</v>
      </c>
      <c r="J357" s="5">
        <v>460.95</v>
      </c>
      <c r="K357" s="5">
        <v>359.88</v>
      </c>
      <c r="L357" s="5">
        <v>524.32000000000005</v>
      </c>
      <c r="M357" s="9"/>
      <c r="N357" s="9" t="s">
        <v>10159</v>
      </c>
      <c r="O357" s="9" t="s">
        <v>622</v>
      </c>
      <c r="P357" s="9" t="str">
        <f t="shared" si="17"/>
        <v>PDFを開く</v>
      </c>
      <c r="Q357" s="9" t="s">
        <v>624</v>
      </c>
    </row>
    <row r="358" spans="1:17" ht="62.1" customHeight="1">
      <c r="A358" s="2" t="s">
        <v>617</v>
      </c>
      <c r="B358" s="2" t="s">
        <v>73</v>
      </c>
      <c r="C358" s="8" t="s">
        <v>618</v>
      </c>
      <c r="D358" s="2">
        <v>2</v>
      </c>
      <c r="E358" s="8" t="s">
        <v>10165</v>
      </c>
      <c r="F358" s="2">
        <v>1</v>
      </c>
      <c r="G358" s="8" t="s">
        <v>10167</v>
      </c>
      <c r="H358" s="8" t="s">
        <v>10321</v>
      </c>
      <c r="I358" s="2">
        <v>40.22</v>
      </c>
      <c r="J358" s="2">
        <v>99.47</v>
      </c>
      <c r="K358" s="2">
        <v>739.78</v>
      </c>
      <c r="L358" s="2">
        <v>138.62</v>
      </c>
      <c r="M358" s="8"/>
      <c r="N358" s="8" t="s">
        <v>10159</v>
      </c>
      <c r="O358" s="8" t="s">
        <v>10322</v>
      </c>
      <c r="P358" s="8" t="str">
        <f t="shared" si="17"/>
        <v>PDFを開く</v>
      </c>
      <c r="Q358" s="8" t="s">
        <v>624</v>
      </c>
    </row>
    <row r="359" spans="1:17" ht="62.1" customHeight="1">
      <c r="A359" s="5" t="s">
        <v>625</v>
      </c>
      <c r="B359" s="5" t="s">
        <v>73</v>
      </c>
      <c r="C359" s="9" t="s">
        <v>626</v>
      </c>
      <c r="D359" s="5">
        <v>1</v>
      </c>
      <c r="E359" s="9" t="s">
        <v>10156</v>
      </c>
      <c r="F359" s="5">
        <v>1</v>
      </c>
      <c r="G359" s="9" t="s">
        <v>9578</v>
      </c>
      <c r="H359" s="9" t="s">
        <v>9578</v>
      </c>
      <c r="I359" s="5">
        <v>14.76</v>
      </c>
      <c r="J359" s="5">
        <v>100.32</v>
      </c>
      <c r="K359" s="5">
        <v>316.44</v>
      </c>
      <c r="L359" s="5">
        <v>514.32000000000005</v>
      </c>
      <c r="M359" s="9"/>
      <c r="N359" s="9" t="s">
        <v>10159</v>
      </c>
      <c r="O359" s="9" t="s">
        <v>7798</v>
      </c>
      <c r="P359" s="9" t="str">
        <f t="shared" ref="P359:P364" si="18">HYPERLINK("https://seichotoushi-hojo.jp/assets/pdf/koufu/outline_159.pdf","PDFを開く")</f>
        <v>PDFを開く</v>
      </c>
      <c r="Q359" s="9" t="s">
        <v>633</v>
      </c>
    </row>
    <row r="360" spans="1:17" ht="62.1" customHeight="1">
      <c r="A360" s="2" t="s">
        <v>625</v>
      </c>
      <c r="B360" s="2" t="s">
        <v>73</v>
      </c>
      <c r="C360" s="8" t="s">
        <v>626</v>
      </c>
      <c r="D360" s="2">
        <v>1</v>
      </c>
      <c r="E360" s="8" t="s">
        <v>10156</v>
      </c>
      <c r="F360" s="2">
        <v>2</v>
      </c>
      <c r="G360" s="8" t="s">
        <v>10162</v>
      </c>
      <c r="H360" s="8" t="s">
        <v>10162</v>
      </c>
      <c r="I360" s="2">
        <v>326.63</v>
      </c>
      <c r="J360" s="2">
        <v>117.68</v>
      </c>
      <c r="K360" s="2">
        <v>401.7</v>
      </c>
      <c r="L360" s="2">
        <v>177.53</v>
      </c>
      <c r="M360" s="8"/>
      <c r="N360" s="8" t="s">
        <v>10181</v>
      </c>
      <c r="O360" s="8" t="s">
        <v>10323</v>
      </c>
      <c r="P360" s="8" t="str">
        <f t="shared" si="18"/>
        <v>PDFを開く</v>
      </c>
      <c r="Q360" s="8" t="s">
        <v>633</v>
      </c>
    </row>
    <row r="361" spans="1:17" ht="62.1" customHeight="1">
      <c r="A361" s="5" t="s">
        <v>625</v>
      </c>
      <c r="B361" s="5" t="s">
        <v>73</v>
      </c>
      <c r="C361" s="9" t="s">
        <v>626</v>
      </c>
      <c r="D361" s="5">
        <v>1</v>
      </c>
      <c r="E361" s="9" t="s">
        <v>10156</v>
      </c>
      <c r="F361" s="5">
        <v>3</v>
      </c>
      <c r="G361" s="9" t="s">
        <v>10163</v>
      </c>
      <c r="H361" s="9" t="s">
        <v>10163</v>
      </c>
      <c r="I361" s="5">
        <v>325.39</v>
      </c>
      <c r="J361" s="5">
        <v>176.53</v>
      </c>
      <c r="K361" s="5">
        <v>401.7</v>
      </c>
      <c r="L361" s="5">
        <v>324.51</v>
      </c>
      <c r="M361" s="9"/>
      <c r="N361" s="9" t="s">
        <v>10181</v>
      </c>
      <c r="O361" s="9" t="s">
        <v>10324</v>
      </c>
      <c r="P361" s="9" t="str">
        <f t="shared" si="18"/>
        <v>PDFを開く</v>
      </c>
      <c r="Q361" s="9" t="s">
        <v>633</v>
      </c>
    </row>
    <row r="362" spans="1:17" ht="62.1" customHeight="1">
      <c r="A362" s="2" t="s">
        <v>625</v>
      </c>
      <c r="B362" s="2" t="s">
        <v>73</v>
      </c>
      <c r="C362" s="8" t="s">
        <v>626</v>
      </c>
      <c r="D362" s="2">
        <v>1</v>
      </c>
      <c r="E362" s="8" t="s">
        <v>10156</v>
      </c>
      <c r="F362" s="2">
        <v>4</v>
      </c>
      <c r="G362" s="8" t="s">
        <v>8581</v>
      </c>
      <c r="H362" s="8" t="s">
        <v>8581</v>
      </c>
      <c r="I362" s="2">
        <v>21.24</v>
      </c>
      <c r="J362" s="2">
        <v>181.8</v>
      </c>
      <c r="K362" s="2">
        <v>307.8</v>
      </c>
      <c r="L362" s="2">
        <v>506.88</v>
      </c>
      <c r="M362" s="8"/>
      <c r="N362" s="8" t="s">
        <v>10159</v>
      </c>
      <c r="O362" s="8" t="s">
        <v>7801</v>
      </c>
      <c r="P362" s="8" t="str">
        <f t="shared" si="18"/>
        <v>PDFを開く</v>
      </c>
      <c r="Q362" s="8" t="s">
        <v>633</v>
      </c>
    </row>
    <row r="363" spans="1:17" ht="62.1" customHeight="1">
      <c r="A363" s="5" t="s">
        <v>625</v>
      </c>
      <c r="B363" s="5" t="s">
        <v>73</v>
      </c>
      <c r="C363" s="9" t="s">
        <v>626</v>
      </c>
      <c r="D363" s="5">
        <v>1</v>
      </c>
      <c r="E363" s="9" t="s">
        <v>10156</v>
      </c>
      <c r="F363" s="5">
        <v>5</v>
      </c>
      <c r="G363" s="9" t="s">
        <v>10162</v>
      </c>
      <c r="H363" s="9" t="s">
        <v>10162</v>
      </c>
      <c r="I363" s="5">
        <v>327.61</v>
      </c>
      <c r="J363" s="5">
        <v>323.51</v>
      </c>
      <c r="K363" s="5">
        <v>401.7</v>
      </c>
      <c r="L363" s="5">
        <v>383.76</v>
      </c>
      <c r="M363" s="9"/>
      <c r="N363" s="9" t="s">
        <v>10181</v>
      </c>
      <c r="O363" s="9" t="s">
        <v>10325</v>
      </c>
      <c r="P363" s="9" t="str">
        <f t="shared" si="18"/>
        <v>PDFを開く</v>
      </c>
      <c r="Q363" s="9" t="s">
        <v>633</v>
      </c>
    </row>
    <row r="364" spans="1:17" ht="62.1" customHeight="1">
      <c r="A364" s="2" t="s">
        <v>625</v>
      </c>
      <c r="B364" s="2" t="s">
        <v>73</v>
      </c>
      <c r="C364" s="8" t="s">
        <v>626</v>
      </c>
      <c r="D364" s="2">
        <v>1</v>
      </c>
      <c r="E364" s="8" t="s">
        <v>10156</v>
      </c>
      <c r="F364" s="2">
        <v>6</v>
      </c>
      <c r="G364" s="8" t="s">
        <v>10163</v>
      </c>
      <c r="H364" s="8" t="s">
        <v>10163</v>
      </c>
      <c r="I364" s="2">
        <v>327.61</v>
      </c>
      <c r="J364" s="2">
        <v>382.76</v>
      </c>
      <c r="K364" s="2">
        <v>401.7</v>
      </c>
      <c r="L364" s="2">
        <v>525.20000000000005</v>
      </c>
      <c r="M364" s="8"/>
      <c r="N364" s="8" t="s">
        <v>10181</v>
      </c>
      <c r="O364" s="8" t="s">
        <v>10326</v>
      </c>
      <c r="P364" s="8" t="str">
        <f t="shared" si="18"/>
        <v>PDFを開く</v>
      </c>
      <c r="Q364" s="8" t="s">
        <v>633</v>
      </c>
    </row>
    <row r="365" spans="1:17" ht="62.1" customHeight="1">
      <c r="A365" s="5" t="s">
        <v>634</v>
      </c>
      <c r="B365" s="5" t="s">
        <v>73</v>
      </c>
      <c r="C365" s="9" t="s">
        <v>635</v>
      </c>
      <c r="D365" s="5">
        <v>1</v>
      </c>
      <c r="E365" s="9" t="s">
        <v>10156</v>
      </c>
      <c r="F365" s="5">
        <v>1</v>
      </c>
      <c r="G365" s="9" t="s">
        <v>9578</v>
      </c>
      <c r="H365" s="9" t="s">
        <v>9578</v>
      </c>
      <c r="I365" s="5">
        <v>3.72</v>
      </c>
      <c r="J365" s="5">
        <v>109.8</v>
      </c>
      <c r="K365" s="5">
        <v>399.12</v>
      </c>
      <c r="L365" s="5">
        <v>586.32000000000005</v>
      </c>
      <c r="M365" s="9"/>
      <c r="N365" s="9" t="s">
        <v>10159</v>
      </c>
      <c r="O365" s="9" t="s">
        <v>7806</v>
      </c>
      <c r="P365" s="9" t="str">
        <f t="shared" ref="P365:P372" si="19">HYPERLINK("https://seichotoushi-hojo.jp/assets/pdf/koufu/outline_16.pdf","PDFを開く")</f>
        <v>PDFを開く</v>
      </c>
      <c r="Q365" s="9" t="s">
        <v>644</v>
      </c>
    </row>
    <row r="366" spans="1:17" ht="62.1" customHeight="1">
      <c r="A366" s="2" t="s">
        <v>634</v>
      </c>
      <c r="B366" s="2" t="s">
        <v>73</v>
      </c>
      <c r="C366" s="8" t="s">
        <v>635</v>
      </c>
      <c r="D366" s="2">
        <v>1</v>
      </c>
      <c r="E366" s="8" t="s">
        <v>10156</v>
      </c>
      <c r="F366" s="2">
        <v>2</v>
      </c>
      <c r="G366" s="8" t="s">
        <v>10162</v>
      </c>
      <c r="H366" s="8" t="s">
        <v>10162</v>
      </c>
      <c r="I366" s="2">
        <v>419.4</v>
      </c>
      <c r="J366" s="2">
        <v>115.08</v>
      </c>
      <c r="K366" s="2">
        <v>836.88</v>
      </c>
      <c r="L366" s="2">
        <v>350.04</v>
      </c>
      <c r="M366" s="8"/>
      <c r="N366" s="8" t="s">
        <v>10159</v>
      </c>
      <c r="O366" s="8" t="s">
        <v>7807</v>
      </c>
      <c r="P366" s="8" t="str">
        <f t="shared" si="19"/>
        <v>PDFを開く</v>
      </c>
      <c r="Q366" s="8" t="s">
        <v>644</v>
      </c>
    </row>
    <row r="367" spans="1:17" ht="62.1" customHeight="1">
      <c r="A367" s="5" t="s">
        <v>634</v>
      </c>
      <c r="B367" s="5" t="s">
        <v>73</v>
      </c>
      <c r="C367" s="9" t="s">
        <v>635</v>
      </c>
      <c r="D367" s="5">
        <v>1</v>
      </c>
      <c r="E367" s="9" t="s">
        <v>10156</v>
      </c>
      <c r="F367" s="5">
        <v>3</v>
      </c>
      <c r="G367" s="9" t="s">
        <v>10163</v>
      </c>
      <c r="H367" s="9" t="s">
        <v>10163</v>
      </c>
      <c r="I367" s="5">
        <v>419.4</v>
      </c>
      <c r="J367" s="5">
        <v>357.24</v>
      </c>
      <c r="K367" s="5">
        <v>836.88</v>
      </c>
      <c r="L367" s="5">
        <v>582</v>
      </c>
      <c r="M367" s="9"/>
      <c r="N367" s="9" t="s">
        <v>10159</v>
      </c>
      <c r="O367" s="9" t="s">
        <v>7808</v>
      </c>
      <c r="P367" s="9" t="str">
        <f t="shared" si="19"/>
        <v>PDFを開く</v>
      </c>
      <c r="Q367" s="9" t="s">
        <v>644</v>
      </c>
    </row>
    <row r="368" spans="1:17" ht="62.1" customHeight="1">
      <c r="A368" s="2" t="s">
        <v>634</v>
      </c>
      <c r="B368" s="2" t="s">
        <v>73</v>
      </c>
      <c r="C368" s="8" t="s">
        <v>635</v>
      </c>
      <c r="D368" s="2">
        <v>1</v>
      </c>
      <c r="E368" s="8" t="s">
        <v>10156</v>
      </c>
      <c r="F368" s="2">
        <v>4</v>
      </c>
      <c r="G368" s="8" t="s">
        <v>8581</v>
      </c>
      <c r="H368" s="8" t="s">
        <v>8581</v>
      </c>
      <c r="I368" s="2">
        <v>15</v>
      </c>
      <c r="J368" s="2">
        <v>524.04</v>
      </c>
      <c r="K368" s="2">
        <v>390.84</v>
      </c>
      <c r="L368" s="2">
        <v>582</v>
      </c>
      <c r="M368" s="8"/>
      <c r="N368" s="8" t="s">
        <v>10159</v>
      </c>
      <c r="O368" s="8" t="s">
        <v>641</v>
      </c>
      <c r="P368" s="8" t="str">
        <f t="shared" si="19"/>
        <v>PDFを開く</v>
      </c>
      <c r="Q368" s="8" t="s">
        <v>644</v>
      </c>
    </row>
    <row r="369" spans="1:17" ht="62.1" customHeight="1">
      <c r="A369" s="5" t="s">
        <v>634</v>
      </c>
      <c r="B369" s="5" t="s">
        <v>73</v>
      </c>
      <c r="C369" s="9" t="s">
        <v>635</v>
      </c>
      <c r="D369" s="5">
        <v>2</v>
      </c>
      <c r="E369" s="9" t="s">
        <v>10165</v>
      </c>
      <c r="F369" s="5">
        <v>1</v>
      </c>
      <c r="G369" s="9" t="s">
        <v>10184</v>
      </c>
      <c r="H369" s="9" t="s">
        <v>10184</v>
      </c>
      <c r="I369" s="5">
        <v>484.32</v>
      </c>
      <c r="J369" s="5">
        <v>180.48</v>
      </c>
      <c r="K369" s="5">
        <v>831.24</v>
      </c>
      <c r="L369" s="5">
        <v>453</v>
      </c>
      <c r="M369" s="9"/>
      <c r="N369" s="9" t="s">
        <v>10159</v>
      </c>
      <c r="O369" s="9" t="s">
        <v>10327</v>
      </c>
      <c r="P369" s="9" t="str">
        <f t="shared" si="19"/>
        <v>PDFを開く</v>
      </c>
      <c r="Q369" s="9" t="s">
        <v>644</v>
      </c>
    </row>
    <row r="370" spans="1:17" ht="62.1" customHeight="1">
      <c r="A370" s="2" t="s">
        <v>634</v>
      </c>
      <c r="B370" s="2" t="s">
        <v>73</v>
      </c>
      <c r="C370" s="8" t="s">
        <v>635</v>
      </c>
      <c r="D370" s="2">
        <v>2</v>
      </c>
      <c r="E370" s="8" t="s">
        <v>10165</v>
      </c>
      <c r="F370" s="2">
        <v>2</v>
      </c>
      <c r="G370" s="8" t="s">
        <v>10184</v>
      </c>
      <c r="H370" s="8" t="s">
        <v>10184</v>
      </c>
      <c r="I370" s="2">
        <v>574.79999999999995</v>
      </c>
      <c r="J370" s="2">
        <v>225.72</v>
      </c>
      <c r="K370" s="2">
        <v>724.68</v>
      </c>
      <c r="L370" s="2">
        <v>300.72000000000003</v>
      </c>
      <c r="M370" s="8"/>
      <c r="N370" s="8" t="s">
        <v>10159</v>
      </c>
      <c r="O370" s="8" t="s">
        <v>10328</v>
      </c>
      <c r="P370" s="8" t="str">
        <f t="shared" si="19"/>
        <v>PDFを開く</v>
      </c>
      <c r="Q370" s="8" t="s">
        <v>644</v>
      </c>
    </row>
    <row r="371" spans="1:17" ht="62.1" customHeight="1">
      <c r="A371" s="5" t="s">
        <v>634</v>
      </c>
      <c r="B371" s="5" t="s">
        <v>73</v>
      </c>
      <c r="C371" s="9" t="s">
        <v>635</v>
      </c>
      <c r="D371" s="5">
        <v>2</v>
      </c>
      <c r="E371" s="9" t="s">
        <v>10165</v>
      </c>
      <c r="F371" s="5">
        <v>3</v>
      </c>
      <c r="G371" s="9" t="s">
        <v>10184</v>
      </c>
      <c r="H371" s="9" t="s">
        <v>10184</v>
      </c>
      <c r="I371" s="5">
        <v>495.72</v>
      </c>
      <c r="J371" s="5">
        <v>370.8</v>
      </c>
      <c r="K371" s="5">
        <v>649.08000000000004</v>
      </c>
      <c r="L371" s="5">
        <v>445.8</v>
      </c>
      <c r="M371" s="9"/>
      <c r="N371" s="9" t="s">
        <v>10159</v>
      </c>
      <c r="O371" s="9" t="s">
        <v>10329</v>
      </c>
      <c r="P371" s="9" t="str">
        <f t="shared" si="19"/>
        <v>PDFを開く</v>
      </c>
      <c r="Q371" s="9" t="s">
        <v>644</v>
      </c>
    </row>
    <row r="372" spans="1:17" ht="62.1" customHeight="1">
      <c r="A372" s="2" t="s">
        <v>634</v>
      </c>
      <c r="B372" s="2" t="s">
        <v>73</v>
      </c>
      <c r="C372" s="8" t="s">
        <v>635</v>
      </c>
      <c r="D372" s="2">
        <v>2</v>
      </c>
      <c r="E372" s="8" t="s">
        <v>10165</v>
      </c>
      <c r="F372" s="2">
        <v>4</v>
      </c>
      <c r="G372" s="8" t="s">
        <v>10184</v>
      </c>
      <c r="H372" s="8" t="s">
        <v>10184</v>
      </c>
      <c r="I372" s="2">
        <v>678.36</v>
      </c>
      <c r="J372" s="2">
        <v>370.8</v>
      </c>
      <c r="K372" s="2">
        <v>827.28</v>
      </c>
      <c r="L372" s="2">
        <v>445.8</v>
      </c>
      <c r="M372" s="8"/>
      <c r="N372" s="8" t="s">
        <v>10159</v>
      </c>
      <c r="O372" s="8" t="s">
        <v>10330</v>
      </c>
      <c r="P372" s="8" t="str">
        <f t="shared" si="19"/>
        <v>PDFを開く</v>
      </c>
      <c r="Q372" s="8" t="s">
        <v>644</v>
      </c>
    </row>
    <row r="373" spans="1:17" ht="62.1" customHeight="1">
      <c r="A373" s="5" t="s">
        <v>645</v>
      </c>
      <c r="B373" s="5" t="s">
        <v>73</v>
      </c>
      <c r="C373" s="9" t="s">
        <v>646</v>
      </c>
      <c r="D373" s="5">
        <v>1</v>
      </c>
      <c r="E373" s="9" t="s">
        <v>10156</v>
      </c>
      <c r="F373" s="5">
        <v>1</v>
      </c>
      <c r="G373" s="9" t="s">
        <v>10162</v>
      </c>
      <c r="H373" s="9" t="s">
        <v>10162</v>
      </c>
      <c r="I373" s="5">
        <v>396.3</v>
      </c>
      <c r="J373" s="5">
        <v>112.88</v>
      </c>
      <c r="K373" s="5">
        <v>739.61</v>
      </c>
      <c r="L373" s="5">
        <v>307.2</v>
      </c>
      <c r="M373" s="9"/>
      <c r="N373" s="9" t="s">
        <v>10159</v>
      </c>
      <c r="O373" s="9" t="s">
        <v>7814</v>
      </c>
      <c r="P373" s="9" t="str">
        <f>HYPERLINK("https://seichotoushi-hojo.jp/assets/pdf/koufu/outline_162.pdf","PDFを開く")</f>
        <v>PDFを開く</v>
      </c>
      <c r="Q373" s="9" t="s">
        <v>652</v>
      </c>
    </row>
    <row r="374" spans="1:17" ht="62.1" customHeight="1">
      <c r="A374" s="2" t="s">
        <v>645</v>
      </c>
      <c r="B374" s="2" t="s">
        <v>73</v>
      </c>
      <c r="C374" s="8" t="s">
        <v>646</v>
      </c>
      <c r="D374" s="2">
        <v>1</v>
      </c>
      <c r="E374" s="8" t="s">
        <v>10156</v>
      </c>
      <c r="F374" s="2">
        <v>2</v>
      </c>
      <c r="G374" s="8" t="s">
        <v>9578</v>
      </c>
      <c r="H374" s="8" t="s">
        <v>9578</v>
      </c>
      <c r="I374" s="2">
        <v>39.659999999999997</v>
      </c>
      <c r="J374" s="2">
        <v>112.94</v>
      </c>
      <c r="K374" s="2">
        <v>378.78</v>
      </c>
      <c r="L374" s="2">
        <v>510.86</v>
      </c>
      <c r="M374" s="8"/>
      <c r="N374" s="8" t="s">
        <v>10159</v>
      </c>
      <c r="O374" s="8" t="s">
        <v>7813</v>
      </c>
      <c r="P374" s="8" t="str">
        <f>HYPERLINK("https://seichotoushi-hojo.jp/assets/pdf/koufu/outline_162.pdf","PDFを開く")</f>
        <v>PDFを開く</v>
      </c>
      <c r="Q374" s="8" t="s">
        <v>652</v>
      </c>
    </row>
    <row r="375" spans="1:17" ht="62.1" customHeight="1">
      <c r="A375" s="5" t="s">
        <v>645</v>
      </c>
      <c r="B375" s="5" t="s">
        <v>73</v>
      </c>
      <c r="C375" s="9" t="s">
        <v>646</v>
      </c>
      <c r="D375" s="5">
        <v>1</v>
      </c>
      <c r="E375" s="9" t="s">
        <v>10156</v>
      </c>
      <c r="F375" s="5">
        <v>3</v>
      </c>
      <c r="G375" s="9" t="s">
        <v>10163</v>
      </c>
      <c r="H375" s="9" t="s">
        <v>10163</v>
      </c>
      <c r="I375" s="5">
        <v>396.3</v>
      </c>
      <c r="J375" s="5">
        <v>316.44</v>
      </c>
      <c r="K375" s="5">
        <v>739.61</v>
      </c>
      <c r="L375" s="5">
        <v>510.76</v>
      </c>
      <c r="M375" s="9"/>
      <c r="N375" s="9" t="s">
        <v>10159</v>
      </c>
      <c r="O375" s="9" t="s">
        <v>7815</v>
      </c>
      <c r="P375" s="9" t="str">
        <f>HYPERLINK("https://seichotoushi-hojo.jp/assets/pdf/koufu/outline_162.pdf","PDFを開く")</f>
        <v>PDFを開く</v>
      </c>
      <c r="Q375" s="9" t="s">
        <v>652</v>
      </c>
    </row>
    <row r="376" spans="1:17" ht="62.1" customHeight="1">
      <c r="A376" s="2" t="s">
        <v>653</v>
      </c>
      <c r="B376" s="2" t="s">
        <v>73</v>
      </c>
      <c r="C376" s="8" t="s">
        <v>654</v>
      </c>
      <c r="D376" s="2">
        <v>1</v>
      </c>
      <c r="E376" s="8" t="s">
        <v>10156</v>
      </c>
      <c r="F376" s="2">
        <v>1</v>
      </c>
      <c r="G376" s="8" t="s">
        <v>9578</v>
      </c>
      <c r="H376" s="8" t="s">
        <v>9578</v>
      </c>
      <c r="I376" s="2">
        <v>39.6</v>
      </c>
      <c r="J376" s="2">
        <v>135.6</v>
      </c>
      <c r="K376" s="2">
        <v>378.84</v>
      </c>
      <c r="L376" s="2">
        <v>499.8</v>
      </c>
      <c r="M376" s="8"/>
      <c r="N376" s="8" t="s">
        <v>10159</v>
      </c>
      <c r="O376" s="8" t="s">
        <v>7819</v>
      </c>
      <c r="P376" s="8" t="str">
        <f>HYPERLINK("https://seichotoushi-hojo.jp/assets/pdf/koufu/outline_164.pdf","PDFを開く")</f>
        <v>PDFを開く</v>
      </c>
      <c r="Q376" s="8" t="s">
        <v>662</v>
      </c>
    </row>
    <row r="377" spans="1:17" ht="62.1" customHeight="1">
      <c r="A377" s="5" t="s">
        <v>653</v>
      </c>
      <c r="B377" s="5" t="s">
        <v>73</v>
      </c>
      <c r="C377" s="9" t="s">
        <v>654</v>
      </c>
      <c r="D377" s="5">
        <v>1</v>
      </c>
      <c r="E377" s="9" t="s">
        <v>10156</v>
      </c>
      <c r="F377" s="5">
        <v>2</v>
      </c>
      <c r="G377" s="9" t="s">
        <v>10162</v>
      </c>
      <c r="H377" s="9" t="s">
        <v>10162</v>
      </c>
      <c r="I377" s="5">
        <v>396.36</v>
      </c>
      <c r="J377" s="5">
        <v>137.52000000000001</v>
      </c>
      <c r="K377" s="5">
        <v>739.8</v>
      </c>
      <c r="L377" s="5">
        <v>295.8</v>
      </c>
      <c r="M377" s="9"/>
      <c r="N377" s="9" t="s">
        <v>10159</v>
      </c>
      <c r="O377" s="9" t="s">
        <v>7820</v>
      </c>
      <c r="P377" s="9" t="str">
        <f>HYPERLINK("https://seichotoushi-hojo.jp/assets/pdf/koufu/outline_164.pdf","PDFを開く")</f>
        <v>PDFを開く</v>
      </c>
      <c r="Q377" s="9" t="s">
        <v>662</v>
      </c>
    </row>
    <row r="378" spans="1:17" ht="62.1" customHeight="1">
      <c r="A378" s="2" t="s">
        <v>653</v>
      </c>
      <c r="B378" s="2" t="s">
        <v>73</v>
      </c>
      <c r="C378" s="8" t="s">
        <v>654</v>
      </c>
      <c r="D378" s="2">
        <v>1</v>
      </c>
      <c r="E378" s="8" t="s">
        <v>10156</v>
      </c>
      <c r="F378" s="2">
        <v>3</v>
      </c>
      <c r="G378" s="8" t="s">
        <v>8581</v>
      </c>
      <c r="H378" s="8" t="s">
        <v>8581</v>
      </c>
      <c r="I378" s="2">
        <v>49.44</v>
      </c>
      <c r="J378" s="2">
        <v>327.48</v>
      </c>
      <c r="K378" s="2">
        <v>369</v>
      </c>
      <c r="L378" s="2">
        <v>483</v>
      </c>
      <c r="M378" s="8"/>
      <c r="N378" s="8" t="s">
        <v>10159</v>
      </c>
      <c r="O378" s="8" t="s">
        <v>659</v>
      </c>
      <c r="P378" s="8" t="str">
        <f>HYPERLINK("https://seichotoushi-hojo.jp/assets/pdf/koufu/outline_164.pdf","PDFを開く")</f>
        <v>PDFを開く</v>
      </c>
      <c r="Q378" s="8" t="s">
        <v>662</v>
      </c>
    </row>
    <row r="379" spans="1:17" ht="62.1" customHeight="1">
      <c r="A379" s="5" t="s">
        <v>653</v>
      </c>
      <c r="B379" s="5" t="s">
        <v>73</v>
      </c>
      <c r="C379" s="9" t="s">
        <v>654</v>
      </c>
      <c r="D379" s="5">
        <v>1</v>
      </c>
      <c r="E379" s="9" t="s">
        <v>10156</v>
      </c>
      <c r="F379" s="5">
        <v>4</v>
      </c>
      <c r="G379" s="9" t="s">
        <v>10163</v>
      </c>
      <c r="H379" s="9" t="s">
        <v>10163</v>
      </c>
      <c r="I379" s="5">
        <v>396.36</v>
      </c>
      <c r="J379" s="5">
        <v>336.36</v>
      </c>
      <c r="K379" s="5">
        <v>739.8</v>
      </c>
      <c r="L379" s="5">
        <v>494.76</v>
      </c>
      <c r="M379" s="9"/>
      <c r="N379" s="9" t="s">
        <v>10159</v>
      </c>
      <c r="O379" s="9" t="s">
        <v>7821</v>
      </c>
      <c r="P379" s="9" t="str">
        <f>HYPERLINK("https://seichotoushi-hojo.jp/assets/pdf/koufu/outline_164.pdf","PDFを開く")</f>
        <v>PDFを開く</v>
      </c>
      <c r="Q379" s="9" t="s">
        <v>662</v>
      </c>
    </row>
    <row r="380" spans="1:17" ht="62.1" customHeight="1">
      <c r="A380" s="2" t="s">
        <v>663</v>
      </c>
      <c r="B380" s="2" t="s">
        <v>73</v>
      </c>
      <c r="C380" s="8" t="s">
        <v>664</v>
      </c>
      <c r="D380" s="2">
        <v>1</v>
      </c>
      <c r="E380" s="8" t="s">
        <v>10156</v>
      </c>
      <c r="F380" s="2">
        <v>1</v>
      </c>
      <c r="G380" s="8" t="s">
        <v>10162</v>
      </c>
      <c r="H380" s="8" t="s">
        <v>10162</v>
      </c>
      <c r="I380" s="2">
        <v>396.36</v>
      </c>
      <c r="J380" s="2">
        <v>104.52</v>
      </c>
      <c r="K380" s="2">
        <v>763.08</v>
      </c>
      <c r="L380" s="2">
        <v>312</v>
      </c>
      <c r="M380" s="8"/>
      <c r="N380" s="8" t="s">
        <v>10159</v>
      </c>
      <c r="O380" s="8" t="s">
        <v>7827</v>
      </c>
      <c r="P380" s="8" t="str">
        <f>HYPERLINK("https://seichotoushi-hojo.jp/assets/pdf/koufu/outline_166.pdf","PDFを開く")</f>
        <v>PDFを開く</v>
      </c>
      <c r="Q380" s="8" t="s">
        <v>670</v>
      </c>
    </row>
    <row r="381" spans="1:17" ht="62.1" customHeight="1">
      <c r="A381" s="5" t="s">
        <v>663</v>
      </c>
      <c r="B381" s="5" t="s">
        <v>73</v>
      </c>
      <c r="C381" s="9" t="s">
        <v>664</v>
      </c>
      <c r="D381" s="5">
        <v>1</v>
      </c>
      <c r="E381" s="9" t="s">
        <v>10156</v>
      </c>
      <c r="F381" s="5">
        <v>2</v>
      </c>
      <c r="G381" s="9" t="s">
        <v>9578</v>
      </c>
      <c r="H381" s="9" t="s">
        <v>9578</v>
      </c>
      <c r="I381" s="5">
        <v>15.72</v>
      </c>
      <c r="J381" s="5">
        <v>104.64</v>
      </c>
      <c r="K381" s="5">
        <v>378.84</v>
      </c>
      <c r="L381" s="5">
        <v>519.84</v>
      </c>
      <c r="M381" s="9"/>
      <c r="N381" s="9" t="s">
        <v>10159</v>
      </c>
      <c r="O381" s="9" t="s">
        <v>7826</v>
      </c>
      <c r="P381" s="9" t="str">
        <f>HYPERLINK("https://seichotoushi-hojo.jp/assets/pdf/koufu/outline_166.pdf","PDFを開く")</f>
        <v>PDFを開く</v>
      </c>
      <c r="Q381" s="9" t="s">
        <v>670</v>
      </c>
    </row>
    <row r="382" spans="1:17" ht="62.1" customHeight="1">
      <c r="A382" s="2" t="s">
        <v>663</v>
      </c>
      <c r="B382" s="2" t="s">
        <v>73</v>
      </c>
      <c r="C382" s="8" t="s">
        <v>664</v>
      </c>
      <c r="D382" s="2">
        <v>1</v>
      </c>
      <c r="E382" s="8" t="s">
        <v>10156</v>
      </c>
      <c r="F382" s="2">
        <v>3</v>
      </c>
      <c r="G382" s="8" t="s">
        <v>10163</v>
      </c>
      <c r="H382" s="8" t="s">
        <v>10163</v>
      </c>
      <c r="I382" s="2">
        <v>396.36</v>
      </c>
      <c r="J382" s="2">
        <v>319.68</v>
      </c>
      <c r="K382" s="2">
        <v>763.08</v>
      </c>
      <c r="L382" s="2">
        <v>519.84</v>
      </c>
      <c r="M382" s="8"/>
      <c r="N382" s="8" t="s">
        <v>10159</v>
      </c>
      <c r="O382" s="8" t="s">
        <v>7828</v>
      </c>
      <c r="P382" s="8" t="str">
        <f>HYPERLINK("https://seichotoushi-hojo.jp/assets/pdf/koufu/outline_166.pdf","PDFを開く")</f>
        <v>PDFを開く</v>
      </c>
      <c r="Q382" s="8" t="s">
        <v>670</v>
      </c>
    </row>
    <row r="383" spans="1:17" ht="62.1" customHeight="1">
      <c r="A383" s="5" t="s">
        <v>663</v>
      </c>
      <c r="B383" s="5" t="s">
        <v>73</v>
      </c>
      <c r="C383" s="9" t="s">
        <v>664</v>
      </c>
      <c r="D383" s="5">
        <v>1</v>
      </c>
      <c r="E383" s="9" t="s">
        <v>10156</v>
      </c>
      <c r="F383" s="5">
        <v>4</v>
      </c>
      <c r="G383" s="9" t="s">
        <v>8581</v>
      </c>
      <c r="H383" s="9" t="s">
        <v>8581</v>
      </c>
      <c r="I383" s="5">
        <v>23.16</v>
      </c>
      <c r="J383" s="5">
        <v>430.44</v>
      </c>
      <c r="K383" s="5">
        <v>367.56</v>
      </c>
      <c r="L383" s="5">
        <v>511.56</v>
      </c>
      <c r="M383" s="9"/>
      <c r="N383" s="9" t="s">
        <v>10159</v>
      </c>
      <c r="O383" s="9" t="s">
        <v>7829</v>
      </c>
      <c r="P383" s="9" t="str">
        <f>HYPERLINK("https://seichotoushi-hojo.jp/assets/pdf/koufu/outline_166.pdf","PDFを開く")</f>
        <v>PDFを開く</v>
      </c>
      <c r="Q383" s="9" t="s">
        <v>670</v>
      </c>
    </row>
    <row r="384" spans="1:17" ht="62.1" customHeight="1">
      <c r="A384" s="2" t="s">
        <v>671</v>
      </c>
      <c r="B384" s="2" t="s">
        <v>73</v>
      </c>
      <c r="C384" s="8" t="s">
        <v>672</v>
      </c>
      <c r="D384" s="2">
        <v>1</v>
      </c>
      <c r="E384" s="8" t="s">
        <v>10156</v>
      </c>
      <c r="F384" s="2">
        <v>1</v>
      </c>
      <c r="G384" s="8" t="s">
        <v>9578</v>
      </c>
      <c r="H384" s="8" t="s">
        <v>9578</v>
      </c>
      <c r="I384" s="2">
        <v>10.29</v>
      </c>
      <c r="J384" s="2">
        <v>96.66</v>
      </c>
      <c r="K384" s="2">
        <v>373.96</v>
      </c>
      <c r="L384" s="2">
        <v>463.79</v>
      </c>
      <c r="M384" s="8"/>
      <c r="N384" s="8" t="s">
        <v>10159</v>
      </c>
      <c r="O384" s="8" t="s">
        <v>7834</v>
      </c>
      <c r="P384" s="8" t="str">
        <f t="shared" ref="P384:P389" si="20">HYPERLINK("https://seichotoushi-hojo.jp/assets/pdf/koufu/outline_167.pdf","PDFを開く")</f>
        <v>PDFを開く</v>
      </c>
      <c r="Q384" s="8" t="s">
        <v>679</v>
      </c>
    </row>
    <row r="385" spans="1:17" ht="62.1" customHeight="1">
      <c r="A385" s="5" t="s">
        <v>671</v>
      </c>
      <c r="B385" s="5" t="s">
        <v>73</v>
      </c>
      <c r="C385" s="9" t="s">
        <v>672</v>
      </c>
      <c r="D385" s="5">
        <v>1</v>
      </c>
      <c r="E385" s="9" t="s">
        <v>10156</v>
      </c>
      <c r="F385" s="5">
        <v>2</v>
      </c>
      <c r="G385" s="9" t="s">
        <v>10162</v>
      </c>
      <c r="H385" s="9" t="s">
        <v>10162</v>
      </c>
      <c r="I385" s="5">
        <v>386.25</v>
      </c>
      <c r="J385" s="5">
        <v>96.66</v>
      </c>
      <c r="K385" s="5">
        <v>760.38</v>
      </c>
      <c r="L385" s="5">
        <v>247.59</v>
      </c>
      <c r="M385" s="9"/>
      <c r="N385" s="9" t="s">
        <v>10159</v>
      </c>
      <c r="O385" s="9" t="s">
        <v>7835</v>
      </c>
      <c r="P385" s="9" t="str">
        <f t="shared" si="20"/>
        <v>PDFを開く</v>
      </c>
      <c r="Q385" s="9" t="s">
        <v>679</v>
      </c>
    </row>
    <row r="386" spans="1:17" ht="62.1" customHeight="1">
      <c r="A386" s="2" t="s">
        <v>671</v>
      </c>
      <c r="B386" s="2" t="s">
        <v>73</v>
      </c>
      <c r="C386" s="8" t="s">
        <v>672</v>
      </c>
      <c r="D386" s="2">
        <v>1</v>
      </c>
      <c r="E386" s="8" t="s">
        <v>10156</v>
      </c>
      <c r="F386" s="2">
        <v>3</v>
      </c>
      <c r="G386" s="8" t="s">
        <v>10163</v>
      </c>
      <c r="H386" s="8" t="s">
        <v>10163</v>
      </c>
      <c r="I386" s="2">
        <v>383.5</v>
      </c>
      <c r="J386" s="2">
        <v>253.93</v>
      </c>
      <c r="K386" s="2">
        <v>757.64</v>
      </c>
      <c r="L386" s="2">
        <v>464.86</v>
      </c>
      <c r="M386" s="8"/>
      <c r="N386" s="8" t="s">
        <v>10159</v>
      </c>
      <c r="O386" s="8" t="s">
        <v>7836</v>
      </c>
      <c r="P386" s="8" t="str">
        <f t="shared" si="20"/>
        <v>PDFを開く</v>
      </c>
      <c r="Q386" s="8" t="s">
        <v>679</v>
      </c>
    </row>
    <row r="387" spans="1:17" ht="62.1" customHeight="1">
      <c r="A387" s="5" t="s">
        <v>671</v>
      </c>
      <c r="B387" s="5" t="s">
        <v>73</v>
      </c>
      <c r="C387" s="9" t="s">
        <v>672</v>
      </c>
      <c r="D387" s="5">
        <v>1</v>
      </c>
      <c r="E387" s="9" t="s">
        <v>10156</v>
      </c>
      <c r="F387" s="5">
        <v>4</v>
      </c>
      <c r="G387" s="9" t="s">
        <v>8581</v>
      </c>
      <c r="H387" s="9" t="s">
        <v>8581</v>
      </c>
      <c r="I387" s="5">
        <v>15.29</v>
      </c>
      <c r="J387" s="5">
        <v>370.87</v>
      </c>
      <c r="K387" s="5">
        <v>364</v>
      </c>
      <c r="L387" s="5">
        <v>455.09</v>
      </c>
      <c r="M387" s="9"/>
      <c r="N387" s="9" t="s">
        <v>10159</v>
      </c>
      <c r="O387" s="9" t="s">
        <v>676</v>
      </c>
      <c r="P387" s="9" t="str">
        <f t="shared" si="20"/>
        <v>PDFを開く</v>
      </c>
      <c r="Q387" s="9" t="s">
        <v>679</v>
      </c>
    </row>
    <row r="388" spans="1:17" ht="62.1" customHeight="1">
      <c r="A388" s="2" t="s">
        <v>671</v>
      </c>
      <c r="B388" s="2" t="s">
        <v>73</v>
      </c>
      <c r="C388" s="8" t="s">
        <v>672</v>
      </c>
      <c r="D388" s="2">
        <v>1</v>
      </c>
      <c r="E388" s="8" t="s">
        <v>10156</v>
      </c>
      <c r="F388" s="2">
        <v>5</v>
      </c>
      <c r="G388" s="8" t="s">
        <v>10167</v>
      </c>
      <c r="H388" s="8" t="s">
        <v>10331</v>
      </c>
      <c r="I388" s="2">
        <v>19.66</v>
      </c>
      <c r="J388" s="2">
        <v>480.48</v>
      </c>
      <c r="K388" s="2">
        <v>751.01</v>
      </c>
      <c r="L388" s="2">
        <v>527.65</v>
      </c>
      <c r="M388" s="8"/>
      <c r="N388" s="8" t="s">
        <v>10159</v>
      </c>
      <c r="O388" s="8" t="s">
        <v>10332</v>
      </c>
      <c r="P388" s="8" t="str">
        <f t="shared" si="20"/>
        <v>PDFを開く</v>
      </c>
      <c r="Q388" s="8" t="s">
        <v>679</v>
      </c>
    </row>
    <row r="389" spans="1:17" ht="62.1" customHeight="1">
      <c r="A389" s="5" t="s">
        <v>671</v>
      </c>
      <c r="B389" s="5" t="s">
        <v>73</v>
      </c>
      <c r="C389" s="9" t="s">
        <v>672</v>
      </c>
      <c r="D389" s="5">
        <v>2</v>
      </c>
      <c r="E389" s="9" t="s">
        <v>10165</v>
      </c>
      <c r="F389" s="5">
        <v>1</v>
      </c>
      <c r="G389" s="9" t="s">
        <v>10167</v>
      </c>
      <c r="H389" s="9" t="s">
        <v>10333</v>
      </c>
      <c r="I389" s="5">
        <v>314.89</v>
      </c>
      <c r="J389" s="5">
        <v>232.04</v>
      </c>
      <c r="K389" s="5">
        <v>768.75</v>
      </c>
      <c r="L389" s="5">
        <v>402.05</v>
      </c>
      <c r="M389" s="9"/>
      <c r="N389" s="9" t="s">
        <v>10159</v>
      </c>
      <c r="O389" s="9" t="s">
        <v>10334</v>
      </c>
      <c r="P389" s="9" t="str">
        <f t="shared" si="20"/>
        <v>PDFを開く</v>
      </c>
      <c r="Q389" s="9" t="s">
        <v>679</v>
      </c>
    </row>
    <row r="390" spans="1:17" ht="62.1" customHeight="1">
      <c r="A390" s="2" t="s">
        <v>680</v>
      </c>
      <c r="B390" s="2" t="s">
        <v>73</v>
      </c>
      <c r="C390" s="8" t="s">
        <v>681</v>
      </c>
      <c r="D390" s="2">
        <v>1</v>
      </c>
      <c r="E390" s="8" t="s">
        <v>10156</v>
      </c>
      <c r="F390" s="2">
        <v>1</v>
      </c>
      <c r="G390" s="8" t="s">
        <v>9578</v>
      </c>
      <c r="H390" s="8" t="s">
        <v>9578</v>
      </c>
      <c r="I390" s="2">
        <v>27.48</v>
      </c>
      <c r="J390" s="2">
        <v>107.52</v>
      </c>
      <c r="K390" s="2">
        <v>379.32</v>
      </c>
      <c r="L390" s="2">
        <v>517.79999999999995</v>
      </c>
      <c r="M390" s="8"/>
      <c r="N390" s="8" t="s">
        <v>10159</v>
      </c>
      <c r="O390" s="8" t="s">
        <v>7841</v>
      </c>
      <c r="P390" s="8" t="str">
        <f>HYPERLINK("https://seichotoushi-hojo.jp/assets/pdf/koufu/outline_168.pdf","PDFを開く")</f>
        <v>PDFを開く</v>
      </c>
      <c r="Q390" s="8" t="s">
        <v>687</v>
      </c>
    </row>
    <row r="391" spans="1:17" ht="62.1" customHeight="1">
      <c r="A391" s="5" t="s">
        <v>680</v>
      </c>
      <c r="B391" s="5" t="s">
        <v>73</v>
      </c>
      <c r="C391" s="9" t="s">
        <v>681</v>
      </c>
      <c r="D391" s="5">
        <v>1</v>
      </c>
      <c r="E391" s="9" t="s">
        <v>10156</v>
      </c>
      <c r="F391" s="5">
        <v>2</v>
      </c>
      <c r="G391" s="9" t="s">
        <v>10162</v>
      </c>
      <c r="H391" s="9" t="s">
        <v>10162</v>
      </c>
      <c r="I391" s="5">
        <v>396.36</v>
      </c>
      <c r="J391" s="5">
        <v>107.52</v>
      </c>
      <c r="K391" s="5">
        <v>739.8</v>
      </c>
      <c r="L391" s="5">
        <v>351.48</v>
      </c>
      <c r="M391" s="9"/>
      <c r="N391" s="9" t="s">
        <v>10159</v>
      </c>
      <c r="O391" s="9" t="s">
        <v>7842</v>
      </c>
      <c r="P391" s="9" t="str">
        <f>HYPERLINK("https://seichotoushi-hojo.jp/assets/pdf/koufu/outline_168.pdf","PDFを開く")</f>
        <v>PDFを開く</v>
      </c>
      <c r="Q391" s="9" t="s">
        <v>687</v>
      </c>
    </row>
    <row r="392" spans="1:17" ht="62.1" customHeight="1">
      <c r="A392" s="2" t="s">
        <v>680</v>
      </c>
      <c r="B392" s="2" t="s">
        <v>73</v>
      </c>
      <c r="C392" s="8" t="s">
        <v>681</v>
      </c>
      <c r="D392" s="2">
        <v>1</v>
      </c>
      <c r="E392" s="8" t="s">
        <v>10156</v>
      </c>
      <c r="F392" s="2">
        <v>3</v>
      </c>
      <c r="G392" s="8" t="s">
        <v>10163</v>
      </c>
      <c r="H392" s="8" t="s">
        <v>10163</v>
      </c>
      <c r="I392" s="2">
        <v>396.36</v>
      </c>
      <c r="J392" s="2">
        <v>363.36</v>
      </c>
      <c r="K392" s="2">
        <v>739.8</v>
      </c>
      <c r="L392" s="2">
        <v>517.79999999999995</v>
      </c>
      <c r="M392" s="8"/>
      <c r="N392" s="8" t="s">
        <v>10159</v>
      </c>
      <c r="O392" s="8" t="s">
        <v>7843</v>
      </c>
      <c r="P392" s="8" t="str">
        <f>HYPERLINK("https://seichotoushi-hojo.jp/assets/pdf/koufu/outline_168.pdf","PDFを開く")</f>
        <v>PDFを開く</v>
      </c>
      <c r="Q392" s="8" t="s">
        <v>687</v>
      </c>
    </row>
    <row r="393" spans="1:17" ht="62.1" customHeight="1">
      <c r="A393" s="5" t="s">
        <v>680</v>
      </c>
      <c r="B393" s="5" t="s">
        <v>73</v>
      </c>
      <c r="C393" s="9" t="s">
        <v>681</v>
      </c>
      <c r="D393" s="5">
        <v>1</v>
      </c>
      <c r="E393" s="9" t="s">
        <v>10156</v>
      </c>
      <c r="F393" s="5">
        <v>4</v>
      </c>
      <c r="G393" s="9" t="s">
        <v>8581</v>
      </c>
      <c r="H393" s="9" t="s">
        <v>8581</v>
      </c>
      <c r="I393" s="5">
        <v>37.200000000000003</v>
      </c>
      <c r="J393" s="5">
        <v>383.16</v>
      </c>
      <c r="K393" s="5">
        <v>372.48</v>
      </c>
      <c r="L393" s="5">
        <v>511.8</v>
      </c>
      <c r="M393" s="9"/>
      <c r="N393" s="9" t="s">
        <v>10159</v>
      </c>
      <c r="O393" s="9" t="s">
        <v>685</v>
      </c>
      <c r="P393" s="9" t="str">
        <f>HYPERLINK("https://seichotoushi-hojo.jp/assets/pdf/koufu/outline_168.pdf","PDFを開く")</f>
        <v>PDFを開く</v>
      </c>
      <c r="Q393" s="9" t="s">
        <v>687</v>
      </c>
    </row>
    <row r="394" spans="1:17" ht="62.1" customHeight="1">
      <c r="A394" s="2" t="s">
        <v>688</v>
      </c>
      <c r="B394" s="2" t="s">
        <v>73</v>
      </c>
      <c r="C394" s="8" t="s">
        <v>689</v>
      </c>
      <c r="D394" s="2">
        <v>1</v>
      </c>
      <c r="E394" s="8" t="s">
        <v>10156</v>
      </c>
      <c r="F394" s="2">
        <v>1</v>
      </c>
      <c r="G394" s="8" t="s">
        <v>9578</v>
      </c>
      <c r="H394" s="8" t="s">
        <v>9578</v>
      </c>
      <c r="I394" s="2">
        <v>42.84</v>
      </c>
      <c r="J394" s="2">
        <v>111.24</v>
      </c>
      <c r="K394" s="2">
        <v>408.84</v>
      </c>
      <c r="L394" s="2">
        <v>535.79999999999995</v>
      </c>
      <c r="M394" s="8"/>
      <c r="N394" s="8" t="s">
        <v>10159</v>
      </c>
      <c r="O394" s="8" t="s">
        <v>7848</v>
      </c>
      <c r="P394" s="8" t="str">
        <f>HYPERLINK("https://seichotoushi-hojo.jp/assets/pdf/koufu/outline_169.pdf","PDFを開く")</f>
        <v>PDFを開く</v>
      </c>
      <c r="Q394" s="8" t="s">
        <v>695</v>
      </c>
    </row>
    <row r="395" spans="1:17" ht="62.1" customHeight="1">
      <c r="A395" s="5" t="s">
        <v>688</v>
      </c>
      <c r="B395" s="5" t="s">
        <v>73</v>
      </c>
      <c r="C395" s="9" t="s">
        <v>689</v>
      </c>
      <c r="D395" s="5">
        <v>1</v>
      </c>
      <c r="E395" s="9" t="s">
        <v>10156</v>
      </c>
      <c r="F395" s="5">
        <v>2</v>
      </c>
      <c r="G395" s="9" t="s">
        <v>10162</v>
      </c>
      <c r="H395" s="9" t="s">
        <v>10162</v>
      </c>
      <c r="I395" s="5">
        <v>427.8</v>
      </c>
      <c r="J395" s="5">
        <v>113.76</v>
      </c>
      <c r="K395" s="5">
        <v>798.48</v>
      </c>
      <c r="L395" s="5">
        <v>315.83999999999997</v>
      </c>
      <c r="M395" s="9"/>
      <c r="N395" s="9" t="s">
        <v>10159</v>
      </c>
      <c r="O395" s="9" t="s">
        <v>7849</v>
      </c>
      <c r="P395" s="9" t="str">
        <f>HYPERLINK("https://seichotoushi-hojo.jp/assets/pdf/koufu/outline_169.pdf","PDFを開く")</f>
        <v>PDFを開く</v>
      </c>
      <c r="Q395" s="9" t="s">
        <v>695</v>
      </c>
    </row>
    <row r="396" spans="1:17" ht="62.1" customHeight="1">
      <c r="A396" s="2" t="s">
        <v>688</v>
      </c>
      <c r="B396" s="2" t="s">
        <v>73</v>
      </c>
      <c r="C396" s="8" t="s">
        <v>689</v>
      </c>
      <c r="D396" s="2">
        <v>1</v>
      </c>
      <c r="E396" s="8" t="s">
        <v>10156</v>
      </c>
      <c r="F396" s="2">
        <v>3</v>
      </c>
      <c r="G396" s="8" t="s">
        <v>10163</v>
      </c>
      <c r="H396" s="8" t="s">
        <v>10163</v>
      </c>
      <c r="I396" s="2">
        <v>427.8</v>
      </c>
      <c r="J396" s="2">
        <v>333.72</v>
      </c>
      <c r="K396" s="2">
        <v>798.48</v>
      </c>
      <c r="L396" s="2">
        <v>535.79999999999995</v>
      </c>
      <c r="M396" s="8"/>
      <c r="N396" s="8" t="s">
        <v>10159</v>
      </c>
      <c r="O396" s="8" t="s">
        <v>7850</v>
      </c>
      <c r="P396" s="8" t="str">
        <f>HYPERLINK("https://seichotoushi-hojo.jp/assets/pdf/koufu/outline_169.pdf","PDFを開く")</f>
        <v>PDFを開く</v>
      </c>
      <c r="Q396" s="8" t="s">
        <v>695</v>
      </c>
    </row>
    <row r="397" spans="1:17" ht="62.1" customHeight="1">
      <c r="A397" s="5" t="s">
        <v>688</v>
      </c>
      <c r="B397" s="5" t="s">
        <v>73</v>
      </c>
      <c r="C397" s="9" t="s">
        <v>689</v>
      </c>
      <c r="D397" s="5">
        <v>2</v>
      </c>
      <c r="E397" s="9" t="s">
        <v>10165</v>
      </c>
      <c r="F397" s="5">
        <v>1</v>
      </c>
      <c r="G397" s="9" t="s">
        <v>10167</v>
      </c>
      <c r="H397" s="9" t="s">
        <v>5265</v>
      </c>
      <c r="I397" s="5">
        <v>136.91999999999999</v>
      </c>
      <c r="J397" s="5">
        <v>436.68</v>
      </c>
      <c r="K397" s="5">
        <v>566.76</v>
      </c>
      <c r="L397" s="5">
        <v>467.16</v>
      </c>
      <c r="M397" s="9"/>
      <c r="N397" s="9" t="s">
        <v>10159</v>
      </c>
      <c r="O397" s="9" t="s">
        <v>10187</v>
      </c>
      <c r="P397" s="9" t="str">
        <f>HYPERLINK("https://seichotoushi-hojo.jp/assets/pdf/koufu/outline_169.pdf","PDFを開く")</f>
        <v>PDFを開く</v>
      </c>
      <c r="Q397" s="9" t="s">
        <v>695</v>
      </c>
    </row>
    <row r="398" spans="1:17" ht="62.1" customHeight="1">
      <c r="A398" s="2" t="s">
        <v>696</v>
      </c>
      <c r="B398" s="2" t="s">
        <v>73</v>
      </c>
      <c r="C398" s="8" t="s">
        <v>697</v>
      </c>
      <c r="D398" s="2">
        <v>1</v>
      </c>
      <c r="E398" s="8" t="s">
        <v>10156</v>
      </c>
      <c r="F398" s="2">
        <v>1</v>
      </c>
      <c r="G398" s="8" t="s">
        <v>9578</v>
      </c>
      <c r="H398" s="8" t="s">
        <v>9578</v>
      </c>
      <c r="I398" s="2">
        <v>39.659999999999997</v>
      </c>
      <c r="J398" s="2">
        <v>103.89</v>
      </c>
      <c r="K398" s="2">
        <v>378.79</v>
      </c>
      <c r="L398" s="2">
        <v>513.26</v>
      </c>
      <c r="M398" s="8"/>
      <c r="N398" s="8" t="s">
        <v>10159</v>
      </c>
      <c r="O398" s="8" t="s">
        <v>7855</v>
      </c>
      <c r="P398" s="8" t="str">
        <f>HYPERLINK("https://seichotoushi-hojo.jp/assets/pdf/koufu/outline_17.pdf","PDFを開く")</f>
        <v>PDFを開く</v>
      </c>
      <c r="Q398" s="8" t="s">
        <v>704</v>
      </c>
    </row>
    <row r="399" spans="1:17" ht="62.1" customHeight="1">
      <c r="A399" s="5" t="s">
        <v>696</v>
      </c>
      <c r="B399" s="5" t="s">
        <v>73</v>
      </c>
      <c r="C399" s="9" t="s">
        <v>697</v>
      </c>
      <c r="D399" s="5">
        <v>1</v>
      </c>
      <c r="E399" s="9" t="s">
        <v>10156</v>
      </c>
      <c r="F399" s="5">
        <v>2</v>
      </c>
      <c r="G399" s="9" t="s">
        <v>10162</v>
      </c>
      <c r="H399" s="9" t="s">
        <v>10162</v>
      </c>
      <c r="I399" s="5">
        <v>394.54</v>
      </c>
      <c r="J399" s="5">
        <v>108.18</v>
      </c>
      <c r="K399" s="5">
        <v>756.45</v>
      </c>
      <c r="L399" s="5">
        <v>301.3</v>
      </c>
      <c r="M399" s="9"/>
      <c r="N399" s="9" t="s">
        <v>10159</v>
      </c>
      <c r="O399" s="9" t="s">
        <v>7856</v>
      </c>
      <c r="P399" s="9" t="str">
        <f>HYPERLINK("https://seichotoushi-hojo.jp/assets/pdf/koufu/outline_17.pdf","PDFを開く")</f>
        <v>PDFを開く</v>
      </c>
      <c r="Q399" s="9" t="s">
        <v>704</v>
      </c>
    </row>
    <row r="400" spans="1:17" ht="62.1" customHeight="1">
      <c r="A400" s="2" t="s">
        <v>696</v>
      </c>
      <c r="B400" s="2" t="s">
        <v>73</v>
      </c>
      <c r="C400" s="8" t="s">
        <v>697</v>
      </c>
      <c r="D400" s="2">
        <v>1</v>
      </c>
      <c r="E400" s="8" t="s">
        <v>10156</v>
      </c>
      <c r="F400" s="2">
        <v>3</v>
      </c>
      <c r="G400" s="8" t="s">
        <v>10163</v>
      </c>
      <c r="H400" s="8" t="s">
        <v>10163</v>
      </c>
      <c r="I400" s="2">
        <v>396.3</v>
      </c>
      <c r="J400" s="2">
        <v>308.99</v>
      </c>
      <c r="K400" s="2">
        <v>759.11</v>
      </c>
      <c r="L400" s="2">
        <v>502.11</v>
      </c>
      <c r="M400" s="8"/>
      <c r="N400" s="8" t="s">
        <v>10159</v>
      </c>
      <c r="O400" s="8" t="s">
        <v>7857</v>
      </c>
      <c r="P400" s="8" t="str">
        <f>HYPERLINK("https://seichotoushi-hojo.jp/assets/pdf/koufu/outline_17.pdf","PDFを開く")</f>
        <v>PDFを開く</v>
      </c>
      <c r="Q400" s="8" t="s">
        <v>704</v>
      </c>
    </row>
    <row r="401" spans="1:17" ht="62.1" customHeight="1">
      <c r="A401" s="5" t="s">
        <v>696</v>
      </c>
      <c r="B401" s="5" t="s">
        <v>73</v>
      </c>
      <c r="C401" s="9" t="s">
        <v>697</v>
      </c>
      <c r="D401" s="5">
        <v>1</v>
      </c>
      <c r="E401" s="9" t="s">
        <v>10156</v>
      </c>
      <c r="F401" s="5">
        <v>4</v>
      </c>
      <c r="G401" s="9" t="s">
        <v>8581</v>
      </c>
      <c r="H401" s="9" t="s">
        <v>8581</v>
      </c>
      <c r="I401" s="5">
        <v>49.47</v>
      </c>
      <c r="J401" s="5">
        <v>391.32</v>
      </c>
      <c r="K401" s="5">
        <v>368.97</v>
      </c>
      <c r="L401" s="5">
        <v>502.11</v>
      </c>
      <c r="M401" s="9"/>
      <c r="N401" s="9" t="s">
        <v>10159</v>
      </c>
      <c r="O401" s="9" t="s">
        <v>701</v>
      </c>
      <c r="P401" s="9" t="str">
        <f>HYPERLINK("https://seichotoushi-hojo.jp/assets/pdf/koufu/outline_17.pdf","PDFを開く")</f>
        <v>PDFを開く</v>
      </c>
      <c r="Q401" s="9" t="s">
        <v>704</v>
      </c>
    </row>
    <row r="402" spans="1:17" ht="62.1" customHeight="1">
      <c r="A402" s="2" t="s">
        <v>705</v>
      </c>
      <c r="B402" s="2" t="s">
        <v>73</v>
      </c>
      <c r="C402" s="8" t="s">
        <v>706</v>
      </c>
      <c r="D402" s="2">
        <v>1</v>
      </c>
      <c r="E402" s="8" t="s">
        <v>10156</v>
      </c>
      <c r="F402" s="2">
        <v>1</v>
      </c>
      <c r="G402" s="8" t="s">
        <v>9578</v>
      </c>
      <c r="H402" s="8" t="s">
        <v>9578</v>
      </c>
      <c r="I402" s="2">
        <v>39.659999999999997</v>
      </c>
      <c r="J402" s="2">
        <v>104.64</v>
      </c>
      <c r="K402" s="2">
        <v>378.79</v>
      </c>
      <c r="L402" s="2">
        <v>528</v>
      </c>
      <c r="M402" s="8"/>
      <c r="N402" s="8" t="s">
        <v>10159</v>
      </c>
      <c r="O402" s="8" t="s">
        <v>7862</v>
      </c>
      <c r="P402" s="8" t="str">
        <f>HYPERLINK("https://seichotoushi-hojo.jp/assets/pdf/koufu/outline_170.pdf","PDFを開く")</f>
        <v>PDFを開く</v>
      </c>
      <c r="Q402" s="8" t="s">
        <v>712</v>
      </c>
    </row>
    <row r="403" spans="1:17" ht="62.1" customHeight="1">
      <c r="A403" s="5" t="s">
        <v>705</v>
      </c>
      <c r="B403" s="5" t="s">
        <v>73</v>
      </c>
      <c r="C403" s="9" t="s">
        <v>706</v>
      </c>
      <c r="D403" s="5">
        <v>1</v>
      </c>
      <c r="E403" s="9" t="s">
        <v>10156</v>
      </c>
      <c r="F403" s="5">
        <v>2</v>
      </c>
      <c r="G403" s="9" t="s">
        <v>10162</v>
      </c>
      <c r="H403" s="9" t="s">
        <v>10162</v>
      </c>
      <c r="I403" s="5">
        <v>396.3</v>
      </c>
      <c r="J403" s="5">
        <v>104.64</v>
      </c>
      <c r="K403" s="5">
        <v>739.78</v>
      </c>
      <c r="L403" s="5">
        <v>316.42</v>
      </c>
      <c r="M403" s="9"/>
      <c r="N403" s="9" t="s">
        <v>10159</v>
      </c>
      <c r="O403" s="9" t="s">
        <v>7863</v>
      </c>
      <c r="P403" s="9" t="str">
        <f>HYPERLINK("https://seichotoushi-hojo.jp/assets/pdf/koufu/outline_170.pdf","PDFを開く")</f>
        <v>PDFを開く</v>
      </c>
      <c r="Q403" s="9" t="s">
        <v>712</v>
      </c>
    </row>
    <row r="404" spans="1:17" ht="62.1" customHeight="1">
      <c r="A404" s="2" t="s">
        <v>705</v>
      </c>
      <c r="B404" s="2" t="s">
        <v>73</v>
      </c>
      <c r="C404" s="8" t="s">
        <v>706</v>
      </c>
      <c r="D404" s="2">
        <v>1</v>
      </c>
      <c r="E404" s="8" t="s">
        <v>10156</v>
      </c>
      <c r="F404" s="2">
        <v>3</v>
      </c>
      <c r="G404" s="8" t="s">
        <v>10163</v>
      </c>
      <c r="H404" s="8" t="s">
        <v>10163</v>
      </c>
      <c r="I404" s="2">
        <v>396.3</v>
      </c>
      <c r="J404" s="2">
        <v>325.64999999999998</v>
      </c>
      <c r="K404" s="2">
        <v>739.78</v>
      </c>
      <c r="L404" s="2">
        <v>520.9</v>
      </c>
      <c r="M404" s="8"/>
      <c r="N404" s="8" t="s">
        <v>10159</v>
      </c>
      <c r="O404" s="8" t="s">
        <v>7864</v>
      </c>
      <c r="P404" s="8" t="str">
        <f>HYPERLINK("https://seichotoushi-hojo.jp/assets/pdf/koufu/outline_170.pdf","PDFを開く")</f>
        <v>PDFを開く</v>
      </c>
      <c r="Q404" s="8" t="s">
        <v>712</v>
      </c>
    </row>
    <row r="405" spans="1:17" ht="62.1" customHeight="1">
      <c r="A405" s="5" t="s">
        <v>705</v>
      </c>
      <c r="B405" s="5" t="s">
        <v>73</v>
      </c>
      <c r="C405" s="9" t="s">
        <v>706</v>
      </c>
      <c r="D405" s="5">
        <v>1</v>
      </c>
      <c r="E405" s="9" t="s">
        <v>10156</v>
      </c>
      <c r="F405" s="5">
        <v>4</v>
      </c>
      <c r="G405" s="9" t="s">
        <v>8581</v>
      </c>
      <c r="H405" s="9" t="s">
        <v>8581</v>
      </c>
      <c r="I405" s="5">
        <v>50.52</v>
      </c>
      <c r="J405" s="5">
        <v>448.77</v>
      </c>
      <c r="K405" s="5">
        <v>370.02</v>
      </c>
      <c r="L405" s="5">
        <v>520.9</v>
      </c>
      <c r="M405" s="9"/>
      <c r="N405" s="9" t="s">
        <v>10159</v>
      </c>
      <c r="O405" s="9" t="s">
        <v>710</v>
      </c>
      <c r="P405" s="9" t="str">
        <f>HYPERLINK("https://seichotoushi-hojo.jp/assets/pdf/koufu/outline_170.pdf","PDFを開く")</f>
        <v>PDFを開く</v>
      </c>
      <c r="Q405" s="9" t="s">
        <v>712</v>
      </c>
    </row>
    <row r="406" spans="1:17" ht="62.1" customHeight="1">
      <c r="A406" s="2" t="s">
        <v>705</v>
      </c>
      <c r="B406" s="2" t="s">
        <v>73</v>
      </c>
      <c r="C406" s="8" t="s">
        <v>706</v>
      </c>
      <c r="D406" s="2">
        <v>2</v>
      </c>
      <c r="E406" s="8" t="s">
        <v>10165</v>
      </c>
      <c r="F406" s="2">
        <v>1</v>
      </c>
      <c r="G406" s="8" t="s">
        <v>10167</v>
      </c>
      <c r="H406" s="8" t="s">
        <v>10335</v>
      </c>
      <c r="I406" s="2">
        <v>493.96</v>
      </c>
      <c r="J406" s="2">
        <v>277.33999999999997</v>
      </c>
      <c r="K406" s="2">
        <v>762.52</v>
      </c>
      <c r="L406" s="2">
        <v>391.58</v>
      </c>
      <c r="M406" s="8"/>
      <c r="N406" s="8" t="s">
        <v>10159</v>
      </c>
      <c r="O406" s="8" t="s">
        <v>10336</v>
      </c>
      <c r="P406" s="8" t="str">
        <f>HYPERLINK("https://seichotoushi-hojo.jp/assets/pdf/koufu/outline_170.pdf","PDFを開く")</f>
        <v>PDFを開く</v>
      </c>
      <c r="Q406" s="8" t="s">
        <v>712</v>
      </c>
    </row>
    <row r="407" spans="1:17" ht="62.1" customHeight="1">
      <c r="A407" s="5" t="s">
        <v>713</v>
      </c>
      <c r="B407" s="5" t="s">
        <v>73</v>
      </c>
      <c r="C407" s="9" t="s">
        <v>714</v>
      </c>
      <c r="D407" s="5">
        <v>1</v>
      </c>
      <c r="E407" s="9" t="s">
        <v>10156</v>
      </c>
      <c r="F407" s="5">
        <v>1</v>
      </c>
      <c r="G407" s="9" t="s">
        <v>9578</v>
      </c>
      <c r="H407" s="9" t="s">
        <v>9578</v>
      </c>
      <c r="I407" s="5">
        <v>39.659999999999997</v>
      </c>
      <c r="J407" s="5">
        <v>115.75</v>
      </c>
      <c r="K407" s="5">
        <v>378.79</v>
      </c>
      <c r="L407" s="5">
        <v>464.83</v>
      </c>
      <c r="M407" s="9"/>
      <c r="N407" s="9" t="s">
        <v>10159</v>
      </c>
      <c r="O407" s="9" t="s">
        <v>7869</v>
      </c>
      <c r="P407" s="9" t="str">
        <f>HYPERLINK("https://seichotoushi-hojo.jp/assets/pdf/koufu/outline_171.pdf","PDFを開く")</f>
        <v>PDFを開く</v>
      </c>
      <c r="Q407" s="9" t="s">
        <v>719</v>
      </c>
    </row>
    <row r="408" spans="1:17" ht="62.1" customHeight="1">
      <c r="A408" s="2" t="s">
        <v>713</v>
      </c>
      <c r="B408" s="2" t="s">
        <v>73</v>
      </c>
      <c r="C408" s="8" t="s">
        <v>714</v>
      </c>
      <c r="D408" s="2">
        <v>1</v>
      </c>
      <c r="E408" s="8" t="s">
        <v>10156</v>
      </c>
      <c r="F408" s="2">
        <v>2</v>
      </c>
      <c r="G408" s="8" t="s">
        <v>10162</v>
      </c>
      <c r="H408" s="8" t="s">
        <v>10162</v>
      </c>
      <c r="I408" s="2">
        <v>396.3</v>
      </c>
      <c r="J408" s="2">
        <v>118.03</v>
      </c>
      <c r="K408" s="2">
        <v>739.78</v>
      </c>
      <c r="L408" s="2">
        <v>300.36</v>
      </c>
      <c r="M408" s="8"/>
      <c r="N408" s="8" t="s">
        <v>10159</v>
      </c>
      <c r="O408" s="8" t="s">
        <v>7870</v>
      </c>
      <c r="P408" s="8" t="str">
        <f>HYPERLINK("https://seichotoushi-hojo.jp/assets/pdf/koufu/outline_171.pdf","PDFを開く")</f>
        <v>PDFを開く</v>
      </c>
      <c r="Q408" s="8" t="s">
        <v>719</v>
      </c>
    </row>
    <row r="409" spans="1:17" ht="62.1" customHeight="1">
      <c r="A409" s="5" t="s">
        <v>713</v>
      </c>
      <c r="B409" s="5" t="s">
        <v>73</v>
      </c>
      <c r="C409" s="9" t="s">
        <v>714</v>
      </c>
      <c r="D409" s="5">
        <v>1</v>
      </c>
      <c r="E409" s="9" t="s">
        <v>10156</v>
      </c>
      <c r="F409" s="5">
        <v>3</v>
      </c>
      <c r="G409" s="9" t="s">
        <v>10163</v>
      </c>
      <c r="H409" s="9" t="s">
        <v>10163</v>
      </c>
      <c r="I409" s="5">
        <v>396.3</v>
      </c>
      <c r="J409" s="5">
        <v>306.52999999999997</v>
      </c>
      <c r="K409" s="5">
        <v>739.78</v>
      </c>
      <c r="L409" s="5">
        <v>464.83</v>
      </c>
      <c r="M409" s="9"/>
      <c r="N409" s="9" t="s">
        <v>10159</v>
      </c>
      <c r="O409" s="9" t="s">
        <v>7871</v>
      </c>
      <c r="P409" s="9" t="str">
        <f>HYPERLINK("https://seichotoushi-hojo.jp/assets/pdf/koufu/outline_171.pdf","PDFを開く")</f>
        <v>PDFを開く</v>
      </c>
      <c r="Q409" s="9" t="s">
        <v>719</v>
      </c>
    </row>
    <row r="410" spans="1:17" ht="62.1" customHeight="1">
      <c r="A410" s="2" t="s">
        <v>713</v>
      </c>
      <c r="B410" s="2" t="s">
        <v>73</v>
      </c>
      <c r="C410" s="8" t="s">
        <v>714</v>
      </c>
      <c r="D410" s="2">
        <v>1</v>
      </c>
      <c r="E410" s="8" t="s">
        <v>10156</v>
      </c>
      <c r="F410" s="2">
        <v>4</v>
      </c>
      <c r="G410" s="8" t="s">
        <v>8581</v>
      </c>
      <c r="H410" s="8" t="s">
        <v>8581</v>
      </c>
      <c r="I410" s="2">
        <v>48</v>
      </c>
      <c r="J410" s="2">
        <v>372.55</v>
      </c>
      <c r="K410" s="2">
        <v>371.89</v>
      </c>
      <c r="L410" s="2">
        <v>431</v>
      </c>
      <c r="M410" s="8"/>
      <c r="N410" s="8" t="s">
        <v>10159</v>
      </c>
      <c r="O410" s="8" t="s">
        <v>717</v>
      </c>
      <c r="P410" s="8" t="str">
        <f>HYPERLINK("https://seichotoushi-hojo.jp/assets/pdf/koufu/outline_171.pdf","PDFを開く")</f>
        <v>PDFを開く</v>
      </c>
      <c r="Q410" s="8" t="s">
        <v>719</v>
      </c>
    </row>
    <row r="411" spans="1:17" ht="62.1" customHeight="1">
      <c r="A411" s="5" t="s">
        <v>713</v>
      </c>
      <c r="B411" s="5" t="s">
        <v>73</v>
      </c>
      <c r="C411" s="9" t="s">
        <v>714</v>
      </c>
      <c r="D411" s="5">
        <v>2</v>
      </c>
      <c r="E411" s="9" t="s">
        <v>10165</v>
      </c>
      <c r="F411" s="5">
        <v>1</v>
      </c>
      <c r="G411" s="9" t="s">
        <v>10167</v>
      </c>
      <c r="H411" s="9" t="s">
        <v>10337</v>
      </c>
      <c r="I411" s="5">
        <v>451.39</v>
      </c>
      <c r="J411" s="5">
        <v>242.53</v>
      </c>
      <c r="K411" s="5">
        <v>741.21</v>
      </c>
      <c r="L411" s="5">
        <v>273.73</v>
      </c>
      <c r="M411" s="9"/>
      <c r="N411" s="9" t="s">
        <v>10159</v>
      </c>
      <c r="O411" s="9" t="s">
        <v>10337</v>
      </c>
      <c r="P411" s="9" t="str">
        <f>HYPERLINK("https://seichotoushi-hojo.jp/assets/pdf/koufu/outline_171.pdf","PDFを開く")</f>
        <v>PDFを開く</v>
      </c>
      <c r="Q411" s="9" t="s">
        <v>719</v>
      </c>
    </row>
    <row r="412" spans="1:17" ht="62.1" customHeight="1">
      <c r="A412" s="2" t="s">
        <v>720</v>
      </c>
      <c r="B412" s="2" t="s">
        <v>73</v>
      </c>
      <c r="C412" s="8" t="s">
        <v>721</v>
      </c>
      <c r="D412" s="2">
        <v>1</v>
      </c>
      <c r="E412" s="8" t="s">
        <v>10156</v>
      </c>
      <c r="F412" s="2">
        <v>1</v>
      </c>
      <c r="G412" s="8" t="s">
        <v>9578</v>
      </c>
      <c r="H412" s="8" t="s">
        <v>9578</v>
      </c>
      <c r="I412" s="2">
        <v>39.6</v>
      </c>
      <c r="J412" s="2">
        <v>111.12</v>
      </c>
      <c r="K412" s="2">
        <v>378.72</v>
      </c>
      <c r="L412" s="2">
        <v>526.08000000000004</v>
      </c>
      <c r="M412" s="8"/>
      <c r="N412" s="8" t="s">
        <v>10159</v>
      </c>
      <c r="O412" s="8" t="s">
        <v>7876</v>
      </c>
      <c r="P412" s="8" t="str">
        <f>HYPERLINK("https://seichotoushi-hojo.jp/assets/pdf/koufu/outline_173.pdf","PDFを開く")</f>
        <v>PDFを開く</v>
      </c>
      <c r="Q412" s="8" t="s">
        <v>727</v>
      </c>
    </row>
    <row r="413" spans="1:17" ht="62.1" customHeight="1">
      <c r="A413" s="5" t="s">
        <v>720</v>
      </c>
      <c r="B413" s="5" t="s">
        <v>73</v>
      </c>
      <c r="C413" s="9" t="s">
        <v>721</v>
      </c>
      <c r="D413" s="5">
        <v>1</v>
      </c>
      <c r="E413" s="9" t="s">
        <v>10156</v>
      </c>
      <c r="F413" s="5">
        <v>2</v>
      </c>
      <c r="G413" s="9" t="s">
        <v>10162</v>
      </c>
      <c r="H413" s="9" t="s">
        <v>10162</v>
      </c>
      <c r="I413" s="5">
        <v>396.36</v>
      </c>
      <c r="J413" s="5">
        <v>111.48</v>
      </c>
      <c r="K413" s="5">
        <v>739.8</v>
      </c>
      <c r="L413" s="5">
        <v>381.48</v>
      </c>
      <c r="M413" s="9"/>
      <c r="N413" s="9" t="s">
        <v>10159</v>
      </c>
      <c r="O413" s="9" t="s">
        <v>7877</v>
      </c>
      <c r="P413" s="9" t="str">
        <f>HYPERLINK("https://seichotoushi-hojo.jp/assets/pdf/koufu/outline_173.pdf","PDFを開く")</f>
        <v>PDFを開く</v>
      </c>
      <c r="Q413" s="9" t="s">
        <v>727</v>
      </c>
    </row>
    <row r="414" spans="1:17" ht="62.1" customHeight="1">
      <c r="A414" s="2" t="s">
        <v>720</v>
      </c>
      <c r="B414" s="2" t="s">
        <v>73</v>
      </c>
      <c r="C414" s="8" t="s">
        <v>721</v>
      </c>
      <c r="D414" s="2">
        <v>1</v>
      </c>
      <c r="E414" s="8" t="s">
        <v>10156</v>
      </c>
      <c r="F414" s="2">
        <v>3</v>
      </c>
      <c r="G414" s="8" t="s">
        <v>10163</v>
      </c>
      <c r="H414" s="8" t="s">
        <v>10163</v>
      </c>
      <c r="I414" s="2">
        <v>396.36</v>
      </c>
      <c r="J414" s="2">
        <v>389.16</v>
      </c>
      <c r="K414" s="2">
        <v>739.8</v>
      </c>
      <c r="L414" s="2">
        <v>526.20000000000005</v>
      </c>
      <c r="M414" s="8"/>
      <c r="N414" s="8" t="s">
        <v>10159</v>
      </c>
      <c r="O414" s="8" t="s">
        <v>7878</v>
      </c>
      <c r="P414" s="8" t="str">
        <f>HYPERLINK("https://seichotoushi-hojo.jp/assets/pdf/koufu/outline_173.pdf","PDFを開く")</f>
        <v>PDFを開く</v>
      </c>
      <c r="Q414" s="8" t="s">
        <v>727</v>
      </c>
    </row>
    <row r="415" spans="1:17" ht="62.1" customHeight="1">
      <c r="A415" s="5" t="s">
        <v>720</v>
      </c>
      <c r="B415" s="5" t="s">
        <v>73</v>
      </c>
      <c r="C415" s="9" t="s">
        <v>721</v>
      </c>
      <c r="D415" s="5">
        <v>1</v>
      </c>
      <c r="E415" s="9" t="s">
        <v>10156</v>
      </c>
      <c r="F415" s="5">
        <v>4</v>
      </c>
      <c r="G415" s="9" t="s">
        <v>8581</v>
      </c>
      <c r="H415" s="9" t="s">
        <v>8581</v>
      </c>
      <c r="I415" s="5">
        <v>48</v>
      </c>
      <c r="J415" s="5">
        <v>421.92</v>
      </c>
      <c r="K415" s="5">
        <v>367.44</v>
      </c>
      <c r="L415" s="5">
        <v>520.79999999999995</v>
      </c>
      <c r="M415" s="9"/>
      <c r="N415" s="9" t="s">
        <v>10159</v>
      </c>
      <c r="O415" s="9" t="s">
        <v>725</v>
      </c>
      <c r="P415" s="9" t="str">
        <f>HYPERLINK("https://seichotoushi-hojo.jp/assets/pdf/koufu/outline_173.pdf","PDFを開く")</f>
        <v>PDFを開く</v>
      </c>
      <c r="Q415" s="9" t="s">
        <v>727</v>
      </c>
    </row>
    <row r="416" spans="1:17" ht="62.1" customHeight="1">
      <c r="A416" s="2" t="s">
        <v>720</v>
      </c>
      <c r="B416" s="2" t="s">
        <v>73</v>
      </c>
      <c r="C416" s="8" t="s">
        <v>721</v>
      </c>
      <c r="D416" s="2">
        <v>2</v>
      </c>
      <c r="E416" s="8" t="s">
        <v>10165</v>
      </c>
      <c r="F416" s="2">
        <v>1</v>
      </c>
      <c r="G416" s="8" t="s">
        <v>10184</v>
      </c>
      <c r="H416" s="8" t="s">
        <v>10184</v>
      </c>
      <c r="I416" s="2">
        <v>126.26</v>
      </c>
      <c r="J416" s="2">
        <v>175.61</v>
      </c>
      <c r="K416" s="2">
        <v>401.7</v>
      </c>
      <c r="L416" s="2">
        <v>371.01</v>
      </c>
      <c r="M416" s="8"/>
      <c r="N416" s="8" t="s">
        <v>10181</v>
      </c>
      <c r="O416" s="8" t="s">
        <v>10338</v>
      </c>
      <c r="P416" s="8" t="str">
        <f>HYPERLINK("https://seichotoushi-hojo.jp/assets/pdf/koufu/outline_173.pdf","PDFを開く")</f>
        <v>PDFを開く</v>
      </c>
      <c r="Q416" s="8" t="s">
        <v>727</v>
      </c>
    </row>
    <row r="417" spans="1:17" ht="62.1" customHeight="1">
      <c r="A417" s="5" t="s">
        <v>728</v>
      </c>
      <c r="B417" s="5" t="s">
        <v>73</v>
      </c>
      <c r="C417" s="9" t="s">
        <v>729</v>
      </c>
      <c r="D417" s="5">
        <v>1</v>
      </c>
      <c r="E417" s="9" t="s">
        <v>10156</v>
      </c>
      <c r="F417" s="5">
        <v>1</v>
      </c>
      <c r="G417" s="9" t="s">
        <v>9578</v>
      </c>
      <c r="H417" s="9" t="s">
        <v>9578</v>
      </c>
      <c r="I417" s="5">
        <v>39.659999999999997</v>
      </c>
      <c r="J417" s="5">
        <v>95.94</v>
      </c>
      <c r="K417" s="5">
        <v>378.78</v>
      </c>
      <c r="L417" s="5">
        <v>520.91999999999996</v>
      </c>
      <c r="M417" s="9"/>
      <c r="N417" s="9" t="s">
        <v>10159</v>
      </c>
      <c r="O417" s="9" t="s">
        <v>10339</v>
      </c>
      <c r="P417" s="9" t="str">
        <f t="shared" ref="P417:P425" si="21">HYPERLINK("https://seichotoushi-hojo.jp/assets/pdf/koufu/outline_174.pdf","PDFを開く")</f>
        <v>PDFを開く</v>
      </c>
      <c r="Q417" s="9" t="s">
        <v>735</v>
      </c>
    </row>
    <row r="418" spans="1:17" ht="62.1" customHeight="1">
      <c r="A418" s="2" t="s">
        <v>728</v>
      </c>
      <c r="B418" s="2" t="s">
        <v>73</v>
      </c>
      <c r="C418" s="8" t="s">
        <v>729</v>
      </c>
      <c r="D418" s="2">
        <v>1</v>
      </c>
      <c r="E418" s="8" t="s">
        <v>10156</v>
      </c>
      <c r="F418" s="2">
        <v>2</v>
      </c>
      <c r="G418" s="8" t="s">
        <v>10162</v>
      </c>
      <c r="H418" s="8" t="s">
        <v>10162</v>
      </c>
      <c r="I418" s="2">
        <v>396.33</v>
      </c>
      <c r="J418" s="2">
        <v>95.97</v>
      </c>
      <c r="K418" s="2">
        <v>771.57</v>
      </c>
      <c r="L418" s="2">
        <v>316.77</v>
      </c>
      <c r="M418" s="8"/>
      <c r="N418" s="8" t="s">
        <v>10159</v>
      </c>
      <c r="O418" s="8" t="s">
        <v>7884</v>
      </c>
      <c r="P418" s="8" t="str">
        <f t="shared" si="21"/>
        <v>PDFを開く</v>
      </c>
      <c r="Q418" s="8" t="s">
        <v>735</v>
      </c>
    </row>
    <row r="419" spans="1:17" ht="62.1" customHeight="1">
      <c r="A419" s="5" t="s">
        <v>728</v>
      </c>
      <c r="B419" s="5" t="s">
        <v>73</v>
      </c>
      <c r="C419" s="9" t="s">
        <v>729</v>
      </c>
      <c r="D419" s="5">
        <v>1</v>
      </c>
      <c r="E419" s="9" t="s">
        <v>10156</v>
      </c>
      <c r="F419" s="5">
        <v>3</v>
      </c>
      <c r="G419" s="9" t="s">
        <v>10163</v>
      </c>
      <c r="H419" s="9" t="s">
        <v>10163</v>
      </c>
      <c r="I419" s="5">
        <v>396.33</v>
      </c>
      <c r="J419" s="5">
        <v>329.67</v>
      </c>
      <c r="K419" s="5">
        <v>771.57</v>
      </c>
      <c r="L419" s="5">
        <v>520.95000000000005</v>
      </c>
      <c r="M419" s="9"/>
      <c r="N419" s="9" t="s">
        <v>10159</v>
      </c>
      <c r="O419" s="9" t="s">
        <v>7885</v>
      </c>
      <c r="P419" s="9" t="str">
        <f t="shared" si="21"/>
        <v>PDFを開く</v>
      </c>
      <c r="Q419" s="9" t="s">
        <v>735</v>
      </c>
    </row>
    <row r="420" spans="1:17" ht="62.1" customHeight="1">
      <c r="A420" s="2" t="s">
        <v>728</v>
      </c>
      <c r="B420" s="2" t="s">
        <v>73</v>
      </c>
      <c r="C420" s="8" t="s">
        <v>729</v>
      </c>
      <c r="D420" s="2">
        <v>1</v>
      </c>
      <c r="E420" s="8" t="s">
        <v>10156</v>
      </c>
      <c r="F420" s="2">
        <v>4</v>
      </c>
      <c r="G420" s="8" t="s">
        <v>8581</v>
      </c>
      <c r="H420" s="8" t="s">
        <v>8581</v>
      </c>
      <c r="I420" s="2">
        <v>50.52</v>
      </c>
      <c r="J420" s="2">
        <v>438</v>
      </c>
      <c r="K420" s="2">
        <v>370.02</v>
      </c>
      <c r="L420" s="2">
        <v>514.62</v>
      </c>
      <c r="M420" s="8"/>
      <c r="N420" s="8" t="s">
        <v>10159</v>
      </c>
      <c r="O420" s="8" t="s">
        <v>733</v>
      </c>
      <c r="P420" s="8" t="str">
        <f t="shared" si="21"/>
        <v>PDFを開く</v>
      </c>
      <c r="Q420" s="8" t="s">
        <v>735</v>
      </c>
    </row>
    <row r="421" spans="1:17" ht="62.1" customHeight="1">
      <c r="A421" s="5" t="s">
        <v>728</v>
      </c>
      <c r="B421" s="5" t="s">
        <v>73</v>
      </c>
      <c r="C421" s="9" t="s">
        <v>729</v>
      </c>
      <c r="D421" s="5">
        <v>2</v>
      </c>
      <c r="E421" s="9" t="s">
        <v>10156</v>
      </c>
      <c r="F421" s="5">
        <v>1</v>
      </c>
      <c r="G421" s="9" t="s">
        <v>9578</v>
      </c>
      <c r="H421" s="9" t="s">
        <v>9578</v>
      </c>
      <c r="I421" s="5">
        <v>155.19999999999999</v>
      </c>
      <c r="J421" s="5">
        <v>103.37</v>
      </c>
      <c r="K421" s="5">
        <v>401.7</v>
      </c>
      <c r="L421" s="5">
        <v>298.77</v>
      </c>
      <c r="M421" s="9"/>
      <c r="N421" s="9" t="s">
        <v>10181</v>
      </c>
      <c r="O421" s="9" t="s">
        <v>10340</v>
      </c>
      <c r="P421" s="9" t="str">
        <f t="shared" si="21"/>
        <v>PDFを開く</v>
      </c>
      <c r="Q421" s="9" t="s">
        <v>735</v>
      </c>
    </row>
    <row r="422" spans="1:17" ht="62.1" customHeight="1">
      <c r="A422" s="2" t="s">
        <v>728</v>
      </c>
      <c r="B422" s="2" t="s">
        <v>73</v>
      </c>
      <c r="C422" s="8" t="s">
        <v>729</v>
      </c>
      <c r="D422" s="2">
        <v>5</v>
      </c>
      <c r="E422" s="8" t="s">
        <v>10165</v>
      </c>
      <c r="F422" s="2">
        <v>1</v>
      </c>
      <c r="G422" s="8" t="s">
        <v>10167</v>
      </c>
      <c r="H422" s="8" t="s">
        <v>10341</v>
      </c>
      <c r="I422" s="2">
        <v>47.19</v>
      </c>
      <c r="J422" s="2">
        <v>136.29</v>
      </c>
      <c r="K422" s="2">
        <v>367.29</v>
      </c>
      <c r="L422" s="2">
        <v>524.25</v>
      </c>
      <c r="M422" s="8"/>
      <c r="N422" s="8" t="s">
        <v>10159</v>
      </c>
      <c r="O422" s="8" t="s">
        <v>10342</v>
      </c>
      <c r="P422" s="8" t="str">
        <f t="shared" si="21"/>
        <v>PDFを開く</v>
      </c>
      <c r="Q422" s="8" t="s">
        <v>735</v>
      </c>
    </row>
    <row r="423" spans="1:17" ht="62.1" customHeight="1">
      <c r="A423" s="5" t="s">
        <v>728</v>
      </c>
      <c r="B423" s="5" t="s">
        <v>73</v>
      </c>
      <c r="C423" s="9" t="s">
        <v>729</v>
      </c>
      <c r="D423" s="5">
        <v>5</v>
      </c>
      <c r="E423" s="9" t="s">
        <v>10165</v>
      </c>
      <c r="F423" s="5">
        <v>2</v>
      </c>
      <c r="G423" s="9" t="s">
        <v>10167</v>
      </c>
      <c r="H423" s="9" t="s">
        <v>10343</v>
      </c>
      <c r="I423" s="5">
        <v>417.63</v>
      </c>
      <c r="J423" s="5">
        <v>136.29</v>
      </c>
      <c r="K423" s="5">
        <v>737.79</v>
      </c>
      <c r="L423" s="5">
        <v>336.45</v>
      </c>
      <c r="M423" s="9"/>
      <c r="N423" s="9" t="s">
        <v>10159</v>
      </c>
      <c r="O423" s="9" t="s">
        <v>10344</v>
      </c>
      <c r="P423" s="9" t="str">
        <f t="shared" si="21"/>
        <v>PDFを開く</v>
      </c>
      <c r="Q423" s="9" t="s">
        <v>735</v>
      </c>
    </row>
    <row r="424" spans="1:17" ht="62.1" customHeight="1">
      <c r="A424" s="2" t="s">
        <v>728</v>
      </c>
      <c r="B424" s="2" t="s">
        <v>73</v>
      </c>
      <c r="C424" s="8" t="s">
        <v>729</v>
      </c>
      <c r="D424" s="2">
        <v>5</v>
      </c>
      <c r="E424" s="8" t="s">
        <v>10165</v>
      </c>
      <c r="F424" s="2">
        <v>3</v>
      </c>
      <c r="G424" s="8" t="s">
        <v>10167</v>
      </c>
      <c r="H424" s="8" t="s">
        <v>10345</v>
      </c>
      <c r="I424" s="2">
        <v>417.81</v>
      </c>
      <c r="J424" s="2">
        <v>358.17</v>
      </c>
      <c r="K424" s="2">
        <v>737.97</v>
      </c>
      <c r="L424" s="2">
        <v>524.25</v>
      </c>
      <c r="M424" s="8"/>
      <c r="N424" s="8" t="s">
        <v>10159</v>
      </c>
      <c r="O424" s="8" t="s">
        <v>10346</v>
      </c>
      <c r="P424" s="8" t="str">
        <f t="shared" si="21"/>
        <v>PDFを開く</v>
      </c>
      <c r="Q424" s="8" t="s">
        <v>735</v>
      </c>
    </row>
    <row r="425" spans="1:17" ht="62.1" customHeight="1">
      <c r="A425" s="5" t="s">
        <v>728</v>
      </c>
      <c r="B425" s="5" t="s">
        <v>73</v>
      </c>
      <c r="C425" s="9" t="s">
        <v>729</v>
      </c>
      <c r="D425" s="5">
        <v>6</v>
      </c>
      <c r="E425" s="9" t="s">
        <v>10165</v>
      </c>
      <c r="F425" s="5">
        <v>1</v>
      </c>
      <c r="G425" s="9" t="s">
        <v>10167</v>
      </c>
      <c r="H425" s="9" t="s">
        <v>10347</v>
      </c>
      <c r="I425" s="5">
        <v>37.950000000000003</v>
      </c>
      <c r="J425" s="5">
        <v>108.03</v>
      </c>
      <c r="K425" s="5">
        <v>489.87</v>
      </c>
      <c r="L425" s="5">
        <v>266.19</v>
      </c>
      <c r="M425" s="9"/>
      <c r="N425" s="9" t="s">
        <v>10159</v>
      </c>
      <c r="O425" s="9" t="s">
        <v>10348</v>
      </c>
      <c r="P425" s="9" t="str">
        <f t="shared" si="21"/>
        <v>PDFを開く</v>
      </c>
      <c r="Q425" s="9" t="s">
        <v>735</v>
      </c>
    </row>
    <row r="426" spans="1:17" ht="62.1" customHeight="1">
      <c r="A426" s="2" t="s">
        <v>736</v>
      </c>
      <c r="B426" s="2" t="s">
        <v>73</v>
      </c>
      <c r="C426" s="8" t="s">
        <v>737</v>
      </c>
      <c r="D426" s="2">
        <v>1</v>
      </c>
      <c r="E426" s="8" t="s">
        <v>10156</v>
      </c>
      <c r="F426" s="2">
        <v>1</v>
      </c>
      <c r="G426" s="8" t="s">
        <v>9578</v>
      </c>
      <c r="H426" s="8" t="s">
        <v>9578</v>
      </c>
      <c r="I426" s="2">
        <v>20.8</v>
      </c>
      <c r="J426" s="2">
        <v>101.81</v>
      </c>
      <c r="K426" s="2">
        <v>396.89</v>
      </c>
      <c r="L426" s="2">
        <v>507</v>
      </c>
      <c r="M426" s="8"/>
      <c r="N426" s="8" t="s">
        <v>10159</v>
      </c>
      <c r="O426" s="8" t="s">
        <v>7890</v>
      </c>
      <c r="P426" s="8" t="str">
        <f>HYPERLINK("https://seichotoushi-hojo.jp/assets/pdf/koufu/outline_177.pdf","PDFを開く")</f>
        <v>PDFを開く</v>
      </c>
      <c r="Q426" s="8" t="s">
        <v>744</v>
      </c>
    </row>
    <row r="427" spans="1:17" ht="62.1" customHeight="1">
      <c r="A427" s="5" t="s">
        <v>736</v>
      </c>
      <c r="B427" s="5" t="s">
        <v>73</v>
      </c>
      <c r="C427" s="9" t="s">
        <v>737</v>
      </c>
      <c r="D427" s="5">
        <v>1</v>
      </c>
      <c r="E427" s="9" t="s">
        <v>10156</v>
      </c>
      <c r="F427" s="5">
        <v>2</v>
      </c>
      <c r="G427" s="9" t="s">
        <v>10162</v>
      </c>
      <c r="H427" s="9" t="s">
        <v>10162</v>
      </c>
      <c r="I427" s="5">
        <v>414.65</v>
      </c>
      <c r="J427" s="5">
        <v>101.81</v>
      </c>
      <c r="K427" s="5">
        <v>772.2</v>
      </c>
      <c r="L427" s="5">
        <v>298.47000000000003</v>
      </c>
      <c r="M427" s="9"/>
      <c r="N427" s="9" t="s">
        <v>10159</v>
      </c>
      <c r="O427" s="9" t="s">
        <v>7891</v>
      </c>
      <c r="P427" s="9" t="str">
        <f>HYPERLINK("https://seichotoushi-hojo.jp/assets/pdf/koufu/outline_177.pdf","PDFを開く")</f>
        <v>PDFを開く</v>
      </c>
      <c r="Q427" s="9" t="s">
        <v>744</v>
      </c>
    </row>
    <row r="428" spans="1:17" ht="62.1" customHeight="1">
      <c r="A428" s="2" t="s">
        <v>736</v>
      </c>
      <c r="B428" s="2" t="s">
        <v>73</v>
      </c>
      <c r="C428" s="8" t="s">
        <v>737</v>
      </c>
      <c r="D428" s="2">
        <v>1</v>
      </c>
      <c r="E428" s="8" t="s">
        <v>10156</v>
      </c>
      <c r="F428" s="2">
        <v>3</v>
      </c>
      <c r="G428" s="8" t="s">
        <v>10163</v>
      </c>
      <c r="H428" s="8" t="s">
        <v>10163</v>
      </c>
      <c r="I428" s="2">
        <v>414.88</v>
      </c>
      <c r="J428" s="2">
        <v>302.2</v>
      </c>
      <c r="K428" s="2">
        <v>772.2</v>
      </c>
      <c r="L428" s="2">
        <v>501.6</v>
      </c>
      <c r="M428" s="8"/>
      <c r="N428" s="8" t="s">
        <v>10159</v>
      </c>
      <c r="O428" s="8" t="s">
        <v>7892</v>
      </c>
      <c r="P428" s="8" t="str">
        <f>HYPERLINK("https://seichotoushi-hojo.jp/assets/pdf/koufu/outline_177.pdf","PDFを開く")</f>
        <v>PDFを開く</v>
      </c>
      <c r="Q428" s="8" t="s">
        <v>744</v>
      </c>
    </row>
    <row r="429" spans="1:17" ht="62.1" customHeight="1">
      <c r="A429" s="5" t="s">
        <v>736</v>
      </c>
      <c r="B429" s="5" t="s">
        <v>73</v>
      </c>
      <c r="C429" s="9" t="s">
        <v>737</v>
      </c>
      <c r="D429" s="5">
        <v>1</v>
      </c>
      <c r="E429" s="9" t="s">
        <v>10156</v>
      </c>
      <c r="F429" s="5">
        <v>4</v>
      </c>
      <c r="G429" s="9" t="s">
        <v>8581</v>
      </c>
      <c r="H429" s="9" t="s">
        <v>8581</v>
      </c>
      <c r="I429" s="5">
        <v>40.299999999999997</v>
      </c>
      <c r="J429" s="5">
        <v>415.57</v>
      </c>
      <c r="K429" s="5">
        <v>383.5</v>
      </c>
      <c r="L429" s="5">
        <v>499.73</v>
      </c>
      <c r="M429" s="9"/>
      <c r="N429" s="9" t="s">
        <v>10159</v>
      </c>
      <c r="O429" s="9" t="s">
        <v>742</v>
      </c>
      <c r="P429" s="9" t="str">
        <f>HYPERLINK("https://seichotoushi-hojo.jp/assets/pdf/koufu/outline_177.pdf","PDFを開く")</f>
        <v>PDFを開く</v>
      </c>
      <c r="Q429" s="9" t="s">
        <v>744</v>
      </c>
    </row>
    <row r="430" spans="1:17" ht="62.1" customHeight="1">
      <c r="A430" s="2" t="s">
        <v>745</v>
      </c>
      <c r="B430" s="2" t="s">
        <v>73</v>
      </c>
      <c r="C430" s="8" t="s">
        <v>746</v>
      </c>
      <c r="D430" s="2">
        <v>1</v>
      </c>
      <c r="E430" s="8" t="s">
        <v>10156</v>
      </c>
      <c r="F430" s="2">
        <v>1</v>
      </c>
      <c r="G430" s="8" t="s">
        <v>10162</v>
      </c>
      <c r="H430" s="8" t="s">
        <v>10162</v>
      </c>
      <c r="I430" s="2">
        <v>396.33</v>
      </c>
      <c r="J430" s="2">
        <v>107.19</v>
      </c>
      <c r="K430" s="2">
        <v>739.83</v>
      </c>
      <c r="L430" s="2">
        <v>320.73</v>
      </c>
      <c r="M430" s="8"/>
      <c r="N430" s="8" t="s">
        <v>10159</v>
      </c>
      <c r="O430" s="8" t="s">
        <v>7898</v>
      </c>
      <c r="P430" s="8" t="str">
        <f>HYPERLINK("https://seichotoushi-hojo.jp/assets/pdf/koufu/outline_19.pdf","PDFを開く")</f>
        <v>PDFを開く</v>
      </c>
      <c r="Q430" s="8" t="s">
        <v>752</v>
      </c>
    </row>
    <row r="431" spans="1:17" ht="62.1" customHeight="1">
      <c r="A431" s="5" t="s">
        <v>745</v>
      </c>
      <c r="B431" s="5" t="s">
        <v>73</v>
      </c>
      <c r="C431" s="9" t="s">
        <v>746</v>
      </c>
      <c r="D431" s="5">
        <v>1</v>
      </c>
      <c r="E431" s="9" t="s">
        <v>10156</v>
      </c>
      <c r="F431" s="5">
        <v>2</v>
      </c>
      <c r="G431" s="9" t="s">
        <v>9578</v>
      </c>
      <c r="H431" s="9" t="s">
        <v>9578</v>
      </c>
      <c r="I431" s="5">
        <v>39.659999999999997</v>
      </c>
      <c r="J431" s="5">
        <v>111.66</v>
      </c>
      <c r="K431" s="5">
        <v>378.78</v>
      </c>
      <c r="L431" s="5">
        <v>513.17999999999995</v>
      </c>
      <c r="M431" s="9"/>
      <c r="N431" s="9" t="s">
        <v>10159</v>
      </c>
      <c r="O431" s="9" t="s">
        <v>7897</v>
      </c>
      <c r="P431" s="9" t="str">
        <f>HYPERLINK("https://seichotoushi-hojo.jp/assets/pdf/koufu/outline_19.pdf","PDFを開く")</f>
        <v>PDFを開く</v>
      </c>
      <c r="Q431" s="9" t="s">
        <v>752</v>
      </c>
    </row>
    <row r="432" spans="1:17" ht="62.1" customHeight="1">
      <c r="A432" s="2" t="s">
        <v>745</v>
      </c>
      <c r="B432" s="2" t="s">
        <v>73</v>
      </c>
      <c r="C432" s="8" t="s">
        <v>746</v>
      </c>
      <c r="D432" s="2">
        <v>1</v>
      </c>
      <c r="E432" s="8" t="s">
        <v>10156</v>
      </c>
      <c r="F432" s="2">
        <v>3</v>
      </c>
      <c r="G432" s="8" t="s">
        <v>10163</v>
      </c>
      <c r="H432" s="8" t="s">
        <v>10163</v>
      </c>
      <c r="I432" s="2">
        <v>395.67</v>
      </c>
      <c r="J432" s="2">
        <v>320.73</v>
      </c>
      <c r="K432" s="2">
        <v>739.17</v>
      </c>
      <c r="L432" s="2">
        <v>513.33000000000004</v>
      </c>
      <c r="M432" s="8"/>
      <c r="N432" s="8" t="s">
        <v>10159</v>
      </c>
      <c r="O432" s="8" t="s">
        <v>7899</v>
      </c>
      <c r="P432" s="8" t="str">
        <f>HYPERLINK("https://seichotoushi-hojo.jp/assets/pdf/koufu/outline_19.pdf","PDFを開く")</f>
        <v>PDFを開く</v>
      </c>
      <c r="Q432" s="8" t="s">
        <v>752</v>
      </c>
    </row>
    <row r="433" spans="1:17" ht="62.1" customHeight="1">
      <c r="A433" s="5" t="s">
        <v>745</v>
      </c>
      <c r="B433" s="5" t="s">
        <v>73</v>
      </c>
      <c r="C433" s="9" t="s">
        <v>746</v>
      </c>
      <c r="D433" s="5">
        <v>1</v>
      </c>
      <c r="E433" s="9" t="s">
        <v>10156</v>
      </c>
      <c r="F433" s="5">
        <v>4</v>
      </c>
      <c r="G433" s="9" t="s">
        <v>8581</v>
      </c>
      <c r="H433" s="9" t="s">
        <v>8581</v>
      </c>
      <c r="I433" s="5">
        <v>49.44</v>
      </c>
      <c r="J433" s="5">
        <v>406.5</v>
      </c>
      <c r="K433" s="5">
        <v>368.94</v>
      </c>
      <c r="L433" s="5">
        <v>507.54</v>
      </c>
      <c r="M433" s="9"/>
      <c r="N433" s="9" t="s">
        <v>10159</v>
      </c>
      <c r="O433" s="9" t="s">
        <v>750</v>
      </c>
      <c r="P433" s="9" t="str">
        <f>HYPERLINK("https://seichotoushi-hojo.jp/assets/pdf/koufu/outline_19.pdf","PDFを開く")</f>
        <v>PDFを開く</v>
      </c>
      <c r="Q433" s="9" t="s">
        <v>752</v>
      </c>
    </row>
    <row r="434" spans="1:17" ht="62.1" customHeight="1">
      <c r="A434" s="2" t="s">
        <v>753</v>
      </c>
      <c r="B434" s="2" t="s">
        <v>73</v>
      </c>
      <c r="C434" s="8" t="s">
        <v>754</v>
      </c>
      <c r="D434" s="2">
        <v>1</v>
      </c>
      <c r="E434" s="8" t="s">
        <v>10156</v>
      </c>
      <c r="F434" s="2">
        <v>1</v>
      </c>
      <c r="G434" s="8" t="s">
        <v>9578</v>
      </c>
      <c r="H434" s="8" t="s">
        <v>9578</v>
      </c>
      <c r="I434" s="2">
        <v>36.229999999999997</v>
      </c>
      <c r="J434" s="2">
        <v>106.71</v>
      </c>
      <c r="K434" s="2">
        <v>405.39</v>
      </c>
      <c r="L434" s="2">
        <v>496.72</v>
      </c>
      <c r="M434" s="8"/>
      <c r="N434" s="8" t="s">
        <v>10159</v>
      </c>
      <c r="O434" s="8" t="s">
        <v>7904</v>
      </c>
      <c r="P434" s="8" t="str">
        <f>HYPERLINK("https://seichotoushi-hojo.jp/assets/pdf/koufu/outline_2.pdf","PDFを開く")</f>
        <v>PDFを開く</v>
      </c>
      <c r="Q434" s="8" t="s">
        <v>760</v>
      </c>
    </row>
    <row r="435" spans="1:17" ht="62.1" customHeight="1">
      <c r="A435" s="5" t="s">
        <v>753</v>
      </c>
      <c r="B435" s="5" t="s">
        <v>73</v>
      </c>
      <c r="C435" s="9" t="s">
        <v>754</v>
      </c>
      <c r="D435" s="5">
        <v>1</v>
      </c>
      <c r="E435" s="9" t="s">
        <v>10156</v>
      </c>
      <c r="F435" s="5">
        <v>2</v>
      </c>
      <c r="G435" s="9" t="s">
        <v>10162</v>
      </c>
      <c r="H435" s="9" t="s">
        <v>10162</v>
      </c>
      <c r="I435" s="5">
        <v>426.94</v>
      </c>
      <c r="J435" s="5">
        <v>109.87</v>
      </c>
      <c r="K435" s="5">
        <v>748.12</v>
      </c>
      <c r="L435" s="5">
        <v>301.70999999999998</v>
      </c>
      <c r="M435" s="9"/>
      <c r="N435" s="9" t="s">
        <v>10159</v>
      </c>
      <c r="O435" s="9" t="s">
        <v>7905</v>
      </c>
      <c r="P435" s="9" t="str">
        <f>HYPERLINK("https://seichotoushi-hojo.jp/assets/pdf/koufu/outline_2.pdf","PDFを開く")</f>
        <v>PDFを開く</v>
      </c>
      <c r="Q435" s="9" t="s">
        <v>760</v>
      </c>
    </row>
    <row r="436" spans="1:17" ht="62.1" customHeight="1">
      <c r="A436" s="2" t="s">
        <v>753</v>
      </c>
      <c r="B436" s="2" t="s">
        <v>73</v>
      </c>
      <c r="C436" s="8" t="s">
        <v>754</v>
      </c>
      <c r="D436" s="2">
        <v>1</v>
      </c>
      <c r="E436" s="8" t="s">
        <v>10156</v>
      </c>
      <c r="F436" s="2">
        <v>3</v>
      </c>
      <c r="G436" s="8" t="s">
        <v>10163</v>
      </c>
      <c r="H436" s="8" t="s">
        <v>10163</v>
      </c>
      <c r="I436" s="2">
        <v>426.94</v>
      </c>
      <c r="J436" s="2">
        <v>318.91000000000003</v>
      </c>
      <c r="K436" s="2">
        <v>748.12</v>
      </c>
      <c r="L436" s="2">
        <v>511.62</v>
      </c>
      <c r="M436" s="8"/>
      <c r="N436" s="8" t="s">
        <v>10159</v>
      </c>
      <c r="O436" s="8" t="s">
        <v>7906</v>
      </c>
      <c r="P436" s="8" t="str">
        <f>HYPERLINK("https://seichotoushi-hojo.jp/assets/pdf/koufu/outline_2.pdf","PDFを開く")</f>
        <v>PDFを開く</v>
      </c>
      <c r="Q436" s="8" t="s">
        <v>760</v>
      </c>
    </row>
    <row r="437" spans="1:17" ht="62.1" customHeight="1">
      <c r="A437" s="5" t="s">
        <v>753</v>
      </c>
      <c r="B437" s="5" t="s">
        <v>73</v>
      </c>
      <c r="C437" s="9" t="s">
        <v>754</v>
      </c>
      <c r="D437" s="5">
        <v>1</v>
      </c>
      <c r="E437" s="9" t="s">
        <v>10156</v>
      </c>
      <c r="F437" s="5">
        <v>4</v>
      </c>
      <c r="G437" s="9" t="s">
        <v>8581</v>
      </c>
      <c r="H437" s="9" t="s">
        <v>8581</v>
      </c>
      <c r="I437" s="5">
        <v>86.07</v>
      </c>
      <c r="J437" s="5">
        <v>442.23</v>
      </c>
      <c r="K437" s="5">
        <v>374.62</v>
      </c>
      <c r="L437" s="5">
        <v>527.58000000000004</v>
      </c>
      <c r="M437" s="9"/>
      <c r="N437" s="9" t="s">
        <v>10159</v>
      </c>
      <c r="O437" s="9" t="s">
        <v>758</v>
      </c>
      <c r="P437" s="9" t="str">
        <f>HYPERLINK("https://seichotoushi-hojo.jp/assets/pdf/koufu/outline_2.pdf","PDFを開く")</f>
        <v>PDFを開く</v>
      </c>
      <c r="Q437" s="9" t="s">
        <v>760</v>
      </c>
    </row>
    <row r="438" spans="1:17" ht="62.1" customHeight="1">
      <c r="A438" s="2" t="s">
        <v>761</v>
      </c>
      <c r="B438" s="2" t="s">
        <v>73</v>
      </c>
      <c r="C438" s="8" t="s">
        <v>762</v>
      </c>
      <c r="D438" s="2">
        <v>1</v>
      </c>
      <c r="E438" s="8" t="s">
        <v>10156</v>
      </c>
      <c r="F438" s="2">
        <v>1</v>
      </c>
      <c r="G438" s="8" t="s">
        <v>10167</v>
      </c>
      <c r="H438" s="8" t="s">
        <v>10349</v>
      </c>
      <c r="I438" s="2">
        <v>40.200000000000003</v>
      </c>
      <c r="J438" s="2">
        <v>99.48</v>
      </c>
      <c r="K438" s="2">
        <v>739.8</v>
      </c>
      <c r="L438" s="2">
        <v>156</v>
      </c>
      <c r="M438" s="8"/>
      <c r="N438" s="8" t="s">
        <v>10159</v>
      </c>
      <c r="O438" s="8" t="s">
        <v>10350</v>
      </c>
      <c r="P438" s="8" t="str">
        <f>HYPERLINK("https://seichotoushi-hojo.jp/assets/pdf/koufu/outline_20.pdf","PDFを開く")</f>
        <v>PDFを開く</v>
      </c>
      <c r="Q438" s="8" t="s">
        <v>768</v>
      </c>
    </row>
    <row r="439" spans="1:17" ht="62.1" customHeight="1">
      <c r="A439" s="5" t="s">
        <v>761</v>
      </c>
      <c r="B439" s="5" t="s">
        <v>73</v>
      </c>
      <c r="C439" s="9" t="s">
        <v>762</v>
      </c>
      <c r="D439" s="5">
        <v>1</v>
      </c>
      <c r="E439" s="9" t="s">
        <v>10156</v>
      </c>
      <c r="F439" s="5">
        <v>2</v>
      </c>
      <c r="G439" s="9" t="s">
        <v>9578</v>
      </c>
      <c r="H439" s="9" t="s">
        <v>9578</v>
      </c>
      <c r="I439" s="5">
        <v>39.6</v>
      </c>
      <c r="J439" s="5">
        <v>167.88</v>
      </c>
      <c r="K439" s="5">
        <v>378.84</v>
      </c>
      <c r="L439" s="5">
        <v>516.72</v>
      </c>
      <c r="M439" s="9"/>
      <c r="N439" s="9" t="s">
        <v>10159</v>
      </c>
      <c r="O439" s="9" t="s">
        <v>7911</v>
      </c>
      <c r="P439" s="9" t="str">
        <f>HYPERLINK("https://seichotoushi-hojo.jp/assets/pdf/koufu/outline_20.pdf","PDFを開く")</f>
        <v>PDFを開く</v>
      </c>
      <c r="Q439" s="9" t="s">
        <v>768</v>
      </c>
    </row>
    <row r="440" spans="1:17" ht="62.1" customHeight="1">
      <c r="A440" s="2" t="s">
        <v>761</v>
      </c>
      <c r="B440" s="2" t="s">
        <v>73</v>
      </c>
      <c r="C440" s="8" t="s">
        <v>762</v>
      </c>
      <c r="D440" s="2">
        <v>1</v>
      </c>
      <c r="E440" s="8" t="s">
        <v>10156</v>
      </c>
      <c r="F440" s="2">
        <v>3</v>
      </c>
      <c r="G440" s="8" t="s">
        <v>10162</v>
      </c>
      <c r="H440" s="8" t="s">
        <v>10162</v>
      </c>
      <c r="I440" s="2">
        <v>396.36</v>
      </c>
      <c r="J440" s="2">
        <v>170.16</v>
      </c>
      <c r="K440" s="2">
        <v>739.8</v>
      </c>
      <c r="L440" s="2">
        <v>378.84</v>
      </c>
      <c r="M440" s="8"/>
      <c r="N440" s="8" t="s">
        <v>10159</v>
      </c>
      <c r="O440" s="8" t="s">
        <v>7912</v>
      </c>
      <c r="P440" s="8" t="str">
        <f>HYPERLINK("https://seichotoushi-hojo.jp/assets/pdf/koufu/outline_20.pdf","PDFを開く")</f>
        <v>PDFを開く</v>
      </c>
      <c r="Q440" s="8" t="s">
        <v>768</v>
      </c>
    </row>
    <row r="441" spans="1:17" ht="62.1" customHeight="1">
      <c r="A441" s="5" t="s">
        <v>761</v>
      </c>
      <c r="B441" s="5" t="s">
        <v>73</v>
      </c>
      <c r="C441" s="9" t="s">
        <v>762</v>
      </c>
      <c r="D441" s="5">
        <v>1</v>
      </c>
      <c r="E441" s="9" t="s">
        <v>10156</v>
      </c>
      <c r="F441" s="5">
        <v>4</v>
      </c>
      <c r="G441" s="9" t="s">
        <v>10163</v>
      </c>
      <c r="H441" s="9" t="s">
        <v>10163</v>
      </c>
      <c r="I441" s="5">
        <v>396.36</v>
      </c>
      <c r="J441" s="5">
        <v>384.72</v>
      </c>
      <c r="K441" s="5">
        <v>739.8</v>
      </c>
      <c r="L441" s="5">
        <v>516.72</v>
      </c>
      <c r="M441" s="9"/>
      <c r="N441" s="9" t="s">
        <v>10159</v>
      </c>
      <c r="O441" s="9" t="s">
        <v>7913</v>
      </c>
      <c r="P441" s="9" t="str">
        <f>HYPERLINK("https://seichotoushi-hojo.jp/assets/pdf/koufu/outline_20.pdf","PDFを開く")</f>
        <v>PDFを開く</v>
      </c>
      <c r="Q441" s="9" t="s">
        <v>768</v>
      </c>
    </row>
    <row r="442" spans="1:17" ht="62.1" customHeight="1">
      <c r="A442" s="2" t="s">
        <v>761</v>
      </c>
      <c r="B442" s="2" t="s">
        <v>73</v>
      </c>
      <c r="C442" s="8" t="s">
        <v>762</v>
      </c>
      <c r="D442" s="2">
        <v>2</v>
      </c>
      <c r="E442" s="8" t="s">
        <v>10165</v>
      </c>
      <c r="F442" s="2">
        <v>1</v>
      </c>
      <c r="G442" s="8" t="s">
        <v>10184</v>
      </c>
      <c r="H442" s="8" t="s">
        <v>10184</v>
      </c>
      <c r="I442" s="2">
        <v>122.32</v>
      </c>
      <c r="J442" s="2">
        <v>141.83000000000001</v>
      </c>
      <c r="K442" s="2">
        <v>401.7</v>
      </c>
      <c r="L442" s="2">
        <v>337.23</v>
      </c>
      <c r="M442" s="8"/>
      <c r="N442" s="8" t="s">
        <v>10181</v>
      </c>
      <c r="O442" s="8" t="s">
        <v>10351</v>
      </c>
      <c r="P442" s="8" t="str">
        <f>HYPERLINK("https://seichotoushi-hojo.jp/assets/pdf/koufu/outline_20.pdf","PDFを開く")</f>
        <v>PDFを開く</v>
      </c>
      <c r="Q442" s="8" t="s">
        <v>768</v>
      </c>
    </row>
    <row r="443" spans="1:17" ht="62.1" customHeight="1">
      <c r="A443" s="5" t="s">
        <v>769</v>
      </c>
      <c r="B443" s="5" t="s">
        <v>73</v>
      </c>
      <c r="C443" s="9" t="s">
        <v>770</v>
      </c>
      <c r="D443" s="5">
        <v>1</v>
      </c>
      <c r="E443" s="9" t="s">
        <v>10156</v>
      </c>
      <c r="F443" s="5">
        <v>1</v>
      </c>
      <c r="G443" s="9" t="s">
        <v>10162</v>
      </c>
      <c r="H443" s="9" t="s">
        <v>10162</v>
      </c>
      <c r="I443" s="5">
        <v>396.36</v>
      </c>
      <c r="J443" s="5">
        <v>95.88</v>
      </c>
      <c r="K443" s="5">
        <v>739.8</v>
      </c>
      <c r="L443" s="5">
        <v>309.83999999999997</v>
      </c>
      <c r="M443" s="9"/>
      <c r="N443" s="9" t="s">
        <v>10159</v>
      </c>
      <c r="O443" s="9" t="s">
        <v>7919</v>
      </c>
      <c r="P443" s="9" t="str">
        <f>HYPERLINK("https://seichotoushi-hojo.jp/assets/pdf/koufu/outline_21.pdf","PDFを開く")</f>
        <v>PDFを開く</v>
      </c>
      <c r="Q443" s="9" t="s">
        <v>777</v>
      </c>
    </row>
    <row r="444" spans="1:17" ht="62.1" customHeight="1">
      <c r="A444" s="2" t="s">
        <v>769</v>
      </c>
      <c r="B444" s="2" t="s">
        <v>73</v>
      </c>
      <c r="C444" s="8" t="s">
        <v>770</v>
      </c>
      <c r="D444" s="2">
        <v>1</v>
      </c>
      <c r="E444" s="8" t="s">
        <v>10156</v>
      </c>
      <c r="F444" s="2">
        <v>2</v>
      </c>
      <c r="G444" s="8" t="s">
        <v>9578</v>
      </c>
      <c r="H444" s="8" t="s">
        <v>9578</v>
      </c>
      <c r="I444" s="2">
        <v>39.6</v>
      </c>
      <c r="J444" s="2">
        <v>103.08</v>
      </c>
      <c r="K444" s="2">
        <v>378.84</v>
      </c>
      <c r="L444" s="2">
        <v>520.91999999999996</v>
      </c>
      <c r="M444" s="8"/>
      <c r="N444" s="8" t="s">
        <v>10159</v>
      </c>
      <c r="O444" s="8" t="s">
        <v>7918</v>
      </c>
      <c r="P444" s="8" t="str">
        <f>HYPERLINK("https://seichotoushi-hojo.jp/assets/pdf/koufu/outline_21.pdf","PDFを開く")</f>
        <v>PDFを開く</v>
      </c>
      <c r="Q444" s="8" t="s">
        <v>777</v>
      </c>
    </row>
    <row r="445" spans="1:17" ht="62.1" customHeight="1">
      <c r="A445" s="5" t="s">
        <v>769</v>
      </c>
      <c r="B445" s="5" t="s">
        <v>73</v>
      </c>
      <c r="C445" s="9" t="s">
        <v>770</v>
      </c>
      <c r="D445" s="5">
        <v>1</v>
      </c>
      <c r="E445" s="9" t="s">
        <v>10156</v>
      </c>
      <c r="F445" s="5">
        <v>3</v>
      </c>
      <c r="G445" s="9" t="s">
        <v>10163</v>
      </c>
      <c r="H445" s="9" t="s">
        <v>10163</v>
      </c>
      <c r="I445" s="5">
        <v>396.84</v>
      </c>
      <c r="J445" s="5">
        <v>320.52</v>
      </c>
      <c r="K445" s="5">
        <v>740.4</v>
      </c>
      <c r="L445" s="5">
        <v>520.91999999999996</v>
      </c>
      <c r="M445" s="9"/>
      <c r="N445" s="9" t="s">
        <v>10159</v>
      </c>
      <c r="O445" s="9" t="s">
        <v>7920</v>
      </c>
      <c r="P445" s="9" t="str">
        <f>HYPERLINK("https://seichotoushi-hojo.jp/assets/pdf/koufu/outline_21.pdf","PDFを開く")</f>
        <v>PDFを開く</v>
      </c>
      <c r="Q445" s="9" t="s">
        <v>777</v>
      </c>
    </row>
    <row r="446" spans="1:17" ht="62.1" customHeight="1">
      <c r="A446" s="2" t="s">
        <v>769</v>
      </c>
      <c r="B446" s="2" t="s">
        <v>73</v>
      </c>
      <c r="C446" s="8" t="s">
        <v>770</v>
      </c>
      <c r="D446" s="2">
        <v>1</v>
      </c>
      <c r="E446" s="8" t="s">
        <v>10156</v>
      </c>
      <c r="F446" s="2">
        <v>4</v>
      </c>
      <c r="G446" s="8" t="s">
        <v>8581</v>
      </c>
      <c r="H446" s="8" t="s">
        <v>8581</v>
      </c>
      <c r="I446" s="2">
        <v>49.44</v>
      </c>
      <c r="J446" s="2">
        <v>334.56</v>
      </c>
      <c r="K446" s="2">
        <v>369</v>
      </c>
      <c r="L446" s="2">
        <v>506.52</v>
      </c>
      <c r="M446" s="8"/>
      <c r="N446" s="8" t="s">
        <v>10159</v>
      </c>
      <c r="O446" s="8" t="s">
        <v>774</v>
      </c>
      <c r="P446" s="8" t="str">
        <f>HYPERLINK("https://seichotoushi-hojo.jp/assets/pdf/koufu/outline_21.pdf","PDFを開く")</f>
        <v>PDFを開く</v>
      </c>
      <c r="Q446" s="8" t="s">
        <v>777</v>
      </c>
    </row>
    <row r="447" spans="1:17" ht="62.1" customHeight="1">
      <c r="A447" s="5" t="s">
        <v>778</v>
      </c>
      <c r="B447" s="5" t="s">
        <v>73</v>
      </c>
      <c r="C447" s="9" t="s">
        <v>779</v>
      </c>
      <c r="D447" s="5">
        <v>1</v>
      </c>
      <c r="E447" s="9" t="s">
        <v>10156</v>
      </c>
      <c r="F447" s="5">
        <v>1</v>
      </c>
      <c r="G447" s="9" t="s">
        <v>9578</v>
      </c>
      <c r="H447" s="9" t="s">
        <v>9578</v>
      </c>
      <c r="I447" s="5">
        <v>39.6</v>
      </c>
      <c r="J447" s="5">
        <v>117.72</v>
      </c>
      <c r="K447" s="5">
        <v>378.84</v>
      </c>
      <c r="L447" s="5">
        <v>507.48</v>
      </c>
      <c r="M447" s="9"/>
      <c r="N447" s="9" t="s">
        <v>10159</v>
      </c>
      <c r="O447" s="9" t="s">
        <v>7925</v>
      </c>
      <c r="P447" s="9" t="str">
        <f>HYPERLINK("https://seichotoushi-hojo.jp/assets/pdf/koufu/outline_22.pdf","PDFを開く")</f>
        <v>PDFを開く</v>
      </c>
      <c r="Q447" s="9" t="s">
        <v>783</v>
      </c>
    </row>
    <row r="448" spans="1:17" ht="62.1" customHeight="1">
      <c r="A448" s="2" t="s">
        <v>778</v>
      </c>
      <c r="B448" s="2" t="s">
        <v>73</v>
      </c>
      <c r="C448" s="8" t="s">
        <v>779</v>
      </c>
      <c r="D448" s="2">
        <v>1</v>
      </c>
      <c r="E448" s="8" t="s">
        <v>10156</v>
      </c>
      <c r="F448" s="2">
        <v>2</v>
      </c>
      <c r="G448" s="8" t="s">
        <v>10162</v>
      </c>
      <c r="H448" s="8" t="s">
        <v>10162</v>
      </c>
      <c r="I448" s="2">
        <v>396.36</v>
      </c>
      <c r="J448" s="2">
        <v>118.92</v>
      </c>
      <c r="K448" s="2">
        <v>739.8</v>
      </c>
      <c r="L448" s="2">
        <v>304.2</v>
      </c>
      <c r="M448" s="8"/>
      <c r="N448" s="8" t="s">
        <v>10159</v>
      </c>
      <c r="O448" s="8" t="s">
        <v>7926</v>
      </c>
      <c r="P448" s="8" t="str">
        <f>HYPERLINK("https://seichotoushi-hojo.jp/assets/pdf/koufu/outline_22.pdf","PDFを開く")</f>
        <v>PDFを開く</v>
      </c>
      <c r="Q448" s="8" t="s">
        <v>783</v>
      </c>
    </row>
    <row r="449" spans="1:17" ht="62.1" customHeight="1">
      <c r="A449" s="5" t="s">
        <v>778</v>
      </c>
      <c r="B449" s="5" t="s">
        <v>73</v>
      </c>
      <c r="C449" s="9" t="s">
        <v>779</v>
      </c>
      <c r="D449" s="5">
        <v>1</v>
      </c>
      <c r="E449" s="9" t="s">
        <v>10156</v>
      </c>
      <c r="F449" s="5">
        <v>3</v>
      </c>
      <c r="G449" s="9" t="s">
        <v>10163</v>
      </c>
      <c r="H449" s="9" t="s">
        <v>10163</v>
      </c>
      <c r="I449" s="5">
        <v>396.36</v>
      </c>
      <c r="J449" s="5">
        <v>309.72000000000003</v>
      </c>
      <c r="K449" s="5">
        <v>739.8</v>
      </c>
      <c r="L449" s="5">
        <v>507.48</v>
      </c>
      <c r="M449" s="9"/>
      <c r="N449" s="9" t="s">
        <v>10159</v>
      </c>
      <c r="O449" s="9" t="s">
        <v>7927</v>
      </c>
      <c r="P449" s="9" t="str">
        <f>HYPERLINK("https://seichotoushi-hojo.jp/assets/pdf/koufu/outline_22.pdf","PDFを開く")</f>
        <v>PDFを開く</v>
      </c>
      <c r="Q449" s="9" t="s">
        <v>783</v>
      </c>
    </row>
    <row r="450" spans="1:17" ht="62.1" customHeight="1">
      <c r="A450" s="2" t="s">
        <v>778</v>
      </c>
      <c r="B450" s="2" t="s">
        <v>73</v>
      </c>
      <c r="C450" s="8" t="s">
        <v>779</v>
      </c>
      <c r="D450" s="2">
        <v>1</v>
      </c>
      <c r="E450" s="8" t="s">
        <v>10156</v>
      </c>
      <c r="F450" s="2">
        <v>4</v>
      </c>
      <c r="G450" s="8" t="s">
        <v>8581</v>
      </c>
      <c r="H450" s="8" t="s">
        <v>8581</v>
      </c>
      <c r="I450" s="2">
        <v>44.52</v>
      </c>
      <c r="J450" s="2">
        <v>426.6</v>
      </c>
      <c r="K450" s="2">
        <v>373.92</v>
      </c>
      <c r="L450" s="2">
        <v>495.84</v>
      </c>
      <c r="M450" s="8"/>
      <c r="N450" s="8" t="s">
        <v>10159</v>
      </c>
      <c r="O450" s="8" t="s">
        <v>781</v>
      </c>
      <c r="P450" s="8" t="str">
        <f>HYPERLINK("https://seichotoushi-hojo.jp/assets/pdf/koufu/outline_22.pdf","PDFを開く")</f>
        <v>PDFを開く</v>
      </c>
      <c r="Q450" s="8" t="s">
        <v>783</v>
      </c>
    </row>
    <row r="451" spans="1:17" ht="62.1" customHeight="1">
      <c r="A451" s="5" t="s">
        <v>784</v>
      </c>
      <c r="B451" s="5" t="s">
        <v>73</v>
      </c>
      <c r="C451" s="9" t="s">
        <v>785</v>
      </c>
      <c r="D451" s="5">
        <v>1</v>
      </c>
      <c r="E451" s="9" t="s">
        <v>10156</v>
      </c>
      <c r="F451" s="5">
        <v>1</v>
      </c>
      <c r="G451" s="9" t="s">
        <v>9578</v>
      </c>
      <c r="H451" s="9" t="s">
        <v>9578</v>
      </c>
      <c r="I451" s="5">
        <v>27.6</v>
      </c>
      <c r="J451" s="5">
        <v>116.28</v>
      </c>
      <c r="K451" s="5">
        <v>415.08</v>
      </c>
      <c r="L451" s="5">
        <v>579.24</v>
      </c>
      <c r="M451" s="9"/>
      <c r="N451" s="9" t="s">
        <v>10159</v>
      </c>
      <c r="O451" s="9" t="s">
        <v>7932</v>
      </c>
      <c r="P451" s="9" t="str">
        <f>HYPERLINK("https://seichotoushi-hojo.jp/assets/pdf/koufu/outline_23.pdf","PDFを開く")</f>
        <v>PDFを開く</v>
      </c>
      <c r="Q451" s="9" t="s">
        <v>791</v>
      </c>
    </row>
    <row r="452" spans="1:17" ht="62.1" customHeight="1">
      <c r="A452" s="2" t="s">
        <v>784</v>
      </c>
      <c r="B452" s="2" t="s">
        <v>73</v>
      </c>
      <c r="C452" s="8" t="s">
        <v>785</v>
      </c>
      <c r="D452" s="2">
        <v>1</v>
      </c>
      <c r="E452" s="8" t="s">
        <v>10156</v>
      </c>
      <c r="F452" s="2">
        <v>2</v>
      </c>
      <c r="G452" s="8" t="s">
        <v>10162</v>
      </c>
      <c r="H452" s="8" t="s">
        <v>10162</v>
      </c>
      <c r="I452" s="2">
        <v>440.16</v>
      </c>
      <c r="J452" s="2">
        <v>126.6</v>
      </c>
      <c r="K452" s="2">
        <v>810.96</v>
      </c>
      <c r="L452" s="2">
        <v>297.48</v>
      </c>
      <c r="M452" s="8"/>
      <c r="N452" s="8" t="s">
        <v>10159</v>
      </c>
      <c r="O452" s="8" t="s">
        <v>7933</v>
      </c>
      <c r="P452" s="8" t="str">
        <f>HYPERLINK("https://seichotoushi-hojo.jp/assets/pdf/koufu/outline_23.pdf","PDFを開く")</f>
        <v>PDFを開く</v>
      </c>
      <c r="Q452" s="8" t="s">
        <v>791</v>
      </c>
    </row>
    <row r="453" spans="1:17" ht="62.1" customHeight="1">
      <c r="A453" s="5" t="s">
        <v>784</v>
      </c>
      <c r="B453" s="5" t="s">
        <v>73</v>
      </c>
      <c r="C453" s="9" t="s">
        <v>785</v>
      </c>
      <c r="D453" s="5">
        <v>1</v>
      </c>
      <c r="E453" s="9" t="s">
        <v>10156</v>
      </c>
      <c r="F453" s="5">
        <v>3</v>
      </c>
      <c r="G453" s="9" t="s">
        <v>10163</v>
      </c>
      <c r="H453" s="9" t="s">
        <v>10163</v>
      </c>
      <c r="I453" s="5">
        <v>440.16</v>
      </c>
      <c r="J453" s="5">
        <v>316.68</v>
      </c>
      <c r="K453" s="5">
        <v>810.96</v>
      </c>
      <c r="L453" s="5">
        <v>579.24</v>
      </c>
      <c r="M453" s="9"/>
      <c r="N453" s="9" t="s">
        <v>10159</v>
      </c>
      <c r="O453" s="9" t="s">
        <v>7934</v>
      </c>
      <c r="P453" s="9" t="str">
        <f>HYPERLINK("https://seichotoushi-hojo.jp/assets/pdf/koufu/outline_23.pdf","PDFを開く")</f>
        <v>PDFを開く</v>
      </c>
      <c r="Q453" s="9" t="s">
        <v>791</v>
      </c>
    </row>
    <row r="454" spans="1:17" ht="62.1" customHeight="1">
      <c r="A454" s="2" t="s">
        <v>784</v>
      </c>
      <c r="B454" s="2" t="s">
        <v>73</v>
      </c>
      <c r="C454" s="8" t="s">
        <v>785</v>
      </c>
      <c r="D454" s="2">
        <v>1</v>
      </c>
      <c r="E454" s="8" t="s">
        <v>10156</v>
      </c>
      <c r="F454" s="2">
        <v>4</v>
      </c>
      <c r="G454" s="8" t="s">
        <v>8581</v>
      </c>
      <c r="H454" s="8" t="s">
        <v>8581</v>
      </c>
      <c r="I454" s="2">
        <v>42.36</v>
      </c>
      <c r="J454" s="2">
        <v>461.04</v>
      </c>
      <c r="K454" s="2">
        <v>402.12</v>
      </c>
      <c r="L454" s="2">
        <v>575.16</v>
      </c>
      <c r="M454" s="8"/>
      <c r="N454" s="8" t="s">
        <v>10159</v>
      </c>
      <c r="O454" s="8" t="s">
        <v>788</v>
      </c>
      <c r="P454" s="8" t="str">
        <f>HYPERLINK("https://seichotoushi-hojo.jp/assets/pdf/koufu/outline_23.pdf","PDFを開く")</f>
        <v>PDFを開く</v>
      </c>
      <c r="Q454" s="8" t="s">
        <v>791</v>
      </c>
    </row>
    <row r="455" spans="1:17" ht="62.1" customHeight="1">
      <c r="A455" s="5" t="s">
        <v>784</v>
      </c>
      <c r="B455" s="5" t="s">
        <v>73</v>
      </c>
      <c r="C455" s="9" t="s">
        <v>785</v>
      </c>
      <c r="D455" s="5">
        <v>2</v>
      </c>
      <c r="E455" s="9" t="s">
        <v>10165</v>
      </c>
      <c r="F455" s="5">
        <v>1</v>
      </c>
      <c r="G455" s="9" t="s">
        <v>10167</v>
      </c>
      <c r="H455" s="9" t="s">
        <v>10352</v>
      </c>
      <c r="I455" s="5">
        <v>136.91999999999999</v>
      </c>
      <c r="J455" s="5">
        <v>436.68</v>
      </c>
      <c r="K455" s="5">
        <v>566.76</v>
      </c>
      <c r="L455" s="5">
        <v>467.16</v>
      </c>
      <c r="M455" s="9"/>
      <c r="N455" s="9" t="s">
        <v>10159</v>
      </c>
      <c r="O455" s="9" t="s">
        <v>10353</v>
      </c>
      <c r="P455" s="9" t="str">
        <f>HYPERLINK("https://seichotoushi-hojo.jp/assets/pdf/koufu/outline_23.pdf","PDFを開く")</f>
        <v>PDFを開く</v>
      </c>
      <c r="Q455" s="9" t="s">
        <v>791</v>
      </c>
    </row>
    <row r="456" spans="1:17" ht="62.1" customHeight="1">
      <c r="A456" s="2" t="s">
        <v>792</v>
      </c>
      <c r="B456" s="2" t="s">
        <v>73</v>
      </c>
      <c r="C456" s="8" t="s">
        <v>793</v>
      </c>
      <c r="D456" s="2">
        <v>1</v>
      </c>
      <c r="E456" s="8" t="s">
        <v>10156</v>
      </c>
      <c r="F456" s="2">
        <v>1</v>
      </c>
      <c r="G456" s="8" t="s">
        <v>9578</v>
      </c>
      <c r="H456" s="8" t="s">
        <v>9578</v>
      </c>
      <c r="I456" s="2">
        <v>35.5</v>
      </c>
      <c r="J456" s="2">
        <v>130.18</v>
      </c>
      <c r="K456" s="2">
        <v>401.5</v>
      </c>
      <c r="L456" s="2">
        <v>578.88</v>
      </c>
      <c r="M456" s="8"/>
      <c r="N456" s="8" t="s">
        <v>10159</v>
      </c>
      <c r="O456" s="8" t="s">
        <v>7939</v>
      </c>
      <c r="P456" s="8" t="str">
        <f>HYPERLINK("https://seichotoushi-hojo.jp/assets/pdf/koufu/outline_24.pdf","PDFを開く")</f>
        <v>PDFを開く</v>
      </c>
      <c r="Q456" s="8" t="s">
        <v>799</v>
      </c>
    </row>
    <row r="457" spans="1:17" ht="62.1" customHeight="1">
      <c r="A457" s="5" t="s">
        <v>792</v>
      </c>
      <c r="B457" s="5" t="s">
        <v>73</v>
      </c>
      <c r="C457" s="9" t="s">
        <v>793</v>
      </c>
      <c r="D457" s="5">
        <v>1</v>
      </c>
      <c r="E457" s="9" t="s">
        <v>10156</v>
      </c>
      <c r="F457" s="5">
        <v>2</v>
      </c>
      <c r="G457" s="9" t="s">
        <v>10162</v>
      </c>
      <c r="H457" s="9" t="s">
        <v>10162</v>
      </c>
      <c r="I457" s="5">
        <v>426.7</v>
      </c>
      <c r="J457" s="5">
        <v>130.18</v>
      </c>
      <c r="K457" s="5">
        <v>797.2</v>
      </c>
      <c r="L457" s="5">
        <v>319.27999999999997</v>
      </c>
      <c r="M457" s="9"/>
      <c r="N457" s="9" t="s">
        <v>10159</v>
      </c>
      <c r="O457" s="9" t="s">
        <v>7940</v>
      </c>
      <c r="P457" s="9" t="str">
        <f>HYPERLINK("https://seichotoushi-hojo.jp/assets/pdf/koufu/outline_24.pdf","PDFを開く")</f>
        <v>PDFを開く</v>
      </c>
      <c r="Q457" s="9" t="s">
        <v>799</v>
      </c>
    </row>
    <row r="458" spans="1:17" ht="62.1" customHeight="1">
      <c r="A458" s="2" t="s">
        <v>792</v>
      </c>
      <c r="B458" s="2" t="s">
        <v>73</v>
      </c>
      <c r="C458" s="8" t="s">
        <v>793</v>
      </c>
      <c r="D458" s="2">
        <v>1</v>
      </c>
      <c r="E458" s="8" t="s">
        <v>10156</v>
      </c>
      <c r="F458" s="2">
        <v>3</v>
      </c>
      <c r="G458" s="8" t="s">
        <v>10163</v>
      </c>
      <c r="H458" s="8" t="s">
        <v>10163</v>
      </c>
      <c r="I458" s="2">
        <v>427.9</v>
      </c>
      <c r="J458" s="2">
        <v>330.98</v>
      </c>
      <c r="K458" s="2">
        <v>798.4</v>
      </c>
      <c r="L458" s="2">
        <v>576.17999999999995</v>
      </c>
      <c r="M458" s="8"/>
      <c r="N458" s="8" t="s">
        <v>10159</v>
      </c>
      <c r="O458" s="8" t="s">
        <v>7941</v>
      </c>
      <c r="P458" s="8" t="str">
        <f>HYPERLINK("https://seichotoushi-hojo.jp/assets/pdf/koufu/outline_24.pdf","PDFを開く")</f>
        <v>PDFを開く</v>
      </c>
      <c r="Q458" s="8" t="s">
        <v>799</v>
      </c>
    </row>
    <row r="459" spans="1:17" ht="62.1" customHeight="1">
      <c r="A459" s="5" t="s">
        <v>792</v>
      </c>
      <c r="B459" s="5" t="s">
        <v>73</v>
      </c>
      <c r="C459" s="9" t="s">
        <v>793</v>
      </c>
      <c r="D459" s="5">
        <v>1</v>
      </c>
      <c r="E459" s="9" t="s">
        <v>10156</v>
      </c>
      <c r="F459" s="5">
        <v>4</v>
      </c>
      <c r="G459" s="9" t="s">
        <v>8581</v>
      </c>
      <c r="H459" s="9" t="s">
        <v>8581</v>
      </c>
      <c r="I459" s="5">
        <v>47.2</v>
      </c>
      <c r="J459" s="5">
        <v>410.48</v>
      </c>
      <c r="K459" s="5">
        <v>391.8</v>
      </c>
      <c r="L459" s="5">
        <v>566.88</v>
      </c>
      <c r="M459" s="9"/>
      <c r="N459" s="9" t="s">
        <v>10159</v>
      </c>
      <c r="O459" s="9" t="s">
        <v>7942</v>
      </c>
      <c r="P459" s="9" t="str">
        <f>HYPERLINK("https://seichotoushi-hojo.jp/assets/pdf/koufu/outline_24.pdf","PDFを開く")</f>
        <v>PDFを開く</v>
      </c>
      <c r="Q459" s="9" t="s">
        <v>799</v>
      </c>
    </row>
    <row r="460" spans="1:17" ht="62.1" customHeight="1">
      <c r="A460" s="2" t="s">
        <v>800</v>
      </c>
      <c r="B460" s="2" t="s">
        <v>73</v>
      </c>
      <c r="C460" s="8" t="s">
        <v>801</v>
      </c>
      <c r="D460" s="2">
        <v>1</v>
      </c>
      <c r="E460" s="8" t="s">
        <v>10156</v>
      </c>
      <c r="F460" s="2">
        <v>1</v>
      </c>
      <c r="G460" s="8" t="s">
        <v>9578</v>
      </c>
      <c r="H460" s="8" t="s">
        <v>9578</v>
      </c>
      <c r="I460" s="2">
        <v>29.91</v>
      </c>
      <c r="J460" s="2">
        <v>106.9</v>
      </c>
      <c r="K460" s="2">
        <v>369.04</v>
      </c>
      <c r="L460" s="2">
        <v>508.46</v>
      </c>
      <c r="M460" s="8"/>
      <c r="N460" s="8" t="s">
        <v>10159</v>
      </c>
      <c r="O460" s="8" t="s">
        <v>7947</v>
      </c>
      <c r="P460" s="8" t="str">
        <f t="shared" ref="P460:P465" si="22">HYPERLINK("https://seichotoushi-hojo.jp/assets/pdf/koufu/outline_25.pdf","PDFを開く")</f>
        <v>PDFを開く</v>
      </c>
      <c r="Q460" s="8" t="s">
        <v>807</v>
      </c>
    </row>
    <row r="461" spans="1:17" ht="62.1" customHeight="1">
      <c r="A461" s="5" t="s">
        <v>800</v>
      </c>
      <c r="B461" s="5" t="s">
        <v>73</v>
      </c>
      <c r="C461" s="9" t="s">
        <v>801</v>
      </c>
      <c r="D461" s="5">
        <v>1</v>
      </c>
      <c r="E461" s="9" t="s">
        <v>10156</v>
      </c>
      <c r="F461" s="5">
        <v>2</v>
      </c>
      <c r="G461" s="9" t="s">
        <v>10162</v>
      </c>
      <c r="H461" s="9" t="s">
        <v>10162</v>
      </c>
      <c r="I461" s="5">
        <v>387.3</v>
      </c>
      <c r="J461" s="5">
        <v>107.84</v>
      </c>
      <c r="K461" s="5">
        <v>730.78</v>
      </c>
      <c r="L461" s="5">
        <v>299.39</v>
      </c>
      <c r="M461" s="9"/>
      <c r="N461" s="9" t="s">
        <v>10159</v>
      </c>
      <c r="O461" s="9" t="s">
        <v>10354</v>
      </c>
      <c r="P461" s="9" t="str">
        <f t="shared" si="22"/>
        <v>PDFを開く</v>
      </c>
      <c r="Q461" s="9" t="s">
        <v>807</v>
      </c>
    </row>
    <row r="462" spans="1:17" ht="62.1" customHeight="1">
      <c r="A462" s="2" t="s">
        <v>800</v>
      </c>
      <c r="B462" s="2" t="s">
        <v>73</v>
      </c>
      <c r="C462" s="8" t="s">
        <v>801</v>
      </c>
      <c r="D462" s="2">
        <v>1</v>
      </c>
      <c r="E462" s="8" t="s">
        <v>10156</v>
      </c>
      <c r="F462" s="2">
        <v>3</v>
      </c>
      <c r="G462" s="8" t="s">
        <v>10162</v>
      </c>
      <c r="H462" s="8" t="s">
        <v>10162</v>
      </c>
      <c r="I462" s="2">
        <v>59.41</v>
      </c>
      <c r="J462" s="2">
        <v>228.23</v>
      </c>
      <c r="K462" s="2">
        <v>401.7</v>
      </c>
      <c r="L462" s="2">
        <v>272.43</v>
      </c>
      <c r="M462" s="8"/>
      <c r="N462" s="8" t="s">
        <v>10181</v>
      </c>
      <c r="O462" s="8" t="s">
        <v>10355</v>
      </c>
      <c r="P462" s="8" t="str">
        <f t="shared" si="22"/>
        <v>PDFを開く</v>
      </c>
      <c r="Q462" s="8" t="s">
        <v>807</v>
      </c>
    </row>
    <row r="463" spans="1:17" ht="62.1" customHeight="1">
      <c r="A463" s="5" t="s">
        <v>800</v>
      </c>
      <c r="B463" s="5" t="s">
        <v>73</v>
      </c>
      <c r="C463" s="9" t="s">
        <v>801</v>
      </c>
      <c r="D463" s="5">
        <v>1</v>
      </c>
      <c r="E463" s="9" t="s">
        <v>10156</v>
      </c>
      <c r="F463" s="5">
        <v>4</v>
      </c>
      <c r="G463" s="9" t="s">
        <v>10163</v>
      </c>
      <c r="H463" s="9" t="s">
        <v>10163</v>
      </c>
      <c r="I463" s="5">
        <v>152.84</v>
      </c>
      <c r="J463" s="5">
        <v>271.43</v>
      </c>
      <c r="K463" s="5">
        <v>401.7</v>
      </c>
      <c r="L463" s="5">
        <v>344.08</v>
      </c>
      <c r="M463" s="9"/>
      <c r="N463" s="9" t="s">
        <v>10181</v>
      </c>
      <c r="O463" s="9" t="s">
        <v>10356</v>
      </c>
      <c r="P463" s="9" t="str">
        <f t="shared" si="22"/>
        <v>PDFを開く</v>
      </c>
      <c r="Q463" s="9" t="s">
        <v>807</v>
      </c>
    </row>
    <row r="464" spans="1:17" ht="62.1" customHeight="1">
      <c r="A464" s="2" t="s">
        <v>800</v>
      </c>
      <c r="B464" s="2" t="s">
        <v>73</v>
      </c>
      <c r="C464" s="8" t="s">
        <v>801</v>
      </c>
      <c r="D464" s="2">
        <v>1</v>
      </c>
      <c r="E464" s="8" t="s">
        <v>10156</v>
      </c>
      <c r="F464" s="2">
        <v>5</v>
      </c>
      <c r="G464" s="8" t="s">
        <v>10163</v>
      </c>
      <c r="H464" s="8" t="s">
        <v>10163</v>
      </c>
      <c r="I464" s="2">
        <v>387.3</v>
      </c>
      <c r="J464" s="2">
        <v>315.98</v>
      </c>
      <c r="K464" s="2">
        <v>730.78</v>
      </c>
      <c r="L464" s="2">
        <v>507.53</v>
      </c>
      <c r="M464" s="8"/>
      <c r="N464" s="8" t="s">
        <v>10159</v>
      </c>
      <c r="O464" s="8" t="s">
        <v>10357</v>
      </c>
      <c r="P464" s="8" t="str">
        <f t="shared" si="22"/>
        <v>PDFを開く</v>
      </c>
      <c r="Q464" s="8" t="s">
        <v>807</v>
      </c>
    </row>
    <row r="465" spans="1:17" ht="62.1" customHeight="1">
      <c r="A465" s="5" t="s">
        <v>800</v>
      </c>
      <c r="B465" s="5" t="s">
        <v>73</v>
      </c>
      <c r="C465" s="9" t="s">
        <v>801</v>
      </c>
      <c r="D465" s="5">
        <v>1</v>
      </c>
      <c r="E465" s="9" t="s">
        <v>10156</v>
      </c>
      <c r="F465" s="5">
        <v>6</v>
      </c>
      <c r="G465" s="9" t="s">
        <v>8581</v>
      </c>
      <c r="H465" s="9" t="s">
        <v>8581</v>
      </c>
      <c r="I465" s="5">
        <v>39.72</v>
      </c>
      <c r="J465" s="5">
        <v>342.68</v>
      </c>
      <c r="K465" s="5">
        <v>359.22</v>
      </c>
      <c r="L465" s="5">
        <v>492.6</v>
      </c>
      <c r="M465" s="9"/>
      <c r="N465" s="9" t="s">
        <v>10159</v>
      </c>
      <c r="O465" s="9" t="s">
        <v>804</v>
      </c>
      <c r="P465" s="9" t="str">
        <f t="shared" si="22"/>
        <v>PDFを開く</v>
      </c>
      <c r="Q465" s="9" t="s">
        <v>807</v>
      </c>
    </row>
    <row r="466" spans="1:17" ht="62.1" customHeight="1">
      <c r="A466" s="2" t="s">
        <v>808</v>
      </c>
      <c r="B466" s="2" t="s">
        <v>73</v>
      </c>
      <c r="C466" s="8" t="s">
        <v>809</v>
      </c>
      <c r="D466" s="2">
        <v>1</v>
      </c>
      <c r="E466" s="8" t="s">
        <v>10156</v>
      </c>
      <c r="F466" s="2">
        <v>1</v>
      </c>
      <c r="G466" s="8" t="s">
        <v>10167</v>
      </c>
      <c r="H466" s="8" t="s">
        <v>10358</v>
      </c>
      <c r="I466" s="2">
        <v>38.159999999999997</v>
      </c>
      <c r="J466" s="2">
        <v>113.64</v>
      </c>
      <c r="K466" s="2">
        <v>798.48</v>
      </c>
      <c r="L466" s="2">
        <v>168.96</v>
      </c>
      <c r="M466" s="8"/>
      <c r="N466" s="8" t="s">
        <v>10159</v>
      </c>
      <c r="O466" s="8" t="s">
        <v>10359</v>
      </c>
      <c r="P466" s="8" t="str">
        <f t="shared" ref="P466:P478" si="23">HYPERLINK("https://seichotoushi-hojo.jp/assets/pdf/koufu/outline_26.pdf","PDFを開く")</f>
        <v>PDFを開く</v>
      </c>
      <c r="Q466" s="8" t="s">
        <v>815</v>
      </c>
    </row>
    <row r="467" spans="1:17" ht="62.1" customHeight="1">
      <c r="A467" s="5" t="s">
        <v>808</v>
      </c>
      <c r="B467" s="5" t="s">
        <v>73</v>
      </c>
      <c r="C467" s="9" t="s">
        <v>809</v>
      </c>
      <c r="D467" s="5">
        <v>1</v>
      </c>
      <c r="E467" s="9" t="s">
        <v>10156</v>
      </c>
      <c r="F467" s="5">
        <v>2</v>
      </c>
      <c r="G467" s="9" t="s">
        <v>10162</v>
      </c>
      <c r="H467" s="9" t="s">
        <v>10162</v>
      </c>
      <c r="I467" s="5">
        <v>427.8</v>
      </c>
      <c r="J467" s="5">
        <v>177.24</v>
      </c>
      <c r="K467" s="5">
        <v>798.48</v>
      </c>
      <c r="L467" s="5">
        <v>354.12</v>
      </c>
      <c r="M467" s="9"/>
      <c r="N467" s="9" t="s">
        <v>10159</v>
      </c>
      <c r="O467" s="9" t="s">
        <v>7955</v>
      </c>
      <c r="P467" s="9" t="str">
        <f t="shared" si="23"/>
        <v>PDFを開く</v>
      </c>
      <c r="Q467" s="9" t="s">
        <v>815</v>
      </c>
    </row>
    <row r="468" spans="1:17" ht="62.1" customHeight="1">
      <c r="A468" s="2" t="s">
        <v>808</v>
      </c>
      <c r="B468" s="2" t="s">
        <v>73</v>
      </c>
      <c r="C468" s="8" t="s">
        <v>809</v>
      </c>
      <c r="D468" s="2">
        <v>1</v>
      </c>
      <c r="E468" s="8" t="s">
        <v>10156</v>
      </c>
      <c r="F468" s="2">
        <v>3</v>
      </c>
      <c r="G468" s="8" t="s">
        <v>9578</v>
      </c>
      <c r="H468" s="8" t="s">
        <v>9578</v>
      </c>
      <c r="I468" s="2">
        <v>40.56</v>
      </c>
      <c r="J468" s="2">
        <v>177.48</v>
      </c>
      <c r="K468" s="2">
        <v>406.56</v>
      </c>
      <c r="L468" s="2">
        <v>574.79999999999995</v>
      </c>
      <c r="M468" s="8"/>
      <c r="N468" s="8" t="s">
        <v>10159</v>
      </c>
      <c r="O468" s="8" t="s">
        <v>7954</v>
      </c>
      <c r="P468" s="8" t="str">
        <f t="shared" si="23"/>
        <v>PDFを開く</v>
      </c>
      <c r="Q468" s="8" t="s">
        <v>815</v>
      </c>
    </row>
    <row r="469" spans="1:17" ht="62.1" customHeight="1">
      <c r="A469" s="5" t="s">
        <v>808</v>
      </c>
      <c r="B469" s="5" t="s">
        <v>73</v>
      </c>
      <c r="C469" s="9" t="s">
        <v>809</v>
      </c>
      <c r="D469" s="5">
        <v>1</v>
      </c>
      <c r="E469" s="9" t="s">
        <v>10156</v>
      </c>
      <c r="F469" s="5">
        <v>4</v>
      </c>
      <c r="G469" s="9" t="s">
        <v>10163</v>
      </c>
      <c r="H469" s="9" t="s">
        <v>10163</v>
      </c>
      <c r="I469" s="5">
        <v>427.8</v>
      </c>
      <c r="J469" s="5">
        <v>360.48</v>
      </c>
      <c r="K469" s="5">
        <v>798.48</v>
      </c>
      <c r="L469" s="5">
        <v>574.79999999999995</v>
      </c>
      <c r="M469" s="9"/>
      <c r="N469" s="9" t="s">
        <v>10159</v>
      </c>
      <c r="O469" s="9" t="s">
        <v>7956</v>
      </c>
      <c r="P469" s="9" t="str">
        <f t="shared" si="23"/>
        <v>PDFを開く</v>
      </c>
      <c r="Q469" s="9" t="s">
        <v>815</v>
      </c>
    </row>
    <row r="470" spans="1:17" ht="62.1" customHeight="1">
      <c r="A470" s="2" t="s">
        <v>808</v>
      </c>
      <c r="B470" s="2" t="s">
        <v>73</v>
      </c>
      <c r="C470" s="8" t="s">
        <v>809</v>
      </c>
      <c r="D470" s="2">
        <v>1</v>
      </c>
      <c r="E470" s="8" t="s">
        <v>10156</v>
      </c>
      <c r="F470" s="2">
        <v>5</v>
      </c>
      <c r="G470" s="8" t="s">
        <v>8581</v>
      </c>
      <c r="H470" s="8" t="s">
        <v>8581</v>
      </c>
      <c r="I470" s="2">
        <v>51.84</v>
      </c>
      <c r="J470" s="2">
        <v>495.12</v>
      </c>
      <c r="K470" s="2">
        <v>396.72</v>
      </c>
      <c r="L470" s="2">
        <v>570.36</v>
      </c>
      <c r="M470" s="8"/>
      <c r="N470" s="8" t="s">
        <v>10159</v>
      </c>
      <c r="O470" s="8" t="s">
        <v>813</v>
      </c>
      <c r="P470" s="8" t="str">
        <f t="shared" si="23"/>
        <v>PDFを開く</v>
      </c>
      <c r="Q470" s="8" t="s">
        <v>815</v>
      </c>
    </row>
    <row r="471" spans="1:17" ht="62.1" customHeight="1">
      <c r="A471" s="5" t="s">
        <v>808</v>
      </c>
      <c r="B471" s="5" t="s">
        <v>73</v>
      </c>
      <c r="C471" s="9" t="s">
        <v>809</v>
      </c>
      <c r="D471" s="5">
        <v>2</v>
      </c>
      <c r="E471" s="9" t="s">
        <v>10165</v>
      </c>
      <c r="F471" s="5">
        <v>1</v>
      </c>
      <c r="G471" s="9" t="s">
        <v>10167</v>
      </c>
      <c r="H471" s="9" t="s">
        <v>10360</v>
      </c>
      <c r="I471" s="5">
        <v>256.56</v>
      </c>
      <c r="J471" s="5">
        <v>191.04</v>
      </c>
      <c r="K471" s="5">
        <v>559.44000000000005</v>
      </c>
      <c r="L471" s="5">
        <v>222.6</v>
      </c>
      <c r="M471" s="9"/>
      <c r="N471" s="9" t="s">
        <v>10159</v>
      </c>
      <c r="O471" s="9" t="s">
        <v>10361</v>
      </c>
      <c r="P471" s="9" t="str">
        <f t="shared" si="23"/>
        <v>PDFを開く</v>
      </c>
      <c r="Q471" s="9" t="s">
        <v>815</v>
      </c>
    </row>
    <row r="472" spans="1:17" ht="62.1" customHeight="1">
      <c r="A472" s="2" t="s">
        <v>808</v>
      </c>
      <c r="B472" s="2" t="s">
        <v>73</v>
      </c>
      <c r="C472" s="8" t="s">
        <v>809</v>
      </c>
      <c r="D472" s="2">
        <v>2</v>
      </c>
      <c r="E472" s="8" t="s">
        <v>10165</v>
      </c>
      <c r="F472" s="2">
        <v>2</v>
      </c>
      <c r="G472" s="8" t="s">
        <v>10167</v>
      </c>
      <c r="H472" s="8" t="s">
        <v>10362</v>
      </c>
      <c r="I472" s="2">
        <v>256.56</v>
      </c>
      <c r="J472" s="2">
        <v>222.6</v>
      </c>
      <c r="K472" s="2">
        <v>559.44000000000005</v>
      </c>
      <c r="L472" s="2">
        <v>254.04</v>
      </c>
      <c r="M472" s="8"/>
      <c r="N472" s="8" t="s">
        <v>10159</v>
      </c>
      <c r="O472" s="8" t="s">
        <v>10363</v>
      </c>
      <c r="P472" s="8" t="str">
        <f t="shared" si="23"/>
        <v>PDFを開く</v>
      </c>
      <c r="Q472" s="8" t="s">
        <v>815</v>
      </c>
    </row>
    <row r="473" spans="1:17" ht="62.1" customHeight="1">
      <c r="A473" s="5" t="s">
        <v>808</v>
      </c>
      <c r="B473" s="5" t="s">
        <v>73</v>
      </c>
      <c r="C473" s="9" t="s">
        <v>809</v>
      </c>
      <c r="D473" s="5">
        <v>2</v>
      </c>
      <c r="E473" s="9" t="s">
        <v>10165</v>
      </c>
      <c r="F473" s="5">
        <v>3</v>
      </c>
      <c r="G473" s="9" t="s">
        <v>10167</v>
      </c>
      <c r="H473" s="9" t="s">
        <v>10364</v>
      </c>
      <c r="I473" s="5">
        <v>256.56</v>
      </c>
      <c r="J473" s="5">
        <v>254.04</v>
      </c>
      <c r="K473" s="5">
        <v>559.44000000000005</v>
      </c>
      <c r="L473" s="5">
        <v>285.60000000000002</v>
      </c>
      <c r="M473" s="9"/>
      <c r="N473" s="9" t="s">
        <v>10159</v>
      </c>
      <c r="O473" s="9" t="s">
        <v>10365</v>
      </c>
      <c r="P473" s="9" t="str">
        <f t="shared" si="23"/>
        <v>PDFを開く</v>
      </c>
      <c r="Q473" s="9" t="s">
        <v>815</v>
      </c>
    </row>
    <row r="474" spans="1:17" ht="62.1" customHeight="1">
      <c r="A474" s="2" t="s">
        <v>808</v>
      </c>
      <c r="B474" s="2" t="s">
        <v>73</v>
      </c>
      <c r="C474" s="8" t="s">
        <v>809</v>
      </c>
      <c r="D474" s="2">
        <v>2</v>
      </c>
      <c r="E474" s="8" t="s">
        <v>10165</v>
      </c>
      <c r="F474" s="2">
        <v>4</v>
      </c>
      <c r="G474" s="8" t="s">
        <v>10167</v>
      </c>
      <c r="H474" s="8" t="s">
        <v>10366</v>
      </c>
      <c r="I474" s="2">
        <v>256.56</v>
      </c>
      <c r="J474" s="2">
        <v>285.60000000000002</v>
      </c>
      <c r="K474" s="2">
        <v>559.44000000000005</v>
      </c>
      <c r="L474" s="2">
        <v>317.16000000000003</v>
      </c>
      <c r="M474" s="8"/>
      <c r="N474" s="8" t="s">
        <v>10159</v>
      </c>
      <c r="O474" s="8" t="s">
        <v>10367</v>
      </c>
      <c r="P474" s="8" t="str">
        <f t="shared" si="23"/>
        <v>PDFを開く</v>
      </c>
      <c r="Q474" s="8" t="s">
        <v>815</v>
      </c>
    </row>
    <row r="475" spans="1:17" ht="62.1" customHeight="1">
      <c r="A475" s="5" t="s">
        <v>808</v>
      </c>
      <c r="B475" s="5" t="s">
        <v>73</v>
      </c>
      <c r="C475" s="9" t="s">
        <v>809</v>
      </c>
      <c r="D475" s="5">
        <v>2</v>
      </c>
      <c r="E475" s="9" t="s">
        <v>10165</v>
      </c>
      <c r="F475" s="5">
        <v>5</v>
      </c>
      <c r="G475" s="9" t="s">
        <v>10167</v>
      </c>
      <c r="H475" s="9" t="s">
        <v>10368</v>
      </c>
      <c r="I475" s="5">
        <v>256.56</v>
      </c>
      <c r="J475" s="5">
        <v>317.16000000000003</v>
      </c>
      <c r="K475" s="5">
        <v>559.44000000000005</v>
      </c>
      <c r="L475" s="5">
        <v>348.6</v>
      </c>
      <c r="M475" s="9"/>
      <c r="N475" s="9" t="s">
        <v>10159</v>
      </c>
      <c r="O475" s="9" t="s">
        <v>10369</v>
      </c>
      <c r="P475" s="9" t="str">
        <f t="shared" si="23"/>
        <v>PDFを開く</v>
      </c>
      <c r="Q475" s="9" t="s">
        <v>815</v>
      </c>
    </row>
    <row r="476" spans="1:17" ht="62.1" customHeight="1">
      <c r="A476" s="2" t="s">
        <v>808</v>
      </c>
      <c r="B476" s="2" t="s">
        <v>73</v>
      </c>
      <c r="C476" s="8" t="s">
        <v>809</v>
      </c>
      <c r="D476" s="2">
        <v>2</v>
      </c>
      <c r="E476" s="8" t="s">
        <v>10165</v>
      </c>
      <c r="F476" s="2">
        <v>6</v>
      </c>
      <c r="G476" s="8" t="s">
        <v>10167</v>
      </c>
      <c r="H476" s="8" t="s">
        <v>10370</v>
      </c>
      <c r="I476" s="2">
        <v>256.56</v>
      </c>
      <c r="J476" s="2">
        <v>348.6</v>
      </c>
      <c r="K476" s="2">
        <v>559.44000000000005</v>
      </c>
      <c r="L476" s="2">
        <v>380.16</v>
      </c>
      <c r="M476" s="8"/>
      <c r="N476" s="8" t="s">
        <v>10159</v>
      </c>
      <c r="O476" s="8" t="s">
        <v>10371</v>
      </c>
      <c r="P476" s="8" t="str">
        <f t="shared" si="23"/>
        <v>PDFを開く</v>
      </c>
      <c r="Q476" s="8" t="s">
        <v>815</v>
      </c>
    </row>
    <row r="477" spans="1:17" ht="62.1" customHeight="1">
      <c r="A477" s="5" t="s">
        <v>808</v>
      </c>
      <c r="B477" s="5" t="s">
        <v>73</v>
      </c>
      <c r="C477" s="9" t="s">
        <v>809</v>
      </c>
      <c r="D477" s="5">
        <v>2</v>
      </c>
      <c r="E477" s="9" t="s">
        <v>10165</v>
      </c>
      <c r="F477" s="5">
        <v>7</v>
      </c>
      <c r="G477" s="9" t="s">
        <v>10167</v>
      </c>
      <c r="H477" s="9" t="s">
        <v>10372</v>
      </c>
      <c r="I477" s="5">
        <v>256.56</v>
      </c>
      <c r="J477" s="5">
        <v>380.16</v>
      </c>
      <c r="K477" s="5">
        <v>559.44000000000005</v>
      </c>
      <c r="L477" s="5">
        <v>411.6</v>
      </c>
      <c r="M477" s="9"/>
      <c r="N477" s="9" t="s">
        <v>10159</v>
      </c>
      <c r="O477" s="9" t="s">
        <v>10373</v>
      </c>
      <c r="P477" s="9" t="str">
        <f t="shared" si="23"/>
        <v>PDFを開く</v>
      </c>
      <c r="Q477" s="9" t="s">
        <v>815</v>
      </c>
    </row>
    <row r="478" spans="1:17" ht="62.1" customHeight="1">
      <c r="A478" s="2" t="s">
        <v>808</v>
      </c>
      <c r="B478" s="2" t="s">
        <v>73</v>
      </c>
      <c r="C478" s="8" t="s">
        <v>809</v>
      </c>
      <c r="D478" s="2">
        <v>2</v>
      </c>
      <c r="E478" s="8" t="s">
        <v>10165</v>
      </c>
      <c r="F478" s="2">
        <v>8</v>
      </c>
      <c r="G478" s="8" t="s">
        <v>10167</v>
      </c>
      <c r="H478" s="8" t="s">
        <v>10374</v>
      </c>
      <c r="I478" s="2">
        <v>256.56</v>
      </c>
      <c r="J478" s="2">
        <v>411.6</v>
      </c>
      <c r="K478" s="2">
        <v>559.44000000000005</v>
      </c>
      <c r="L478" s="2">
        <v>443.16</v>
      </c>
      <c r="M478" s="8"/>
      <c r="N478" s="8" t="s">
        <v>10159</v>
      </c>
      <c r="O478" s="8" t="s">
        <v>10374</v>
      </c>
      <c r="P478" s="8" t="str">
        <f t="shared" si="23"/>
        <v>PDFを開く</v>
      </c>
      <c r="Q478" s="8" t="s">
        <v>815</v>
      </c>
    </row>
    <row r="479" spans="1:17" ht="62.1" customHeight="1">
      <c r="A479" s="5" t="s">
        <v>816</v>
      </c>
      <c r="B479" s="5" t="s">
        <v>73</v>
      </c>
      <c r="C479" s="9" t="s">
        <v>817</v>
      </c>
      <c r="D479" s="5">
        <v>1</v>
      </c>
      <c r="E479" s="9" t="s">
        <v>10156</v>
      </c>
      <c r="F479" s="5">
        <v>1</v>
      </c>
      <c r="G479" s="9" t="s">
        <v>10167</v>
      </c>
      <c r="H479" s="9" t="s">
        <v>10212</v>
      </c>
      <c r="I479" s="5">
        <v>40.200000000000003</v>
      </c>
      <c r="J479" s="5">
        <v>99.48</v>
      </c>
      <c r="K479" s="5">
        <v>739.8</v>
      </c>
      <c r="L479" s="5">
        <v>156</v>
      </c>
      <c r="M479" s="9"/>
      <c r="N479" s="9" t="s">
        <v>10159</v>
      </c>
      <c r="O479" s="9" t="s">
        <v>10375</v>
      </c>
      <c r="P479" s="9" t="str">
        <f>HYPERLINK("https://seichotoushi-hojo.jp/assets/pdf/koufu/outline_27.pdf","PDFを開く")</f>
        <v>PDFを開く</v>
      </c>
      <c r="Q479" s="9" t="s">
        <v>824</v>
      </c>
    </row>
    <row r="480" spans="1:17" ht="62.1" customHeight="1">
      <c r="A480" s="2" t="s">
        <v>816</v>
      </c>
      <c r="B480" s="2" t="s">
        <v>73</v>
      </c>
      <c r="C480" s="8" t="s">
        <v>817</v>
      </c>
      <c r="D480" s="2">
        <v>1</v>
      </c>
      <c r="E480" s="8" t="s">
        <v>10156</v>
      </c>
      <c r="F480" s="2">
        <v>2</v>
      </c>
      <c r="G480" s="8" t="s">
        <v>10162</v>
      </c>
      <c r="H480" s="8" t="s">
        <v>10162</v>
      </c>
      <c r="I480" s="2">
        <v>396.33</v>
      </c>
      <c r="J480" s="2">
        <v>157.35</v>
      </c>
      <c r="K480" s="2">
        <v>757.29</v>
      </c>
      <c r="L480" s="2">
        <v>336.81</v>
      </c>
      <c r="M480" s="8"/>
      <c r="N480" s="8" t="s">
        <v>10159</v>
      </c>
      <c r="O480" s="8" t="s">
        <v>7963</v>
      </c>
      <c r="P480" s="8" t="str">
        <f>HYPERLINK("https://seichotoushi-hojo.jp/assets/pdf/koufu/outline_27.pdf","PDFを開く")</f>
        <v>PDFを開く</v>
      </c>
      <c r="Q480" s="8" t="s">
        <v>824</v>
      </c>
    </row>
    <row r="481" spans="1:17" ht="62.1" customHeight="1">
      <c r="A481" s="5" t="s">
        <v>816</v>
      </c>
      <c r="B481" s="5" t="s">
        <v>73</v>
      </c>
      <c r="C481" s="9" t="s">
        <v>817</v>
      </c>
      <c r="D481" s="5">
        <v>1</v>
      </c>
      <c r="E481" s="9" t="s">
        <v>10156</v>
      </c>
      <c r="F481" s="5">
        <v>3</v>
      </c>
      <c r="G481" s="9" t="s">
        <v>9578</v>
      </c>
      <c r="H481" s="9" t="s">
        <v>9578</v>
      </c>
      <c r="I481" s="5">
        <v>38.159999999999997</v>
      </c>
      <c r="J481" s="5">
        <v>172.32</v>
      </c>
      <c r="K481" s="5">
        <v>377.34</v>
      </c>
      <c r="L481" s="5">
        <v>530.1</v>
      </c>
      <c r="M481" s="9"/>
      <c r="N481" s="9" t="s">
        <v>10159</v>
      </c>
      <c r="O481" s="9" t="s">
        <v>7962</v>
      </c>
      <c r="P481" s="9" t="str">
        <f>HYPERLINK("https://seichotoushi-hojo.jp/assets/pdf/koufu/outline_27.pdf","PDFを開く")</f>
        <v>PDFを開く</v>
      </c>
      <c r="Q481" s="9" t="s">
        <v>824</v>
      </c>
    </row>
    <row r="482" spans="1:17" ht="62.1" customHeight="1">
      <c r="A482" s="2" t="s">
        <v>816</v>
      </c>
      <c r="B482" s="2" t="s">
        <v>73</v>
      </c>
      <c r="C482" s="8" t="s">
        <v>817</v>
      </c>
      <c r="D482" s="2">
        <v>1</v>
      </c>
      <c r="E482" s="8" t="s">
        <v>10156</v>
      </c>
      <c r="F482" s="2">
        <v>4</v>
      </c>
      <c r="G482" s="8" t="s">
        <v>10163</v>
      </c>
      <c r="H482" s="8" t="s">
        <v>10163</v>
      </c>
      <c r="I482" s="2">
        <v>396.33</v>
      </c>
      <c r="J482" s="2">
        <v>341.43</v>
      </c>
      <c r="K482" s="2">
        <v>757.29</v>
      </c>
      <c r="L482" s="2">
        <v>520.95000000000005</v>
      </c>
      <c r="M482" s="8"/>
      <c r="N482" s="8" t="s">
        <v>10159</v>
      </c>
      <c r="O482" s="8" t="s">
        <v>7964</v>
      </c>
      <c r="P482" s="8" t="str">
        <f>HYPERLINK("https://seichotoushi-hojo.jp/assets/pdf/koufu/outline_27.pdf","PDFを開く")</f>
        <v>PDFを開く</v>
      </c>
      <c r="Q482" s="8" t="s">
        <v>824</v>
      </c>
    </row>
    <row r="483" spans="1:17" ht="62.1" customHeight="1">
      <c r="A483" s="5" t="s">
        <v>816</v>
      </c>
      <c r="B483" s="5" t="s">
        <v>73</v>
      </c>
      <c r="C483" s="9" t="s">
        <v>817</v>
      </c>
      <c r="D483" s="5">
        <v>2</v>
      </c>
      <c r="E483" s="9" t="s">
        <v>10165</v>
      </c>
      <c r="F483" s="5">
        <v>1</v>
      </c>
      <c r="G483" s="9" t="s">
        <v>10157</v>
      </c>
      <c r="H483" s="9" t="s">
        <v>10157</v>
      </c>
      <c r="I483" s="5">
        <v>12.48</v>
      </c>
      <c r="J483" s="5">
        <v>66.959999999999994</v>
      </c>
      <c r="K483" s="5">
        <v>764.76</v>
      </c>
      <c r="L483" s="5">
        <v>117.72</v>
      </c>
      <c r="M483" s="9"/>
      <c r="N483" s="9" t="s">
        <v>10159</v>
      </c>
      <c r="O483" s="9" t="s">
        <v>7961</v>
      </c>
      <c r="P483" s="9" t="str">
        <f>HYPERLINK("https://seichotoushi-hojo.jp/assets/pdf/koufu/outline_27.pdf","PDFを開く")</f>
        <v>PDFを開く</v>
      </c>
      <c r="Q483" s="9" t="s">
        <v>824</v>
      </c>
    </row>
    <row r="484" spans="1:17" ht="62.1" customHeight="1">
      <c r="A484" s="2" t="s">
        <v>825</v>
      </c>
      <c r="B484" s="2" t="s">
        <v>73</v>
      </c>
      <c r="C484" s="8" t="s">
        <v>826</v>
      </c>
      <c r="D484" s="2">
        <v>1</v>
      </c>
      <c r="E484" s="8" t="s">
        <v>10156</v>
      </c>
      <c r="F484" s="2">
        <v>1</v>
      </c>
      <c r="G484" s="8" t="s">
        <v>10162</v>
      </c>
      <c r="H484" s="8" t="s">
        <v>10162</v>
      </c>
      <c r="I484" s="2">
        <v>396.3</v>
      </c>
      <c r="J484" s="2">
        <v>113.11</v>
      </c>
      <c r="K484" s="2">
        <v>739.78</v>
      </c>
      <c r="L484" s="2">
        <v>309.3</v>
      </c>
      <c r="M484" s="8"/>
      <c r="N484" s="8" t="s">
        <v>10159</v>
      </c>
      <c r="O484" s="8" t="s">
        <v>7970</v>
      </c>
      <c r="P484" s="8" t="str">
        <f>HYPERLINK("https://seichotoushi-hojo.jp/assets/pdf/koufu/outline_28.pdf","PDFを開く")</f>
        <v>PDFを開く</v>
      </c>
      <c r="Q484" s="8" t="s">
        <v>831</v>
      </c>
    </row>
    <row r="485" spans="1:17" ht="62.1" customHeight="1">
      <c r="A485" s="5" t="s">
        <v>825</v>
      </c>
      <c r="B485" s="5" t="s">
        <v>73</v>
      </c>
      <c r="C485" s="9" t="s">
        <v>826</v>
      </c>
      <c r="D485" s="5">
        <v>1</v>
      </c>
      <c r="E485" s="9" t="s">
        <v>10156</v>
      </c>
      <c r="F485" s="5">
        <v>2</v>
      </c>
      <c r="G485" s="9" t="s">
        <v>9578</v>
      </c>
      <c r="H485" s="9" t="s">
        <v>9578</v>
      </c>
      <c r="I485" s="5">
        <v>21</v>
      </c>
      <c r="J485" s="5">
        <v>113.12</v>
      </c>
      <c r="K485" s="5">
        <v>360.13</v>
      </c>
      <c r="L485" s="5">
        <v>534.32000000000005</v>
      </c>
      <c r="M485" s="9"/>
      <c r="N485" s="9" t="s">
        <v>10159</v>
      </c>
      <c r="O485" s="9" t="s">
        <v>7969</v>
      </c>
      <c r="P485" s="9" t="str">
        <f>HYPERLINK("https://seichotoushi-hojo.jp/assets/pdf/koufu/outline_28.pdf","PDFを開く")</f>
        <v>PDFを開く</v>
      </c>
      <c r="Q485" s="9" t="s">
        <v>831</v>
      </c>
    </row>
    <row r="486" spans="1:17" ht="62.1" customHeight="1">
      <c r="A486" s="2" t="s">
        <v>825</v>
      </c>
      <c r="B486" s="2" t="s">
        <v>73</v>
      </c>
      <c r="C486" s="8" t="s">
        <v>826</v>
      </c>
      <c r="D486" s="2">
        <v>1</v>
      </c>
      <c r="E486" s="8" t="s">
        <v>10156</v>
      </c>
      <c r="F486" s="2">
        <v>3</v>
      </c>
      <c r="G486" s="8" t="s">
        <v>10163</v>
      </c>
      <c r="H486" s="8" t="s">
        <v>10163</v>
      </c>
      <c r="I486" s="2">
        <v>396.3</v>
      </c>
      <c r="J486" s="2">
        <v>324.52999999999997</v>
      </c>
      <c r="K486" s="2">
        <v>739.78</v>
      </c>
      <c r="L486" s="2">
        <v>527.72</v>
      </c>
      <c r="M486" s="8"/>
      <c r="N486" s="8" t="s">
        <v>10159</v>
      </c>
      <c r="O486" s="8" t="s">
        <v>7971</v>
      </c>
      <c r="P486" s="8" t="str">
        <f>HYPERLINK("https://seichotoushi-hojo.jp/assets/pdf/koufu/outline_28.pdf","PDFを開く")</f>
        <v>PDFを開く</v>
      </c>
      <c r="Q486" s="8" t="s">
        <v>831</v>
      </c>
    </row>
    <row r="487" spans="1:17" ht="62.1" customHeight="1">
      <c r="A487" s="5" t="s">
        <v>825</v>
      </c>
      <c r="B487" s="5" t="s">
        <v>73</v>
      </c>
      <c r="C487" s="9" t="s">
        <v>826</v>
      </c>
      <c r="D487" s="5">
        <v>1</v>
      </c>
      <c r="E487" s="9" t="s">
        <v>10156</v>
      </c>
      <c r="F487" s="5">
        <v>4</v>
      </c>
      <c r="G487" s="9" t="s">
        <v>8581</v>
      </c>
      <c r="H487" s="9" t="s">
        <v>8581</v>
      </c>
      <c r="I487" s="5">
        <v>26.32</v>
      </c>
      <c r="J487" s="5">
        <v>451.75</v>
      </c>
      <c r="K487" s="5">
        <v>355.62</v>
      </c>
      <c r="L487" s="5">
        <v>527.72</v>
      </c>
      <c r="M487" s="9"/>
      <c r="N487" s="9" t="s">
        <v>10159</v>
      </c>
      <c r="O487" s="9" t="s">
        <v>829</v>
      </c>
      <c r="P487" s="9" t="str">
        <f>HYPERLINK("https://seichotoushi-hojo.jp/assets/pdf/koufu/outline_28.pdf","PDFを開く")</f>
        <v>PDFを開く</v>
      </c>
      <c r="Q487" s="9" t="s">
        <v>831</v>
      </c>
    </row>
    <row r="488" spans="1:17" ht="62.1" customHeight="1">
      <c r="A488" s="2" t="s">
        <v>832</v>
      </c>
      <c r="B488" s="2" t="s">
        <v>73</v>
      </c>
      <c r="C488" s="8" t="s">
        <v>833</v>
      </c>
      <c r="D488" s="2">
        <v>1</v>
      </c>
      <c r="E488" s="8" t="s">
        <v>10156</v>
      </c>
      <c r="F488" s="2">
        <v>1</v>
      </c>
      <c r="G488" s="8" t="s">
        <v>9578</v>
      </c>
      <c r="H488" s="8" t="s">
        <v>9578</v>
      </c>
      <c r="I488" s="2">
        <v>27.6</v>
      </c>
      <c r="J488" s="2">
        <v>101.4</v>
      </c>
      <c r="K488" s="2">
        <v>371.04</v>
      </c>
      <c r="L488" s="2">
        <v>530.4</v>
      </c>
      <c r="M488" s="8"/>
      <c r="N488" s="8" t="s">
        <v>10159</v>
      </c>
      <c r="O488" s="8" t="s">
        <v>7976</v>
      </c>
      <c r="P488" s="8" t="str">
        <f>HYPERLINK("https://seichotoushi-hojo.jp/assets/pdf/koufu/outline_29.pdf","PDFを開く")</f>
        <v>PDFを開く</v>
      </c>
      <c r="Q488" s="8" t="s">
        <v>838</v>
      </c>
    </row>
    <row r="489" spans="1:17" ht="62.1" customHeight="1">
      <c r="A489" s="5" t="s">
        <v>832</v>
      </c>
      <c r="B489" s="5" t="s">
        <v>73</v>
      </c>
      <c r="C489" s="9" t="s">
        <v>833</v>
      </c>
      <c r="D489" s="5">
        <v>1</v>
      </c>
      <c r="E489" s="9" t="s">
        <v>10156</v>
      </c>
      <c r="F489" s="5">
        <v>2</v>
      </c>
      <c r="G489" s="9" t="s">
        <v>10162</v>
      </c>
      <c r="H489" s="9" t="s">
        <v>10162</v>
      </c>
      <c r="I489" s="5">
        <v>396.36</v>
      </c>
      <c r="J489" s="5">
        <v>102.48</v>
      </c>
      <c r="K489" s="5">
        <v>752.4</v>
      </c>
      <c r="L489" s="5">
        <v>298.08</v>
      </c>
      <c r="M489" s="9"/>
      <c r="N489" s="9" t="s">
        <v>10159</v>
      </c>
      <c r="O489" s="9" t="s">
        <v>7977</v>
      </c>
      <c r="P489" s="9" t="str">
        <f>HYPERLINK("https://seichotoushi-hojo.jp/assets/pdf/koufu/outline_29.pdf","PDFを開く")</f>
        <v>PDFを開く</v>
      </c>
      <c r="Q489" s="9" t="s">
        <v>838</v>
      </c>
    </row>
    <row r="490" spans="1:17" ht="62.1" customHeight="1">
      <c r="A490" s="2" t="s">
        <v>832</v>
      </c>
      <c r="B490" s="2" t="s">
        <v>73</v>
      </c>
      <c r="C490" s="8" t="s">
        <v>833</v>
      </c>
      <c r="D490" s="2">
        <v>1</v>
      </c>
      <c r="E490" s="8" t="s">
        <v>10156</v>
      </c>
      <c r="F490" s="2">
        <v>3</v>
      </c>
      <c r="G490" s="8" t="s">
        <v>10163</v>
      </c>
      <c r="H490" s="8" t="s">
        <v>10163</v>
      </c>
      <c r="I490" s="2">
        <v>396.36</v>
      </c>
      <c r="J490" s="2">
        <v>312.60000000000002</v>
      </c>
      <c r="K490" s="2">
        <v>752.4</v>
      </c>
      <c r="L490" s="2">
        <v>524.88</v>
      </c>
      <c r="M490" s="8"/>
      <c r="N490" s="8" t="s">
        <v>10159</v>
      </c>
      <c r="O490" s="8" t="s">
        <v>7978</v>
      </c>
      <c r="P490" s="8" t="str">
        <f>HYPERLINK("https://seichotoushi-hojo.jp/assets/pdf/koufu/outline_29.pdf","PDFを開く")</f>
        <v>PDFを開く</v>
      </c>
      <c r="Q490" s="8" t="s">
        <v>838</v>
      </c>
    </row>
    <row r="491" spans="1:17" ht="62.1" customHeight="1">
      <c r="A491" s="5" t="s">
        <v>832</v>
      </c>
      <c r="B491" s="5" t="s">
        <v>73</v>
      </c>
      <c r="C491" s="9" t="s">
        <v>833</v>
      </c>
      <c r="D491" s="5">
        <v>1</v>
      </c>
      <c r="E491" s="9" t="s">
        <v>10156</v>
      </c>
      <c r="F491" s="5">
        <v>4</v>
      </c>
      <c r="G491" s="9" t="s">
        <v>8581</v>
      </c>
      <c r="H491" s="9" t="s">
        <v>8581</v>
      </c>
      <c r="I491" s="5">
        <v>42.12</v>
      </c>
      <c r="J491" s="5">
        <v>330</v>
      </c>
      <c r="K491" s="5">
        <v>361.68</v>
      </c>
      <c r="L491" s="5">
        <v>445.68</v>
      </c>
      <c r="M491" s="9"/>
      <c r="N491" s="9" t="s">
        <v>10159</v>
      </c>
      <c r="O491" s="9" t="s">
        <v>836</v>
      </c>
      <c r="P491" s="9" t="str">
        <f>HYPERLINK("https://seichotoushi-hojo.jp/assets/pdf/koufu/outline_29.pdf","PDFを開く")</f>
        <v>PDFを開く</v>
      </c>
      <c r="Q491" s="9" t="s">
        <v>838</v>
      </c>
    </row>
    <row r="492" spans="1:17" ht="62.1" customHeight="1">
      <c r="A492" s="2" t="s">
        <v>832</v>
      </c>
      <c r="B492" s="2" t="s">
        <v>73</v>
      </c>
      <c r="C492" s="8" t="s">
        <v>833</v>
      </c>
      <c r="D492" s="2">
        <v>3</v>
      </c>
      <c r="E492" s="8" t="s">
        <v>10165</v>
      </c>
      <c r="F492" s="2">
        <v>1</v>
      </c>
      <c r="G492" s="8" t="s">
        <v>10184</v>
      </c>
      <c r="H492" s="8" t="s">
        <v>10184</v>
      </c>
      <c r="I492" s="2">
        <v>208.63</v>
      </c>
      <c r="J492" s="2">
        <v>48.85</v>
      </c>
      <c r="K492" s="2">
        <v>401.7</v>
      </c>
      <c r="L492" s="2">
        <v>244.25</v>
      </c>
      <c r="M492" s="8"/>
      <c r="N492" s="8" t="s">
        <v>10181</v>
      </c>
      <c r="O492" s="8" t="s">
        <v>10376</v>
      </c>
      <c r="P492" s="8" t="str">
        <f>HYPERLINK("https://seichotoushi-hojo.jp/assets/pdf/koufu/outline_29.pdf","PDFを開く")</f>
        <v>PDFを開く</v>
      </c>
      <c r="Q492" s="8" t="s">
        <v>838</v>
      </c>
    </row>
    <row r="493" spans="1:17" ht="62.1" customHeight="1">
      <c r="A493" s="5" t="s">
        <v>839</v>
      </c>
      <c r="B493" s="5" t="s">
        <v>73</v>
      </c>
      <c r="C493" s="9" t="s">
        <v>840</v>
      </c>
      <c r="D493" s="5">
        <v>1</v>
      </c>
      <c r="E493" s="9" t="s">
        <v>10156</v>
      </c>
      <c r="F493" s="5">
        <v>1</v>
      </c>
      <c r="G493" s="9" t="s">
        <v>10167</v>
      </c>
      <c r="H493" s="9" t="s">
        <v>10212</v>
      </c>
      <c r="I493" s="5">
        <v>24.6</v>
      </c>
      <c r="J493" s="5">
        <v>97.44</v>
      </c>
      <c r="K493" s="5">
        <v>703.08</v>
      </c>
      <c r="L493" s="5">
        <v>154.08000000000001</v>
      </c>
      <c r="M493" s="9"/>
      <c r="N493" s="9" t="s">
        <v>10159</v>
      </c>
      <c r="O493" s="9" t="s">
        <v>10377</v>
      </c>
      <c r="P493" s="9" t="str">
        <f t="shared" ref="P493:P498" si="24">HYPERLINK("https://seichotoushi-hojo.jp/assets/pdf/koufu/outline_3.pdf","PDFを開く")</f>
        <v>PDFを開く</v>
      </c>
      <c r="Q493" s="9" t="s">
        <v>846</v>
      </c>
    </row>
    <row r="494" spans="1:17" ht="62.1" customHeight="1">
      <c r="A494" s="2" t="s">
        <v>839</v>
      </c>
      <c r="B494" s="2" t="s">
        <v>73</v>
      </c>
      <c r="C494" s="8" t="s">
        <v>840</v>
      </c>
      <c r="D494" s="2">
        <v>1</v>
      </c>
      <c r="E494" s="8" t="s">
        <v>10156</v>
      </c>
      <c r="F494" s="2">
        <v>2</v>
      </c>
      <c r="G494" s="8" t="s">
        <v>10162</v>
      </c>
      <c r="H494" s="8" t="s">
        <v>10162</v>
      </c>
      <c r="I494" s="2">
        <v>396.96</v>
      </c>
      <c r="J494" s="2">
        <v>156.6</v>
      </c>
      <c r="K494" s="2">
        <v>755.4</v>
      </c>
      <c r="L494" s="2">
        <v>377.04</v>
      </c>
      <c r="M494" s="8"/>
      <c r="N494" s="8" t="s">
        <v>10159</v>
      </c>
      <c r="O494" s="8" t="s">
        <v>7985</v>
      </c>
      <c r="P494" s="8" t="str">
        <f t="shared" si="24"/>
        <v>PDFを開く</v>
      </c>
      <c r="Q494" s="8" t="s">
        <v>846</v>
      </c>
    </row>
    <row r="495" spans="1:17" ht="62.1" customHeight="1">
      <c r="A495" s="5" t="s">
        <v>839</v>
      </c>
      <c r="B495" s="5" t="s">
        <v>73</v>
      </c>
      <c r="C495" s="9" t="s">
        <v>840</v>
      </c>
      <c r="D495" s="5">
        <v>1</v>
      </c>
      <c r="E495" s="9" t="s">
        <v>10156</v>
      </c>
      <c r="F495" s="5">
        <v>3</v>
      </c>
      <c r="G495" s="9" t="s">
        <v>9578</v>
      </c>
      <c r="H495" s="9" t="s">
        <v>9578</v>
      </c>
      <c r="I495" s="5">
        <v>24.6</v>
      </c>
      <c r="J495" s="5">
        <v>158.76</v>
      </c>
      <c r="K495" s="5">
        <v>370.56</v>
      </c>
      <c r="L495" s="5">
        <v>535.44000000000005</v>
      </c>
      <c r="M495" s="9"/>
      <c r="N495" s="9" t="s">
        <v>10159</v>
      </c>
      <c r="O495" s="9" t="s">
        <v>7984</v>
      </c>
      <c r="P495" s="9" t="str">
        <f t="shared" si="24"/>
        <v>PDFを開く</v>
      </c>
      <c r="Q495" s="9" t="s">
        <v>846</v>
      </c>
    </row>
    <row r="496" spans="1:17" ht="62.1" customHeight="1">
      <c r="A496" s="2" t="s">
        <v>839</v>
      </c>
      <c r="B496" s="2" t="s">
        <v>73</v>
      </c>
      <c r="C496" s="8" t="s">
        <v>840</v>
      </c>
      <c r="D496" s="2">
        <v>1</v>
      </c>
      <c r="E496" s="8" t="s">
        <v>10156</v>
      </c>
      <c r="F496" s="2">
        <v>4</v>
      </c>
      <c r="G496" s="8" t="s">
        <v>10163</v>
      </c>
      <c r="H496" s="8" t="s">
        <v>10163</v>
      </c>
      <c r="I496" s="2">
        <v>396.36</v>
      </c>
      <c r="J496" s="2">
        <v>380.28</v>
      </c>
      <c r="K496" s="2">
        <v>754.8</v>
      </c>
      <c r="L496" s="2">
        <v>535.44000000000005</v>
      </c>
      <c r="M496" s="8"/>
      <c r="N496" s="8" t="s">
        <v>10159</v>
      </c>
      <c r="O496" s="8" t="s">
        <v>7986</v>
      </c>
      <c r="P496" s="8" t="str">
        <f t="shared" si="24"/>
        <v>PDFを開く</v>
      </c>
      <c r="Q496" s="8" t="s">
        <v>846</v>
      </c>
    </row>
    <row r="497" spans="1:17" ht="62.1" customHeight="1">
      <c r="A497" s="5" t="s">
        <v>839</v>
      </c>
      <c r="B497" s="5" t="s">
        <v>73</v>
      </c>
      <c r="C497" s="9" t="s">
        <v>840</v>
      </c>
      <c r="D497" s="5">
        <v>1</v>
      </c>
      <c r="E497" s="9" t="s">
        <v>10156</v>
      </c>
      <c r="F497" s="5">
        <v>5</v>
      </c>
      <c r="G497" s="9" t="s">
        <v>8581</v>
      </c>
      <c r="H497" s="9" t="s">
        <v>8581</v>
      </c>
      <c r="I497" s="5">
        <v>42.48</v>
      </c>
      <c r="J497" s="5">
        <v>392.52</v>
      </c>
      <c r="K497" s="5">
        <v>359.88</v>
      </c>
      <c r="L497" s="5">
        <v>502.56</v>
      </c>
      <c r="M497" s="9"/>
      <c r="N497" s="9" t="s">
        <v>10159</v>
      </c>
      <c r="O497" s="9" t="s">
        <v>844</v>
      </c>
      <c r="P497" s="9" t="str">
        <f t="shared" si="24"/>
        <v>PDFを開く</v>
      </c>
      <c r="Q497" s="9" t="s">
        <v>846</v>
      </c>
    </row>
    <row r="498" spans="1:17" ht="62.1" customHeight="1">
      <c r="A498" s="2" t="s">
        <v>839</v>
      </c>
      <c r="B498" s="2" t="s">
        <v>73</v>
      </c>
      <c r="C498" s="8" t="s">
        <v>840</v>
      </c>
      <c r="D498" s="2">
        <v>2</v>
      </c>
      <c r="E498" s="8" t="s">
        <v>10165</v>
      </c>
      <c r="F498" s="2">
        <v>1</v>
      </c>
      <c r="G498" s="8" t="s">
        <v>10157</v>
      </c>
      <c r="H498" s="8" t="s">
        <v>10157</v>
      </c>
      <c r="I498" s="2">
        <v>40.56</v>
      </c>
      <c r="J498" s="2">
        <v>95.88</v>
      </c>
      <c r="K498" s="2">
        <v>740.04</v>
      </c>
      <c r="L498" s="2">
        <v>135.12</v>
      </c>
      <c r="M498" s="8"/>
      <c r="N498" s="8" t="s">
        <v>10159</v>
      </c>
      <c r="O498" s="8" t="s">
        <v>7983</v>
      </c>
      <c r="P498" s="8" t="str">
        <f t="shared" si="24"/>
        <v>PDFを開く</v>
      </c>
      <c r="Q498" s="8" t="s">
        <v>846</v>
      </c>
    </row>
    <row r="499" spans="1:17" ht="62.1" customHeight="1">
      <c r="A499" s="5" t="s">
        <v>847</v>
      </c>
      <c r="B499" s="5" t="s">
        <v>73</v>
      </c>
      <c r="C499" s="9" t="s">
        <v>848</v>
      </c>
      <c r="D499" s="5">
        <v>1</v>
      </c>
      <c r="E499" s="9" t="s">
        <v>10156</v>
      </c>
      <c r="F499" s="5">
        <v>1</v>
      </c>
      <c r="G499" s="9" t="s">
        <v>8581</v>
      </c>
      <c r="H499" s="9" t="s">
        <v>8581</v>
      </c>
      <c r="I499" s="5">
        <v>28.34</v>
      </c>
      <c r="J499" s="5">
        <v>58.17</v>
      </c>
      <c r="K499" s="5">
        <v>401.7</v>
      </c>
      <c r="L499" s="5">
        <v>119.21</v>
      </c>
      <c r="M499" s="9"/>
      <c r="N499" s="9" t="s">
        <v>10181</v>
      </c>
      <c r="O499" s="9" t="s">
        <v>10378</v>
      </c>
      <c r="P499" s="9" t="str">
        <f t="shared" ref="P499:P506" si="25">HYPERLINK("https://seichotoushi-hojo.jp/assets/pdf/koufu/outline_30.pdf","PDFを開く")</f>
        <v>PDFを開く</v>
      </c>
      <c r="Q499" s="9" t="s">
        <v>855</v>
      </c>
    </row>
    <row r="500" spans="1:17" ht="62.1" customHeight="1">
      <c r="A500" s="2" t="s">
        <v>847</v>
      </c>
      <c r="B500" s="2" t="s">
        <v>73</v>
      </c>
      <c r="C500" s="8" t="s">
        <v>848</v>
      </c>
      <c r="D500" s="2">
        <v>1</v>
      </c>
      <c r="E500" s="8" t="s">
        <v>10156</v>
      </c>
      <c r="F500" s="2">
        <v>2</v>
      </c>
      <c r="G500" s="8" t="s">
        <v>9578</v>
      </c>
      <c r="H500" s="8" t="s">
        <v>9578</v>
      </c>
      <c r="I500" s="2">
        <v>5.7</v>
      </c>
      <c r="J500" s="2">
        <v>117.84</v>
      </c>
      <c r="K500" s="2">
        <v>363.66</v>
      </c>
      <c r="L500" s="2">
        <v>515.28</v>
      </c>
      <c r="M500" s="8"/>
      <c r="N500" s="8" t="s">
        <v>10159</v>
      </c>
      <c r="O500" s="8" t="s">
        <v>7991</v>
      </c>
      <c r="P500" s="8" t="str">
        <f t="shared" si="25"/>
        <v>PDFを開く</v>
      </c>
      <c r="Q500" s="8" t="s">
        <v>855</v>
      </c>
    </row>
    <row r="501" spans="1:17" ht="62.1" customHeight="1">
      <c r="A501" s="5" t="s">
        <v>847</v>
      </c>
      <c r="B501" s="5" t="s">
        <v>73</v>
      </c>
      <c r="C501" s="9" t="s">
        <v>848</v>
      </c>
      <c r="D501" s="5">
        <v>1</v>
      </c>
      <c r="E501" s="9" t="s">
        <v>10156</v>
      </c>
      <c r="F501" s="5">
        <v>3</v>
      </c>
      <c r="G501" s="9" t="s">
        <v>10162</v>
      </c>
      <c r="H501" s="9" t="s">
        <v>10162</v>
      </c>
      <c r="I501" s="5">
        <v>387.93</v>
      </c>
      <c r="J501" s="5">
        <v>122.19</v>
      </c>
      <c r="K501" s="5">
        <v>774.33</v>
      </c>
      <c r="L501" s="5">
        <v>316.95</v>
      </c>
      <c r="M501" s="9"/>
      <c r="N501" s="9" t="s">
        <v>10159</v>
      </c>
      <c r="O501" s="9" t="s">
        <v>7992</v>
      </c>
      <c r="P501" s="9" t="str">
        <f t="shared" si="25"/>
        <v>PDFを開く</v>
      </c>
      <c r="Q501" s="9" t="s">
        <v>855</v>
      </c>
    </row>
    <row r="502" spans="1:17" ht="62.1" customHeight="1">
      <c r="A502" s="2" t="s">
        <v>847</v>
      </c>
      <c r="B502" s="2" t="s">
        <v>73</v>
      </c>
      <c r="C502" s="8" t="s">
        <v>848</v>
      </c>
      <c r="D502" s="2">
        <v>1</v>
      </c>
      <c r="E502" s="8" t="s">
        <v>10156</v>
      </c>
      <c r="F502" s="2">
        <v>4</v>
      </c>
      <c r="G502" s="8" t="s">
        <v>10163</v>
      </c>
      <c r="H502" s="8" t="s">
        <v>10163</v>
      </c>
      <c r="I502" s="2">
        <v>387.93</v>
      </c>
      <c r="J502" s="2">
        <v>325.41000000000003</v>
      </c>
      <c r="K502" s="2">
        <v>774.33</v>
      </c>
      <c r="L502" s="2">
        <v>513.21</v>
      </c>
      <c r="M502" s="8"/>
      <c r="N502" s="8" t="s">
        <v>10159</v>
      </c>
      <c r="O502" s="8" t="s">
        <v>7993</v>
      </c>
      <c r="P502" s="8" t="str">
        <f t="shared" si="25"/>
        <v>PDFを開く</v>
      </c>
      <c r="Q502" s="8" t="s">
        <v>855</v>
      </c>
    </row>
    <row r="503" spans="1:17" ht="62.1" customHeight="1">
      <c r="A503" s="5" t="s">
        <v>847</v>
      </c>
      <c r="B503" s="5" t="s">
        <v>73</v>
      </c>
      <c r="C503" s="9" t="s">
        <v>848</v>
      </c>
      <c r="D503" s="5">
        <v>1</v>
      </c>
      <c r="E503" s="9" t="s">
        <v>10156</v>
      </c>
      <c r="F503" s="5">
        <v>5</v>
      </c>
      <c r="G503" s="9" t="s">
        <v>8581</v>
      </c>
      <c r="H503" s="9" t="s">
        <v>8581</v>
      </c>
      <c r="I503" s="5">
        <v>23.34</v>
      </c>
      <c r="J503" s="5">
        <v>443.16</v>
      </c>
      <c r="K503" s="5">
        <v>342.84</v>
      </c>
      <c r="L503" s="5">
        <v>499.74</v>
      </c>
      <c r="M503" s="9"/>
      <c r="N503" s="9" t="s">
        <v>10159</v>
      </c>
      <c r="O503" s="9" t="s">
        <v>853</v>
      </c>
      <c r="P503" s="9" t="str">
        <f t="shared" si="25"/>
        <v>PDFを開く</v>
      </c>
      <c r="Q503" s="9" t="s">
        <v>855</v>
      </c>
    </row>
    <row r="504" spans="1:17" ht="62.1" customHeight="1">
      <c r="A504" s="2" t="s">
        <v>847</v>
      </c>
      <c r="B504" s="2" t="s">
        <v>73</v>
      </c>
      <c r="C504" s="8" t="s">
        <v>848</v>
      </c>
      <c r="D504" s="2">
        <v>2</v>
      </c>
      <c r="E504" s="8" t="s">
        <v>10165</v>
      </c>
      <c r="F504" s="2">
        <v>1</v>
      </c>
      <c r="G504" s="8" t="s">
        <v>10167</v>
      </c>
      <c r="H504" s="8" t="s">
        <v>10379</v>
      </c>
      <c r="I504" s="2">
        <v>3.84</v>
      </c>
      <c r="J504" s="2">
        <v>108.96</v>
      </c>
      <c r="K504" s="2">
        <v>490.44</v>
      </c>
      <c r="L504" s="2">
        <v>153</v>
      </c>
      <c r="M504" s="8"/>
      <c r="N504" s="8" t="s">
        <v>10159</v>
      </c>
      <c r="O504" s="8" t="s">
        <v>10380</v>
      </c>
      <c r="P504" s="8" t="str">
        <f t="shared" si="25"/>
        <v>PDFを開く</v>
      </c>
      <c r="Q504" s="8" t="s">
        <v>855</v>
      </c>
    </row>
    <row r="505" spans="1:17" ht="62.1" customHeight="1">
      <c r="A505" s="5" t="s">
        <v>847</v>
      </c>
      <c r="B505" s="5" t="s">
        <v>73</v>
      </c>
      <c r="C505" s="9" t="s">
        <v>848</v>
      </c>
      <c r="D505" s="5">
        <v>2</v>
      </c>
      <c r="E505" s="9" t="s">
        <v>10165</v>
      </c>
      <c r="F505" s="5">
        <v>2</v>
      </c>
      <c r="G505" s="9" t="s">
        <v>10184</v>
      </c>
      <c r="H505" s="9" t="s">
        <v>10184</v>
      </c>
      <c r="I505" s="5">
        <v>490.44</v>
      </c>
      <c r="J505" s="5">
        <v>108.96</v>
      </c>
      <c r="K505" s="5">
        <v>836.64</v>
      </c>
      <c r="L505" s="5">
        <v>153</v>
      </c>
      <c r="M505" s="9"/>
      <c r="N505" s="9" t="s">
        <v>10159</v>
      </c>
      <c r="O505" s="9" t="s">
        <v>10381</v>
      </c>
      <c r="P505" s="9" t="str">
        <f t="shared" si="25"/>
        <v>PDFを開く</v>
      </c>
      <c r="Q505" s="9" t="s">
        <v>855</v>
      </c>
    </row>
    <row r="506" spans="1:17" ht="62.1" customHeight="1">
      <c r="A506" s="2" t="s">
        <v>847</v>
      </c>
      <c r="B506" s="2" t="s">
        <v>73</v>
      </c>
      <c r="C506" s="8" t="s">
        <v>848</v>
      </c>
      <c r="D506" s="2">
        <v>2</v>
      </c>
      <c r="E506" s="8" t="s">
        <v>10165</v>
      </c>
      <c r="F506" s="2">
        <v>3</v>
      </c>
      <c r="G506" s="8" t="s">
        <v>10167</v>
      </c>
      <c r="H506" s="8" t="s">
        <v>10382</v>
      </c>
      <c r="I506" s="2">
        <v>235.2</v>
      </c>
      <c r="J506" s="2">
        <v>508.08</v>
      </c>
      <c r="K506" s="2">
        <v>505.2</v>
      </c>
      <c r="L506" s="2">
        <v>589.08000000000004</v>
      </c>
      <c r="M506" s="8"/>
      <c r="N506" s="8" t="s">
        <v>10159</v>
      </c>
      <c r="O506" s="8" t="s">
        <v>10383</v>
      </c>
      <c r="P506" s="8" t="str">
        <f t="shared" si="25"/>
        <v>PDFを開く</v>
      </c>
      <c r="Q506" s="8" t="s">
        <v>855</v>
      </c>
    </row>
    <row r="507" spans="1:17" ht="62.1" customHeight="1">
      <c r="A507" s="5" t="s">
        <v>856</v>
      </c>
      <c r="B507" s="5" t="s">
        <v>73</v>
      </c>
      <c r="C507" s="9" t="s">
        <v>857</v>
      </c>
      <c r="D507" s="5">
        <v>1</v>
      </c>
      <c r="E507" s="9" t="s">
        <v>10156</v>
      </c>
      <c r="F507" s="5">
        <v>1</v>
      </c>
      <c r="G507" s="9" t="s">
        <v>10167</v>
      </c>
      <c r="H507" s="9" t="s">
        <v>10384</v>
      </c>
      <c r="I507" s="5">
        <v>40.5</v>
      </c>
      <c r="J507" s="5">
        <v>99.75</v>
      </c>
      <c r="K507" s="5">
        <v>739.5</v>
      </c>
      <c r="L507" s="5">
        <v>156</v>
      </c>
      <c r="M507" s="9"/>
      <c r="N507" s="9" t="s">
        <v>10159</v>
      </c>
      <c r="O507" s="9" t="s">
        <v>10384</v>
      </c>
      <c r="P507" s="9" t="str">
        <f t="shared" ref="P507:P512" si="26">HYPERLINK("https://seichotoushi-hojo.jp/assets/pdf/koufu/outline_31.pdf","PDFを開く")</f>
        <v>PDFを開く</v>
      </c>
      <c r="Q507" s="9" t="s">
        <v>863</v>
      </c>
    </row>
    <row r="508" spans="1:17" ht="62.1" customHeight="1">
      <c r="A508" s="2" t="s">
        <v>856</v>
      </c>
      <c r="B508" s="2" t="s">
        <v>73</v>
      </c>
      <c r="C508" s="8" t="s">
        <v>857</v>
      </c>
      <c r="D508" s="2">
        <v>1</v>
      </c>
      <c r="E508" s="8" t="s">
        <v>10156</v>
      </c>
      <c r="F508" s="2">
        <v>2</v>
      </c>
      <c r="G508" s="8" t="s">
        <v>9578</v>
      </c>
      <c r="H508" s="8" t="s">
        <v>9578</v>
      </c>
      <c r="I508" s="2">
        <v>39.75</v>
      </c>
      <c r="J508" s="2">
        <v>168</v>
      </c>
      <c r="K508" s="2">
        <v>378.75</v>
      </c>
      <c r="L508" s="2">
        <v>499.5</v>
      </c>
      <c r="M508" s="8"/>
      <c r="N508" s="8" t="s">
        <v>10159</v>
      </c>
      <c r="O508" s="8" t="s">
        <v>7999</v>
      </c>
      <c r="P508" s="8" t="str">
        <f t="shared" si="26"/>
        <v>PDFを開く</v>
      </c>
      <c r="Q508" s="8" t="s">
        <v>863</v>
      </c>
    </row>
    <row r="509" spans="1:17" ht="62.1" customHeight="1">
      <c r="A509" s="5" t="s">
        <v>856</v>
      </c>
      <c r="B509" s="5" t="s">
        <v>73</v>
      </c>
      <c r="C509" s="9" t="s">
        <v>857</v>
      </c>
      <c r="D509" s="5">
        <v>1</v>
      </c>
      <c r="E509" s="9" t="s">
        <v>10156</v>
      </c>
      <c r="F509" s="5">
        <v>3</v>
      </c>
      <c r="G509" s="9" t="s">
        <v>10162</v>
      </c>
      <c r="H509" s="9" t="s">
        <v>10162</v>
      </c>
      <c r="I509" s="5">
        <v>396.38</v>
      </c>
      <c r="J509" s="5">
        <v>170.63</v>
      </c>
      <c r="K509" s="5">
        <v>748.88</v>
      </c>
      <c r="L509" s="5">
        <v>328.88</v>
      </c>
      <c r="M509" s="9"/>
      <c r="N509" s="9" t="s">
        <v>10159</v>
      </c>
      <c r="O509" s="9" t="s">
        <v>8000</v>
      </c>
      <c r="P509" s="9" t="str">
        <f t="shared" si="26"/>
        <v>PDFを開く</v>
      </c>
      <c r="Q509" s="9" t="s">
        <v>863</v>
      </c>
    </row>
    <row r="510" spans="1:17" ht="62.1" customHeight="1">
      <c r="A510" s="2" t="s">
        <v>856</v>
      </c>
      <c r="B510" s="2" t="s">
        <v>73</v>
      </c>
      <c r="C510" s="8" t="s">
        <v>857</v>
      </c>
      <c r="D510" s="2">
        <v>1</v>
      </c>
      <c r="E510" s="8" t="s">
        <v>10156</v>
      </c>
      <c r="F510" s="2">
        <v>4</v>
      </c>
      <c r="G510" s="8" t="s">
        <v>10163</v>
      </c>
      <c r="H510" s="8" t="s">
        <v>10163</v>
      </c>
      <c r="I510" s="2">
        <v>396.38</v>
      </c>
      <c r="J510" s="2">
        <v>341.62</v>
      </c>
      <c r="K510" s="2">
        <v>748.88</v>
      </c>
      <c r="L510" s="2">
        <v>499.88</v>
      </c>
      <c r="M510" s="8"/>
      <c r="N510" s="8" t="s">
        <v>10159</v>
      </c>
      <c r="O510" s="8" t="s">
        <v>8001</v>
      </c>
      <c r="P510" s="8" t="str">
        <f t="shared" si="26"/>
        <v>PDFを開く</v>
      </c>
      <c r="Q510" s="8" t="s">
        <v>863</v>
      </c>
    </row>
    <row r="511" spans="1:17" ht="62.1" customHeight="1">
      <c r="A511" s="5" t="s">
        <v>856</v>
      </c>
      <c r="B511" s="5" t="s">
        <v>73</v>
      </c>
      <c r="C511" s="9" t="s">
        <v>857</v>
      </c>
      <c r="D511" s="5">
        <v>1</v>
      </c>
      <c r="E511" s="9" t="s">
        <v>10156</v>
      </c>
      <c r="F511" s="5">
        <v>5</v>
      </c>
      <c r="G511" s="9" t="s">
        <v>8581</v>
      </c>
      <c r="H511" s="9" t="s">
        <v>8581</v>
      </c>
      <c r="I511" s="5">
        <v>48</v>
      </c>
      <c r="J511" s="5">
        <v>371.25</v>
      </c>
      <c r="K511" s="5">
        <v>367.5</v>
      </c>
      <c r="L511" s="5">
        <v>486.75</v>
      </c>
      <c r="M511" s="9"/>
      <c r="N511" s="9" t="s">
        <v>10159</v>
      </c>
      <c r="O511" s="9" t="s">
        <v>861</v>
      </c>
      <c r="P511" s="9" t="str">
        <f t="shared" si="26"/>
        <v>PDFを開く</v>
      </c>
      <c r="Q511" s="9" t="s">
        <v>863</v>
      </c>
    </row>
    <row r="512" spans="1:17" ht="62.1" customHeight="1">
      <c r="A512" s="2" t="s">
        <v>856</v>
      </c>
      <c r="B512" s="2" t="s">
        <v>73</v>
      </c>
      <c r="C512" s="8" t="s">
        <v>857</v>
      </c>
      <c r="D512" s="2">
        <v>2</v>
      </c>
      <c r="E512" s="8" t="s">
        <v>10165</v>
      </c>
      <c r="F512" s="2">
        <v>1</v>
      </c>
      <c r="G512" s="8" t="s">
        <v>10184</v>
      </c>
      <c r="H512" s="8" t="s">
        <v>10184</v>
      </c>
      <c r="I512" s="2">
        <v>118.1</v>
      </c>
      <c r="J512" s="2">
        <v>170.04</v>
      </c>
      <c r="K512" s="2">
        <v>401.7</v>
      </c>
      <c r="L512" s="2">
        <v>365.44</v>
      </c>
      <c r="M512" s="8"/>
      <c r="N512" s="8" t="s">
        <v>10181</v>
      </c>
      <c r="O512" s="8" t="s">
        <v>10385</v>
      </c>
      <c r="P512" s="8" t="str">
        <f t="shared" si="26"/>
        <v>PDFを開く</v>
      </c>
      <c r="Q512" s="8" t="s">
        <v>863</v>
      </c>
    </row>
    <row r="513" spans="1:17" ht="62.1" customHeight="1">
      <c r="A513" s="5" t="s">
        <v>864</v>
      </c>
      <c r="B513" s="5" t="s">
        <v>73</v>
      </c>
      <c r="C513" s="9" t="s">
        <v>865</v>
      </c>
      <c r="D513" s="5">
        <v>1</v>
      </c>
      <c r="E513" s="9" t="s">
        <v>10156</v>
      </c>
      <c r="F513" s="5">
        <v>1</v>
      </c>
      <c r="G513" s="9" t="s">
        <v>9578</v>
      </c>
      <c r="H513" s="9" t="s">
        <v>9578</v>
      </c>
      <c r="I513" s="5">
        <v>38.409999999999997</v>
      </c>
      <c r="J513" s="5">
        <v>95.93</v>
      </c>
      <c r="K513" s="5">
        <v>377.54</v>
      </c>
      <c r="L513" s="5">
        <v>486.64</v>
      </c>
      <c r="M513" s="9"/>
      <c r="N513" s="9" t="s">
        <v>10159</v>
      </c>
      <c r="O513" s="9" t="s">
        <v>8006</v>
      </c>
      <c r="P513" s="9" t="str">
        <f>HYPERLINK("https://seichotoushi-hojo.jp/assets/pdf/koufu/outline_32.pdf","PDFを開く")</f>
        <v>PDFを開く</v>
      </c>
      <c r="Q513" s="9" t="s">
        <v>871</v>
      </c>
    </row>
    <row r="514" spans="1:17" ht="62.1" customHeight="1">
      <c r="A514" s="2" t="s">
        <v>864</v>
      </c>
      <c r="B514" s="2" t="s">
        <v>73</v>
      </c>
      <c r="C514" s="8" t="s">
        <v>865</v>
      </c>
      <c r="D514" s="2">
        <v>1</v>
      </c>
      <c r="E514" s="8" t="s">
        <v>10156</v>
      </c>
      <c r="F514" s="2">
        <v>2</v>
      </c>
      <c r="G514" s="8" t="s">
        <v>10162</v>
      </c>
      <c r="H514" s="8" t="s">
        <v>10162</v>
      </c>
      <c r="I514" s="2">
        <v>398.63</v>
      </c>
      <c r="J514" s="2">
        <v>95.93</v>
      </c>
      <c r="K514" s="2">
        <v>742.11</v>
      </c>
      <c r="L514" s="2">
        <v>308.08</v>
      </c>
      <c r="M514" s="8"/>
      <c r="N514" s="8" t="s">
        <v>10159</v>
      </c>
      <c r="O514" s="8" t="s">
        <v>8007</v>
      </c>
      <c r="P514" s="8" t="str">
        <f>HYPERLINK("https://seichotoushi-hojo.jp/assets/pdf/koufu/outline_32.pdf","PDFを開く")</f>
        <v>PDFを開く</v>
      </c>
      <c r="Q514" s="8" t="s">
        <v>871</v>
      </c>
    </row>
    <row r="515" spans="1:17" ht="62.1" customHeight="1">
      <c r="A515" s="5" t="s">
        <v>864</v>
      </c>
      <c r="B515" s="5" t="s">
        <v>73</v>
      </c>
      <c r="C515" s="9" t="s">
        <v>865</v>
      </c>
      <c r="D515" s="5">
        <v>1</v>
      </c>
      <c r="E515" s="9" t="s">
        <v>10156</v>
      </c>
      <c r="F515" s="5">
        <v>3</v>
      </c>
      <c r="G515" s="9" t="s">
        <v>10163</v>
      </c>
      <c r="H515" s="9" t="s">
        <v>10163</v>
      </c>
      <c r="I515" s="5">
        <v>396.3</v>
      </c>
      <c r="J515" s="5">
        <v>316.16000000000003</v>
      </c>
      <c r="K515" s="5">
        <v>742.83</v>
      </c>
      <c r="L515" s="5">
        <v>536.35</v>
      </c>
      <c r="M515" s="9"/>
      <c r="N515" s="9" t="s">
        <v>10159</v>
      </c>
      <c r="O515" s="9" t="s">
        <v>8008</v>
      </c>
      <c r="P515" s="9" t="str">
        <f>HYPERLINK("https://seichotoushi-hojo.jp/assets/pdf/koufu/outline_32.pdf","PDFを開く")</f>
        <v>PDFを開く</v>
      </c>
      <c r="Q515" s="9" t="s">
        <v>871</v>
      </c>
    </row>
    <row r="516" spans="1:17" ht="62.1" customHeight="1">
      <c r="A516" s="2" t="s">
        <v>864</v>
      </c>
      <c r="B516" s="2" t="s">
        <v>73</v>
      </c>
      <c r="C516" s="8" t="s">
        <v>865</v>
      </c>
      <c r="D516" s="2">
        <v>1</v>
      </c>
      <c r="E516" s="8" t="s">
        <v>10156</v>
      </c>
      <c r="F516" s="2">
        <v>4</v>
      </c>
      <c r="G516" s="8" t="s">
        <v>8581</v>
      </c>
      <c r="H516" s="8" t="s">
        <v>8581</v>
      </c>
      <c r="I516" s="2">
        <v>38.409999999999997</v>
      </c>
      <c r="J516" s="2">
        <v>424.34</v>
      </c>
      <c r="K516" s="2">
        <v>376.97</v>
      </c>
      <c r="L516" s="2">
        <v>536.35</v>
      </c>
      <c r="M516" s="8"/>
      <c r="N516" s="8" t="s">
        <v>10159</v>
      </c>
      <c r="O516" s="8" t="s">
        <v>868</v>
      </c>
      <c r="P516" s="8" t="str">
        <f>HYPERLINK("https://seichotoushi-hojo.jp/assets/pdf/koufu/outline_32.pdf","PDFを開く")</f>
        <v>PDFを開く</v>
      </c>
      <c r="Q516" s="8" t="s">
        <v>871</v>
      </c>
    </row>
    <row r="517" spans="1:17" ht="62.1" customHeight="1">
      <c r="A517" s="5" t="s">
        <v>872</v>
      </c>
      <c r="B517" s="5" t="s">
        <v>73</v>
      </c>
      <c r="C517" s="9" t="s">
        <v>873</v>
      </c>
      <c r="D517" s="5">
        <v>1</v>
      </c>
      <c r="E517" s="9" t="s">
        <v>10156</v>
      </c>
      <c r="F517" s="5">
        <v>1</v>
      </c>
      <c r="G517" s="9" t="s">
        <v>10162</v>
      </c>
      <c r="H517" s="9" t="s">
        <v>10162</v>
      </c>
      <c r="I517" s="5">
        <v>396.3</v>
      </c>
      <c r="J517" s="5">
        <v>114.33</v>
      </c>
      <c r="K517" s="5">
        <v>739.78</v>
      </c>
      <c r="L517" s="5">
        <v>293.58999999999997</v>
      </c>
      <c r="M517" s="9"/>
      <c r="N517" s="9" t="s">
        <v>10159</v>
      </c>
      <c r="O517" s="9" t="s">
        <v>8014</v>
      </c>
      <c r="P517" s="9" t="str">
        <f>HYPERLINK("https://seichotoushi-hojo.jp/assets/pdf/koufu/outline_33.pdf","PDFを開く")</f>
        <v>PDFを開く</v>
      </c>
      <c r="Q517" s="9" t="s">
        <v>878</v>
      </c>
    </row>
    <row r="518" spans="1:17" ht="62.1" customHeight="1">
      <c r="A518" s="2" t="s">
        <v>872</v>
      </c>
      <c r="B518" s="2" t="s">
        <v>73</v>
      </c>
      <c r="C518" s="8" t="s">
        <v>873</v>
      </c>
      <c r="D518" s="2">
        <v>1</v>
      </c>
      <c r="E518" s="8" t="s">
        <v>10156</v>
      </c>
      <c r="F518" s="2">
        <v>2</v>
      </c>
      <c r="G518" s="8" t="s">
        <v>9578</v>
      </c>
      <c r="H518" s="8" t="s">
        <v>9578</v>
      </c>
      <c r="I518" s="2">
        <v>39.659999999999997</v>
      </c>
      <c r="J518" s="2">
        <v>114.83</v>
      </c>
      <c r="K518" s="2">
        <v>378.79</v>
      </c>
      <c r="L518" s="2">
        <v>499.73</v>
      </c>
      <c r="M518" s="8"/>
      <c r="N518" s="8" t="s">
        <v>10159</v>
      </c>
      <c r="O518" s="8" t="s">
        <v>8013</v>
      </c>
      <c r="P518" s="8" t="str">
        <f>HYPERLINK("https://seichotoushi-hojo.jp/assets/pdf/koufu/outline_33.pdf","PDFを開く")</f>
        <v>PDFを開く</v>
      </c>
      <c r="Q518" s="8" t="s">
        <v>878</v>
      </c>
    </row>
    <row r="519" spans="1:17" ht="62.1" customHeight="1">
      <c r="A519" s="5" t="s">
        <v>872</v>
      </c>
      <c r="B519" s="5" t="s">
        <v>73</v>
      </c>
      <c r="C519" s="9" t="s">
        <v>873</v>
      </c>
      <c r="D519" s="5">
        <v>1</v>
      </c>
      <c r="E519" s="9" t="s">
        <v>10156</v>
      </c>
      <c r="F519" s="5">
        <v>3</v>
      </c>
      <c r="G519" s="9" t="s">
        <v>10163</v>
      </c>
      <c r="H519" s="9" t="s">
        <v>10163</v>
      </c>
      <c r="I519" s="5">
        <v>396.3</v>
      </c>
      <c r="J519" s="5">
        <v>313.88</v>
      </c>
      <c r="K519" s="5">
        <v>739.78</v>
      </c>
      <c r="L519" s="5">
        <v>497.43</v>
      </c>
      <c r="M519" s="9"/>
      <c r="N519" s="9" t="s">
        <v>10159</v>
      </c>
      <c r="O519" s="9" t="s">
        <v>8015</v>
      </c>
      <c r="P519" s="9" t="str">
        <f>HYPERLINK("https://seichotoushi-hojo.jp/assets/pdf/koufu/outline_33.pdf","PDFを開く")</f>
        <v>PDFを開く</v>
      </c>
      <c r="Q519" s="9" t="s">
        <v>878</v>
      </c>
    </row>
    <row r="520" spans="1:17" ht="62.1" customHeight="1">
      <c r="A520" s="2" t="s">
        <v>872</v>
      </c>
      <c r="B520" s="2" t="s">
        <v>73</v>
      </c>
      <c r="C520" s="8" t="s">
        <v>873</v>
      </c>
      <c r="D520" s="2">
        <v>1</v>
      </c>
      <c r="E520" s="8" t="s">
        <v>10156</v>
      </c>
      <c r="F520" s="2">
        <v>4</v>
      </c>
      <c r="G520" s="8" t="s">
        <v>8581</v>
      </c>
      <c r="H520" s="8" t="s">
        <v>8581</v>
      </c>
      <c r="I520" s="2">
        <v>49.39</v>
      </c>
      <c r="J520" s="2">
        <v>349.6</v>
      </c>
      <c r="K520" s="2">
        <v>368.89</v>
      </c>
      <c r="L520" s="2">
        <v>480.07</v>
      </c>
      <c r="M520" s="8"/>
      <c r="N520" s="8" t="s">
        <v>10159</v>
      </c>
      <c r="O520" s="8" t="s">
        <v>876</v>
      </c>
      <c r="P520" s="8" t="str">
        <f>HYPERLINK("https://seichotoushi-hojo.jp/assets/pdf/koufu/outline_33.pdf","PDFを開く")</f>
        <v>PDFを開く</v>
      </c>
      <c r="Q520" s="8" t="s">
        <v>878</v>
      </c>
    </row>
    <row r="521" spans="1:17" ht="62.1" customHeight="1">
      <c r="A521" s="5" t="s">
        <v>879</v>
      </c>
      <c r="B521" s="5" t="s">
        <v>73</v>
      </c>
      <c r="C521" s="9" t="s">
        <v>880</v>
      </c>
      <c r="D521" s="5">
        <v>1</v>
      </c>
      <c r="E521" s="9" t="s">
        <v>10156</v>
      </c>
      <c r="F521" s="5">
        <v>1</v>
      </c>
      <c r="G521" s="9" t="s">
        <v>10162</v>
      </c>
      <c r="H521" s="9" t="s">
        <v>10162</v>
      </c>
      <c r="I521" s="5">
        <v>396.98</v>
      </c>
      <c r="J521" s="5">
        <v>94.78</v>
      </c>
      <c r="K521" s="5">
        <v>740.46</v>
      </c>
      <c r="L521" s="5">
        <v>324.25</v>
      </c>
      <c r="M521" s="9"/>
      <c r="N521" s="9" t="s">
        <v>10159</v>
      </c>
      <c r="O521" s="9" t="s">
        <v>8021</v>
      </c>
      <c r="P521" s="9" t="str">
        <f t="shared" ref="P521:P526" si="27">HYPERLINK("https://seichotoushi-hojo.jp/assets/pdf/koufu/outline_34.pdf","PDFを開く")</f>
        <v>PDFを開く</v>
      </c>
      <c r="Q521" s="9" t="s">
        <v>886</v>
      </c>
    </row>
    <row r="522" spans="1:17" ht="62.1" customHeight="1">
      <c r="A522" s="2" t="s">
        <v>879</v>
      </c>
      <c r="B522" s="2" t="s">
        <v>73</v>
      </c>
      <c r="C522" s="8" t="s">
        <v>880</v>
      </c>
      <c r="D522" s="2">
        <v>1</v>
      </c>
      <c r="E522" s="8" t="s">
        <v>10156</v>
      </c>
      <c r="F522" s="2">
        <v>2</v>
      </c>
      <c r="G522" s="8" t="s">
        <v>9578</v>
      </c>
      <c r="H522" s="8" t="s">
        <v>9578</v>
      </c>
      <c r="I522" s="2">
        <v>39.770000000000003</v>
      </c>
      <c r="J522" s="2">
        <v>95.22</v>
      </c>
      <c r="K522" s="2">
        <v>378.9</v>
      </c>
      <c r="L522" s="2">
        <v>540</v>
      </c>
      <c r="M522" s="8"/>
      <c r="N522" s="8" t="s">
        <v>10159</v>
      </c>
      <c r="O522" s="8" t="s">
        <v>8020</v>
      </c>
      <c r="P522" s="8" t="str">
        <f t="shared" si="27"/>
        <v>PDFを開く</v>
      </c>
      <c r="Q522" s="8" t="s">
        <v>886</v>
      </c>
    </row>
    <row r="523" spans="1:17" ht="62.1" customHeight="1">
      <c r="A523" s="5" t="s">
        <v>879</v>
      </c>
      <c r="B523" s="5" t="s">
        <v>73</v>
      </c>
      <c r="C523" s="9" t="s">
        <v>880</v>
      </c>
      <c r="D523" s="5">
        <v>1</v>
      </c>
      <c r="E523" s="9" t="s">
        <v>10156</v>
      </c>
      <c r="F523" s="5">
        <v>3</v>
      </c>
      <c r="G523" s="9" t="s">
        <v>10167</v>
      </c>
      <c r="H523" s="9" t="s">
        <v>10386</v>
      </c>
      <c r="I523" s="5">
        <v>55.17</v>
      </c>
      <c r="J523" s="5">
        <v>180.78</v>
      </c>
      <c r="K523" s="5">
        <v>397.55</v>
      </c>
      <c r="L523" s="5">
        <v>277.07</v>
      </c>
      <c r="M523" s="9"/>
      <c r="N523" s="9" t="s">
        <v>10159</v>
      </c>
      <c r="O523" s="9" t="s">
        <v>10387</v>
      </c>
      <c r="P523" s="9" t="str">
        <f t="shared" si="27"/>
        <v>PDFを開く</v>
      </c>
      <c r="Q523" s="9" t="s">
        <v>886</v>
      </c>
    </row>
    <row r="524" spans="1:17" ht="62.1" customHeight="1">
      <c r="A524" s="2" t="s">
        <v>879</v>
      </c>
      <c r="B524" s="2" t="s">
        <v>73</v>
      </c>
      <c r="C524" s="8" t="s">
        <v>880</v>
      </c>
      <c r="D524" s="2">
        <v>1</v>
      </c>
      <c r="E524" s="8" t="s">
        <v>10156</v>
      </c>
      <c r="F524" s="2">
        <v>4</v>
      </c>
      <c r="G524" s="8" t="s">
        <v>10163</v>
      </c>
      <c r="H524" s="8" t="s">
        <v>10163</v>
      </c>
      <c r="I524" s="2">
        <v>396.42</v>
      </c>
      <c r="J524" s="2">
        <v>326.86</v>
      </c>
      <c r="K524" s="2">
        <v>739.9</v>
      </c>
      <c r="L524" s="2">
        <v>441.63</v>
      </c>
      <c r="M524" s="8"/>
      <c r="N524" s="8" t="s">
        <v>10159</v>
      </c>
      <c r="O524" s="8" t="s">
        <v>8022</v>
      </c>
      <c r="P524" s="8" t="str">
        <f t="shared" si="27"/>
        <v>PDFを開く</v>
      </c>
      <c r="Q524" s="8" t="s">
        <v>886</v>
      </c>
    </row>
    <row r="525" spans="1:17" ht="62.1" customHeight="1">
      <c r="A525" s="5" t="s">
        <v>879</v>
      </c>
      <c r="B525" s="5" t="s">
        <v>73</v>
      </c>
      <c r="C525" s="9" t="s">
        <v>880</v>
      </c>
      <c r="D525" s="5">
        <v>1</v>
      </c>
      <c r="E525" s="9" t="s">
        <v>10156</v>
      </c>
      <c r="F525" s="5">
        <v>5</v>
      </c>
      <c r="G525" s="9" t="s">
        <v>8581</v>
      </c>
      <c r="H525" s="9" t="s">
        <v>8581</v>
      </c>
      <c r="I525" s="5">
        <v>401.1</v>
      </c>
      <c r="J525" s="5">
        <v>467.92</v>
      </c>
      <c r="K525" s="5">
        <v>720.6</v>
      </c>
      <c r="L525" s="5">
        <v>536.29999999999995</v>
      </c>
      <c r="M525" s="9"/>
      <c r="N525" s="9" t="s">
        <v>10159</v>
      </c>
      <c r="O525" s="9" t="s">
        <v>883</v>
      </c>
      <c r="P525" s="9" t="str">
        <f t="shared" si="27"/>
        <v>PDFを開く</v>
      </c>
      <c r="Q525" s="9" t="s">
        <v>886</v>
      </c>
    </row>
    <row r="526" spans="1:17" ht="62.1" customHeight="1">
      <c r="A526" s="2" t="s">
        <v>879</v>
      </c>
      <c r="B526" s="2" t="s">
        <v>73</v>
      </c>
      <c r="C526" s="8" t="s">
        <v>880</v>
      </c>
      <c r="D526" s="2">
        <v>2</v>
      </c>
      <c r="E526" s="8" t="s">
        <v>10165</v>
      </c>
      <c r="F526" s="2">
        <v>1</v>
      </c>
      <c r="G526" s="8" t="s">
        <v>10167</v>
      </c>
      <c r="H526" s="8" t="s">
        <v>10388</v>
      </c>
      <c r="I526" s="2">
        <v>126.83</v>
      </c>
      <c r="J526" s="2">
        <v>182.67</v>
      </c>
      <c r="K526" s="2">
        <v>429.04</v>
      </c>
      <c r="L526" s="2">
        <v>298.17</v>
      </c>
      <c r="M526" s="8"/>
      <c r="N526" s="8" t="s">
        <v>10159</v>
      </c>
      <c r="O526" s="8" t="s">
        <v>10389</v>
      </c>
      <c r="P526" s="8" t="str">
        <f t="shared" si="27"/>
        <v>PDFを開く</v>
      </c>
      <c r="Q526" s="8" t="s">
        <v>886</v>
      </c>
    </row>
    <row r="527" spans="1:17" ht="62.1" customHeight="1">
      <c r="A527" s="5" t="s">
        <v>887</v>
      </c>
      <c r="B527" s="5" t="s">
        <v>73</v>
      </c>
      <c r="C527" s="9" t="s">
        <v>888</v>
      </c>
      <c r="D527" s="5">
        <v>1</v>
      </c>
      <c r="E527" s="9" t="s">
        <v>10156</v>
      </c>
      <c r="F527" s="5">
        <v>1</v>
      </c>
      <c r="G527" s="9" t="s">
        <v>9578</v>
      </c>
      <c r="H527" s="9" t="s">
        <v>9578</v>
      </c>
      <c r="I527" s="5">
        <v>16.32</v>
      </c>
      <c r="J527" s="5">
        <v>116.16</v>
      </c>
      <c r="K527" s="5">
        <v>414.84</v>
      </c>
      <c r="L527" s="5">
        <v>582.12</v>
      </c>
      <c r="M527" s="9"/>
      <c r="N527" s="9" t="s">
        <v>10159</v>
      </c>
      <c r="O527" s="9" t="s">
        <v>8027</v>
      </c>
      <c r="P527" s="9" t="str">
        <f>HYPERLINK("https://seichotoushi-hojo.jp/assets/pdf/koufu/outline_35.pdf","PDFを開く")</f>
        <v>PDFを開く</v>
      </c>
      <c r="Q527" s="9" t="s">
        <v>893</v>
      </c>
    </row>
    <row r="528" spans="1:17" ht="62.1" customHeight="1">
      <c r="A528" s="2" t="s">
        <v>887</v>
      </c>
      <c r="B528" s="2" t="s">
        <v>73</v>
      </c>
      <c r="C528" s="8" t="s">
        <v>888</v>
      </c>
      <c r="D528" s="2">
        <v>1</v>
      </c>
      <c r="E528" s="8" t="s">
        <v>10156</v>
      </c>
      <c r="F528" s="2">
        <v>2</v>
      </c>
      <c r="G528" s="8" t="s">
        <v>10162</v>
      </c>
      <c r="H528" s="8" t="s">
        <v>10162</v>
      </c>
      <c r="I528" s="2">
        <v>433.68</v>
      </c>
      <c r="J528" s="2">
        <v>140.28</v>
      </c>
      <c r="K528" s="2">
        <v>826.8</v>
      </c>
      <c r="L528" s="2">
        <v>353.64</v>
      </c>
      <c r="M528" s="8"/>
      <c r="N528" s="8" t="s">
        <v>10159</v>
      </c>
      <c r="O528" s="8" t="s">
        <v>8028</v>
      </c>
      <c r="P528" s="8" t="str">
        <f>HYPERLINK("https://seichotoushi-hojo.jp/assets/pdf/koufu/outline_35.pdf","PDFを開く")</f>
        <v>PDFを開く</v>
      </c>
      <c r="Q528" s="8" t="s">
        <v>893</v>
      </c>
    </row>
    <row r="529" spans="1:17" ht="62.1" customHeight="1">
      <c r="A529" s="5" t="s">
        <v>887</v>
      </c>
      <c r="B529" s="5" t="s">
        <v>73</v>
      </c>
      <c r="C529" s="9" t="s">
        <v>888</v>
      </c>
      <c r="D529" s="5">
        <v>1</v>
      </c>
      <c r="E529" s="9" t="s">
        <v>10156</v>
      </c>
      <c r="F529" s="5">
        <v>3</v>
      </c>
      <c r="G529" s="9" t="s">
        <v>10163</v>
      </c>
      <c r="H529" s="9" t="s">
        <v>10163</v>
      </c>
      <c r="I529" s="5">
        <v>433.68</v>
      </c>
      <c r="J529" s="5">
        <v>359.16</v>
      </c>
      <c r="K529" s="5">
        <v>826.8</v>
      </c>
      <c r="L529" s="5">
        <v>563.28</v>
      </c>
      <c r="M529" s="9"/>
      <c r="N529" s="9" t="s">
        <v>10159</v>
      </c>
      <c r="O529" s="9" t="s">
        <v>8029</v>
      </c>
      <c r="P529" s="9" t="str">
        <f>HYPERLINK("https://seichotoushi-hojo.jp/assets/pdf/koufu/outline_35.pdf","PDFを開く")</f>
        <v>PDFを開く</v>
      </c>
      <c r="Q529" s="9" t="s">
        <v>893</v>
      </c>
    </row>
    <row r="530" spans="1:17" ht="62.1" customHeight="1">
      <c r="A530" s="2" t="s">
        <v>887</v>
      </c>
      <c r="B530" s="2" t="s">
        <v>73</v>
      </c>
      <c r="C530" s="8" t="s">
        <v>888</v>
      </c>
      <c r="D530" s="2">
        <v>1</v>
      </c>
      <c r="E530" s="8" t="s">
        <v>10156</v>
      </c>
      <c r="F530" s="2">
        <v>4</v>
      </c>
      <c r="G530" s="8" t="s">
        <v>8581</v>
      </c>
      <c r="H530" s="8" t="s">
        <v>8581</v>
      </c>
      <c r="I530" s="2">
        <v>21.72</v>
      </c>
      <c r="J530" s="2">
        <v>488.16</v>
      </c>
      <c r="K530" s="2">
        <v>404.16</v>
      </c>
      <c r="L530" s="2">
        <v>577.67999999999995</v>
      </c>
      <c r="M530" s="8"/>
      <c r="N530" s="8" t="s">
        <v>10159</v>
      </c>
      <c r="O530" s="8" t="s">
        <v>891</v>
      </c>
      <c r="P530" s="8" t="str">
        <f>HYPERLINK("https://seichotoushi-hojo.jp/assets/pdf/koufu/outline_35.pdf","PDFを開く")</f>
        <v>PDFを開く</v>
      </c>
      <c r="Q530" s="8" t="s">
        <v>893</v>
      </c>
    </row>
    <row r="531" spans="1:17" ht="62.1" customHeight="1">
      <c r="A531" s="5" t="s">
        <v>887</v>
      </c>
      <c r="B531" s="5" t="s">
        <v>73</v>
      </c>
      <c r="C531" s="9" t="s">
        <v>888</v>
      </c>
      <c r="D531" s="5">
        <v>2</v>
      </c>
      <c r="E531" s="9" t="s">
        <v>10165</v>
      </c>
      <c r="F531" s="5">
        <v>1</v>
      </c>
      <c r="G531" s="9" t="s">
        <v>10167</v>
      </c>
      <c r="H531" s="9" t="s">
        <v>3504</v>
      </c>
      <c r="I531" s="5">
        <v>136.91999999999999</v>
      </c>
      <c r="J531" s="5">
        <v>436.68</v>
      </c>
      <c r="K531" s="5">
        <v>566.76</v>
      </c>
      <c r="L531" s="5">
        <v>467.16</v>
      </c>
      <c r="M531" s="9"/>
      <c r="N531" s="9" t="s">
        <v>10159</v>
      </c>
      <c r="O531" s="9" t="s">
        <v>10186</v>
      </c>
      <c r="P531" s="9" t="str">
        <f>HYPERLINK("https://seichotoushi-hojo.jp/assets/pdf/koufu/outline_35.pdf","PDFを開く")</f>
        <v>PDFを開く</v>
      </c>
      <c r="Q531" s="9" t="s">
        <v>893</v>
      </c>
    </row>
    <row r="532" spans="1:17" ht="62.1" customHeight="1">
      <c r="A532" s="2" t="s">
        <v>894</v>
      </c>
      <c r="B532" s="2" t="s">
        <v>73</v>
      </c>
      <c r="C532" s="8" t="s">
        <v>895</v>
      </c>
      <c r="D532" s="2">
        <v>1</v>
      </c>
      <c r="E532" s="8" t="s">
        <v>10156</v>
      </c>
      <c r="F532" s="2">
        <v>1</v>
      </c>
      <c r="G532" s="8" t="s">
        <v>10167</v>
      </c>
      <c r="H532" s="8" t="s">
        <v>10212</v>
      </c>
      <c r="I532" s="2">
        <v>40.799999999999997</v>
      </c>
      <c r="J532" s="2">
        <v>97.32</v>
      </c>
      <c r="K532" s="2">
        <v>740.4</v>
      </c>
      <c r="L532" s="2">
        <v>179.16</v>
      </c>
      <c r="M532" s="8"/>
      <c r="N532" s="8" t="s">
        <v>10159</v>
      </c>
      <c r="O532" s="8" t="s">
        <v>10390</v>
      </c>
      <c r="P532" s="8" t="str">
        <f>HYPERLINK("https://seichotoushi-hojo.jp/assets/pdf/koufu/outline_36.pdf","PDFを開く")</f>
        <v>PDFを開く</v>
      </c>
      <c r="Q532" s="8" t="s">
        <v>900</v>
      </c>
    </row>
    <row r="533" spans="1:17" ht="62.1" customHeight="1">
      <c r="A533" s="5" t="s">
        <v>894</v>
      </c>
      <c r="B533" s="5" t="s">
        <v>73</v>
      </c>
      <c r="C533" s="9" t="s">
        <v>895</v>
      </c>
      <c r="D533" s="5">
        <v>1</v>
      </c>
      <c r="E533" s="9" t="s">
        <v>10156</v>
      </c>
      <c r="F533" s="5">
        <v>2</v>
      </c>
      <c r="G533" s="9" t="s">
        <v>10162</v>
      </c>
      <c r="H533" s="9" t="s">
        <v>10162</v>
      </c>
      <c r="I533" s="5">
        <v>401.16</v>
      </c>
      <c r="J533" s="5">
        <v>188.52</v>
      </c>
      <c r="K533" s="5">
        <v>744.72</v>
      </c>
      <c r="L533" s="5">
        <v>346.92</v>
      </c>
      <c r="M533" s="9"/>
      <c r="N533" s="9" t="s">
        <v>10159</v>
      </c>
      <c r="O533" s="9" t="s">
        <v>8035</v>
      </c>
      <c r="P533" s="9" t="str">
        <f>HYPERLINK("https://seichotoushi-hojo.jp/assets/pdf/koufu/outline_36.pdf","PDFを開く")</f>
        <v>PDFを開く</v>
      </c>
      <c r="Q533" s="9" t="s">
        <v>900</v>
      </c>
    </row>
    <row r="534" spans="1:17" ht="62.1" customHeight="1">
      <c r="A534" s="2" t="s">
        <v>894</v>
      </c>
      <c r="B534" s="2" t="s">
        <v>73</v>
      </c>
      <c r="C534" s="8" t="s">
        <v>895</v>
      </c>
      <c r="D534" s="2">
        <v>1</v>
      </c>
      <c r="E534" s="8" t="s">
        <v>10156</v>
      </c>
      <c r="F534" s="2">
        <v>3</v>
      </c>
      <c r="G534" s="8" t="s">
        <v>9578</v>
      </c>
      <c r="H534" s="8" t="s">
        <v>9578</v>
      </c>
      <c r="I534" s="2">
        <v>39.6</v>
      </c>
      <c r="J534" s="2">
        <v>188.64</v>
      </c>
      <c r="K534" s="2">
        <v>378.84</v>
      </c>
      <c r="L534" s="2">
        <v>529.08000000000004</v>
      </c>
      <c r="M534" s="8"/>
      <c r="N534" s="8" t="s">
        <v>10159</v>
      </c>
      <c r="O534" s="8" t="s">
        <v>8034</v>
      </c>
      <c r="P534" s="8" t="str">
        <f>HYPERLINK("https://seichotoushi-hojo.jp/assets/pdf/koufu/outline_36.pdf","PDFを開く")</f>
        <v>PDFを開く</v>
      </c>
      <c r="Q534" s="8" t="s">
        <v>900</v>
      </c>
    </row>
    <row r="535" spans="1:17" ht="62.1" customHeight="1">
      <c r="A535" s="5" t="s">
        <v>894</v>
      </c>
      <c r="B535" s="5" t="s">
        <v>73</v>
      </c>
      <c r="C535" s="9" t="s">
        <v>895</v>
      </c>
      <c r="D535" s="5">
        <v>1</v>
      </c>
      <c r="E535" s="9" t="s">
        <v>10156</v>
      </c>
      <c r="F535" s="5">
        <v>4</v>
      </c>
      <c r="G535" s="9" t="s">
        <v>10163</v>
      </c>
      <c r="H535" s="9" t="s">
        <v>10163</v>
      </c>
      <c r="I535" s="5">
        <v>401.16</v>
      </c>
      <c r="J535" s="5">
        <v>356.28</v>
      </c>
      <c r="K535" s="5">
        <v>744.72</v>
      </c>
      <c r="L535" s="5">
        <v>514.55999999999995</v>
      </c>
      <c r="M535" s="9"/>
      <c r="N535" s="9" t="s">
        <v>10159</v>
      </c>
      <c r="O535" s="9" t="s">
        <v>8036</v>
      </c>
      <c r="P535" s="9" t="str">
        <f>HYPERLINK("https://seichotoushi-hojo.jp/assets/pdf/koufu/outline_36.pdf","PDFを開く")</f>
        <v>PDFを開く</v>
      </c>
      <c r="Q535" s="9" t="s">
        <v>900</v>
      </c>
    </row>
    <row r="536" spans="1:17" ht="62.1" customHeight="1">
      <c r="A536" s="2" t="s">
        <v>894</v>
      </c>
      <c r="B536" s="2" t="s">
        <v>73</v>
      </c>
      <c r="C536" s="8" t="s">
        <v>895</v>
      </c>
      <c r="D536" s="2">
        <v>1</v>
      </c>
      <c r="E536" s="8" t="s">
        <v>10156</v>
      </c>
      <c r="F536" s="2">
        <v>5</v>
      </c>
      <c r="G536" s="8" t="s">
        <v>8581</v>
      </c>
      <c r="H536" s="8" t="s">
        <v>8581</v>
      </c>
      <c r="I536" s="2">
        <v>49.44</v>
      </c>
      <c r="J536" s="2">
        <v>462.84</v>
      </c>
      <c r="K536" s="2">
        <v>369</v>
      </c>
      <c r="L536" s="2">
        <v>520.91999999999996</v>
      </c>
      <c r="M536" s="8"/>
      <c r="N536" s="8" t="s">
        <v>10159</v>
      </c>
      <c r="O536" s="8" t="s">
        <v>898</v>
      </c>
      <c r="P536" s="8" t="str">
        <f>HYPERLINK("https://seichotoushi-hojo.jp/assets/pdf/koufu/outline_36.pdf","PDFを開く")</f>
        <v>PDFを開く</v>
      </c>
      <c r="Q536" s="8" t="s">
        <v>900</v>
      </c>
    </row>
    <row r="537" spans="1:17" ht="62.1" customHeight="1">
      <c r="A537" s="5" t="s">
        <v>901</v>
      </c>
      <c r="B537" s="5" t="s">
        <v>73</v>
      </c>
      <c r="C537" s="9" t="s">
        <v>902</v>
      </c>
      <c r="D537" s="5">
        <v>1</v>
      </c>
      <c r="E537" s="9" t="s">
        <v>10156</v>
      </c>
      <c r="F537" s="5">
        <v>1</v>
      </c>
      <c r="G537" s="9" t="s">
        <v>9578</v>
      </c>
      <c r="H537" s="9" t="s">
        <v>9578</v>
      </c>
      <c r="I537" s="5">
        <v>39.659999999999997</v>
      </c>
      <c r="J537" s="5">
        <v>112.66</v>
      </c>
      <c r="K537" s="5">
        <v>378.79</v>
      </c>
      <c r="L537" s="5">
        <v>517.82000000000005</v>
      </c>
      <c r="M537" s="9"/>
      <c r="N537" s="9" t="s">
        <v>10159</v>
      </c>
      <c r="O537" s="9" t="s">
        <v>8041</v>
      </c>
      <c r="P537" s="9" t="str">
        <f>HYPERLINK("https://seichotoushi-hojo.jp/assets/pdf/koufu/outline_37.pdf","PDFを開く")</f>
        <v>PDFを開く</v>
      </c>
      <c r="Q537" s="9" t="s">
        <v>908</v>
      </c>
    </row>
    <row r="538" spans="1:17" ht="62.1" customHeight="1">
      <c r="A538" s="2" t="s">
        <v>901</v>
      </c>
      <c r="B538" s="2" t="s">
        <v>73</v>
      </c>
      <c r="C538" s="8" t="s">
        <v>902</v>
      </c>
      <c r="D538" s="2">
        <v>1</v>
      </c>
      <c r="E538" s="8" t="s">
        <v>10156</v>
      </c>
      <c r="F538" s="2">
        <v>2</v>
      </c>
      <c r="G538" s="8" t="s">
        <v>10162</v>
      </c>
      <c r="H538" s="8" t="s">
        <v>10162</v>
      </c>
      <c r="I538" s="2">
        <v>396.3</v>
      </c>
      <c r="J538" s="2">
        <v>112.66</v>
      </c>
      <c r="K538" s="2">
        <v>739.78</v>
      </c>
      <c r="L538" s="2">
        <v>327.83</v>
      </c>
      <c r="M538" s="8"/>
      <c r="N538" s="8" t="s">
        <v>10159</v>
      </c>
      <c r="O538" s="8" t="s">
        <v>8042</v>
      </c>
      <c r="P538" s="8" t="str">
        <f>HYPERLINK("https://seichotoushi-hojo.jp/assets/pdf/koufu/outline_37.pdf","PDFを開く")</f>
        <v>PDFを開く</v>
      </c>
      <c r="Q538" s="8" t="s">
        <v>908</v>
      </c>
    </row>
    <row r="539" spans="1:17" ht="62.1" customHeight="1">
      <c r="A539" s="5" t="s">
        <v>901</v>
      </c>
      <c r="B539" s="5" t="s">
        <v>73</v>
      </c>
      <c r="C539" s="9" t="s">
        <v>902</v>
      </c>
      <c r="D539" s="5">
        <v>1</v>
      </c>
      <c r="E539" s="9" t="s">
        <v>10156</v>
      </c>
      <c r="F539" s="5">
        <v>3</v>
      </c>
      <c r="G539" s="9" t="s">
        <v>10163</v>
      </c>
      <c r="H539" s="9" t="s">
        <v>10163</v>
      </c>
      <c r="I539" s="5">
        <v>396.3</v>
      </c>
      <c r="J539" s="5">
        <v>336.25</v>
      </c>
      <c r="K539" s="5">
        <v>739.78</v>
      </c>
      <c r="L539" s="5">
        <v>517.82000000000005</v>
      </c>
      <c r="M539" s="9"/>
      <c r="N539" s="9" t="s">
        <v>10159</v>
      </c>
      <c r="O539" s="9" t="s">
        <v>8043</v>
      </c>
      <c r="P539" s="9" t="str">
        <f>HYPERLINK("https://seichotoushi-hojo.jp/assets/pdf/koufu/outline_37.pdf","PDFを開く")</f>
        <v>PDFを開く</v>
      </c>
      <c r="Q539" s="9" t="s">
        <v>908</v>
      </c>
    </row>
    <row r="540" spans="1:17" ht="62.1" customHeight="1">
      <c r="A540" s="2" t="s">
        <v>901</v>
      </c>
      <c r="B540" s="2" t="s">
        <v>73</v>
      </c>
      <c r="C540" s="8" t="s">
        <v>902</v>
      </c>
      <c r="D540" s="2">
        <v>1</v>
      </c>
      <c r="E540" s="8" t="s">
        <v>10156</v>
      </c>
      <c r="F540" s="2">
        <v>4</v>
      </c>
      <c r="G540" s="8" t="s">
        <v>8581</v>
      </c>
      <c r="H540" s="8" t="s">
        <v>8581</v>
      </c>
      <c r="I540" s="2">
        <v>136.76</v>
      </c>
      <c r="J540" s="2">
        <v>444.74</v>
      </c>
      <c r="K540" s="2">
        <v>367.28</v>
      </c>
      <c r="L540" s="2">
        <v>527.77</v>
      </c>
      <c r="M540" s="8"/>
      <c r="N540" s="8" t="s">
        <v>10159</v>
      </c>
      <c r="O540" s="8" t="s">
        <v>906</v>
      </c>
      <c r="P540" s="8" t="str">
        <f>HYPERLINK("https://seichotoushi-hojo.jp/assets/pdf/koufu/outline_37.pdf","PDFを開く")</f>
        <v>PDFを開く</v>
      </c>
      <c r="Q540" s="8" t="s">
        <v>908</v>
      </c>
    </row>
    <row r="541" spans="1:17" ht="62.1" customHeight="1">
      <c r="A541" s="5" t="s">
        <v>909</v>
      </c>
      <c r="B541" s="5" t="s">
        <v>73</v>
      </c>
      <c r="C541" s="9" t="s">
        <v>910</v>
      </c>
      <c r="D541" s="5">
        <v>1</v>
      </c>
      <c r="E541" s="9" t="s">
        <v>10156</v>
      </c>
      <c r="F541" s="5">
        <v>1</v>
      </c>
      <c r="G541" s="9" t="s">
        <v>9578</v>
      </c>
      <c r="H541" s="9" t="s">
        <v>9578</v>
      </c>
      <c r="I541" s="5">
        <v>24</v>
      </c>
      <c r="J541" s="5">
        <v>101.76</v>
      </c>
      <c r="K541" s="5">
        <v>369.24</v>
      </c>
      <c r="L541" s="5">
        <v>520.91999999999996</v>
      </c>
      <c r="M541" s="9"/>
      <c r="N541" s="9" t="s">
        <v>10159</v>
      </c>
      <c r="O541" s="9" t="s">
        <v>8048</v>
      </c>
      <c r="P541" s="9" t="str">
        <f>HYPERLINK("https://seichotoushi-hojo.jp/assets/pdf/koufu/outline_38.pdf","PDFを開く")</f>
        <v>PDFを開く</v>
      </c>
      <c r="Q541" s="9" t="s">
        <v>914</v>
      </c>
    </row>
    <row r="542" spans="1:17" ht="62.1" customHeight="1">
      <c r="A542" s="2" t="s">
        <v>909</v>
      </c>
      <c r="B542" s="2" t="s">
        <v>73</v>
      </c>
      <c r="C542" s="8" t="s">
        <v>910</v>
      </c>
      <c r="D542" s="2">
        <v>1</v>
      </c>
      <c r="E542" s="8" t="s">
        <v>10156</v>
      </c>
      <c r="F542" s="2">
        <v>2</v>
      </c>
      <c r="G542" s="8" t="s">
        <v>10162</v>
      </c>
      <c r="H542" s="8" t="s">
        <v>10162</v>
      </c>
      <c r="I542" s="2">
        <v>384.72</v>
      </c>
      <c r="J542" s="2">
        <v>101.76</v>
      </c>
      <c r="K542" s="2">
        <v>756</v>
      </c>
      <c r="L542" s="2">
        <v>298.68</v>
      </c>
      <c r="M542" s="8"/>
      <c r="N542" s="8" t="s">
        <v>10159</v>
      </c>
      <c r="O542" s="8" t="s">
        <v>8049</v>
      </c>
      <c r="P542" s="8" t="str">
        <f>HYPERLINK("https://seichotoushi-hojo.jp/assets/pdf/koufu/outline_38.pdf","PDFを開く")</f>
        <v>PDFを開く</v>
      </c>
      <c r="Q542" s="8" t="s">
        <v>914</v>
      </c>
    </row>
    <row r="543" spans="1:17" ht="62.1" customHeight="1">
      <c r="A543" s="5" t="s">
        <v>909</v>
      </c>
      <c r="B543" s="5" t="s">
        <v>73</v>
      </c>
      <c r="C543" s="9" t="s">
        <v>910</v>
      </c>
      <c r="D543" s="5">
        <v>1</v>
      </c>
      <c r="E543" s="9" t="s">
        <v>10156</v>
      </c>
      <c r="F543" s="5">
        <v>3</v>
      </c>
      <c r="G543" s="9" t="s">
        <v>10163</v>
      </c>
      <c r="H543" s="9" t="s">
        <v>10163</v>
      </c>
      <c r="I543" s="5">
        <v>384.72</v>
      </c>
      <c r="J543" s="5">
        <v>307.2</v>
      </c>
      <c r="K543" s="5">
        <v>756</v>
      </c>
      <c r="L543" s="5">
        <v>520.91999999999996</v>
      </c>
      <c r="M543" s="9"/>
      <c r="N543" s="9" t="s">
        <v>10159</v>
      </c>
      <c r="O543" s="9" t="s">
        <v>8050</v>
      </c>
      <c r="P543" s="9" t="str">
        <f>HYPERLINK("https://seichotoushi-hojo.jp/assets/pdf/koufu/outline_38.pdf","PDFを開く")</f>
        <v>PDFを開く</v>
      </c>
      <c r="Q543" s="9" t="s">
        <v>914</v>
      </c>
    </row>
    <row r="544" spans="1:17" ht="62.1" customHeight="1">
      <c r="A544" s="2" t="s">
        <v>909</v>
      </c>
      <c r="B544" s="2" t="s">
        <v>73</v>
      </c>
      <c r="C544" s="8" t="s">
        <v>910</v>
      </c>
      <c r="D544" s="2">
        <v>1</v>
      </c>
      <c r="E544" s="8" t="s">
        <v>10156</v>
      </c>
      <c r="F544" s="2">
        <v>4</v>
      </c>
      <c r="G544" s="8" t="s">
        <v>8581</v>
      </c>
      <c r="H544" s="8" t="s">
        <v>8581</v>
      </c>
      <c r="I544" s="2">
        <v>34.92</v>
      </c>
      <c r="J544" s="2">
        <v>424.56</v>
      </c>
      <c r="K544" s="2">
        <v>360.12</v>
      </c>
      <c r="L544" s="2">
        <v>512.88</v>
      </c>
      <c r="M544" s="8"/>
      <c r="N544" s="8" t="s">
        <v>10159</v>
      </c>
      <c r="O544" s="8" t="s">
        <v>912</v>
      </c>
      <c r="P544" s="8" t="str">
        <f>HYPERLINK("https://seichotoushi-hojo.jp/assets/pdf/koufu/outline_38.pdf","PDFを開く")</f>
        <v>PDFを開く</v>
      </c>
      <c r="Q544" s="8" t="s">
        <v>914</v>
      </c>
    </row>
    <row r="545" spans="1:17" ht="62.1" customHeight="1">
      <c r="A545" s="5" t="s">
        <v>915</v>
      </c>
      <c r="B545" s="5" t="s">
        <v>73</v>
      </c>
      <c r="C545" s="9" t="s">
        <v>916</v>
      </c>
      <c r="D545" s="5">
        <v>1</v>
      </c>
      <c r="E545" s="9" t="s">
        <v>10156</v>
      </c>
      <c r="F545" s="5">
        <v>1</v>
      </c>
      <c r="G545" s="9" t="s">
        <v>9578</v>
      </c>
      <c r="H545" s="9" t="s">
        <v>9578</v>
      </c>
      <c r="I545" s="5">
        <v>9.7200000000000006</v>
      </c>
      <c r="J545" s="5">
        <v>85.68</v>
      </c>
      <c r="K545" s="5">
        <v>382.08</v>
      </c>
      <c r="L545" s="5">
        <v>447.84</v>
      </c>
      <c r="M545" s="9"/>
      <c r="N545" s="9" t="s">
        <v>10159</v>
      </c>
      <c r="O545" s="9" t="s">
        <v>8055</v>
      </c>
      <c r="P545" s="9" t="str">
        <f t="shared" ref="P545:P550" si="28">HYPERLINK("https://seichotoushi-hojo.jp/assets/pdf/koufu/outline_39.pdf","PDFを開く")</f>
        <v>PDFを開く</v>
      </c>
      <c r="Q545" s="9" t="s">
        <v>923</v>
      </c>
    </row>
    <row r="546" spans="1:17" ht="62.1" customHeight="1">
      <c r="A546" s="2" t="s">
        <v>915</v>
      </c>
      <c r="B546" s="2" t="s">
        <v>73</v>
      </c>
      <c r="C546" s="8" t="s">
        <v>916</v>
      </c>
      <c r="D546" s="2">
        <v>1</v>
      </c>
      <c r="E546" s="8" t="s">
        <v>10156</v>
      </c>
      <c r="F546" s="2">
        <v>2</v>
      </c>
      <c r="G546" s="8" t="s">
        <v>10162</v>
      </c>
      <c r="H546" s="8" t="s">
        <v>10162</v>
      </c>
      <c r="I546" s="2">
        <v>396.36</v>
      </c>
      <c r="J546" s="2">
        <v>85.8</v>
      </c>
      <c r="K546" s="2">
        <v>770.28</v>
      </c>
      <c r="L546" s="2">
        <v>300.24</v>
      </c>
      <c r="M546" s="8"/>
      <c r="N546" s="8" t="s">
        <v>10159</v>
      </c>
      <c r="O546" s="8" t="s">
        <v>8056</v>
      </c>
      <c r="P546" s="8" t="str">
        <f t="shared" si="28"/>
        <v>PDFを開く</v>
      </c>
      <c r="Q546" s="8" t="s">
        <v>923</v>
      </c>
    </row>
    <row r="547" spans="1:17" ht="62.1" customHeight="1">
      <c r="A547" s="5" t="s">
        <v>915</v>
      </c>
      <c r="B547" s="5" t="s">
        <v>73</v>
      </c>
      <c r="C547" s="9" t="s">
        <v>916</v>
      </c>
      <c r="D547" s="5">
        <v>1</v>
      </c>
      <c r="E547" s="9" t="s">
        <v>10156</v>
      </c>
      <c r="F547" s="5">
        <v>3</v>
      </c>
      <c r="G547" s="9" t="s">
        <v>10163</v>
      </c>
      <c r="H547" s="9" t="s">
        <v>10163</v>
      </c>
      <c r="I547" s="5">
        <v>396.36</v>
      </c>
      <c r="J547" s="5">
        <v>302.88</v>
      </c>
      <c r="K547" s="5">
        <v>770.28</v>
      </c>
      <c r="L547" s="5">
        <v>461.52</v>
      </c>
      <c r="M547" s="9"/>
      <c r="N547" s="9" t="s">
        <v>10159</v>
      </c>
      <c r="O547" s="9" t="s">
        <v>8057</v>
      </c>
      <c r="P547" s="9" t="str">
        <f t="shared" si="28"/>
        <v>PDFを開く</v>
      </c>
      <c r="Q547" s="9" t="s">
        <v>923</v>
      </c>
    </row>
    <row r="548" spans="1:17" ht="62.1" customHeight="1">
      <c r="A548" s="2" t="s">
        <v>915</v>
      </c>
      <c r="B548" s="2" t="s">
        <v>73</v>
      </c>
      <c r="C548" s="8" t="s">
        <v>916</v>
      </c>
      <c r="D548" s="2">
        <v>1</v>
      </c>
      <c r="E548" s="8" t="s">
        <v>10156</v>
      </c>
      <c r="F548" s="2">
        <v>4</v>
      </c>
      <c r="G548" s="8" t="s">
        <v>8581</v>
      </c>
      <c r="H548" s="8" t="s">
        <v>8581</v>
      </c>
      <c r="I548" s="2">
        <v>9.7200000000000006</v>
      </c>
      <c r="J548" s="2">
        <v>363.12</v>
      </c>
      <c r="K548" s="2">
        <v>383.52</v>
      </c>
      <c r="L548" s="2">
        <v>447.84</v>
      </c>
      <c r="M548" s="8"/>
      <c r="N548" s="8" t="s">
        <v>10159</v>
      </c>
      <c r="O548" s="8" t="s">
        <v>920</v>
      </c>
      <c r="P548" s="8" t="str">
        <f t="shared" si="28"/>
        <v>PDFを開く</v>
      </c>
      <c r="Q548" s="8" t="s">
        <v>923</v>
      </c>
    </row>
    <row r="549" spans="1:17" ht="62.1" customHeight="1">
      <c r="A549" s="5" t="s">
        <v>915</v>
      </c>
      <c r="B549" s="5" t="s">
        <v>73</v>
      </c>
      <c r="C549" s="9" t="s">
        <v>916</v>
      </c>
      <c r="D549" s="5">
        <v>1</v>
      </c>
      <c r="E549" s="9" t="s">
        <v>10156</v>
      </c>
      <c r="F549" s="5">
        <v>5</v>
      </c>
      <c r="G549" s="9" t="s">
        <v>10167</v>
      </c>
      <c r="H549" s="9" t="s">
        <v>10391</v>
      </c>
      <c r="I549" s="5">
        <v>18.84</v>
      </c>
      <c r="J549" s="5">
        <v>463.8</v>
      </c>
      <c r="K549" s="5">
        <v>770.28</v>
      </c>
      <c r="L549" s="5">
        <v>516.48</v>
      </c>
      <c r="M549" s="9"/>
      <c r="N549" s="9" t="s">
        <v>10159</v>
      </c>
      <c r="O549" s="9" t="s">
        <v>10392</v>
      </c>
      <c r="P549" s="9" t="str">
        <f t="shared" si="28"/>
        <v>PDFを開く</v>
      </c>
      <c r="Q549" s="9" t="s">
        <v>923</v>
      </c>
    </row>
    <row r="550" spans="1:17" ht="62.1" customHeight="1">
      <c r="A550" s="2" t="s">
        <v>915</v>
      </c>
      <c r="B550" s="2" t="s">
        <v>73</v>
      </c>
      <c r="C550" s="8" t="s">
        <v>916</v>
      </c>
      <c r="D550" s="2">
        <v>2</v>
      </c>
      <c r="E550" s="8" t="s">
        <v>10165</v>
      </c>
      <c r="F550" s="2">
        <v>1</v>
      </c>
      <c r="G550" s="8" t="s">
        <v>10184</v>
      </c>
      <c r="H550" s="8" t="s">
        <v>10184</v>
      </c>
      <c r="I550" s="2">
        <v>134.97999999999999</v>
      </c>
      <c r="J550" s="2">
        <v>210.09</v>
      </c>
      <c r="K550" s="2">
        <v>401.7</v>
      </c>
      <c r="L550" s="2">
        <v>405.49</v>
      </c>
      <c r="M550" s="8"/>
      <c r="N550" s="8" t="s">
        <v>10181</v>
      </c>
      <c r="O550" s="8" t="s">
        <v>10393</v>
      </c>
      <c r="P550" s="8" t="str">
        <f t="shared" si="28"/>
        <v>PDFを開く</v>
      </c>
      <c r="Q550" s="8" t="s">
        <v>923</v>
      </c>
    </row>
    <row r="551" spans="1:17" ht="62.1" customHeight="1">
      <c r="A551" s="5" t="s">
        <v>924</v>
      </c>
      <c r="B551" s="5" t="s">
        <v>73</v>
      </c>
      <c r="C551" s="9" t="s">
        <v>925</v>
      </c>
      <c r="D551" s="5">
        <v>1</v>
      </c>
      <c r="E551" s="9" t="s">
        <v>10156</v>
      </c>
      <c r="F551" s="5">
        <v>1</v>
      </c>
      <c r="G551" s="9" t="s">
        <v>9578</v>
      </c>
      <c r="H551" s="9" t="s">
        <v>9578</v>
      </c>
      <c r="I551" s="5">
        <v>13.97</v>
      </c>
      <c r="J551" s="5">
        <v>109.56</v>
      </c>
      <c r="K551" s="5">
        <v>343.13</v>
      </c>
      <c r="L551" s="5">
        <v>485.34</v>
      </c>
      <c r="M551" s="9"/>
      <c r="N551" s="9" t="s">
        <v>10159</v>
      </c>
      <c r="O551" s="9" t="s">
        <v>8062</v>
      </c>
      <c r="P551" s="9" t="str">
        <f>HYPERLINK("https://seichotoushi-hojo.jp/assets/pdf/koufu/outline_4.pdf","PDFを開く")</f>
        <v>PDFを開く</v>
      </c>
      <c r="Q551" s="9" t="s">
        <v>930</v>
      </c>
    </row>
    <row r="552" spans="1:17" ht="62.1" customHeight="1">
      <c r="A552" s="2" t="s">
        <v>924</v>
      </c>
      <c r="B552" s="2" t="s">
        <v>73</v>
      </c>
      <c r="C552" s="8" t="s">
        <v>925</v>
      </c>
      <c r="D552" s="2">
        <v>1</v>
      </c>
      <c r="E552" s="8" t="s">
        <v>10156</v>
      </c>
      <c r="F552" s="2">
        <v>2</v>
      </c>
      <c r="G552" s="8" t="s">
        <v>10162</v>
      </c>
      <c r="H552" s="8" t="s">
        <v>10162</v>
      </c>
      <c r="I552" s="2">
        <v>368.39</v>
      </c>
      <c r="J552" s="2">
        <v>109.56</v>
      </c>
      <c r="K552" s="2">
        <v>828.17</v>
      </c>
      <c r="L552" s="2">
        <v>414</v>
      </c>
      <c r="M552" s="8"/>
      <c r="N552" s="8" t="s">
        <v>10159</v>
      </c>
      <c r="O552" s="8" t="s">
        <v>8063</v>
      </c>
      <c r="P552" s="8" t="str">
        <f>HYPERLINK("https://seichotoushi-hojo.jp/assets/pdf/koufu/outline_4.pdf","PDFを開く")</f>
        <v>PDFを開く</v>
      </c>
      <c r="Q552" s="8" t="s">
        <v>930</v>
      </c>
    </row>
    <row r="553" spans="1:17" ht="62.1" customHeight="1">
      <c r="A553" s="5" t="s">
        <v>924</v>
      </c>
      <c r="B553" s="5" t="s">
        <v>73</v>
      </c>
      <c r="C553" s="9" t="s">
        <v>925</v>
      </c>
      <c r="D553" s="5">
        <v>1</v>
      </c>
      <c r="E553" s="9" t="s">
        <v>10156</v>
      </c>
      <c r="F553" s="5">
        <v>3</v>
      </c>
      <c r="G553" s="9" t="s">
        <v>10163</v>
      </c>
      <c r="H553" s="9" t="s">
        <v>10163</v>
      </c>
      <c r="I553" s="5">
        <v>367.91</v>
      </c>
      <c r="J553" s="5">
        <v>419.1</v>
      </c>
      <c r="K553" s="5">
        <v>827.75</v>
      </c>
      <c r="L553" s="5">
        <v>568.26</v>
      </c>
      <c r="M553" s="9"/>
      <c r="N553" s="9" t="s">
        <v>10159</v>
      </c>
      <c r="O553" s="9" t="s">
        <v>8064</v>
      </c>
      <c r="P553" s="9" t="str">
        <f>HYPERLINK("https://seichotoushi-hojo.jp/assets/pdf/koufu/outline_4.pdf","PDFを開く")</f>
        <v>PDFを開く</v>
      </c>
      <c r="Q553" s="9" t="s">
        <v>930</v>
      </c>
    </row>
    <row r="554" spans="1:17" ht="62.1" customHeight="1">
      <c r="A554" s="2" t="s">
        <v>924</v>
      </c>
      <c r="B554" s="2" t="s">
        <v>73</v>
      </c>
      <c r="C554" s="8" t="s">
        <v>925</v>
      </c>
      <c r="D554" s="2">
        <v>1</v>
      </c>
      <c r="E554" s="8" t="s">
        <v>10156</v>
      </c>
      <c r="F554" s="2">
        <v>4</v>
      </c>
      <c r="G554" s="8" t="s">
        <v>8581</v>
      </c>
      <c r="H554" s="8" t="s">
        <v>8581</v>
      </c>
      <c r="I554" s="2">
        <v>13.97</v>
      </c>
      <c r="J554" s="2">
        <v>485.34</v>
      </c>
      <c r="K554" s="2">
        <v>341.57</v>
      </c>
      <c r="L554" s="2">
        <v>572.70000000000005</v>
      </c>
      <c r="M554" s="8"/>
      <c r="N554" s="8" t="s">
        <v>10159</v>
      </c>
      <c r="O554" s="8" t="s">
        <v>928</v>
      </c>
      <c r="P554" s="8" t="str">
        <f>HYPERLINK("https://seichotoushi-hojo.jp/assets/pdf/koufu/outline_4.pdf","PDFを開く")</f>
        <v>PDFを開く</v>
      </c>
      <c r="Q554" s="8" t="s">
        <v>930</v>
      </c>
    </row>
    <row r="555" spans="1:17" ht="62.1" customHeight="1">
      <c r="A555" s="5" t="s">
        <v>924</v>
      </c>
      <c r="B555" s="5" t="s">
        <v>73</v>
      </c>
      <c r="C555" s="9" t="s">
        <v>925</v>
      </c>
      <c r="D555" s="5">
        <v>2</v>
      </c>
      <c r="E555" s="9" t="s">
        <v>10165</v>
      </c>
      <c r="F555" s="5">
        <v>1</v>
      </c>
      <c r="G555" s="9" t="s">
        <v>10167</v>
      </c>
      <c r="H555" s="9" t="s">
        <v>10394</v>
      </c>
      <c r="I555" s="5">
        <v>222.95</v>
      </c>
      <c r="J555" s="5">
        <v>438.96</v>
      </c>
      <c r="K555" s="5">
        <v>535.19000000000005</v>
      </c>
      <c r="L555" s="5">
        <v>472.62</v>
      </c>
      <c r="M555" s="9"/>
      <c r="N555" s="9" t="s">
        <v>10159</v>
      </c>
      <c r="O555" s="9" t="s">
        <v>10395</v>
      </c>
      <c r="P555" s="9" t="str">
        <f>HYPERLINK("https://seichotoushi-hojo.jp/assets/pdf/koufu/outline_4.pdf","PDFを開く")</f>
        <v>PDFを開く</v>
      </c>
      <c r="Q555" s="9" t="s">
        <v>930</v>
      </c>
    </row>
    <row r="556" spans="1:17" ht="62.1" customHeight="1">
      <c r="A556" s="2" t="s">
        <v>931</v>
      </c>
      <c r="B556" s="2" t="s">
        <v>73</v>
      </c>
      <c r="C556" s="8" t="s">
        <v>932</v>
      </c>
      <c r="D556" s="2">
        <v>1</v>
      </c>
      <c r="E556" s="8" t="s">
        <v>10156</v>
      </c>
      <c r="F556" s="2">
        <v>1</v>
      </c>
      <c r="G556" s="8" t="s">
        <v>10162</v>
      </c>
      <c r="H556" s="8" t="s">
        <v>10162</v>
      </c>
      <c r="I556" s="2">
        <v>33.770000000000003</v>
      </c>
      <c r="J556" s="2">
        <v>115.44</v>
      </c>
      <c r="K556" s="2">
        <v>431.51</v>
      </c>
      <c r="L556" s="2">
        <v>341.82</v>
      </c>
      <c r="M556" s="8"/>
      <c r="N556" s="8" t="s">
        <v>10159</v>
      </c>
      <c r="O556" s="8" t="s">
        <v>8070</v>
      </c>
      <c r="P556" s="8" t="str">
        <f>HYPERLINK("https://seichotoushi-hojo.jp/assets/pdf/koufu/outline_40.pdf","PDFを開く")</f>
        <v>PDFを開く</v>
      </c>
      <c r="Q556" s="8" t="s">
        <v>939</v>
      </c>
    </row>
    <row r="557" spans="1:17" ht="62.1" customHeight="1">
      <c r="A557" s="5" t="s">
        <v>931</v>
      </c>
      <c r="B557" s="5" t="s">
        <v>73</v>
      </c>
      <c r="C557" s="9" t="s">
        <v>932</v>
      </c>
      <c r="D557" s="5">
        <v>1</v>
      </c>
      <c r="E557" s="9" t="s">
        <v>10156</v>
      </c>
      <c r="F557" s="5">
        <v>2</v>
      </c>
      <c r="G557" s="9" t="s">
        <v>10163</v>
      </c>
      <c r="H557" s="9" t="s">
        <v>10163</v>
      </c>
      <c r="I557" s="5">
        <v>437.69</v>
      </c>
      <c r="J557" s="5">
        <v>115.44</v>
      </c>
      <c r="K557" s="5">
        <v>835.43</v>
      </c>
      <c r="L557" s="5">
        <v>341.82</v>
      </c>
      <c r="M557" s="9"/>
      <c r="N557" s="9" t="s">
        <v>10159</v>
      </c>
      <c r="O557" s="9" t="s">
        <v>8071</v>
      </c>
      <c r="P557" s="9" t="str">
        <f>HYPERLINK("https://seichotoushi-hojo.jp/assets/pdf/koufu/outline_40.pdf","PDFを開く")</f>
        <v>PDFを開く</v>
      </c>
      <c r="Q557" s="9" t="s">
        <v>939</v>
      </c>
    </row>
    <row r="558" spans="1:17" ht="62.1" customHeight="1">
      <c r="A558" s="2" t="s">
        <v>931</v>
      </c>
      <c r="B558" s="2" t="s">
        <v>73</v>
      </c>
      <c r="C558" s="8" t="s">
        <v>932</v>
      </c>
      <c r="D558" s="2">
        <v>1</v>
      </c>
      <c r="E558" s="8" t="s">
        <v>10156</v>
      </c>
      <c r="F558" s="2">
        <v>3</v>
      </c>
      <c r="G558" s="8" t="s">
        <v>9578</v>
      </c>
      <c r="H558" s="8" t="s">
        <v>9578</v>
      </c>
      <c r="I558" s="2">
        <v>33.770000000000003</v>
      </c>
      <c r="J558" s="2">
        <v>360.9</v>
      </c>
      <c r="K558" s="2">
        <v>664.73</v>
      </c>
      <c r="L558" s="2">
        <v>476.76</v>
      </c>
      <c r="M558" s="8"/>
      <c r="N558" s="8" t="s">
        <v>10159</v>
      </c>
      <c r="O558" s="8" t="s">
        <v>8069</v>
      </c>
      <c r="P558" s="8" t="str">
        <f>HYPERLINK("https://seichotoushi-hojo.jp/assets/pdf/koufu/outline_40.pdf","PDFを開く")</f>
        <v>PDFを開く</v>
      </c>
      <c r="Q558" s="8" t="s">
        <v>939</v>
      </c>
    </row>
    <row r="559" spans="1:17" ht="62.1" customHeight="1">
      <c r="A559" s="5" t="s">
        <v>931</v>
      </c>
      <c r="B559" s="5" t="s">
        <v>73</v>
      </c>
      <c r="C559" s="9" t="s">
        <v>932</v>
      </c>
      <c r="D559" s="5">
        <v>1</v>
      </c>
      <c r="E559" s="9" t="s">
        <v>10156</v>
      </c>
      <c r="F559" s="5">
        <v>4</v>
      </c>
      <c r="G559" s="9" t="s">
        <v>8581</v>
      </c>
      <c r="H559" s="9" t="s">
        <v>8581</v>
      </c>
      <c r="I559" s="5">
        <v>33.770000000000003</v>
      </c>
      <c r="J559" s="5">
        <v>488.76</v>
      </c>
      <c r="K559" s="5">
        <v>664.73</v>
      </c>
      <c r="L559" s="5">
        <v>568.26</v>
      </c>
      <c r="M559" s="9"/>
      <c r="N559" s="9" t="s">
        <v>10159</v>
      </c>
      <c r="O559" s="9" t="s">
        <v>936</v>
      </c>
      <c r="P559" s="9" t="str">
        <f>HYPERLINK("https://seichotoushi-hojo.jp/assets/pdf/koufu/outline_40.pdf","PDFを開く")</f>
        <v>PDFを開く</v>
      </c>
      <c r="Q559" s="9" t="s">
        <v>939</v>
      </c>
    </row>
    <row r="560" spans="1:17" ht="62.1" customHeight="1">
      <c r="A560" s="2" t="s">
        <v>931</v>
      </c>
      <c r="B560" s="2" t="s">
        <v>73</v>
      </c>
      <c r="C560" s="8" t="s">
        <v>932</v>
      </c>
      <c r="D560" s="2">
        <v>2</v>
      </c>
      <c r="E560" s="8" t="s">
        <v>10165</v>
      </c>
      <c r="F560" s="2">
        <v>1</v>
      </c>
      <c r="G560" s="8" t="s">
        <v>10167</v>
      </c>
      <c r="H560" s="8" t="s">
        <v>10396</v>
      </c>
      <c r="I560" s="2">
        <v>137.03</v>
      </c>
      <c r="J560" s="2">
        <v>436.5</v>
      </c>
      <c r="K560" s="2">
        <v>798.35</v>
      </c>
      <c r="L560" s="2">
        <v>466.92</v>
      </c>
      <c r="M560" s="8"/>
      <c r="N560" s="8" t="s">
        <v>10159</v>
      </c>
      <c r="O560" s="8" t="s">
        <v>10397</v>
      </c>
      <c r="P560" s="8" t="str">
        <f>HYPERLINK("https://seichotoushi-hojo.jp/assets/pdf/koufu/outline_40.pdf","PDFを開く")</f>
        <v>PDFを開く</v>
      </c>
      <c r="Q560" s="8" t="s">
        <v>939</v>
      </c>
    </row>
    <row r="561" spans="1:17" ht="62.1" customHeight="1">
      <c r="A561" s="5" t="s">
        <v>940</v>
      </c>
      <c r="B561" s="5" t="s">
        <v>73</v>
      </c>
      <c r="C561" s="9" t="s">
        <v>941</v>
      </c>
      <c r="D561" s="5">
        <v>1</v>
      </c>
      <c r="E561" s="9" t="s">
        <v>10156</v>
      </c>
      <c r="F561" s="5">
        <v>1</v>
      </c>
      <c r="G561" s="9" t="s">
        <v>10157</v>
      </c>
      <c r="H561" s="9" t="s">
        <v>10157</v>
      </c>
      <c r="I561" s="5">
        <v>40.32</v>
      </c>
      <c r="J561" s="5">
        <v>40.26</v>
      </c>
      <c r="K561" s="5">
        <v>740.46</v>
      </c>
      <c r="L561" s="5">
        <v>87.84</v>
      </c>
      <c r="M561" s="9" t="s">
        <v>10158</v>
      </c>
      <c r="N561" s="9" t="s">
        <v>10159</v>
      </c>
      <c r="O561" s="9" t="s">
        <v>10398</v>
      </c>
      <c r="P561" s="9" t="str">
        <f t="shared" ref="P561:P567" si="29">HYPERLINK("https://seichotoushi-hojo.jp/assets/pdf/koufu/outline_41.pdf","PDFを開く")</f>
        <v>PDFを開く</v>
      </c>
      <c r="Q561" s="9" t="s">
        <v>947</v>
      </c>
    </row>
    <row r="562" spans="1:17" ht="62.1" customHeight="1">
      <c r="A562" s="2" t="s">
        <v>940</v>
      </c>
      <c r="B562" s="2" t="s">
        <v>73</v>
      </c>
      <c r="C562" s="8" t="s">
        <v>941</v>
      </c>
      <c r="D562" s="2">
        <v>1</v>
      </c>
      <c r="E562" s="8" t="s">
        <v>10156</v>
      </c>
      <c r="F562" s="2">
        <v>2</v>
      </c>
      <c r="G562" s="8" t="s">
        <v>9578</v>
      </c>
      <c r="H562" s="8" t="s">
        <v>9578</v>
      </c>
      <c r="I562" s="2">
        <v>39.659999999999997</v>
      </c>
      <c r="J562" s="2">
        <v>104.76</v>
      </c>
      <c r="K562" s="2">
        <v>378.78</v>
      </c>
      <c r="L562" s="2">
        <v>488.28</v>
      </c>
      <c r="M562" s="8"/>
      <c r="N562" s="8" t="s">
        <v>10159</v>
      </c>
      <c r="O562" s="8" t="s">
        <v>10399</v>
      </c>
      <c r="P562" s="8" t="str">
        <f t="shared" si="29"/>
        <v>PDFを開く</v>
      </c>
      <c r="Q562" s="8" t="s">
        <v>947</v>
      </c>
    </row>
    <row r="563" spans="1:17" ht="62.1" customHeight="1">
      <c r="A563" s="5" t="s">
        <v>940</v>
      </c>
      <c r="B563" s="5" t="s">
        <v>73</v>
      </c>
      <c r="C563" s="9" t="s">
        <v>941</v>
      </c>
      <c r="D563" s="5">
        <v>1</v>
      </c>
      <c r="E563" s="9" t="s">
        <v>10156</v>
      </c>
      <c r="F563" s="5">
        <v>3</v>
      </c>
      <c r="G563" s="9" t="s">
        <v>10162</v>
      </c>
      <c r="H563" s="9" t="s">
        <v>10162</v>
      </c>
      <c r="I563" s="5">
        <v>395.91</v>
      </c>
      <c r="J563" s="5">
        <v>105.93</v>
      </c>
      <c r="K563" s="5">
        <v>739.41</v>
      </c>
      <c r="L563" s="5">
        <v>303.75</v>
      </c>
      <c r="M563" s="9"/>
      <c r="N563" s="9" t="s">
        <v>10159</v>
      </c>
      <c r="O563" s="9" t="s">
        <v>8078</v>
      </c>
      <c r="P563" s="9" t="str">
        <f t="shared" si="29"/>
        <v>PDFを開く</v>
      </c>
      <c r="Q563" s="9" t="s">
        <v>947</v>
      </c>
    </row>
    <row r="564" spans="1:17" ht="62.1" customHeight="1">
      <c r="A564" s="2" t="s">
        <v>940</v>
      </c>
      <c r="B564" s="2" t="s">
        <v>73</v>
      </c>
      <c r="C564" s="8" t="s">
        <v>941</v>
      </c>
      <c r="D564" s="2">
        <v>1</v>
      </c>
      <c r="E564" s="8" t="s">
        <v>10156</v>
      </c>
      <c r="F564" s="2">
        <v>4</v>
      </c>
      <c r="G564" s="8" t="s">
        <v>10163</v>
      </c>
      <c r="H564" s="8" t="s">
        <v>10163</v>
      </c>
      <c r="I564" s="2">
        <v>396.33</v>
      </c>
      <c r="J564" s="2">
        <v>309.75</v>
      </c>
      <c r="K564" s="2">
        <v>739.83</v>
      </c>
      <c r="L564" s="2">
        <v>488.31</v>
      </c>
      <c r="M564" s="8"/>
      <c r="N564" s="8" t="s">
        <v>10159</v>
      </c>
      <c r="O564" s="8" t="s">
        <v>8079</v>
      </c>
      <c r="P564" s="8" t="str">
        <f t="shared" si="29"/>
        <v>PDFを開く</v>
      </c>
      <c r="Q564" s="8" t="s">
        <v>947</v>
      </c>
    </row>
    <row r="565" spans="1:17" ht="62.1" customHeight="1">
      <c r="A565" s="5" t="s">
        <v>940</v>
      </c>
      <c r="B565" s="5" t="s">
        <v>73</v>
      </c>
      <c r="C565" s="9" t="s">
        <v>941</v>
      </c>
      <c r="D565" s="5">
        <v>1</v>
      </c>
      <c r="E565" s="9" t="s">
        <v>10156</v>
      </c>
      <c r="F565" s="5">
        <v>5</v>
      </c>
      <c r="G565" s="9" t="s">
        <v>8581</v>
      </c>
      <c r="H565" s="9" t="s">
        <v>8581</v>
      </c>
      <c r="I565" s="5">
        <v>47.46</v>
      </c>
      <c r="J565" s="5">
        <v>430.14</v>
      </c>
      <c r="K565" s="5">
        <v>366.96</v>
      </c>
      <c r="L565" s="5">
        <v>483.48</v>
      </c>
      <c r="M565" s="9"/>
      <c r="N565" s="9" t="s">
        <v>10159</v>
      </c>
      <c r="O565" s="9" t="s">
        <v>945</v>
      </c>
      <c r="P565" s="9" t="str">
        <f t="shared" si="29"/>
        <v>PDFを開く</v>
      </c>
      <c r="Q565" s="9" t="s">
        <v>947</v>
      </c>
    </row>
    <row r="566" spans="1:17" ht="62.1" customHeight="1">
      <c r="A566" s="2" t="s">
        <v>940</v>
      </c>
      <c r="B566" s="2" t="s">
        <v>73</v>
      </c>
      <c r="C566" s="8" t="s">
        <v>941</v>
      </c>
      <c r="D566" s="2">
        <v>1</v>
      </c>
      <c r="E566" s="8" t="s">
        <v>10156</v>
      </c>
      <c r="F566" s="2">
        <v>6</v>
      </c>
      <c r="G566" s="8" t="s">
        <v>9578</v>
      </c>
      <c r="H566" s="8" t="s">
        <v>9578</v>
      </c>
      <c r="I566" s="2">
        <v>39.96</v>
      </c>
      <c r="J566" s="2">
        <v>494.7</v>
      </c>
      <c r="K566" s="2">
        <v>740.04</v>
      </c>
      <c r="L566" s="2">
        <v>533.94000000000005</v>
      </c>
      <c r="M566" s="8"/>
      <c r="N566" s="8" t="s">
        <v>10159</v>
      </c>
      <c r="O566" s="8" t="s">
        <v>10164</v>
      </c>
      <c r="P566" s="8" t="str">
        <f t="shared" si="29"/>
        <v>PDFを開く</v>
      </c>
      <c r="Q566" s="8" t="s">
        <v>947</v>
      </c>
    </row>
    <row r="567" spans="1:17" ht="62.1" customHeight="1">
      <c r="A567" s="5" t="s">
        <v>940</v>
      </c>
      <c r="B567" s="5" t="s">
        <v>73</v>
      </c>
      <c r="C567" s="9" t="s">
        <v>941</v>
      </c>
      <c r="D567" s="5">
        <v>2</v>
      </c>
      <c r="E567" s="9" t="s">
        <v>10165</v>
      </c>
      <c r="F567" s="5">
        <v>1</v>
      </c>
      <c r="G567" s="9" t="s">
        <v>10157</v>
      </c>
      <c r="H567" s="9" t="s">
        <v>10157</v>
      </c>
      <c r="I567" s="5">
        <v>40.32</v>
      </c>
      <c r="J567" s="5">
        <v>40.26</v>
      </c>
      <c r="K567" s="5">
        <v>740.46</v>
      </c>
      <c r="L567" s="5">
        <v>87.84</v>
      </c>
      <c r="M567" s="9" t="s">
        <v>10158</v>
      </c>
      <c r="N567" s="9" t="s">
        <v>10159</v>
      </c>
      <c r="O567" s="9" t="s">
        <v>10400</v>
      </c>
      <c r="P567" s="9" t="str">
        <f t="shared" si="29"/>
        <v>PDFを開く</v>
      </c>
      <c r="Q567" s="9" t="s">
        <v>947</v>
      </c>
    </row>
    <row r="568" spans="1:17" ht="62.1" customHeight="1">
      <c r="A568" s="2" t="s">
        <v>948</v>
      </c>
      <c r="B568" s="2" t="s">
        <v>73</v>
      </c>
      <c r="C568" s="8" t="s">
        <v>949</v>
      </c>
      <c r="D568" s="2">
        <v>1</v>
      </c>
      <c r="E568" s="8" t="s">
        <v>10156</v>
      </c>
      <c r="F568" s="2">
        <v>1</v>
      </c>
      <c r="G568" s="8" t="s">
        <v>9578</v>
      </c>
      <c r="H568" s="8" t="s">
        <v>9578</v>
      </c>
      <c r="I568" s="2">
        <v>42.84</v>
      </c>
      <c r="J568" s="2">
        <v>137.4</v>
      </c>
      <c r="K568" s="2">
        <v>408.84</v>
      </c>
      <c r="L568" s="2">
        <v>545.64</v>
      </c>
      <c r="M568" s="8"/>
      <c r="N568" s="8" t="s">
        <v>10159</v>
      </c>
      <c r="O568" s="8" t="s">
        <v>8084</v>
      </c>
      <c r="P568" s="8" t="str">
        <f>HYPERLINK("https://seichotoushi-hojo.jp/assets/pdf/koufu/outline_42.pdf","PDFを開く")</f>
        <v>PDFを開く</v>
      </c>
      <c r="Q568" s="8" t="s">
        <v>954</v>
      </c>
    </row>
    <row r="569" spans="1:17" ht="62.1" customHeight="1">
      <c r="A569" s="5" t="s">
        <v>948</v>
      </c>
      <c r="B569" s="5" t="s">
        <v>73</v>
      </c>
      <c r="C569" s="9" t="s">
        <v>949</v>
      </c>
      <c r="D569" s="5">
        <v>1</v>
      </c>
      <c r="E569" s="9" t="s">
        <v>10156</v>
      </c>
      <c r="F569" s="5">
        <v>2</v>
      </c>
      <c r="G569" s="9" t="s">
        <v>10162</v>
      </c>
      <c r="H569" s="9" t="s">
        <v>10162</v>
      </c>
      <c r="I569" s="5">
        <v>427.8</v>
      </c>
      <c r="J569" s="5">
        <v>137.4</v>
      </c>
      <c r="K569" s="5">
        <v>799.08</v>
      </c>
      <c r="L569" s="5">
        <v>335.28</v>
      </c>
      <c r="M569" s="9"/>
      <c r="N569" s="9" t="s">
        <v>10159</v>
      </c>
      <c r="O569" s="9" t="s">
        <v>8085</v>
      </c>
      <c r="P569" s="9" t="str">
        <f>HYPERLINK("https://seichotoushi-hojo.jp/assets/pdf/koufu/outline_42.pdf","PDFを開く")</f>
        <v>PDFを開く</v>
      </c>
      <c r="Q569" s="9" t="s">
        <v>954</v>
      </c>
    </row>
    <row r="570" spans="1:17" ht="62.1" customHeight="1">
      <c r="A570" s="2" t="s">
        <v>948</v>
      </c>
      <c r="B570" s="2" t="s">
        <v>73</v>
      </c>
      <c r="C570" s="8" t="s">
        <v>949</v>
      </c>
      <c r="D570" s="2">
        <v>1</v>
      </c>
      <c r="E570" s="8" t="s">
        <v>10156</v>
      </c>
      <c r="F570" s="2">
        <v>3</v>
      </c>
      <c r="G570" s="8" t="s">
        <v>10163</v>
      </c>
      <c r="H570" s="8" t="s">
        <v>10163</v>
      </c>
      <c r="I570" s="2">
        <v>427.8</v>
      </c>
      <c r="J570" s="2">
        <v>345.36</v>
      </c>
      <c r="K570" s="2">
        <v>799.08</v>
      </c>
      <c r="L570" s="2">
        <v>545.64</v>
      </c>
      <c r="M570" s="8"/>
      <c r="N570" s="8" t="s">
        <v>10159</v>
      </c>
      <c r="O570" s="8" t="s">
        <v>8086</v>
      </c>
      <c r="P570" s="8" t="str">
        <f>HYPERLINK("https://seichotoushi-hojo.jp/assets/pdf/koufu/outline_42.pdf","PDFを開く")</f>
        <v>PDFを開く</v>
      </c>
      <c r="Q570" s="8" t="s">
        <v>954</v>
      </c>
    </row>
    <row r="571" spans="1:17" ht="62.1" customHeight="1">
      <c r="A571" s="5" t="s">
        <v>948</v>
      </c>
      <c r="B571" s="5" t="s">
        <v>73</v>
      </c>
      <c r="C571" s="9" t="s">
        <v>949</v>
      </c>
      <c r="D571" s="5">
        <v>1</v>
      </c>
      <c r="E571" s="9" t="s">
        <v>10156</v>
      </c>
      <c r="F571" s="5">
        <v>4</v>
      </c>
      <c r="G571" s="9" t="s">
        <v>8581</v>
      </c>
      <c r="H571" s="9" t="s">
        <v>8581</v>
      </c>
      <c r="I571" s="5">
        <v>53.4</v>
      </c>
      <c r="J571" s="5">
        <v>445.56</v>
      </c>
      <c r="K571" s="5">
        <v>398.28</v>
      </c>
      <c r="L571" s="5">
        <v>514.67999999999995</v>
      </c>
      <c r="M571" s="9"/>
      <c r="N571" s="9" t="s">
        <v>10159</v>
      </c>
      <c r="O571" s="9" t="s">
        <v>952</v>
      </c>
      <c r="P571" s="9" t="str">
        <f>HYPERLINK("https://seichotoushi-hojo.jp/assets/pdf/koufu/outline_42.pdf","PDFを開く")</f>
        <v>PDFを開く</v>
      </c>
      <c r="Q571" s="9" t="s">
        <v>954</v>
      </c>
    </row>
    <row r="572" spans="1:17" ht="62.1" customHeight="1">
      <c r="A572" s="2" t="s">
        <v>948</v>
      </c>
      <c r="B572" s="2" t="s">
        <v>73</v>
      </c>
      <c r="C572" s="8" t="s">
        <v>949</v>
      </c>
      <c r="D572" s="2">
        <v>2</v>
      </c>
      <c r="E572" s="8" t="s">
        <v>10165</v>
      </c>
      <c r="F572" s="2">
        <v>1</v>
      </c>
      <c r="G572" s="8" t="s">
        <v>10167</v>
      </c>
      <c r="H572" s="8" t="s">
        <v>3504</v>
      </c>
      <c r="I572" s="2">
        <v>136.91999999999999</v>
      </c>
      <c r="J572" s="2">
        <v>436.68</v>
      </c>
      <c r="K572" s="2">
        <v>566.76</v>
      </c>
      <c r="L572" s="2">
        <v>467.16</v>
      </c>
      <c r="M572" s="8"/>
      <c r="N572" s="8" t="s">
        <v>10159</v>
      </c>
      <c r="O572" s="8" t="s">
        <v>10186</v>
      </c>
      <c r="P572" s="8" t="str">
        <f>HYPERLINK("https://seichotoushi-hojo.jp/assets/pdf/koufu/outline_42.pdf","PDFを開く")</f>
        <v>PDFを開く</v>
      </c>
      <c r="Q572" s="8" t="s">
        <v>954</v>
      </c>
    </row>
    <row r="573" spans="1:17" ht="62.1" customHeight="1">
      <c r="A573" s="5" t="s">
        <v>955</v>
      </c>
      <c r="B573" s="5" t="s">
        <v>73</v>
      </c>
      <c r="C573" s="9" t="s">
        <v>956</v>
      </c>
      <c r="D573" s="5">
        <v>1</v>
      </c>
      <c r="E573" s="9" t="s">
        <v>10156</v>
      </c>
      <c r="F573" s="5">
        <v>1</v>
      </c>
      <c r="G573" s="9" t="s">
        <v>9578</v>
      </c>
      <c r="H573" s="9" t="s">
        <v>9578</v>
      </c>
      <c r="I573" s="5">
        <v>34.92</v>
      </c>
      <c r="J573" s="5">
        <v>172.08</v>
      </c>
      <c r="K573" s="5">
        <v>418.56</v>
      </c>
      <c r="L573" s="5">
        <v>549.72</v>
      </c>
      <c r="M573" s="9"/>
      <c r="N573" s="9" t="s">
        <v>10159</v>
      </c>
      <c r="O573" s="9" t="s">
        <v>8092</v>
      </c>
      <c r="P573" s="9" t="str">
        <f t="shared" ref="P573:P581" si="30">HYPERLINK("https://seichotoushi-hojo.jp/assets/pdf/koufu/outline_43.pdf","PDFを開く")</f>
        <v>PDFを開く</v>
      </c>
      <c r="Q573" s="9" t="s">
        <v>964</v>
      </c>
    </row>
    <row r="574" spans="1:17" ht="62.1" customHeight="1">
      <c r="A574" s="2" t="s">
        <v>955</v>
      </c>
      <c r="B574" s="2" t="s">
        <v>73</v>
      </c>
      <c r="C574" s="8" t="s">
        <v>956</v>
      </c>
      <c r="D574" s="2">
        <v>1</v>
      </c>
      <c r="E574" s="8" t="s">
        <v>10156</v>
      </c>
      <c r="F574" s="2">
        <v>2</v>
      </c>
      <c r="G574" s="8" t="s">
        <v>10162</v>
      </c>
      <c r="H574" s="8" t="s">
        <v>10162</v>
      </c>
      <c r="I574" s="2">
        <v>437.52</v>
      </c>
      <c r="J574" s="2">
        <v>176.4</v>
      </c>
      <c r="K574" s="2">
        <v>808.2</v>
      </c>
      <c r="L574" s="2">
        <v>347.16</v>
      </c>
      <c r="M574" s="8"/>
      <c r="N574" s="8" t="s">
        <v>10159</v>
      </c>
      <c r="O574" s="8" t="s">
        <v>8093</v>
      </c>
      <c r="P574" s="8" t="str">
        <f t="shared" si="30"/>
        <v>PDFを開く</v>
      </c>
      <c r="Q574" s="8" t="s">
        <v>964</v>
      </c>
    </row>
    <row r="575" spans="1:17" ht="62.1" customHeight="1">
      <c r="A575" s="5" t="s">
        <v>955</v>
      </c>
      <c r="B575" s="5" t="s">
        <v>73</v>
      </c>
      <c r="C575" s="9" t="s">
        <v>956</v>
      </c>
      <c r="D575" s="5">
        <v>1</v>
      </c>
      <c r="E575" s="9" t="s">
        <v>10156</v>
      </c>
      <c r="F575" s="5">
        <v>3</v>
      </c>
      <c r="G575" s="9" t="s">
        <v>10163</v>
      </c>
      <c r="H575" s="9" t="s">
        <v>10163</v>
      </c>
      <c r="I575" s="5">
        <v>437.52</v>
      </c>
      <c r="J575" s="5">
        <v>372</v>
      </c>
      <c r="K575" s="5">
        <v>808.2</v>
      </c>
      <c r="L575" s="5">
        <v>542.88</v>
      </c>
      <c r="M575" s="9"/>
      <c r="N575" s="9" t="s">
        <v>10159</v>
      </c>
      <c r="O575" s="9" t="s">
        <v>8094</v>
      </c>
      <c r="P575" s="9" t="str">
        <f t="shared" si="30"/>
        <v>PDFを開く</v>
      </c>
      <c r="Q575" s="9" t="s">
        <v>964</v>
      </c>
    </row>
    <row r="576" spans="1:17" ht="62.1" customHeight="1">
      <c r="A576" s="2" t="s">
        <v>955</v>
      </c>
      <c r="B576" s="2" t="s">
        <v>73</v>
      </c>
      <c r="C576" s="8" t="s">
        <v>956</v>
      </c>
      <c r="D576" s="2">
        <v>1</v>
      </c>
      <c r="E576" s="8" t="s">
        <v>10156</v>
      </c>
      <c r="F576" s="2">
        <v>4</v>
      </c>
      <c r="G576" s="8" t="s">
        <v>8581</v>
      </c>
      <c r="H576" s="8" t="s">
        <v>8581</v>
      </c>
      <c r="I576" s="2">
        <v>47.88</v>
      </c>
      <c r="J576" s="2">
        <v>382.2</v>
      </c>
      <c r="K576" s="2">
        <v>408</v>
      </c>
      <c r="L576" s="2">
        <v>543.12</v>
      </c>
      <c r="M576" s="8"/>
      <c r="N576" s="8" t="s">
        <v>10159</v>
      </c>
      <c r="O576" s="8" t="s">
        <v>961</v>
      </c>
      <c r="P576" s="8" t="str">
        <f t="shared" si="30"/>
        <v>PDFを開く</v>
      </c>
      <c r="Q576" s="8" t="s">
        <v>964</v>
      </c>
    </row>
    <row r="577" spans="1:17" ht="62.1" customHeight="1">
      <c r="A577" s="5" t="s">
        <v>955</v>
      </c>
      <c r="B577" s="5" t="s">
        <v>73</v>
      </c>
      <c r="C577" s="9" t="s">
        <v>956</v>
      </c>
      <c r="D577" s="5">
        <v>2</v>
      </c>
      <c r="E577" s="9" t="s">
        <v>10165</v>
      </c>
      <c r="F577" s="5">
        <v>1</v>
      </c>
      <c r="G577" s="9" t="s">
        <v>10167</v>
      </c>
      <c r="H577" s="9" t="s">
        <v>10401</v>
      </c>
      <c r="I577" s="5">
        <v>143.04</v>
      </c>
      <c r="J577" s="5">
        <v>284.39999999999998</v>
      </c>
      <c r="K577" s="5">
        <v>426.12</v>
      </c>
      <c r="L577" s="5">
        <v>349.08</v>
      </c>
      <c r="M577" s="9"/>
      <c r="N577" s="9" t="s">
        <v>10159</v>
      </c>
      <c r="O577" s="9" t="s">
        <v>10402</v>
      </c>
      <c r="P577" s="9" t="str">
        <f t="shared" si="30"/>
        <v>PDFを開く</v>
      </c>
      <c r="Q577" s="9" t="s">
        <v>964</v>
      </c>
    </row>
    <row r="578" spans="1:17" ht="62.1" customHeight="1">
      <c r="A578" s="2" t="s">
        <v>955</v>
      </c>
      <c r="B578" s="2" t="s">
        <v>73</v>
      </c>
      <c r="C578" s="8" t="s">
        <v>956</v>
      </c>
      <c r="D578" s="2">
        <v>2</v>
      </c>
      <c r="E578" s="8" t="s">
        <v>10165</v>
      </c>
      <c r="F578" s="2">
        <v>2</v>
      </c>
      <c r="G578" s="8" t="s">
        <v>10167</v>
      </c>
      <c r="H578" s="8" t="s">
        <v>10403</v>
      </c>
      <c r="I578" s="2">
        <v>129.84</v>
      </c>
      <c r="J578" s="2">
        <v>380.64</v>
      </c>
      <c r="K578" s="2">
        <v>804</v>
      </c>
      <c r="L578" s="2">
        <v>435.6</v>
      </c>
      <c r="M578" s="8"/>
      <c r="N578" s="8" t="s">
        <v>10159</v>
      </c>
      <c r="O578" s="8" t="s">
        <v>10404</v>
      </c>
      <c r="P578" s="8" t="str">
        <f t="shared" si="30"/>
        <v>PDFを開く</v>
      </c>
      <c r="Q578" s="8" t="s">
        <v>964</v>
      </c>
    </row>
    <row r="579" spans="1:17" ht="62.1" customHeight="1">
      <c r="A579" s="5" t="s">
        <v>955</v>
      </c>
      <c r="B579" s="5" t="s">
        <v>73</v>
      </c>
      <c r="C579" s="9" t="s">
        <v>956</v>
      </c>
      <c r="D579" s="5">
        <v>2</v>
      </c>
      <c r="E579" s="9" t="s">
        <v>10165</v>
      </c>
      <c r="F579" s="5">
        <v>3</v>
      </c>
      <c r="G579" s="9" t="s">
        <v>10167</v>
      </c>
      <c r="H579" s="9" t="s">
        <v>10405</v>
      </c>
      <c r="I579" s="5">
        <v>129.84</v>
      </c>
      <c r="J579" s="5">
        <v>431.52</v>
      </c>
      <c r="K579" s="5">
        <v>806.16</v>
      </c>
      <c r="L579" s="5">
        <v>502.08</v>
      </c>
      <c r="M579" s="9"/>
      <c r="N579" s="9" t="s">
        <v>10159</v>
      </c>
      <c r="O579" s="9" t="s">
        <v>10406</v>
      </c>
      <c r="P579" s="9" t="str">
        <f t="shared" si="30"/>
        <v>PDFを開く</v>
      </c>
      <c r="Q579" s="9" t="s">
        <v>964</v>
      </c>
    </row>
    <row r="580" spans="1:17" ht="62.1" customHeight="1">
      <c r="A580" s="2" t="s">
        <v>955</v>
      </c>
      <c r="B580" s="2" t="s">
        <v>73</v>
      </c>
      <c r="C580" s="8" t="s">
        <v>956</v>
      </c>
      <c r="D580" s="2">
        <v>2</v>
      </c>
      <c r="E580" s="8" t="s">
        <v>10165</v>
      </c>
      <c r="F580" s="2">
        <v>4</v>
      </c>
      <c r="G580" s="8" t="s">
        <v>10167</v>
      </c>
      <c r="H580" s="8" t="s">
        <v>10407</v>
      </c>
      <c r="I580" s="2">
        <v>132.12</v>
      </c>
      <c r="J580" s="2">
        <v>497.4</v>
      </c>
      <c r="K580" s="2">
        <v>790.92</v>
      </c>
      <c r="L580" s="2">
        <v>552.24</v>
      </c>
      <c r="M580" s="8"/>
      <c r="N580" s="8" t="s">
        <v>10159</v>
      </c>
      <c r="O580" s="8" t="s">
        <v>10408</v>
      </c>
      <c r="P580" s="8" t="str">
        <f t="shared" si="30"/>
        <v>PDFを開く</v>
      </c>
      <c r="Q580" s="8" t="s">
        <v>964</v>
      </c>
    </row>
    <row r="581" spans="1:17" ht="62.1" customHeight="1">
      <c r="A581" s="5" t="s">
        <v>955</v>
      </c>
      <c r="B581" s="5" t="s">
        <v>73</v>
      </c>
      <c r="C581" s="9" t="s">
        <v>956</v>
      </c>
      <c r="D581" s="5">
        <v>3</v>
      </c>
      <c r="E581" s="9" t="s">
        <v>10165</v>
      </c>
      <c r="F581" s="5">
        <v>1</v>
      </c>
      <c r="G581" s="9" t="s">
        <v>10157</v>
      </c>
      <c r="H581" s="9" t="s">
        <v>10157</v>
      </c>
      <c r="I581" s="5">
        <v>0</v>
      </c>
      <c r="J581" s="5">
        <v>87.84</v>
      </c>
      <c r="K581" s="5">
        <v>841.2</v>
      </c>
      <c r="L581" s="5">
        <v>120.72</v>
      </c>
      <c r="M581" s="9"/>
      <c r="N581" s="9" t="s">
        <v>10159</v>
      </c>
      <c r="O581" s="9" t="s">
        <v>8091</v>
      </c>
      <c r="P581" s="9" t="str">
        <f t="shared" si="30"/>
        <v>PDFを開く</v>
      </c>
      <c r="Q581" s="9" t="s">
        <v>964</v>
      </c>
    </row>
    <row r="582" spans="1:17" ht="62.1" customHeight="1">
      <c r="A582" s="2" t="s">
        <v>965</v>
      </c>
      <c r="B582" s="2" t="s">
        <v>73</v>
      </c>
      <c r="C582" s="8" t="s">
        <v>966</v>
      </c>
      <c r="D582" s="2">
        <v>1</v>
      </c>
      <c r="E582" s="8" t="s">
        <v>10156</v>
      </c>
      <c r="F582" s="2">
        <v>1</v>
      </c>
      <c r="G582" s="8" t="s">
        <v>9578</v>
      </c>
      <c r="H582" s="8" t="s">
        <v>9578</v>
      </c>
      <c r="I582" s="2">
        <v>39.6</v>
      </c>
      <c r="J582" s="2">
        <v>167.88</v>
      </c>
      <c r="K582" s="2">
        <v>378.84</v>
      </c>
      <c r="L582" s="2">
        <v>499.68</v>
      </c>
      <c r="M582" s="8"/>
      <c r="N582" s="8" t="s">
        <v>10159</v>
      </c>
      <c r="O582" s="8" t="s">
        <v>8099</v>
      </c>
      <c r="P582" s="8" t="str">
        <f>HYPERLINK("https://seichotoushi-hojo.jp/assets/pdf/koufu/outline_45.pdf","PDFを開く")</f>
        <v>PDFを開く</v>
      </c>
      <c r="Q582" s="8" t="s">
        <v>971</v>
      </c>
    </row>
    <row r="583" spans="1:17" ht="62.1" customHeight="1">
      <c r="A583" s="5" t="s">
        <v>965</v>
      </c>
      <c r="B583" s="5" t="s">
        <v>73</v>
      </c>
      <c r="C583" s="9" t="s">
        <v>966</v>
      </c>
      <c r="D583" s="5">
        <v>1</v>
      </c>
      <c r="E583" s="9" t="s">
        <v>10156</v>
      </c>
      <c r="F583" s="5">
        <v>2</v>
      </c>
      <c r="G583" s="9" t="s">
        <v>10162</v>
      </c>
      <c r="H583" s="9" t="s">
        <v>10162</v>
      </c>
      <c r="I583" s="5">
        <v>396.36</v>
      </c>
      <c r="J583" s="5">
        <v>170.16</v>
      </c>
      <c r="K583" s="5">
        <v>739.8</v>
      </c>
      <c r="L583" s="5">
        <v>328.44</v>
      </c>
      <c r="M583" s="9"/>
      <c r="N583" s="9" t="s">
        <v>10159</v>
      </c>
      <c r="O583" s="9" t="s">
        <v>8100</v>
      </c>
      <c r="P583" s="9" t="str">
        <f>HYPERLINK("https://seichotoushi-hojo.jp/assets/pdf/koufu/outline_45.pdf","PDFを開く")</f>
        <v>PDFを開く</v>
      </c>
      <c r="Q583" s="9" t="s">
        <v>971</v>
      </c>
    </row>
    <row r="584" spans="1:17" ht="62.1" customHeight="1">
      <c r="A584" s="2" t="s">
        <v>965</v>
      </c>
      <c r="B584" s="2" t="s">
        <v>73</v>
      </c>
      <c r="C584" s="8" t="s">
        <v>966</v>
      </c>
      <c r="D584" s="2">
        <v>1</v>
      </c>
      <c r="E584" s="8" t="s">
        <v>10156</v>
      </c>
      <c r="F584" s="2">
        <v>3</v>
      </c>
      <c r="G584" s="8" t="s">
        <v>10163</v>
      </c>
      <c r="H584" s="8" t="s">
        <v>10163</v>
      </c>
      <c r="I584" s="2">
        <v>396.36</v>
      </c>
      <c r="J584" s="2">
        <v>341.4</v>
      </c>
      <c r="K584" s="2">
        <v>739.8</v>
      </c>
      <c r="L584" s="2">
        <v>499.68</v>
      </c>
      <c r="M584" s="8"/>
      <c r="N584" s="8" t="s">
        <v>10159</v>
      </c>
      <c r="O584" s="8" t="s">
        <v>8101</v>
      </c>
      <c r="P584" s="8" t="str">
        <f>HYPERLINK("https://seichotoushi-hojo.jp/assets/pdf/koufu/outline_45.pdf","PDFを開く")</f>
        <v>PDFを開く</v>
      </c>
      <c r="Q584" s="8" t="s">
        <v>971</v>
      </c>
    </row>
    <row r="585" spans="1:17" ht="62.1" customHeight="1">
      <c r="A585" s="5" t="s">
        <v>965</v>
      </c>
      <c r="B585" s="5" t="s">
        <v>73</v>
      </c>
      <c r="C585" s="9" t="s">
        <v>966</v>
      </c>
      <c r="D585" s="5">
        <v>1</v>
      </c>
      <c r="E585" s="9" t="s">
        <v>10156</v>
      </c>
      <c r="F585" s="5">
        <v>4</v>
      </c>
      <c r="G585" s="9" t="s">
        <v>8581</v>
      </c>
      <c r="H585" s="9" t="s">
        <v>8581</v>
      </c>
      <c r="I585" s="5">
        <v>48</v>
      </c>
      <c r="J585" s="5">
        <v>432.72</v>
      </c>
      <c r="K585" s="5">
        <v>367.56</v>
      </c>
      <c r="L585" s="5">
        <v>486.72</v>
      </c>
      <c r="M585" s="9"/>
      <c r="N585" s="9" t="s">
        <v>10159</v>
      </c>
      <c r="O585" s="9" t="s">
        <v>969</v>
      </c>
      <c r="P585" s="9" t="str">
        <f>HYPERLINK("https://seichotoushi-hojo.jp/assets/pdf/koufu/outline_45.pdf","PDFを開く")</f>
        <v>PDFを開く</v>
      </c>
      <c r="Q585" s="9" t="s">
        <v>971</v>
      </c>
    </row>
    <row r="586" spans="1:17" ht="62.1" customHeight="1">
      <c r="A586" s="2" t="s">
        <v>972</v>
      </c>
      <c r="B586" s="2" t="s">
        <v>73</v>
      </c>
      <c r="C586" s="8" t="s">
        <v>973</v>
      </c>
      <c r="D586" s="2">
        <v>1</v>
      </c>
      <c r="E586" s="8" t="s">
        <v>10156</v>
      </c>
      <c r="F586" s="2">
        <v>1</v>
      </c>
      <c r="G586" s="8" t="s">
        <v>9578</v>
      </c>
      <c r="H586" s="8" t="s">
        <v>9578</v>
      </c>
      <c r="I586" s="2">
        <v>32.75</v>
      </c>
      <c r="J586" s="2">
        <v>101.81</v>
      </c>
      <c r="K586" s="2">
        <v>371.88</v>
      </c>
      <c r="L586" s="2">
        <v>496.79</v>
      </c>
      <c r="M586" s="8"/>
      <c r="N586" s="8" t="s">
        <v>10159</v>
      </c>
      <c r="O586" s="8" t="s">
        <v>8106</v>
      </c>
      <c r="P586" s="8" t="str">
        <f>HYPERLINK("https://seichotoushi-hojo.jp/assets/pdf/koufu/outline_46.pdf","PDFを開く")</f>
        <v>PDFを開く</v>
      </c>
      <c r="Q586" s="8" t="s">
        <v>977</v>
      </c>
    </row>
    <row r="587" spans="1:17" ht="62.1" customHeight="1">
      <c r="A587" s="5" t="s">
        <v>972</v>
      </c>
      <c r="B587" s="5" t="s">
        <v>73</v>
      </c>
      <c r="C587" s="9" t="s">
        <v>973</v>
      </c>
      <c r="D587" s="5">
        <v>1</v>
      </c>
      <c r="E587" s="9" t="s">
        <v>10156</v>
      </c>
      <c r="F587" s="5">
        <v>2</v>
      </c>
      <c r="G587" s="9" t="s">
        <v>10162</v>
      </c>
      <c r="H587" s="9" t="s">
        <v>10162</v>
      </c>
      <c r="I587" s="5">
        <v>389.39</v>
      </c>
      <c r="J587" s="5">
        <v>101.81</v>
      </c>
      <c r="K587" s="5">
        <v>732.87</v>
      </c>
      <c r="L587" s="5">
        <v>290.85000000000002</v>
      </c>
      <c r="M587" s="9"/>
      <c r="N587" s="9" t="s">
        <v>10159</v>
      </c>
      <c r="O587" s="9" t="s">
        <v>8107</v>
      </c>
      <c r="P587" s="9" t="str">
        <f>HYPERLINK("https://seichotoushi-hojo.jp/assets/pdf/koufu/outline_46.pdf","PDFを開く")</f>
        <v>PDFを開く</v>
      </c>
      <c r="Q587" s="9" t="s">
        <v>977</v>
      </c>
    </row>
    <row r="588" spans="1:17" ht="62.1" customHeight="1">
      <c r="A588" s="2" t="s">
        <v>972</v>
      </c>
      <c r="B588" s="2" t="s">
        <v>73</v>
      </c>
      <c r="C588" s="8" t="s">
        <v>973</v>
      </c>
      <c r="D588" s="2">
        <v>1</v>
      </c>
      <c r="E588" s="8" t="s">
        <v>10156</v>
      </c>
      <c r="F588" s="2">
        <v>3</v>
      </c>
      <c r="G588" s="8" t="s">
        <v>10163</v>
      </c>
      <c r="H588" s="8" t="s">
        <v>10163</v>
      </c>
      <c r="I588" s="2">
        <v>389.39</v>
      </c>
      <c r="J588" s="2">
        <v>319.95</v>
      </c>
      <c r="K588" s="2">
        <v>732.87</v>
      </c>
      <c r="L588" s="2">
        <v>496.79</v>
      </c>
      <c r="M588" s="8"/>
      <c r="N588" s="8" t="s">
        <v>10159</v>
      </c>
      <c r="O588" s="8" t="s">
        <v>8108</v>
      </c>
      <c r="P588" s="8" t="str">
        <f>HYPERLINK("https://seichotoushi-hojo.jp/assets/pdf/koufu/outline_46.pdf","PDFを開く")</f>
        <v>PDFを開く</v>
      </c>
      <c r="Q588" s="8" t="s">
        <v>977</v>
      </c>
    </row>
    <row r="589" spans="1:17" ht="62.1" customHeight="1">
      <c r="A589" s="5" t="s">
        <v>972</v>
      </c>
      <c r="B589" s="5" t="s">
        <v>73</v>
      </c>
      <c r="C589" s="9" t="s">
        <v>973</v>
      </c>
      <c r="D589" s="5">
        <v>1</v>
      </c>
      <c r="E589" s="9" t="s">
        <v>10156</v>
      </c>
      <c r="F589" s="5">
        <v>4</v>
      </c>
      <c r="G589" s="9" t="s">
        <v>8581</v>
      </c>
      <c r="H589" s="9" t="s">
        <v>8581</v>
      </c>
      <c r="I589" s="5">
        <v>40.299999999999997</v>
      </c>
      <c r="J589" s="5">
        <v>395.97</v>
      </c>
      <c r="K589" s="5">
        <v>359.81</v>
      </c>
      <c r="L589" s="5">
        <v>490.79</v>
      </c>
      <c r="M589" s="9"/>
      <c r="N589" s="9" t="s">
        <v>10159</v>
      </c>
      <c r="O589" s="9" t="s">
        <v>975</v>
      </c>
      <c r="P589" s="9" t="str">
        <f>HYPERLINK("https://seichotoushi-hojo.jp/assets/pdf/koufu/outline_46.pdf","PDFを開く")</f>
        <v>PDFを開く</v>
      </c>
      <c r="Q589" s="9" t="s">
        <v>977</v>
      </c>
    </row>
    <row r="590" spans="1:17" ht="62.1" customHeight="1">
      <c r="A590" s="2" t="s">
        <v>978</v>
      </c>
      <c r="B590" s="2" t="s">
        <v>73</v>
      </c>
      <c r="C590" s="8" t="s">
        <v>979</v>
      </c>
      <c r="D590" s="2">
        <v>1</v>
      </c>
      <c r="E590" s="8" t="s">
        <v>10156</v>
      </c>
      <c r="F590" s="2">
        <v>1</v>
      </c>
      <c r="G590" s="8" t="s">
        <v>9578</v>
      </c>
      <c r="H590" s="8" t="s">
        <v>9578</v>
      </c>
      <c r="I590" s="2">
        <v>42.95</v>
      </c>
      <c r="J590" s="2">
        <v>140.46</v>
      </c>
      <c r="K590" s="2">
        <v>408.95</v>
      </c>
      <c r="L590" s="2">
        <v>510.48</v>
      </c>
      <c r="M590" s="8"/>
      <c r="N590" s="8" t="s">
        <v>10159</v>
      </c>
      <c r="O590" s="8" t="s">
        <v>8113</v>
      </c>
      <c r="P590" s="8" t="str">
        <f>HYPERLINK("https://seichotoushi-hojo.jp/assets/pdf/koufu/outline_47.pdf","PDFを開く")</f>
        <v>PDFを開く</v>
      </c>
      <c r="Q590" s="8" t="s">
        <v>984</v>
      </c>
    </row>
    <row r="591" spans="1:17" ht="62.1" customHeight="1">
      <c r="A591" s="5" t="s">
        <v>978</v>
      </c>
      <c r="B591" s="5" t="s">
        <v>73</v>
      </c>
      <c r="C591" s="9" t="s">
        <v>979</v>
      </c>
      <c r="D591" s="5">
        <v>1</v>
      </c>
      <c r="E591" s="9" t="s">
        <v>10156</v>
      </c>
      <c r="F591" s="5">
        <v>2</v>
      </c>
      <c r="G591" s="9" t="s">
        <v>10162</v>
      </c>
      <c r="H591" s="9" t="s">
        <v>10162</v>
      </c>
      <c r="I591" s="5">
        <v>427.85</v>
      </c>
      <c r="J591" s="5">
        <v>142.91999999999999</v>
      </c>
      <c r="K591" s="5">
        <v>798.59</v>
      </c>
      <c r="L591" s="5">
        <v>313.8</v>
      </c>
      <c r="M591" s="9"/>
      <c r="N591" s="9" t="s">
        <v>10159</v>
      </c>
      <c r="O591" s="9" t="s">
        <v>8114</v>
      </c>
      <c r="P591" s="9" t="str">
        <f>HYPERLINK("https://seichotoushi-hojo.jp/assets/pdf/koufu/outline_47.pdf","PDFを開く")</f>
        <v>PDFを開く</v>
      </c>
      <c r="Q591" s="9" t="s">
        <v>984</v>
      </c>
    </row>
    <row r="592" spans="1:17" ht="62.1" customHeight="1">
      <c r="A592" s="2" t="s">
        <v>978</v>
      </c>
      <c r="B592" s="2" t="s">
        <v>73</v>
      </c>
      <c r="C592" s="8" t="s">
        <v>979</v>
      </c>
      <c r="D592" s="2">
        <v>1</v>
      </c>
      <c r="E592" s="8" t="s">
        <v>10156</v>
      </c>
      <c r="F592" s="2">
        <v>3</v>
      </c>
      <c r="G592" s="8" t="s">
        <v>10163</v>
      </c>
      <c r="H592" s="8" t="s">
        <v>10163</v>
      </c>
      <c r="I592" s="2">
        <v>427.85</v>
      </c>
      <c r="J592" s="2">
        <v>327.78</v>
      </c>
      <c r="K592" s="2">
        <v>798.59</v>
      </c>
      <c r="L592" s="2">
        <v>510.48</v>
      </c>
      <c r="M592" s="8"/>
      <c r="N592" s="8" t="s">
        <v>10159</v>
      </c>
      <c r="O592" s="8" t="s">
        <v>8115</v>
      </c>
      <c r="P592" s="8" t="str">
        <f>HYPERLINK("https://seichotoushi-hojo.jp/assets/pdf/koufu/outline_47.pdf","PDFを開く")</f>
        <v>PDFを開く</v>
      </c>
      <c r="Q592" s="8" t="s">
        <v>984</v>
      </c>
    </row>
    <row r="593" spans="1:17" ht="62.1" customHeight="1">
      <c r="A593" s="5" t="s">
        <v>978</v>
      </c>
      <c r="B593" s="5" t="s">
        <v>73</v>
      </c>
      <c r="C593" s="9" t="s">
        <v>979</v>
      </c>
      <c r="D593" s="5">
        <v>1</v>
      </c>
      <c r="E593" s="9" t="s">
        <v>10156</v>
      </c>
      <c r="F593" s="5">
        <v>4</v>
      </c>
      <c r="G593" s="9" t="s">
        <v>8581</v>
      </c>
      <c r="H593" s="9" t="s">
        <v>8581</v>
      </c>
      <c r="I593" s="5">
        <v>51.95</v>
      </c>
      <c r="J593" s="5">
        <v>359.7</v>
      </c>
      <c r="K593" s="5">
        <v>396.77</v>
      </c>
      <c r="L593" s="5">
        <v>484.62</v>
      </c>
      <c r="M593" s="9"/>
      <c r="N593" s="9" t="s">
        <v>10159</v>
      </c>
      <c r="O593" s="9" t="s">
        <v>982</v>
      </c>
      <c r="P593" s="9" t="str">
        <f>HYPERLINK("https://seichotoushi-hojo.jp/assets/pdf/koufu/outline_47.pdf","PDFを開く")</f>
        <v>PDFを開く</v>
      </c>
      <c r="Q593" s="9" t="s">
        <v>984</v>
      </c>
    </row>
    <row r="594" spans="1:17" ht="62.1" customHeight="1">
      <c r="A594" s="2" t="s">
        <v>985</v>
      </c>
      <c r="B594" s="2" t="s">
        <v>73</v>
      </c>
      <c r="C594" s="8" t="s">
        <v>986</v>
      </c>
      <c r="D594" s="2">
        <v>1</v>
      </c>
      <c r="E594" s="8" t="s">
        <v>10156</v>
      </c>
      <c r="F594" s="2">
        <v>1</v>
      </c>
      <c r="G594" s="8" t="s">
        <v>9578</v>
      </c>
      <c r="H594" s="8" t="s">
        <v>9578</v>
      </c>
      <c r="I594" s="2">
        <v>39.6</v>
      </c>
      <c r="J594" s="2">
        <v>108</v>
      </c>
      <c r="K594" s="2">
        <v>378.84</v>
      </c>
      <c r="L594" s="2">
        <v>509.64</v>
      </c>
      <c r="M594" s="8"/>
      <c r="N594" s="8" t="s">
        <v>10159</v>
      </c>
      <c r="O594" s="8" t="s">
        <v>8120</v>
      </c>
      <c r="P594" s="8" t="str">
        <f>HYPERLINK("https://seichotoushi-hojo.jp/assets/pdf/koufu/outline_48.pdf","PDFを開く")</f>
        <v>PDFを開く</v>
      </c>
      <c r="Q594" s="8" t="s">
        <v>993</v>
      </c>
    </row>
    <row r="595" spans="1:17" ht="62.1" customHeight="1">
      <c r="A595" s="5" t="s">
        <v>985</v>
      </c>
      <c r="B595" s="5" t="s">
        <v>73</v>
      </c>
      <c r="C595" s="9" t="s">
        <v>986</v>
      </c>
      <c r="D595" s="5">
        <v>1</v>
      </c>
      <c r="E595" s="9" t="s">
        <v>10156</v>
      </c>
      <c r="F595" s="5">
        <v>2</v>
      </c>
      <c r="G595" s="9" t="s">
        <v>10162</v>
      </c>
      <c r="H595" s="9" t="s">
        <v>10162</v>
      </c>
      <c r="I595" s="5">
        <v>396.36</v>
      </c>
      <c r="J595" s="5">
        <v>108</v>
      </c>
      <c r="K595" s="5">
        <v>739.8</v>
      </c>
      <c r="L595" s="5">
        <v>304.68</v>
      </c>
      <c r="M595" s="9"/>
      <c r="N595" s="9" t="s">
        <v>10159</v>
      </c>
      <c r="O595" s="9" t="s">
        <v>8121</v>
      </c>
      <c r="P595" s="9" t="str">
        <f>HYPERLINK("https://seichotoushi-hojo.jp/assets/pdf/koufu/outline_48.pdf","PDFを開く")</f>
        <v>PDFを開く</v>
      </c>
      <c r="Q595" s="9" t="s">
        <v>993</v>
      </c>
    </row>
    <row r="596" spans="1:17" ht="62.1" customHeight="1">
      <c r="A596" s="2" t="s">
        <v>985</v>
      </c>
      <c r="B596" s="2" t="s">
        <v>73</v>
      </c>
      <c r="C596" s="8" t="s">
        <v>986</v>
      </c>
      <c r="D596" s="2">
        <v>1</v>
      </c>
      <c r="E596" s="8" t="s">
        <v>10156</v>
      </c>
      <c r="F596" s="2">
        <v>3</v>
      </c>
      <c r="G596" s="8" t="s">
        <v>10163</v>
      </c>
      <c r="H596" s="8" t="s">
        <v>10163</v>
      </c>
      <c r="I596" s="2">
        <v>396.36</v>
      </c>
      <c r="J596" s="2">
        <v>313.08</v>
      </c>
      <c r="K596" s="2">
        <v>739.8</v>
      </c>
      <c r="L596" s="2">
        <v>509.64</v>
      </c>
      <c r="M596" s="8"/>
      <c r="N596" s="8" t="s">
        <v>10159</v>
      </c>
      <c r="O596" s="8" t="s">
        <v>8122</v>
      </c>
      <c r="P596" s="8" t="str">
        <f>HYPERLINK("https://seichotoushi-hojo.jp/assets/pdf/koufu/outline_48.pdf","PDFを開く")</f>
        <v>PDFを開く</v>
      </c>
      <c r="Q596" s="8" t="s">
        <v>993</v>
      </c>
    </row>
    <row r="597" spans="1:17" ht="62.1" customHeight="1">
      <c r="A597" s="5" t="s">
        <v>985</v>
      </c>
      <c r="B597" s="5" t="s">
        <v>73</v>
      </c>
      <c r="C597" s="9" t="s">
        <v>986</v>
      </c>
      <c r="D597" s="5">
        <v>1</v>
      </c>
      <c r="E597" s="9" t="s">
        <v>10156</v>
      </c>
      <c r="F597" s="5">
        <v>4</v>
      </c>
      <c r="G597" s="9" t="s">
        <v>8581</v>
      </c>
      <c r="H597" s="9" t="s">
        <v>8581</v>
      </c>
      <c r="I597" s="5">
        <v>50.28</v>
      </c>
      <c r="J597" s="5">
        <v>431.16</v>
      </c>
      <c r="K597" s="5">
        <v>369.72</v>
      </c>
      <c r="L597" s="5">
        <v>496.92</v>
      </c>
      <c r="M597" s="9"/>
      <c r="N597" s="9" t="s">
        <v>10159</v>
      </c>
      <c r="O597" s="9" t="s">
        <v>990</v>
      </c>
      <c r="P597" s="9" t="str">
        <f>HYPERLINK("https://seichotoushi-hojo.jp/assets/pdf/koufu/outline_48.pdf","PDFを開く")</f>
        <v>PDFを開く</v>
      </c>
      <c r="Q597" s="9" t="s">
        <v>993</v>
      </c>
    </row>
    <row r="598" spans="1:17" ht="62.1" customHeight="1">
      <c r="A598" s="2" t="s">
        <v>994</v>
      </c>
      <c r="B598" s="2" t="s">
        <v>73</v>
      </c>
      <c r="C598" s="8" t="s">
        <v>995</v>
      </c>
      <c r="D598" s="2">
        <v>1</v>
      </c>
      <c r="E598" s="8" t="s">
        <v>10156</v>
      </c>
      <c r="F598" s="2">
        <v>1</v>
      </c>
      <c r="G598" s="8" t="s">
        <v>10162</v>
      </c>
      <c r="H598" s="8" t="s">
        <v>10162</v>
      </c>
      <c r="I598" s="2">
        <v>433.8</v>
      </c>
      <c r="J598" s="2">
        <v>113.73</v>
      </c>
      <c r="K598" s="2">
        <v>804.48</v>
      </c>
      <c r="L598" s="2">
        <v>317.61</v>
      </c>
      <c r="M598" s="8"/>
      <c r="N598" s="8" t="s">
        <v>10159</v>
      </c>
      <c r="O598" s="8" t="s">
        <v>8128</v>
      </c>
      <c r="P598" s="8" t="str">
        <f>HYPERLINK("https://seichotoushi-hojo.jp/assets/pdf/koufu/outline_49.pdf","PDFを開く")</f>
        <v>PDFを開く</v>
      </c>
      <c r="Q598" s="8" t="s">
        <v>1002</v>
      </c>
    </row>
    <row r="599" spans="1:17" ht="62.1" customHeight="1">
      <c r="A599" s="5" t="s">
        <v>994</v>
      </c>
      <c r="B599" s="5" t="s">
        <v>73</v>
      </c>
      <c r="C599" s="9" t="s">
        <v>995</v>
      </c>
      <c r="D599" s="5">
        <v>1</v>
      </c>
      <c r="E599" s="9" t="s">
        <v>10156</v>
      </c>
      <c r="F599" s="5">
        <v>2</v>
      </c>
      <c r="G599" s="9" t="s">
        <v>9578</v>
      </c>
      <c r="H599" s="9" t="s">
        <v>9578</v>
      </c>
      <c r="I599" s="5">
        <v>15.48</v>
      </c>
      <c r="J599" s="5">
        <v>115.86</v>
      </c>
      <c r="K599" s="5">
        <v>433.63</v>
      </c>
      <c r="L599" s="5">
        <v>222.16</v>
      </c>
      <c r="M599" s="9"/>
      <c r="N599" s="9" t="s">
        <v>10181</v>
      </c>
      <c r="O599" s="9" t="s">
        <v>8127</v>
      </c>
      <c r="P599" s="9" t="str">
        <f>HYPERLINK("https://seichotoushi-hojo.jp/assets/pdf/koufu/outline_49.pdf","PDFを開く")</f>
        <v>PDFを開く</v>
      </c>
      <c r="Q599" s="9" t="s">
        <v>1002</v>
      </c>
    </row>
    <row r="600" spans="1:17" ht="62.1" customHeight="1">
      <c r="A600" s="2" t="s">
        <v>994</v>
      </c>
      <c r="B600" s="2" t="s">
        <v>73</v>
      </c>
      <c r="C600" s="8" t="s">
        <v>995</v>
      </c>
      <c r="D600" s="2">
        <v>1</v>
      </c>
      <c r="E600" s="8" t="s">
        <v>10156</v>
      </c>
      <c r="F600" s="2">
        <v>3</v>
      </c>
      <c r="G600" s="8" t="s">
        <v>8581</v>
      </c>
      <c r="H600" s="8" t="s">
        <v>8581</v>
      </c>
      <c r="I600" s="2">
        <v>17.04</v>
      </c>
      <c r="J600" s="2">
        <v>221.16</v>
      </c>
      <c r="K600" s="2">
        <v>433.63</v>
      </c>
      <c r="L600" s="2">
        <v>436.36</v>
      </c>
      <c r="M600" s="8"/>
      <c r="N600" s="8" t="s">
        <v>10181</v>
      </c>
      <c r="O600" s="8" t="s">
        <v>999</v>
      </c>
      <c r="P600" s="8" t="str">
        <f>HYPERLINK("https://seichotoushi-hojo.jp/assets/pdf/koufu/outline_49.pdf","PDFを開く")</f>
        <v>PDFを開く</v>
      </c>
      <c r="Q600" s="8" t="s">
        <v>1002</v>
      </c>
    </row>
    <row r="601" spans="1:17" ht="62.1" customHeight="1">
      <c r="A601" s="5" t="s">
        <v>994</v>
      </c>
      <c r="B601" s="5" t="s">
        <v>73</v>
      </c>
      <c r="C601" s="9" t="s">
        <v>995</v>
      </c>
      <c r="D601" s="5">
        <v>1</v>
      </c>
      <c r="E601" s="9" t="s">
        <v>10156</v>
      </c>
      <c r="F601" s="5">
        <v>4</v>
      </c>
      <c r="G601" s="9" t="s">
        <v>10163</v>
      </c>
      <c r="H601" s="9" t="s">
        <v>10163</v>
      </c>
      <c r="I601" s="5">
        <v>432.6</v>
      </c>
      <c r="J601" s="5">
        <v>322.64</v>
      </c>
      <c r="K601" s="5">
        <v>804.48</v>
      </c>
      <c r="L601" s="5">
        <v>578.37</v>
      </c>
      <c r="M601" s="9"/>
      <c r="N601" s="9" t="s">
        <v>10159</v>
      </c>
      <c r="O601" s="9" t="s">
        <v>8129</v>
      </c>
      <c r="P601" s="9" t="str">
        <f>HYPERLINK("https://seichotoushi-hojo.jp/assets/pdf/koufu/outline_49.pdf","PDFを開く")</f>
        <v>PDFを開く</v>
      </c>
      <c r="Q601" s="9" t="s">
        <v>1002</v>
      </c>
    </row>
    <row r="602" spans="1:17" ht="62.1" customHeight="1">
      <c r="A602" s="2" t="s">
        <v>994</v>
      </c>
      <c r="B602" s="2" t="s">
        <v>73</v>
      </c>
      <c r="C602" s="8" t="s">
        <v>995</v>
      </c>
      <c r="D602" s="2">
        <v>2</v>
      </c>
      <c r="E602" s="8" t="s">
        <v>10165</v>
      </c>
      <c r="F602" s="2">
        <v>1</v>
      </c>
      <c r="G602" s="8" t="s">
        <v>10184</v>
      </c>
      <c r="H602" s="8" t="s">
        <v>10184</v>
      </c>
      <c r="I602" s="2">
        <v>128.16</v>
      </c>
      <c r="J602" s="2">
        <v>163.19999999999999</v>
      </c>
      <c r="K602" s="2">
        <v>433.63</v>
      </c>
      <c r="L602" s="2">
        <v>378.4</v>
      </c>
      <c r="M602" s="8"/>
      <c r="N602" s="8" t="s">
        <v>10181</v>
      </c>
      <c r="O602" s="8" t="s">
        <v>10409</v>
      </c>
      <c r="P602" s="8" t="str">
        <f>HYPERLINK("https://seichotoushi-hojo.jp/assets/pdf/koufu/outline_49.pdf","PDFを開く")</f>
        <v>PDFを開く</v>
      </c>
      <c r="Q602" s="8" t="s">
        <v>1002</v>
      </c>
    </row>
    <row r="603" spans="1:17" ht="62.1" customHeight="1">
      <c r="A603" s="5" t="s">
        <v>1003</v>
      </c>
      <c r="B603" s="5" t="s">
        <v>73</v>
      </c>
      <c r="C603" s="9" t="s">
        <v>1004</v>
      </c>
      <c r="D603" s="5">
        <v>1</v>
      </c>
      <c r="E603" s="9" t="s">
        <v>10156</v>
      </c>
      <c r="F603" s="5">
        <v>1</v>
      </c>
      <c r="G603" s="9" t="s">
        <v>10157</v>
      </c>
      <c r="H603" s="9" t="s">
        <v>10157</v>
      </c>
      <c r="I603" s="5">
        <v>40.340000000000003</v>
      </c>
      <c r="J603" s="5">
        <v>40.270000000000003</v>
      </c>
      <c r="K603" s="5">
        <v>752.34</v>
      </c>
      <c r="L603" s="5">
        <v>87.84</v>
      </c>
      <c r="M603" s="9" t="s">
        <v>10158</v>
      </c>
      <c r="N603" s="9" t="s">
        <v>10159</v>
      </c>
      <c r="O603" s="9" t="s">
        <v>8134</v>
      </c>
      <c r="P603" s="9" t="str">
        <f t="shared" ref="P603:P609" si="31">HYPERLINK("https://seichotoushi-hojo.jp/assets/pdf/koufu/outline_5.pdf","PDFを開く")</f>
        <v>PDFを開く</v>
      </c>
      <c r="Q603" s="9" t="s">
        <v>1012</v>
      </c>
    </row>
    <row r="604" spans="1:17" ht="62.1" customHeight="1">
      <c r="A604" s="2" t="s">
        <v>1003</v>
      </c>
      <c r="B604" s="2" t="s">
        <v>73</v>
      </c>
      <c r="C604" s="8" t="s">
        <v>1004</v>
      </c>
      <c r="D604" s="2">
        <v>1</v>
      </c>
      <c r="E604" s="8" t="s">
        <v>10156</v>
      </c>
      <c r="F604" s="2">
        <v>2</v>
      </c>
      <c r="G604" s="8" t="s">
        <v>9578</v>
      </c>
      <c r="H604" s="8" t="s">
        <v>9578</v>
      </c>
      <c r="I604" s="2">
        <v>18.600000000000001</v>
      </c>
      <c r="J604" s="2">
        <v>101.51</v>
      </c>
      <c r="K604" s="2">
        <v>346.57</v>
      </c>
      <c r="L604" s="2">
        <v>528.72</v>
      </c>
      <c r="M604" s="8"/>
      <c r="N604" s="8" t="s">
        <v>10159</v>
      </c>
      <c r="O604" s="8" t="s">
        <v>8135</v>
      </c>
      <c r="P604" s="8" t="str">
        <f t="shared" si="31"/>
        <v>PDFを開く</v>
      </c>
      <c r="Q604" s="8" t="s">
        <v>1012</v>
      </c>
    </row>
    <row r="605" spans="1:17" ht="62.1" customHeight="1">
      <c r="A605" s="5" t="s">
        <v>1003</v>
      </c>
      <c r="B605" s="5" t="s">
        <v>73</v>
      </c>
      <c r="C605" s="9" t="s">
        <v>1004</v>
      </c>
      <c r="D605" s="5">
        <v>1</v>
      </c>
      <c r="E605" s="9" t="s">
        <v>10156</v>
      </c>
      <c r="F605" s="5">
        <v>3</v>
      </c>
      <c r="G605" s="9" t="s">
        <v>10162</v>
      </c>
      <c r="H605" s="9" t="s">
        <v>10162</v>
      </c>
      <c r="I605" s="5">
        <v>366.6</v>
      </c>
      <c r="J605" s="5">
        <v>101.51</v>
      </c>
      <c r="K605" s="5">
        <v>766.8</v>
      </c>
      <c r="L605" s="5">
        <v>344.06</v>
      </c>
      <c r="M605" s="9"/>
      <c r="N605" s="9" t="s">
        <v>10159</v>
      </c>
      <c r="O605" s="9" t="s">
        <v>8136</v>
      </c>
      <c r="P605" s="9" t="str">
        <f t="shared" si="31"/>
        <v>PDFを開く</v>
      </c>
      <c r="Q605" s="9" t="s">
        <v>1012</v>
      </c>
    </row>
    <row r="606" spans="1:17" ht="62.1" customHeight="1">
      <c r="A606" s="2" t="s">
        <v>1003</v>
      </c>
      <c r="B606" s="2" t="s">
        <v>73</v>
      </c>
      <c r="C606" s="8" t="s">
        <v>1004</v>
      </c>
      <c r="D606" s="2">
        <v>1</v>
      </c>
      <c r="E606" s="8" t="s">
        <v>10156</v>
      </c>
      <c r="F606" s="2">
        <v>4</v>
      </c>
      <c r="G606" s="8" t="s">
        <v>10163</v>
      </c>
      <c r="H606" s="8" t="s">
        <v>10163</v>
      </c>
      <c r="I606" s="2">
        <v>366.6</v>
      </c>
      <c r="J606" s="2">
        <v>349.73</v>
      </c>
      <c r="K606" s="2">
        <v>766.8</v>
      </c>
      <c r="L606" s="2">
        <v>528.72</v>
      </c>
      <c r="M606" s="8"/>
      <c r="N606" s="8" t="s">
        <v>10159</v>
      </c>
      <c r="O606" s="8" t="s">
        <v>8137</v>
      </c>
      <c r="P606" s="8" t="str">
        <f t="shared" si="31"/>
        <v>PDFを開く</v>
      </c>
      <c r="Q606" s="8" t="s">
        <v>1012</v>
      </c>
    </row>
    <row r="607" spans="1:17" ht="62.1" customHeight="1">
      <c r="A607" s="5" t="s">
        <v>1003</v>
      </c>
      <c r="B607" s="5" t="s">
        <v>73</v>
      </c>
      <c r="C607" s="9" t="s">
        <v>1004</v>
      </c>
      <c r="D607" s="5">
        <v>2</v>
      </c>
      <c r="E607" s="9" t="s">
        <v>10165</v>
      </c>
      <c r="F607" s="5">
        <v>1</v>
      </c>
      <c r="G607" s="9" t="s">
        <v>10167</v>
      </c>
      <c r="H607" s="9" t="s">
        <v>10410</v>
      </c>
      <c r="I607" s="5">
        <v>419.87</v>
      </c>
      <c r="J607" s="5">
        <v>212.16</v>
      </c>
      <c r="K607" s="5">
        <v>683.04</v>
      </c>
      <c r="L607" s="5">
        <v>269.25</v>
      </c>
      <c r="M607" s="9"/>
      <c r="N607" s="9" t="s">
        <v>10159</v>
      </c>
      <c r="O607" s="9" t="s">
        <v>10411</v>
      </c>
      <c r="P607" s="9" t="str">
        <f t="shared" si="31"/>
        <v>PDFを開く</v>
      </c>
      <c r="Q607" s="9" t="s">
        <v>1012</v>
      </c>
    </row>
    <row r="608" spans="1:17" ht="62.1" customHeight="1">
      <c r="A608" s="2" t="s">
        <v>1003</v>
      </c>
      <c r="B608" s="2" t="s">
        <v>73</v>
      </c>
      <c r="C608" s="8" t="s">
        <v>1004</v>
      </c>
      <c r="D608" s="2">
        <v>2</v>
      </c>
      <c r="E608" s="8" t="s">
        <v>10165</v>
      </c>
      <c r="F608" s="2">
        <v>2</v>
      </c>
      <c r="G608" s="8" t="s">
        <v>10167</v>
      </c>
      <c r="H608" s="8" t="s">
        <v>10412</v>
      </c>
      <c r="I608" s="2">
        <v>135.26</v>
      </c>
      <c r="J608" s="2">
        <v>212.75</v>
      </c>
      <c r="K608" s="2">
        <v>401.24</v>
      </c>
      <c r="L608" s="2">
        <v>269.25</v>
      </c>
      <c r="M608" s="8"/>
      <c r="N608" s="8" t="s">
        <v>10159</v>
      </c>
      <c r="O608" s="8" t="s">
        <v>10413</v>
      </c>
      <c r="P608" s="8" t="str">
        <f t="shared" si="31"/>
        <v>PDFを開く</v>
      </c>
      <c r="Q608" s="8" t="s">
        <v>1012</v>
      </c>
    </row>
    <row r="609" spans="1:17" ht="62.1" customHeight="1">
      <c r="A609" s="5" t="s">
        <v>1003</v>
      </c>
      <c r="B609" s="5" t="s">
        <v>73</v>
      </c>
      <c r="C609" s="9" t="s">
        <v>1004</v>
      </c>
      <c r="D609" s="5">
        <v>2</v>
      </c>
      <c r="E609" s="9" t="s">
        <v>10165</v>
      </c>
      <c r="F609" s="5">
        <v>3</v>
      </c>
      <c r="G609" s="9" t="s">
        <v>10167</v>
      </c>
      <c r="H609" s="9" t="s">
        <v>10414</v>
      </c>
      <c r="I609" s="5">
        <v>80</v>
      </c>
      <c r="J609" s="5">
        <v>280.69</v>
      </c>
      <c r="K609" s="5">
        <v>768.23</v>
      </c>
      <c r="L609" s="5">
        <v>385.85</v>
      </c>
      <c r="M609" s="9"/>
      <c r="N609" s="9" t="s">
        <v>10159</v>
      </c>
      <c r="O609" s="9" t="s">
        <v>10415</v>
      </c>
      <c r="P609" s="9" t="str">
        <f t="shared" si="31"/>
        <v>PDFを開く</v>
      </c>
      <c r="Q609" s="9" t="s">
        <v>1012</v>
      </c>
    </row>
    <row r="610" spans="1:17" ht="62.1" customHeight="1">
      <c r="A610" s="2" t="s">
        <v>1013</v>
      </c>
      <c r="B610" s="2" t="s">
        <v>73</v>
      </c>
      <c r="C610" s="8" t="s">
        <v>1014</v>
      </c>
      <c r="D610" s="2">
        <v>1</v>
      </c>
      <c r="E610" s="8" t="s">
        <v>10156</v>
      </c>
      <c r="F610" s="2">
        <v>1</v>
      </c>
      <c r="G610" s="8" t="s">
        <v>9578</v>
      </c>
      <c r="H610" s="8" t="s">
        <v>9578</v>
      </c>
      <c r="I610" s="2">
        <v>28.32</v>
      </c>
      <c r="J610" s="2">
        <v>109.56</v>
      </c>
      <c r="K610" s="2">
        <v>367.56</v>
      </c>
      <c r="L610" s="2">
        <v>463.44</v>
      </c>
      <c r="M610" s="8"/>
      <c r="N610" s="8" t="s">
        <v>10159</v>
      </c>
      <c r="O610" s="8" t="s">
        <v>8142</v>
      </c>
      <c r="P610" s="8" t="str">
        <f>HYPERLINK("https://seichotoushi-hojo.jp/assets/pdf/koufu/outline_50.pdf","PDFを開く")</f>
        <v>PDFを開く</v>
      </c>
      <c r="Q610" s="8" t="s">
        <v>1019</v>
      </c>
    </row>
    <row r="611" spans="1:17" ht="62.1" customHeight="1">
      <c r="A611" s="5" t="s">
        <v>1013</v>
      </c>
      <c r="B611" s="5" t="s">
        <v>73</v>
      </c>
      <c r="C611" s="9" t="s">
        <v>1014</v>
      </c>
      <c r="D611" s="5">
        <v>1</v>
      </c>
      <c r="E611" s="9" t="s">
        <v>10156</v>
      </c>
      <c r="F611" s="5">
        <v>2</v>
      </c>
      <c r="G611" s="9" t="s">
        <v>10162</v>
      </c>
      <c r="H611" s="9" t="s">
        <v>10162</v>
      </c>
      <c r="I611" s="5">
        <v>397.56</v>
      </c>
      <c r="J611" s="5">
        <v>110.88</v>
      </c>
      <c r="K611" s="5">
        <v>741</v>
      </c>
      <c r="L611" s="5">
        <v>269.16000000000003</v>
      </c>
      <c r="M611" s="9"/>
      <c r="N611" s="9" t="s">
        <v>10159</v>
      </c>
      <c r="O611" s="9" t="s">
        <v>8143</v>
      </c>
      <c r="P611" s="9" t="str">
        <f>HYPERLINK("https://seichotoushi-hojo.jp/assets/pdf/koufu/outline_50.pdf","PDFを開く")</f>
        <v>PDFを開く</v>
      </c>
      <c r="Q611" s="9" t="s">
        <v>1019</v>
      </c>
    </row>
    <row r="612" spans="1:17" ht="62.1" customHeight="1">
      <c r="A612" s="2" t="s">
        <v>1013</v>
      </c>
      <c r="B612" s="2" t="s">
        <v>73</v>
      </c>
      <c r="C612" s="8" t="s">
        <v>1014</v>
      </c>
      <c r="D612" s="2">
        <v>1</v>
      </c>
      <c r="E612" s="8" t="s">
        <v>10156</v>
      </c>
      <c r="F612" s="2">
        <v>3</v>
      </c>
      <c r="G612" s="8" t="s">
        <v>10163</v>
      </c>
      <c r="H612" s="8" t="s">
        <v>10163</v>
      </c>
      <c r="I612" s="2">
        <v>396.96</v>
      </c>
      <c r="J612" s="2">
        <v>275.76</v>
      </c>
      <c r="K612" s="2">
        <v>740.52</v>
      </c>
      <c r="L612" s="2">
        <v>463.44</v>
      </c>
      <c r="M612" s="8"/>
      <c r="N612" s="8" t="s">
        <v>10159</v>
      </c>
      <c r="O612" s="8" t="s">
        <v>8144</v>
      </c>
      <c r="P612" s="8" t="str">
        <f>HYPERLINK("https://seichotoushi-hojo.jp/assets/pdf/koufu/outline_50.pdf","PDFを開く")</f>
        <v>PDFを開く</v>
      </c>
      <c r="Q612" s="8" t="s">
        <v>1019</v>
      </c>
    </row>
    <row r="613" spans="1:17" ht="62.1" customHeight="1">
      <c r="A613" s="5" t="s">
        <v>1013</v>
      </c>
      <c r="B613" s="5" t="s">
        <v>73</v>
      </c>
      <c r="C613" s="9" t="s">
        <v>1014</v>
      </c>
      <c r="D613" s="5">
        <v>1</v>
      </c>
      <c r="E613" s="9" t="s">
        <v>10156</v>
      </c>
      <c r="F613" s="5">
        <v>4</v>
      </c>
      <c r="G613" s="9" t="s">
        <v>8581</v>
      </c>
      <c r="H613" s="9" t="s">
        <v>8581</v>
      </c>
      <c r="I613" s="5">
        <v>38.159999999999997</v>
      </c>
      <c r="J613" s="5">
        <v>332.4</v>
      </c>
      <c r="K613" s="5">
        <v>357.72</v>
      </c>
      <c r="L613" s="5">
        <v>448.08</v>
      </c>
      <c r="M613" s="9"/>
      <c r="N613" s="9" t="s">
        <v>10159</v>
      </c>
      <c r="O613" s="9" t="s">
        <v>1017</v>
      </c>
      <c r="P613" s="9" t="str">
        <f>HYPERLINK("https://seichotoushi-hojo.jp/assets/pdf/koufu/outline_50.pdf","PDFを開く")</f>
        <v>PDFを開く</v>
      </c>
      <c r="Q613" s="9" t="s">
        <v>1019</v>
      </c>
    </row>
    <row r="614" spans="1:17" ht="62.1" customHeight="1">
      <c r="A614" s="2" t="s">
        <v>1013</v>
      </c>
      <c r="B614" s="2" t="s">
        <v>73</v>
      </c>
      <c r="C614" s="8" t="s">
        <v>1014</v>
      </c>
      <c r="D614" s="2">
        <v>1</v>
      </c>
      <c r="E614" s="8" t="s">
        <v>10156</v>
      </c>
      <c r="F614" s="2">
        <v>5</v>
      </c>
      <c r="G614" s="8" t="s">
        <v>10167</v>
      </c>
      <c r="H614" s="8" t="s">
        <v>10416</v>
      </c>
      <c r="I614" s="2">
        <v>40.32</v>
      </c>
      <c r="J614" s="2">
        <v>478.92</v>
      </c>
      <c r="K614" s="2">
        <v>739.8</v>
      </c>
      <c r="L614" s="2">
        <v>523.44000000000005</v>
      </c>
      <c r="M614" s="8"/>
      <c r="N614" s="8" t="s">
        <v>10159</v>
      </c>
      <c r="O614" s="8" t="s">
        <v>10417</v>
      </c>
      <c r="P614" s="8" t="str">
        <f>HYPERLINK("https://seichotoushi-hojo.jp/assets/pdf/koufu/outline_50.pdf","PDFを開く")</f>
        <v>PDFを開く</v>
      </c>
      <c r="Q614" s="8" t="s">
        <v>1019</v>
      </c>
    </row>
    <row r="615" spans="1:17" ht="62.1" customHeight="1">
      <c r="A615" s="5" t="s">
        <v>1020</v>
      </c>
      <c r="B615" s="5" t="s">
        <v>73</v>
      </c>
      <c r="C615" s="9" t="s">
        <v>1021</v>
      </c>
      <c r="D615" s="5">
        <v>1</v>
      </c>
      <c r="E615" s="9" t="s">
        <v>10156</v>
      </c>
      <c r="F615" s="5">
        <v>1</v>
      </c>
      <c r="G615" s="9" t="s">
        <v>9578</v>
      </c>
      <c r="H615" s="9" t="s">
        <v>9578</v>
      </c>
      <c r="I615" s="5">
        <v>42.84</v>
      </c>
      <c r="J615" s="5">
        <v>154.68</v>
      </c>
      <c r="K615" s="5">
        <v>408.84</v>
      </c>
      <c r="L615" s="5">
        <v>513.48</v>
      </c>
      <c r="M615" s="9"/>
      <c r="N615" s="9" t="s">
        <v>10159</v>
      </c>
      <c r="O615" s="9" t="s">
        <v>8149</v>
      </c>
      <c r="P615" s="9" t="str">
        <f>HYPERLINK("https://seichotoushi-hojo.jp/assets/pdf/koufu/outline_51.pdf","PDFを開く")</f>
        <v>PDFを開く</v>
      </c>
      <c r="Q615" s="9" t="s">
        <v>1027</v>
      </c>
    </row>
    <row r="616" spans="1:17" ht="62.1" customHeight="1">
      <c r="A616" s="2" t="s">
        <v>1020</v>
      </c>
      <c r="B616" s="2" t="s">
        <v>73</v>
      </c>
      <c r="C616" s="8" t="s">
        <v>1021</v>
      </c>
      <c r="D616" s="2">
        <v>1</v>
      </c>
      <c r="E616" s="8" t="s">
        <v>10156</v>
      </c>
      <c r="F616" s="2">
        <v>2</v>
      </c>
      <c r="G616" s="8" t="s">
        <v>10162</v>
      </c>
      <c r="H616" s="8" t="s">
        <v>10162</v>
      </c>
      <c r="I616" s="2">
        <v>433.08</v>
      </c>
      <c r="J616" s="2">
        <v>157.08000000000001</v>
      </c>
      <c r="K616" s="2">
        <v>803.76</v>
      </c>
      <c r="L616" s="2">
        <v>328.32</v>
      </c>
      <c r="M616" s="8"/>
      <c r="N616" s="8" t="s">
        <v>10159</v>
      </c>
      <c r="O616" s="8" t="s">
        <v>8150</v>
      </c>
      <c r="P616" s="8" t="str">
        <f>HYPERLINK("https://seichotoushi-hojo.jp/assets/pdf/koufu/outline_51.pdf","PDFを開く")</f>
        <v>PDFを開く</v>
      </c>
      <c r="Q616" s="8" t="s">
        <v>1027</v>
      </c>
    </row>
    <row r="617" spans="1:17" ht="62.1" customHeight="1">
      <c r="A617" s="5" t="s">
        <v>1020</v>
      </c>
      <c r="B617" s="5" t="s">
        <v>73</v>
      </c>
      <c r="C617" s="9" t="s">
        <v>1021</v>
      </c>
      <c r="D617" s="5">
        <v>1</v>
      </c>
      <c r="E617" s="9" t="s">
        <v>10156</v>
      </c>
      <c r="F617" s="5">
        <v>3</v>
      </c>
      <c r="G617" s="9" t="s">
        <v>10163</v>
      </c>
      <c r="H617" s="9" t="s">
        <v>10163</v>
      </c>
      <c r="I617" s="5">
        <v>433.08</v>
      </c>
      <c r="J617" s="5">
        <v>342.84</v>
      </c>
      <c r="K617" s="5">
        <v>803.76</v>
      </c>
      <c r="L617" s="5">
        <v>514.08000000000004</v>
      </c>
      <c r="M617" s="9"/>
      <c r="N617" s="9" t="s">
        <v>10159</v>
      </c>
      <c r="O617" s="9" t="s">
        <v>8151</v>
      </c>
      <c r="P617" s="9" t="str">
        <f>HYPERLINK("https://seichotoushi-hojo.jp/assets/pdf/koufu/outline_51.pdf","PDFを開く")</f>
        <v>PDFを開く</v>
      </c>
      <c r="Q617" s="9" t="s">
        <v>1027</v>
      </c>
    </row>
    <row r="618" spans="1:17" ht="62.1" customHeight="1">
      <c r="A618" s="2" t="s">
        <v>1020</v>
      </c>
      <c r="B618" s="2" t="s">
        <v>73</v>
      </c>
      <c r="C618" s="8" t="s">
        <v>1021</v>
      </c>
      <c r="D618" s="2">
        <v>1</v>
      </c>
      <c r="E618" s="8" t="s">
        <v>10156</v>
      </c>
      <c r="F618" s="2">
        <v>4</v>
      </c>
      <c r="G618" s="8" t="s">
        <v>8581</v>
      </c>
      <c r="H618" s="8" t="s">
        <v>8581</v>
      </c>
      <c r="I618" s="2">
        <v>48.48</v>
      </c>
      <c r="J618" s="2">
        <v>386.16</v>
      </c>
      <c r="K618" s="2">
        <v>403.56</v>
      </c>
      <c r="L618" s="2">
        <v>511.44</v>
      </c>
      <c r="M618" s="8"/>
      <c r="N618" s="8" t="s">
        <v>10159</v>
      </c>
      <c r="O618" s="8" t="s">
        <v>1025</v>
      </c>
      <c r="P618" s="8" t="str">
        <f>HYPERLINK("https://seichotoushi-hojo.jp/assets/pdf/koufu/outline_51.pdf","PDFを開く")</f>
        <v>PDFを開く</v>
      </c>
      <c r="Q618" s="8" t="s">
        <v>1027</v>
      </c>
    </row>
    <row r="619" spans="1:17" ht="62.1" customHeight="1">
      <c r="A619" s="5" t="s">
        <v>1028</v>
      </c>
      <c r="B619" s="5" t="s">
        <v>73</v>
      </c>
      <c r="C619" s="9" t="s">
        <v>1029</v>
      </c>
      <c r="D619" s="5">
        <v>1</v>
      </c>
      <c r="E619" s="9" t="s">
        <v>10156</v>
      </c>
      <c r="F619" s="5">
        <v>1</v>
      </c>
      <c r="G619" s="9" t="s">
        <v>9578</v>
      </c>
      <c r="H619" s="9" t="s">
        <v>9578</v>
      </c>
      <c r="I619" s="5">
        <v>40.22</v>
      </c>
      <c r="J619" s="5">
        <v>99.48</v>
      </c>
      <c r="K619" s="5">
        <v>739.78</v>
      </c>
      <c r="L619" s="5">
        <v>156.01</v>
      </c>
      <c r="M619" s="9"/>
      <c r="N619" s="9" t="s">
        <v>10159</v>
      </c>
      <c r="O619" s="9" t="s">
        <v>10418</v>
      </c>
      <c r="P619" s="9" t="str">
        <f t="shared" ref="P619:P624" si="32">HYPERLINK("https://seichotoushi-hojo.jp/assets/pdf/koufu/outline_52.pdf","PDFを開く")</f>
        <v>PDFを開く</v>
      </c>
      <c r="Q619" s="9" t="s">
        <v>1035</v>
      </c>
    </row>
    <row r="620" spans="1:17" ht="62.1" customHeight="1">
      <c r="A620" s="2" t="s">
        <v>1028</v>
      </c>
      <c r="B620" s="2" t="s">
        <v>73</v>
      </c>
      <c r="C620" s="8" t="s">
        <v>1029</v>
      </c>
      <c r="D620" s="2">
        <v>1</v>
      </c>
      <c r="E620" s="8" t="s">
        <v>10156</v>
      </c>
      <c r="F620" s="2">
        <v>2</v>
      </c>
      <c r="G620" s="8" t="s">
        <v>9578</v>
      </c>
      <c r="H620" s="8" t="s">
        <v>9578</v>
      </c>
      <c r="I620" s="2">
        <v>39.659999999999997</v>
      </c>
      <c r="J620" s="2">
        <v>167.87</v>
      </c>
      <c r="K620" s="2">
        <v>378.79</v>
      </c>
      <c r="L620" s="2">
        <v>499.73</v>
      </c>
      <c r="M620" s="8"/>
      <c r="N620" s="8" t="s">
        <v>10159</v>
      </c>
      <c r="O620" s="8" t="s">
        <v>10419</v>
      </c>
      <c r="P620" s="8" t="str">
        <f t="shared" si="32"/>
        <v>PDFを開く</v>
      </c>
      <c r="Q620" s="8" t="s">
        <v>1035</v>
      </c>
    </row>
    <row r="621" spans="1:17" ht="62.1" customHeight="1">
      <c r="A621" s="5" t="s">
        <v>1028</v>
      </c>
      <c r="B621" s="5" t="s">
        <v>73</v>
      </c>
      <c r="C621" s="9" t="s">
        <v>1029</v>
      </c>
      <c r="D621" s="5">
        <v>1</v>
      </c>
      <c r="E621" s="9" t="s">
        <v>10156</v>
      </c>
      <c r="F621" s="5">
        <v>3</v>
      </c>
      <c r="G621" s="9" t="s">
        <v>10162</v>
      </c>
      <c r="H621" s="9" t="s">
        <v>10162</v>
      </c>
      <c r="I621" s="5">
        <v>396.3</v>
      </c>
      <c r="J621" s="5">
        <v>170.15</v>
      </c>
      <c r="K621" s="5">
        <v>739.78</v>
      </c>
      <c r="L621" s="5">
        <v>328.45</v>
      </c>
      <c r="M621" s="9"/>
      <c r="N621" s="9" t="s">
        <v>10159</v>
      </c>
      <c r="O621" s="9" t="s">
        <v>8157</v>
      </c>
      <c r="P621" s="9" t="str">
        <f t="shared" si="32"/>
        <v>PDFを開く</v>
      </c>
      <c r="Q621" s="9" t="s">
        <v>1035</v>
      </c>
    </row>
    <row r="622" spans="1:17" ht="62.1" customHeight="1">
      <c r="A622" s="2" t="s">
        <v>1028</v>
      </c>
      <c r="B622" s="2" t="s">
        <v>73</v>
      </c>
      <c r="C622" s="8" t="s">
        <v>1029</v>
      </c>
      <c r="D622" s="2">
        <v>1</v>
      </c>
      <c r="E622" s="8" t="s">
        <v>10156</v>
      </c>
      <c r="F622" s="2">
        <v>4</v>
      </c>
      <c r="G622" s="8" t="s">
        <v>10163</v>
      </c>
      <c r="H622" s="8" t="s">
        <v>10163</v>
      </c>
      <c r="I622" s="2">
        <v>396.3</v>
      </c>
      <c r="J622" s="2">
        <v>341.43</v>
      </c>
      <c r="K622" s="2">
        <v>739.78</v>
      </c>
      <c r="L622" s="2">
        <v>499.73</v>
      </c>
      <c r="M622" s="8"/>
      <c r="N622" s="8" t="s">
        <v>10159</v>
      </c>
      <c r="O622" s="8" t="s">
        <v>8158</v>
      </c>
      <c r="P622" s="8" t="str">
        <f t="shared" si="32"/>
        <v>PDFを開く</v>
      </c>
      <c r="Q622" s="8" t="s">
        <v>1035</v>
      </c>
    </row>
    <row r="623" spans="1:17" ht="62.1" customHeight="1">
      <c r="A623" s="5" t="s">
        <v>1028</v>
      </c>
      <c r="B623" s="5" t="s">
        <v>73</v>
      </c>
      <c r="C623" s="9" t="s">
        <v>1029</v>
      </c>
      <c r="D623" s="5">
        <v>1</v>
      </c>
      <c r="E623" s="9" t="s">
        <v>10156</v>
      </c>
      <c r="F623" s="5">
        <v>5</v>
      </c>
      <c r="G623" s="9" t="s">
        <v>8581</v>
      </c>
      <c r="H623" s="9" t="s">
        <v>8581</v>
      </c>
      <c r="I623" s="5">
        <v>48</v>
      </c>
      <c r="J623" s="5">
        <v>370.98</v>
      </c>
      <c r="K623" s="5">
        <v>367.5</v>
      </c>
      <c r="L623" s="5">
        <v>486.75</v>
      </c>
      <c r="M623" s="9"/>
      <c r="N623" s="9" t="s">
        <v>10159</v>
      </c>
      <c r="O623" s="9" t="s">
        <v>1032</v>
      </c>
      <c r="P623" s="9" t="str">
        <f t="shared" si="32"/>
        <v>PDFを開く</v>
      </c>
      <c r="Q623" s="9" t="s">
        <v>1035</v>
      </c>
    </row>
    <row r="624" spans="1:17" ht="62.1" customHeight="1">
      <c r="A624" s="2" t="s">
        <v>1028</v>
      </c>
      <c r="B624" s="2" t="s">
        <v>73</v>
      </c>
      <c r="C624" s="8" t="s">
        <v>1029</v>
      </c>
      <c r="D624" s="2">
        <v>2</v>
      </c>
      <c r="E624" s="8" t="s">
        <v>10165</v>
      </c>
      <c r="F624" s="2">
        <v>1</v>
      </c>
      <c r="G624" s="8" t="s">
        <v>10167</v>
      </c>
      <c r="H624" s="8" t="s">
        <v>10420</v>
      </c>
      <c r="I624" s="2">
        <v>40.22</v>
      </c>
      <c r="J624" s="2">
        <v>99.47</v>
      </c>
      <c r="K624" s="2">
        <v>739.78</v>
      </c>
      <c r="L624" s="2">
        <v>138.62</v>
      </c>
      <c r="M624" s="8"/>
      <c r="N624" s="8" t="s">
        <v>10159</v>
      </c>
      <c r="O624" s="8" t="s">
        <v>10421</v>
      </c>
      <c r="P624" s="8" t="str">
        <f t="shared" si="32"/>
        <v>PDFを開く</v>
      </c>
      <c r="Q624" s="8" t="s">
        <v>1035</v>
      </c>
    </row>
    <row r="625" spans="1:17" ht="62.1" customHeight="1">
      <c r="A625" s="5" t="s">
        <v>1036</v>
      </c>
      <c r="B625" s="5" t="s">
        <v>73</v>
      </c>
      <c r="C625" s="9" t="s">
        <v>1037</v>
      </c>
      <c r="D625" s="5">
        <v>1</v>
      </c>
      <c r="E625" s="9" t="s">
        <v>10156</v>
      </c>
      <c r="F625" s="5">
        <v>1</v>
      </c>
      <c r="G625" s="9" t="s">
        <v>9578</v>
      </c>
      <c r="H625" s="9" t="s">
        <v>9578</v>
      </c>
      <c r="I625" s="5">
        <v>25.32</v>
      </c>
      <c r="J625" s="5">
        <v>116.16</v>
      </c>
      <c r="K625" s="5">
        <v>430.68</v>
      </c>
      <c r="L625" s="5">
        <v>568.55999999999995</v>
      </c>
      <c r="M625" s="9"/>
      <c r="N625" s="9" t="s">
        <v>10159</v>
      </c>
      <c r="O625" s="9" t="s">
        <v>8163</v>
      </c>
      <c r="P625" s="9" t="str">
        <f>HYPERLINK("https://seichotoushi-hojo.jp/assets/pdf/koufu/outline_53.pdf","PDFを開く")</f>
        <v>PDFを開く</v>
      </c>
      <c r="Q625" s="9" t="s">
        <v>1043</v>
      </c>
    </row>
    <row r="626" spans="1:17" ht="62.1" customHeight="1">
      <c r="A626" s="2" t="s">
        <v>1036</v>
      </c>
      <c r="B626" s="2" t="s">
        <v>73</v>
      </c>
      <c r="C626" s="8" t="s">
        <v>1037</v>
      </c>
      <c r="D626" s="2">
        <v>1</v>
      </c>
      <c r="E626" s="8" t="s">
        <v>10156</v>
      </c>
      <c r="F626" s="2">
        <v>2</v>
      </c>
      <c r="G626" s="8" t="s">
        <v>10162</v>
      </c>
      <c r="H626" s="8" t="s">
        <v>10162</v>
      </c>
      <c r="I626" s="2">
        <v>467.76</v>
      </c>
      <c r="J626" s="2">
        <v>116.16</v>
      </c>
      <c r="K626" s="2">
        <v>798.48</v>
      </c>
      <c r="L626" s="2">
        <v>393</v>
      </c>
      <c r="M626" s="8"/>
      <c r="N626" s="8" t="s">
        <v>10159</v>
      </c>
      <c r="O626" s="8" t="s">
        <v>8164</v>
      </c>
      <c r="P626" s="8" t="str">
        <f>HYPERLINK("https://seichotoushi-hojo.jp/assets/pdf/koufu/outline_53.pdf","PDFを開く")</f>
        <v>PDFを開く</v>
      </c>
      <c r="Q626" s="8" t="s">
        <v>1043</v>
      </c>
    </row>
    <row r="627" spans="1:17" ht="62.1" customHeight="1">
      <c r="A627" s="5" t="s">
        <v>1036</v>
      </c>
      <c r="B627" s="5" t="s">
        <v>73</v>
      </c>
      <c r="C627" s="9" t="s">
        <v>1037</v>
      </c>
      <c r="D627" s="5">
        <v>1</v>
      </c>
      <c r="E627" s="9" t="s">
        <v>10156</v>
      </c>
      <c r="F627" s="5">
        <v>3</v>
      </c>
      <c r="G627" s="9" t="s">
        <v>10163</v>
      </c>
      <c r="H627" s="9" t="s">
        <v>10163</v>
      </c>
      <c r="I627" s="5">
        <v>468.36</v>
      </c>
      <c r="J627" s="5">
        <v>396.6</v>
      </c>
      <c r="K627" s="5">
        <v>799.08</v>
      </c>
      <c r="L627" s="5">
        <v>568.55999999999995</v>
      </c>
      <c r="M627" s="9"/>
      <c r="N627" s="9" t="s">
        <v>10159</v>
      </c>
      <c r="O627" s="9" t="s">
        <v>8165</v>
      </c>
      <c r="P627" s="9" t="str">
        <f>HYPERLINK("https://seichotoushi-hojo.jp/assets/pdf/koufu/outline_53.pdf","PDFを開く")</f>
        <v>PDFを開く</v>
      </c>
      <c r="Q627" s="9" t="s">
        <v>1043</v>
      </c>
    </row>
    <row r="628" spans="1:17" ht="62.1" customHeight="1">
      <c r="A628" s="2" t="s">
        <v>1036</v>
      </c>
      <c r="B628" s="2" t="s">
        <v>73</v>
      </c>
      <c r="C628" s="8" t="s">
        <v>1037</v>
      </c>
      <c r="D628" s="2">
        <v>1</v>
      </c>
      <c r="E628" s="8" t="s">
        <v>10156</v>
      </c>
      <c r="F628" s="2">
        <v>4</v>
      </c>
      <c r="G628" s="8" t="s">
        <v>8581</v>
      </c>
      <c r="H628" s="8" t="s">
        <v>8581</v>
      </c>
      <c r="I628" s="2">
        <v>43.56</v>
      </c>
      <c r="J628" s="2">
        <v>482.52</v>
      </c>
      <c r="K628" s="2">
        <v>392.04</v>
      </c>
      <c r="L628" s="2">
        <v>545.64</v>
      </c>
      <c r="M628" s="8"/>
      <c r="N628" s="8" t="s">
        <v>10159</v>
      </c>
      <c r="O628" s="8" t="s">
        <v>1041</v>
      </c>
      <c r="P628" s="8" t="str">
        <f>HYPERLINK("https://seichotoushi-hojo.jp/assets/pdf/koufu/outline_53.pdf","PDFを開く")</f>
        <v>PDFを開く</v>
      </c>
      <c r="Q628" s="8" t="s">
        <v>1043</v>
      </c>
    </row>
    <row r="629" spans="1:17" ht="62.1" customHeight="1">
      <c r="A629" s="5" t="s">
        <v>1036</v>
      </c>
      <c r="B629" s="5" t="s">
        <v>73</v>
      </c>
      <c r="C629" s="9" t="s">
        <v>1037</v>
      </c>
      <c r="D629" s="5">
        <v>2</v>
      </c>
      <c r="E629" s="9" t="s">
        <v>10165</v>
      </c>
      <c r="F629" s="5">
        <v>1</v>
      </c>
      <c r="G629" s="9" t="s">
        <v>10167</v>
      </c>
      <c r="H629" s="9" t="s">
        <v>3504</v>
      </c>
      <c r="I629" s="5">
        <v>136.91999999999999</v>
      </c>
      <c r="J629" s="5">
        <v>436.68</v>
      </c>
      <c r="K629" s="5">
        <v>566.76</v>
      </c>
      <c r="L629" s="5">
        <v>467.16</v>
      </c>
      <c r="M629" s="9"/>
      <c r="N629" s="9" t="s">
        <v>10159</v>
      </c>
      <c r="O629" s="9" t="s">
        <v>10186</v>
      </c>
      <c r="P629" s="9" t="str">
        <f>HYPERLINK("https://seichotoushi-hojo.jp/assets/pdf/koufu/outline_53.pdf","PDFを開く")</f>
        <v>PDFを開く</v>
      </c>
      <c r="Q629" s="9" t="s">
        <v>1043</v>
      </c>
    </row>
    <row r="630" spans="1:17" ht="62.1" customHeight="1">
      <c r="A630" s="2" t="s">
        <v>1044</v>
      </c>
      <c r="B630" s="2" t="s">
        <v>73</v>
      </c>
      <c r="C630" s="8" t="s">
        <v>1045</v>
      </c>
      <c r="D630" s="2">
        <v>1</v>
      </c>
      <c r="E630" s="8" t="s">
        <v>10422</v>
      </c>
      <c r="F630" s="2">
        <v>1</v>
      </c>
      <c r="G630" s="8" t="s">
        <v>10167</v>
      </c>
      <c r="H630" s="8" t="s">
        <v>10423</v>
      </c>
      <c r="I630" s="2">
        <v>42.72</v>
      </c>
      <c r="J630" s="2">
        <v>115.64</v>
      </c>
      <c r="K630" s="2">
        <v>408.96</v>
      </c>
      <c r="L630" s="2">
        <v>529.64</v>
      </c>
      <c r="M630" s="8"/>
      <c r="N630" s="8" t="s">
        <v>10159</v>
      </c>
      <c r="O630" s="8" t="s">
        <v>10424</v>
      </c>
      <c r="P630" s="8" t="str">
        <f>HYPERLINK("https://seichotoushi-hojo.jp/assets/pdf/koufu/outline_55.pdf","PDFを開く")</f>
        <v>PDFを開く</v>
      </c>
      <c r="Q630" s="8" t="s">
        <v>1053</v>
      </c>
    </row>
    <row r="631" spans="1:17" ht="62.1" customHeight="1">
      <c r="A631" s="5" t="s">
        <v>1044</v>
      </c>
      <c r="B631" s="5" t="s">
        <v>73</v>
      </c>
      <c r="C631" s="9" t="s">
        <v>1045</v>
      </c>
      <c r="D631" s="5">
        <v>1</v>
      </c>
      <c r="E631" s="9" t="s">
        <v>10422</v>
      </c>
      <c r="F631" s="5">
        <v>2</v>
      </c>
      <c r="G631" s="9" t="s">
        <v>10167</v>
      </c>
      <c r="H631" s="9" t="s">
        <v>10425</v>
      </c>
      <c r="I631" s="5">
        <v>427.8</v>
      </c>
      <c r="J631" s="5">
        <v>115.76</v>
      </c>
      <c r="K631" s="5">
        <v>798.36</v>
      </c>
      <c r="L631" s="5">
        <v>372.09</v>
      </c>
      <c r="M631" s="9"/>
      <c r="N631" s="9" t="s">
        <v>10159</v>
      </c>
      <c r="O631" s="9" t="s">
        <v>10426</v>
      </c>
      <c r="P631" s="9" t="str">
        <f>HYPERLINK("https://seichotoushi-hojo.jp/assets/pdf/koufu/outline_55.pdf","PDFを開く")</f>
        <v>PDFを開く</v>
      </c>
      <c r="Q631" s="9" t="s">
        <v>1053</v>
      </c>
    </row>
    <row r="632" spans="1:17" ht="62.1" customHeight="1">
      <c r="A632" s="2" t="s">
        <v>1044</v>
      </c>
      <c r="B632" s="2" t="s">
        <v>73</v>
      </c>
      <c r="C632" s="8" t="s">
        <v>1045</v>
      </c>
      <c r="D632" s="2">
        <v>1</v>
      </c>
      <c r="E632" s="8" t="s">
        <v>10422</v>
      </c>
      <c r="F632" s="2">
        <v>3</v>
      </c>
      <c r="G632" s="8" t="s">
        <v>10167</v>
      </c>
      <c r="H632" s="8" t="s">
        <v>10427</v>
      </c>
      <c r="I632" s="2">
        <v>53.28</v>
      </c>
      <c r="J632" s="2">
        <v>423.69</v>
      </c>
      <c r="K632" s="2">
        <v>398.28</v>
      </c>
      <c r="L632" s="2">
        <v>515.61</v>
      </c>
      <c r="M632" s="8"/>
      <c r="N632" s="8" t="s">
        <v>10159</v>
      </c>
      <c r="O632" s="8" t="s">
        <v>10428</v>
      </c>
      <c r="P632" s="8" t="str">
        <f>HYPERLINK("https://seichotoushi-hojo.jp/assets/pdf/koufu/outline_55.pdf","PDFを開く")</f>
        <v>PDFを開く</v>
      </c>
      <c r="Q632" s="8" t="s">
        <v>1053</v>
      </c>
    </row>
    <row r="633" spans="1:17" ht="62.1" customHeight="1">
      <c r="A633" s="5" t="s">
        <v>1054</v>
      </c>
      <c r="B633" s="5" t="s">
        <v>73</v>
      </c>
      <c r="C633" s="9" t="s">
        <v>1055</v>
      </c>
      <c r="D633" s="5">
        <v>1</v>
      </c>
      <c r="E633" s="9" t="s">
        <v>10156</v>
      </c>
      <c r="F633" s="5">
        <v>1</v>
      </c>
      <c r="G633" s="9" t="s">
        <v>9578</v>
      </c>
      <c r="H633" s="9" t="s">
        <v>9578</v>
      </c>
      <c r="I633" s="5">
        <v>38.96</v>
      </c>
      <c r="J633" s="5">
        <v>115.71</v>
      </c>
      <c r="K633" s="5">
        <v>358.46</v>
      </c>
      <c r="L633" s="5">
        <v>520.9</v>
      </c>
      <c r="M633" s="9"/>
      <c r="N633" s="9" t="s">
        <v>10159</v>
      </c>
      <c r="O633" s="9" t="s">
        <v>8172</v>
      </c>
      <c r="P633" s="9" t="str">
        <f>HYPERLINK("https://seichotoushi-hojo.jp/assets/pdf/koufu/outline_56.pdf","PDFを開く")</f>
        <v>PDFを開く</v>
      </c>
      <c r="Q633" s="9" t="s">
        <v>1062</v>
      </c>
    </row>
    <row r="634" spans="1:17" ht="62.1" customHeight="1">
      <c r="A634" s="2" t="s">
        <v>1054</v>
      </c>
      <c r="B634" s="2" t="s">
        <v>73</v>
      </c>
      <c r="C634" s="8" t="s">
        <v>1055</v>
      </c>
      <c r="D634" s="2">
        <v>1</v>
      </c>
      <c r="E634" s="8" t="s">
        <v>10156</v>
      </c>
      <c r="F634" s="2">
        <v>2</v>
      </c>
      <c r="G634" s="8" t="s">
        <v>10162</v>
      </c>
      <c r="H634" s="8" t="s">
        <v>10162</v>
      </c>
      <c r="I634" s="2">
        <v>396.3</v>
      </c>
      <c r="J634" s="2">
        <v>116.07</v>
      </c>
      <c r="K634" s="2">
        <v>741.04</v>
      </c>
      <c r="L634" s="2">
        <v>293.77999999999997</v>
      </c>
      <c r="M634" s="8"/>
      <c r="N634" s="8" t="s">
        <v>10159</v>
      </c>
      <c r="O634" s="8" t="s">
        <v>8173</v>
      </c>
      <c r="P634" s="8" t="str">
        <f>HYPERLINK("https://seichotoushi-hojo.jp/assets/pdf/koufu/outline_56.pdf","PDFを開く")</f>
        <v>PDFを開く</v>
      </c>
      <c r="Q634" s="8" t="s">
        <v>1062</v>
      </c>
    </row>
    <row r="635" spans="1:17" ht="62.1" customHeight="1">
      <c r="A635" s="5" t="s">
        <v>1054</v>
      </c>
      <c r="B635" s="5" t="s">
        <v>73</v>
      </c>
      <c r="C635" s="9" t="s">
        <v>1055</v>
      </c>
      <c r="D635" s="5">
        <v>1</v>
      </c>
      <c r="E635" s="9" t="s">
        <v>10156</v>
      </c>
      <c r="F635" s="5">
        <v>3</v>
      </c>
      <c r="G635" s="9" t="s">
        <v>10163</v>
      </c>
      <c r="H635" s="9" t="s">
        <v>10163</v>
      </c>
      <c r="I635" s="5">
        <v>396.3</v>
      </c>
      <c r="J635" s="5">
        <v>323.18</v>
      </c>
      <c r="K635" s="5">
        <v>739.78</v>
      </c>
      <c r="L635" s="5">
        <v>520.9</v>
      </c>
      <c r="M635" s="9"/>
      <c r="N635" s="9" t="s">
        <v>10159</v>
      </c>
      <c r="O635" s="9" t="s">
        <v>8174</v>
      </c>
      <c r="P635" s="9" t="str">
        <f>HYPERLINK("https://seichotoushi-hojo.jp/assets/pdf/koufu/outline_56.pdf","PDFを開く")</f>
        <v>PDFを開く</v>
      </c>
      <c r="Q635" s="9" t="s">
        <v>1062</v>
      </c>
    </row>
    <row r="636" spans="1:17" ht="62.1" customHeight="1">
      <c r="A636" s="2" t="s">
        <v>1054</v>
      </c>
      <c r="B636" s="2" t="s">
        <v>73</v>
      </c>
      <c r="C636" s="8" t="s">
        <v>1055</v>
      </c>
      <c r="D636" s="2">
        <v>1</v>
      </c>
      <c r="E636" s="8" t="s">
        <v>10156</v>
      </c>
      <c r="F636" s="2">
        <v>4</v>
      </c>
      <c r="G636" s="8" t="s">
        <v>8581</v>
      </c>
      <c r="H636" s="8" t="s">
        <v>8581</v>
      </c>
      <c r="I636" s="2">
        <v>46.61</v>
      </c>
      <c r="J636" s="2">
        <v>373.79</v>
      </c>
      <c r="K636" s="2">
        <v>350.8</v>
      </c>
      <c r="L636" s="2">
        <v>498.17</v>
      </c>
      <c r="M636" s="8"/>
      <c r="N636" s="8" t="s">
        <v>10159</v>
      </c>
      <c r="O636" s="8" t="s">
        <v>1059</v>
      </c>
      <c r="P636" s="8" t="str">
        <f>HYPERLINK("https://seichotoushi-hojo.jp/assets/pdf/koufu/outline_56.pdf","PDFを開く")</f>
        <v>PDFを開く</v>
      </c>
      <c r="Q636" s="8" t="s">
        <v>1062</v>
      </c>
    </row>
    <row r="637" spans="1:17" ht="62.1" customHeight="1">
      <c r="A637" s="5" t="s">
        <v>1054</v>
      </c>
      <c r="B637" s="5" t="s">
        <v>73</v>
      </c>
      <c r="C637" s="9" t="s">
        <v>1055</v>
      </c>
      <c r="D637" s="5">
        <v>3</v>
      </c>
      <c r="E637" s="9" t="s">
        <v>10165</v>
      </c>
      <c r="F637" s="5">
        <v>1</v>
      </c>
      <c r="G637" s="9" t="s">
        <v>10167</v>
      </c>
      <c r="H637" s="9" t="s">
        <v>10429</v>
      </c>
      <c r="I637" s="5">
        <v>158.44999999999999</v>
      </c>
      <c r="J637" s="5">
        <v>481.5</v>
      </c>
      <c r="K637" s="5">
        <v>790.85</v>
      </c>
      <c r="L637" s="5">
        <v>548.82000000000005</v>
      </c>
      <c r="M637" s="9"/>
      <c r="N637" s="9" t="s">
        <v>10159</v>
      </c>
      <c r="O637" s="9" t="s">
        <v>10430</v>
      </c>
      <c r="P637" s="9" t="str">
        <f>HYPERLINK("https://seichotoushi-hojo.jp/assets/pdf/koufu/outline_56.pdf","PDFを開く")</f>
        <v>PDFを開く</v>
      </c>
      <c r="Q637" s="9" t="s">
        <v>1062</v>
      </c>
    </row>
    <row r="638" spans="1:17" ht="62.1" customHeight="1">
      <c r="A638" s="2" t="s">
        <v>1063</v>
      </c>
      <c r="B638" s="2" t="s">
        <v>73</v>
      </c>
      <c r="C638" s="8" t="s">
        <v>1064</v>
      </c>
      <c r="D638" s="2">
        <v>1</v>
      </c>
      <c r="E638" s="8" t="s">
        <v>10156</v>
      </c>
      <c r="F638" s="2">
        <v>1</v>
      </c>
      <c r="G638" s="8" t="s">
        <v>10157</v>
      </c>
      <c r="H638" s="8" t="s">
        <v>10157</v>
      </c>
      <c r="I638" s="2">
        <v>18</v>
      </c>
      <c r="J638" s="2">
        <v>96.6</v>
      </c>
      <c r="K638" s="2">
        <v>763.56</v>
      </c>
      <c r="L638" s="2">
        <v>151.32</v>
      </c>
      <c r="M638" s="8"/>
      <c r="N638" s="8" t="s">
        <v>10159</v>
      </c>
      <c r="O638" s="8" t="s">
        <v>8179</v>
      </c>
      <c r="P638" s="8" t="str">
        <f t="shared" ref="P638:P643" si="33">HYPERLINK("https://seichotoushi-hojo.jp/assets/pdf/koufu/outline_58.pdf","PDFを開く")</f>
        <v>PDFを開く</v>
      </c>
      <c r="Q638" s="8" t="s">
        <v>1070</v>
      </c>
    </row>
    <row r="639" spans="1:17" ht="62.1" customHeight="1">
      <c r="A639" s="5" t="s">
        <v>1063</v>
      </c>
      <c r="B639" s="5" t="s">
        <v>73</v>
      </c>
      <c r="C639" s="9" t="s">
        <v>1064</v>
      </c>
      <c r="D639" s="5">
        <v>1</v>
      </c>
      <c r="E639" s="9" t="s">
        <v>10156</v>
      </c>
      <c r="F639" s="5">
        <v>2</v>
      </c>
      <c r="G639" s="9" t="s">
        <v>9578</v>
      </c>
      <c r="H639" s="9" t="s">
        <v>9578</v>
      </c>
      <c r="I639" s="5">
        <v>18</v>
      </c>
      <c r="J639" s="5">
        <v>153.84</v>
      </c>
      <c r="K639" s="5">
        <v>420.36</v>
      </c>
      <c r="L639" s="5">
        <v>519.48</v>
      </c>
      <c r="M639" s="9"/>
      <c r="N639" s="9" t="s">
        <v>10159</v>
      </c>
      <c r="O639" s="9" t="s">
        <v>8180</v>
      </c>
      <c r="P639" s="9" t="str">
        <f t="shared" si="33"/>
        <v>PDFを開く</v>
      </c>
      <c r="Q639" s="9" t="s">
        <v>1070</v>
      </c>
    </row>
    <row r="640" spans="1:17" ht="62.1" customHeight="1">
      <c r="A640" s="2" t="s">
        <v>1063</v>
      </c>
      <c r="B640" s="2" t="s">
        <v>73</v>
      </c>
      <c r="C640" s="8" t="s">
        <v>1064</v>
      </c>
      <c r="D640" s="2">
        <v>1</v>
      </c>
      <c r="E640" s="8" t="s">
        <v>10156</v>
      </c>
      <c r="F640" s="2">
        <v>3</v>
      </c>
      <c r="G640" s="8" t="s">
        <v>10162</v>
      </c>
      <c r="H640" s="8" t="s">
        <v>10162</v>
      </c>
      <c r="I640" s="2">
        <v>443.64</v>
      </c>
      <c r="J640" s="2">
        <v>153.84</v>
      </c>
      <c r="K640" s="2">
        <v>762</v>
      </c>
      <c r="L640" s="2">
        <v>349.44</v>
      </c>
      <c r="M640" s="8"/>
      <c r="N640" s="8" t="s">
        <v>10159</v>
      </c>
      <c r="O640" s="8" t="s">
        <v>8181</v>
      </c>
      <c r="P640" s="8" t="str">
        <f t="shared" si="33"/>
        <v>PDFを開く</v>
      </c>
      <c r="Q640" s="8" t="s">
        <v>1070</v>
      </c>
    </row>
    <row r="641" spans="1:17" ht="62.1" customHeight="1">
      <c r="A641" s="5" t="s">
        <v>1063</v>
      </c>
      <c r="B641" s="5" t="s">
        <v>73</v>
      </c>
      <c r="C641" s="9" t="s">
        <v>1064</v>
      </c>
      <c r="D641" s="5">
        <v>1</v>
      </c>
      <c r="E641" s="9" t="s">
        <v>10156</v>
      </c>
      <c r="F641" s="5">
        <v>4</v>
      </c>
      <c r="G641" s="9" t="s">
        <v>10163</v>
      </c>
      <c r="H641" s="9" t="s">
        <v>10163</v>
      </c>
      <c r="I641" s="5">
        <v>443.64</v>
      </c>
      <c r="J641" s="5">
        <v>352.56</v>
      </c>
      <c r="K641" s="5">
        <v>762</v>
      </c>
      <c r="L641" s="5">
        <v>519.72</v>
      </c>
      <c r="M641" s="9"/>
      <c r="N641" s="9" t="s">
        <v>10159</v>
      </c>
      <c r="O641" s="9" t="s">
        <v>8182</v>
      </c>
      <c r="P641" s="9" t="str">
        <f t="shared" si="33"/>
        <v>PDFを開く</v>
      </c>
      <c r="Q641" s="9" t="s">
        <v>1070</v>
      </c>
    </row>
    <row r="642" spans="1:17" ht="62.1" customHeight="1">
      <c r="A642" s="2" t="s">
        <v>1063</v>
      </c>
      <c r="B642" s="2" t="s">
        <v>73</v>
      </c>
      <c r="C642" s="8" t="s">
        <v>1064</v>
      </c>
      <c r="D642" s="2">
        <v>1</v>
      </c>
      <c r="E642" s="8" t="s">
        <v>10156</v>
      </c>
      <c r="F642" s="2">
        <v>5</v>
      </c>
      <c r="G642" s="8" t="s">
        <v>8581</v>
      </c>
      <c r="H642" s="8" t="s">
        <v>8581</v>
      </c>
      <c r="I642" s="2">
        <v>21.6</v>
      </c>
      <c r="J642" s="2">
        <v>371.28</v>
      </c>
      <c r="K642" s="2">
        <v>415.56</v>
      </c>
      <c r="L642" s="2">
        <v>514.20000000000005</v>
      </c>
      <c r="M642" s="8"/>
      <c r="N642" s="8" t="s">
        <v>10159</v>
      </c>
      <c r="O642" s="8" t="s">
        <v>8183</v>
      </c>
      <c r="P642" s="8" t="str">
        <f t="shared" si="33"/>
        <v>PDFを開く</v>
      </c>
      <c r="Q642" s="8" t="s">
        <v>1070</v>
      </c>
    </row>
    <row r="643" spans="1:17" ht="62.1" customHeight="1">
      <c r="A643" s="5" t="s">
        <v>1063</v>
      </c>
      <c r="B643" s="5" t="s">
        <v>73</v>
      </c>
      <c r="C643" s="9" t="s">
        <v>1064</v>
      </c>
      <c r="D643" s="5">
        <v>2</v>
      </c>
      <c r="E643" s="9" t="s">
        <v>10165</v>
      </c>
      <c r="F643" s="5">
        <v>1</v>
      </c>
      <c r="G643" s="9" t="s">
        <v>10184</v>
      </c>
      <c r="H643" s="9" t="s">
        <v>10184</v>
      </c>
      <c r="I643" s="5">
        <v>100.25</v>
      </c>
      <c r="J643" s="5">
        <v>376.3</v>
      </c>
      <c r="K643" s="5">
        <v>433.63</v>
      </c>
      <c r="L643" s="5">
        <v>579.32000000000005</v>
      </c>
      <c r="M643" s="9"/>
      <c r="N643" s="9" t="s">
        <v>10181</v>
      </c>
      <c r="O643" s="9" t="s">
        <v>10431</v>
      </c>
      <c r="P643" s="9" t="str">
        <f t="shared" si="33"/>
        <v>PDFを開く</v>
      </c>
      <c r="Q643" s="9" t="s">
        <v>1070</v>
      </c>
    </row>
    <row r="644" spans="1:17" ht="62.1" customHeight="1">
      <c r="A644" s="2" t="s">
        <v>1071</v>
      </c>
      <c r="B644" s="2" t="s">
        <v>73</v>
      </c>
      <c r="C644" s="8" t="s">
        <v>1072</v>
      </c>
      <c r="D644" s="2">
        <v>1</v>
      </c>
      <c r="E644" s="8" t="s">
        <v>10422</v>
      </c>
      <c r="F644" s="2">
        <v>1</v>
      </c>
      <c r="G644" s="8" t="s">
        <v>10167</v>
      </c>
      <c r="H644" s="8" t="s">
        <v>10212</v>
      </c>
      <c r="I644" s="2">
        <v>31.07</v>
      </c>
      <c r="J644" s="2">
        <v>27.51</v>
      </c>
      <c r="K644" s="2">
        <v>811.07</v>
      </c>
      <c r="L644" s="2">
        <v>567.51</v>
      </c>
      <c r="M644" s="8" t="s">
        <v>10158</v>
      </c>
      <c r="N644" s="8" t="s">
        <v>10159</v>
      </c>
      <c r="O644" s="8" t="s">
        <v>10432</v>
      </c>
      <c r="P644" s="8" t="str">
        <f t="shared" ref="P644:P649" si="34">HYPERLINK("https://seichotoushi-hojo.jp/assets/pdf/koufu/outline_61.pdf","PDFを開く")</f>
        <v>PDFを開く</v>
      </c>
      <c r="Q644" s="8" t="s">
        <v>1079</v>
      </c>
    </row>
    <row r="645" spans="1:17" ht="62.1" customHeight="1">
      <c r="A645" s="5" t="s">
        <v>1071</v>
      </c>
      <c r="B645" s="5" t="s">
        <v>73</v>
      </c>
      <c r="C645" s="9" t="s">
        <v>1072</v>
      </c>
      <c r="D645" s="5">
        <v>1</v>
      </c>
      <c r="E645" s="9" t="s">
        <v>10422</v>
      </c>
      <c r="F645" s="5">
        <v>2</v>
      </c>
      <c r="G645" s="9" t="s">
        <v>10167</v>
      </c>
      <c r="H645" s="9" t="s">
        <v>10433</v>
      </c>
      <c r="I645" s="5">
        <v>42.9</v>
      </c>
      <c r="J645" s="5">
        <v>131.78</v>
      </c>
      <c r="K645" s="5">
        <v>450.2</v>
      </c>
      <c r="L645" s="5">
        <v>554.32000000000005</v>
      </c>
      <c r="M645" s="9"/>
      <c r="N645" s="9" t="s">
        <v>10159</v>
      </c>
      <c r="O645" s="9" t="s">
        <v>10434</v>
      </c>
      <c r="P645" s="9" t="str">
        <f t="shared" si="34"/>
        <v>PDFを開く</v>
      </c>
      <c r="Q645" s="9" t="s">
        <v>1079</v>
      </c>
    </row>
    <row r="646" spans="1:17" ht="62.1" customHeight="1">
      <c r="A646" s="2" t="s">
        <v>1071</v>
      </c>
      <c r="B646" s="2" t="s">
        <v>73</v>
      </c>
      <c r="C646" s="8" t="s">
        <v>1072</v>
      </c>
      <c r="D646" s="2">
        <v>1</v>
      </c>
      <c r="E646" s="8" t="s">
        <v>10422</v>
      </c>
      <c r="F646" s="2">
        <v>3</v>
      </c>
      <c r="G646" s="8" t="s">
        <v>10167</v>
      </c>
      <c r="H646" s="8" t="s">
        <v>10435</v>
      </c>
      <c r="I646" s="2">
        <v>470.31</v>
      </c>
      <c r="J646" s="2">
        <v>131.78</v>
      </c>
      <c r="K646" s="2">
        <v>798.22</v>
      </c>
      <c r="L646" s="2">
        <v>330.21</v>
      </c>
      <c r="M646" s="8"/>
      <c r="N646" s="8" t="s">
        <v>10159</v>
      </c>
      <c r="O646" s="8" t="s">
        <v>10436</v>
      </c>
      <c r="P646" s="8" t="str">
        <f t="shared" si="34"/>
        <v>PDFを開く</v>
      </c>
      <c r="Q646" s="8" t="s">
        <v>1079</v>
      </c>
    </row>
    <row r="647" spans="1:17" ht="62.1" customHeight="1">
      <c r="A647" s="5" t="s">
        <v>1071</v>
      </c>
      <c r="B647" s="5" t="s">
        <v>73</v>
      </c>
      <c r="C647" s="9" t="s">
        <v>1072</v>
      </c>
      <c r="D647" s="5">
        <v>1</v>
      </c>
      <c r="E647" s="9" t="s">
        <v>10422</v>
      </c>
      <c r="F647" s="5">
        <v>4</v>
      </c>
      <c r="G647" s="9" t="s">
        <v>10167</v>
      </c>
      <c r="H647" s="9" t="s">
        <v>10437</v>
      </c>
      <c r="I647" s="5">
        <v>53.13</v>
      </c>
      <c r="J647" s="5">
        <v>275.99</v>
      </c>
      <c r="K647" s="5">
        <v>440.04</v>
      </c>
      <c r="L647" s="5">
        <v>548.41</v>
      </c>
      <c r="M647" s="9"/>
      <c r="N647" s="9" t="s">
        <v>10159</v>
      </c>
      <c r="O647" s="9" t="s">
        <v>10438</v>
      </c>
      <c r="P647" s="9" t="str">
        <f t="shared" si="34"/>
        <v>PDFを開く</v>
      </c>
      <c r="Q647" s="9" t="s">
        <v>1079</v>
      </c>
    </row>
    <row r="648" spans="1:17" ht="62.1" customHeight="1">
      <c r="A648" s="2" t="s">
        <v>1071</v>
      </c>
      <c r="B648" s="2" t="s">
        <v>73</v>
      </c>
      <c r="C648" s="8" t="s">
        <v>1072</v>
      </c>
      <c r="D648" s="2">
        <v>1</v>
      </c>
      <c r="E648" s="8" t="s">
        <v>10422</v>
      </c>
      <c r="F648" s="2">
        <v>5</v>
      </c>
      <c r="G648" s="8" t="s">
        <v>10167</v>
      </c>
      <c r="H648" s="8" t="s">
        <v>10439</v>
      </c>
      <c r="I648" s="2">
        <v>470.31</v>
      </c>
      <c r="J648" s="2">
        <v>355.89</v>
      </c>
      <c r="K648" s="2">
        <v>798.22</v>
      </c>
      <c r="L648" s="2">
        <v>554.32000000000005</v>
      </c>
      <c r="M648" s="8"/>
      <c r="N648" s="8" t="s">
        <v>10159</v>
      </c>
      <c r="O648" s="8" t="s">
        <v>10440</v>
      </c>
      <c r="P648" s="8" t="str">
        <f t="shared" si="34"/>
        <v>PDFを開く</v>
      </c>
      <c r="Q648" s="8" t="s">
        <v>1079</v>
      </c>
    </row>
    <row r="649" spans="1:17" ht="62.1" customHeight="1">
      <c r="A649" s="5" t="s">
        <v>1071</v>
      </c>
      <c r="B649" s="5" t="s">
        <v>73</v>
      </c>
      <c r="C649" s="9" t="s">
        <v>1072</v>
      </c>
      <c r="D649" s="5">
        <v>2</v>
      </c>
      <c r="E649" s="9" t="s">
        <v>10422</v>
      </c>
      <c r="F649" s="5">
        <v>1</v>
      </c>
      <c r="G649" s="9" t="s">
        <v>10167</v>
      </c>
      <c r="H649" s="9" t="s">
        <v>10212</v>
      </c>
      <c r="I649" s="5">
        <v>31.07</v>
      </c>
      <c r="J649" s="5">
        <v>27.51</v>
      </c>
      <c r="K649" s="5">
        <v>811.07</v>
      </c>
      <c r="L649" s="5">
        <v>567.51</v>
      </c>
      <c r="M649" s="9" t="s">
        <v>10158</v>
      </c>
      <c r="N649" s="9" t="s">
        <v>10159</v>
      </c>
      <c r="O649" s="9" t="s">
        <v>10441</v>
      </c>
      <c r="P649" s="9" t="str">
        <f t="shared" si="34"/>
        <v>PDFを開く</v>
      </c>
      <c r="Q649" s="9" t="s">
        <v>1079</v>
      </c>
    </row>
    <row r="650" spans="1:17" ht="62.1" customHeight="1">
      <c r="A650" s="2" t="s">
        <v>1080</v>
      </c>
      <c r="B650" s="2" t="s">
        <v>73</v>
      </c>
      <c r="C650" s="8" t="s">
        <v>1081</v>
      </c>
      <c r="D650" s="2">
        <v>1</v>
      </c>
      <c r="E650" s="8" t="s">
        <v>10156</v>
      </c>
      <c r="F650" s="2">
        <v>1</v>
      </c>
      <c r="G650" s="8" t="s">
        <v>10162</v>
      </c>
      <c r="H650" s="8" t="s">
        <v>10162</v>
      </c>
      <c r="I650" s="2">
        <v>424.08</v>
      </c>
      <c r="J650" s="2">
        <v>117</v>
      </c>
      <c r="K650" s="2">
        <v>826.68</v>
      </c>
      <c r="L650" s="2">
        <v>348.96</v>
      </c>
      <c r="M650" s="8"/>
      <c r="N650" s="8" t="s">
        <v>10159</v>
      </c>
      <c r="O650" s="8" t="s">
        <v>8190</v>
      </c>
      <c r="P650" s="8" t="str">
        <f>HYPERLINK("https://seichotoushi-hojo.jp/assets/pdf/koufu/outline_62.pdf","PDFを開く")</f>
        <v>PDFを開く</v>
      </c>
      <c r="Q650" s="8" t="s">
        <v>1087</v>
      </c>
    </row>
    <row r="651" spans="1:17" ht="62.1" customHeight="1">
      <c r="A651" s="5" t="s">
        <v>1080</v>
      </c>
      <c r="B651" s="5" t="s">
        <v>73</v>
      </c>
      <c r="C651" s="9" t="s">
        <v>1081</v>
      </c>
      <c r="D651" s="5">
        <v>1</v>
      </c>
      <c r="E651" s="9" t="s">
        <v>10156</v>
      </c>
      <c r="F651" s="5">
        <v>2</v>
      </c>
      <c r="G651" s="9" t="s">
        <v>9578</v>
      </c>
      <c r="H651" s="9" t="s">
        <v>9578</v>
      </c>
      <c r="I651" s="5">
        <v>15.36</v>
      </c>
      <c r="J651" s="5">
        <v>117.48</v>
      </c>
      <c r="K651" s="5">
        <v>388.32</v>
      </c>
      <c r="L651" s="5">
        <v>568.55999999999995</v>
      </c>
      <c r="M651" s="9"/>
      <c r="N651" s="9" t="s">
        <v>10159</v>
      </c>
      <c r="O651" s="9" t="s">
        <v>8189</v>
      </c>
      <c r="P651" s="9" t="str">
        <f>HYPERLINK("https://seichotoushi-hojo.jp/assets/pdf/koufu/outline_62.pdf","PDFを開く")</f>
        <v>PDFを開く</v>
      </c>
      <c r="Q651" s="9" t="s">
        <v>1087</v>
      </c>
    </row>
    <row r="652" spans="1:17" ht="62.1" customHeight="1">
      <c r="A652" s="2" t="s">
        <v>1080</v>
      </c>
      <c r="B652" s="2" t="s">
        <v>73</v>
      </c>
      <c r="C652" s="8" t="s">
        <v>1081</v>
      </c>
      <c r="D652" s="2">
        <v>1</v>
      </c>
      <c r="E652" s="8" t="s">
        <v>10156</v>
      </c>
      <c r="F652" s="2">
        <v>3</v>
      </c>
      <c r="G652" s="8" t="s">
        <v>10163</v>
      </c>
      <c r="H652" s="8" t="s">
        <v>10163</v>
      </c>
      <c r="I652" s="2">
        <v>424.2</v>
      </c>
      <c r="J652" s="2">
        <v>360.96</v>
      </c>
      <c r="K652" s="2">
        <v>826.8</v>
      </c>
      <c r="L652" s="2">
        <v>567.84</v>
      </c>
      <c r="M652" s="8"/>
      <c r="N652" s="8" t="s">
        <v>10159</v>
      </c>
      <c r="O652" s="8" t="s">
        <v>8191</v>
      </c>
      <c r="P652" s="8" t="str">
        <f>HYPERLINK("https://seichotoushi-hojo.jp/assets/pdf/koufu/outline_62.pdf","PDFを開く")</f>
        <v>PDFを開く</v>
      </c>
      <c r="Q652" s="8" t="s">
        <v>1087</v>
      </c>
    </row>
    <row r="653" spans="1:17" ht="62.1" customHeight="1">
      <c r="A653" s="5" t="s">
        <v>1080</v>
      </c>
      <c r="B653" s="5" t="s">
        <v>73</v>
      </c>
      <c r="C653" s="9" t="s">
        <v>1081</v>
      </c>
      <c r="D653" s="5">
        <v>1</v>
      </c>
      <c r="E653" s="9" t="s">
        <v>10156</v>
      </c>
      <c r="F653" s="5">
        <v>4</v>
      </c>
      <c r="G653" s="9" t="s">
        <v>8581</v>
      </c>
      <c r="H653" s="9" t="s">
        <v>8581</v>
      </c>
      <c r="I653" s="5">
        <v>29.4</v>
      </c>
      <c r="J653" s="5">
        <v>464.4</v>
      </c>
      <c r="K653" s="5">
        <v>374.28</v>
      </c>
      <c r="L653" s="5">
        <v>553.20000000000005</v>
      </c>
      <c r="M653" s="9"/>
      <c r="N653" s="9" t="s">
        <v>10159</v>
      </c>
      <c r="O653" s="9" t="s">
        <v>1085</v>
      </c>
      <c r="P653" s="9" t="str">
        <f>HYPERLINK("https://seichotoushi-hojo.jp/assets/pdf/koufu/outline_62.pdf","PDFを開く")</f>
        <v>PDFを開く</v>
      </c>
      <c r="Q653" s="9" t="s">
        <v>1087</v>
      </c>
    </row>
    <row r="654" spans="1:17" ht="62.1" customHeight="1">
      <c r="A654" s="2" t="s">
        <v>1088</v>
      </c>
      <c r="B654" s="2" t="s">
        <v>73</v>
      </c>
      <c r="C654" s="8" t="s">
        <v>1089</v>
      </c>
      <c r="D654" s="2">
        <v>1</v>
      </c>
      <c r="E654" s="8" t="s">
        <v>10156</v>
      </c>
      <c r="F654" s="2">
        <v>1</v>
      </c>
      <c r="G654" s="8" t="s">
        <v>9578</v>
      </c>
      <c r="H654" s="8" t="s">
        <v>9578</v>
      </c>
      <c r="I654" s="2">
        <v>22.56</v>
      </c>
      <c r="J654" s="2">
        <v>101.76</v>
      </c>
      <c r="K654" s="2">
        <v>388.8</v>
      </c>
      <c r="L654" s="2">
        <v>520.91999999999996</v>
      </c>
      <c r="M654" s="8"/>
      <c r="N654" s="8" t="s">
        <v>10159</v>
      </c>
      <c r="O654" s="8" t="s">
        <v>8197</v>
      </c>
      <c r="P654" s="8" t="str">
        <f>HYPERLINK("https://seichotoushi-hojo.jp/assets/pdf/koufu/outline_63.pdf","PDFを開く")</f>
        <v>PDFを開く</v>
      </c>
      <c r="Q654" s="8" t="s">
        <v>1095</v>
      </c>
    </row>
    <row r="655" spans="1:17" ht="62.1" customHeight="1">
      <c r="A655" s="5" t="s">
        <v>1088</v>
      </c>
      <c r="B655" s="5" t="s">
        <v>73</v>
      </c>
      <c r="C655" s="9" t="s">
        <v>1089</v>
      </c>
      <c r="D655" s="5">
        <v>1</v>
      </c>
      <c r="E655" s="9" t="s">
        <v>10156</v>
      </c>
      <c r="F655" s="5">
        <v>2</v>
      </c>
      <c r="G655" s="9" t="s">
        <v>10162</v>
      </c>
      <c r="H655" s="9" t="s">
        <v>10162</v>
      </c>
      <c r="I655" s="5">
        <v>408.72</v>
      </c>
      <c r="J655" s="5">
        <v>107.88</v>
      </c>
      <c r="K655" s="5">
        <v>752.16</v>
      </c>
      <c r="L655" s="5">
        <v>299.27999999999997</v>
      </c>
      <c r="M655" s="9"/>
      <c r="N655" s="9" t="s">
        <v>10159</v>
      </c>
      <c r="O655" s="9" t="s">
        <v>8198</v>
      </c>
      <c r="P655" s="9" t="str">
        <f>HYPERLINK("https://seichotoushi-hojo.jp/assets/pdf/koufu/outline_63.pdf","PDFを開く")</f>
        <v>PDFを開く</v>
      </c>
      <c r="Q655" s="9" t="s">
        <v>1095</v>
      </c>
    </row>
    <row r="656" spans="1:17" ht="62.1" customHeight="1">
      <c r="A656" s="2" t="s">
        <v>1088</v>
      </c>
      <c r="B656" s="2" t="s">
        <v>73</v>
      </c>
      <c r="C656" s="8" t="s">
        <v>1089</v>
      </c>
      <c r="D656" s="2">
        <v>1</v>
      </c>
      <c r="E656" s="8" t="s">
        <v>10156</v>
      </c>
      <c r="F656" s="2">
        <v>3</v>
      </c>
      <c r="G656" s="8" t="s">
        <v>10163</v>
      </c>
      <c r="H656" s="8" t="s">
        <v>10163</v>
      </c>
      <c r="I656" s="2">
        <v>408.72</v>
      </c>
      <c r="J656" s="2">
        <v>313.08</v>
      </c>
      <c r="K656" s="2">
        <v>752.16</v>
      </c>
      <c r="L656" s="2">
        <v>520.91999999999996</v>
      </c>
      <c r="M656" s="8"/>
      <c r="N656" s="8" t="s">
        <v>10159</v>
      </c>
      <c r="O656" s="8" t="s">
        <v>8199</v>
      </c>
      <c r="P656" s="8" t="str">
        <f>HYPERLINK("https://seichotoushi-hojo.jp/assets/pdf/koufu/outline_63.pdf","PDFを開く")</f>
        <v>PDFを開く</v>
      </c>
      <c r="Q656" s="8" t="s">
        <v>1095</v>
      </c>
    </row>
    <row r="657" spans="1:17" ht="62.1" customHeight="1">
      <c r="A657" s="5" t="s">
        <v>1088</v>
      </c>
      <c r="B657" s="5" t="s">
        <v>73</v>
      </c>
      <c r="C657" s="9" t="s">
        <v>1089</v>
      </c>
      <c r="D657" s="5">
        <v>1</v>
      </c>
      <c r="E657" s="9" t="s">
        <v>10156</v>
      </c>
      <c r="F657" s="5">
        <v>4</v>
      </c>
      <c r="G657" s="9" t="s">
        <v>8581</v>
      </c>
      <c r="H657" s="9" t="s">
        <v>8581</v>
      </c>
      <c r="I657" s="5">
        <v>25.2</v>
      </c>
      <c r="J657" s="5">
        <v>385.08</v>
      </c>
      <c r="K657" s="5">
        <v>386.16</v>
      </c>
      <c r="L657" s="5">
        <v>526.67999999999995</v>
      </c>
      <c r="M657" s="9"/>
      <c r="N657" s="9" t="s">
        <v>10159</v>
      </c>
      <c r="O657" s="9" t="s">
        <v>1092</v>
      </c>
      <c r="P657" s="9" t="str">
        <f>HYPERLINK("https://seichotoushi-hojo.jp/assets/pdf/koufu/outline_63.pdf","PDFを開く")</f>
        <v>PDFを開く</v>
      </c>
      <c r="Q657" s="9" t="s">
        <v>1095</v>
      </c>
    </row>
    <row r="658" spans="1:17" ht="62.1" customHeight="1">
      <c r="A658" s="2" t="s">
        <v>1088</v>
      </c>
      <c r="B658" s="2" t="s">
        <v>73</v>
      </c>
      <c r="C658" s="8" t="s">
        <v>1089</v>
      </c>
      <c r="D658" s="2">
        <v>2</v>
      </c>
      <c r="E658" s="8" t="s">
        <v>10165</v>
      </c>
      <c r="F658" s="2">
        <v>1</v>
      </c>
      <c r="G658" s="8" t="s">
        <v>10157</v>
      </c>
      <c r="H658" s="8" t="s">
        <v>10157</v>
      </c>
      <c r="I658" s="2">
        <v>21.48</v>
      </c>
      <c r="J658" s="2">
        <v>33.6</v>
      </c>
      <c r="K658" s="2">
        <v>758.52</v>
      </c>
      <c r="L658" s="2">
        <v>90.24</v>
      </c>
      <c r="M658" s="8" t="s">
        <v>10158</v>
      </c>
      <c r="N658" s="8" t="s">
        <v>10159</v>
      </c>
      <c r="O658" s="8" t="s">
        <v>8196</v>
      </c>
      <c r="P658" s="8" t="str">
        <f>HYPERLINK("https://seichotoushi-hojo.jp/assets/pdf/koufu/outline_63.pdf","PDFを開く")</f>
        <v>PDFを開く</v>
      </c>
      <c r="Q658" s="8" t="s">
        <v>1095</v>
      </c>
    </row>
    <row r="659" spans="1:17" ht="62.1" customHeight="1">
      <c r="A659" s="5" t="s">
        <v>1096</v>
      </c>
      <c r="B659" s="5" t="s">
        <v>73</v>
      </c>
      <c r="C659" s="9" t="s">
        <v>1097</v>
      </c>
      <c r="D659" s="5">
        <v>1</v>
      </c>
      <c r="E659" s="9" t="s">
        <v>10156</v>
      </c>
      <c r="F659" s="5">
        <v>1</v>
      </c>
      <c r="G659" s="9" t="s">
        <v>9578</v>
      </c>
      <c r="H659" s="9" t="s">
        <v>9578</v>
      </c>
      <c r="I659" s="5">
        <v>42.84</v>
      </c>
      <c r="J659" s="5">
        <v>171.36</v>
      </c>
      <c r="K659" s="5">
        <v>408.84</v>
      </c>
      <c r="L659" s="5">
        <v>529.55999999999995</v>
      </c>
      <c r="M659" s="9"/>
      <c r="N659" s="9" t="s">
        <v>10159</v>
      </c>
      <c r="O659" s="9" t="s">
        <v>10442</v>
      </c>
      <c r="P659" s="9" t="str">
        <f>HYPERLINK("https://seichotoushi-hojo.jp/assets/pdf/koufu/outline_65.pdf","PDFを開く")</f>
        <v>PDFを開く</v>
      </c>
      <c r="Q659" s="9" t="s">
        <v>1103</v>
      </c>
    </row>
    <row r="660" spans="1:17" ht="62.1" customHeight="1">
      <c r="A660" s="2" t="s">
        <v>1096</v>
      </c>
      <c r="B660" s="2" t="s">
        <v>73</v>
      </c>
      <c r="C660" s="8" t="s">
        <v>1097</v>
      </c>
      <c r="D660" s="2">
        <v>1</v>
      </c>
      <c r="E660" s="8" t="s">
        <v>10156</v>
      </c>
      <c r="F660" s="2">
        <v>2</v>
      </c>
      <c r="G660" s="8" t="s">
        <v>10162</v>
      </c>
      <c r="H660" s="8" t="s">
        <v>10162</v>
      </c>
      <c r="I660" s="2">
        <v>427.8</v>
      </c>
      <c r="J660" s="2">
        <v>173.76</v>
      </c>
      <c r="K660" s="2">
        <v>798.48</v>
      </c>
      <c r="L660" s="2">
        <v>344.64</v>
      </c>
      <c r="M660" s="8"/>
      <c r="N660" s="8" t="s">
        <v>10159</v>
      </c>
      <c r="O660" s="8" t="s">
        <v>8205</v>
      </c>
      <c r="P660" s="8" t="str">
        <f>HYPERLINK("https://seichotoushi-hojo.jp/assets/pdf/koufu/outline_65.pdf","PDFを開く")</f>
        <v>PDFを開く</v>
      </c>
      <c r="Q660" s="8" t="s">
        <v>1103</v>
      </c>
    </row>
    <row r="661" spans="1:17" ht="62.1" customHeight="1">
      <c r="A661" s="5" t="s">
        <v>1096</v>
      </c>
      <c r="B661" s="5" t="s">
        <v>73</v>
      </c>
      <c r="C661" s="9" t="s">
        <v>1097</v>
      </c>
      <c r="D661" s="5">
        <v>1</v>
      </c>
      <c r="E661" s="9" t="s">
        <v>10156</v>
      </c>
      <c r="F661" s="5">
        <v>3</v>
      </c>
      <c r="G661" s="9" t="s">
        <v>10163</v>
      </c>
      <c r="H661" s="9" t="s">
        <v>10163</v>
      </c>
      <c r="I661" s="5">
        <v>427.8</v>
      </c>
      <c r="J661" s="5">
        <v>358.68</v>
      </c>
      <c r="K661" s="5">
        <v>798.48</v>
      </c>
      <c r="L661" s="5">
        <v>529.55999999999995</v>
      </c>
      <c r="M661" s="9"/>
      <c r="N661" s="9" t="s">
        <v>10159</v>
      </c>
      <c r="O661" s="9" t="s">
        <v>8206</v>
      </c>
      <c r="P661" s="9" t="str">
        <f>HYPERLINK("https://seichotoushi-hojo.jp/assets/pdf/koufu/outline_65.pdf","PDFを開く")</f>
        <v>PDFを開く</v>
      </c>
      <c r="Q661" s="9" t="s">
        <v>1103</v>
      </c>
    </row>
    <row r="662" spans="1:17" ht="62.1" customHeight="1">
      <c r="A662" s="2" t="s">
        <v>1096</v>
      </c>
      <c r="B662" s="2" t="s">
        <v>73</v>
      </c>
      <c r="C662" s="8" t="s">
        <v>1097</v>
      </c>
      <c r="D662" s="2">
        <v>1</v>
      </c>
      <c r="E662" s="8" t="s">
        <v>10156</v>
      </c>
      <c r="F662" s="2">
        <v>4</v>
      </c>
      <c r="G662" s="8" t="s">
        <v>8581</v>
      </c>
      <c r="H662" s="8" t="s">
        <v>8581</v>
      </c>
      <c r="I662" s="2">
        <v>51.84</v>
      </c>
      <c r="J662" s="2">
        <v>396.12</v>
      </c>
      <c r="K662" s="2">
        <v>396.72</v>
      </c>
      <c r="L662" s="2">
        <v>521.04</v>
      </c>
      <c r="M662" s="8"/>
      <c r="N662" s="8" t="s">
        <v>10159</v>
      </c>
      <c r="O662" s="8" t="s">
        <v>1101</v>
      </c>
      <c r="P662" s="8" t="str">
        <f>HYPERLINK("https://seichotoushi-hojo.jp/assets/pdf/koufu/outline_65.pdf","PDFを開く")</f>
        <v>PDFを開く</v>
      </c>
      <c r="Q662" s="8" t="s">
        <v>1103</v>
      </c>
    </row>
    <row r="663" spans="1:17" ht="62.1" customHeight="1">
      <c r="A663" s="5" t="s">
        <v>1096</v>
      </c>
      <c r="B663" s="5" t="s">
        <v>73</v>
      </c>
      <c r="C663" s="9" t="s">
        <v>1097</v>
      </c>
      <c r="D663" s="5">
        <v>2</v>
      </c>
      <c r="E663" s="9" t="s">
        <v>10165</v>
      </c>
      <c r="F663" s="5">
        <v>1</v>
      </c>
      <c r="G663" s="9" t="s">
        <v>9578</v>
      </c>
      <c r="H663" s="9" t="s">
        <v>9578</v>
      </c>
      <c r="I663" s="5">
        <v>124.51</v>
      </c>
      <c r="J663" s="5">
        <v>104.54</v>
      </c>
      <c r="K663" s="5">
        <v>401.7</v>
      </c>
      <c r="L663" s="5">
        <v>299.94</v>
      </c>
      <c r="M663" s="9"/>
      <c r="N663" s="9" t="s">
        <v>10181</v>
      </c>
      <c r="O663" s="9" t="s">
        <v>10443</v>
      </c>
      <c r="P663" s="9" t="str">
        <f>HYPERLINK("https://seichotoushi-hojo.jp/assets/pdf/koufu/outline_65.pdf","PDFを開く")</f>
        <v>PDFを開く</v>
      </c>
      <c r="Q663" s="9" t="s">
        <v>1103</v>
      </c>
    </row>
    <row r="664" spans="1:17" ht="62.1" customHeight="1">
      <c r="A664" s="2" t="s">
        <v>1104</v>
      </c>
      <c r="B664" s="2" t="s">
        <v>73</v>
      </c>
      <c r="C664" s="8" t="s">
        <v>1105</v>
      </c>
      <c r="D664" s="2">
        <v>1</v>
      </c>
      <c r="E664" s="8" t="s">
        <v>10156</v>
      </c>
      <c r="F664" s="2">
        <v>1</v>
      </c>
      <c r="G664" s="8" t="s">
        <v>9578</v>
      </c>
      <c r="H664" s="8" t="s">
        <v>9578</v>
      </c>
      <c r="I664" s="2">
        <v>39.659999999999997</v>
      </c>
      <c r="J664" s="2">
        <v>124.98</v>
      </c>
      <c r="K664" s="2">
        <v>378.79</v>
      </c>
      <c r="L664" s="2">
        <v>459.85</v>
      </c>
      <c r="M664" s="8"/>
      <c r="N664" s="8" t="s">
        <v>10159</v>
      </c>
      <c r="O664" s="8" t="s">
        <v>8211</v>
      </c>
      <c r="P664" s="8" t="str">
        <f>HYPERLINK("https://seichotoushi-hojo.jp/assets/pdf/koufu/outline_66.pdf","PDFを開く")</f>
        <v>PDFを開く</v>
      </c>
      <c r="Q664" s="8" t="s">
        <v>1112</v>
      </c>
    </row>
    <row r="665" spans="1:17" ht="62.1" customHeight="1">
      <c r="A665" s="5" t="s">
        <v>1104</v>
      </c>
      <c r="B665" s="5" t="s">
        <v>73</v>
      </c>
      <c r="C665" s="9" t="s">
        <v>1105</v>
      </c>
      <c r="D665" s="5">
        <v>1</v>
      </c>
      <c r="E665" s="9" t="s">
        <v>10156</v>
      </c>
      <c r="F665" s="5">
        <v>2</v>
      </c>
      <c r="G665" s="9" t="s">
        <v>10162</v>
      </c>
      <c r="H665" s="9" t="s">
        <v>10162</v>
      </c>
      <c r="I665" s="5">
        <v>396.3</v>
      </c>
      <c r="J665" s="5">
        <v>125.32</v>
      </c>
      <c r="K665" s="5">
        <v>739.78</v>
      </c>
      <c r="L665" s="5">
        <v>283.62</v>
      </c>
      <c r="M665" s="9"/>
      <c r="N665" s="9" t="s">
        <v>10159</v>
      </c>
      <c r="O665" s="9" t="s">
        <v>8212</v>
      </c>
      <c r="P665" s="9" t="str">
        <f>HYPERLINK("https://seichotoushi-hojo.jp/assets/pdf/koufu/outline_66.pdf","PDFを開く")</f>
        <v>PDFを開く</v>
      </c>
      <c r="Q665" s="9" t="s">
        <v>1112</v>
      </c>
    </row>
    <row r="666" spans="1:17" ht="62.1" customHeight="1">
      <c r="A666" s="2" t="s">
        <v>1104</v>
      </c>
      <c r="B666" s="2" t="s">
        <v>73</v>
      </c>
      <c r="C666" s="8" t="s">
        <v>1105</v>
      </c>
      <c r="D666" s="2">
        <v>1</v>
      </c>
      <c r="E666" s="8" t="s">
        <v>10156</v>
      </c>
      <c r="F666" s="2">
        <v>3</v>
      </c>
      <c r="G666" s="8" t="s">
        <v>10163</v>
      </c>
      <c r="H666" s="8" t="s">
        <v>10163</v>
      </c>
      <c r="I666" s="2">
        <v>396.3</v>
      </c>
      <c r="J666" s="2">
        <v>296.58999999999997</v>
      </c>
      <c r="K666" s="2">
        <v>739.78</v>
      </c>
      <c r="L666" s="2">
        <v>459.85</v>
      </c>
      <c r="M666" s="8"/>
      <c r="N666" s="8" t="s">
        <v>10159</v>
      </c>
      <c r="O666" s="8" t="s">
        <v>8213</v>
      </c>
      <c r="P666" s="8" t="str">
        <f>HYPERLINK("https://seichotoushi-hojo.jp/assets/pdf/koufu/outline_66.pdf","PDFを開く")</f>
        <v>PDFを開く</v>
      </c>
      <c r="Q666" s="8" t="s">
        <v>1112</v>
      </c>
    </row>
    <row r="667" spans="1:17" ht="62.1" customHeight="1">
      <c r="A667" s="5" t="s">
        <v>1104</v>
      </c>
      <c r="B667" s="5" t="s">
        <v>73</v>
      </c>
      <c r="C667" s="9" t="s">
        <v>1105</v>
      </c>
      <c r="D667" s="5">
        <v>1</v>
      </c>
      <c r="E667" s="9" t="s">
        <v>10156</v>
      </c>
      <c r="F667" s="5">
        <v>4</v>
      </c>
      <c r="G667" s="9" t="s">
        <v>8581</v>
      </c>
      <c r="H667" s="9" t="s">
        <v>8581</v>
      </c>
      <c r="I667" s="5">
        <v>48</v>
      </c>
      <c r="J667" s="5">
        <v>356.72</v>
      </c>
      <c r="K667" s="5">
        <v>367.5</v>
      </c>
      <c r="L667" s="5">
        <v>454.9</v>
      </c>
      <c r="M667" s="9"/>
      <c r="N667" s="9" t="s">
        <v>10159</v>
      </c>
      <c r="O667" s="9" t="s">
        <v>1109</v>
      </c>
      <c r="P667" s="9" t="str">
        <f>HYPERLINK("https://seichotoushi-hojo.jp/assets/pdf/koufu/outline_66.pdf","PDFを開く")</f>
        <v>PDFを開く</v>
      </c>
      <c r="Q667" s="9" t="s">
        <v>1112</v>
      </c>
    </row>
    <row r="668" spans="1:17" ht="62.1" customHeight="1">
      <c r="A668" s="2" t="s">
        <v>1113</v>
      </c>
      <c r="B668" s="2" t="s">
        <v>73</v>
      </c>
      <c r="C668" s="8" t="s">
        <v>1114</v>
      </c>
      <c r="D668" s="2">
        <v>1</v>
      </c>
      <c r="E668" s="8" t="s">
        <v>10156</v>
      </c>
      <c r="F668" s="2">
        <v>1</v>
      </c>
      <c r="G668" s="8" t="s">
        <v>10157</v>
      </c>
      <c r="H668" s="8" t="s">
        <v>10157</v>
      </c>
      <c r="I668" s="2">
        <v>128.54</v>
      </c>
      <c r="J668" s="2">
        <v>38.950000000000003</v>
      </c>
      <c r="K668" s="2">
        <v>739.7</v>
      </c>
      <c r="L668" s="2">
        <v>59.35</v>
      </c>
      <c r="M668" s="8" t="s">
        <v>10158</v>
      </c>
      <c r="N668" s="8" t="s">
        <v>10159</v>
      </c>
      <c r="O668" s="8" t="s">
        <v>8218</v>
      </c>
      <c r="P668" s="8" t="str">
        <f t="shared" ref="P668:P673" si="35">HYPERLINK("https://seichotoushi-hojo.jp/assets/pdf/koufu/outline_67.pdf","PDFを開く")</f>
        <v>PDFを開く</v>
      </c>
      <c r="Q668" s="8" t="s">
        <v>1119</v>
      </c>
    </row>
    <row r="669" spans="1:17" ht="62.1" customHeight="1">
      <c r="A669" s="5" t="s">
        <v>1113</v>
      </c>
      <c r="B669" s="5" t="s">
        <v>73</v>
      </c>
      <c r="C669" s="9" t="s">
        <v>1114</v>
      </c>
      <c r="D669" s="5">
        <v>1</v>
      </c>
      <c r="E669" s="9" t="s">
        <v>10156</v>
      </c>
      <c r="F669" s="5">
        <v>2</v>
      </c>
      <c r="G669" s="9" t="s">
        <v>9578</v>
      </c>
      <c r="H669" s="9" t="s">
        <v>9578</v>
      </c>
      <c r="I669" s="5">
        <v>40.200000000000003</v>
      </c>
      <c r="J669" s="5">
        <v>167.88</v>
      </c>
      <c r="K669" s="5">
        <v>379.32</v>
      </c>
      <c r="L669" s="5">
        <v>499.68</v>
      </c>
      <c r="M669" s="9"/>
      <c r="N669" s="9" t="s">
        <v>10159</v>
      </c>
      <c r="O669" s="9" t="s">
        <v>8219</v>
      </c>
      <c r="P669" s="9" t="str">
        <f t="shared" si="35"/>
        <v>PDFを開く</v>
      </c>
      <c r="Q669" s="9" t="s">
        <v>1119</v>
      </c>
    </row>
    <row r="670" spans="1:17" ht="62.1" customHeight="1">
      <c r="A670" s="2" t="s">
        <v>1113</v>
      </c>
      <c r="B670" s="2" t="s">
        <v>73</v>
      </c>
      <c r="C670" s="8" t="s">
        <v>1114</v>
      </c>
      <c r="D670" s="2">
        <v>1</v>
      </c>
      <c r="E670" s="8" t="s">
        <v>10156</v>
      </c>
      <c r="F670" s="2">
        <v>3</v>
      </c>
      <c r="G670" s="8" t="s">
        <v>10162</v>
      </c>
      <c r="H670" s="8" t="s">
        <v>10162</v>
      </c>
      <c r="I670" s="2">
        <v>396.36</v>
      </c>
      <c r="J670" s="2">
        <v>170.16</v>
      </c>
      <c r="K670" s="2">
        <v>739.8</v>
      </c>
      <c r="L670" s="2">
        <v>328.44</v>
      </c>
      <c r="M670" s="8"/>
      <c r="N670" s="8" t="s">
        <v>10159</v>
      </c>
      <c r="O670" s="8" t="s">
        <v>8220</v>
      </c>
      <c r="P670" s="8" t="str">
        <f t="shared" si="35"/>
        <v>PDFを開く</v>
      </c>
      <c r="Q670" s="8" t="s">
        <v>1119</v>
      </c>
    </row>
    <row r="671" spans="1:17" ht="62.1" customHeight="1">
      <c r="A671" s="5" t="s">
        <v>1113</v>
      </c>
      <c r="B671" s="5" t="s">
        <v>73</v>
      </c>
      <c r="C671" s="9" t="s">
        <v>1114</v>
      </c>
      <c r="D671" s="5">
        <v>1</v>
      </c>
      <c r="E671" s="9" t="s">
        <v>10156</v>
      </c>
      <c r="F671" s="5">
        <v>4</v>
      </c>
      <c r="G671" s="9" t="s">
        <v>10163</v>
      </c>
      <c r="H671" s="9" t="s">
        <v>10163</v>
      </c>
      <c r="I671" s="5">
        <v>396.36</v>
      </c>
      <c r="J671" s="5">
        <v>341.4</v>
      </c>
      <c r="K671" s="5">
        <v>739.8</v>
      </c>
      <c r="L671" s="5">
        <v>499.68</v>
      </c>
      <c r="M671" s="9"/>
      <c r="N671" s="9" t="s">
        <v>10159</v>
      </c>
      <c r="O671" s="9" t="s">
        <v>8221</v>
      </c>
      <c r="P671" s="9" t="str">
        <f t="shared" si="35"/>
        <v>PDFを開く</v>
      </c>
      <c r="Q671" s="9" t="s">
        <v>1119</v>
      </c>
    </row>
    <row r="672" spans="1:17" ht="62.1" customHeight="1">
      <c r="A672" s="2" t="s">
        <v>1113</v>
      </c>
      <c r="B672" s="2" t="s">
        <v>73</v>
      </c>
      <c r="C672" s="8" t="s">
        <v>1114</v>
      </c>
      <c r="D672" s="2">
        <v>1</v>
      </c>
      <c r="E672" s="8" t="s">
        <v>10156</v>
      </c>
      <c r="F672" s="2">
        <v>5</v>
      </c>
      <c r="G672" s="8" t="s">
        <v>8581</v>
      </c>
      <c r="H672" s="8" t="s">
        <v>8581</v>
      </c>
      <c r="I672" s="2">
        <v>49.44</v>
      </c>
      <c r="J672" s="2">
        <v>391.08</v>
      </c>
      <c r="K672" s="2">
        <v>369</v>
      </c>
      <c r="L672" s="2">
        <v>466.08</v>
      </c>
      <c r="M672" s="8"/>
      <c r="N672" s="8" t="s">
        <v>10159</v>
      </c>
      <c r="O672" s="8" t="s">
        <v>1117</v>
      </c>
      <c r="P672" s="8" t="str">
        <f t="shared" si="35"/>
        <v>PDFを開く</v>
      </c>
      <c r="Q672" s="8" t="s">
        <v>1119</v>
      </c>
    </row>
    <row r="673" spans="1:17" ht="62.1" customHeight="1">
      <c r="A673" s="5" t="s">
        <v>1113</v>
      </c>
      <c r="B673" s="5" t="s">
        <v>73</v>
      </c>
      <c r="C673" s="9" t="s">
        <v>1114</v>
      </c>
      <c r="D673" s="5">
        <v>2</v>
      </c>
      <c r="E673" s="9" t="s">
        <v>10165</v>
      </c>
      <c r="F673" s="5">
        <v>1</v>
      </c>
      <c r="G673" s="9" t="s">
        <v>10184</v>
      </c>
      <c r="H673" s="9" t="s">
        <v>10184</v>
      </c>
      <c r="I673" s="5">
        <v>119.74</v>
      </c>
      <c r="J673" s="5">
        <v>191.17</v>
      </c>
      <c r="K673" s="5">
        <v>401.7</v>
      </c>
      <c r="L673" s="5">
        <v>386.57</v>
      </c>
      <c r="M673" s="9"/>
      <c r="N673" s="9" t="s">
        <v>10181</v>
      </c>
      <c r="O673" s="9" t="s">
        <v>10444</v>
      </c>
      <c r="P673" s="9" t="str">
        <f t="shared" si="35"/>
        <v>PDFを開く</v>
      </c>
      <c r="Q673" s="9" t="s">
        <v>1119</v>
      </c>
    </row>
    <row r="674" spans="1:17" ht="62.1" customHeight="1">
      <c r="A674" s="2" t="s">
        <v>1120</v>
      </c>
      <c r="B674" s="2" t="s">
        <v>73</v>
      </c>
      <c r="C674" s="8" t="s">
        <v>1121</v>
      </c>
      <c r="D674" s="2">
        <v>1</v>
      </c>
      <c r="E674" s="8" t="s">
        <v>10156</v>
      </c>
      <c r="F674" s="2">
        <v>1</v>
      </c>
      <c r="G674" s="8" t="s">
        <v>9578</v>
      </c>
      <c r="H674" s="8" t="s">
        <v>9578</v>
      </c>
      <c r="I674" s="2">
        <v>13.68</v>
      </c>
      <c r="J674" s="2">
        <v>116.16</v>
      </c>
      <c r="K674" s="2">
        <v>408.84</v>
      </c>
      <c r="L674" s="2">
        <v>558.96</v>
      </c>
      <c r="M674" s="8"/>
      <c r="N674" s="8" t="s">
        <v>10159</v>
      </c>
      <c r="O674" s="8" t="s">
        <v>8226</v>
      </c>
      <c r="P674" s="8" t="str">
        <f>HYPERLINK("https://seichotoushi-hojo.jp/assets/pdf/koufu/outline_68.pdf","PDFを開く")</f>
        <v>PDFを開く</v>
      </c>
      <c r="Q674" s="8" t="s">
        <v>1126</v>
      </c>
    </row>
    <row r="675" spans="1:17" ht="62.1" customHeight="1">
      <c r="A675" s="5" t="s">
        <v>1120</v>
      </c>
      <c r="B675" s="5" t="s">
        <v>73</v>
      </c>
      <c r="C675" s="9" t="s">
        <v>1121</v>
      </c>
      <c r="D675" s="5">
        <v>1</v>
      </c>
      <c r="E675" s="9" t="s">
        <v>10156</v>
      </c>
      <c r="F675" s="5">
        <v>2</v>
      </c>
      <c r="G675" s="9" t="s">
        <v>10162</v>
      </c>
      <c r="H675" s="9" t="s">
        <v>10162</v>
      </c>
      <c r="I675" s="5">
        <v>427.8</v>
      </c>
      <c r="J675" s="5">
        <v>116.16</v>
      </c>
      <c r="K675" s="5">
        <v>810.96</v>
      </c>
      <c r="L675" s="5">
        <v>287.04000000000002</v>
      </c>
      <c r="M675" s="9"/>
      <c r="N675" s="9" t="s">
        <v>10159</v>
      </c>
      <c r="O675" s="9" t="s">
        <v>8227</v>
      </c>
      <c r="P675" s="9" t="str">
        <f>HYPERLINK("https://seichotoushi-hojo.jp/assets/pdf/koufu/outline_68.pdf","PDFを開く")</f>
        <v>PDFを開く</v>
      </c>
      <c r="Q675" s="9" t="s">
        <v>1126</v>
      </c>
    </row>
    <row r="676" spans="1:17" ht="62.1" customHeight="1">
      <c r="A676" s="2" t="s">
        <v>1120</v>
      </c>
      <c r="B676" s="2" t="s">
        <v>73</v>
      </c>
      <c r="C676" s="8" t="s">
        <v>1121</v>
      </c>
      <c r="D676" s="2">
        <v>1</v>
      </c>
      <c r="E676" s="8" t="s">
        <v>10156</v>
      </c>
      <c r="F676" s="2">
        <v>3</v>
      </c>
      <c r="G676" s="8" t="s">
        <v>10163</v>
      </c>
      <c r="H676" s="8" t="s">
        <v>10163</v>
      </c>
      <c r="I676" s="2">
        <v>427.8</v>
      </c>
      <c r="J676" s="2">
        <v>321.60000000000002</v>
      </c>
      <c r="K676" s="2">
        <v>810.96</v>
      </c>
      <c r="L676" s="2">
        <v>558.96</v>
      </c>
      <c r="M676" s="8"/>
      <c r="N676" s="8" t="s">
        <v>10159</v>
      </c>
      <c r="O676" s="8" t="s">
        <v>8228</v>
      </c>
      <c r="P676" s="8" t="str">
        <f>HYPERLINK("https://seichotoushi-hojo.jp/assets/pdf/koufu/outline_68.pdf","PDFを開く")</f>
        <v>PDFを開く</v>
      </c>
      <c r="Q676" s="8" t="s">
        <v>1126</v>
      </c>
    </row>
    <row r="677" spans="1:17" ht="62.1" customHeight="1">
      <c r="A677" s="5" t="s">
        <v>1120</v>
      </c>
      <c r="B677" s="5" t="s">
        <v>73</v>
      </c>
      <c r="C677" s="9" t="s">
        <v>1121</v>
      </c>
      <c r="D677" s="5">
        <v>1</v>
      </c>
      <c r="E677" s="9" t="s">
        <v>10156</v>
      </c>
      <c r="F677" s="5">
        <v>4</v>
      </c>
      <c r="G677" s="9" t="s">
        <v>8581</v>
      </c>
      <c r="H677" s="9" t="s">
        <v>8581</v>
      </c>
      <c r="I677" s="5">
        <v>19.079999999999998</v>
      </c>
      <c r="J677" s="5">
        <v>495.48</v>
      </c>
      <c r="K677" s="5">
        <v>399.72</v>
      </c>
      <c r="L677" s="5">
        <v>550.55999999999995</v>
      </c>
      <c r="M677" s="9"/>
      <c r="N677" s="9" t="s">
        <v>10159</v>
      </c>
      <c r="O677" s="9" t="s">
        <v>1124</v>
      </c>
      <c r="P677" s="9" t="str">
        <f>HYPERLINK("https://seichotoushi-hojo.jp/assets/pdf/koufu/outline_68.pdf","PDFを開く")</f>
        <v>PDFを開く</v>
      </c>
      <c r="Q677" s="9" t="s">
        <v>1126</v>
      </c>
    </row>
    <row r="678" spans="1:17" ht="62.1" customHeight="1">
      <c r="A678" s="2" t="s">
        <v>1127</v>
      </c>
      <c r="B678" s="2" t="s">
        <v>73</v>
      </c>
      <c r="C678" s="8" t="s">
        <v>1128</v>
      </c>
      <c r="D678" s="2">
        <v>1</v>
      </c>
      <c r="E678" s="8" t="s">
        <v>10156</v>
      </c>
      <c r="F678" s="2">
        <v>1</v>
      </c>
      <c r="G678" s="8" t="s">
        <v>9578</v>
      </c>
      <c r="H678" s="8" t="s">
        <v>9578</v>
      </c>
      <c r="I678" s="2">
        <v>52.56</v>
      </c>
      <c r="J678" s="2">
        <v>135.84</v>
      </c>
      <c r="K678" s="2">
        <v>411.6</v>
      </c>
      <c r="L678" s="2">
        <v>557.16</v>
      </c>
      <c r="M678" s="8"/>
      <c r="N678" s="8" t="s">
        <v>10159</v>
      </c>
      <c r="O678" s="8" t="s">
        <v>8233</v>
      </c>
      <c r="P678" s="8" t="str">
        <f>HYPERLINK("https://seichotoushi-hojo.jp/assets/pdf/koufu/outline_69.pdf","PDFを開く")</f>
        <v>PDFを開く</v>
      </c>
      <c r="Q678" s="8" t="s">
        <v>1134</v>
      </c>
    </row>
    <row r="679" spans="1:17" ht="62.1" customHeight="1">
      <c r="A679" s="5" t="s">
        <v>1127</v>
      </c>
      <c r="B679" s="5" t="s">
        <v>73</v>
      </c>
      <c r="C679" s="9" t="s">
        <v>1128</v>
      </c>
      <c r="D679" s="5">
        <v>1</v>
      </c>
      <c r="E679" s="9" t="s">
        <v>10156</v>
      </c>
      <c r="F679" s="5">
        <v>2</v>
      </c>
      <c r="G679" s="9" t="s">
        <v>10162</v>
      </c>
      <c r="H679" s="9" t="s">
        <v>10162</v>
      </c>
      <c r="I679" s="5">
        <v>426.48</v>
      </c>
      <c r="J679" s="5">
        <v>135.84</v>
      </c>
      <c r="K679" s="5">
        <v>777.72</v>
      </c>
      <c r="L679" s="5">
        <v>340.8</v>
      </c>
      <c r="M679" s="9"/>
      <c r="N679" s="9" t="s">
        <v>10159</v>
      </c>
      <c r="O679" s="9" t="s">
        <v>8234</v>
      </c>
      <c r="P679" s="9" t="str">
        <f>HYPERLINK("https://seichotoushi-hojo.jp/assets/pdf/koufu/outline_69.pdf","PDFを開く")</f>
        <v>PDFを開く</v>
      </c>
      <c r="Q679" s="9" t="s">
        <v>1134</v>
      </c>
    </row>
    <row r="680" spans="1:17" ht="62.1" customHeight="1">
      <c r="A680" s="2" t="s">
        <v>1127</v>
      </c>
      <c r="B680" s="2" t="s">
        <v>73</v>
      </c>
      <c r="C680" s="8" t="s">
        <v>1128</v>
      </c>
      <c r="D680" s="2">
        <v>1</v>
      </c>
      <c r="E680" s="8" t="s">
        <v>10156</v>
      </c>
      <c r="F680" s="2">
        <v>3</v>
      </c>
      <c r="G680" s="8" t="s">
        <v>10163</v>
      </c>
      <c r="H680" s="8" t="s">
        <v>10163</v>
      </c>
      <c r="I680" s="2">
        <v>426.48</v>
      </c>
      <c r="J680" s="2">
        <v>340.8</v>
      </c>
      <c r="K680" s="2">
        <v>777.72</v>
      </c>
      <c r="L680" s="2">
        <v>557.16</v>
      </c>
      <c r="M680" s="8"/>
      <c r="N680" s="8" t="s">
        <v>10159</v>
      </c>
      <c r="O680" s="8" t="s">
        <v>8235</v>
      </c>
      <c r="P680" s="8" t="str">
        <f>HYPERLINK("https://seichotoushi-hojo.jp/assets/pdf/koufu/outline_69.pdf","PDFを開く")</f>
        <v>PDFを開く</v>
      </c>
      <c r="Q680" s="8" t="s">
        <v>1134</v>
      </c>
    </row>
    <row r="681" spans="1:17" ht="62.1" customHeight="1">
      <c r="A681" s="5" t="s">
        <v>1127</v>
      </c>
      <c r="B681" s="5" t="s">
        <v>73</v>
      </c>
      <c r="C681" s="9" t="s">
        <v>1128</v>
      </c>
      <c r="D681" s="5">
        <v>1</v>
      </c>
      <c r="E681" s="9" t="s">
        <v>10156</v>
      </c>
      <c r="F681" s="5">
        <v>4</v>
      </c>
      <c r="G681" s="9" t="s">
        <v>8581</v>
      </c>
      <c r="H681" s="9" t="s">
        <v>8581</v>
      </c>
      <c r="I681" s="5">
        <v>76.08</v>
      </c>
      <c r="J681" s="5">
        <v>419.28</v>
      </c>
      <c r="K681" s="5">
        <v>388.08</v>
      </c>
      <c r="L681" s="5">
        <v>547.32000000000005</v>
      </c>
      <c r="M681" s="9"/>
      <c r="N681" s="9" t="s">
        <v>10159</v>
      </c>
      <c r="O681" s="9" t="s">
        <v>1131</v>
      </c>
      <c r="P681" s="9" t="str">
        <f>HYPERLINK("https://seichotoushi-hojo.jp/assets/pdf/koufu/outline_69.pdf","PDFを開く")</f>
        <v>PDFを開く</v>
      </c>
      <c r="Q681" s="9" t="s">
        <v>1134</v>
      </c>
    </row>
    <row r="682" spans="1:17" ht="62.1" customHeight="1">
      <c r="A682" s="2" t="s">
        <v>1135</v>
      </c>
      <c r="B682" s="2" t="s">
        <v>73</v>
      </c>
      <c r="C682" s="8" t="s">
        <v>1136</v>
      </c>
      <c r="D682" s="2">
        <v>1</v>
      </c>
      <c r="E682" s="8" t="s">
        <v>10156</v>
      </c>
      <c r="F682" s="2">
        <v>1</v>
      </c>
      <c r="G682" s="8" t="s">
        <v>9578</v>
      </c>
      <c r="H682" s="8" t="s">
        <v>9578</v>
      </c>
      <c r="I682" s="2">
        <v>40.200000000000003</v>
      </c>
      <c r="J682" s="2">
        <v>111</v>
      </c>
      <c r="K682" s="2">
        <v>379.32</v>
      </c>
      <c r="L682" s="2">
        <v>520.91999999999996</v>
      </c>
      <c r="M682" s="8"/>
      <c r="N682" s="8" t="s">
        <v>10159</v>
      </c>
      <c r="O682" s="8" t="s">
        <v>8240</v>
      </c>
      <c r="P682" s="8" t="str">
        <f>HYPERLINK("https://seichotoushi-hojo.jp/assets/pdf/koufu/outline_7.pdf","PDFを開く")</f>
        <v>PDFを開く</v>
      </c>
      <c r="Q682" s="8" t="s">
        <v>1145</v>
      </c>
    </row>
    <row r="683" spans="1:17" ht="62.1" customHeight="1">
      <c r="A683" s="5" t="s">
        <v>1135</v>
      </c>
      <c r="B683" s="5" t="s">
        <v>73</v>
      </c>
      <c r="C683" s="9" t="s">
        <v>1136</v>
      </c>
      <c r="D683" s="5">
        <v>1</v>
      </c>
      <c r="E683" s="9" t="s">
        <v>10156</v>
      </c>
      <c r="F683" s="5">
        <v>2</v>
      </c>
      <c r="G683" s="9" t="s">
        <v>10162</v>
      </c>
      <c r="H683" s="9" t="s">
        <v>10162</v>
      </c>
      <c r="I683" s="5">
        <v>396.36</v>
      </c>
      <c r="J683" s="5">
        <v>111</v>
      </c>
      <c r="K683" s="5">
        <v>739.8</v>
      </c>
      <c r="L683" s="5">
        <v>322.32</v>
      </c>
      <c r="M683" s="9"/>
      <c r="N683" s="9" t="s">
        <v>10159</v>
      </c>
      <c r="O683" s="9" t="s">
        <v>8241</v>
      </c>
      <c r="P683" s="9" t="str">
        <f>HYPERLINK("https://seichotoushi-hojo.jp/assets/pdf/koufu/outline_7.pdf","PDFを開く")</f>
        <v>PDFを開く</v>
      </c>
      <c r="Q683" s="9" t="s">
        <v>1145</v>
      </c>
    </row>
    <row r="684" spans="1:17" ht="62.1" customHeight="1">
      <c r="A684" s="2" t="s">
        <v>1135</v>
      </c>
      <c r="B684" s="2" t="s">
        <v>73</v>
      </c>
      <c r="C684" s="8" t="s">
        <v>1136</v>
      </c>
      <c r="D684" s="2">
        <v>1</v>
      </c>
      <c r="E684" s="8" t="s">
        <v>10156</v>
      </c>
      <c r="F684" s="2">
        <v>3</v>
      </c>
      <c r="G684" s="8" t="s">
        <v>10163</v>
      </c>
      <c r="H684" s="8" t="s">
        <v>10163</v>
      </c>
      <c r="I684" s="2">
        <v>398.64</v>
      </c>
      <c r="J684" s="2">
        <v>339.84</v>
      </c>
      <c r="K684" s="2">
        <v>742.08</v>
      </c>
      <c r="L684" s="2">
        <v>520.91999999999996</v>
      </c>
      <c r="M684" s="8"/>
      <c r="N684" s="8" t="s">
        <v>10159</v>
      </c>
      <c r="O684" s="8" t="s">
        <v>8242</v>
      </c>
      <c r="P684" s="8" t="str">
        <f>HYPERLINK("https://seichotoushi-hojo.jp/assets/pdf/koufu/outline_7.pdf","PDFを開く")</f>
        <v>PDFを開く</v>
      </c>
      <c r="Q684" s="8" t="s">
        <v>1145</v>
      </c>
    </row>
    <row r="685" spans="1:17" ht="62.1" customHeight="1">
      <c r="A685" s="5" t="s">
        <v>1135</v>
      </c>
      <c r="B685" s="5" t="s">
        <v>73</v>
      </c>
      <c r="C685" s="9" t="s">
        <v>1136</v>
      </c>
      <c r="D685" s="5">
        <v>1</v>
      </c>
      <c r="E685" s="9" t="s">
        <v>10156</v>
      </c>
      <c r="F685" s="5">
        <v>4</v>
      </c>
      <c r="G685" s="9" t="s">
        <v>8581</v>
      </c>
      <c r="H685" s="9" t="s">
        <v>8581</v>
      </c>
      <c r="I685" s="5">
        <v>42.36</v>
      </c>
      <c r="J685" s="5">
        <v>380.04</v>
      </c>
      <c r="K685" s="5">
        <v>361.8</v>
      </c>
      <c r="L685" s="5">
        <v>509.76</v>
      </c>
      <c r="M685" s="9"/>
      <c r="N685" s="9" t="s">
        <v>10159</v>
      </c>
      <c r="O685" s="9" t="s">
        <v>8243</v>
      </c>
      <c r="P685" s="9" t="str">
        <f>HYPERLINK("https://seichotoushi-hojo.jp/assets/pdf/koufu/outline_7.pdf","PDFを開く")</f>
        <v>PDFを開く</v>
      </c>
      <c r="Q685" s="9" t="s">
        <v>1145</v>
      </c>
    </row>
    <row r="686" spans="1:17" ht="62.1" customHeight="1">
      <c r="A686" s="2" t="s">
        <v>1146</v>
      </c>
      <c r="B686" s="2" t="s">
        <v>73</v>
      </c>
      <c r="C686" s="8" t="s">
        <v>1147</v>
      </c>
      <c r="D686" s="2">
        <v>1</v>
      </c>
      <c r="E686" s="8" t="s">
        <v>10156</v>
      </c>
      <c r="F686" s="2">
        <v>1</v>
      </c>
      <c r="G686" s="8" t="s">
        <v>10157</v>
      </c>
      <c r="H686" s="8" t="s">
        <v>10157</v>
      </c>
      <c r="I686" s="2">
        <v>40.340000000000003</v>
      </c>
      <c r="J686" s="2">
        <v>40.270000000000003</v>
      </c>
      <c r="K686" s="2">
        <v>740.46</v>
      </c>
      <c r="L686" s="2">
        <v>87.84</v>
      </c>
      <c r="M686" s="8" t="s">
        <v>10158</v>
      </c>
      <c r="N686" s="8" t="s">
        <v>10159</v>
      </c>
      <c r="O686" s="8" t="s">
        <v>10445</v>
      </c>
      <c r="P686" s="8" t="str">
        <f t="shared" ref="P686:P692" si="36">HYPERLINK("https://seichotoushi-hojo.jp/assets/pdf/koufu/outline_70.pdf","PDFを開く")</f>
        <v>PDFを開く</v>
      </c>
      <c r="Q686" s="8" t="s">
        <v>1153</v>
      </c>
    </row>
    <row r="687" spans="1:17" ht="62.1" customHeight="1">
      <c r="A687" s="5" t="s">
        <v>1146</v>
      </c>
      <c r="B687" s="5" t="s">
        <v>73</v>
      </c>
      <c r="C687" s="9" t="s">
        <v>1147</v>
      </c>
      <c r="D687" s="5">
        <v>1</v>
      </c>
      <c r="E687" s="9" t="s">
        <v>10156</v>
      </c>
      <c r="F687" s="5">
        <v>2</v>
      </c>
      <c r="G687" s="9" t="s">
        <v>9578</v>
      </c>
      <c r="H687" s="9" t="s">
        <v>9578</v>
      </c>
      <c r="I687" s="5">
        <v>39.659999999999997</v>
      </c>
      <c r="J687" s="5">
        <v>115.86</v>
      </c>
      <c r="K687" s="5">
        <v>378.79</v>
      </c>
      <c r="L687" s="5">
        <v>532.16999999999996</v>
      </c>
      <c r="M687" s="9"/>
      <c r="N687" s="9" t="s">
        <v>10159</v>
      </c>
      <c r="O687" s="9" t="s">
        <v>8249</v>
      </c>
      <c r="P687" s="9" t="str">
        <f t="shared" si="36"/>
        <v>PDFを開く</v>
      </c>
      <c r="Q687" s="9" t="s">
        <v>1153</v>
      </c>
    </row>
    <row r="688" spans="1:17" ht="62.1" customHeight="1">
      <c r="A688" s="2" t="s">
        <v>1146</v>
      </c>
      <c r="B688" s="2" t="s">
        <v>73</v>
      </c>
      <c r="C688" s="8" t="s">
        <v>1147</v>
      </c>
      <c r="D688" s="2">
        <v>1</v>
      </c>
      <c r="E688" s="8" t="s">
        <v>10156</v>
      </c>
      <c r="F688" s="2">
        <v>3</v>
      </c>
      <c r="G688" s="8" t="s">
        <v>10162</v>
      </c>
      <c r="H688" s="8" t="s">
        <v>10162</v>
      </c>
      <c r="I688" s="2">
        <v>396.3</v>
      </c>
      <c r="J688" s="2">
        <v>118.14</v>
      </c>
      <c r="K688" s="2">
        <v>739.78</v>
      </c>
      <c r="L688" s="2">
        <v>244.56</v>
      </c>
      <c r="M688" s="8"/>
      <c r="N688" s="8" t="s">
        <v>10159</v>
      </c>
      <c r="O688" s="8" t="s">
        <v>8250</v>
      </c>
      <c r="P688" s="8" t="str">
        <f t="shared" si="36"/>
        <v>PDFを開く</v>
      </c>
      <c r="Q688" s="8" t="s">
        <v>1153</v>
      </c>
    </row>
    <row r="689" spans="1:17" ht="62.1" customHeight="1">
      <c r="A689" s="5" t="s">
        <v>1146</v>
      </c>
      <c r="B689" s="5" t="s">
        <v>73</v>
      </c>
      <c r="C689" s="9" t="s">
        <v>1147</v>
      </c>
      <c r="D689" s="5">
        <v>1</v>
      </c>
      <c r="E689" s="9" t="s">
        <v>10156</v>
      </c>
      <c r="F689" s="5">
        <v>4</v>
      </c>
      <c r="G689" s="9" t="s">
        <v>10163</v>
      </c>
      <c r="H689" s="9" t="s">
        <v>10163</v>
      </c>
      <c r="I689" s="5">
        <v>396.3</v>
      </c>
      <c r="J689" s="5">
        <v>252.9</v>
      </c>
      <c r="K689" s="5">
        <v>739.78</v>
      </c>
      <c r="L689" s="5">
        <v>385.22</v>
      </c>
      <c r="M689" s="9"/>
      <c r="N689" s="9" t="s">
        <v>10159</v>
      </c>
      <c r="O689" s="9" t="s">
        <v>8251</v>
      </c>
      <c r="P689" s="9" t="str">
        <f t="shared" si="36"/>
        <v>PDFを開く</v>
      </c>
      <c r="Q689" s="9" t="s">
        <v>1153</v>
      </c>
    </row>
    <row r="690" spans="1:17" ht="62.1" customHeight="1">
      <c r="A690" s="2" t="s">
        <v>1146</v>
      </c>
      <c r="B690" s="2" t="s">
        <v>73</v>
      </c>
      <c r="C690" s="8" t="s">
        <v>1147</v>
      </c>
      <c r="D690" s="2">
        <v>1</v>
      </c>
      <c r="E690" s="8" t="s">
        <v>10156</v>
      </c>
      <c r="F690" s="2">
        <v>5</v>
      </c>
      <c r="G690" s="8" t="s">
        <v>8581</v>
      </c>
      <c r="H690" s="8" t="s">
        <v>8581</v>
      </c>
      <c r="I690" s="2">
        <v>49.8</v>
      </c>
      <c r="J690" s="2">
        <v>342.52</v>
      </c>
      <c r="K690" s="2">
        <v>369.3</v>
      </c>
      <c r="L690" s="2">
        <v>527.22</v>
      </c>
      <c r="M690" s="8"/>
      <c r="N690" s="8" t="s">
        <v>10159</v>
      </c>
      <c r="O690" s="8" t="s">
        <v>1150</v>
      </c>
      <c r="P690" s="8" t="str">
        <f t="shared" si="36"/>
        <v>PDFを開く</v>
      </c>
      <c r="Q690" s="8" t="s">
        <v>1153</v>
      </c>
    </row>
    <row r="691" spans="1:17" ht="62.1" customHeight="1">
      <c r="A691" s="5" t="s">
        <v>1146</v>
      </c>
      <c r="B691" s="5" t="s">
        <v>73</v>
      </c>
      <c r="C691" s="9" t="s">
        <v>1147</v>
      </c>
      <c r="D691" s="5">
        <v>1</v>
      </c>
      <c r="E691" s="9" t="s">
        <v>10156</v>
      </c>
      <c r="F691" s="5">
        <v>6</v>
      </c>
      <c r="G691" s="9" t="s">
        <v>10167</v>
      </c>
      <c r="H691" s="9" t="s">
        <v>10446</v>
      </c>
      <c r="I691" s="5">
        <v>396.3</v>
      </c>
      <c r="J691" s="5">
        <v>420.68</v>
      </c>
      <c r="K691" s="5">
        <v>739.78</v>
      </c>
      <c r="L691" s="5">
        <v>517.57000000000005</v>
      </c>
      <c r="M691" s="9"/>
      <c r="N691" s="9" t="s">
        <v>10159</v>
      </c>
      <c r="O691" s="9" t="s">
        <v>10447</v>
      </c>
      <c r="P691" s="9" t="str">
        <f t="shared" si="36"/>
        <v>PDFを開く</v>
      </c>
      <c r="Q691" s="9" t="s">
        <v>1153</v>
      </c>
    </row>
    <row r="692" spans="1:17" ht="62.1" customHeight="1">
      <c r="A692" s="2" t="s">
        <v>1146</v>
      </c>
      <c r="B692" s="2" t="s">
        <v>73</v>
      </c>
      <c r="C692" s="8" t="s">
        <v>1147</v>
      </c>
      <c r="D692" s="2">
        <v>2</v>
      </c>
      <c r="E692" s="8" t="s">
        <v>10165</v>
      </c>
      <c r="F692" s="2">
        <v>1</v>
      </c>
      <c r="G692" s="8" t="s">
        <v>10157</v>
      </c>
      <c r="H692" s="8" t="s">
        <v>10157</v>
      </c>
      <c r="I692" s="2">
        <v>40.340000000000003</v>
      </c>
      <c r="J692" s="2">
        <v>40.270000000000003</v>
      </c>
      <c r="K692" s="2">
        <v>740.46</v>
      </c>
      <c r="L692" s="2">
        <v>87.84</v>
      </c>
      <c r="M692" s="8" t="s">
        <v>10158</v>
      </c>
      <c r="N692" s="8" t="s">
        <v>10159</v>
      </c>
      <c r="O692" s="8" t="s">
        <v>10448</v>
      </c>
      <c r="P692" s="8" t="str">
        <f t="shared" si="36"/>
        <v>PDFを開く</v>
      </c>
      <c r="Q692" s="8" t="s">
        <v>1153</v>
      </c>
    </row>
    <row r="693" spans="1:17" ht="62.1" customHeight="1">
      <c r="A693" s="5" t="s">
        <v>1154</v>
      </c>
      <c r="B693" s="5" t="s">
        <v>73</v>
      </c>
      <c r="C693" s="9" t="s">
        <v>1155</v>
      </c>
      <c r="D693" s="5">
        <v>1</v>
      </c>
      <c r="E693" s="9" t="s">
        <v>10156</v>
      </c>
      <c r="F693" s="5">
        <v>1</v>
      </c>
      <c r="G693" s="9" t="s">
        <v>10162</v>
      </c>
      <c r="H693" s="9" t="s">
        <v>10162</v>
      </c>
      <c r="I693" s="5">
        <v>355.98</v>
      </c>
      <c r="J693" s="5">
        <v>105.83</v>
      </c>
      <c r="K693" s="5">
        <v>741.52</v>
      </c>
      <c r="L693" s="5">
        <v>249.72</v>
      </c>
      <c r="M693" s="9"/>
      <c r="N693" s="9" t="s">
        <v>10159</v>
      </c>
      <c r="O693" s="9" t="s">
        <v>8257</v>
      </c>
      <c r="P693" s="9" t="str">
        <f>HYPERLINK("https://seichotoushi-hojo.jp/assets/pdf/koufu/outline_71.pdf","PDFを開く")</f>
        <v>PDFを開く</v>
      </c>
      <c r="Q693" s="9" t="s">
        <v>1160</v>
      </c>
    </row>
    <row r="694" spans="1:17" ht="62.1" customHeight="1">
      <c r="A694" s="2" t="s">
        <v>1154</v>
      </c>
      <c r="B694" s="2" t="s">
        <v>73</v>
      </c>
      <c r="C694" s="8" t="s">
        <v>1155</v>
      </c>
      <c r="D694" s="2">
        <v>1</v>
      </c>
      <c r="E694" s="8" t="s">
        <v>10156</v>
      </c>
      <c r="F694" s="2">
        <v>2</v>
      </c>
      <c r="G694" s="8" t="s">
        <v>9578</v>
      </c>
      <c r="H694" s="8" t="s">
        <v>9578</v>
      </c>
      <c r="I694" s="2">
        <v>39.659999999999997</v>
      </c>
      <c r="J694" s="2">
        <v>109.39</v>
      </c>
      <c r="K694" s="2">
        <v>328.62</v>
      </c>
      <c r="L694" s="2">
        <v>499.73</v>
      </c>
      <c r="M694" s="8"/>
      <c r="N694" s="8" t="s">
        <v>10159</v>
      </c>
      <c r="O694" s="8" t="s">
        <v>8256</v>
      </c>
      <c r="P694" s="8" t="str">
        <f>HYPERLINK("https://seichotoushi-hojo.jp/assets/pdf/koufu/outline_71.pdf","PDFを開く")</f>
        <v>PDFを開く</v>
      </c>
      <c r="Q694" s="8" t="s">
        <v>1160</v>
      </c>
    </row>
    <row r="695" spans="1:17" ht="62.1" customHeight="1">
      <c r="A695" s="5" t="s">
        <v>1154</v>
      </c>
      <c r="B695" s="5" t="s">
        <v>73</v>
      </c>
      <c r="C695" s="9" t="s">
        <v>1155</v>
      </c>
      <c r="D695" s="5">
        <v>1</v>
      </c>
      <c r="E695" s="9" t="s">
        <v>10156</v>
      </c>
      <c r="F695" s="5">
        <v>3</v>
      </c>
      <c r="G695" s="9" t="s">
        <v>10163</v>
      </c>
      <c r="H695" s="9" t="s">
        <v>10163</v>
      </c>
      <c r="I695" s="5">
        <v>355.98</v>
      </c>
      <c r="J695" s="5">
        <v>256.45</v>
      </c>
      <c r="K695" s="5">
        <v>741.52</v>
      </c>
      <c r="L695" s="5">
        <v>506.31</v>
      </c>
      <c r="M695" s="9"/>
      <c r="N695" s="9" t="s">
        <v>10159</v>
      </c>
      <c r="O695" s="9" t="s">
        <v>8258</v>
      </c>
      <c r="P695" s="9" t="str">
        <f>HYPERLINK("https://seichotoushi-hojo.jp/assets/pdf/koufu/outline_71.pdf","PDFを開く")</f>
        <v>PDFを開く</v>
      </c>
      <c r="Q695" s="9" t="s">
        <v>1160</v>
      </c>
    </row>
    <row r="696" spans="1:17" ht="62.1" customHeight="1">
      <c r="A696" s="2" t="s">
        <v>1154</v>
      </c>
      <c r="B696" s="2" t="s">
        <v>73</v>
      </c>
      <c r="C696" s="8" t="s">
        <v>1155</v>
      </c>
      <c r="D696" s="2">
        <v>1</v>
      </c>
      <c r="E696" s="8" t="s">
        <v>10156</v>
      </c>
      <c r="F696" s="2">
        <v>4</v>
      </c>
      <c r="G696" s="8" t="s">
        <v>8581</v>
      </c>
      <c r="H696" s="8" t="s">
        <v>8581</v>
      </c>
      <c r="I696" s="2">
        <v>49.14</v>
      </c>
      <c r="J696" s="2">
        <v>422.77</v>
      </c>
      <c r="K696" s="2">
        <v>319.14</v>
      </c>
      <c r="L696" s="2">
        <v>483.06</v>
      </c>
      <c r="M696" s="8"/>
      <c r="N696" s="8" t="s">
        <v>10159</v>
      </c>
      <c r="O696" s="8" t="s">
        <v>1158</v>
      </c>
      <c r="P696" s="8" t="str">
        <f>HYPERLINK("https://seichotoushi-hojo.jp/assets/pdf/koufu/outline_71.pdf","PDFを開く")</f>
        <v>PDFを開く</v>
      </c>
      <c r="Q696" s="8" t="s">
        <v>1160</v>
      </c>
    </row>
    <row r="697" spans="1:17" ht="62.1" customHeight="1">
      <c r="A697" s="5" t="s">
        <v>1161</v>
      </c>
      <c r="B697" s="5" t="s">
        <v>73</v>
      </c>
      <c r="C697" s="9" t="s">
        <v>1162</v>
      </c>
      <c r="D697" s="5">
        <v>1</v>
      </c>
      <c r="E697" s="9" t="s">
        <v>10156</v>
      </c>
      <c r="F697" s="5">
        <v>1</v>
      </c>
      <c r="G697" s="9" t="s">
        <v>10167</v>
      </c>
      <c r="H697" s="9" t="s">
        <v>10449</v>
      </c>
      <c r="I697" s="5">
        <v>43.44</v>
      </c>
      <c r="J697" s="5">
        <v>113.64</v>
      </c>
      <c r="K697" s="5">
        <v>797.64</v>
      </c>
      <c r="L697" s="5">
        <v>174.6</v>
      </c>
      <c r="M697" s="9"/>
      <c r="N697" s="9" t="s">
        <v>10159</v>
      </c>
      <c r="O697" s="9" t="s">
        <v>10450</v>
      </c>
      <c r="P697" s="9" t="str">
        <f>HYPERLINK("https://seichotoushi-hojo.jp/assets/pdf/koufu/outline_72.pdf","PDFを開く")</f>
        <v>PDFを開く</v>
      </c>
      <c r="Q697" s="9" t="s">
        <v>1168</v>
      </c>
    </row>
    <row r="698" spans="1:17" ht="62.1" customHeight="1">
      <c r="A698" s="2" t="s">
        <v>1161</v>
      </c>
      <c r="B698" s="2" t="s">
        <v>73</v>
      </c>
      <c r="C698" s="8" t="s">
        <v>1162</v>
      </c>
      <c r="D698" s="2">
        <v>1</v>
      </c>
      <c r="E698" s="8" t="s">
        <v>10156</v>
      </c>
      <c r="F698" s="2">
        <v>2</v>
      </c>
      <c r="G698" s="8" t="s">
        <v>9578</v>
      </c>
      <c r="H698" s="8" t="s">
        <v>9578</v>
      </c>
      <c r="I698" s="2">
        <v>42.84</v>
      </c>
      <c r="J698" s="2">
        <v>187.44</v>
      </c>
      <c r="K698" s="2">
        <v>408.48</v>
      </c>
      <c r="L698" s="2">
        <v>545.28</v>
      </c>
      <c r="M698" s="8"/>
      <c r="N698" s="8" t="s">
        <v>10159</v>
      </c>
      <c r="O698" s="8" t="s">
        <v>8263</v>
      </c>
      <c r="P698" s="8" t="str">
        <f>HYPERLINK("https://seichotoushi-hojo.jp/assets/pdf/koufu/outline_72.pdf","PDFを開く")</f>
        <v>PDFを開く</v>
      </c>
      <c r="Q698" s="8" t="s">
        <v>1168</v>
      </c>
    </row>
    <row r="699" spans="1:17" ht="62.1" customHeight="1">
      <c r="A699" s="5" t="s">
        <v>1161</v>
      </c>
      <c r="B699" s="5" t="s">
        <v>73</v>
      </c>
      <c r="C699" s="9" t="s">
        <v>1162</v>
      </c>
      <c r="D699" s="5">
        <v>1</v>
      </c>
      <c r="E699" s="9" t="s">
        <v>10156</v>
      </c>
      <c r="F699" s="5">
        <v>3</v>
      </c>
      <c r="G699" s="9" t="s">
        <v>10162</v>
      </c>
      <c r="H699" s="9" t="s">
        <v>10162</v>
      </c>
      <c r="I699" s="5">
        <v>427.32</v>
      </c>
      <c r="J699" s="5">
        <v>189.84</v>
      </c>
      <c r="K699" s="5">
        <v>797.64</v>
      </c>
      <c r="L699" s="5">
        <v>360.6</v>
      </c>
      <c r="M699" s="9"/>
      <c r="N699" s="9" t="s">
        <v>10159</v>
      </c>
      <c r="O699" s="9" t="s">
        <v>8264</v>
      </c>
      <c r="P699" s="9" t="str">
        <f>HYPERLINK("https://seichotoushi-hojo.jp/assets/pdf/koufu/outline_72.pdf","PDFを開く")</f>
        <v>PDFを開く</v>
      </c>
      <c r="Q699" s="9" t="s">
        <v>1168</v>
      </c>
    </row>
    <row r="700" spans="1:17" ht="62.1" customHeight="1">
      <c r="A700" s="2" t="s">
        <v>1161</v>
      </c>
      <c r="B700" s="2" t="s">
        <v>73</v>
      </c>
      <c r="C700" s="8" t="s">
        <v>1162</v>
      </c>
      <c r="D700" s="2">
        <v>1</v>
      </c>
      <c r="E700" s="8" t="s">
        <v>10156</v>
      </c>
      <c r="F700" s="2">
        <v>4</v>
      </c>
      <c r="G700" s="8" t="s">
        <v>10163</v>
      </c>
      <c r="H700" s="8" t="s">
        <v>10163</v>
      </c>
      <c r="I700" s="2">
        <v>427.32</v>
      </c>
      <c r="J700" s="2">
        <v>374.52</v>
      </c>
      <c r="K700" s="2">
        <v>797.64</v>
      </c>
      <c r="L700" s="2">
        <v>545.28</v>
      </c>
      <c r="M700" s="8"/>
      <c r="N700" s="8" t="s">
        <v>10159</v>
      </c>
      <c r="O700" s="8" t="s">
        <v>8265</v>
      </c>
      <c r="P700" s="8" t="str">
        <f>HYPERLINK("https://seichotoushi-hojo.jp/assets/pdf/koufu/outline_72.pdf","PDFを開く")</f>
        <v>PDFを開く</v>
      </c>
      <c r="Q700" s="8" t="s">
        <v>1168</v>
      </c>
    </row>
    <row r="701" spans="1:17" ht="62.1" customHeight="1">
      <c r="A701" s="5" t="s">
        <v>1161</v>
      </c>
      <c r="B701" s="5" t="s">
        <v>73</v>
      </c>
      <c r="C701" s="9" t="s">
        <v>1162</v>
      </c>
      <c r="D701" s="5">
        <v>1</v>
      </c>
      <c r="E701" s="9" t="s">
        <v>10156</v>
      </c>
      <c r="F701" s="5">
        <v>5</v>
      </c>
      <c r="G701" s="9" t="s">
        <v>8581</v>
      </c>
      <c r="H701" s="9" t="s">
        <v>8581</v>
      </c>
      <c r="I701" s="5">
        <v>51.84</v>
      </c>
      <c r="J701" s="5">
        <v>467.16</v>
      </c>
      <c r="K701" s="5">
        <v>396.24</v>
      </c>
      <c r="L701" s="5">
        <v>531.24</v>
      </c>
      <c r="M701" s="9"/>
      <c r="N701" s="9" t="s">
        <v>10159</v>
      </c>
      <c r="O701" s="9" t="s">
        <v>1165</v>
      </c>
      <c r="P701" s="9" t="str">
        <f>HYPERLINK("https://seichotoushi-hojo.jp/assets/pdf/koufu/outline_72.pdf","PDFを開く")</f>
        <v>PDFを開く</v>
      </c>
      <c r="Q701" s="9" t="s">
        <v>1168</v>
      </c>
    </row>
    <row r="702" spans="1:17" ht="62.1" customHeight="1">
      <c r="A702" s="2" t="s">
        <v>1169</v>
      </c>
      <c r="B702" s="2" t="s">
        <v>73</v>
      </c>
      <c r="C702" s="8" t="s">
        <v>1170</v>
      </c>
      <c r="D702" s="2">
        <v>1</v>
      </c>
      <c r="E702" s="8" t="s">
        <v>10156</v>
      </c>
      <c r="F702" s="2">
        <v>1</v>
      </c>
      <c r="G702" s="8" t="s">
        <v>9578</v>
      </c>
      <c r="H702" s="8" t="s">
        <v>9578</v>
      </c>
      <c r="I702" s="2">
        <v>39.6</v>
      </c>
      <c r="J702" s="2">
        <v>116.76</v>
      </c>
      <c r="K702" s="2">
        <v>492.12</v>
      </c>
      <c r="L702" s="2">
        <v>530.52</v>
      </c>
      <c r="M702" s="8"/>
      <c r="N702" s="8" t="s">
        <v>10159</v>
      </c>
      <c r="O702" s="8" t="s">
        <v>8270</v>
      </c>
      <c r="P702" s="8" t="str">
        <f>HYPERLINK("https://seichotoushi-hojo.jp/assets/pdf/koufu/outline_73.pdf","PDFを開く")</f>
        <v>PDFを開く</v>
      </c>
      <c r="Q702" s="8" t="s">
        <v>1177</v>
      </c>
    </row>
    <row r="703" spans="1:17" ht="62.1" customHeight="1">
      <c r="A703" s="5" t="s">
        <v>1169</v>
      </c>
      <c r="B703" s="5" t="s">
        <v>73</v>
      </c>
      <c r="C703" s="9" t="s">
        <v>1170</v>
      </c>
      <c r="D703" s="5">
        <v>1</v>
      </c>
      <c r="E703" s="9" t="s">
        <v>10156</v>
      </c>
      <c r="F703" s="5">
        <v>2</v>
      </c>
      <c r="G703" s="9" t="s">
        <v>10162</v>
      </c>
      <c r="H703" s="9" t="s">
        <v>10162</v>
      </c>
      <c r="I703" s="5">
        <v>515.64</v>
      </c>
      <c r="J703" s="5">
        <v>170.16</v>
      </c>
      <c r="K703" s="5">
        <v>751.8</v>
      </c>
      <c r="L703" s="5">
        <v>328.44</v>
      </c>
      <c r="M703" s="9"/>
      <c r="N703" s="9" t="s">
        <v>10159</v>
      </c>
      <c r="O703" s="9" t="s">
        <v>8271</v>
      </c>
      <c r="P703" s="9" t="str">
        <f>HYPERLINK("https://seichotoushi-hojo.jp/assets/pdf/koufu/outline_73.pdf","PDFを開く")</f>
        <v>PDFを開く</v>
      </c>
      <c r="Q703" s="9" t="s">
        <v>1177</v>
      </c>
    </row>
    <row r="704" spans="1:17" ht="62.1" customHeight="1">
      <c r="A704" s="2" t="s">
        <v>1169</v>
      </c>
      <c r="B704" s="2" t="s">
        <v>73</v>
      </c>
      <c r="C704" s="8" t="s">
        <v>1170</v>
      </c>
      <c r="D704" s="2">
        <v>1</v>
      </c>
      <c r="E704" s="8" t="s">
        <v>10156</v>
      </c>
      <c r="F704" s="2">
        <v>3</v>
      </c>
      <c r="G704" s="8" t="s">
        <v>10163</v>
      </c>
      <c r="H704" s="8" t="s">
        <v>10163</v>
      </c>
      <c r="I704" s="2">
        <v>515.64</v>
      </c>
      <c r="J704" s="2">
        <v>341.4</v>
      </c>
      <c r="K704" s="2">
        <v>751.8</v>
      </c>
      <c r="L704" s="2">
        <v>499.68</v>
      </c>
      <c r="M704" s="8"/>
      <c r="N704" s="8" t="s">
        <v>10159</v>
      </c>
      <c r="O704" s="8" t="s">
        <v>8272</v>
      </c>
      <c r="P704" s="8" t="str">
        <f>HYPERLINK("https://seichotoushi-hojo.jp/assets/pdf/koufu/outline_73.pdf","PDFを開く")</f>
        <v>PDFを開く</v>
      </c>
      <c r="Q704" s="8" t="s">
        <v>1177</v>
      </c>
    </row>
    <row r="705" spans="1:17" ht="62.1" customHeight="1">
      <c r="A705" s="5" t="s">
        <v>1169</v>
      </c>
      <c r="B705" s="5" t="s">
        <v>73</v>
      </c>
      <c r="C705" s="9" t="s">
        <v>1170</v>
      </c>
      <c r="D705" s="5">
        <v>1</v>
      </c>
      <c r="E705" s="9" t="s">
        <v>10156</v>
      </c>
      <c r="F705" s="5">
        <v>4</v>
      </c>
      <c r="G705" s="9" t="s">
        <v>8581</v>
      </c>
      <c r="H705" s="9" t="s">
        <v>8581</v>
      </c>
      <c r="I705" s="5">
        <v>48</v>
      </c>
      <c r="J705" s="5">
        <v>443.88</v>
      </c>
      <c r="K705" s="5">
        <v>484.44</v>
      </c>
      <c r="L705" s="5">
        <v>520.91999999999996</v>
      </c>
      <c r="M705" s="9"/>
      <c r="N705" s="9" t="s">
        <v>10159</v>
      </c>
      <c r="O705" s="9" t="s">
        <v>1174</v>
      </c>
      <c r="P705" s="9" t="str">
        <f>HYPERLINK("https://seichotoushi-hojo.jp/assets/pdf/koufu/outline_73.pdf","PDFを開く")</f>
        <v>PDFを開く</v>
      </c>
      <c r="Q705" s="9" t="s">
        <v>1177</v>
      </c>
    </row>
    <row r="706" spans="1:17" ht="62.1" customHeight="1">
      <c r="A706" s="2" t="s">
        <v>1178</v>
      </c>
      <c r="B706" s="2" t="s">
        <v>73</v>
      </c>
      <c r="C706" s="8" t="s">
        <v>1179</v>
      </c>
      <c r="D706" s="2">
        <v>1</v>
      </c>
      <c r="E706" s="8" t="s">
        <v>10156</v>
      </c>
      <c r="F706" s="2">
        <v>1</v>
      </c>
      <c r="G706" s="8" t="s">
        <v>9578</v>
      </c>
      <c r="H706" s="8" t="s">
        <v>9578</v>
      </c>
      <c r="I706" s="2">
        <v>40.200000000000003</v>
      </c>
      <c r="J706" s="2">
        <v>123.72</v>
      </c>
      <c r="K706" s="2">
        <v>379.32</v>
      </c>
      <c r="L706" s="2">
        <v>455.52</v>
      </c>
      <c r="M706" s="8"/>
      <c r="N706" s="8" t="s">
        <v>10159</v>
      </c>
      <c r="O706" s="8" t="s">
        <v>8277</v>
      </c>
      <c r="P706" s="8" t="str">
        <f>HYPERLINK("https://seichotoushi-hojo.jp/assets/pdf/koufu/outline_74.pdf","PDFを開く")</f>
        <v>PDFを開く</v>
      </c>
      <c r="Q706" s="8" t="s">
        <v>1184</v>
      </c>
    </row>
    <row r="707" spans="1:17" ht="62.1" customHeight="1">
      <c r="A707" s="5" t="s">
        <v>1178</v>
      </c>
      <c r="B707" s="5" t="s">
        <v>73</v>
      </c>
      <c r="C707" s="9" t="s">
        <v>1179</v>
      </c>
      <c r="D707" s="5">
        <v>1</v>
      </c>
      <c r="E707" s="9" t="s">
        <v>10156</v>
      </c>
      <c r="F707" s="5">
        <v>2</v>
      </c>
      <c r="G707" s="9" t="s">
        <v>10162</v>
      </c>
      <c r="H707" s="9" t="s">
        <v>10162</v>
      </c>
      <c r="I707" s="5">
        <v>396.36</v>
      </c>
      <c r="J707" s="5">
        <v>123.72</v>
      </c>
      <c r="K707" s="5">
        <v>739.8</v>
      </c>
      <c r="L707" s="5">
        <v>280.56</v>
      </c>
      <c r="M707" s="9"/>
      <c r="N707" s="9" t="s">
        <v>10159</v>
      </c>
      <c r="O707" s="9" t="s">
        <v>8278</v>
      </c>
      <c r="P707" s="9" t="str">
        <f>HYPERLINK("https://seichotoushi-hojo.jp/assets/pdf/koufu/outline_74.pdf","PDFを開く")</f>
        <v>PDFを開く</v>
      </c>
      <c r="Q707" s="9" t="s">
        <v>1184</v>
      </c>
    </row>
    <row r="708" spans="1:17" ht="62.1" customHeight="1">
      <c r="A708" s="2" t="s">
        <v>1178</v>
      </c>
      <c r="B708" s="2" t="s">
        <v>73</v>
      </c>
      <c r="C708" s="8" t="s">
        <v>1179</v>
      </c>
      <c r="D708" s="2">
        <v>1</v>
      </c>
      <c r="E708" s="8" t="s">
        <v>10156</v>
      </c>
      <c r="F708" s="2">
        <v>3</v>
      </c>
      <c r="G708" s="8" t="s">
        <v>10163</v>
      </c>
      <c r="H708" s="8" t="s">
        <v>10163</v>
      </c>
      <c r="I708" s="2">
        <v>396.36</v>
      </c>
      <c r="J708" s="2">
        <v>297.36</v>
      </c>
      <c r="K708" s="2">
        <v>739.8</v>
      </c>
      <c r="L708" s="2">
        <v>455.64</v>
      </c>
      <c r="M708" s="8"/>
      <c r="N708" s="8" t="s">
        <v>10159</v>
      </c>
      <c r="O708" s="8" t="s">
        <v>8279</v>
      </c>
      <c r="P708" s="8" t="str">
        <f>HYPERLINK("https://seichotoushi-hojo.jp/assets/pdf/koufu/outline_74.pdf","PDFを開く")</f>
        <v>PDFを開く</v>
      </c>
      <c r="Q708" s="8" t="s">
        <v>1184</v>
      </c>
    </row>
    <row r="709" spans="1:17" ht="62.1" customHeight="1">
      <c r="A709" s="5" t="s">
        <v>1178</v>
      </c>
      <c r="B709" s="5" t="s">
        <v>73</v>
      </c>
      <c r="C709" s="9" t="s">
        <v>1179</v>
      </c>
      <c r="D709" s="5">
        <v>1</v>
      </c>
      <c r="E709" s="9" t="s">
        <v>10156</v>
      </c>
      <c r="F709" s="5">
        <v>4</v>
      </c>
      <c r="G709" s="9" t="s">
        <v>8581</v>
      </c>
      <c r="H709" s="9" t="s">
        <v>8581</v>
      </c>
      <c r="I709" s="5">
        <v>49.8</v>
      </c>
      <c r="J709" s="5">
        <v>339</v>
      </c>
      <c r="K709" s="5">
        <v>369.24</v>
      </c>
      <c r="L709" s="5">
        <v>444.24</v>
      </c>
      <c r="M709" s="9"/>
      <c r="N709" s="9" t="s">
        <v>10159</v>
      </c>
      <c r="O709" s="9" t="s">
        <v>1182</v>
      </c>
      <c r="P709" s="9" t="str">
        <f>HYPERLINK("https://seichotoushi-hojo.jp/assets/pdf/koufu/outline_74.pdf","PDFを開く")</f>
        <v>PDFを開く</v>
      </c>
      <c r="Q709" s="9" t="s">
        <v>1184</v>
      </c>
    </row>
    <row r="710" spans="1:17" ht="62.1" customHeight="1">
      <c r="A710" s="2" t="s">
        <v>1185</v>
      </c>
      <c r="B710" s="2" t="s">
        <v>73</v>
      </c>
      <c r="C710" s="8" t="s">
        <v>1186</v>
      </c>
      <c r="D710" s="2">
        <v>1</v>
      </c>
      <c r="E710" s="8" t="s">
        <v>10156</v>
      </c>
      <c r="F710" s="2">
        <v>1</v>
      </c>
      <c r="G710" s="8" t="s">
        <v>9578</v>
      </c>
      <c r="H710" s="8" t="s">
        <v>9578</v>
      </c>
      <c r="I710" s="2">
        <v>39.96</v>
      </c>
      <c r="J710" s="2">
        <v>14.12</v>
      </c>
      <c r="K710" s="2">
        <v>401.7</v>
      </c>
      <c r="L710" s="2">
        <v>115.09</v>
      </c>
      <c r="M710" s="8"/>
      <c r="N710" s="8" t="s">
        <v>10181</v>
      </c>
      <c r="O710" s="8" t="s">
        <v>10451</v>
      </c>
      <c r="P710" s="8" t="str">
        <f>HYPERLINK("https://seichotoushi-hojo.jp/assets/pdf/koufu/outline_75.pdf","PDFを開く")</f>
        <v>PDFを開く</v>
      </c>
      <c r="Q710" s="8" t="s">
        <v>1192</v>
      </c>
    </row>
    <row r="711" spans="1:17" ht="62.1" customHeight="1">
      <c r="A711" s="5" t="s">
        <v>1185</v>
      </c>
      <c r="B711" s="5" t="s">
        <v>73</v>
      </c>
      <c r="C711" s="9" t="s">
        <v>1186</v>
      </c>
      <c r="D711" s="5">
        <v>1</v>
      </c>
      <c r="E711" s="9" t="s">
        <v>10156</v>
      </c>
      <c r="F711" s="5">
        <v>2</v>
      </c>
      <c r="G711" s="9" t="s">
        <v>9578</v>
      </c>
      <c r="H711" s="9" t="s">
        <v>9578</v>
      </c>
      <c r="I711" s="5">
        <v>40.32</v>
      </c>
      <c r="J711" s="5">
        <v>113.76</v>
      </c>
      <c r="K711" s="5">
        <v>335.16</v>
      </c>
      <c r="L711" s="5">
        <v>520.91999999999996</v>
      </c>
      <c r="M711" s="9"/>
      <c r="N711" s="9" t="s">
        <v>10159</v>
      </c>
      <c r="O711" s="9" t="s">
        <v>10452</v>
      </c>
      <c r="P711" s="9" t="str">
        <f>HYPERLINK("https://seichotoushi-hojo.jp/assets/pdf/koufu/outline_75.pdf","PDFを開く")</f>
        <v>PDFを開く</v>
      </c>
      <c r="Q711" s="9" t="s">
        <v>1192</v>
      </c>
    </row>
    <row r="712" spans="1:17" ht="62.1" customHeight="1">
      <c r="A712" s="2" t="s">
        <v>1185</v>
      </c>
      <c r="B712" s="2" t="s">
        <v>73</v>
      </c>
      <c r="C712" s="8" t="s">
        <v>1186</v>
      </c>
      <c r="D712" s="2">
        <v>1</v>
      </c>
      <c r="E712" s="8" t="s">
        <v>10156</v>
      </c>
      <c r="F712" s="2">
        <v>3</v>
      </c>
      <c r="G712" s="8" t="s">
        <v>10162</v>
      </c>
      <c r="H712" s="8" t="s">
        <v>10162</v>
      </c>
      <c r="I712" s="2">
        <v>352.68</v>
      </c>
      <c r="J712" s="2">
        <v>316.2</v>
      </c>
      <c r="K712" s="2">
        <v>739.32</v>
      </c>
      <c r="L712" s="2">
        <v>420.96</v>
      </c>
      <c r="M712" s="8"/>
      <c r="N712" s="8" t="s">
        <v>10159</v>
      </c>
      <c r="O712" s="8" t="s">
        <v>8285</v>
      </c>
      <c r="P712" s="8" t="str">
        <f>HYPERLINK("https://seichotoushi-hojo.jp/assets/pdf/koufu/outline_75.pdf","PDFを開く")</f>
        <v>PDFを開く</v>
      </c>
      <c r="Q712" s="8" t="s">
        <v>1192</v>
      </c>
    </row>
    <row r="713" spans="1:17" ht="62.1" customHeight="1">
      <c r="A713" s="5" t="s">
        <v>1185</v>
      </c>
      <c r="B713" s="5" t="s">
        <v>73</v>
      </c>
      <c r="C713" s="9" t="s">
        <v>1186</v>
      </c>
      <c r="D713" s="5">
        <v>1</v>
      </c>
      <c r="E713" s="9" t="s">
        <v>10156</v>
      </c>
      <c r="F713" s="5">
        <v>4</v>
      </c>
      <c r="G713" s="9" t="s">
        <v>8581</v>
      </c>
      <c r="H713" s="9" t="s">
        <v>8581</v>
      </c>
      <c r="I713" s="5">
        <v>48</v>
      </c>
      <c r="J713" s="5">
        <v>372.36</v>
      </c>
      <c r="K713" s="5">
        <v>321</v>
      </c>
      <c r="L713" s="5">
        <v>513.48</v>
      </c>
      <c r="M713" s="9"/>
      <c r="N713" s="9" t="s">
        <v>10159</v>
      </c>
      <c r="O713" s="9" t="s">
        <v>1189</v>
      </c>
      <c r="P713" s="9" t="str">
        <f>HYPERLINK("https://seichotoushi-hojo.jp/assets/pdf/koufu/outline_75.pdf","PDFを開く")</f>
        <v>PDFを開く</v>
      </c>
      <c r="Q713" s="9" t="s">
        <v>1192</v>
      </c>
    </row>
    <row r="714" spans="1:17" ht="62.1" customHeight="1">
      <c r="A714" s="2" t="s">
        <v>1185</v>
      </c>
      <c r="B714" s="2" t="s">
        <v>73</v>
      </c>
      <c r="C714" s="8" t="s">
        <v>1186</v>
      </c>
      <c r="D714" s="2">
        <v>1</v>
      </c>
      <c r="E714" s="8" t="s">
        <v>10156</v>
      </c>
      <c r="F714" s="2">
        <v>5</v>
      </c>
      <c r="G714" s="8" t="s">
        <v>10163</v>
      </c>
      <c r="H714" s="8" t="s">
        <v>10163</v>
      </c>
      <c r="I714" s="2">
        <v>353.16</v>
      </c>
      <c r="J714" s="2">
        <v>423.84</v>
      </c>
      <c r="K714" s="2">
        <v>739.8</v>
      </c>
      <c r="L714" s="2">
        <v>521.76</v>
      </c>
      <c r="M714" s="8"/>
      <c r="N714" s="8" t="s">
        <v>10159</v>
      </c>
      <c r="O714" s="8" t="s">
        <v>8286</v>
      </c>
      <c r="P714" s="8" t="str">
        <f>HYPERLINK("https://seichotoushi-hojo.jp/assets/pdf/koufu/outline_75.pdf","PDFを開く")</f>
        <v>PDFを開く</v>
      </c>
      <c r="Q714" s="8" t="s">
        <v>1192</v>
      </c>
    </row>
    <row r="715" spans="1:17" ht="62.1" customHeight="1">
      <c r="A715" s="5" t="s">
        <v>1193</v>
      </c>
      <c r="B715" s="5" t="s">
        <v>73</v>
      </c>
      <c r="C715" s="9" t="s">
        <v>1194</v>
      </c>
      <c r="D715" s="5">
        <v>1</v>
      </c>
      <c r="E715" s="9" t="s">
        <v>10156</v>
      </c>
      <c r="F715" s="5">
        <v>1</v>
      </c>
      <c r="G715" s="9" t="s">
        <v>9578</v>
      </c>
      <c r="H715" s="9" t="s">
        <v>9578</v>
      </c>
      <c r="I715" s="5">
        <v>30</v>
      </c>
      <c r="J715" s="5">
        <v>66.86</v>
      </c>
      <c r="K715" s="5">
        <v>750</v>
      </c>
      <c r="L715" s="5">
        <v>111.36</v>
      </c>
      <c r="M715" s="9"/>
      <c r="N715" s="9" t="s">
        <v>10159</v>
      </c>
      <c r="O715" s="9" t="s">
        <v>10453</v>
      </c>
      <c r="P715" s="9" t="str">
        <f t="shared" ref="P715:P730" si="37">HYPERLINK("https://seichotoushi-hojo.jp/assets/pdf/koufu/outline_76.pdf","PDFを開く")</f>
        <v>PDFを開く</v>
      </c>
      <c r="Q715" s="9" t="s">
        <v>1202</v>
      </c>
    </row>
    <row r="716" spans="1:17" ht="62.1" customHeight="1">
      <c r="A716" s="2" t="s">
        <v>1193</v>
      </c>
      <c r="B716" s="2" t="s">
        <v>73</v>
      </c>
      <c r="C716" s="8" t="s">
        <v>1194</v>
      </c>
      <c r="D716" s="2">
        <v>1</v>
      </c>
      <c r="E716" s="8" t="s">
        <v>10156</v>
      </c>
      <c r="F716" s="2">
        <v>2</v>
      </c>
      <c r="G716" s="8" t="s">
        <v>10162</v>
      </c>
      <c r="H716" s="8" t="s">
        <v>10162</v>
      </c>
      <c r="I716" s="2">
        <v>41.74</v>
      </c>
      <c r="J716" s="2">
        <v>125.13</v>
      </c>
      <c r="K716" s="2">
        <v>401.7</v>
      </c>
      <c r="L716" s="2">
        <v>166.09</v>
      </c>
      <c r="M716" s="8"/>
      <c r="N716" s="8" t="s">
        <v>10181</v>
      </c>
      <c r="O716" s="8" t="s">
        <v>10454</v>
      </c>
      <c r="P716" s="8" t="str">
        <f t="shared" si="37"/>
        <v>PDFを開く</v>
      </c>
      <c r="Q716" s="8" t="s">
        <v>1202</v>
      </c>
    </row>
    <row r="717" spans="1:17" ht="62.1" customHeight="1">
      <c r="A717" s="5" t="s">
        <v>1193</v>
      </c>
      <c r="B717" s="5" t="s">
        <v>73</v>
      </c>
      <c r="C717" s="9" t="s">
        <v>1194</v>
      </c>
      <c r="D717" s="5">
        <v>1</v>
      </c>
      <c r="E717" s="9" t="s">
        <v>10156</v>
      </c>
      <c r="F717" s="5">
        <v>3</v>
      </c>
      <c r="G717" s="9" t="s">
        <v>10163</v>
      </c>
      <c r="H717" s="9" t="s">
        <v>10163</v>
      </c>
      <c r="I717" s="5">
        <v>129.56</v>
      </c>
      <c r="J717" s="5">
        <v>125.13</v>
      </c>
      <c r="K717" s="5">
        <v>401.7</v>
      </c>
      <c r="L717" s="5">
        <v>166.09</v>
      </c>
      <c r="M717" s="9"/>
      <c r="N717" s="9" t="s">
        <v>10181</v>
      </c>
      <c r="O717" s="9" t="s">
        <v>10455</v>
      </c>
      <c r="P717" s="9" t="str">
        <f t="shared" si="37"/>
        <v>PDFを開く</v>
      </c>
      <c r="Q717" s="9" t="s">
        <v>1202</v>
      </c>
    </row>
    <row r="718" spans="1:17" ht="62.1" customHeight="1">
      <c r="A718" s="2" t="s">
        <v>1193</v>
      </c>
      <c r="B718" s="2" t="s">
        <v>73</v>
      </c>
      <c r="C718" s="8" t="s">
        <v>1194</v>
      </c>
      <c r="D718" s="2">
        <v>1</v>
      </c>
      <c r="E718" s="8" t="s">
        <v>10156</v>
      </c>
      <c r="F718" s="2">
        <v>4</v>
      </c>
      <c r="G718" s="8" t="s">
        <v>10163</v>
      </c>
      <c r="H718" s="8" t="s">
        <v>10163</v>
      </c>
      <c r="I718" s="2">
        <v>414.76</v>
      </c>
      <c r="J718" s="2">
        <v>155.29</v>
      </c>
      <c r="K718" s="2">
        <v>737.03</v>
      </c>
      <c r="L718" s="2">
        <v>476.46</v>
      </c>
      <c r="M718" s="8"/>
      <c r="N718" s="8" t="s">
        <v>10159</v>
      </c>
      <c r="O718" s="8" t="s">
        <v>10456</v>
      </c>
      <c r="P718" s="8" t="str">
        <f t="shared" si="37"/>
        <v>PDFを開く</v>
      </c>
      <c r="Q718" s="8" t="s">
        <v>1202</v>
      </c>
    </row>
    <row r="719" spans="1:17" ht="62.1" customHeight="1">
      <c r="A719" s="5" t="s">
        <v>1193</v>
      </c>
      <c r="B719" s="5" t="s">
        <v>73</v>
      </c>
      <c r="C719" s="9" t="s">
        <v>1194</v>
      </c>
      <c r="D719" s="5">
        <v>1</v>
      </c>
      <c r="E719" s="9" t="s">
        <v>10156</v>
      </c>
      <c r="F719" s="5">
        <v>5</v>
      </c>
      <c r="G719" s="9" t="s">
        <v>10162</v>
      </c>
      <c r="H719" s="9" t="s">
        <v>10162</v>
      </c>
      <c r="I719" s="5">
        <v>42.97</v>
      </c>
      <c r="J719" s="5">
        <v>156.27000000000001</v>
      </c>
      <c r="K719" s="5">
        <v>365.24</v>
      </c>
      <c r="L719" s="5">
        <v>477.44</v>
      </c>
      <c r="M719" s="9"/>
      <c r="N719" s="9" t="s">
        <v>10159</v>
      </c>
      <c r="O719" s="9" t="s">
        <v>10457</v>
      </c>
      <c r="P719" s="9" t="str">
        <f t="shared" si="37"/>
        <v>PDFを開く</v>
      </c>
      <c r="Q719" s="9" t="s">
        <v>1202</v>
      </c>
    </row>
    <row r="720" spans="1:17" ht="62.1" customHeight="1">
      <c r="A720" s="2" t="s">
        <v>1193</v>
      </c>
      <c r="B720" s="2" t="s">
        <v>73</v>
      </c>
      <c r="C720" s="8" t="s">
        <v>1194</v>
      </c>
      <c r="D720" s="2">
        <v>1</v>
      </c>
      <c r="E720" s="8" t="s">
        <v>10156</v>
      </c>
      <c r="F720" s="2">
        <v>6</v>
      </c>
      <c r="G720" s="8" t="s">
        <v>9578</v>
      </c>
      <c r="H720" s="8" t="s">
        <v>9578</v>
      </c>
      <c r="I720" s="2">
        <v>139.30000000000001</v>
      </c>
      <c r="J720" s="2">
        <v>506.8</v>
      </c>
      <c r="K720" s="2">
        <v>665.5</v>
      </c>
      <c r="L720" s="2">
        <v>530.26</v>
      </c>
      <c r="M720" s="8"/>
      <c r="N720" s="8" t="s">
        <v>10159</v>
      </c>
      <c r="O720" s="8" t="s">
        <v>10458</v>
      </c>
      <c r="P720" s="8" t="str">
        <f t="shared" si="37"/>
        <v>PDFを開く</v>
      </c>
      <c r="Q720" s="8" t="s">
        <v>1202</v>
      </c>
    </row>
    <row r="721" spans="1:17" ht="62.1" customHeight="1">
      <c r="A721" s="5" t="s">
        <v>1193</v>
      </c>
      <c r="B721" s="5" t="s">
        <v>73</v>
      </c>
      <c r="C721" s="9" t="s">
        <v>1194</v>
      </c>
      <c r="D721" s="5">
        <v>2</v>
      </c>
      <c r="E721" s="9" t="s">
        <v>10156</v>
      </c>
      <c r="F721" s="5">
        <v>1</v>
      </c>
      <c r="G721" s="9" t="s">
        <v>10162</v>
      </c>
      <c r="H721" s="9" t="s">
        <v>10162</v>
      </c>
      <c r="I721" s="5">
        <v>30</v>
      </c>
      <c r="J721" s="5">
        <v>66.86</v>
      </c>
      <c r="K721" s="5">
        <v>750</v>
      </c>
      <c r="L721" s="5">
        <v>111.36</v>
      </c>
      <c r="M721" s="9"/>
      <c r="N721" s="9" t="s">
        <v>10159</v>
      </c>
      <c r="O721" s="9" t="s">
        <v>10459</v>
      </c>
      <c r="P721" s="9" t="str">
        <f t="shared" si="37"/>
        <v>PDFを開く</v>
      </c>
      <c r="Q721" s="9" t="s">
        <v>1202</v>
      </c>
    </row>
    <row r="722" spans="1:17" ht="62.1" customHeight="1">
      <c r="A722" s="2" t="s">
        <v>1193</v>
      </c>
      <c r="B722" s="2" t="s">
        <v>73</v>
      </c>
      <c r="C722" s="8" t="s">
        <v>1194</v>
      </c>
      <c r="D722" s="2">
        <v>2</v>
      </c>
      <c r="E722" s="8" t="s">
        <v>10156</v>
      </c>
      <c r="F722" s="2">
        <v>2</v>
      </c>
      <c r="G722" s="8" t="s">
        <v>9578</v>
      </c>
      <c r="H722" s="8" t="s">
        <v>9578</v>
      </c>
      <c r="I722" s="2">
        <v>41.74</v>
      </c>
      <c r="J722" s="2">
        <v>125.13</v>
      </c>
      <c r="K722" s="2">
        <v>401.7</v>
      </c>
      <c r="L722" s="2">
        <v>258.48</v>
      </c>
      <c r="M722" s="8"/>
      <c r="N722" s="8" t="s">
        <v>10181</v>
      </c>
      <c r="O722" s="8" t="s">
        <v>10460</v>
      </c>
      <c r="P722" s="8" t="str">
        <f t="shared" si="37"/>
        <v>PDFを開く</v>
      </c>
      <c r="Q722" s="8" t="s">
        <v>1202</v>
      </c>
    </row>
    <row r="723" spans="1:17" ht="62.1" customHeight="1">
      <c r="A723" s="5" t="s">
        <v>1193</v>
      </c>
      <c r="B723" s="5" t="s">
        <v>73</v>
      </c>
      <c r="C723" s="9" t="s">
        <v>1194</v>
      </c>
      <c r="D723" s="5">
        <v>2</v>
      </c>
      <c r="E723" s="9" t="s">
        <v>10156</v>
      </c>
      <c r="F723" s="5">
        <v>3</v>
      </c>
      <c r="G723" s="9" t="s">
        <v>10162</v>
      </c>
      <c r="H723" s="9" t="s">
        <v>10162</v>
      </c>
      <c r="I723" s="5">
        <v>28.4</v>
      </c>
      <c r="J723" s="5">
        <v>155.05000000000001</v>
      </c>
      <c r="K723" s="5">
        <v>748.4</v>
      </c>
      <c r="L723" s="5">
        <v>314.06</v>
      </c>
      <c r="M723" s="9"/>
      <c r="N723" s="9" t="s">
        <v>10159</v>
      </c>
      <c r="O723" s="9" t="s">
        <v>10461</v>
      </c>
      <c r="P723" s="9" t="str">
        <f t="shared" si="37"/>
        <v>PDFを開く</v>
      </c>
      <c r="Q723" s="9" t="s">
        <v>1202</v>
      </c>
    </row>
    <row r="724" spans="1:17" ht="62.1" customHeight="1">
      <c r="A724" s="2" t="s">
        <v>1193</v>
      </c>
      <c r="B724" s="2" t="s">
        <v>73</v>
      </c>
      <c r="C724" s="8" t="s">
        <v>1194</v>
      </c>
      <c r="D724" s="2">
        <v>3</v>
      </c>
      <c r="E724" s="8" t="s">
        <v>10156</v>
      </c>
      <c r="F724" s="2">
        <v>1</v>
      </c>
      <c r="G724" s="8" t="s">
        <v>10157</v>
      </c>
      <c r="H724" s="8" t="s">
        <v>10157</v>
      </c>
      <c r="I724" s="2">
        <v>20.82</v>
      </c>
      <c r="J724" s="2">
        <v>66.86</v>
      </c>
      <c r="K724" s="2">
        <v>750</v>
      </c>
      <c r="L724" s="2">
        <v>117.42</v>
      </c>
      <c r="M724" s="8"/>
      <c r="N724" s="8" t="s">
        <v>10159</v>
      </c>
      <c r="O724" s="8" t="s">
        <v>10462</v>
      </c>
      <c r="P724" s="8" t="str">
        <f t="shared" si="37"/>
        <v>PDFを開く</v>
      </c>
      <c r="Q724" s="8" t="s">
        <v>1202</v>
      </c>
    </row>
    <row r="725" spans="1:17" ht="62.1" customHeight="1">
      <c r="A725" s="5" t="s">
        <v>1193</v>
      </c>
      <c r="B725" s="5" t="s">
        <v>73</v>
      </c>
      <c r="C725" s="9" t="s">
        <v>1194</v>
      </c>
      <c r="D725" s="5">
        <v>3</v>
      </c>
      <c r="E725" s="9" t="s">
        <v>10156</v>
      </c>
      <c r="F725" s="5">
        <v>2</v>
      </c>
      <c r="G725" s="9" t="s">
        <v>8581</v>
      </c>
      <c r="H725" s="9" t="s">
        <v>8581</v>
      </c>
      <c r="I725" s="5">
        <v>40.25</v>
      </c>
      <c r="J725" s="5">
        <v>124.32</v>
      </c>
      <c r="K725" s="5">
        <v>401.7</v>
      </c>
      <c r="L725" s="5">
        <v>319.72000000000003</v>
      </c>
      <c r="M725" s="9"/>
      <c r="N725" s="9" t="s">
        <v>10181</v>
      </c>
      <c r="O725" s="9" t="s">
        <v>8295</v>
      </c>
      <c r="P725" s="9" t="str">
        <f t="shared" si="37"/>
        <v>PDFを開く</v>
      </c>
      <c r="Q725" s="9" t="s">
        <v>1202</v>
      </c>
    </row>
    <row r="726" spans="1:17" ht="62.1" customHeight="1">
      <c r="A726" s="2" t="s">
        <v>1193</v>
      </c>
      <c r="B726" s="2" t="s">
        <v>73</v>
      </c>
      <c r="C726" s="8" t="s">
        <v>1194</v>
      </c>
      <c r="D726" s="2">
        <v>3</v>
      </c>
      <c r="E726" s="8" t="s">
        <v>10156</v>
      </c>
      <c r="F726" s="2">
        <v>3</v>
      </c>
      <c r="G726" s="8" t="s">
        <v>10167</v>
      </c>
      <c r="H726" s="8" t="s">
        <v>10463</v>
      </c>
      <c r="I726" s="2">
        <v>29.8</v>
      </c>
      <c r="J726" s="2">
        <v>157.71</v>
      </c>
      <c r="K726" s="2">
        <v>537.96</v>
      </c>
      <c r="L726" s="2">
        <v>490.12</v>
      </c>
      <c r="M726" s="8"/>
      <c r="N726" s="8" t="s">
        <v>10159</v>
      </c>
      <c r="O726" s="8" t="s">
        <v>10464</v>
      </c>
      <c r="P726" s="8" t="str">
        <f t="shared" si="37"/>
        <v>PDFを開く</v>
      </c>
      <c r="Q726" s="8" t="s">
        <v>1202</v>
      </c>
    </row>
    <row r="727" spans="1:17" ht="62.1" customHeight="1">
      <c r="A727" s="5" t="s">
        <v>1193</v>
      </c>
      <c r="B727" s="5" t="s">
        <v>73</v>
      </c>
      <c r="C727" s="9" t="s">
        <v>1194</v>
      </c>
      <c r="D727" s="5">
        <v>3</v>
      </c>
      <c r="E727" s="9" t="s">
        <v>10156</v>
      </c>
      <c r="F727" s="5">
        <v>4</v>
      </c>
      <c r="G727" s="9" t="s">
        <v>10167</v>
      </c>
      <c r="H727" s="9" t="s">
        <v>10465</v>
      </c>
      <c r="I727" s="5">
        <v>124.66</v>
      </c>
      <c r="J727" s="5">
        <v>275.49</v>
      </c>
      <c r="K727" s="5">
        <v>526.91</v>
      </c>
      <c r="L727" s="5">
        <v>462.09</v>
      </c>
      <c r="M727" s="9"/>
      <c r="N727" s="9" t="s">
        <v>10159</v>
      </c>
      <c r="O727" s="9" t="s">
        <v>10466</v>
      </c>
      <c r="P727" s="9" t="str">
        <f t="shared" si="37"/>
        <v>PDFを開く</v>
      </c>
      <c r="Q727" s="9" t="s">
        <v>1202</v>
      </c>
    </row>
    <row r="728" spans="1:17" ht="62.1" customHeight="1">
      <c r="A728" s="2" t="s">
        <v>1193</v>
      </c>
      <c r="B728" s="2" t="s">
        <v>73</v>
      </c>
      <c r="C728" s="8" t="s">
        <v>1194</v>
      </c>
      <c r="D728" s="2">
        <v>3</v>
      </c>
      <c r="E728" s="8" t="s">
        <v>10156</v>
      </c>
      <c r="F728" s="2">
        <v>5</v>
      </c>
      <c r="G728" s="8" t="s">
        <v>10167</v>
      </c>
      <c r="H728" s="8" t="s">
        <v>10467</v>
      </c>
      <c r="I728" s="2">
        <v>235.48</v>
      </c>
      <c r="J728" s="2">
        <v>289.68</v>
      </c>
      <c r="K728" s="2">
        <v>496.82</v>
      </c>
      <c r="L728" s="2">
        <v>460.52</v>
      </c>
      <c r="M728" s="8"/>
      <c r="N728" s="8" t="s">
        <v>10159</v>
      </c>
      <c r="O728" s="8" t="s">
        <v>10468</v>
      </c>
      <c r="P728" s="8" t="str">
        <f t="shared" si="37"/>
        <v>PDFを開く</v>
      </c>
      <c r="Q728" s="8" t="s">
        <v>1202</v>
      </c>
    </row>
    <row r="729" spans="1:17" ht="62.1" customHeight="1">
      <c r="A729" s="5" t="s">
        <v>1193</v>
      </c>
      <c r="B729" s="5" t="s">
        <v>73</v>
      </c>
      <c r="C729" s="9" t="s">
        <v>1194</v>
      </c>
      <c r="D729" s="5">
        <v>4</v>
      </c>
      <c r="E729" s="9" t="s">
        <v>10165</v>
      </c>
      <c r="F729" s="5">
        <v>1</v>
      </c>
      <c r="G729" s="9" t="s">
        <v>10157</v>
      </c>
      <c r="H729" s="9" t="s">
        <v>10157</v>
      </c>
      <c r="I729" s="5">
        <v>0</v>
      </c>
      <c r="J729" s="5">
        <v>0</v>
      </c>
      <c r="K729" s="5">
        <v>779.53</v>
      </c>
      <c r="L729" s="5">
        <v>55.57</v>
      </c>
      <c r="M729" s="9" t="s">
        <v>10158</v>
      </c>
      <c r="N729" s="9" t="s">
        <v>10159</v>
      </c>
      <c r="O729" s="9" t="s">
        <v>10469</v>
      </c>
      <c r="P729" s="9" t="str">
        <f t="shared" si="37"/>
        <v>PDFを開く</v>
      </c>
      <c r="Q729" s="9" t="s">
        <v>1202</v>
      </c>
    </row>
    <row r="730" spans="1:17" ht="62.1" customHeight="1">
      <c r="A730" s="2" t="s">
        <v>1193</v>
      </c>
      <c r="B730" s="2" t="s">
        <v>73</v>
      </c>
      <c r="C730" s="8" t="s">
        <v>1194</v>
      </c>
      <c r="D730" s="2">
        <v>4</v>
      </c>
      <c r="E730" s="8" t="s">
        <v>10165</v>
      </c>
      <c r="F730" s="2">
        <v>2</v>
      </c>
      <c r="G730" s="8" t="s">
        <v>10184</v>
      </c>
      <c r="H730" s="8" t="s">
        <v>10184</v>
      </c>
      <c r="I730" s="2">
        <v>0</v>
      </c>
      <c r="J730" s="2">
        <v>111.26</v>
      </c>
      <c r="K730" s="2">
        <v>401.7</v>
      </c>
      <c r="L730" s="2">
        <v>306.66000000000003</v>
      </c>
      <c r="M730" s="8"/>
      <c r="N730" s="8" t="s">
        <v>10181</v>
      </c>
      <c r="O730" s="8" t="s">
        <v>10470</v>
      </c>
      <c r="P730" s="8" t="str">
        <f t="shared" si="37"/>
        <v>PDFを開く</v>
      </c>
      <c r="Q730" s="8" t="s">
        <v>1202</v>
      </c>
    </row>
    <row r="731" spans="1:17" ht="62.1" customHeight="1">
      <c r="A731" s="5" t="s">
        <v>1203</v>
      </c>
      <c r="B731" s="5" t="s">
        <v>73</v>
      </c>
      <c r="C731" s="9" t="s">
        <v>1204</v>
      </c>
      <c r="D731" s="5">
        <v>1</v>
      </c>
      <c r="E731" s="9" t="s">
        <v>10156</v>
      </c>
      <c r="F731" s="5">
        <v>1</v>
      </c>
      <c r="G731" s="9" t="s">
        <v>10162</v>
      </c>
      <c r="H731" s="9" t="s">
        <v>10162</v>
      </c>
      <c r="I731" s="5">
        <v>478.39</v>
      </c>
      <c r="J731" s="5">
        <v>121.4</v>
      </c>
      <c r="K731" s="5">
        <v>763.71</v>
      </c>
      <c r="L731" s="5">
        <v>304.29000000000002</v>
      </c>
      <c r="M731" s="9"/>
      <c r="N731" s="9" t="s">
        <v>10159</v>
      </c>
      <c r="O731" s="9" t="s">
        <v>8300</v>
      </c>
      <c r="P731" s="9" t="str">
        <f>HYPERLINK("https://seichotoushi-hojo.jp/assets/pdf/koufu/outline_77.pdf","PDFを開く")</f>
        <v>PDFを開く</v>
      </c>
      <c r="Q731" s="9" t="s">
        <v>1210</v>
      </c>
    </row>
    <row r="732" spans="1:17" ht="62.1" customHeight="1">
      <c r="A732" s="2" t="s">
        <v>1203</v>
      </c>
      <c r="B732" s="2" t="s">
        <v>73</v>
      </c>
      <c r="C732" s="8" t="s">
        <v>1204</v>
      </c>
      <c r="D732" s="2">
        <v>1</v>
      </c>
      <c r="E732" s="8" t="s">
        <v>10156</v>
      </c>
      <c r="F732" s="2">
        <v>2</v>
      </c>
      <c r="G732" s="8" t="s">
        <v>10163</v>
      </c>
      <c r="H732" s="8" t="s">
        <v>10163</v>
      </c>
      <c r="I732" s="2">
        <v>478.39</v>
      </c>
      <c r="J732" s="2">
        <v>316.83999999999997</v>
      </c>
      <c r="K732" s="2">
        <v>763.71</v>
      </c>
      <c r="L732" s="2">
        <v>499.73</v>
      </c>
      <c r="M732" s="8"/>
      <c r="N732" s="8" t="s">
        <v>10159</v>
      </c>
      <c r="O732" s="8" t="s">
        <v>8301</v>
      </c>
      <c r="P732" s="8" t="str">
        <f>HYPERLINK("https://seichotoushi-hojo.jp/assets/pdf/koufu/outline_77.pdf","PDFを開く")</f>
        <v>PDFを開く</v>
      </c>
      <c r="Q732" s="8" t="s">
        <v>1210</v>
      </c>
    </row>
    <row r="733" spans="1:17" ht="62.1" customHeight="1">
      <c r="A733" s="5" t="s">
        <v>1203</v>
      </c>
      <c r="B733" s="5" t="s">
        <v>73</v>
      </c>
      <c r="C733" s="9" t="s">
        <v>1204</v>
      </c>
      <c r="D733" s="5">
        <v>1</v>
      </c>
      <c r="E733" s="9" t="s">
        <v>10156</v>
      </c>
      <c r="F733" s="5">
        <v>3</v>
      </c>
      <c r="G733" s="9" t="s">
        <v>8581</v>
      </c>
      <c r="H733" s="9" t="s">
        <v>8581</v>
      </c>
      <c r="I733" s="5">
        <v>26.59</v>
      </c>
      <c r="J733" s="5">
        <v>417.74</v>
      </c>
      <c r="K733" s="5">
        <v>401.7</v>
      </c>
      <c r="L733" s="5">
        <v>525.20000000000005</v>
      </c>
      <c r="M733" s="9"/>
      <c r="N733" s="9" t="s">
        <v>10181</v>
      </c>
      <c r="O733" s="9" t="s">
        <v>1207</v>
      </c>
      <c r="P733" s="9" t="str">
        <f>HYPERLINK("https://seichotoushi-hojo.jp/assets/pdf/koufu/outline_77.pdf","PDFを開く")</f>
        <v>PDFを開く</v>
      </c>
      <c r="Q733" s="9" t="s">
        <v>1210</v>
      </c>
    </row>
    <row r="734" spans="1:17" ht="62.1" customHeight="1">
      <c r="A734" s="2" t="s">
        <v>1211</v>
      </c>
      <c r="B734" s="2" t="s">
        <v>73</v>
      </c>
      <c r="C734" s="8" t="s">
        <v>1212</v>
      </c>
      <c r="D734" s="2">
        <v>1</v>
      </c>
      <c r="E734" s="8" t="s">
        <v>10156</v>
      </c>
      <c r="F734" s="2">
        <v>1</v>
      </c>
      <c r="G734" s="8" t="s">
        <v>8581</v>
      </c>
      <c r="H734" s="8" t="s">
        <v>8581</v>
      </c>
      <c r="I734" s="2">
        <v>263.52999999999997</v>
      </c>
      <c r="J734" s="2">
        <v>58.25</v>
      </c>
      <c r="K734" s="2">
        <v>401.7</v>
      </c>
      <c r="L734" s="2">
        <v>99.21</v>
      </c>
      <c r="M734" s="8"/>
      <c r="N734" s="8" t="s">
        <v>10181</v>
      </c>
      <c r="O734" s="8" t="s">
        <v>10471</v>
      </c>
      <c r="P734" s="8" t="str">
        <f t="shared" ref="P734:P742" si="38">HYPERLINK("https://seichotoushi-hojo.jp/assets/pdf/koufu/outline_78.pdf","PDFを開く")</f>
        <v>PDFを開く</v>
      </c>
      <c r="Q734" s="8" t="s">
        <v>1218</v>
      </c>
    </row>
    <row r="735" spans="1:17" ht="62.1" customHeight="1">
      <c r="A735" s="5" t="s">
        <v>1211</v>
      </c>
      <c r="B735" s="5" t="s">
        <v>73</v>
      </c>
      <c r="C735" s="9" t="s">
        <v>1212</v>
      </c>
      <c r="D735" s="5">
        <v>1</v>
      </c>
      <c r="E735" s="9" t="s">
        <v>10156</v>
      </c>
      <c r="F735" s="5">
        <v>2</v>
      </c>
      <c r="G735" s="9" t="s">
        <v>10163</v>
      </c>
      <c r="H735" s="9" t="s">
        <v>10163</v>
      </c>
      <c r="I735" s="5">
        <v>317.64999999999998</v>
      </c>
      <c r="J735" s="5">
        <v>95.29</v>
      </c>
      <c r="K735" s="5">
        <v>401.7</v>
      </c>
      <c r="L735" s="5">
        <v>132.83000000000001</v>
      </c>
      <c r="M735" s="9"/>
      <c r="N735" s="9" t="s">
        <v>10181</v>
      </c>
      <c r="O735" s="9" t="s">
        <v>10472</v>
      </c>
      <c r="P735" s="9" t="str">
        <f t="shared" si="38"/>
        <v>PDFを開く</v>
      </c>
      <c r="Q735" s="9" t="s">
        <v>1218</v>
      </c>
    </row>
    <row r="736" spans="1:17" ht="62.1" customHeight="1">
      <c r="A736" s="2" t="s">
        <v>1211</v>
      </c>
      <c r="B736" s="2" t="s">
        <v>73</v>
      </c>
      <c r="C736" s="8" t="s">
        <v>1212</v>
      </c>
      <c r="D736" s="2">
        <v>1</v>
      </c>
      <c r="E736" s="8" t="s">
        <v>10156</v>
      </c>
      <c r="F736" s="2">
        <v>3</v>
      </c>
      <c r="G736" s="8" t="s">
        <v>9578</v>
      </c>
      <c r="H736" s="8" t="s">
        <v>9578</v>
      </c>
      <c r="I736" s="2">
        <v>480.12</v>
      </c>
      <c r="J736" s="2">
        <v>95.29</v>
      </c>
      <c r="K736" s="2">
        <v>768.3</v>
      </c>
      <c r="L736" s="2">
        <v>159.94999999999999</v>
      </c>
      <c r="M736" s="8"/>
      <c r="N736" s="8" t="s">
        <v>10181</v>
      </c>
      <c r="O736" s="8" t="s">
        <v>10473</v>
      </c>
      <c r="P736" s="8" t="str">
        <f t="shared" si="38"/>
        <v>PDFを開く</v>
      </c>
      <c r="Q736" s="8" t="s">
        <v>1218</v>
      </c>
    </row>
    <row r="737" spans="1:17" ht="62.1" customHeight="1">
      <c r="A737" s="5" t="s">
        <v>1211</v>
      </c>
      <c r="B737" s="5" t="s">
        <v>73</v>
      </c>
      <c r="C737" s="9" t="s">
        <v>1212</v>
      </c>
      <c r="D737" s="5">
        <v>1</v>
      </c>
      <c r="E737" s="9" t="s">
        <v>10156</v>
      </c>
      <c r="F737" s="5">
        <v>4</v>
      </c>
      <c r="G737" s="9" t="s">
        <v>9578</v>
      </c>
      <c r="H737" s="9" t="s">
        <v>9578</v>
      </c>
      <c r="I737" s="5">
        <v>39.659999999999997</v>
      </c>
      <c r="J737" s="5">
        <v>131.47999999999999</v>
      </c>
      <c r="K737" s="5">
        <v>378.79</v>
      </c>
      <c r="L737" s="5">
        <v>532.79999999999995</v>
      </c>
      <c r="M737" s="9"/>
      <c r="N737" s="9" t="s">
        <v>10159</v>
      </c>
      <c r="O737" s="9" t="s">
        <v>10474</v>
      </c>
      <c r="P737" s="9" t="str">
        <f t="shared" si="38"/>
        <v>PDFを開く</v>
      </c>
      <c r="Q737" s="9" t="s">
        <v>1218</v>
      </c>
    </row>
    <row r="738" spans="1:17" ht="62.1" customHeight="1">
      <c r="A738" s="2" t="s">
        <v>1211</v>
      </c>
      <c r="B738" s="2" t="s">
        <v>73</v>
      </c>
      <c r="C738" s="8" t="s">
        <v>1212</v>
      </c>
      <c r="D738" s="2">
        <v>1</v>
      </c>
      <c r="E738" s="8" t="s">
        <v>10156</v>
      </c>
      <c r="F738" s="2">
        <v>5</v>
      </c>
      <c r="G738" s="8" t="s">
        <v>10162</v>
      </c>
      <c r="H738" s="8" t="s">
        <v>10162</v>
      </c>
      <c r="I738" s="2">
        <v>396.3</v>
      </c>
      <c r="J738" s="2">
        <v>158.59</v>
      </c>
      <c r="K738" s="2">
        <v>739.78</v>
      </c>
      <c r="L738" s="2">
        <v>305.13</v>
      </c>
      <c r="M738" s="8"/>
      <c r="N738" s="8" t="s">
        <v>10159</v>
      </c>
      <c r="O738" s="8" t="s">
        <v>8307</v>
      </c>
      <c r="P738" s="8" t="str">
        <f t="shared" si="38"/>
        <v>PDFを開く</v>
      </c>
      <c r="Q738" s="8" t="s">
        <v>1218</v>
      </c>
    </row>
    <row r="739" spans="1:17" ht="62.1" customHeight="1">
      <c r="A739" s="5" t="s">
        <v>1211</v>
      </c>
      <c r="B739" s="5" t="s">
        <v>73</v>
      </c>
      <c r="C739" s="9" t="s">
        <v>1212</v>
      </c>
      <c r="D739" s="5">
        <v>1</v>
      </c>
      <c r="E739" s="9" t="s">
        <v>10156</v>
      </c>
      <c r="F739" s="5">
        <v>6</v>
      </c>
      <c r="G739" s="9" t="s">
        <v>10163</v>
      </c>
      <c r="H739" s="9" t="s">
        <v>10163</v>
      </c>
      <c r="I739" s="5">
        <v>396.3</v>
      </c>
      <c r="J739" s="5">
        <v>328.89</v>
      </c>
      <c r="K739" s="5">
        <v>739.78</v>
      </c>
      <c r="L739" s="5">
        <v>507.1</v>
      </c>
      <c r="M739" s="9"/>
      <c r="N739" s="9" t="s">
        <v>10159</v>
      </c>
      <c r="O739" s="9" t="s">
        <v>10475</v>
      </c>
      <c r="P739" s="9" t="str">
        <f t="shared" si="38"/>
        <v>PDFを開く</v>
      </c>
      <c r="Q739" s="9" t="s">
        <v>1218</v>
      </c>
    </row>
    <row r="740" spans="1:17" ht="62.1" customHeight="1">
      <c r="A740" s="2" t="s">
        <v>1211</v>
      </c>
      <c r="B740" s="2" t="s">
        <v>73</v>
      </c>
      <c r="C740" s="8" t="s">
        <v>1212</v>
      </c>
      <c r="D740" s="2">
        <v>1</v>
      </c>
      <c r="E740" s="8" t="s">
        <v>10156</v>
      </c>
      <c r="F740" s="2">
        <v>7</v>
      </c>
      <c r="G740" s="8" t="s">
        <v>8581</v>
      </c>
      <c r="H740" s="8" t="s">
        <v>8581</v>
      </c>
      <c r="I740" s="2">
        <v>44.56</v>
      </c>
      <c r="J740" s="2">
        <v>479.15</v>
      </c>
      <c r="K740" s="2">
        <v>373.87</v>
      </c>
      <c r="L740" s="2">
        <v>529.41</v>
      </c>
      <c r="M740" s="8"/>
      <c r="N740" s="8" t="s">
        <v>10159</v>
      </c>
      <c r="O740" s="8" t="s">
        <v>1216</v>
      </c>
      <c r="P740" s="8" t="str">
        <f t="shared" si="38"/>
        <v>PDFを開く</v>
      </c>
      <c r="Q740" s="8" t="s">
        <v>1218</v>
      </c>
    </row>
    <row r="741" spans="1:17" ht="62.1" customHeight="1">
      <c r="A741" s="5" t="s">
        <v>1211</v>
      </c>
      <c r="B741" s="5" t="s">
        <v>73</v>
      </c>
      <c r="C741" s="9" t="s">
        <v>1212</v>
      </c>
      <c r="D741" s="5">
        <v>2</v>
      </c>
      <c r="E741" s="9" t="s">
        <v>10165</v>
      </c>
      <c r="F741" s="5">
        <v>1</v>
      </c>
      <c r="G741" s="9" t="s">
        <v>10476</v>
      </c>
      <c r="H741" s="9" t="s">
        <v>10476</v>
      </c>
      <c r="I741" s="5">
        <v>49.58</v>
      </c>
      <c r="J741" s="5">
        <v>58.25</v>
      </c>
      <c r="K741" s="5">
        <v>401.7</v>
      </c>
      <c r="L741" s="5">
        <v>253.65</v>
      </c>
      <c r="M741" s="9"/>
      <c r="N741" s="9" t="s">
        <v>10181</v>
      </c>
      <c r="O741" s="9" t="s">
        <v>10477</v>
      </c>
      <c r="P741" s="9" t="str">
        <f t="shared" si="38"/>
        <v>PDFを開く</v>
      </c>
      <c r="Q741" s="9" t="s">
        <v>1218</v>
      </c>
    </row>
    <row r="742" spans="1:17" ht="62.1" customHeight="1">
      <c r="A742" s="2" t="s">
        <v>1211</v>
      </c>
      <c r="B742" s="2" t="s">
        <v>73</v>
      </c>
      <c r="C742" s="8" t="s">
        <v>1212</v>
      </c>
      <c r="D742" s="2">
        <v>2</v>
      </c>
      <c r="E742" s="8" t="s">
        <v>10165</v>
      </c>
      <c r="F742" s="2">
        <v>2</v>
      </c>
      <c r="G742" s="8" t="s">
        <v>10184</v>
      </c>
      <c r="H742" s="8" t="s">
        <v>10184</v>
      </c>
      <c r="I742" s="2">
        <v>208.96</v>
      </c>
      <c r="J742" s="2">
        <v>58.25</v>
      </c>
      <c r="K742" s="2">
        <v>401.7</v>
      </c>
      <c r="L742" s="2">
        <v>253.65</v>
      </c>
      <c r="M742" s="8"/>
      <c r="N742" s="8" t="s">
        <v>10181</v>
      </c>
      <c r="O742" s="8" t="s">
        <v>10478</v>
      </c>
      <c r="P742" s="8" t="str">
        <f t="shared" si="38"/>
        <v>PDFを開く</v>
      </c>
      <c r="Q742" s="8" t="s">
        <v>1218</v>
      </c>
    </row>
    <row r="743" spans="1:17" ht="62.1" customHeight="1">
      <c r="A743" s="5" t="s">
        <v>1219</v>
      </c>
      <c r="B743" s="5" t="s">
        <v>73</v>
      </c>
      <c r="C743" s="9" t="s">
        <v>1220</v>
      </c>
      <c r="D743" s="5">
        <v>1</v>
      </c>
      <c r="E743" s="9" t="s">
        <v>10156</v>
      </c>
      <c r="F743" s="5">
        <v>1</v>
      </c>
      <c r="G743" s="9" t="s">
        <v>9578</v>
      </c>
      <c r="H743" s="9" t="s">
        <v>9578</v>
      </c>
      <c r="I743" s="5">
        <v>39.6</v>
      </c>
      <c r="J743" s="5">
        <v>115.44</v>
      </c>
      <c r="K743" s="5">
        <v>447.36</v>
      </c>
      <c r="L743" s="5">
        <v>520.91999999999996</v>
      </c>
      <c r="M743" s="9"/>
      <c r="N743" s="9" t="s">
        <v>10159</v>
      </c>
      <c r="O743" s="9" t="s">
        <v>8314</v>
      </c>
      <c r="P743" s="9" t="str">
        <f>HYPERLINK("https://seichotoushi-hojo.jp/assets/pdf/koufu/outline_79.pdf","PDFを開く")</f>
        <v>PDFを開く</v>
      </c>
      <c r="Q743" s="9" t="s">
        <v>1225</v>
      </c>
    </row>
    <row r="744" spans="1:17" ht="62.1" customHeight="1">
      <c r="A744" s="2" t="s">
        <v>1219</v>
      </c>
      <c r="B744" s="2" t="s">
        <v>73</v>
      </c>
      <c r="C744" s="8" t="s">
        <v>1220</v>
      </c>
      <c r="D744" s="2">
        <v>1</v>
      </c>
      <c r="E744" s="8" t="s">
        <v>10156</v>
      </c>
      <c r="F744" s="2">
        <v>2</v>
      </c>
      <c r="G744" s="8" t="s">
        <v>10162</v>
      </c>
      <c r="H744" s="8" t="s">
        <v>10162</v>
      </c>
      <c r="I744" s="2">
        <v>470.4</v>
      </c>
      <c r="J744" s="2">
        <v>148.08000000000001</v>
      </c>
      <c r="K744" s="2">
        <v>738.84</v>
      </c>
      <c r="L744" s="2">
        <v>306.48</v>
      </c>
      <c r="M744" s="8"/>
      <c r="N744" s="8" t="s">
        <v>10159</v>
      </c>
      <c r="O744" s="8" t="s">
        <v>8315</v>
      </c>
      <c r="P744" s="8" t="str">
        <f>HYPERLINK("https://seichotoushi-hojo.jp/assets/pdf/koufu/outline_79.pdf","PDFを開く")</f>
        <v>PDFを開く</v>
      </c>
      <c r="Q744" s="8" t="s">
        <v>1225</v>
      </c>
    </row>
    <row r="745" spans="1:17" ht="62.1" customHeight="1">
      <c r="A745" s="5" t="s">
        <v>1219</v>
      </c>
      <c r="B745" s="5" t="s">
        <v>73</v>
      </c>
      <c r="C745" s="9" t="s">
        <v>1220</v>
      </c>
      <c r="D745" s="5">
        <v>1</v>
      </c>
      <c r="E745" s="9" t="s">
        <v>10156</v>
      </c>
      <c r="F745" s="5">
        <v>3</v>
      </c>
      <c r="G745" s="9" t="s">
        <v>10163</v>
      </c>
      <c r="H745" s="9" t="s">
        <v>10163</v>
      </c>
      <c r="I745" s="5">
        <v>470.4</v>
      </c>
      <c r="J745" s="5">
        <v>329.52</v>
      </c>
      <c r="K745" s="5">
        <v>738.84</v>
      </c>
      <c r="L745" s="5">
        <v>487.8</v>
      </c>
      <c r="M745" s="9"/>
      <c r="N745" s="9" t="s">
        <v>10159</v>
      </c>
      <c r="O745" s="9" t="s">
        <v>8316</v>
      </c>
      <c r="P745" s="9" t="str">
        <f>HYPERLINK("https://seichotoushi-hojo.jp/assets/pdf/koufu/outline_79.pdf","PDFを開く")</f>
        <v>PDFを開く</v>
      </c>
      <c r="Q745" s="9" t="s">
        <v>1225</v>
      </c>
    </row>
    <row r="746" spans="1:17" ht="62.1" customHeight="1">
      <c r="A746" s="2" t="s">
        <v>1219</v>
      </c>
      <c r="B746" s="2" t="s">
        <v>73</v>
      </c>
      <c r="C746" s="8" t="s">
        <v>1220</v>
      </c>
      <c r="D746" s="2">
        <v>1</v>
      </c>
      <c r="E746" s="8" t="s">
        <v>10156</v>
      </c>
      <c r="F746" s="2">
        <v>4</v>
      </c>
      <c r="G746" s="8" t="s">
        <v>8581</v>
      </c>
      <c r="H746" s="8" t="s">
        <v>8581</v>
      </c>
      <c r="I746" s="2">
        <v>48</v>
      </c>
      <c r="J746" s="2">
        <v>435.72</v>
      </c>
      <c r="K746" s="2">
        <v>432.12</v>
      </c>
      <c r="L746" s="2">
        <v>507.84</v>
      </c>
      <c r="M746" s="8"/>
      <c r="N746" s="8" t="s">
        <v>10159</v>
      </c>
      <c r="O746" s="8" t="s">
        <v>1223</v>
      </c>
      <c r="P746" s="8" t="str">
        <f>HYPERLINK("https://seichotoushi-hojo.jp/assets/pdf/koufu/outline_79.pdf","PDFを開く")</f>
        <v>PDFを開く</v>
      </c>
      <c r="Q746" s="8" t="s">
        <v>1225</v>
      </c>
    </row>
    <row r="747" spans="1:17" ht="62.1" customHeight="1">
      <c r="A747" s="5" t="s">
        <v>1226</v>
      </c>
      <c r="B747" s="5" t="s">
        <v>73</v>
      </c>
      <c r="C747" s="9" t="s">
        <v>1227</v>
      </c>
      <c r="D747" s="5">
        <v>1</v>
      </c>
      <c r="E747" s="9" t="s">
        <v>10156</v>
      </c>
      <c r="F747" s="5">
        <v>1</v>
      </c>
      <c r="G747" s="9" t="s">
        <v>9578</v>
      </c>
      <c r="H747" s="9" t="s">
        <v>9578</v>
      </c>
      <c r="I747" s="5">
        <v>22.2</v>
      </c>
      <c r="J747" s="5">
        <v>115.32</v>
      </c>
      <c r="K747" s="5">
        <v>388.2</v>
      </c>
      <c r="L747" s="5">
        <v>577.79999999999995</v>
      </c>
      <c r="M747" s="9"/>
      <c r="N747" s="9" t="s">
        <v>10159</v>
      </c>
      <c r="O747" s="9" t="s">
        <v>8321</v>
      </c>
      <c r="P747" s="9" t="str">
        <f>HYPERLINK("https://seichotoushi-hojo.jp/assets/pdf/koufu/outline_8.pdf","PDFを開く")</f>
        <v>PDFを開く</v>
      </c>
      <c r="Q747" s="9" t="s">
        <v>1232</v>
      </c>
    </row>
    <row r="748" spans="1:17" ht="62.1" customHeight="1">
      <c r="A748" s="2" t="s">
        <v>1226</v>
      </c>
      <c r="B748" s="2" t="s">
        <v>73</v>
      </c>
      <c r="C748" s="8" t="s">
        <v>1227</v>
      </c>
      <c r="D748" s="2">
        <v>1</v>
      </c>
      <c r="E748" s="8" t="s">
        <v>10156</v>
      </c>
      <c r="F748" s="2">
        <v>2</v>
      </c>
      <c r="G748" s="8" t="s">
        <v>10162</v>
      </c>
      <c r="H748" s="8" t="s">
        <v>10162</v>
      </c>
      <c r="I748" s="2">
        <v>412.08</v>
      </c>
      <c r="J748" s="2">
        <v>115.8</v>
      </c>
      <c r="K748" s="2">
        <v>814.08</v>
      </c>
      <c r="L748" s="2">
        <v>358.44</v>
      </c>
      <c r="M748" s="8"/>
      <c r="N748" s="8" t="s">
        <v>10159</v>
      </c>
      <c r="O748" s="8" t="s">
        <v>8322</v>
      </c>
      <c r="P748" s="8" t="str">
        <f>HYPERLINK("https://seichotoushi-hojo.jp/assets/pdf/koufu/outline_8.pdf","PDFを開く")</f>
        <v>PDFを開く</v>
      </c>
      <c r="Q748" s="8" t="s">
        <v>1232</v>
      </c>
    </row>
    <row r="749" spans="1:17" ht="62.1" customHeight="1">
      <c r="A749" s="5" t="s">
        <v>1226</v>
      </c>
      <c r="B749" s="5" t="s">
        <v>73</v>
      </c>
      <c r="C749" s="9" t="s">
        <v>1227</v>
      </c>
      <c r="D749" s="5">
        <v>1</v>
      </c>
      <c r="E749" s="9" t="s">
        <v>10156</v>
      </c>
      <c r="F749" s="5">
        <v>3</v>
      </c>
      <c r="G749" s="9" t="s">
        <v>10163</v>
      </c>
      <c r="H749" s="9" t="s">
        <v>10163</v>
      </c>
      <c r="I749" s="5">
        <v>412.08</v>
      </c>
      <c r="J749" s="5">
        <v>367.08</v>
      </c>
      <c r="K749" s="5">
        <v>814.08</v>
      </c>
      <c r="L749" s="5">
        <v>577.20000000000005</v>
      </c>
      <c r="M749" s="9"/>
      <c r="N749" s="9" t="s">
        <v>10159</v>
      </c>
      <c r="O749" s="9" t="s">
        <v>8323</v>
      </c>
      <c r="P749" s="9" t="str">
        <f>HYPERLINK("https://seichotoushi-hojo.jp/assets/pdf/koufu/outline_8.pdf","PDFを開く")</f>
        <v>PDFを開く</v>
      </c>
      <c r="Q749" s="9" t="s">
        <v>1232</v>
      </c>
    </row>
    <row r="750" spans="1:17" ht="62.1" customHeight="1">
      <c r="A750" s="2" t="s">
        <v>1226</v>
      </c>
      <c r="B750" s="2" t="s">
        <v>73</v>
      </c>
      <c r="C750" s="8" t="s">
        <v>1227</v>
      </c>
      <c r="D750" s="2">
        <v>1</v>
      </c>
      <c r="E750" s="8" t="s">
        <v>10156</v>
      </c>
      <c r="F750" s="2">
        <v>4</v>
      </c>
      <c r="G750" s="8" t="s">
        <v>8581</v>
      </c>
      <c r="H750" s="8" t="s">
        <v>8581</v>
      </c>
      <c r="I750" s="2">
        <v>32.76</v>
      </c>
      <c r="J750" s="2">
        <v>514.91999999999996</v>
      </c>
      <c r="K750" s="2">
        <v>377.64</v>
      </c>
      <c r="L750" s="2">
        <v>575.88</v>
      </c>
      <c r="M750" s="8"/>
      <c r="N750" s="8" t="s">
        <v>10159</v>
      </c>
      <c r="O750" s="8" t="s">
        <v>1230</v>
      </c>
      <c r="P750" s="8" t="str">
        <f>HYPERLINK("https://seichotoushi-hojo.jp/assets/pdf/koufu/outline_8.pdf","PDFを開く")</f>
        <v>PDFを開く</v>
      </c>
      <c r="Q750" s="8" t="s">
        <v>1232</v>
      </c>
    </row>
    <row r="751" spans="1:17" ht="62.1" customHeight="1">
      <c r="A751" s="5" t="s">
        <v>1233</v>
      </c>
      <c r="B751" s="5" t="s">
        <v>73</v>
      </c>
      <c r="C751" s="9" t="s">
        <v>1234</v>
      </c>
      <c r="D751" s="5">
        <v>1</v>
      </c>
      <c r="E751" s="9" t="s">
        <v>10156</v>
      </c>
      <c r="F751" s="5">
        <v>1</v>
      </c>
      <c r="G751" s="9" t="s">
        <v>9578</v>
      </c>
      <c r="H751" s="9" t="s">
        <v>9578</v>
      </c>
      <c r="I751" s="5">
        <v>22.92</v>
      </c>
      <c r="J751" s="5">
        <v>111.17</v>
      </c>
      <c r="K751" s="5">
        <v>377.02</v>
      </c>
      <c r="L751" s="5">
        <v>530.52</v>
      </c>
      <c r="M751" s="9"/>
      <c r="N751" s="9" t="s">
        <v>10159</v>
      </c>
      <c r="O751" s="9" t="s">
        <v>8328</v>
      </c>
      <c r="P751" s="9" t="str">
        <f>HYPERLINK("https://seichotoushi-hojo.jp/assets/pdf/koufu/outline_80.pdf","PDFを開く")</f>
        <v>PDFを開く</v>
      </c>
      <c r="Q751" s="9" t="s">
        <v>1239</v>
      </c>
    </row>
    <row r="752" spans="1:17" ht="62.1" customHeight="1">
      <c r="A752" s="2" t="s">
        <v>1233</v>
      </c>
      <c r="B752" s="2" t="s">
        <v>73</v>
      </c>
      <c r="C752" s="8" t="s">
        <v>1234</v>
      </c>
      <c r="D752" s="2">
        <v>1</v>
      </c>
      <c r="E752" s="8" t="s">
        <v>10156</v>
      </c>
      <c r="F752" s="2">
        <v>2</v>
      </c>
      <c r="G752" s="8" t="s">
        <v>10162</v>
      </c>
      <c r="H752" s="8" t="s">
        <v>10162</v>
      </c>
      <c r="I752" s="2">
        <v>396.3</v>
      </c>
      <c r="J752" s="2">
        <v>111.17</v>
      </c>
      <c r="K752" s="2">
        <v>739.78</v>
      </c>
      <c r="L752" s="2">
        <v>308.57</v>
      </c>
      <c r="M752" s="8"/>
      <c r="N752" s="8" t="s">
        <v>10159</v>
      </c>
      <c r="O752" s="8" t="s">
        <v>8329</v>
      </c>
      <c r="P752" s="8" t="str">
        <f>HYPERLINK("https://seichotoushi-hojo.jp/assets/pdf/koufu/outline_80.pdf","PDFを開く")</f>
        <v>PDFを開く</v>
      </c>
      <c r="Q752" s="8" t="s">
        <v>1239</v>
      </c>
    </row>
    <row r="753" spans="1:17" ht="62.1" customHeight="1">
      <c r="A753" s="5" t="s">
        <v>1233</v>
      </c>
      <c r="B753" s="5" t="s">
        <v>73</v>
      </c>
      <c r="C753" s="9" t="s">
        <v>1234</v>
      </c>
      <c r="D753" s="5">
        <v>1</v>
      </c>
      <c r="E753" s="9" t="s">
        <v>10156</v>
      </c>
      <c r="F753" s="5">
        <v>3</v>
      </c>
      <c r="G753" s="9" t="s">
        <v>10163</v>
      </c>
      <c r="H753" s="9" t="s">
        <v>10163</v>
      </c>
      <c r="I753" s="5">
        <v>396.3</v>
      </c>
      <c r="J753" s="5">
        <v>316.49</v>
      </c>
      <c r="K753" s="5">
        <v>739.78</v>
      </c>
      <c r="L753" s="5">
        <v>455.29</v>
      </c>
      <c r="M753" s="9"/>
      <c r="N753" s="9" t="s">
        <v>10159</v>
      </c>
      <c r="O753" s="9" t="s">
        <v>8330</v>
      </c>
      <c r="P753" s="9" t="str">
        <f>HYPERLINK("https://seichotoushi-hojo.jp/assets/pdf/koufu/outline_80.pdf","PDFを開く")</f>
        <v>PDFを開く</v>
      </c>
      <c r="Q753" s="9" t="s">
        <v>1239</v>
      </c>
    </row>
    <row r="754" spans="1:17" ht="62.1" customHeight="1">
      <c r="A754" s="2" t="s">
        <v>1233</v>
      </c>
      <c r="B754" s="2" t="s">
        <v>73</v>
      </c>
      <c r="C754" s="8" t="s">
        <v>1234</v>
      </c>
      <c r="D754" s="2">
        <v>1</v>
      </c>
      <c r="E754" s="8" t="s">
        <v>10156</v>
      </c>
      <c r="F754" s="2">
        <v>4</v>
      </c>
      <c r="G754" s="8" t="s">
        <v>8581</v>
      </c>
      <c r="H754" s="8" t="s">
        <v>8581</v>
      </c>
      <c r="I754" s="2">
        <v>39.659999999999997</v>
      </c>
      <c r="J754" s="2">
        <v>450.38</v>
      </c>
      <c r="K754" s="2">
        <v>359.16</v>
      </c>
      <c r="L754" s="2">
        <v>508.95</v>
      </c>
      <c r="M754" s="8"/>
      <c r="N754" s="8" t="s">
        <v>10159</v>
      </c>
      <c r="O754" s="8" t="s">
        <v>1237</v>
      </c>
      <c r="P754" s="8" t="str">
        <f>HYPERLINK("https://seichotoushi-hojo.jp/assets/pdf/koufu/outline_80.pdf","PDFを開く")</f>
        <v>PDFを開く</v>
      </c>
      <c r="Q754" s="8" t="s">
        <v>1239</v>
      </c>
    </row>
    <row r="755" spans="1:17" ht="62.1" customHeight="1">
      <c r="A755" s="5" t="s">
        <v>1233</v>
      </c>
      <c r="B755" s="5" t="s">
        <v>73</v>
      </c>
      <c r="C755" s="9" t="s">
        <v>1234</v>
      </c>
      <c r="D755" s="5">
        <v>1</v>
      </c>
      <c r="E755" s="9" t="s">
        <v>10156</v>
      </c>
      <c r="F755" s="5">
        <v>5</v>
      </c>
      <c r="G755" s="9" t="s">
        <v>10167</v>
      </c>
      <c r="H755" s="9" t="s">
        <v>10479</v>
      </c>
      <c r="I755" s="5">
        <v>396.3</v>
      </c>
      <c r="J755" s="5">
        <v>470.07</v>
      </c>
      <c r="K755" s="5">
        <v>740.34</v>
      </c>
      <c r="L755" s="5">
        <v>530.52</v>
      </c>
      <c r="M755" s="9"/>
      <c r="N755" s="9" t="s">
        <v>10159</v>
      </c>
      <c r="O755" s="9" t="s">
        <v>10480</v>
      </c>
      <c r="P755" s="9" t="str">
        <f>HYPERLINK("https://seichotoushi-hojo.jp/assets/pdf/koufu/outline_80.pdf","PDFを開く")</f>
        <v>PDFを開く</v>
      </c>
      <c r="Q755" s="9" t="s">
        <v>1239</v>
      </c>
    </row>
    <row r="756" spans="1:17" ht="62.1" customHeight="1">
      <c r="A756" s="2" t="s">
        <v>1240</v>
      </c>
      <c r="B756" s="2" t="s">
        <v>73</v>
      </c>
      <c r="C756" s="8" t="s">
        <v>1241</v>
      </c>
      <c r="D756" s="2">
        <v>1</v>
      </c>
      <c r="E756" s="8" t="s">
        <v>10156</v>
      </c>
      <c r="F756" s="2">
        <v>1</v>
      </c>
      <c r="G756" s="8" t="s">
        <v>10167</v>
      </c>
      <c r="H756" s="8" t="s">
        <v>10212</v>
      </c>
      <c r="I756" s="2">
        <v>16.32</v>
      </c>
      <c r="J756" s="2">
        <v>99.48</v>
      </c>
      <c r="K756" s="2">
        <v>763.68</v>
      </c>
      <c r="L756" s="2">
        <v>215.28</v>
      </c>
      <c r="M756" s="8"/>
      <c r="N756" s="8" t="s">
        <v>10159</v>
      </c>
      <c r="O756" s="8" t="s">
        <v>10481</v>
      </c>
      <c r="P756" s="8" t="str">
        <f>HYPERLINK("https://seichotoushi-hojo.jp/assets/pdf/koufu/outline_81.pdf","PDFを開く")</f>
        <v>PDFを開く</v>
      </c>
      <c r="Q756" s="8" t="s">
        <v>1247</v>
      </c>
    </row>
    <row r="757" spans="1:17" ht="62.1" customHeight="1">
      <c r="A757" s="5" t="s">
        <v>1240</v>
      </c>
      <c r="B757" s="5" t="s">
        <v>73</v>
      </c>
      <c r="C757" s="9" t="s">
        <v>1241</v>
      </c>
      <c r="D757" s="5">
        <v>1</v>
      </c>
      <c r="E757" s="9" t="s">
        <v>10156</v>
      </c>
      <c r="F757" s="5">
        <v>2</v>
      </c>
      <c r="G757" s="9" t="s">
        <v>9578</v>
      </c>
      <c r="H757" s="9" t="s">
        <v>9578</v>
      </c>
      <c r="I757" s="5">
        <v>16.32</v>
      </c>
      <c r="J757" s="5">
        <v>221.52</v>
      </c>
      <c r="K757" s="5">
        <v>378.12</v>
      </c>
      <c r="L757" s="5">
        <v>528</v>
      </c>
      <c r="M757" s="9"/>
      <c r="N757" s="9" t="s">
        <v>10159</v>
      </c>
      <c r="O757" s="9" t="s">
        <v>8335</v>
      </c>
      <c r="P757" s="9" t="str">
        <f>HYPERLINK("https://seichotoushi-hojo.jp/assets/pdf/koufu/outline_81.pdf","PDFを開く")</f>
        <v>PDFを開く</v>
      </c>
      <c r="Q757" s="9" t="s">
        <v>1247</v>
      </c>
    </row>
    <row r="758" spans="1:17" ht="62.1" customHeight="1">
      <c r="A758" s="2" t="s">
        <v>1240</v>
      </c>
      <c r="B758" s="2" t="s">
        <v>73</v>
      </c>
      <c r="C758" s="8" t="s">
        <v>1241</v>
      </c>
      <c r="D758" s="2">
        <v>1</v>
      </c>
      <c r="E758" s="8" t="s">
        <v>10156</v>
      </c>
      <c r="F758" s="2">
        <v>3</v>
      </c>
      <c r="G758" s="8" t="s">
        <v>10162</v>
      </c>
      <c r="H758" s="8" t="s">
        <v>10162</v>
      </c>
      <c r="I758" s="2">
        <v>395.64</v>
      </c>
      <c r="J758" s="2">
        <v>222.12</v>
      </c>
      <c r="K758" s="2">
        <v>763.68</v>
      </c>
      <c r="L758" s="2">
        <v>393.48</v>
      </c>
      <c r="M758" s="8"/>
      <c r="N758" s="8" t="s">
        <v>10159</v>
      </c>
      <c r="O758" s="8" t="s">
        <v>8336</v>
      </c>
      <c r="P758" s="8" t="str">
        <f>HYPERLINK("https://seichotoushi-hojo.jp/assets/pdf/koufu/outline_81.pdf","PDFを開く")</f>
        <v>PDFを開く</v>
      </c>
      <c r="Q758" s="8" t="s">
        <v>1247</v>
      </c>
    </row>
    <row r="759" spans="1:17" ht="62.1" customHeight="1">
      <c r="A759" s="5" t="s">
        <v>1240</v>
      </c>
      <c r="B759" s="5" t="s">
        <v>73</v>
      </c>
      <c r="C759" s="9" t="s">
        <v>1241</v>
      </c>
      <c r="D759" s="5">
        <v>1</v>
      </c>
      <c r="E759" s="9" t="s">
        <v>10156</v>
      </c>
      <c r="F759" s="5">
        <v>4</v>
      </c>
      <c r="G759" s="9" t="s">
        <v>10163</v>
      </c>
      <c r="H759" s="9" t="s">
        <v>10163</v>
      </c>
      <c r="I759" s="5">
        <v>395.64</v>
      </c>
      <c r="J759" s="5">
        <v>401.76</v>
      </c>
      <c r="K759" s="5">
        <v>763.68</v>
      </c>
      <c r="L759" s="5">
        <v>525.84</v>
      </c>
      <c r="M759" s="9"/>
      <c r="N759" s="9" t="s">
        <v>10159</v>
      </c>
      <c r="O759" s="9" t="s">
        <v>8337</v>
      </c>
      <c r="P759" s="9" t="str">
        <f>HYPERLINK("https://seichotoushi-hojo.jp/assets/pdf/koufu/outline_81.pdf","PDFを開く")</f>
        <v>PDFを開く</v>
      </c>
      <c r="Q759" s="9" t="s">
        <v>1247</v>
      </c>
    </row>
    <row r="760" spans="1:17" ht="62.1" customHeight="1">
      <c r="A760" s="2" t="s">
        <v>1240</v>
      </c>
      <c r="B760" s="2" t="s">
        <v>73</v>
      </c>
      <c r="C760" s="8" t="s">
        <v>1241</v>
      </c>
      <c r="D760" s="2">
        <v>1</v>
      </c>
      <c r="E760" s="8" t="s">
        <v>10156</v>
      </c>
      <c r="F760" s="2">
        <v>5</v>
      </c>
      <c r="G760" s="8" t="s">
        <v>8581</v>
      </c>
      <c r="H760" s="8" t="s">
        <v>8581</v>
      </c>
      <c r="I760" s="2">
        <v>37.44</v>
      </c>
      <c r="J760" s="2">
        <v>467.4</v>
      </c>
      <c r="K760" s="2">
        <v>357</v>
      </c>
      <c r="L760" s="2">
        <v>520.91999999999996</v>
      </c>
      <c r="M760" s="8"/>
      <c r="N760" s="8" t="s">
        <v>10159</v>
      </c>
      <c r="O760" s="8" t="s">
        <v>1245</v>
      </c>
      <c r="P760" s="8" t="str">
        <f>HYPERLINK("https://seichotoushi-hojo.jp/assets/pdf/koufu/outline_81.pdf","PDFを開く")</f>
        <v>PDFを開く</v>
      </c>
      <c r="Q760" s="8" t="s">
        <v>1247</v>
      </c>
    </row>
    <row r="761" spans="1:17" ht="62.1" customHeight="1">
      <c r="A761" s="5" t="s">
        <v>1248</v>
      </c>
      <c r="B761" s="5" t="s">
        <v>73</v>
      </c>
      <c r="C761" s="9" t="s">
        <v>1249</v>
      </c>
      <c r="D761" s="5">
        <v>1</v>
      </c>
      <c r="E761" s="9" t="s">
        <v>10156</v>
      </c>
      <c r="F761" s="5">
        <v>1</v>
      </c>
      <c r="G761" s="9" t="s">
        <v>10157</v>
      </c>
      <c r="H761" s="9" t="s">
        <v>10157</v>
      </c>
      <c r="I761" s="5">
        <v>46.52</v>
      </c>
      <c r="J761" s="5">
        <v>93.55</v>
      </c>
      <c r="K761" s="5">
        <v>746.08</v>
      </c>
      <c r="L761" s="5">
        <v>132.35</v>
      </c>
      <c r="M761" s="9"/>
      <c r="N761" s="9" t="s">
        <v>10159</v>
      </c>
      <c r="O761" s="9" t="s">
        <v>8342</v>
      </c>
      <c r="P761" s="9" t="str">
        <f t="shared" ref="P761:P767" si="39">HYPERLINK("https://seichotoushi-hojo.jp/assets/pdf/koufu/outline_82.pdf","PDFを開く")</f>
        <v>PDFを開く</v>
      </c>
      <c r="Q761" s="9" t="s">
        <v>1254</v>
      </c>
    </row>
    <row r="762" spans="1:17" ht="62.1" customHeight="1">
      <c r="A762" s="2" t="s">
        <v>1248</v>
      </c>
      <c r="B762" s="2" t="s">
        <v>73</v>
      </c>
      <c r="C762" s="8" t="s">
        <v>1249</v>
      </c>
      <c r="D762" s="2">
        <v>1</v>
      </c>
      <c r="E762" s="8" t="s">
        <v>10156</v>
      </c>
      <c r="F762" s="2">
        <v>2</v>
      </c>
      <c r="G762" s="8" t="s">
        <v>10167</v>
      </c>
      <c r="H762" s="8" t="s">
        <v>10482</v>
      </c>
      <c r="I762" s="2">
        <v>34.58</v>
      </c>
      <c r="J762" s="2">
        <v>135.22</v>
      </c>
      <c r="K762" s="2">
        <v>723.93</v>
      </c>
      <c r="L762" s="2">
        <v>174.21</v>
      </c>
      <c r="M762" s="8"/>
      <c r="N762" s="8" t="s">
        <v>10159</v>
      </c>
      <c r="O762" s="8" t="s">
        <v>10483</v>
      </c>
      <c r="P762" s="8" t="str">
        <f t="shared" si="39"/>
        <v>PDFを開く</v>
      </c>
      <c r="Q762" s="8" t="s">
        <v>1254</v>
      </c>
    </row>
    <row r="763" spans="1:17" ht="62.1" customHeight="1">
      <c r="A763" s="5" t="s">
        <v>1248</v>
      </c>
      <c r="B763" s="5" t="s">
        <v>73</v>
      </c>
      <c r="C763" s="9" t="s">
        <v>1249</v>
      </c>
      <c r="D763" s="5">
        <v>1</v>
      </c>
      <c r="E763" s="9" t="s">
        <v>10156</v>
      </c>
      <c r="F763" s="5">
        <v>3</v>
      </c>
      <c r="G763" s="9" t="s">
        <v>9578</v>
      </c>
      <c r="H763" s="9" t="s">
        <v>9578</v>
      </c>
      <c r="I763" s="5">
        <v>39.659999999999997</v>
      </c>
      <c r="J763" s="5">
        <v>177.08</v>
      </c>
      <c r="K763" s="5">
        <v>378.79</v>
      </c>
      <c r="L763" s="5">
        <v>520.9</v>
      </c>
      <c r="M763" s="9"/>
      <c r="N763" s="9" t="s">
        <v>10159</v>
      </c>
      <c r="O763" s="9" t="s">
        <v>8343</v>
      </c>
      <c r="P763" s="9" t="str">
        <f t="shared" si="39"/>
        <v>PDFを開く</v>
      </c>
      <c r="Q763" s="9" t="s">
        <v>1254</v>
      </c>
    </row>
    <row r="764" spans="1:17" ht="62.1" customHeight="1">
      <c r="A764" s="2" t="s">
        <v>1248</v>
      </c>
      <c r="B764" s="2" t="s">
        <v>73</v>
      </c>
      <c r="C764" s="8" t="s">
        <v>1249</v>
      </c>
      <c r="D764" s="2">
        <v>1</v>
      </c>
      <c r="E764" s="8" t="s">
        <v>10156</v>
      </c>
      <c r="F764" s="2">
        <v>4</v>
      </c>
      <c r="G764" s="8" t="s">
        <v>10162</v>
      </c>
      <c r="H764" s="8" t="s">
        <v>10162</v>
      </c>
      <c r="I764" s="2">
        <v>396.3</v>
      </c>
      <c r="J764" s="2">
        <v>178.67</v>
      </c>
      <c r="K764" s="2">
        <v>739.78</v>
      </c>
      <c r="L764" s="2">
        <v>336.97</v>
      </c>
      <c r="M764" s="8"/>
      <c r="N764" s="8" t="s">
        <v>10159</v>
      </c>
      <c r="O764" s="8" t="s">
        <v>8344</v>
      </c>
      <c r="P764" s="8" t="str">
        <f t="shared" si="39"/>
        <v>PDFを開く</v>
      </c>
      <c r="Q764" s="8" t="s">
        <v>1254</v>
      </c>
    </row>
    <row r="765" spans="1:17" ht="62.1" customHeight="1">
      <c r="A765" s="5" t="s">
        <v>1248</v>
      </c>
      <c r="B765" s="5" t="s">
        <v>73</v>
      </c>
      <c r="C765" s="9" t="s">
        <v>1249</v>
      </c>
      <c r="D765" s="5">
        <v>1</v>
      </c>
      <c r="E765" s="9" t="s">
        <v>10156</v>
      </c>
      <c r="F765" s="5">
        <v>5</v>
      </c>
      <c r="G765" s="9" t="s">
        <v>10163</v>
      </c>
      <c r="H765" s="9" t="s">
        <v>10163</v>
      </c>
      <c r="I765" s="5">
        <v>396.3</v>
      </c>
      <c r="J765" s="5">
        <v>341.43</v>
      </c>
      <c r="K765" s="5">
        <v>739.78</v>
      </c>
      <c r="L765" s="5">
        <v>499.73</v>
      </c>
      <c r="M765" s="9"/>
      <c r="N765" s="9" t="s">
        <v>10159</v>
      </c>
      <c r="O765" s="9" t="s">
        <v>8345</v>
      </c>
      <c r="P765" s="9" t="str">
        <f t="shared" si="39"/>
        <v>PDFを開く</v>
      </c>
      <c r="Q765" s="9" t="s">
        <v>1254</v>
      </c>
    </row>
    <row r="766" spans="1:17" ht="62.1" customHeight="1">
      <c r="A766" s="2" t="s">
        <v>1248</v>
      </c>
      <c r="B766" s="2" t="s">
        <v>73</v>
      </c>
      <c r="C766" s="8" t="s">
        <v>1249</v>
      </c>
      <c r="D766" s="2">
        <v>1</v>
      </c>
      <c r="E766" s="8" t="s">
        <v>10156</v>
      </c>
      <c r="F766" s="2">
        <v>6</v>
      </c>
      <c r="G766" s="8" t="s">
        <v>8581</v>
      </c>
      <c r="H766" s="8" t="s">
        <v>8581</v>
      </c>
      <c r="I766" s="2">
        <v>50.52</v>
      </c>
      <c r="J766" s="2">
        <v>453.5</v>
      </c>
      <c r="K766" s="2">
        <v>370.02</v>
      </c>
      <c r="L766" s="2">
        <v>512.66</v>
      </c>
      <c r="M766" s="8"/>
      <c r="N766" s="8" t="s">
        <v>10159</v>
      </c>
      <c r="O766" s="8" t="s">
        <v>1252</v>
      </c>
      <c r="P766" s="8" t="str">
        <f t="shared" si="39"/>
        <v>PDFを開く</v>
      </c>
      <c r="Q766" s="8" t="s">
        <v>1254</v>
      </c>
    </row>
    <row r="767" spans="1:17" ht="62.1" customHeight="1">
      <c r="A767" s="5" t="s">
        <v>1248</v>
      </c>
      <c r="B767" s="5" t="s">
        <v>73</v>
      </c>
      <c r="C767" s="9" t="s">
        <v>1249</v>
      </c>
      <c r="D767" s="5">
        <v>2</v>
      </c>
      <c r="E767" s="9" t="s">
        <v>10165</v>
      </c>
      <c r="F767" s="5">
        <v>1</v>
      </c>
      <c r="G767" s="9" t="s">
        <v>10184</v>
      </c>
      <c r="H767" s="9" t="s">
        <v>10184</v>
      </c>
      <c r="I767" s="5">
        <v>40.22</v>
      </c>
      <c r="J767" s="5">
        <v>99.47</v>
      </c>
      <c r="K767" s="5">
        <v>739.78</v>
      </c>
      <c r="L767" s="5">
        <v>138.62</v>
      </c>
      <c r="M767" s="9"/>
      <c r="N767" s="9" t="s">
        <v>10159</v>
      </c>
      <c r="O767" s="9" t="s">
        <v>10484</v>
      </c>
      <c r="P767" s="9" t="str">
        <f t="shared" si="39"/>
        <v>PDFを開く</v>
      </c>
      <c r="Q767" s="9" t="s">
        <v>1254</v>
      </c>
    </row>
    <row r="768" spans="1:17" ht="62.1" customHeight="1">
      <c r="A768" s="2" t="s">
        <v>1255</v>
      </c>
      <c r="B768" s="2" t="s">
        <v>73</v>
      </c>
      <c r="C768" s="8" t="s">
        <v>1256</v>
      </c>
      <c r="D768" s="2">
        <v>1</v>
      </c>
      <c r="E768" s="8" t="s">
        <v>10156</v>
      </c>
      <c r="F768" s="2">
        <v>1</v>
      </c>
      <c r="G768" s="8" t="s">
        <v>10167</v>
      </c>
      <c r="H768" s="8" t="s">
        <v>10485</v>
      </c>
      <c r="I768" s="2">
        <v>43.44</v>
      </c>
      <c r="J768" s="2">
        <v>113.64</v>
      </c>
      <c r="K768" s="2">
        <v>798.48</v>
      </c>
      <c r="L768" s="2">
        <v>174.72</v>
      </c>
      <c r="M768" s="8"/>
      <c r="N768" s="8" t="s">
        <v>10159</v>
      </c>
      <c r="O768" s="8" t="s">
        <v>10486</v>
      </c>
      <c r="P768" s="8" t="str">
        <f t="shared" ref="P768:P775" si="40">HYPERLINK("https://seichotoushi-hojo.jp/assets/pdf/koufu/outline_83.pdf","PDFを開く")</f>
        <v>PDFを開く</v>
      </c>
      <c r="Q768" s="8" t="s">
        <v>1262</v>
      </c>
    </row>
    <row r="769" spans="1:17" ht="62.1" customHeight="1">
      <c r="A769" s="5" t="s">
        <v>1255</v>
      </c>
      <c r="B769" s="5" t="s">
        <v>73</v>
      </c>
      <c r="C769" s="9" t="s">
        <v>1256</v>
      </c>
      <c r="D769" s="5">
        <v>1</v>
      </c>
      <c r="E769" s="9" t="s">
        <v>10156</v>
      </c>
      <c r="F769" s="5">
        <v>2</v>
      </c>
      <c r="G769" s="9" t="s">
        <v>9578</v>
      </c>
      <c r="H769" s="9" t="s">
        <v>9578</v>
      </c>
      <c r="I769" s="5">
        <v>42.84</v>
      </c>
      <c r="J769" s="5">
        <v>187.44</v>
      </c>
      <c r="K769" s="5">
        <v>408.84</v>
      </c>
      <c r="L769" s="5">
        <v>573.6</v>
      </c>
      <c r="M769" s="9"/>
      <c r="N769" s="9" t="s">
        <v>10159</v>
      </c>
      <c r="O769" s="9" t="s">
        <v>8350</v>
      </c>
      <c r="P769" s="9" t="str">
        <f t="shared" si="40"/>
        <v>PDFを開く</v>
      </c>
      <c r="Q769" s="9" t="s">
        <v>1262</v>
      </c>
    </row>
    <row r="770" spans="1:17" ht="62.1" customHeight="1">
      <c r="A770" s="2" t="s">
        <v>1255</v>
      </c>
      <c r="B770" s="2" t="s">
        <v>73</v>
      </c>
      <c r="C770" s="8" t="s">
        <v>1256</v>
      </c>
      <c r="D770" s="2">
        <v>1</v>
      </c>
      <c r="E770" s="8" t="s">
        <v>10156</v>
      </c>
      <c r="F770" s="2">
        <v>3</v>
      </c>
      <c r="G770" s="8" t="s">
        <v>10162</v>
      </c>
      <c r="H770" s="8" t="s">
        <v>10162</v>
      </c>
      <c r="I770" s="2">
        <v>427.8</v>
      </c>
      <c r="J770" s="2">
        <v>189.96</v>
      </c>
      <c r="K770" s="2">
        <v>798.48</v>
      </c>
      <c r="L770" s="2">
        <v>365.76</v>
      </c>
      <c r="M770" s="8"/>
      <c r="N770" s="8" t="s">
        <v>10159</v>
      </c>
      <c r="O770" s="8" t="s">
        <v>8351</v>
      </c>
      <c r="P770" s="8" t="str">
        <f t="shared" si="40"/>
        <v>PDFを開く</v>
      </c>
      <c r="Q770" s="8" t="s">
        <v>1262</v>
      </c>
    </row>
    <row r="771" spans="1:17" ht="62.1" customHeight="1">
      <c r="A771" s="5" t="s">
        <v>1255</v>
      </c>
      <c r="B771" s="5" t="s">
        <v>73</v>
      </c>
      <c r="C771" s="9" t="s">
        <v>1256</v>
      </c>
      <c r="D771" s="5">
        <v>1</v>
      </c>
      <c r="E771" s="9" t="s">
        <v>10156</v>
      </c>
      <c r="F771" s="5">
        <v>4</v>
      </c>
      <c r="G771" s="9" t="s">
        <v>10163</v>
      </c>
      <c r="H771" s="9" t="s">
        <v>10163</v>
      </c>
      <c r="I771" s="5">
        <v>427.8</v>
      </c>
      <c r="J771" s="5">
        <v>374.76</v>
      </c>
      <c r="K771" s="5">
        <v>798.48</v>
      </c>
      <c r="L771" s="5">
        <v>573.6</v>
      </c>
      <c r="M771" s="9"/>
      <c r="N771" s="9" t="s">
        <v>10159</v>
      </c>
      <c r="O771" s="9" t="s">
        <v>8352</v>
      </c>
      <c r="P771" s="9" t="str">
        <f t="shared" si="40"/>
        <v>PDFを開く</v>
      </c>
      <c r="Q771" s="9" t="s">
        <v>1262</v>
      </c>
    </row>
    <row r="772" spans="1:17" ht="62.1" customHeight="1">
      <c r="A772" s="2" t="s">
        <v>1255</v>
      </c>
      <c r="B772" s="2" t="s">
        <v>73</v>
      </c>
      <c r="C772" s="8" t="s">
        <v>1256</v>
      </c>
      <c r="D772" s="2">
        <v>1</v>
      </c>
      <c r="E772" s="8" t="s">
        <v>10156</v>
      </c>
      <c r="F772" s="2">
        <v>5</v>
      </c>
      <c r="G772" s="8" t="s">
        <v>8581</v>
      </c>
      <c r="H772" s="8" t="s">
        <v>8581</v>
      </c>
      <c r="I772" s="2">
        <v>57.96</v>
      </c>
      <c r="J772" s="2">
        <v>504.24</v>
      </c>
      <c r="K772" s="2">
        <v>402.84</v>
      </c>
      <c r="L772" s="2">
        <v>564.6</v>
      </c>
      <c r="M772" s="8"/>
      <c r="N772" s="8" t="s">
        <v>10159</v>
      </c>
      <c r="O772" s="8" t="s">
        <v>1260</v>
      </c>
      <c r="P772" s="8" t="str">
        <f t="shared" si="40"/>
        <v>PDFを開く</v>
      </c>
      <c r="Q772" s="8" t="s">
        <v>1262</v>
      </c>
    </row>
    <row r="773" spans="1:17" ht="62.1" customHeight="1">
      <c r="A773" s="5" t="s">
        <v>1255</v>
      </c>
      <c r="B773" s="5" t="s">
        <v>73</v>
      </c>
      <c r="C773" s="9" t="s">
        <v>1256</v>
      </c>
      <c r="D773" s="5">
        <v>2</v>
      </c>
      <c r="E773" s="9" t="s">
        <v>10165</v>
      </c>
      <c r="F773" s="5">
        <v>1</v>
      </c>
      <c r="G773" s="9" t="s">
        <v>10167</v>
      </c>
      <c r="H773" s="9" t="s">
        <v>10487</v>
      </c>
      <c r="I773" s="5">
        <v>43.44</v>
      </c>
      <c r="J773" s="5">
        <v>113.64</v>
      </c>
      <c r="K773" s="5">
        <v>824.4</v>
      </c>
      <c r="L773" s="5">
        <v>155.88</v>
      </c>
      <c r="M773" s="9"/>
      <c r="N773" s="9" t="s">
        <v>10159</v>
      </c>
      <c r="O773" s="9" t="s">
        <v>10488</v>
      </c>
      <c r="P773" s="9" t="str">
        <f t="shared" si="40"/>
        <v>PDFを開く</v>
      </c>
      <c r="Q773" s="9" t="s">
        <v>1262</v>
      </c>
    </row>
    <row r="774" spans="1:17" ht="62.1" customHeight="1">
      <c r="A774" s="2" t="s">
        <v>1255</v>
      </c>
      <c r="B774" s="2" t="s">
        <v>73</v>
      </c>
      <c r="C774" s="8" t="s">
        <v>1256</v>
      </c>
      <c r="D774" s="2">
        <v>2</v>
      </c>
      <c r="E774" s="8" t="s">
        <v>10165</v>
      </c>
      <c r="F774" s="2">
        <v>2</v>
      </c>
      <c r="G774" s="8" t="s">
        <v>10167</v>
      </c>
      <c r="H774" s="8" t="s">
        <v>10489</v>
      </c>
      <c r="I774" s="2">
        <v>343.08</v>
      </c>
      <c r="J774" s="2">
        <v>205.32</v>
      </c>
      <c r="K774" s="2">
        <v>824.4</v>
      </c>
      <c r="L774" s="2">
        <v>429.6</v>
      </c>
      <c r="M774" s="8"/>
      <c r="N774" s="8" t="s">
        <v>10159</v>
      </c>
      <c r="O774" s="8" t="s">
        <v>10490</v>
      </c>
      <c r="P774" s="8" t="str">
        <f t="shared" si="40"/>
        <v>PDFを開く</v>
      </c>
      <c r="Q774" s="8" t="s">
        <v>1262</v>
      </c>
    </row>
    <row r="775" spans="1:17" ht="62.1" customHeight="1">
      <c r="A775" s="5" t="s">
        <v>1255</v>
      </c>
      <c r="B775" s="5" t="s">
        <v>73</v>
      </c>
      <c r="C775" s="9" t="s">
        <v>1256</v>
      </c>
      <c r="D775" s="5">
        <v>2</v>
      </c>
      <c r="E775" s="9" t="s">
        <v>10165</v>
      </c>
      <c r="F775" s="5">
        <v>3</v>
      </c>
      <c r="G775" s="9" t="s">
        <v>10167</v>
      </c>
      <c r="H775" s="9" t="s">
        <v>10396</v>
      </c>
      <c r="I775" s="5">
        <v>140.16</v>
      </c>
      <c r="J775" s="5">
        <v>443.16</v>
      </c>
      <c r="K775" s="5">
        <v>790.2</v>
      </c>
      <c r="L775" s="5">
        <v>476.76</v>
      </c>
      <c r="M775" s="9"/>
      <c r="N775" s="9" t="s">
        <v>10159</v>
      </c>
      <c r="O775" s="9" t="s">
        <v>10491</v>
      </c>
      <c r="P775" s="9" t="str">
        <f t="shared" si="40"/>
        <v>PDFを開く</v>
      </c>
      <c r="Q775" s="9" t="s">
        <v>1262</v>
      </c>
    </row>
    <row r="776" spans="1:17" ht="62.1" customHeight="1">
      <c r="A776" s="2" t="s">
        <v>1263</v>
      </c>
      <c r="B776" s="2" t="s">
        <v>73</v>
      </c>
      <c r="C776" s="8" t="s">
        <v>1264</v>
      </c>
      <c r="D776" s="2">
        <v>1</v>
      </c>
      <c r="E776" s="8" t="s">
        <v>10156</v>
      </c>
      <c r="F776" s="2">
        <v>1</v>
      </c>
      <c r="G776" s="8" t="s">
        <v>10167</v>
      </c>
      <c r="H776" s="8" t="s">
        <v>10492</v>
      </c>
      <c r="I776" s="2">
        <v>34.56</v>
      </c>
      <c r="J776" s="2">
        <v>111.48</v>
      </c>
      <c r="K776" s="2">
        <v>814.92</v>
      </c>
      <c r="L776" s="2">
        <v>200.88</v>
      </c>
      <c r="M776" s="8"/>
      <c r="N776" s="8" t="s">
        <v>10159</v>
      </c>
      <c r="O776" s="8" t="s">
        <v>10493</v>
      </c>
      <c r="P776" s="8" t="str">
        <f t="shared" ref="P776:P783" si="41">HYPERLINK("https://seichotoushi-hojo.jp/assets/pdf/koufu/outline_84.pdf","PDFを開く")</f>
        <v>PDFを開く</v>
      </c>
      <c r="Q776" s="8" t="s">
        <v>1271</v>
      </c>
    </row>
    <row r="777" spans="1:17" ht="62.1" customHeight="1">
      <c r="A777" s="5" t="s">
        <v>1263</v>
      </c>
      <c r="B777" s="5" t="s">
        <v>73</v>
      </c>
      <c r="C777" s="9" t="s">
        <v>1264</v>
      </c>
      <c r="D777" s="5">
        <v>1</v>
      </c>
      <c r="E777" s="9" t="s">
        <v>10156</v>
      </c>
      <c r="F777" s="5">
        <v>2</v>
      </c>
      <c r="G777" s="9" t="s">
        <v>9578</v>
      </c>
      <c r="H777" s="9" t="s">
        <v>9578</v>
      </c>
      <c r="I777" s="5">
        <v>34.56</v>
      </c>
      <c r="J777" s="5">
        <v>206.4</v>
      </c>
      <c r="K777" s="5">
        <v>409.68</v>
      </c>
      <c r="L777" s="5">
        <v>564.48</v>
      </c>
      <c r="M777" s="9"/>
      <c r="N777" s="9" t="s">
        <v>10159</v>
      </c>
      <c r="O777" s="9" t="s">
        <v>8357</v>
      </c>
      <c r="P777" s="9" t="str">
        <f t="shared" si="41"/>
        <v>PDFを開く</v>
      </c>
      <c r="Q777" s="9" t="s">
        <v>1271</v>
      </c>
    </row>
    <row r="778" spans="1:17" ht="62.1" customHeight="1">
      <c r="A778" s="2" t="s">
        <v>1263</v>
      </c>
      <c r="B778" s="2" t="s">
        <v>73</v>
      </c>
      <c r="C778" s="8" t="s">
        <v>1264</v>
      </c>
      <c r="D778" s="2">
        <v>1</v>
      </c>
      <c r="E778" s="8" t="s">
        <v>10156</v>
      </c>
      <c r="F778" s="2">
        <v>3</v>
      </c>
      <c r="G778" s="8" t="s">
        <v>10162</v>
      </c>
      <c r="H778" s="8" t="s">
        <v>10162</v>
      </c>
      <c r="I778" s="2">
        <v>428.52</v>
      </c>
      <c r="J778" s="2">
        <v>208.8</v>
      </c>
      <c r="K778" s="2">
        <v>814.92</v>
      </c>
      <c r="L778" s="2">
        <v>379.68</v>
      </c>
      <c r="M778" s="8"/>
      <c r="N778" s="8" t="s">
        <v>10159</v>
      </c>
      <c r="O778" s="8" t="s">
        <v>8358</v>
      </c>
      <c r="P778" s="8" t="str">
        <f t="shared" si="41"/>
        <v>PDFを開く</v>
      </c>
      <c r="Q778" s="8" t="s">
        <v>1271</v>
      </c>
    </row>
    <row r="779" spans="1:17" ht="62.1" customHeight="1">
      <c r="A779" s="5" t="s">
        <v>1263</v>
      </c>
      <c r="B779" s="5" t="s">
        <v>73</v>
      </c>
      <c r="C779" s="9" t="s">
        <v>1264</v>
      </c>
      <c r="D779" s="5">
        <v>1</v>
      </c>
      <c r="E779" s="9" t="s">
        <v>10156</v>
      </c>
      <c r="F779" s="5">
        <v>4</v>
      </c>
      <c r="G779" s="9" t="s">
        <v>10163</v>
      </c>
      <c r="H779" s="9" t="s">
        <v>10163</v>
      </c>
      <c r="I779" s="5">
        <v>428.52</v>
      </c>
      <c r="J779" s="5">
        <v>387.6</v>
      </c>
      <c r="K779" s="5">
        <v>814.92</v>
      </c>
      <c r="L779" s="5">
        <v>564.48</v>
      </c>
      <c r="M779" s="9"/>
      <c r="N779" s="9" t="s">
        <v>10159</v>
      </c>
      <c r="O779" s="9" t="s">
        <v>8359</v>
      </c>
      <c r="P779" s="9" t="str">
        <f t="shared" si="41"/>
        <v>PDFを開く</v>
      </c>
      <c r="Q779" s="9" t="s">
        <v>1271</v>
      </c>
    </row>
    <row r="780" spans="1:17" ht="62.1" customHeight="1">
      <c r="A780" s="2" t="s">
        <v>1263</v>
      </c>
      <c r="B780" s="2" t="s">
        <v>73</v>
      </c>
      <c r="C780" s="8" t="s">
        <v>1264</v>
      </c>
      <c r="D780" s="2">
        <v>1</v>
      </c>
      <c r="E780" s="8" t="s">
        <v>10156</v>
      </c>
      <c r="F780" s="2">
        <v>5</v>
      </c>
      <c r="G780" s="8" t="s">
        <v>8581</v>
      </c>
      <c r="H780" s="8" t="s">
        <v>8581</v>
      </c>
      <c r="I780" s="2">
        <v>43.56</v>
      </c>
      <c r="J780" s="2">
        <v>461.04</v>
      </c>
      <c r="K780" s="2">
        <v>388.44</v>
      </c>
      <c r="L780" s="2">
        <v>554.76</v>
      </c>
      <c r="M780" s="8"/>
      <c r="N780" s="8" t="s">
        <v>10159</v>
      </c>
      <c r="O780" s="8" t="s">
        <v>1268</v>
      </c>
      <c r="P780" s="8" t="str">
        <f t="shared" si="41"/>
        <v>PDFを開く</v>
      </c>
      <c r="Q780" s="8" t="s">
        <v>1271</v>
      </c>
    </row>
    <row r="781" spans="1:17" ht="62.1" customHeight="1">
      <c r="A781" s="5" t="s">
        <v>1263</v>
      </c>
      <c r="B781" s="5" t="s">
        <v>73</v>
      </c>
      <c r="C781" s="9" t="s">
        <v>1264</v>
      </c>
      <c r="D781" s="5">
        <v>2</v>
      </c>
      <c r="E781" s="9" t="s">
        <v>10165</v>
      </c>
      <c r="F781" s="5">
        <v>1</v>
      </c>
      <c r="G781" s="9" t="s">
        <v>10167</v>
      </c>
      <c r="H781" s="9" t="s">
        <v>10212</v>
      </c>
      <c r="I781" s="5">
        <v>45</v>
      </c>
      <c r="J781" s="5">
        <v>112.8</v>
      </c>
      <c r="K781" s="5">
        <v>800.04</v>
      </c>
      <c r="L781" s="5">
        <v>155.04</v>
      </c>
      <c r="M781" s="9"/>
      <c r="N781" s="9" t="s">
        <v>10159</v>
      </c>
      <c r="O781" s="9" t="s">
        <v>10494</v>
      </c>
      <c r="P781" s="9" t="str">
        <f t="shared" si="41"/>
        <v>PDFを開く</v>
      </c>
      <c r="Q781" s="9" t="s">
        <v>1271</v>
      </c>
    </row>
    <row r="782" spans="1:17" ht="62.1" customHeight="1">
      <c r="A782" s="2" t="s">
        <v>1263</v>
      </c>
      <c r="B782" s="2" t="s">
        <v>73</v>
      </c>
      <c r="C782" s="8" t="s">
        <v>1264</v>
      </c>
      <c r="D782" s="2">
        <v>2</v>
      </c>
      <c r="E782" s="8" t="s">
        <v>10165</v>
      </c>
      <c r="F782" s="2">
        <v>2</v>
      </c>
      <c r="G782" s="8" t="s">
        <v>10167</v>
      </c>
      <c r="H782" s="8" t="s">
        <v>10495</v>
      </c>
      <c r="I782" s="2">
        <v>522.96</v>
      </c>
      <c r="J782" s="2">
        <v>262.44</v>
      </c>
      <c r="K782" s="2">
        <v>810</v>
      </c>
      <c r="L782" s="2">
        <v>421.68</v>
      </c>
      <c r="M782" s="8"/>
      <c r="N782" s="8" t="s">
        <v>10159</v>
      </c>
      <c r="O782" s="8" t="s">
        <v>10496</v>
      </c>
      <c r="P782" s="8" t="str">
        <f t="shared" si="41"/>
        <v>PDFを開く</v>
      </c>
      <c r="Q782" s="8" t="s">
        <v>1271</v>
      </c>
    </row>
    <row r="783" spans="1:17" ht="62.1" customHeight="1">
      <c r="A783" s="5" t="s">
        <v>1263</v>
      </c>
      <c r="B783" s="5" t="s">
        <v>73</v>
      </c>
      <c r="C783" s="9" t="s">
        <v>1264</v>
      </c>
      <c r="D783" s="5">
        <v>2</v>
      </c>
      <c r="E783" s="9" t="s">
        <v>10165</v>
      </c>
      <c r="F783" s="5">
        <v>3</v>
      </c>
      <c r="G783" s="9" t="s">
        <v>10167</v>
      </c>
      <c r="H783" s="9" t="s">
        <v>3504</v>
      </c>
      <c r="I783" s="5">
        <v>136.91999999999999</v>
      </c>
      <c r="J783" s="5">
        <v>436.68</v>
      </c>
      <c r="K783" s="5">
        <v>566.76</v>
      </c>
      <c r="L783" s="5">
        <v>467.16</v>
      </c>
      <c r="M783" s="9"/>
      <c r="N783" s="9" t="s">
        <v>10159</v>
      </c>
      <c r="O783" s="9" t="s">
        <v>10186</v>
      </c>
      <c r="P783" s="9" t="str">
        <f t="shared" si="41"/>
        <v>PDFを開く</v>
      </c>
      <c r="Q783" s="9" t="s">
        <v>1271</v>
      </c>
    </row>
    <row r="784" spans="1:17" ht="62.1" customHeight="1">
      <c r="A784" s="2" t="s">
        <v>1272</v>
      </c>
      <c r="B784" s="2" t="s">
        <v>73</v>
      </c>
      <c r="C784" s="8" t="s">
        <v>1273</v>
      </c>
      <c r="D784" s="2">
        <v>1</v>
      </c>
      <c r="E784" s="8" t="s">
        <v>10156</v>
      </c>
      <c r="F784" s="2">
        <v>1</v>
      </c>
      <c r="G784" s="8" t="s">
        <v>9578</v>
      </c>
      <c r="H784" s="8" t="s">
        <v>9578</v>
      </c>
      <c r="I784" s="2">
        <v>15.96</v>
      </c>
      <c r="J784" s="2">
        <v>99.6</v>
      </c>
      <c r="K784" s="2">
        <v>378.84</v>
      </c>
      <c r="L784" s="2">
        <v>530.28</v>
      </c>
      <c r="M784" s="8"/>
      <c r="N784" s="8" t="s">
        <v>10159</v>
      </c>
      <c r="O784" s="8" t="s">
        <v>8364</v>
      </c>
      <c r="P784" s="8" t="str">
        <f>HYPERLINK("https://seichotoushi-hojo.jp/assets/pdf/koufu/outline_85.pdf","PDFを開く")</f>
        <v>PDFを開く</v>
      </c>
      <c r="Q784" s="8" t="s">
        <v>1280</v>
      </c>
    </row>
    <row r="785" spans="1:17" ht="62.1" customHeight="1">
      <c r="A785" s="5" t="s">
        <v>1272</v>
      </c>
      <c r="B785" s="5" t="s">
        <v>73</v>
      </c>
      <c r="C785" s="9" t="s">
        <v>1273</v>
      </c>
      <c r="D785" s="5">
        <v>1</v>
      </c>
      <c r="E785" s="9" t="s">
        <v>10156</v>
      </c>
      <c r="F785" s="5">
        <v>2</v>
      </c>
      <c r="G785" s="9" t="s">
        <v>10162</v>
      </c>
      <c r="H785" s="9" t="s">
        <v>10162</v>
      </c>
      <c r="I785" s="5">
        <v>396.36</v>
      </c>
      <c r="J785" s="5">
        <v>170.16</v>
      </c>
      <c r="K785" s="5">
        <v>739.8</v>
      </c>
      <c r="L785" s="5">
        <v>328.44</v>
      </c>
      <c r="M785" s="9"/>
      <c r="N785" s="9" t="s">
        <v>10159</v>
      </c>
      <c r="O785" s="9" t="s">
        <v>8365</v>
      </c>
      <c r="P785" s="9" t="str">
        <f>HYPERLINK("https://seichotoushi-hojo.jp/assets/pdf/koufu/outline_85.pdf","PDFを開く")</f>
        <v>PDFを開く</v>
      </c>
      <c r="Q785" s="9" t="s">
        <v>1280</v>
      </c>
    </row>
    <row r="786" spans="1:17" ht="62.1" customHeight="1">
      <c r="A786" s="2" t="s">
        <v>1272</v>
      </c>
      <c r="B786" s="2" t="s">
        <v>73</v>
      </c>
      <c r="C786" s="8" t="s">
        <v>1273</v>
      </c>
      <c r="D786" s="2">
        <v>1</v>
      </c>
      <c r="E786" s="8" t="s">
        <v>10156</v>
      </c>
      <c r="F786" s="2">
        <v>3</v>
      </c>
      <c r="G786" s="8" t="s">
        <v>10163</v>
      </c>
      <c r="H786" s="8" t="s">
        <v>10163</v>
      </c>
      <c r="I786" s="2">
        <v>396.36</v>
      </c>
      <c r="J786" s="2">
        <v>341.4</v>
      </c>
      <c r="K786" s="2">
        <v>739.8</v>
      </c>
      <c r="L786" s="2">
        <v>499.68</v>
      </c>
      <c r="M786" s="8"/>
      <c r="N786" s="8" t="s">
        <v>10159</v>
      </c>
      <c r="O786" s="8" t="s">
        <v>8366</v>
      </c>
      <c r="P786" s="8" t="str">
        <f>HYPERLINK("https://seichotoushi-hojo.jp/assets/pdf/koufu/outline_85.pdf","PDFを開く")</f>
        <v>PDFを開く</v>
      </c>
      <c r="Q786" s="8" t="s">
        <v>1280</v>
      </c>
    </row>
    <row r="787" spans="1:17" ht="62.1" customHeight="1">
      <c r="A787" s="5" t="s">
        <v>1272</v>
      </c>
      <c r="B787" s="5" t="s">
        <v>73</v>
      </c>
      <c r="C787" s="9" t="s">
        <v>1273</v>
      </c>
      <c r="D787" s="5">
        <v>1</v>
      </c>
      <c r="E787" s="9" t="s">
        <v>10156</v>
      </c>
      <c r="F787" s="5">
        <v>4</v>
      </c>
      <c r="G787" s="9" t="s">
        <v>8581</v>
      </c>
      <c r="H787" s="9" t="s">
        <v>8581</v>
      </c>
      <c r="I787" s="5">
        <v>25.56</v>
      </c>
      <c r="J787" s="5">
        <v>463.8</v>
      </c>
      <c r="K787" s="5">
        <v>367.44</v>
      </c>
      <c r="L787" s="5">
        <v>525</v>
      </c>
      <c r="M787" s="9"/>
      <c r="N787" s="9" t="s">
        <v>10159</v>
      </c>
      <c r="O787" s="9" t="s">
        <v>1277</v>
      </c>
      <c r="P787" s="9" t="str">
        <f>HYPERLINK("https://seichotoushi-hojo.jp/assets/pdf/koufu/outline_85.pdf","PDFを開く")</f>
        <v>PDFを開く</v>
      </c>
      <c r="Q787" s="9" t="s">
        <v>1280</v>
      </c>
    </row>
    <row r="788" spans="1:17" ht="62.1" customHeight="1">
      <c r="A788" s="2" t="s">
        <v>1281</v>
      </c>
      <c r="B788" s="2" t="s">
        <v>73</v>
      </c>
      <c r="C788" s="8" t="s">
        <v>1282</v>
      </c>
      <c r="D788" s="2">
        <v>2</v>
      </c>
      <c r="E788" s="8" t="s">
        <v>10422</v>
      </c>
      <c r="F788" s="2">
        <v>1</v>
      </c>
      <c r="G788" s="8" t="s">
        <v>10167</v>
      </c>
      <c r="H788" s="8" t="s">
        <v>4153</v>
      </c>
      <c r="I788" s="2">
        <v>30.96</v>
      </c>
      <c r="J788" s="2">
        <v>27.6</v>
      </c>
      <c r="K788" s="2">
        <v>811.08</v>
      </c>
      <c r="L788" s="2">
        <v>567.72</v>
      </c>
      <c r="M788" s="8" t="s">
        <v>10158</v>
      </c>
      <c r="N788" s="8" t="s">
        <v>10159</v>
      </c>
      <c r="O788" s="8" t="s">
        <v>10497</v>
      </c>
      <c r="P788" s="8" t="str">
        <f>HYPERLINK("https://seichotoushi-hojo.jp/assets/pdf/koufu/outline_86.pdf","PDFを開く")</f>
        <v>PDFを開く</v>
      </c>
      <c r="Q788" s="8" t="s">
        <v>1286</v>
      </c>
    </row>
    <row r="789" spans="1:17" ht="62.1" customHeight="1">
      <c r="A789" s="5" t="s">
        <v>1287</v>
      </c>
      <c r="B789" s="5" t="s">
        <v>73</v>
      </c>
      <c r="C789" s="9" t="s">
        <v>1288</v>
      </c>
      <c r="D789" s="5">
        <v>1</v>
      </c>
      <c r="E789" s="9" t="s">
        <v>10156</v>
      </c>
      <c r="F789" s="5">
        <v>1</v>
      </c>
      <c r="G789" s="9" t="s">
        <v>9578</v>
      </c>
      <c r="H789" s="9" t="s">
        <v>9578</v>
      </c>
      <c r="I789" s="5">
        <v>20.87</v>
      </c>
      <c r="J789" s="5">
        <v>127.32</v>
      </c>
      <c r="K789" s="5">
        <v>821.03</v>
      </c>
      <c r="L789" s="5">
        <v>349.14</v>
      </c>
      <c r="M789" s="9"/>
      <c r="N789" s="9" t="s">
        <v>10159</v>
      </c>
      <c r="O789" s="9" t="s">
        <v>8372</v>
      </c>
      <c r="P789" s="9" t="str">
        <f>HYPERLINK("https://seichotoushi-hojo.jp/assets/pdf/koufu/outline_87.pdf","PDFを開く")</f>
        <v>PDFを開く</v>
      </c>
      <c r="Q789" s="9" t="s">
        <v>1293</v>
      </c>
    </row>
    <row r="790" spans="1:17" ht="62.1" customHeight="1">
      <c r="A790" s="2" t="s">
        <v>1287</v>
      </c>
      <c r="B790" s="2" t="s">
        <v>73</v>
      </c>
      <c r="C790" s="8" t="s">
        <v>1288</v>
      </c>
      <c r="D790" s="2">
        <v>1</v>
      </c>
      <c r="E790" s="8" t="s">
        <v>10156</v>
      </c>
      <c r="F790" s="2">
        <v>2</v>
      </c>
      <c r="G790" s="8" t="s">
        <v>8581</v>
      </c>
      <c r="H790" s="8" t="s">
        <v>8581</v>
      </c>
      <c r="I790" s="2">
        <v>43.67</v>
      </c>
      <c r="J790" s="2">
        <v>196.2</v>
      </c>
      <c r="K790" s="2">
        <v>379.55</v>
      </c>
      <c r="L790" s="2">
        <v>330</v>
      </c>
      <c r="M790" s="8"/>
      <c r="N790" s="8" t="s">
        <v>10159</v>
      </c>
      <c r="O790" s="8" t="s">
        <v>1291</v>
      </c>
      <c r="P790" s="8" t="str">
        <f>HYPERLINK("https://seichotoushi-hojo.jp/assets/pdf/koufu/outline_87.pdf","PDFを開く")</f>
        <v>PDFを開く</v>
      </c>
      <c r="Q790" s="8" t="s">
        <v>1293</v>
      </c>
    </row>
    <row r="791" spans="1:17" ht="62.1" customHeight="1">
      <c r="A791" s="5" t="s">
        <v>1287</v>
      </c>
      <c r="B791" s="5" t="s">
        <v>73</v>
      </c>
      <c r="C791" s="9" t="s">
        <v>1288</v>
      </c>
      <c r="D791" s="5">
        <v>1</v>
      </c>
      <c r="E791" s="9" t="s">
        <v>10156</v>
      </c>
      <c r="F791" s="5">
        <v>3</v>
      </c>
      <c r="G791" s="9" t="s">
        <v>10162</v>
      </c>
      <c r="H791" s="9" t="s">
        <v>10162</v>
      </c>
      <c r="I791" s="5">
        <v>20.45</v>
      </c>
      <c r="J791" s="5">
        <v>391.2</v>
      </c>
      <c r="K791" s="5">
        <v>402.89</v>
      </c>
      <c r="L791" s="5">
        <v>566.58000000000004</v>
      </c>
      <c r="M791" s="9"/>
      <c r="N791" s="9" t="s">
        <v>10159</v>
      </c>
      <c r="O791" s="9" t="s">
        <v>8373</v>
      </c>
      <c r="P791" s="9" t="str">
        <f>HYPERLINK("https://seichotoushi-hojo.jp/assets/pdf/koufu/outline_87.pdf","PDFを開く")</f>
        <v>PDFを開く</v>
      </c>
      <c r="Q791" s="9" t="s">
        <v>1293</v>
      </c>
    </row>
    <row r="792" spans="1:17" ht="62.1" customHeight="1">
      <c r="A792" s="2" t="s">
        <v>1287</v>
      </c>
      <c r="B792" s="2" t="s">
        <v>73</v>
      </c>
      <c r="C792" s="8" t="s">
        <v>1288</v>
      </c>
      <c r="D792" s="2">
        <v>1</v>
      </c>
      <c r="E792" s="8" t="s">
        <v>10156</v>
      </c>
      <c r="F792" s="2">
        <v>4</v>
      </c>
      <c r="G792" s="8" t="s">
        <v>10163</v>
      </c>
      <c r="H792" s="8" t="s">
        <v>10163</v>
      </c>
      <c r="I792" s="2">
        <v>421.49</v>
      </c>
      <c r="J792" s="2">
        <v>391.2</v>
      </c>
      <c r="K792" s="2">
        <v>803.93</v>
      </c>
      <c r="L792" s="2">
        <v>566.58000000000004</v>
      </c>
      <c r="M792" s="8"/>
      <c r="N792" s="8" t="s">
        <v>10159</v>
      </c>
      <c r="O792" s="8" t="s">
        <v>8374</v>
      </c>
      <c r="P792" s="8" t="str">
        <f>HYPERLINK("https://seichotoushi-hojo.jp/assets/pdf/koufu/outline_87.pdf","PDFを開く")</f>
        <v>PDFを開く</v>
      </c>
      <c r="Q792" s="8" t="s">
        <v>1293</v>
      </c>
    </row>
    <row r="793" spans="1:17" ht="62.1" customHeight="1">
      <c r="A793" s="5" t="s">
        <v>1287</v>
      </c>
      <c r="B793" s="5" t="s">
        <v>73</v>
      </c>
      <c r="C793" s="9" t="s">
        <v>1288</v>
      </c>
      <c r="D793" s="5">
        <v>2</v>
      </c>
      <c r="E793" s="9" t="s">
        <v>10165</v>
      </c>
      <c r="F793" s="5">
        <v>1</v>
      </c>
      <c r="G793" s="9" t="s">
        <v>10184</v>
      </c>
      <c r="H793" s="9" t="s">
        <v>10184</v>
      </c>
      <c r="I793" s="5">
        <v>10.91</v>
      </c>
      <c r="J793" s="5">
        <v>312.14999999999998</v>
      </c>
      <c r="K793" s="5">
        <v>433.63</v>
      </c>
      <c r="L793" s="5">
        <v>527.35</v>
      </c>
      <c r="M793" s="9"/>
      <c r="N793" s="9" t="s">
        <v>10181</v>
      </c>
      <c r="O793" s="9" t="s">
        <v>10498</v>
      </c>
      <c r="P793" s="9" t="str">
        <f>HYPERLINK("https://seichotoushi-hojo.jp/assets/pdf/koufu/outline_87.pdf","PDFを開く")</f>
        <v>PDFを開く</v>
      </c>
      <c r="Q793" s="9" t="s">
        <v>1293</v>
      </c>
    </row>
    <row r="794" spans="1:17" ht="62.1" customHeight="1">
      <c r="A794" s="2" t="s">
        <v>1294</v>
      </c>
      <c r="B794" s="2" t="s">
        <v>73</v>
      </c>
      <c r="C794" s="8" t="s">
        <v>1295</v>
      </c>
      <c r="D794" s="2">
        <v>1</v>
      </c>
      <c r="E794" s="8" t="s">
        <v>10156</v>
      </c>
      <c r="F794" s="2">
        <v>1</v>
      </c>
      <c r="G794" s="8" t="s">
        <v>9578</v>
      </c>
      <c r="H794" s="8" t="s">
        <v>9578</v>
      </c>
      <c r="I794" s="2">
        <v>39.6</v>
      </c>
      <c r="J794" s="2">
        <v>99.6</v>
      </c>
      <c r="K794" s="2">
        <v>378.84</v>
      </c>
      <c r="L794" s="2">
        <v>512.64</v>
      </c>
      <c r="M794" s="8"/>
      <c r="N794" s="8" t="s">
        <v>10159</v>
      </c>
      <c r="O794" s="8" t="s">
        <v>8379</v>
      </c>
      <c r="P794" s="8" t="str">
        <f>HYPERLINK("https://seichotoushi-hojo.jp/assets/pdf/koufu/outline_88.pdf","PDFを開く")</f>
        <v>PDFを開く</v>
      </c>
      <c r="Q794" s="8" t="s">
        <v>1302</v>
      </c>
    </row>
    <row r="795" spans="1:17" ht="62.1" customHeight="1">
      <c r="A795" s="5" t="s">
        <v>1294</v>
      </c>
      <c r="B795" s="5" t="s">
        <v>73</v>
      </c>
      <c r="C795" s="9" t="s">
        <v>1295</v>
      </c>
      <c r="D795" s="5">
        <v>1</v>
      </c>
      <c r="E795" s="9" t="s">
        <v>10156</v>
      </c>
      <c r="F795" s="5">
        <v>2</v>
      </c>
      <c r="G795" s="9" t="s">
        <v>10162</v>
      </c>
      <c r="H795" s="9" t="s">
        <v>10162</v>
      </c>
      <c r="I795" s="5">
        <v>396.84</v>
      </c>
      <c r="J795" s="5">
        <v>99.6</v>
      </c>
      <c r="K795" s="5">
        <v>740.4</v>
      </c>
      <c r="L795" s="5">
        <v>270</v>
      </c>
      <c r="M795" s="9"/>
      <c r="N795" s="9" t="s">
        <v>10159</v>
      </c>
      <c r="O795" s="9" t="s">
        <v>8380</v>
      </c>
      <c r="P795" s="9" t="str">
        <f>HYPERLINK("https://seichotoushi-hojo.jp/assets/pdf/koufu/outline_88.pdf","PDFを開く")</f>
        <v>PDFを開く</v>
      </c>
      <c r="Q795" s="9" t="s">
        <v>1302</v>
      </c>
    </row>
    <row r="796" spans="1:17" ht="62.1" customHeight="1">
      <c r="A796" s="2" t="s">
        <v>1294</v>
      </c>
      <c r="B796" s="2" t="s">
        <v>73</v>
      </c>
      <c r="C796" s="8" t="s">
        <v>1295</v>
      </c>
      <c r="D796" s="2">
        <v>1</v>
      </c>
      <c r="E796" s="8" t="s">
        <v>10156</v>
      </c>
      <c r="F796" s="2">
        <v>3</v>
      </c>
      <c r="G796" s="8" t="s">
        <v>10163</v>
      </c>
      <c r="H796" s="8" t="s">
        <v>10163</v>
      </c>
      <c r="I796" s="2">
        <v>396.36</v>
      </c>
      <c r="J796" s="2">
        <v>295.92</v>
      </c>
      <c r="K796" s="2">
        <v>739.8</v>
      </c>
      <c r="L796" s="2">
        <v>512.64</v>
      </c>
      <c r="M796" s="8"/>
      <c r="N796" s="8" t="s">
        <v>10159</v>
      </c>
      <c r="O796" s="8" t="s">
        <v>8381</v>
      </c>
      <c r="P796" s="8" t="str">
        <f>HYPERLINK("https://seichotoushi-hojo.jp/assets/pdf/koufu/outline_88.pdf","PDFを開く")</f>
        <v>PDFを開く</v>
      </c>
      <c r="Q796" s="8" t="s">
        <v>1302</v>
      </c>
    </row>
    <row r="797" spans="1:17" ht="62.1" customHeight="1">
      <c r="A797" s="5" t="s">
        <v>1294</v>
      </c>
      <c r="B797" s="5" t="s">
        <v>73</v>
      </c>
      <c r="C797" s="9" t="s">
        <v>1295</v>
      </c>
      <c r="D797" s="5">
        <v>1</v>
      </c>
      <c r="E797" s="9" t="s">
        <v>10156</v>
      </c>
      <c r="F797" s="5">
        <v>4</v>
      </c>
      <c r="G797" s="9" t="s">
        <v>8581</v>
      </c>
      <c r="H797" s="9" t="s">
        <v>8581</v>
      </c>
      <c r="I797" s="5">
        <v>49.44</v>
      </c>
      <c r="J797" s="5">
        <v>442.68</v>
      </c>
      <c r="K797" s="5">
        <v>369</v>
      </c>
      <c r="L797" s="5">
        <v>508.44</v>
      </c>
      <c r="M797" s="9"/>
      <c r="N797" s="9" t="s">
        <v>10159</v>
      </c>
      <c r="O797" s="9" t="s">
        <v>1299</v>
      </c>
      <c r="P797" s="9" t="str">
        <f>HYPERLINK("https://seichotoushi-hojo.jp/assets/pdf/koufu/outline_88.pdf","PDFを開く")</f>
        <v>PDFを開く</v>
      </c>
      <c r="Q797" s="9" t="s">
        <v>1302</v>
      </c>
    </row>
    <row r="798" spans="1:17" ht="62.1" customHeight="1">
      <c r="A798" s="2" t="s">
        <v>1294</v>
      </c>
      <c r="B798" s="2" t="s">
        <v>73</v>
      </c>
      <c r="C798" s="8" t="s">
        <v>1295</v>
      </c>
      <c r="D798" s="2">
        <v>2</v>
      </c>
      <c r="E798" s="8" t="s">
        <v>10165</v>
      </c>
      <c r="F798" s="2">
        <v>1</v>
      </c>
      <c r="G798" s="8" t="s">
        <v>10167</v>
      </c>
      <c r="H798" s="8" t="s">
        <v>10499</v>
      </c>
      <c r="I798" s="2">
        <v>396.28</v>
      </c>
      <c r="J798" s="2">
        <v>189.71</v>
      </c>
      <c r="K798" s="2">
        <v>766.44</v>
      </c>
      <c r="L798" s="2">
        <v>232.02</v>
      </c>
      <c r="M798" s="8"/>
      <c r="N798" s="8" t="s">
        <v>10159</v>
      </c>
      <c r="O798" s="8" t="s">
        <v>10500</v>
      </c>
      <c r="P798" s="8" t="str">
        <f>HYPERLINK("https://seichotoushi-hojo.jp/assets/pdf/koufu/outline_88.pdf","PDFを開く")</f>
        <v>PDFを開く</v>
      </c>
      <c r="Q798" s="8" t="s">
        <v>1302</v>
      </c>
    </row>
    <row r="799" spans="1:17" ht="62.1" customHeight="1">
      <c r="A799" s="5" t="s">
        <v>1303</v>
      </c>
      <c r="B799" s="5" t="s">
        <v>73</v>
      </c>
      <c r="C799" s="9" t="s">
        <v>1304</v>
      </c>
      <c r="D799" s="5">
        <v>1</v>
      </c>
      <c r="E799" s="9" t="s">
        <v>10156</v>
      </c>
      <c r="F799" s="5">
        <v>1</v>
      </c>
      <c r="G799" s="9" t="s">
        <v>9578</v>
      </c>
      <c r="H799" s="9" t="s">
        <v>9578</v>
      </c>
      <c r="I799" s="5">
        <v>1.92</v>
      </c>
      <c r="J799" s="5">
        <v>95.88</v>
      </c>
      <c r="K799" s="5">
        <v>378.84</v>
      </c>
      <c r="L799" s="5">
        <v>540</v>
      </c>
      <c r="M799" s="9"/>
      <c r="N799" s="9" t="s">
        <v>10159</v>
      </c>
      <c r="O799" s="9" t="s">
        <v>8386</v>
      </c>
      <c r="P799" s="9" t="str">
        <f>HYPERLINK("https://seichotoushi-hojo.jp/assets/pdf/koufu/outline_89.pdf","PDFを開く")</f>
        <v>PDFを開く</v>
      </c>
      <c r="Q799" s="9" t="s">
        <v>1310</v>
      </c>
    </row>
    <row r="800" spans="1:17" ht="62.1" customHeight="1">
      <c r="A800" s="2" t="s">
        <v>1303</v>
      </c>
      <c r="B800" s="2" t="s">
        <v>73</v>
      </c>
      <c r="C800" s="8" t="s">
        <v>1304</v>
      </c>
      <c r="D800" s="2">
        <v>1</v>
      </c>
      <c r="E800" s="8" t="s">
        <v>10156</v>
      </c>
      <c r="F800" s="2">
        <v>2</v>
      </c>
      <c r="G800" s="8" t="s">
        <v>10162</v>
      </c>
      <c r="H800" s="8" t="s">
        <v>10162</v>
      </c>
      <c r="I800" s="2">
        <v>395.52</v>
      </c>
      <c r="J800" s="2">
        <v>95.88</v>
      </c>
      <c r="K800" s="2">
        <v>775.32</v>
      </c>
      <c r="L800" s="2">
        <v>261.95999999999998</v>
      </c>
      <c r="M800" s="8"/>
      <c r="N800" s="8" t="s">
        <v>10159</v>
      </c>
      <c r="O800" s="8" t="s">
        <v>8387</v>
      </c>
      <c r="P800" s="8" t="str">
        <f>HYPERLINK("https://seichotoushi-hojo.jp/assets/pdf/koufu/outline_89.pdf","PDFを開く")</f>
        <v>PDFを開く</v>
      </c>
      <c r="Q800" s="8" t="s">
        <v>1310</v>
      </c>
    </row>
    <row r="801" spans="1:17" ht="62.1" customHeight="1">
      <c r="A801" s="5" t="s">
        <v>1303</v>
      </c>
      <c r="B801" s="5" t="s">
        <v>73</v>
      </c>
      <c r="C801" s="9" t="s">
        <v>1304</v>
      </c>
      <c r="D801" s="5">
        <v>1</v>
      </c>
      <c r="E801" s="9" t="s">
        <v>10156</v>
      </c>
      <c r="F801" s="5">
        <v>3</v>
      </c>
      <c r="G801" s="9" t="s">
        <v>10163</v>
      </c>
      <c r="H801" s="9" t="s">
        <v>10163</v>
      </c>
      <c r="I801" s="5">
        <v>396.96</v>
      </c>
      <c r="J801" s="5">
        <v>261.95999999999998</v>
      </c>
      <c r="K801" s="5">
        <v>775.92</v>
      </c>
      <c r="L801" s="5">
        <v>535.67999999999995</v>
      </c>
      <c r="M801" s="9"/>
      <c r="N801" s="9" t="s">
        <v>10159</v>
      </c>
      <c r="O801" s="9" t="s">
        <v>8388</v>
      </c>
      <c r="P801" s="9" t="str">
        <f>HYPERLINK("https://seichotoushi-hojo.jp/assets/pdf/koufu/outline_89.pdf","PDFを開く")</f>
        <v>PDFを開く</v>
      </c>
      <c r="Q801" s="9" t="s">
        <v>1310</v>
      </c>
    </row>
    <row r="802" spans="1:17" ht="62.1" customHeight="1">
      <c r="A802" s="2" t="s">
        <v>1303</v>
      </c>
      <c r="B802" s="2" t="s">
        <v>73</v>
      </c>
      <c r="C802" s="8" t="s">
        <v>1304</v>
      </c>
      <c r="D802" s="2">
        <v>1</v>
      </c>
      <c r="E802" s="8" t="s">
        <v>10156</v>
      </c>
      <c r="F802" s="2">
        <v>4</v>
      </c>
      <c r="G802" s="8" t="s">
        <v>8581</v>
      </c>
      <c r="H802" s="8" t="s">
        <v>8581</v>
      </c>
      <c r="I802" s="2">
        <v>28.8</v>
      </c>
      <c r="J802" s="2">
        <v>458.88</v>
      </c>
      <c r="K802" s="2">
        <v>370.08</v>
      </c>
      <c r="L802" s="2">
        <v>540</v>
      </c>
      <c r="M802" s="8"/>
      <c r="N802" s="8" t="s">
        <v>10159</v>
      </c>
      <c r="O802" s="8" t="s">
        <v>1307</v>
      </c>
      <c r="P802" s="8" t="str">
        <f>HYPERLINK("https://seichotoushi-hojo.jp/assets/pdf/koufu/outline_89.pdf","PDFを開く")</f>
        <v>PDFを開く</v>
      </c>
      <c r="Q802" s="8" t="s">
        <v>1310</v>
      </c>
    </row>
    <row r="803" spans="1:17" ht="62.1" customHeight="1">
      <c r="A803" s="5" t="s">
        <v>1311</v>
      </c>
      <c r="B803" s="5" t="s">
        <v>73</v>
      </c>
      <c r="C803" s="9" t="s">
        <v>1312</v>
      </c>
      <c r="D803" s="5">
        <v>1</v>
      </c>
      <c r="E803" s="9" t="s">
        <v>10156</v>
      </c>
      <c r="F803" s="5">
        <v>1</v>
      </c>
      <c r="G803" s="9" t="s">
        <v>9578</v>
      </c>
      <c r="H803" s="9" t="s">
        <v>9578</v>
      </c>
      <c r="I803" s="5">
        <v>39.659999999999997</v>
      </c>
      <c r="J803" s="5">
        <v>110.78</v>
      </c>
      <c r="K803" s="5">
        <v>378.79</v>
      </c>
      <c r="L803" s="5">
        <v>510.15</v>
      </c>
      <c r="M803" s="9"/>
      <c r="N803" s="9" t="s">
        <v>10159</v>
      </c>
      <c r="O803" s="9" t="s">
        <v>8393</v>
      </c>
      <c r="P803" s="9" t="str">
        <f>HYPERLINK("https://seichotoushi-hojo.jp/assets/pdf/koufu/outline_9.pdf","PDFを開く")</f>
        <v>PDFを開く</v>
      </c>
      <c r="Q803" s="9" t="s">
        <v>1317</v>
      </c>
    </row>
    <row r="804" spans="1:17" ht="62.1" customHeight="1">
      <c r="A804" s="2" t="s">
        <v>1311</v>
      </c>
      <c r="B804" s="2" t="s">
        <v>73</v>
      </c>
      <c r="C804" s="8" t="s">
        <v>1312</v>
      </c>
      <c r="D804" s="2">
        <v>1</v>
      </c>
      <c r="E804" s="8" t="s">
        <v>10156</v>
      </c>
      <c r="F804" s="2">
        <v>2</v>
      </c>
      <c r="G804" s="8" t="s">
        <v>10162</v>
      </c>
      <c r="H804" s="8" t="s">
        <v>10162</v>
      </c>
      <c r="I804" s="2">
        <v>400.66</v>
      </c>
      <c r="J804" s="2">
        <v>110.78</v>
      </c>
      <c r="K804" s="2">
        <v>739.79</v>
      </c>
      <c r="L804" s="2">
        <v>300.52999999999997</v>
      </c>
      <c r="M804" s="8"/>
      <c r="N804" s="8" t="s">
        <v>10159</v>
      </c>
      <c r="O804" s="8" t="s">
        <v>8394</v>
      </c>
      <c r="P804" s="8" t="str">
        <f>HYPERLINK("https://seichotoushi-hojo.jp/assets/pdf/koufu/outline_9.pdf","PDFを開く")</f>
        <v>PDFを開く</v>
      </c>
      <c r="Q804" s="8" t="s">
        <v>1317</v>
      </c>
    </row>
    <row r="805" spans="1:17" ht="62.1" customHeight="1">
      <c r="A805" s="5" t="s">
        <v>1311</v>
      </c>
      <c r="B805" s="5" t="s">
        <v>73</v>
      </c>
      <c r="C805" s="9" t="s">
        <v>1312</v>
      </c>
      <c r="D805" s="5">
        <v>1</v>
      </c>
      <c r="E805" s="9" t="s">
        <v>10156</v>
      </c>
      <c r="F805" s="5">
        <v>3</v>
      </c>
      <c r="G805" s="9" t="s">
        <v>10163</v>
      </c>
      <c r="H805" s="9" t="s">
        <v>10163</v>
      </c>
      <c r="I805" s="5">
        <v>400.66</v>
      </c>
      <c r="J805" s="5">
        <v>320.39999999999998</v>
      </c>
      <c r="K805" s="5">
        <v>739.79</v>
      </c>
      <c r="L805" s="5">
        <v>510.15</v>
      </c>
      <c r="M805" s="9"/>
      <c r="N805" s="9" t="s">
        <v>10159</v>
      </c>
      <c r="O805" s="9" t="s">
        <v>8395</v>
      </c>
      <c r="P805" s="9" t="str">
        <f>HYPERLINK("https://seichotoushi-hojo.jp/assets/pdf/koufu/outline_9.pdf","PDFを開く")</f>
        <v>PDFを開く</v>
      </c>
      <c r="Q805" s="9" t="s">
        <v>1317</v>
      </c>
    </row>
    <row r="806" spans="1:17" ht="62.1" customHeight="1">
      <c r="A806" s="2" t="s">
        <v>1311</v>
      </c>
      <c r="B806" s="2" t="s">
        <v>73</v>
      </c>
      <c r="C806" s="8" t="s">
        <v>1312</v>
      </c>
      <c r="D806" s="2">
        <v>1</v>
      </c>
      <c r="E806" s="8" t="s">
        <v>10156</v>
      </c>
      <c r="F806" s="2">
        <v>4</v>
      </c>
      <c r="G806" s="8" t="s">
        <v>8581</v>
      </c>
      <c r="H806" s="8" t="s">
        <v>8581</v>
      </c>
      <c r="I806" s="2">
        <v>49.47</v>
      </c>
      <c r="J806" s="2">
        <v>406.74</v>
      </c>
      <c r="K806" s="2">
        <v>368.97</v>
      </c>
      <c r="L806" s="2">
        <v>499.73</v>
      </c>
      <c r="M806" s="8"/>
      <c r="N806" s="8" t="s">
        <v>10159</v>
      </c>
      <c r="O806" s="8" t="s">
        <v>1315</v>
      </c>
      <c r="P806" s="8" t="str">
        <f>HYPERLINK("https://seichotoushi-hojo.jp/assets/pdf/koufu/outline_9.pdf","PDFを開く")</f>
        <v>PDFを開く</v>
      </c>
      <c r="Q806" s="8" t="s">
        <v>1317</v>
      </c>
    </row>
    <row r="807" spans="1:17" ht="62.1" customHeight="1">
      <c r="A807" s="5" t="s">
        <v>1318</v>
      </c>
      <c r="B807" s="5" t="s">
        <v>73</v>
      </c>
      <c r="C807" s="9" t="s">
        <v>1319</v>
      </c>
      <c r="D807" s="5">
        <v>2</v>
      </c>
      <c r="E807" s="9" t="s">
        <v>10165</v>
      </c>
      <c r="F807" s="5">
        <v>1</v>
      </c>
      <c r="G807" s="9" t="s">
        <v>10184</v>
      </c>
      <c r="H807" s="9" t="s">
        <v>10184</v>
      </c>
      <c r="I807" s="5">
        <v>136.13</v>
      </c>
      <c r="J807" s="5">
        <v>214.18</v>
      </c>
      <c r="K807" s="5">
        <v>433.63</v>
      </c>
      <c r="L807" s="5">
        <v>429.38</v>
      </c>
      <c r="M807" s="9"/>
      <c r="N807" s="9" t="s">
        <v>10181</v>
      </c>
      <c r="O807" s="9" t="s">
        <v>10501</v>
      </c>
      <c r="P807" s="9" t="str">
        <f>HYPERLINK("https://seichotoushi-hojo.jp/assets/pdf/koufu/outline_91.pdf","PDFを開く")</f>
        <v>PDFを開く</v>
      </c>
      <c r="Q807" s="9" t="s">
        <v>1327</v>
      </c>
    </row>
    <row r="808" spans="1:17" ht="62.1" customHeight="1">
      <c r="A808" s="2" t="s">
        <v>1328</v>
      </c>
      <c r="B808" s="2" t="s">
        <v>73</v>
      </c>
      <c r="C808" s="8" t="s">
        <v>1329</v>
      </c>
      <c r="D808" s="2">
        <v>1</v>
      </c>
      <c r="E808" s="8" t="s">
        <v>10156</v>
      </c>
      <c r="F808" s="2">
        <v>1</v>
      </c>
      <c r="G808" s="8" t="s">
        <v>10162</v>
      </c>
      <c r="H808" s="8" t="s">
        <v>10162</v>
      </c>
      <c r="I808" s="2">
        <v>396.3</v>
      </c>
      <c r="J808" s="2">
        <v>87.84</v>
      </c>
      <c r="K808" s="2">
        <v>750.86</v>
      </c>
      <c r="L808" s="2">
        <v>303.05</v>
      </c>
      <c r="M808" s="8"/>
      <c r="N808" s="8" t="s">
        <v>10159</v>
      </c>
      <c r="O808" s="8" t="s">
        <v>8403</v>
      </c>
      <c r="P808" s="8" t="str">
        <f t="shared" ref="P808:P814" si="42">HYPERLINK("https://seichotoushi-hojo.jp/assets/pdf/koufu/outline_92.pdf","PDFを開く")</f>
        <v>PDFを開く</v>
      </c>
      <c r="Q808" s="8" t="s">
        <v>1334</v>
      </c>
    </row>
    <row r="809" spans="1:17" ht="62.1" customHeight="1">
      <c r="A809" s="5" t="s">
        <v>1328</v>
      </c>
      <c r="B809" s="5" t="s">
        <v>73</v>
      </c>
      <c r="C809" s="9" t="s">
        <v>1329</v>
      </c>
      <c r="D809" s="5">
        <v>1</v>
      </c>
      <c r="E809" s="9" t="s">
        <v>10156</v>
      </c>
      <c r="F809" s="5">
        <v>2</v>
      </c>
      <c r="G809" s="9" t="s">
        <v>9578</v>
      </c>
      <c r="H809" s="9" t="s">
        <v>9578</v>
      </c>
      <c r="I809" s="5">
        <v>29.14</v>
      </c>
      <c r="J809" s="5">
        <v>99.56</v>
      </c>
      <c r="K809" s="5">
        <v>375.99</v>
      </c>
      <c r="L809" s="5">
        <v>495.41</v>
      </c>
      <c r="M809" s="9"/>
      <c r="N809" s="9" t="s">
        <v>10159</v>
      </c>
      <c r="O809" s="9" t="s">
        <v>8402</v>
      </c>
      <c r="P809" s="9" t="str">
        <f t="shared" si="42"/>
        <v>PDFを開く</v>
      </c>
      <c r="Q809" s="9" t="s">
        <v>1334</v>
      </c>
    </row>
    <row r="810" spans="1:17" ht="62.1" customHeight="1">
      <c r="A810" s="2" t="s">
        <v>1328</v>
      </c>
      <c r="B810" s="2" t="s">
        <v>73</v>
      </c>
      <c r="C810" s="8" t="s">
        <v>1329</v>
      </c>
      <c r="D810" s="2">
        <v>1</v>
      </c>
      <c r="E810" s="8" t="s">
        <v>10156</v>
      </c>
      <c r="F810" s="2">
        <v>3</v>
      </c>
      <c r="G810" s="8" t="s">
        <v>10163</v>
      </c>
      <c r="H810" s="8" t="s">
        <v>10163</v>
      </c>
      <c r="I810" s="2">
        <v>396.86</v>
      </c>
      <c r="J810" s="2">
        <v>310.04000000000002</v>
      </c>
      <c r="K810" s="2">
        <v>750.85</v>
      </c>
      <c r="L810" s="2">
        <v>502.78</v>
      </c>
      <c r="M810" s="8"/>
      <c r="N810" s="8" t="s">
        <v>10159</v>
      </c>
      <c r="O810" s="8" t="s">
        <v>8404</v>
      </c>
      <c r="P810" s="8" t="str">
        <f t="shared" si="42"/>
        <v>PDFを開く</v>
      </c>
      <c r="Q810" s="8" t="s">
        <v>1334</v>
      </c>
    </row>
    <row r="811" spans="1:17" ht="62.1" customHeight="1">
      <c r="A811" s="5" t="s">
        <v>1328</v>
      </c>
      <c r="B811" s="5" t="s">
        <v>73</v>
      </c>
      <c r="C811" s="9" t="s">
        <v>1329</v>
      </c>
      <c r="D811" s="5">
        <v>1</v>
      </c>
      <c r="E811" s="9" t="s">
        <v>10156</v>
      </c>
      <c r="F811" s="5">
        <v>4</v>
      </c>
      <c r="G811" s="9" t="s">
        <v>8581</v>
      </c>
      <c r="H811" s="9" t="s">
        <v>8581</v>
      </c>
      <c r="I811" s="5">
        <v>40.299999999999997</v>
      </c>
      <c r="J811" s="5">
        <v>415.44</v>
      </c>
      <c r="K811" s="5">
        <v>363.63</v>
      </c>
      <c r="L811" s="5">
        <v>479.21</v>
      </c>
      <c r="M811" s="9"/>
      <c r="N811" s="9" t="s">
        <v>10159</v>
      </c>
      <c r="O811" s="9" t="s">
        <v>1332</v>
      </c>
      <c r="P811" s="9" t="str">
        <f t="shared" si="42"/>
        <v>PDFを開く</v>
      </c>
      <c r="Q811" s="9" t="s">
        <v>1334</v>
      </c>
    </row>
    <row r="812" spans="1:17" ht="62.1" customHeight="1">
      <c r="A812" s="2" t="s">
        <v>1328</v>
      </c>
      <c r="B812" s="2" t="s">
        <v>73</v>
      </c>
      <c r="C812" s="8" t="s">
        <v>1329</v>
      </c>
      <c r="D812" s="2">
        <v>2</v>
      </c>
      <c r="E812" s="8" t="s">
        <v>10165</v>
      </c>
      <c r="F812" s="2">
        <v>1</v>
      </c>
      <c r="G812" s="8" t="s">
        <v>10167</v>
      </c>
      <c r="H812" s="8" t="s">
        <v>10502</v>
      </c>
      <c r="I812" s="2">
        <v>220.75</v>
      </c>
      <c r="J812" s="2">
        <v>179.82</v>
      </c>
      <c r="K812" s="2">
        <v>509.93</v>
      </c>
      <c r="L812" s="2">
        <v>219.91</v>
      </c>
      <c r="M812" s="8"/>
      <c r="N812" s="8" t="s">
        <v>10159</v>
      </c>
      <c r="O812" s="8" t="s">
        <v>10503</v>
      </c>
      <c r="P812" s="8" t="str">
        <f t="shared" si="42"/>
        <v>PDFを開く</v>
      </c>
      <c r="Q812" s="8" t="s">
        <v>1334</v>
      </c>
    </row>
    <row r="813" spans="1:17" ht="62.1" customHeight="1">
      <c r="A813" s="5" t="s">
        <v>1328</v>
      </c>
      <c r="B813" s="5" t="s">
        <v>73</v>
      </c>
      <c r="C813" s="9" t="s">
        <v>1329</v>
      </c>
      <c r="D813" s="5">
        <v>2</v>
      </c>
      <c r="E813" s="9" t="s">
        <v>10165</v>
      </c>
      <c r="F813" s="5">
        <v>2</v>
      </c>
      <c r="G813" s="9" t="s">
        <v>10167</v>
      </c>
      <c r="H813" s="9" t="s">
        <v>10504</v>
      </c>
      <c r="I813" s="5">
        <v>220.75</v>
      </c>
      <c r="J813" s="5">
        <v>219.91</v>
      </c>
      <c r="K813" s="5">
        <v>509.93</v>
      </c>
      <c r="L813" s="5">
        <v>278.61</v>
      </c>
      <c r="M813" s="9"/>
      <c r="N813" s="9" t="s">
        <v>10159</v>
      </c>
      <c r="O813" s="9" t="s">
        <v>10505</v>
      </c>
      <c r="P813" s="9" t="str">
        <f t="shared" si="42"/>
        <v>PDFを開く</v>
      </c>
      <c r="Q813" s="9" t="s">
        <v>1334</v>
      </c>
    </row>
    <row r="814" spans="1:17" ht="62.1" customHeight="1">
      <c r="A814" s="2" t="s">
        <v>1328</v>
      </c>
      <c r="B814" s="2" t="s">
        <v>73</v>
      </c>
      <c r="C814" s="8" t="s">
        <v>1329</v>
      </c>
      <c r="D814" s="2">
        <v>2</v>
      </c>
      <c r="E814" s="8" t="s">
        <v>10165</v>
      </c>
      <c r="F814" s="2">
        <v>3</v>
      </c>
      <c r="G814" s="8" t="s">
        <v>10167</v>
      </c>
      <c r="H814" s="8" t="s">
        <v>10506</v>
      </c>
      <c r="I814" s="2">
        <v>220.75</v>
      </c>
      <c r="J814" s="2">
        <v>278.61</v>
      </c>
      <c r="K814" s="2">
        <v>509.93</v>
      </c>
      <c r="L814" s="2">
        <v>386.61</v>
      </c>
      <c r="M814" s="8"/>
      <c r="N814" s="8" t="s">
        <v>10159</v>
      </c>
      <c r="O814" s="8" t="s">
        <v>10507</v>
      </c>
      <c r="P814" s="8" t="str">
        <f t="shared" si="42"/>
        <v>PDFを開く</v>
      </c>
      <c r="Q814" s="8" t="s">
        <v>1334</v>
      </c>
    </row>
    <row r="815" spans="1:17" ht="62.1" customHeight="1">
      <c r="A815" s="5" t="s">
        <v>1335</v>
      </c>
      <c r="B815" s="5" t="s">
        <v>73</v>
      </c>
      <c r="C815" s="9" t="s">
        <v>1336</v>
      </c>
      <c r="D815" s="5">
        <v>1</v>
      </c>
      <c r="E815" s="9" t="s">
        <v>10156</v>
      </c>
      <c r="F815" s="5">
        <v>1</v>
      </c>
      <c r="G815" s="9" t="s">
        <v>9578</v>
      </c>
      <c r="H815" s="9" t="s">
        <v>9578</v>
      </c>
      <c r="I815" s="5">
        <v>39.659999999999997</v>
      </c>
      <c r="J815" s="5">
        <v>120.28</v>
      </c>
      <c r="K815" s="5">
        <v>383.14</v>
      </c>
      <c r="L815" s="5">
        <v>499.73</v>
      </c>
      <c r="M815" s="9"/>
      <c r="N815" s="9" t="s">
        <v>10159</v>
      </c>
      <c r="O815" s="9" t="s">
        <v>8409</v>
      </c>
      <c r="P815" s="9" t="str">
        <f>HYPERLINK("https://seichotoushi-hojo.jp/assets/pdf/koufu/outline_93.pdf","PDFを開く")</f>
        <v>PDFを開く</v>
      </c>
      <c r="Q815" s="9" t="s">
        <v>1342</v>
      </c>
    </row>
    <row r="816" spans="1:17" ht="62.1" customHeight="1">
      <c r="A816" s="2" t="s">
        <v>1335</v>
      </c>
      <c r="B816" s="2" t="s">
        <v>73</v>
      </c>
      <c r="C816" s="8" t="s">
        <v>1336</v>
      </c>
      <c r="D816" s="2">
        <v>1</v>
      </c>
      <c r="E816" s="8" t="s">
        <v>10156</v>
      </c>
      <c r="F816" s="2">
        <v>2</v>
      </c>
      <c r="G816" s="8" t="s">
        <v>10162</v>
      </c>
      <c r="H816" s="8" t="s">
        <v>10162</v>
      </c>
      <c r="I816" s="2">
        <v>396.3</v>
      </c>
      <c r="J816" s="2">
        <v>120.28</v>
      </c>
      <c r="K816" s="2">
        <v>739.78</v>
      </c>
      <c r="L816" s="2">
        <v>303.99</v>
      </c>
      <c r="M816" s="8"/>
      <c r="N816" s="8" t="s">
        <v>10159</v>
      </c>
      <c r="O816" s="8" t="s">
        <v>8410</v>
      </c>
      <c r="P816" s="8" t="str">
        <f>HYPERLINK("https://seichotoushi-hojo.jp/assets/pdf/koufu/outline_93.pdf","PDFを開く")</f>
        <v>PDFを開く</v>
      </c>
      <c r="Q816" s="8" t="s">
        <v>1342</v>
      </c>
    </row>
    <row r="817" spans="1:17" ht="62.1" customHeight="1">
      <c r="A817" s="5" t="s">
        <v>1335</v>
      </c>
      <c r="B817" s="5" t="s">
        <v>73</v>
      </c>
      <c r="C817" s="9" t="s">
        <v>1336</v>
      </c>
      <c r="D817" s="5">
        <v>1</v>
      </c>
      <c r="E817" s="9" t="s">
        <v>10156</v>
      </c>
      <c r="F817" s="5">
        <v>3</v>
      </c>
      <c r="G817" s="9" t="s">
        <v>10163</v>
      </c>
      <c r="H817" s="9" t="s">
        <v>10163</v>
      </c>
      <c r="I817" s="5">
        <v>396.3</v>
      </c>
      <c r="J817" s="5">
        <v>311.01</v>
      </c>
      <c r="K817" s="5">
        <v>739.78</v>
      </c>
      <c r="L817" s="5">
        <v>499.73</v>
      </c>
      <c r="M817" s="9"/>
      <c r="N817" s="9" t="s">
        <v>10159</v>
      </c>
      <c r="O817" s="9" t="s">
        <v>8411</v>
      </c>
      <c r="P817" s="9" t="str">
        <f>HYPERLINK("https://seichotoushi-hojo.jp/assets/pdf/koufu/outline_93.pdf","PDFを開く")</f>
        <v>PDFを開く</v>
      </c>
      <c r="Q817" s="9" t="s">
        <v>1342</v>
      </c>
    </row>
    <row r="818" spans="1:17" ht="62.1" customHeight="1">
      <c r="A818" s="2" t="s">
        <v>1335</v>
      </c>
      <c r="B818" s="2" t="s">
        <v>73</v>
      </c>
      <c r="C818" s="8" t="s">
        <v>1336</v>
      </c>
      <c r="D818" s="2">
        <v>1</v>
      </c>
      <c r="E818" s="8" t="s">
        <v>10156</v>
      </c>
      <c r="F818" s="2">
        <v>4</v>
      </c>
      <c r="G818" s="8" t="s">
        <v>8581</v>
      </c>
      <c r="H818" s="8" t="s">
        <v>8581</v>
      </c>
      <c r="I818" s="2">
        <v>52.7</v>
      </c>
      <c r="J818" s="2">
        <v>379.35</v>
      </c>
      <c r="K818" s="2">
        <v>372.2</v>
      </c>
      <c r="L818" s="2">
        <v>460.1</v>
      </c>
      <c r="M818" s="8"/>
      <c r="N818" s="8" t="s">
        <v>10159</v>
      </c>
      <c r="O818" s="8" t="s">
        <v>1339</v>
      </c>
      <c r="P818" s="8" t="str">
        <f>HYPERLINK("https://seichotoushi-hojo.jp/assets/pdf/koufu/outline_93.pdf","PDFを開く")</f>
        <v>PDFを開く</v>
      </c>
      <c r="Q818" s="8" t="s">
        <v>1342</v>
      </c>
    </row>
    <row r="819" spans="1:17" ht="62.1" customHeight="1">
      <c r="A819" s="5" t="s">
        <v>1343</v>
      </c>
      <c r="B819" s="5" t="s">
        <v>73</v>
      </c>
      <c r="C819" s="9" t="s">
        <v>1344</v>
      </c>
      <c r="D819" s="5">
        <v>1</v>
      </c>
      <c r="E819" s="9" t="s">
        <v>10156</v>
      </c>
      <c r="F819" s="5">
        <v>1</v>
      </c>
      <c r="G819" s="9" t="s">
        <v>10163</v>
      </c>
      <c r="H819" s="9" t="s">
        <v>10163</v>
      </c>
      <c r="I819" s="5">
        <v>283</v>
      </c>
      <c r="J819" s="5">
        <v>70.97</v>
      </c>
      <c r="K819" s="5">
        <v>433.59</v>
      </c>
      <c r="L819" s="5">
        <v>286.27999999999997</v>
      </c>
      <c r="M819" s="9"/>
      <c r="N819" s="9" t="s">
        <v>10181</v>
      </c>
      <c r="O819" s="9" t="s">
        <v>10508</v>
      </c>
      <c r="P819" s="9" t="str">
        <f t="shared" ref="P819:P825" si="43">HYPERLINK("https://seichotoushi-hojo.jp/assets/pdf/koufu/outline_94.pdf","PDFを開く")</f>
        <v>PDFを開く</v>
      </c>
      <c r="Q819" s="9" t="s">
        <v>1349</v>
      </c>
    </row>
    <row r="820" spans="1:17" ht="62.1" customHeight="1">
      <c r="A820" s="2" t="s">
        <v>1343</v>
      </c>
      <c r="B820" s="2" t="s">
        <v>73</v>
      </c>
      <c r="C820" s="8" t="s">
        <v>1344</v>
      </c>
      <c r="D820" s="2">
        <v>1</v>
      </c>
      <c r="E820" s="8" t="s">
        <v>10156</v>
      </c>
      <c r="F820" s="2">
        <v>2</v>
      </c>
      <c r="G820" s="8" t="s">
        <v>10162</v>
      </c>
      <c r="H820" s="8" t="s">
        <v>10162</v>
      </c>
      <c r="I820" s="2">
        <v>400.94</v>
      </c>
      <c r="J820" s="2">
        <v>70.97</v>
      </c>
      <c r="K820" s="2">
        <v>829.29</v>
      </c>
      <c r="L820" s="2">
        <v>124.21</v>
      </c>
      <c r="M820" s="8"/>
      <c r="N820" s="8" t="s">
        <v>10181</v>
      </c>
      <c r="O820" s="8" t="s">
        <v>10509</v>
      </c>
      <c r="P820" s="8" t="str">
        <f t="shared" si="43"/>
        <v>PDFを開く</v>
      </c>
      <c r="Q820" s="8" t="s">
        <v>1349</v>
      </c>
    </row>
    <row r="821" spans="1:17" ht="62.1" customHeight="1">
      <c r="A821" s="5" t="s">
        <v>1343</v>
      </c>
      <c r="B821" s="5" t="s">
        <v>73</v>
      </c>
      <c r="C821" s="9" t="s">
        <v>1344</v>
      </c>
      <c r="D821" s="5">
        <v>1</v>
      </c>
      <c r="E821" s="9" t="s">
        <v>10156</v>
      </c>
      <c r="F821" s="5">
        <v>3</v>
      </c>
      <c r="G821" s="9" t="s">
        <v>9578</v>
      </c>
      <c r="H821" s="9" t="s">
        <v>9578</v>
      </c>
      <c r="I821" s="5">
        <v>28.08</v>
      </c>
      <c r="J821" s="5">
        <v>121.2</v>
      </c>
      <c r="K821" s="5">
        <v>408.84</v>
      </c>
      <c r="L821" s="5">
        <v>568.55999999999995</v>
      </c>
      <c r="M821" s="9"/>
      <c r="N821" s="9" t="s">
        <v>10159</v>
      </c>
      <c r="O821" s="9" t="s">
        <v>8416</v>
      </c>
      <c r="P821" s="9" t="str">
        <f t="shared" si="43"/>
        <v>PDFを開く</v>
      </c>
      <c r="Q821" s="9" t="s">
        <v>1349</v>
      </c>
    </row>
    <row r="822" spans="1:17" ht="62.1" customHeight="1">
      <c r="A822" s="2" t="s">
        <v>1343</v>
      </c>
      <c r="B822" s="2" t="s">
        <v>73</v>
      </c>
      <c r="C822" s="8" t="s">
        <v>1344</v>
      </c>
      <c r="D822" s="2">
        <v>1</v>
      </c>
      <c r="E822" s="8" t="s">
        <v>10156</v>
      </c>
      <c r="F822" s="2">
        <v>4</v>
      </c>
      <c r="G822" s="8" t="s">
        <v>10162</v>
      </c>
      <c r="H822" s="8" t="s">
        <v>10162</v>
      </c>
      <c r="I822" s="2">
        <v>427.8</v>
      </c>
      <c r="J822" s="2">
        <v>121.2</v>
      </c>
      <c r="K822" s="2">
        <v>813.84</v>
      </c>
      <c r="L822" s="2">
        <v>382.92</v>
      </c>
      <c r="M822" s="8"/>
      <c r="N822" s="8" t="s">
        <v>10159</v>
      </c>
      <c r="O822" s="8" t="s">
        <v>10510</v>
      </c>
      <c r="P822" s="8" t="str">
        <f t="shared" si="43"/>
        <v>PDFを開く</v>
      </c>
      <c r="Q822" s="8" t="s">
        <v>1349</v>
      </c>
    </row>
    <row r="823" spans="1:17" ht="62.1" customHeight="1">
      <c r="A823" s="5" t="s">
        <v>1343</v>
      </c>
      <c r="B823" s="5" t="s">
        <v>73</v>
      </c>
      <c r="C823" s="9" t="s">
        <v>1344</v>
      </c>
      <c r="D823" s="5">
        <v>1</v>
      </c>
      <c r="E823" s="9" t="s">
        <v>10156</v>
      </c>
      <c r="F823" s="5">
        <v>5</v>
      </c>
      <c r="G823" s="9" t="s">
        <v>10163</v>
      </c>
      <c r="H823" s="9" t="s">
        <v>10163</v>
      </c>
      <c r="I823" s="5">
        <v>427.8</v>
      </c>
      <c r="J823" s="5">
        <v>390</v>
      </c>
      <c r="K823" s="5">
        <v>813.84</v>
      </c>
      <c r="L823" s="5">
        <v>568.55999999999995</v>
      </c>
      <c r="M823" s="9"/>
      <c r="N823" s="9" t="s">
        <v>10159</v>
      </c>
      <c r="O823" s="9" t="s">
        <v>10511</v>
      </c>
      <c r="P823" s="9" t="str">
        <f t="shared" si="43"/>
        <v>PDFを開く</v>
      </c>
      <c r="Q823" s="9" t="s">
        <v>1349</v>
      </c>
    </row>
    <row r="824" spans="1:17" ht="62.1" customHeight="1">
      <c r="A824" s="2" t="s">
        <v>1343</v>
      </c>
      <c r="B824" s="2" t="s">
        <v>73</v>
      </c>
      <c r="C824" s="8" t="s">
        <v>1344</v>
      </c>
      <c r="D824" s="2">
        <v>1</v>
      </c>
      <c r="E824" s="8" t="s">
        <v>10156</v>
      </c>
      <c r="F824" s="2">
        <v>6</v>
      </c>
      <c r="G824" s="8" t="s">
        <v>8581</v>
      </c>
      <c r="H824" s="8" t="s">
        <v>8581</v>
      </c>
      <c r="I824" s="2">
        <v>38.159999999999997</v>
      </c>
      <c r="J824" s="2">
        <v>501</v>
      </c>
      <c r="K824" s="2">
        <v>396.72</v>
      </c>
      <c r="L824" s="2">
        <v>561.48</v>
      </c>
      <c r="M824" s="8"/>
      <c r="N824" s="8" t="s">
        <v>10159</v>
      </c>
      <c r="O824" s="8" t="s">
        <v>8419</v>
      </c>
      <c r="P824" s="8" t="str">
        <f t="shared" si="43"/>
        <v>PDFを開く</v>
      </c>
      <c r="Q824" s="8" t="s">
        <v>1349</v>
      </c>
    </row>
    <row r="825" spans="1:17" ht="62.1" customHeight="1">
      <c r="A825" s="5" t="s">
        <v>1343</v>
      </c>
      <c r="B825" s="5" t="s">
        <v>73</v>
      </c>
      <c r="C825" s="9" t="s">
        <v>1344</v>
      </c>
      <c r="D825" s="5">
        <v>2</v>
      </c>
      <c r="E825" s="9" t="s">
        <v>10165</v>
      </c>
      <c r="F825" s="5">
        <v>1</v>
      </c>
      <c r="G825" s="9" t="s">
        <v>10167</v>
      </c>
      <c r="H825" s="9" t="s">
        <v>5265</v>
      </c>
      <c r="I825" s="5">
        <v>136.91999999999999</v>
      </c>
      <c r="J825" s="5">
        <v>436.68</v>
      </c>
      <c r="K825" s="5">
        <v>566.76</v>
      </c>
      <c r="L825" s="5">
        <v>467.16</v>
      </c>
      <c r="M825" s="9"/>
      <c r="N825" s="9" t="s">
        <v>10159</v>
      </c>
      <c r="O825" s="9" t="s">
        <v>10187</v>
      </c>
      <c r="P825" s="9" t="str">
        <f t="shared" si="43"/>
        <v>PDFを開く</v>
      </c>
      <c r="Q825" s="9" t="s">
        <v>1349</v>
      </c>
    </row>
    <row r="826" spans="1:17" ht="62.1" customHeight="1">
      <c r="A826" s="2" t="s">
        <v>1350</v>
      </c>
      <c r="B826" s="2" t="s">
        <v>73</v>
      </c>
      <c r="C826" s="8" t="s">
        <v>1351</v>
      </c>
      <c r="D826" s="2">
        <v>1</v>
      </c>
      <c r="E826" s="8" t="s">
        <v>10156</v>
      </c>
      <c r="F826" s="2">
        <v>1</v>
      </c>
      <c r="G826" s="8" t="s">
        <v>9578</v>
      </c>
      <c r="H826" s="8" t="s">
        <v>9578</v>
      </c>
      <c r="I826" s="2">
        <v>47.04</v>
      </c>
      <c r="J826" s="2">
        <v>105.36</v>
      </c>
      <c r="K826" s="2">
        <v>336.48</v>
      </c>
      <c r="L826" s="2">
        <v>485.04</v>
      </c>
      <c r="M826" s="8"/>
      <c r="N826" s="8" t="s">
        <v>10159</v>
      </c>
      <c r="O826" s="8" t="s">
        <v>10512</v>
      </c>
      <c r="P826" s="8" t="str">
        <f>HYPERLINK("https://seichotoushi-hojo.jp/assets/pdf/koufu/outline_95.pdf","PDFを開く")</f>
        <v>PDFを開く</v>
      </c>
      <c r="Q826" s="8" t="s">
        <v>1357</v>
      </c>
    </row>
    <row r="827" spans="1:17" ht="62.1" customHeight="1">
      <c r="A827" s="5" t="s">
        <v>1350</v>
      </c>
      <c r="B827" s="5" t="s">
        <v>73</v>
      </c>
      <c r="C827" s="9" t="s">
        <v>1351</v>
      </c>
      <c r="D827" s="5">
        <v>1</v>
      </c>
      <c r="E827" s="9" t="s">
        <v>10156</v>
      </c>
      <c r="F827" s="5">
        <v>2</v>
      </c>
      <c r="G827" s="9" t="s">
        <v>10162</v>
      </c>
      <c r="H827" s="9" t="s">
        <v>10162</v>
      </c>
      <c r="I827" s="5">
        <v>356.52</v>
      </c>
      <c r="J827" s="5">
        <v>105.48</v>
      </c>
      <c r="K827" s="5">
        <v>732.6</v>
      </c>
      <c r="L827" s="5">
        <v>338.28</v>
      </c>
      <c r="M827" s="9"/>
      <c r="N827" s="9" t="s">
        <v>10159</v>
      </c>
      <c r="O827" s="9" t="s">
        <v>8425</v>
      </c>
      <c r="P827" s="9" t="str">
        <f>HYPERLINK("https://seichotoushi-hojo.jp/assets/pdf/koufu/outline_95.pdf","PDFを開く")</f>
        <v>PDFを開く</v>
      </c>
      <c r="Q827" s="9" t="s">
        <v>1357</v>
      </c>
    </row>
    <row r="828" spans="1:17" ht="62.1" customHeight="1">
      <c r="A828" s="2" t="s">
        <v>1350</v>
      </c>
      <c r="B828" s="2" t="s">
        <v>73</v>
      </c>
      <c r="C828" s="8" t="s">
        <v>1351</v>
      </c>
      <c r="D828" s="2">
        <v>1</v>
      </c>
      <c r="E828" s="8" t="s">
        <v>10156</v>
      </c>
      <c r="F828" s="2">
        <v>3</v>
      </c>
      <c r="G828" s="8" t="s">
        <v>10163</v>
      </c>
      <c r="H828" s="8" t="s">
        <v>10163</v>
      </c>
      <c r="I828" s="2">
        <v>356.52</v>
      </c>
      <c r="J828" s="2">
        <v>345</v>
      </c>
      <c r="K828" s="2">
        <v>732.6</v>
      </c>
      <c r="L828" s="2">
        <v>484.44</v>
      </c>
      <c r="M828" s="8"/>
      <c r="N828" s="8" t="s">
        <v>10159</v>
      </c>
      <c r="O828" s="8" t="s">
        <v>8426</v>
      </c>
      <c r="P828" s="8" t="str">
        <f>HYPERLINK("https://seichotoushi-hojo.jp/assets/pdf/koufu/outline_95.pdf","PDFを開く")</f>
        <v>PDFを開く</v>
      </c>
      <c r="Q828" s="8" t="s">
        <v>1357</v>
      </c>
    </row>
    <row r="829" spans="1:17" ht="62.1" customHeight="1">
      <c r="A829" s="5" t="s">
        <v>1350</v>
      </c>
      <c r="B829" s="5" t="s">
        <v>73</v>
      </c>
      <c r="C829" s="9" t="s">
        <v>1351</v>
      </c>
      <c r="D829" s="5">
        <v>1</v>
      </c>
      <c r="E829" s="9" t="s">
        <v>10156</v>
      </c>
      <c r="F829" s="5">
        <v>4</v>
      </c>
      <c r="G829" s="9" t="s">
        <v>8581</v>
      </c>
      <c r="H829" s="9" t="s">
        <v>8581</v>
      </c>
      <c r="I829" s="5">
        <v>54</v>
      </c>
      <c r="J829" s="5">
        <v>376.32</v>
      </c>
      <c r="K829" s="5">
        <v>326.88</v>
      </c>
      <c r="L829" s="5">
        <v>461.28</v>
      </c>
      <c r="M829" s="9"/>
      <c r="N829" s="9" t="s">
        <v>10159</v>
      </c>
      <c r="O829" s="9" t="s">
        <v>1354</v>
      </c>
      <c r="P829" s="9" t="str">
        <f>HYPERLINK("https://seichotoushi-hojo.jp/assets/pdf/koufu/outline_95.pdf","PDFを開く")</f>
        <v>PDFを開く</v>
      </c>
      <c r="Q829" s="9" t="s">
        <v>1357</v>
      </c>
    </row>
    <row r="830" spans="1:17" ht="62.1" customHeight="1">
      <c r="A830" s="2" t="s">
        <v>1350</v>
      </c>
      <c r="B830" s="2" t="s">
        <v>73</v>
      </c>
      <c r="C830" s="8" t="s">
        <v>1351</v>
      </c>
      <c r="D830" s="2">
        <v>1</v>
      </c>
      <c r="E830" s="8" t="s">
        <v>10156</v>
      </c>
      <c r="F830" s="2">
        <v>5</v>
      </c>
      <c r="G830" s="8" t="s">
        <v>9578</v>
      </c>
      <c r="H830" s="8" t="s">
        <v>9578</v>
      </c>
      <c r="I830" s="2">
        <v>56.14</v>
      </c>
      <c r="J830" s="2">
        <v>501.72</v>
      </c>
      <c r="K830" s="2">
        <v>401.7</v>
      </c>
      <c r="L830" s="2">
        <v>535.84</v>
      </c>
      <c r="M830" s="8"/>
      <c r="N830" s="8" t="s">
        <v>10181</v>
      </c>
      <c r="O830" s="8" t="s">
        <v>10513</v>
      </c>
      <c r="P830" s="8" t="str">
        <f>HYPERLINK("https://seichotoushi-hojo.jp/assets/pdf/koufu/outline_95.pdf","PDFを開く")</f>
        <v>PDFを開く</v>
      </c>
      <c r="Q830" s="8" t="s">
        <v>1357</v>
      </c>
    </row>
    <row r="831" spans="1:17" ht="62.1" customHeight="1">
      <c r="A831" s="5" t="s">
        <v>1358</v>
      </c>
      <c r="B831" s="5" t="s">
        <v>73</v>
      </c>
      <c r="C831" s="9" t="s">
        <v>1359</v>
      </c>
      <c r="D831" s="5">
        <v>1</v>
      </c>
      <c r="E831" s="9" t="s">
        <v>10156</v>
      </c>
      <c r="F831" s="5">
        <v>1</v>
      </c>
      <c r="G831" s="9" t="s">
        <v>9578</v>
      </c>
      <c r="H831" s="9" t="s">
        <v>9578</v>
      </c>
      <c r="I831" s="5">
        <v>42.95</v>
      </c>
      <c r="J831" s="5">
        <v>115.92</v>
      </c>
      <c r="K831" s="5">
        <v>408.95</v>
      </c>
      <c r="L831" s="5">
        <v>574.44000000000005</v>
      </c>
      <c r="M831" s="9"/>
      <c r="N831" s="9" t="s">
        <v>10159</v>
      </c>
      <c r="O831" s="9" t="s">
        <v>8431</v>
      </c>
      <c r="P831" s="9" t="str">
        <f>HYPERLINK("https://seichotoushi-hojo.jp/assets/pdf/koufu/outline_96.pdf","PDFを開く")</f>
        <v>PDFを開く</v>
      </c>
      <c r="Q831" s="9" t="s">
        <v>1366</v>
      </c>
    </row>
    <row r="832" spans="1:17" ht="62.1" customHeight="1">
      <c r="A832" s="2" t="s">
        <v>1358</v>
      </c>
      <c r="B832" s="2" t="s">
        <v>73</v>
      </c>
      <c r="C832" s="8" t="s">
        <v>1359</v>
      </c>
      <c r="D832" s="2">
        <v>1</v>
      </c>
      <c r="E832" s="8" t="s">
        <v>10156</v>
      </c>
      <c r="F832" s="2">
        <v>2</v>
      </c>
      <c r="G832" s="8" t="s">
        <v>10162</v>
      </c>
      <c r="H832" s="8" t="s">
        <v>10162</v>
      </c>
      <c r="I832" s="2">
        <v>427.85</v>
      </c>
      <c r="J832" s="2">
        <v>161.69999999999999</v>
      </c>
      <c r="K832" s="2">
        <v>798.59</v>
      </c>
      <c r="L832" s="2">
        <v>367.56</v>
      </c>
      <c r="M832" s="8"/>
      <c r="N832" s="8" t="s">
        <v>10159</v>
      </c>
      <c r="O832" s="8" t="s">
        <v>8432</v>
      </c>
      <c r="P832" s="8" t="str">
        <f>HYPERLINK("https://seichotoushi-hojo.jp/assets/pdf/koufu/outline_96.pdf","PDFを開く")</f>
        <v>PDFを開く</v>
      </c>
      <c r="Q832" s="8" t="s">
        <v>1366</v>
      </c>
    </row>
    <row r="833" spans="1:17" ht="62.1" customHeight="1">
      <c r="A833" s="5" t="s">
        <v>1358</v>
      </c>
      <c r="B833" s="5" t="s">
        <v>73</v>
      </c>
      <c r="C833" s="9" t="s">
        <v>1359</v>
      </c>
      <c r="D833" s="5">
        <v>1</v>
      </c>
      <c r="E833" s="9" t="s">
        <v>10156</v>
      </c>
      <c r="F833" s="5">
        <v>3</v>
      </c>
      <c r="G833" s="9" t="s">
        <v>10163</v>
      </c>
      <c r="H833" s="9" t="s">
        <v>10163</v>
      </c>
      <c r="I833" s="5">
        <v>427.85</v>
      </c>
      <c r="J833" s="5">
        <v>393.42</v>
      </c>
      <c r="K833" s="5">
        <v>798.59</v>
      </c>
      <c r="L833" s="5">
        <v>547.79999999999995</v>
      </c>
      <c r="M833" s="9"/>
      <c r="N833" s="9" t="s">
        <v>10159</v>
      </c>
      <c r="O833" s="9" t="s">
        <v>8433</v>
      </c>
      <c r="P833" s="9" t="str">
        <f>HYPERLINK("https://seichotoushi-hojo.jp/assets/pdf/koufu/outline_96.pdf","PDFを開く")</f>
        <v>PDFを開く</v>
      </c>
      <c r="Q833" s="9" t="s">
        <v>1366</v>
      </c>
    </row>
    <row r="834" spans="1:17" ht="62.1" customHeight="1">
      <c r="A834" s="2" t="s">
        <v>1358</v>
      </c>
      <c r="B834" s="2" t="s">
        <v>73</v>
      </c>
      <c r="C834" s="8" t="s">
        <v>1359</v>
      </c>
      <c r="D834" s="2">
        <v>1</v>
      </c>
      <c r="E834" s="8" t="s">
        <v>10156</v>
      </c>
      <c r="F834" s="2">
        <v>4</v>
      </c>
      <c r="G834" s="8" t="s">
        <v>8581</v>
      </c>
      <c r="H834" s="8" t="s">
        <v>8581</v>
      </c>
      <c r="I834" s="2">
        <v>54.95</v>
      </c>
      <c r="J834" s="2">
        <v>495.24</v>
      </c>
      <c r="K834" s="2">
        <v>401.93</v>
      </c>
      <c r="L834" s="2">
        <v>559.14</v>
      </c>
      <c r="M834" s="8"/>
      <c r="N834" s="8" t="s">
        <v>10159</v>
      </c>
      <c r="O834" s="8" t="s">
        <v>1363</v>
      </c>
      <c r="P834" s="8" t="str">
        <f>HYPERLINK("https://seichotoushi-hojo.jp/assets/pdf/koufu/outline_96.pdf","PDFを開く")</f>
        <v>PDFを開く</v>
      </c>
      <c r="Q834" s="8" t="s">
        <v>1366</v>
      </c>
    </row>
    <row r="835" spans="1:17" ht="62.1" customHeight="1">
      <c r="A835" s="5" t="s">
        <v>1367</v>
      </c>
      <c r="B835" s="5" t="s">
        <v>73</v>
      </c>
      <c r="C835" s="9" t="s">
        <v>1368</v>
      </c>
      <c r="D835" s="5">
        <v>2</v>
      </c>
      <c r="E835" s="9" t="s">
        <v>10156</v>
      </c>
      <c r="F835" s="5">
        <v>1</v>
      </c>
      <c r="G835" s="9" t="s">
        <v>10162</v>
      </c>
      <c r="H835" s="9" t="s">
        <v>10162</v>
      </c>
      <c r="I835" s="5">
        <v>89.3</v>
      </c>
      <c r="J835" s="5">
        <v>37.130000000000003</v>
      </c>
      <c r="K835" s="5">
        <v>401.7</v>
      </c>
      <c r="L835" s="5">
        <v>232.53</v>
      </c>
      <c r="M835" s="9"/>
      <c r="N835" s="9" t="s">
        <v>10181</v>
      </c>
      <c r="O835" s="9" t="s">
        <v>8438</v>
      </c>
      <c r="P835" s="9" t="str">
        <f>HYPERLINK("https://seichotoushi-hojo.jp/assets/pdf/koufu/outline_97.pdf","PDFを開く")</f>
        <v>PDFを開く</v>
      </c>
      <c r="Q835" s="9" t="s">
        <v>1376</v>
      </c>
    </row>
    <row r="836" spans="1:17" ht="62.1" customHeight="1">
      <c r="A836" s="2" t="s">
        <v>1367</v>
      </c>
      <c r="B836" s="2" t="s">
        <v>73</v>
      </c>
      <c r="C836" s="8" t="s">
        <v>1368</v>
      </c>
      <c r="D836" s="2">
        <v>3</v>
      </c>
      <c r="E836" s="8" t="s">
        <v>10156</v>
      </c>
      <c r="F836" s="2">
        <v>1</v>
      </c>
      <c r="G836" s="8" t="s">
        <v>10163</v>
      </c>
      <c r="H836" s="8" t="s">
        <v>10163</v>
      </c>
      <c r="I836" s="2">
        <v>89.3</v>
      </c>
      <c r="J836" s="2">
        <v>37.130000000000003</v>
      </c>
      <c r="K836" s="2">
        <v>401.7</v>
      </c>
      <c r="L836" s="2">
        <v>232.53</v>
      </c>
      <c r="M836" s="8"/>
      <c r="N836" s="8" t="s">
        <v>10181</v>
      </c>
      <c r="O836" s="8" t="s">
        <v>8439</v>
      </c>
      <c r="P836" s="8" t="str">
        <f>HYPERLINK("https://seichotoushi-hojo.jp/assets/pdf/koufu/outline_97.pdf","PDFを開く")</f>
        <v>PDFを開く</v>
      </c>
      <c r="Q836" s="8" t="s">
        <v>1376</v>
      </c>
    </row>
    <row r="837" spans="1:17" ht="62.1" customHeight="1">
      <c r="A837" s="5" t="s">
        <v>1367</v>
      </c>
      <c r="B837" s="5" t="s">
        <v>73</v>
      </c>
      <c r="C837" s="9" t="s">
        <v>1368</v>
      </c>
      <c r="D837" s="5">
        <v>4</v>
      </c>
      <c r="E837" s="9" t="s">
        <v>10156</v>
      </c>
      <c r="F837" s="5">
        <v>1</v>
      </c>
      <c r="G837" s="9" t="s">
        <v>10167</v>
      </c>
      <c r="H837" s="9" t="s">
        <v>10514</v>
      </c>
      <c r="I837" s="5">
        <v>179.16</v>
      </c>
      <c r="J837" s="5">
        <v>339.24</v>
      </c>
      <c r="K837" s="5">
        <v>579.24</v>
      </c>
      <c r="L837" s="5">
        <v>367.08</v>
      </c>
      <c r="M837" s="9"/>
      <c r="N837" s="9" t="s">
        <v>10159</v>
      </c>
      <c r="O837" s="9" t="s">
        <v>10515</v>
      </c>
      <c r="P837" s="9" t="str">
        <f>HYPERLINK("https://seichotoushi-hojo.jp/assets/pdf/koufu/outline_97.pdf","PDFを開く")</f>
        <v>PDFを開く</v>
      </c>
      <c r="Q837" s="9" t="s">
        <v>1376</v>
      </c>
    </row>
    <row r="838" spans="1:17" ht="62.1" customHeight="1">
      <c r="A838" s="2" t="s">
        <v>1367</v>
      </c>
      <c r="B838" s="2" t="s">
        <v>73</v>
      </c>
      <c r="C838" s="8" t="s">
        <v>1368</v>
      </c>
      <c r="D838" s="2">
        <v>5</v>
      </c>
      <c r="E838" s="8" t="s">
        <v>10165</v>
      </c>
      <c r="F838" s="2">
        <v>1</v>
      </c>
      <c r="G838" s="8" t="s">
        <v>10167</v>
      </c>
      <c r="H838" s="8" t="s">
        <v>10516</v>
      </c>
      <c r="I838" s="2">
        <v>485.04</v>
      </c>
      <c r="J838" s="2">
        <v>180.96</v>
      </c>
      <c r="K838" s="2">
        <v>753.24</v>
      </c>
      <c r="L838" s="2">
        <v>214.08</v>
      </c>
      <c r="M838" s="8"/>
      <c r="N838" s="8" t="s">
        <v>10159</v>
      </c>
      <c r="O838" s="8" t="s">
        <v>10516</v>
      </c>
      <c r="P838" s="8" t="str">
        <f>HYPERLINK("https://seichotoushi-hojo.jp/assets/pdf/koufu/outline_97.pdf","PDFを開く")</f>
        <v>PDFを開く</v>
      </c>
      <c r="Q838" s="8" t="s">
        <v>1376</v>
      </c>
    </row>
    <row r="839" spans="1:17" ht="62.1" customHeight="1">
      <c r="A839" s="5" t="s">
        <v>1377</v>
      </c>
      <c r="B839" s="5" t="s">
        <v>73</v>
      </c>
      <c r="C839" s="9" t="s">
        <v>1378</v>
      </c>
      <c r="D839" s="5">
        <v>1</v>
      </c>
      <c r="E839" s="9" t="s">
        <v>10156</v>
      </c>
      <c r="F839" s="5">
        <v>1</v>
      </c>
      <c r="G839" s="9" t="s">
        <v>9578</v>
      </c>
      <c r="H839" s="9" t="s">
        <v>9578</v>
      </c>
      <c r="I839" s="5">
        <v>17.28</v>
      </c>
      <c r="J839" s="5">
        <v>105.96</v>
      </c>
      <c r="K839" s="5">
        <v>378.84</v>
      </c>
      <c r="L839" s="5">
        <v>526.79999999999995</v>
      </c>
      <c r="M839" s="9"/>
      <c r="N839" s="9" t="s">
        <v>10159</v>
      </c>
      <c r="O839" s="9" t="s">
        <v>8444</v>
      </c>
      <c r="P839" s="9" t="str">
        <f>HYPERLINK("https://seichotoushi-hojo.jp/assets/pdf/koufu/outline_99.pdf","PDFを開く")</f>
        <v>PDFを開く</v>
      </c>
      <c r="Q839" s="9" t="s">
        <v>1384</v>
      </c>
    </row>
    <row r="840" spans="1:17" ht="62.1" customHeight="1">
      <c r="A840" s="2" t="s">
        <v>1377</v>
      </c>
      <c r="B840" s="2" t="s">
        <v>73</v>
      </c>
      <c r="C840" s="8" t="s">
        <v>1378</v>
      </c>
      <c r="D840" s="2">
        <v>1</v>
      </c>
      <c r="E840" s="8" t="s">
        <v>10156</v>
      </c>
      <c r="F840" s="2">
        <v>2</v>
      </c>
      <c r="G840" s="8" t="s">
        <v>10162</v>
      </c>
      <c r="H840" s="8" t="s">
        <v>10162</v>
      </c>
      <c r="I840" s="2">
        <v>396.36</v>
      </c>
      <c r="J840" s="2">
        <v>170.16</v>
      </c>
      <c r="K840" s="2">
        <v>739.8</v>
      </c>
      <c r="L840" s="2">
        <v>328.44</v>
      </c>
      <c r="M840" s="8"/>
      <c r="N840" s="8" t="s">
        <v>10159</v>
      </c>
      <c r="O840" s="8" t="s">
        <v>8445</v>
      </c>
      <c r="P840" s="8" t="str">
        <f>HYPERLINK("https://seichotoushi-hojo.jp/assets/pdf/koufu/outline_99.pdf","PDFを開く")</f>
        <v>PDFを開く</v>
      </c>
      <c r="Q840" s="8" t="s">
        <v>1384</v>
      </c>
    </row>
    <row r="841" spans="1:17" ht="62.1" customHeight="1">
      <c r="A841" s="5" t="s">
        <v>1377</v>
      </c>
      <c r="B841" s="5" t="s">
        <v>73</v>
      </c>
      <c r="C841" s="9" t="s">
        <v>1378</v>
      </c>
      <c r="D841" s="5">
        <v>1</v>
      </c>
      <c r="E841" s="9" t="s">
        <v>10156</v>
      </c>
      <c r="F841" s="5">
        <v>3</v>
      </c>
      <c r="G841" s="9" t="s">
        <v>10163</v>
      </c>
      <c r="H841" s="9" t="s">
        <v>10163</v>
      </c>
      <c r="I841" s="5">
        <v>396.36</v>
      </c>
      <c r="J841" s="5">
        <v>341.4</v>
      </c>
      <c r="K841" s="5">
        <v>739.8</v>
      </c>
      <c r="L841" s="5">
        <v>499.68</v>
      </c>
      <c r="M841" s="9"/>
      <c r="N841" s="9" t="s">
        <v>10159</v>
      </c>
      <c r="O841" s="9" t="s">
        <v>8446</v>
      </c>
      <c r="P841" s="9" t="str">
        <f>HYPERLINK("https://seichotoushi-hojo.jp/assets/pdf/koufu/outline_99.pdf","PDFを開く")</f>
        <v>PDFを開く</v>
      </c>
      <c r="Q841" s="9" t="s">
        <v>1384</v>
      </c>
    </row>
    <row r="842" spans="1:17" ht="62.1" customHeight="1">
      <c r="A842" s="2" t="s">
        <v>1377</v>
      </c>
      <c r="B842" s="2" t="s">
        <v>73</v>
      </c>
      <c r="C842" s="8" t="s">
        <v>1378</v>
      </c>
      <c r="D842" s="2">
        <v>1</v>
      </c>
      <c r="E842" s="8" t="s">
        <v>10156</v>
      </c>
      <c r="F842" s="2">
        <v>4</v>
      </c>
      <c r="G842" s="8" t="s">
        <v>8581</v>
      </c>
      <c r="H842" s="8" t="s">
        <v>8581</v>
      </c>
      <c r="I842" s="2">
        <v>22.8</v>
      </c>
      <c r="J842" s="2">
        <v>442.92</v>
      </c>
      <c r="K842" s="2">
        <v>366.36</v>
      </c>
      <c r="L842" s="2">
        <v>502.92</v>
      </c>
      <c r="M842" s="8"/>
      <c r="N842" s="8" t="s">
        <v>10159</v>
      </c>
      <c r="O842" s="8" t="s">
        <v>1382</v>
      </c>
      <c r="P842" s="8" t="str">
        <f>HYPERLINK("https://seichotoushi-hojo.jp/assets/pdf/koufu/outline_99.pdf","PDFを開く")</f>
        <v>PDFを開く</v>
      </c>
      <c r="Q842" s="8" t="s">
        <v>1384</v>
      </c>
    </row>
    <row r="843" spans="1:17" ht="62.1" customHeight="1">
      <c r="A843" s="5" t="s">
        <v>1377</v>
      </c>
      <c r="B843" s="5" t="s">
        <v>73</v>
      </c>
      <c r="C843" s="9" t="s">
        <v>1378</v>
      </c>
      <c r="D843" s="5">
        <v>2</v>
      </c>
      <c r="E843" s="9" t="s">
        <v>10165</v>
      </c>
      <c r="F843" s="5">
        <v>1</v>
      </c>
      <c r="G843" s="9" t="s">
        <v>10167</v>
      </c>
      <c r="H843" s="9" t="s">
        <v>10517</v>
      </c>
      <c r="I843" s="5">
        <v>311.16000000000003</v>
      </c>
      <c r="J843" s="5">
        <v>284.16000000000003</v>
      </c>
      <c r="K843" s="5">
        <v>540.36</v>
      </c>
      <c r="L843" s="5">
        <v>384.36</v>
      </c>
      <c r="M843" s="9"/>
      <c r="N843" s="9" t="s">
        <v>10159</v>
      </c>
      <c r="O843" s="9" t="s">
        <v>10518</v>
      </c>
      <c r="P843" s="9" t="str">
        <f>HYPERLINK("https://seichotoushi-hojo.jp/assets/pdf/koufu/outline_99.pdf","PDFを開く")</f>
        <v>PDFを開く</v>
      </c>
      <c r="Q843" s="9" t="s">
        <v>1384</v>
      </c>
    </row>
    <row r="844" spans="1:17" ht="62.1" customHeight="1">
      <c r="A844" s="2" t="s">
        <v>1385</v>
      </c>
      <c r="B844" s="2" t="s">
        <v>1386</v>
      </c>
      <c r="C844" s="8" t="s">
        <v>1387</v>
      </c>
      <c r="D844" s="2">
        <v>1</v>
      </c>
      <c r="E844" s="8" t="s">
        <v>10156</v>
      </c>
      <c r="F844" s="2">
        <v>1</v>
      </c>
      <c r="G844" s="8" t="s">
        <v>9578</v>
      </c>
      <c r="H844" s="8" t="s">
        <v>9578</v>
      </c>
      <c r="I844" s="2">
        <v>39.659999999999997</v>
      </c>
      <c r="J844" s="2">
        <v>110.04</v>
      </c>
      <c r="K844" s="2">
        <v>378.79</v>
      </c>
      <c r="L844" s="2">
        <v>520.9</v>
      </c>
      <c r="M844" s="8"/>
      <c r="N844" s="8" t="s">
        <v>10159</v>
      </c>
      <c r="O844" s="8" t="s">
        <v>8451</v>
      </c>
      <c r="P844" s="8" t="str">
        <f>HYPERLINK("https://seichotoushi-hojo.jp/assets/pdf/koufu/outline__179.pdf","PDFを開く")</f>
        <v>PDFを開く</v>
      </c>
      <c r="Q844" s="8" t="s">
        <v>1394</v>
      </c>
    </row>
    <row r="845" spans="1:17" ht="62.1" customHeight="1">
      <c r="A845" s="5" t="s">
        <v>1385</v>
      </c>
      <c r="B845" s="5" t="s">
        <v>1386</v>
      </c>
      <c r="C845" s="9" t="s">
        <v>1387</v>
      </c>
      <c r="D845" s="5">
        <v>1</v>
      </c>
      <c r="E845" s="9" t="s">
        <v>10156</v>
      </c>
      <c r="F845" s="5">
        <v>2</v>
      </c>
      <c r="G845" s="9" t="s">
        <v>10162</v>
      </c>
      <c r="H845" s="9" t="s">
        <v>10162</v>
      </c>
      <c r="I845" s="5">
        <v>396.3</v>
      </c>
      <c r="J845" s="5">
        <v>111.73</v>
      </c>
      <c r="K845" s="5">
        <v>739.78</v>
      </c>
      <c r="L845" s="5">
        <v>328.45</v>
      </c>
      <c r="M845" s="9"/>
      <c r="N845" s="9" t="s">
        <v>10159</v>
      </c>
      <c r="O845" s="9" t="s">
        <v>8452</v>
      </c>
      <c r="P845" s="9" t="str">
        <f>HYPERLINK("https://seichotoushi-hojo.jp/assets/pdf/koufu/outline__179.pdf","PDFを開く")</f>
        <v>PDFを開く</v>
      </c>
      <c r="Q845" s="9" t="s">
        <v>1394</v>
      </c>
    </row>
    <row r="846" spans="1:17" ht="62.1" customHeight="1">
      <c r="A846" s="2" t="s">
        <v>1385</v>
      </c>
      <c r="B846" s="2" t="s">
        <v>1386</v>
      </c>
      <c r="C846" s="8" t="s">
        <v>1387</v>
      </c>
      <c r="D846" s="2">
        <v>1</v>
      </c>
      <c r="E846" s="8" t="s">
        <v>10156</v>
      </c>
      <c r="F846" s="2">
        <v>3</v>
      </c>
      <c r="G846" s="8" t="s">
        <v>10163</v>
      </c>
      <c r="H846" s="8" t="s">
        <v>10163</v>
      </c>
      <c r="I846" s="2">
        <v>396.3</v>
      </c>
      <c r="J846" s="2">
        <v>339.89</v>
      </c>
      <c r="K846" s="2">
        <v>739.78</v>
      </c>
      <c r="L846" s="2">
        <v>520.9</v>
      </c>
      <c r="M846" s="8"/>
      <c r="N846" s="8" t="s">
        <v>10159</v>
      </c>
      <c r="O846" s="8" t="s">
        <v>8453</v>
      </c>
      <c r="P846" s="8" t="str">
        <f>HYPERLINK("https://seichotoushi-hojo.jp/assets/pdf/koufu/outline__179.pdf","PDFを開く")</f>
        <v>PDFを開く</v>
      </c>
      <c r="Q846" s="8" t="s">
        <v>1394</v>
      </c>
    </row>
    <row r="847" spans="1:17" ht="62.1" customHeight="1">
      <c r="A847" s="5" t="s">
        <v>1395</v>
      </c>
      <c r="B847" s="5" t="s">
        <v>1386</v>
      </c>
      <c r="C847" s="9" t="s">
        <v>1396</v>
      </c>
      <c r="D847" s="5">
        <v>1</v>
      </c>
      <c r="E847" s="9" t="s">
        <v>10156</v>
      </c>
      <c r="F847" s="5">
        <v>1</v>
      </c>
      <c r="G847" s="9" t="s">
        <v>9578</v>
      </c>
      <c r="H847" s="9" t="s">
        <v>9578</v>
      </c>
      <c r="I847" s="5">
        <v>36.409999999999997</v>
      </c>
      <c r="J847" s="5">
        <v>125.6</v>
      </c>
      <c r="K847" s="5">
        <v>405.73</v>
      </c>
      <c r="L847" s="5">
        <v>568.9</v>
      </c>
      <c r="M847" s="9"/>
      <c r="N847" s="9" t="s">
        <v>10159</v>
      </c>
      <c r="O847" s="9" t="s">
        <v>8457</v>
      </c>
      <c r="P847" s="9" t="str">
        <f t="shared" ref="P847:P852" si="44">HYPERLINK("https://seichotoushi-hojo.jp/assets/pdf/koufu/outline__181.pdf","PDFを開く")</f>
        <v>PDFを開く</v>
      </c>
      <c r="Q847" s="9" t="s">
        <v>1404</v>
      </c>
    </row>
    <row r="848" spans="1:17" ht="62.1" customHeight="1">
      <c r="A848" s="2" t="s">
        <v>1395</v>
      </c>
      <c r="B848" s="2" t="s">
        <v>1386</v>
      </c>
      <c r="C848" s="8" t="s">
        <v>1396</v>
      </c>
      <c r="D848" s="2">
        <v>1</v>
      </c>
      <c r="E848" s="8" t="s">
        <v>10156</v>
      </c>
      <c r="F848" s="2">
        <v>2</v>
      </c>
      <c r="G848" s="8" t="s">
        <v>10162</v>
      </c>
      <c r="H848" s="8" t="s">
        <v>10162</v>
      </c>
      <c r="I848" s="2">
        <v>435.27</v>
      </c>
      <c r="J848" s="2">
        <v>125.6</v>
      </c>
      <c r="K848" s="2">
        <v>804.6</v>
      </c>
      <c r="L848" s="2">
        <v>353.16</v>
      </c>
      <c r="M848" s="8"/>
      <c r="N848" s="8" t="s">
        <v>10159</v>
      </c>
      <c r="O848" s="8" t="s">
        <v>8458</v>
      </c>
      <c r="P848" s="8" t="str">
        <f t="shared" si="44"/>
        <v>PDFを開く</v>
      </c>
      <c r="Q848" s="8" t="s">
        <v>1404</v>
      </c>
    </row>
    <row r="849" spans="1:17" ht="62.1" customHeight="1">
      <c r="A849" s="5" t="s">
        <v>1395</v>
      </c>
      <c r="B849" s="5" t="s">
        <v>1386</v>
      </c>
      <c r="C849" s="9" t="s">
        <v>1396</v>
      </c>
      <c r="D849" s="5">
        <v>1</v>
      </c>
      <c r="E849" s="9" t="s">
        <v>10156</v>
      </c>
      <c r="F849" s="5">
        <v>3</v>
      </c>
      <c r="G849" s="9" t="s">
        <v>10163</v>
      </c>
      <c r="H849" s="9" t="s">
        <v>10163</v>
      </c>
      <c r="I849" s="5">
        <v>435.27</v>
      </c>
      <c r="J849" s="5">
        <v>356.12</v>
      </c>
      <c r="K849" s="5">
        <v>804.6</v>
      </c>
      <c r="L849" s="5">
        <v>568.9</v>
      </c>
      <c r="M849" s="9"/>
      <c r="N849" s="9" t="s">
        <v>10159</v>
      </c>
      <c r="O849" s="9" t="s">
        <v>8459</v>
      </c>
      <c r="P849" s="9" t="str">
        <f t="shared" si="44"/>
        <v>PDFを開く</v>
      </c>
      <c r="Q849" s="9" t="s">
        <v>1404</v>
      </c>
    </row>
    <row r="850" spans="1:17" ht="62.1" customHeight="1">
      <c r="A850" s="2" t="s">
        <v>1395</v>
      </c>
      <c r="B850" s="2" t="s">
        <v>1386</v>
      </c>
      <c r="C850" s="8" t="s">
        <v>1396</v>
      </c>
      <c r="D850" s="2">
        <v>3</v>
      </c>
      <c r="E850" s="8" t="s">
        <v>10156</v>
      </c>
      <c r="F850" s="2">
        <v>1</v>
      </c>
      <c r="G850" s="8" t="s">
        <v>10167</v>
      </c>
      <c r="H850" s="8" t="s">
        <v>10519</v>
      </c>
      <c r="I850" s="2">
        <v>36.409999999999997</v>
      </c>
      <c r="J850" s="2">
        <v>125.6</v>
      </c>
      <c r="K850" s="2">
        <v>804.59</v>
      </c>
      <c r="L850" s="2">
        <v>568.9</v>
      </c>
      <c r="M850" s="8"/>
      <c r="N850" s="8" t="s">
        <v>10159</v>
      </c>
      <c r="O850" s="8" t="s">
        <v>10520</v>
      </c>
      <c r="P850" s="8" t="str">
        <f t="shared" si="44"/>
        <v>PDFを開く</v>
      </c>
      <c r="Q850" s="8" t="s">
        <v>1404</v>
      </c>
    </row>
    <row r="851" spans="1:17" ht="62.1" customHeight="1">
      <c r="A851" s="5" t="s">
        <v>1395</v>
      </c>
      <c r="B851" s="5" t="s">
        <v>1386</v>
      </c>
      <c r="C851" s="9" t="s">
        <v>1396</v>
      </c>
      <c r="D851" s="5">
        <v>4</v>
      </c>
      <c r="E851" s="9" t="s">
        <v>10156</v>
      </c>
      <c r="F851" s="5">
        <v>1</v>
      </c>
      <c r="G851" s="9" t="s">
        <v>10167</v>
      </c>
      <c r="H851" s="9" t="s">
        <v>10521</v>
      </c>
      <c r="I851" s="5">
        <v>36.409999999999997</v>
      </c>
      <c r="J851" s="5">
        <v>125.6</v>
      </c>
      <c r="K851" s="5">
        <v>804.59</v>
      </c>
      <c r="L851" s="5">
        <v>568.9</v>
      </c>
      <c r="M851" s="9"/>
      <c r="N851" s="9" t="s">
        <v>10159</v>
      </c>
      <c r="O851" s="9" t="s">
        <v>10522</v>
      </c>
      <c r="P851" s="9" t="str">
        <f t="shared" si="44"/>
        <v>PDFを開く</v>
      </c>
      <c r="Q851" s="9" t="s">
        <v>1404</v>
      </c>
    </row>
    <row r="852" spans="1:17" ht="62.1" customHeight="1">
      <c r="A852" s="2" t="s">
        <v>1395</v>
      </c>
      <c r="B852" s="2" t="s">
        <v>1386</v>
      </c>
      <c r="C852" s="8" t="s">
        <v>1396</v>
      </c>
      <c r="D852" s="2">
        <v>5</v>
      </c>
      <c r="E852" s="8" t="s">
        <v>10156</v>
      </c>
      <c r="F852" s="2">
        <v>1</v>
      </c>
      <c r="G852" s="8" t="s">
        <v>10167</v>
      </c>
      <c r="H852" s="8" t="s">
        <v>10523</v>
      </c>
      <c r="I852" s="2">
        <v>36.409999999999997</v>
      </c>
      <c r="J852" s="2">
        <v>125.6</v>
      </c>
      <c r="K852" s="2">
        <v>804.59</v>
      </c>
      <c r="L852" s="2">
        <v>568.9</v>
      </c>
      <c r="M852" s="8"/>
      <c r="N852" s="8" t="s">
        <v>10159</v>
      </c>
      <c r="O852" s="8" t="s">
        <v>10524</v>
      </c>
      <c r="P852" s="8" t="str">
        <f t="shared" si="44"/>
        <v>PDFを開く</v>
      </c>
      <c r="Q852" s="8" t="s">
        <v>1404</v>
      </c>
    </row>
    <row r="853" spans="1:17" ht="62.1" customHeight="1">
      <c r="A853" s="5" t="s">
        <v>1405</v>
      </c>
      <c r="B853" s="5" t="s">
        <v>1386</v>
      </c>
      <c r="C853" s="9" t="s">
        <v>1406</v>
      </c>
      <c r="D853" s="5">
        <v>1</v>
      </c>
      <c r="E853" s="9" t="s">
        <v>10156</v>
      </c>
      <c r="F853" s="5">
        <v>1</v>
      </c>
      <c r="G853" s="9" t="s">
        <v>9578</v>
      </c>
      <c r="H853" s="9" t="s">
        <v>9578</v>
      </c>
      <c r="I853" s="5">
        <v>39.659999999999997</v>
      </c>
      <c r="J853" s="5">
        <v>114.12</v>
      </c>
      <c r="K853" s="5">
        <v>378.79</v>
      </c>
      <c r="L853" s="5">
        <v>510.8</v>
      </c>
      <c r="M853" s="9"/>
      <c r="N853" s="9" t="s">
        <v>10159</v>
      </c>
      <c r="O853" s="9" t="s">
        <v>8464</v>
      </c>
      <c r="P853" s="9" t="str">
        <f>HYPERLINK("https://seichotoushi-hojo.jp/assets/pdf/koufu/outline__182.pdf","PDFを開く")</f>
        <v>PDFを開く</v>
      </c>
      <c r="Q853" s="9" t="s">
        <v>1413</v>
      </c>
    </row>
    <row r="854" spans="1:17" ht="62.1" customHeight="1">
      <c r="A854" s="2" t="s">
        <v>1405</v>
      </c>
      <c r="B854" s="2" t="s">
        <v>1386</v>
      </c>
      <c r="C854" s="8" t="s">
        <v>1406</v>
      </c>
      <c r="D854" s="2">
        <v>1</v>
      </c>
      <c r="E854" s="8" t="s">
        <v>10156</v>
      </c>
      <c r="F854" s="2">
        <v>2</v>
      </c>
      <c r="G854" s="8" t="s">
        <v>10162</v>
      </c>
      <c r="H854" s="8" t="s">
        <v>10162</v>
      </c>
      <c r="I854" s="2">
        <v>396.3</v>
      </c>
      <c r="J854" s="2">
        <v>116.85</v>
      </c>
      <c r="K854" s="2">
        <v>739.78</v>
      </c>
      <c r="L854" s="2">
        <v>292.60000000000002</v>
      </c>
      <c r="M854" s="8"/>
      <c r="N854" s="8" t="s">
        <v>10159</v>
      </c>
      <c r="O854" s="8" t="s">
        <v>8465</v>
      </c>
      <c r="P854" s="8" t="str">
        <f>HYPERLINK("https://seichotoushi-hojo.jp/assets/pdf/koufu/outline__182.pdf","PDFを開く")</f>
        <v>PDFを開く</v>
      </c>
      <c r="Q854" s="8" t="s">
        <v>1413</v>
      </c>
    </row>
    <row r="855" spans="1:17" ht="62.1" customHeight="1">
      <c r="A855" s="5" t="s">
        <v>1405</v>
      </c>
      <c r="B855" s="5" t="s">
        <v>1386</v>
      </c>
      <c r="C855" s="9" t="s">
        <v>1406</v>
      </c>
      <c r="D855" s="5">
        <v>1</v>
      </c>
      <c r="E855" s="9" t="s">
        <v>10156</v>
      </c>
      <c r="F855" s="5">
        <v>3</v>
      </c>
      <c r="G855" s="9" t="s">
        <v>10163</v>
      </c>
      <c r="H855" s="9" t="s">
        <v>10163</v>
      </c>
      <c r="I855" s="5">
        <v>396.3</v>
      </c>
      <c r="J855" s="5">
        <v>307.43</v>
      </c>
      <c r="K855" s="5">
        <v>739.78</v>
      </c>
      <c r="L855" s="5">
        <v>510.8</v>
      </c>
      <c r="M855" s="9"/>
      <c r="N855" s="9" t="s">
        <v>10159</v>
      </c>
      <c r="O855" s="9" t="s">
        <v>8466</v>
      </c>
      <c r="P855" s="9" t="str">
        <f>HYPERLINK("https://seichotoushi-hojo.jp/assets/pdf/koufu/outline__182.pdf","PDFを開く")</f>
        <v>PDFを開く</v>
      </c>
      <c r="Q855" s="9" t="s">
        <v>1413</v>
      </c>
    </row>
    <row r="856" spans="1:17" ht="62.1" customHeight="1">
      <c r="A856" s="2" t="s">
        <v>1405</v>
      </c>
      <c r="B856" s="2" t="s">
        <v>1386</v>
      </c>
      <c r="C856" s="8" t="s">
        <v>1406</v>
      </c>
      <c r="D856" s="2">
        <v>1</v>
      </c>
      <c r="E856" s="8" t="s">
        <v>10156</v>
      </c>
      <c r="F856" s="2">
        <v>4</v>
      </c>
      <c r="G856" s="8" t="s">
        <v>8581</v>
      </c>
      <c r="H856" s="8" t="s">
        <v>8581</v>
      </c>
      <c r="I856" s="2">
        <v>48</v>
      </c>
      <c r="J856" s="2">
        <v>386.34</v>
      </c>
      <c r="K856" s="2">
        <v>367.5</v>
      </c>
      <c r="L856" s="2">
        <v>499.73</v>
      </c>
      <c r="M856" s="8"/>
      <c r="N856" s="8" t="s">
        <v>10159</v>
      </c>
      <c r="O856" s="8" t="s">
        <v>1410</v>
      </c>
      <c r="P856" s="8" t="str">
        <f>HYPERLINK("https://seichotoushi-hojo.jp/assets/pdf/koufu/outline__182.pdf","PDFを開く")</f>
        <v>PDFを開く</v>
      </c>
      <c r="Q856" s="8" t="s">
        <v>1413</v>
      </c>
    </row>
    <row r="857" spans="1:17" ht="62.1" customHeight="1">
      <c r="A857" s="5" t="s">
        <v>1414</v>
      </c>
      <c r="B857" s="5" t="s">
        <v>1386</v>
      </c>
      <c r="C857" s="9" t="s">
        <v>1415</v>
      </c>
      <c r="D857" s="5">
        <v>1</v>
      </c>
      <c r="E857" s="9" t="s">
        <v>10156</v>
      </c>
      <c r="F857" s="5">
        <v>1</v>
      </c>
      <c r="G857" s="9" t="s">
        <v>9578</v>
      </c>
      <c r="H857" s="9" t="s">
        <v>9578</v>
      </c>
      <c r="I857" s="5">
        <v>42.84</v>
      </c>
      <c r="J857" s="5">
        <v>116.16</v>
      </c>
      <c r="K857" s="5">
        <v>408.84</v>
      </c>
      <c r="L857" s="5">
        <v>568.55999999999995</v>
      </c>
      <c r="M857" s="9"/>
      <c r="N857" s="9" t="s">
        <v>10159</v>
      </c>
      <c r="O857" s="9" t="s">
        <v>8471</v>
      </c>
      <c r="P857" s="9" t="str">
        <f t="shared" ref="P857:P862" si="45">HYPERLINK("https://seichotoushi-hojo.jp/assets/pdf/koufu/outline__183.pdf","PDFを開く")</f>
        <v>PDFを開く</v>
      </c>
      <c r="Q857" s="9" t="s">
        <v>1421</v>
      </c>
    </row>
    <row r="858" spans="1:17" ht="62.1" customHeight="1">
      <c r="A858" s="2" t="s">
        <v>1414</v>
      </c>
      <c r="B858" s="2" t="s">
        <v>1386</v>
      </c>
      <c r="C858" s="8" t="s">
        <v>1415</v>
      </c>
      <c r="D858" s="2">
        <v>1</v>
      </c>
      <c r="E858" s="8" t="s">
        <v>10156</v>
      </c>
      <c r="F858" s="2">
        <v>2</v>
      </c>
      <c r="G858" s="8" t="s">
        <v>10162</v>
      </c>
      <c r="H858" s="8" t="s">
        <v>10162</v>
      </c>
      <c r="I858" s="2">
        <v>427.8</v>
      </c>
      <c r="J858" s="2">
        <v>119.16</v>
      </c>
      <c r="K858" s="2">
        <v>798.48</v>
      </c>
      <c r="L858" s="2">
        <v>348.72</v>
      </c>
      <c r="M858" s="8"/>
      <c r="N858" s="8" t="s">
        <v>10159</v>
      </c>
      <c r="O858" s="8" t="s">
        <v>8472</v>
      </c>
      <c r="P858" s="8" t="str">
        <f t="shared" si="45"/>
        <v>PDFを開く</v>
      </c>
      <c r="Q858" s="8" t="s">
        <v>1421</v>
      </c>
    </row>
    <row r="859" spans="1:17" ht="62.1" customHeight="1">
      <c r="A859" s="5" t="s">
        <v>1414</v>
      </c>
      <c r="B859" s="5" t="s">
        <v>1386</v>
      </c>
      <c r="C859" s="9" t="s">
        <v>1415</v>
      </c>
      <c r="D859" s="5">
        <v>1</v>
      </c>
      <c r="E859" s="9" t="s">
        <v>10156</v>
      </c>
      <c r="F859" s="5">
        <v>3</v>
      </c>
      <c r="G859" s="9" t="s">
        <v>10163</v>
      </c>
      <c r="H859" s="9" t="s">
        <v>10163</v>
      </c>
      <c r="I859" s="5">
        <v>427.8</v>
      </c>
      <c r="J859" s="5">
        <v>359.04</v>
      </c>
      <c r="K859" s="5">
        <v>798.48</v>
      </c>
      <c r="L859" s="5">
        <v>565.91999999999996</v>
      </c>
      <c r="M859" s="9"/>
      <c r="N859" s="9" t="s">
        <v>10159</v>
      </c>
      <c r="O859" s="9" t="s">
        <v>8473</v>
      </c>
      <c r="P859" s="9" t="str">
        <f t="shared" si="45"/>
        <v>PDFを開く</v>
      </c>
      <c r="Q859" s="9" t="s">
        <v>1421</v>
      </c>
    </row>
    <row r="860" spans="1:17" ht="62.1" customHeight="1">
      <c r="A860" s="2" t="s">
        <v>1414</v>
      </c>
      <c r="B860" s="2" t="s">
        <v>1386</v>
      </c>
      <c r="C860" s="8" t="s">
        <v>1415</v>
      </c>
      <c r="D860" s="2">
        <v>1</v>
      </c>
      <c r="E860" s="8" t="s">
        <v>10156</v>
      </c>
      <c r="F860" s="2">
        <v>4</v>
      </c>
      <c r="G860" s="8" t="s">
        <v>8581</v>
      </c>
      <c r="H860" s="8" t="s">
        <v>8581</v>
      </c>
      <c r="I860" s="2">
        <v>48.12</v>
      </c>
      <c r="J860" s="2">
        <v>446.16</v>
      </c>
      <c r="K860" s="2">
        <v>404.28</v>
      </c>
      <c r="L860" s="2">
        <v>561.84</v>
      </c>
      <c r="M860" s="8"/>
      <c r="N860" s="8" t="s">
        <v>10159</v>
      </c>
      <c r="O860" s="8" t="s">
        <v>1419</v>
      </c>
      <c r="P860" s="8" t="str">
        <f t="shared" si="45"/>
        <v>PDFを開く</v>
      </c>
      <c r="Q860" s="8" t="s">
        <v>1421</v>
      </c>
    </row>
    <row r="861" spans="1:17" ht="62.1" customHeight="1">
      <c r="A861" s="5" t="s">
        <v>1414</v>
      </c>
      <c r="B861" s="5" t="s">
        <v>1386</v>
      </c>
      <c r="C861" s="9" t="s">
        <v>1415</v>
      </c>
      <c r="D861" s="5">
        <v>2</v>
      </c>
      <c r="E861" s="9" t="s">
        <v>10165</v>
      </c>
      <c r="F861" s="5">
        <v>1</v>
      </c>
      <c r="G861" s="9" t="s">
        <v>10184</v>
      </c>
      <c r="H861" s="9" t="s">
        <v>10184</v>
      </c>
      <c r="I861" s="5">
        <v>127.32</v>
      </c>
      <c r="J861" s="5">
        <v>203.16</v>
      </c>
      <c r="K861" s="5">
        <v>374.76</v>
      </c>
      <c r="L861" s="5">
        <v>232.44</v>
      </c>
      <c r="M861" s="9"/>
      <c r="N861" s="9" t="s">
        <v>10159</v>
      </c>
      <c r="O861" s="9" t="s">
        <v>10525</v>
      </c>
      <c r="P861" s="9" t="str">
        <f t="shared" si="45"/>
        <v>PDFを開く</v>
      </c>
      <c r="Q861" s="9" t="s">
        <v>1421</v>
      </c>
    </row>
    <row r="862" spans="1:17" ht="62.1" customHeight="1">
      <c r="A862" s="2" t="s">
        <v>1414</v>
      </c>
      <c r="B862" s="2" t="s">
        <v>1386</v>
      </c>
      <c r="C862" s="8" t="s">
        <v>1415</v>
      </c>
      <c r="D862" s="2">
        <v>2</v>
      </c>
      <c r="E862" s="8" t="s">
        <v>10165</v>
      </c>
      <c r="F862" s="2">
        <v>2</v>
      </c>
      <c r="G862" s="8" t="s">
        <v>10167</v>
      </c>
      <c r="H862" s="8" t="s">
        <v>10526</v>
      </c>
      <c r="I862" s="2">
        <v>135.24</v>
      </c>
      <c r="J862" s="2">
        <v>417.96</v>
      </c>
      <c r="K862" s="2">
        <v>565.08000000000004</v>
      </c>
      <c r="L862" s="2">
        <v>448.44</v>
      </c>
      <c r="M862" s="8"/>
      <c r="N862" s="8" t="s">
        <v>10159</v>
      </c>
      <c r="O862" s="8" t="s">
        <v>10526</v>
      </c>
      <c r="P862" s="8" t="str">
        <f t="shared" si="45"/>
        <v>PDFを開く</v>
      </c>
      <c r="Q862" s="8" t="s">
        <v>1421</v>
      </c>
    </row>
    <row r="863" spans="1:17" ht="62.1" customHeight="1">
      <c r="A863" s="5" t="s">
        <v>1422</v>
      </c>
      <c r="B863" s="5" t="s">
        <v>1386</v>
      </c>
      <c r="C863" s="9" t="s">
        <v>1423</v>
      </c>
      <c r="D863" s="5">
        <v>1</v>
      </c>
      <c r="E863" s="9" t="s">
        <v>10156</v>
      </c>
      <c r="F863" s="5">
        <v>1</v>
      </c>
      <c r="G863" s="9" t="s">
        <v>9578</v>
      </c>
      <c r="H863" s="9" t="s">
        <v>9578</v>
      </c>
      <c r="I863" s="5">
        <v>39.659999999999997</v>
      </c>
      <c r="J863" s="5">
        <v>112.73</v>
      </c>
      <c r="K863" s="5">
        <v>378.79</v>
      </c>
      <c r="L863" s="5">
        <v>470.25</v>
      </c>
      <c r="M863" s="9"/>
      <c r="N863" s="9" t="s">
        <v>10159</v>
      </c>
      <c r="O863" s="9" t="s">
        <v>8478</v>
      </c>
      <c r="P863" s="9" t="str">
        <f>HYPERLINK("https://seichotoushi-hojo.jp/assets/pdf/koufu/outline__184.pdf","PDFを開く")</f>
        <v>PDFを開く</v>
      </c>
      <c r="Q863" s="9" t="s">
        <v>1430</v>
      </c>
    </row>
    <row r="864" spans="1:17" ht="62.1" customHeight="1">
      <c r="A864" s="2" t="s">
        <v>1422</v>
      </c>
      <c r="B864" s="2" t="s">
        <v>1386</v>
      </c>
      <c r="C864" s="8" t="s">
        <v>1423</v>
      </c>
      <c r="D864" s="2">
        <v>1</v>
      </c>
      <c r="E864" s="8" t="s">
        <v>10156</v>
      </c>
      <c r="F864" s="2">
        <v>2</v>
      </c>
      <c r="G864" s="8" t="s">
        <v>10162</v>
      </c>
      <c r="H864" s="8" t="s">
        <v>10162</v>
      </c>
      <c r="I864" s="2">
        <v>396.3</v>
      </c>
      <c r="J864" s="2">
        <v>113.22</v>
      </c>
      <c r="K864" s="2">
        <v>739.78</v>
      </c>
      <c r="L864" s="2">
        <v>300</v>
      </c>
      <c r="M864" s="8"/>
      <c r="N864" s="8" t="s">
        <v>10159</v>
      </c>
      <c r="O864" s="8" t="s">
        <v>8479</v>
      </c>
      <c r="P864" s="8" t="str">
        <f>HYPERLINK("https://seichotoushi-hojo.jp/assets/pdf/koufu/outline__184.pdf","PDFを開く")</f>
        <v>PDFを開く</v>
      </c>
      <c r="Q864" s="8" t="s">
        <v>1430</v>
      </c>
    </row>
    <row r="865" spans="1:17" ht="62.1" customHeight="1">
      <c r="A865" s="5" t="s">
        <v>1422</v>
      </c>
      <c r="B865" s="5" t="s">
        <v>1386</v>
      </c>
      <c r="C865" s="9" t="s">
        <v>1423</v>
      </c>
      <c r="D865" s="5">
        <v>1</v>
      </c>
      <c r="E865" s="9" t="s">
        <v>10156</v>
      </c>
      <c r="F865" s="5">
        <v>3</v>
      </c>
      <c r="G865" s="9" t="s">
        <v>10163</v>
      </c>
      <c r="H865" s="9" t="s">
        <v>10163</v>
      </c>
      <c r="I865" s="5">
        <v>396.3</v>
      </c>
      <c r="J865" s="5">
        <v>305.25</v>
      </c>
      <c r="K865" s="5">
        <v>739.78</v>
      </c>
      <c r="L865" s="5">
        <v>470.25</v>
      </c>
      <c r="M865" s="9"/>
      <c r="N865" s="9" t="s">
        <v>10159</v>
      </c>
      <c r="O865" s="9" t="s">
        <v>8480</v>
      </c>
      <c r="P865" s="9" t="str">
        <f>HYPERLINK("https://seichotoushi-hojo.jp/assets/pdf/koufu/outline__184.pdf","PDFを開く")</f>
        <v>PDFを開く</v>
      </c>
      <c r="Q865" s="9" t="s">
        <v>1430</v>
      </c>
    </row>
    <row r="866" spans="1:17" ht="62.1" customHeight="1">
      <c r="A866" s="2" t="s">
        <v>1422</v>
      </c>
      <c r="B866" s="2" t="s">
        <v>1386</v>
      </c>
      <c r="C866" s="8" t="s">
        <v>1423</v>
      </c>
      <c r="D866" s="2">
        <v>1</v>
      </c>
      <c r="E866" s="8" t="s">
        <v>10156</v>
      </c>
      <c r="F866" s="2">
        <v>4</v>
      </c>
      <c r="G866" s="8" t="s">
        <v>8581</v>
      </c>
      <c r="H866" s="8" t="s">
        <v>8581</v>
      </c>
      <c r="I866" s="2">
        <v>48</v>
      </c>
      <c r="J866" s="2">
        <v>352.24</v>
      </c>
      <c r="K866" s="2">
        <v>367.5</v>
      </c>
      <c r="L866" s="2">
        <v>446.05</v>
      </c>
      <c r="M866" s="8"/>
      <c r="N866" s="8" t="s">
        <v>10159</v>
      </c>
      <c r="O866" s="8" t="s">
        <v>1427</v>
      </c>
      <c r="P866" s="8" t="str">
        <f>HYPERLINK("https://seichotoushi-hojo.jp/assets/pdf/koufu/outline__184.pdf","PDFを開く")</f>
        <v>PDFを開く</v>
      </c>
      <c r="Q866" s="8" t="s">
        <v>1430</v>
      </c>
    </row>
    <row r="867" spans="1:17" ht="62.1" customHeight="1">
      <c r="A867" s="5" t="s">
        <v>1422</v>
      </c>
      <c r="B867" s="5" t="s">
        <v>1386</v>
      </c>
      <c r="C867" s="9" t="s">
        <v>1423</v>
      </c>
      <c r="D867" s="5">
        <v>3</v>
      </c>
      <c r="E867" s="9" t="s">
        <v>10165</v>
      </c>
      <c r="F867" s="5">
        <v>1</v>
      </c>
      <c r="G867" s="9" t="s">
        <v>10167</v>
      </c>
      <c r="H867" s="9" t="s">
        <v>10527</v>
      </c>
      <c r="I867" s="5">
        <v>418.11</v>
      </c>
      <c r="J867" s="5">
        <v>128.1</v>
      </c>
      <c r="K867" s="5">
        <v>746.44</v>
      </c>
      <c r="L867" s="5">
        <v>494.25</v>
      </c>
      <c r="M867" s="9"/>
      <c r="N867" s="9" t="s">
        <v>10159</v>
      </c>
      <c r="O867" s="9" t="s">
        <v>10528</v>
      </c>
      <c r="P867" s="9" t="str">
        <f>HYPERLINK("https://seichotoushi-hojo.jp/assets/pdf/koufu/outline__184.pdf","PDFを開く")</f>
        <v>PDFを開く</v>
      </c>
      <c r="Q867" s="9" t="s">
        <v>1430</v>
      </c>
    </row>
    <row r="868" spans="1:17" ht="62.1" customHeight="1">
      <c r="A868" s="2" t="s">
        <v>1431</v>
      </c>
      <c r="B868" s="2" t="s">
        <v>1386</v>
      </c>
      <c r="C868" s="8" t="s">
        <v>1432</v>
      </c>
      <c r="D868" s="2">
        <v>1</v>
      </c>
      <c r="E868" s="8" t="s">
        <v>10156</v>
      </c>
      <c r="F868" s="2">
        <v>1</v>
      </c>
      <c r="G868" s="8" t="s">
        <v>9578</v>
      </c>
      <c r="H868" s="8" t="s">
        <v>9578</v>
      </c>
      <c r="I868" s="2">
        <v>24.66</v>
      </c>
      <c r="J868" s="2">
        <v>110.86</v>
      </c>
      <c r="K868" s="2">
        <v>372.5</v>
      </c>
      <c r="L868" s="2">
        <v>529</v>
      </c>
      <c r="M868" s="8"/>
      <c r="N868" s="8" t="s">
        <v>10159</v>
      </c>
      <c r="O868" s="8" t="s">
        <v>8485</v>
      </c>
      <c r="P868" s="8" t="str">
        <f>HYPERLINK("https://seichotoushi-hojo.jp/assets/pdf/koufu/outline__188.pdf","PDFを開く")</f>
        <v>PDFを開く</v>
      </c>
      <c r="Q868" s="8" t="s">
        <v>1439</v>
      </c>
    </row>
    <row r="869" spans="1:17" ht="62.1" customHeight="1">
      <c r="A869" s="5" t="s">
        <v>1431</v>
      </c>
      <c r="B869" s="5" t="s">
        <v>1386</v>
      </c>
      <c r="C869" s="9" t="s">
        <v>1432</v>
      </c>
      <c r="D869" s="5">
        <v>1</v>
      </c>
      <c r="E869" s="9" t="s">
        <v>10156</v>
      </c>
      <c r="F869" s="5">
        <v>2</v>
      </c>
      <c r="G869" s="9" t="s">
        <v>10162</v>
      </c>
      <c r="H869" s="9" t="s">
        <v>10162</v>
      </c>
      <c r="I869" s="5">
        <v>391.91</v>
      </c>
      <c r="J869" s="5">
        <v>117.08</v>
      </c>
      <c r="K869" s="5">
        <v>737.89</v>
      </c>
      <c r="L869" s="5">
        <v>286.41000000000003</v>
      </c>
      <c r="M869" s="9"/>
      <c r="N869" s="9" t="s">
        <v>10159</v>
      </c>
      <c r="O869" s="9" t="s">
        <v>8486</v>
      </c>
      <c r="P869" s="9" t="str">
        <f>HYPERLINK("https://seichotoushi-hojo.jp/assets/pdf/koufu/outline__188.pdf","PDFを開く")</f>
        <v>PDFを開く</v>
      </c>
      <c r="Q869" s="9" t="s">
        <v>1439</v>
      </c>
    </row>
    <row r="870" spans="1:17" ht="62.1" customHeight="1">
      <c r="A870" s="2" t="s">
        <v>1431</v>
      </c>
      <c r="B870" s="2" t="s">
        <v>1386</v>
      </c>
      <c r="C870" s="8" t="s">
        <v>1432</v>
      </c>
      <c r="D870" s="2">
        <v>1</v>
      </c>
      <c r="E870" s="8" t="s">
        <v>10156</v>
      </c>
      <c r="F870" s="2">
        <v>3</v>
      </c>
      <c r="G870" s="8" t="s">
        <v>10163</v>
      </c>
      <c r="H870" s="8" t="s">
        <v>10163</v>
      </c>
      <c r="I870" s="2">
        <v>391.91</v>
      </c>
      <c r="J870" s="2">
        <v>298.05</v>
      </c>
      <c r="K870" s="2">
        <v>737.58</v>
      </c>
      <c r="L870" s="2">
        <v>524.79999999999995</v>
      </c>
      <c r="M870" s="8"/>
      <c r="N870" s="8" t="s">
        <v>10159</v>
      </c>
      <c r="O870" s="8" t="s">
        <v>8487</v>
      </c>
      <c r="P870" s="8" t="str">
        <f>HYPERLINK("https://seichotoushi-hojo.jp/assets/pdf/koufu/outline__188.pdf","PDFを開く")</f>
        <v>PDFを開く</v>
      </c>
      <c r="Q870" s="8" t="s">
        <v>1439</v>
      </c>
    </row>
    <row r="871" spans="1:17" ht="62.1" customHeight="1">
      <c r="A871" s="5" t="s">
        <v>1431</v>
      </c>
      <c r="B871" s="5" t="s">
        <v>1386</v>
      </c>
      <c r="C871" s="9" t="s">
        <v>1432</v>
      </c>
      <c r="D871" s="5">
        <v>1</v>
      </c>
      <c r="E871" s="9" t="s">
        <v>10156</v>
      </c>
      <c r="F871" s="5">
        <v>4</v>
      </c>
      <c r="G871" s="9" t="s">
        <v>8581</v>
      </c>
      <c r="H871" s="9" t="s">
        <v>8581</v>
      </c>
      <c r="I871" s="5">
        <v>38.83</v>
      </c>
      <c r="J871" s="5">
        <v>376.5</v>
      </c>
      <c r="K871" s="5">
        <v>358.33</v>
      </c>
      <c r="L871" s="5">
        <v>489.23</v>
      </c>
      <c r="M871" s="9"/>
      <c r="N871" s="9" t="s">
        <v>10159</v>
      </c>
      <c r="O871" s="9" t="s">
        <v>1436</v>
      </c>
      <c r="P871" s="9" t="str">
        <f>HYPERLINK("https://seichotoushi-hojo.jp/assets/pdf/koufu/outline__188.pdf","PDFを開く")</f>
        <v>PDFを開く</v>
      </c>
      <c r="Q871" s="9" t="s">
        <v>1439</v>
      </c>
    </row>
    <row r="872" spans="1:17" ht="62.1" customHeight="1">
      <c r="A872" s="2" t="s">
        <v>1440</v>
      </c>
      <c r="B872" s="2" t="s">
        <v>1386</v>
      </c>
      <c r="C872" s="8" t="s">
        <v>1441</v>
      </c>
      <c r="D872" s="2">
        <v>1</v>
      </c>
      <c r="E872" s="8" t="s">
        <v>10156</v>
      </c>
      <c r="F872" s="2">
        <v>1</v>
      </c>
      <c r="G872" s="8" t="s">
        <v>9578</v>
      </c>
      <c r="H872" s="8" t="s">
        <v>9578</v>
      </c>
      <c r="I872" s="2">
        <v>49.94</v>
      </c>
      <c r="J872" s="2">
        <v>140.24</v>
      </c>
      <c r="K872" s="2">
        <v>408.64</v>
      </c>
      <c r="L872" s="2">
        <v>491.15</v>
      </c>
      <c r="M872" s="8"/>
      <c r="N872" s="8" t="s">
        <v>10159</v>
      </c>
      <c r="O872" s="8" t="s">
        <v>8492</v>
      </c>
      <c r="P872" s="8" t="str">
        <f>HYPERLINK("https://seichotoushi-hojo.jp/assets/pdf/koufu/outline__189.pdf","PDFを開く")</f>
        <v>PDFを開く</v>
      </c>
      <c r="Q872" s="8" t="s">
        <v>1448</v>
      </c>
    </row>
    <row r="873" spans="1:17" ht="62.1" customHeight="1">
      <c r="A873" s="5" t="s">
        <v>1440</v>
      </c>
      <c r="B873" s="5" t="s">
        <v>1386</v>
      </c>
      <c r="C873" s="9" t="s">
        <v>1441</v>
      </c>
      <c r="D873" s="5">
        <v>1</v>
      </c>
      <c r="E873" s="9" t="s">
        <v>10156</v>
      </c>
      <c r="F873" s="5">
        <v>2</v>
      </c>
      <c r="G873" s="9" t="s">
        <v>10162</v>
      </c>
      <c r="H873" s="9" t="s">
        <v>10162</v>
      </c>
      <c r="I873" s="5">
        <v>427.16</v>
      </c>
      <c r="J873" s="5">
        <v>142.65</v>
      </c>
      <c r="K873" s="5">
        <v>790.46</v>
      </c>
      <c r="L873" s="5">
        <v>310.04000000000002</v>
      </c>
      <c r="M873" s="9"/>
      <c r="N873" s="9" t="s">
        <v>10159</v>
      </c>
      <c r="O873" s="9" t="s">
        <v>8493</v>
      </c>
      <c r="P873" s="9" t="str">
        <f>HYPERLINK("https://seichotoushi-hojo.jp/assets/pdf/koufu/outline__189.pdf","PDFを開く")</f>
        <v>PDFを開く</v>
      </c>
      <c r="Q873" s="9" t="s">
        <v>1448</v>
      </c>
    </row>
    <row r="874" spans="1:17" ht="62.1" customHeight="1">
      <c r="A874" s="2" t="s">
        <v>1440</v>
      </c>
      <c r="B874" s="2" t="s">
        <v>1386</v>
      </c>
      <c r="C874" s="8" t="s">
        <v>1441</v>
      </c>
      <c r="D874" s="2">
        <v>1</v>
      </c>
      <c r="E874" s="8" t="s">
        <v>10156</v>
      </c>
      <c r="F874" s="2">
        <v>3</v>
      </c>
      <c r="G874" s="8" t="s">
        <v>10163</v>
      </c>
      <c r="H874" s="8" t="s">
        <v>10163</v>
      </c>
      <c r="I874" s="2">
        <v>427.16</v>
      </c>
      <c r="J874" s="2">
        <v>323.76</v>
      </c>
      <c r="K874" s="2">
        <v>790.46</v>
      </c>
      <c r="L874" s="2">
        <v>491.15</v>
      </c>
      <c r="M874" s="8"/>
      <c r="N874" s="8" t="s">
        <v>10159</v>
      </c>
      <c r="O874" s="8" t="s">
        <v>8494</v>
      </c>
      <c r="P874" s="8" t="str">
        <f>HYPERLINK("https://seichotoushi-hojo.jp/assets/pdf/koufu/outline__189.pdf","PDFを開く")</f>
        <v>PDFを開く</v>
      </c>
      <c r="Q874" s="8" t="s">
        <v>1448</v>
      </c>
    </row>
    <row r="875" spans="1:17" ht="62.1" customHeight="1">
      <c r="A875" s="5" t="s">
        <v>1449</v>
      </c>
      <c r="B875" s="5" t="s">
        <v>1386</v>
      </c>
      <c r="C875" s="9" t="s">
        <v>1450</v>
      </c>
      <c r="D875" s="5">
        <v>1</v>
      </c>
      <c r="E875" s="9" t="s">
        <v>10156</v>
      </c>
      <c r="F875" s="5">
        <v>1</v>
      </c>
      <c r="G875" s="9" t="s">
        <v>10162</v>
      </c>
      <c r="H875" s="9" t="s">
        <v>10162</v>
      </c>
      <c r="I875" s="5">
        <v>400.8</v>
      </c>
      <c r="J875" s="5">
        <v>94.15</v>
      </c>
      <c r="K875" s="5">
        <v>760.92</v>
      </c>
      <c r="L875" s="5">
        <v>293.08</v>
      </c>
      <c r="M875" s="9"/>
      <c r="N875" s="9" t="s">
        <v>10159</v>
      </c>
      <c r="O875" s="9" t="s">
        <v>8499</v>
      </c>
      <c r="P875" s="9" t="str">
        <f t="shared" ref="P875:P881" si="46">HYPERLINK("https://seichotoushi-hojo.jp/assets/pdf/koufu/outline__190.pdf","PDFを開く")</f>
        <v>PDFを開く</v>
      </c>
      <c r="Q875" s="9" t="s">
        <v>1457</v>
      </c>
    </row>
    <row r="876" spans="1:17" ht="62.1" customHeight="1">
      <c r="A876" s="2" t="s">
        <v>1449</v>
      </c>
      <c r="B876" s="2" t="s">
        <v>1386</v>
      </c>
      <c r="C876" s="8" t="s">
        <v>1450</v>
      </c>
      <c r="D876" s="2">
        <v>1</v>
      </c>
      <c r="E876" s="8" t="s">
        <v>10156</v>
      </c>
      <c r="F876" s="2">
        <v>2</v>
      </c>
      <c r="G876" s="8" t="s">
        <v>9578</v>
      </c>
      <c r="H876" s="8" t="s">
        <v>9578</v>
      </c>
      <c r="I876" s="2">
        <v>19.07</v>
      </c>
      <c r="J876" s="2">
        <v>94.87</v>
      </c>
      <c r="K876" s="2">
        <v>379.21</v>
      </c>
      <c r="L876" s="2">
        <v>470.24</v>
      </c>
      <c r="M876" s="8"/>
      <c r="N876" s="8" t="s">
        <v>10159</v>
      </c>
      <c r="O876" s="8" t="s">
        <v>10529</v>
      </c>
      <c r="P876" s="8" t="str">
        <f t="shared" si="46"/>
        <v>PDFを開く</v>
      </c>
      <c r="Q876" s="8" t="s">
        <v>1457</v>
      </c>
    </row>
    <row r="877" spans="1:17" ht="62.1" customHeight="1">
      <c r="A877" s="5" t="s">
        <v>1449</v>
      </c>
      <c r="B877" s="5" t="s">
        <v>1386</v>
      </c>
      <c r="C877" s="9" t="s">
        <v>1450</v>
      </c>
      <c r="D877" s="5">
        <v>1</v>
      </c>
      <c r="E877" s="9" t="s">
        <v>10156</v>
      </c>
      <c r="F877" s="5">
        <v>3</v>
      </c>
      <c r="G877" s="9" t="s">
        <v>10163</v>
      </c>
      <c r="H877" s="9" t="s">
        <v>10163</v>
      </c>
      <c r="I877" s="5">
        <v>401.53</v>
      </c>
      <c r="J877" s="5">
        <v>293.47000000000003</v>
      </c>
      <c r="K877" s="5">
        <v>761.67</v>
      </c>
      <c r="L877" s="5">
        <v>475.53</v>
      </c>
      <c r="M877" s="9"/>
      <c r="N877" s="9" t="s">
        <v>10159</v>
      </c>
      <c r="O877" s="9" t="s">
        <v>8500</v>
      </c>
      <c r="P877" s="9" t="str">
        <f t="shared" si="46"/>
        <v>PDFを開く</v>
      </c>
      <c r="Q877" s="9" t="s">
        <v>1457</v>
      </c>
    </row>
    <row r="878" spans="1:17" ht="62.1" customHeight="1">
      <c r="A878" s="2" t="s">
        <v>1449</v>
      </c>
      <c r="B878" s="2" t="s">
        <v>1386</v>
      </c>
      <c r="C878" s="8" t="s">
        <v>1450</v>
      </c>
      <c r="D878" s="2">
        <v>1</v>
      </c>
      <c r="E878" s="8" t="s">
        <v>10156</v>
      </c>
      <c r="F878" s="2">
        <v>4</v>
      </c>
      <c r="G878" s="8" t="s">
        <v>8581</v>
      </c>
      <c r="H878" s="8" t="s">
        <v>8581</v>
      </c>
      <c r="I878" s="2">
        <v>24.87</v>
      </c>
      <c r="J878" s="2">
        <v>318.56</v>
      </c>
      <c r="K878" s="2">
        <v>373.05</v>
      </c>
      <c r="L878" s="2">
        <v>466</v>
      </c>
      <c r="M878" s="8"/>
      <c r="N878" s="8" t="s">
        <v>10159</v>
      </c>
      <c r="O878" s="8" t="s">
        <v>1454</v>
      </c>
      <c r="P878" s="8" t="str">
        <f t="shared" si="46"/>
        <v>PDFを開く</v>
      </c>
      <c r="Q878" s="8" t="s">
        <v>1457</v>
      </c>
    </row>
    <row r="879" spans="1:17" ht="62.1" customHeight="1">
      <c r="A879" s="5" t="s">
        <v>1449</v>
      </c>
      <c r="B879" s="5" t="s">
        <v>1386</v>
      </c>
      <c r="C879" s="9" t="s">
        <v>1450</v>
      </c>
      <c r="D879" s="5">
        <v>1</v>
      </c>
      <c r="E879" s="9" t="s">
        <v>10156</v>
      </c>
      <c r="F879" s="5">
        <v>5</v>
      </c>
      <c r="G879" s="9" t="s">
        <v>9578</v>
      </c>
      <c r="H879" s="9" t="s">
        <v>9578</v>
      </c>
      <c r="I879" s="5">
        <v>429.99</v>
      </c>
      <c r="J879" s="5">
        <v>442.16</v>
      </c>
      <c r="K879" s="5">
        <v>768.3</v>
      </c>
      <c r="L879" s="5">
        <v>477.15</v>
      </c>
      <c r="M879" s="9"/>
      <c r="N879" s="9" t="s">
        <v>10181</v>
      </c>
      <c r="O879" s="9" t="s">
        <v>10530</v>
      </c>
      <c r="P879" s="9" t="str">
        <f t="shared" si="46"/>
        <v>PDFを開く</v>
      </c>
      <c r="Q879" s="9" t="s">
        <v>1457</v>
      </c>
    </row>
    <row r="880" spans="1:17" ht="62.1" customHeight="1">
      <c r="A880" s="2" t="s">
        <v>1449</v>
      </c>
      <c r="B880" s="2" t="s">
        <v>1386</v>
      </c>
      <c r="C880" s="8" t="s">
        <v>1450</v>
      </c>
      <c r="D880" s="2">
        <v>1</v>
      </c>
      <c r="E880" s="8" t="s">
        <v>10156</v>
      </c>
      <c r="F880" s="2">
        <v>6</v>
      </c>
      <c r="G880" s="8" t="s">
        <v>9578</v>
      </c>
      <c r="H880" s="8" t="s">
        <v>9578</v>
      </c>
      <c r="I880" s="2">
        <v>629.99</v>
      </c>
      <c r="J880" s="2">
        <v>454.21</v>
      </c>
      <c r="K880" s="2">
        <v>768.3</v>
      </c>
      <c r="L880" s="2">
        <v>525.20000000000005</v>
      </c>
      <c r="M880" s="8"/>
      <c r="N880" s="8" t="s">
        <v>10181</v>
      </c>
      <c r="O880" s="8" t="s">
        <v>10531</v>
      </c>
      <c r="P880" s="8" t="str">
        <f t="shared" si="46"/>
        <v>PDFを開く</v>
      </c>
      <c r="Q880" s="8" t="s">
        <v>1457</v>
      </c>
    </row>
    <row r="881" spans="1:17" ht="62.1" customHeight="1">
      <c r="A881" s="5" t="s">
        <v>1449</v>
      </c>
      <c r="B881" s="5" t="s">
        <v>1386</v>
      </c>
      <c r="C881" s="9" t="s">
        <v>1450</v>
      </c>
      <c r="D881" s="5">
        <v>1</v>
      </c>
      <c r="E881" s="9" t="s">
        <v>10156</v>
      </c>
      <c r="F881" s="5">
        <v>7</v>
      </c>
      <c r="G881" s="9" t="s">
        <v>10167</v>
      </c>
      <c r="H881" s="9" t="s">
        <v>10532</v>
      </c>
      <c r="I881" s="5">
        <v>19.07</v>
      </c>
      <c r="J881" s="5">
        <v>475.92</v>
      </c>
      <c r="K881" s="5">
        <v>754.03</v>
      </c>
      <c r="L881" s="5">
        <v>532.91999999999996</v>
      </c>
      <c r="M881" s="9"/>
      <c r="N881" s="9" t="s">
        <v>10159</v>
      </c>
      <c r="O881" s="9" t="s">
        <v>10533</v>
      </c>
      <c r="P881" s="9" t="str">
        <f t="shared" si="46"/>
        <v>PDFを開く</v>
      </c>
      <c r="Q881" s="9" t="s">
        <v>1457</v>
      </c>
    </row>
    <row r="882" spans="1:17" ht="62.1" customHeight="1">
      <c r="A882" s="2" t="s">
        <v>1458</v>
      </c>
      <c r="B882" s="2" t="s">
        <v>1386</v>
      </c>
      <c r="C882" s="8" t="s">
        <v>1459</v>
      </c>
      <c r="D882" s="2">
        <v>1</v>
      </c>
      <c r="E882" s="8" t="s">
        <v>10156</v>
      </c>
      <c r="F882" s="2">
        <v>1</v>
      </c>
      <c r="G882" s="8" t="s">
        <v>10162</v>
      </c>
      <c r="H882" s="8" t="s">
        <v>10162</v>
      </c>
      <c r="I882" s="2">
        <v>401.02</v>
      </c>
      <c r="J882" s="2">
        <v>96.85</v>
      </c>
      <c r="K882" s="2">
        <v>755.17</v>
      </c>
      <c r="L882" s="2">
        <v>298.8</v>
      </c>
      <c r="M882" s="8"/>
      <c r="N882" s="8" t="s">
        <v>10159</v>
      </c>
      <c r="O882" s="8" t="s">
        <v>8506</v>
      </c>
      <c r="P882" s="8" t="str">
        <f>HYPERLINK("https://seichotoushi-hojo.jp/assets/pdf/koufu/outline__191.pdf","PDFを開く")</f>
        <v>PDFを開く</v>
      </c>
      <c r="Q882" s="8" t="s">
        <v>1466</v>
      </c>
    </row>
    <row r="883" spans="1:17" ht="62.1" customHeight="1">
      <c r="A883" s="5" t="s">
        <v>1458</v>
      </c>
      <c r="B883" s="5" t="s">
        <v>1386</v>
      </c>
      <c r="C883" s="9" t="s">
        <v>1459</v>
      </c>
      <c r="D883" s="5">
        <v>1</v>
      </c>
      <c r="E883" s="9" t="s">
        <v>10156</v>
      </c>
      <c r="F883" s="5">
        <v>2</v>
      </c>
      <c r="G883" s="9" t="s">
        <v>9578</v>
      </c>
      <c r="H883" s="9" t="s">
        <v>9578</v>
      </c>
      <c r="I883" s="5">
        <v>14.4</v>
      </c>
      <c r="J883" s="5">
        <v>101.81</v>
      </c>
      <c r="K883" s="5">
        <v>378.78</v>
      </c>
      <c r="L883" s="5">
        <v>508.77</v>
      </c>
      <c r="M883" s="9"/>
      <c r="N883" s="9" t="s">
        <v>10159</v>
      </c>
      <c r="O883" s="9" t="s">
        <v>8505</v>
      </c>
      <c r="P883" s="9" t="str">
        <f>HYPERLINK("https://seichotoushi-hojo.jp/assets/pdf/koufu/outline__191.pdf","PDFを開く")</f>
        <v>PDFを開く</v>
      </c>
      <c r="Q883" s="9" t="s">
        <v>1466</v>
      </c>
    </row>
    <row r="884" spans="1:17" ht="62.1" customHeight="1">
      <c r="A884" s="2" t="s">
        <v>1458</v>
      </c>
      <c r="B884" s="2" t="s">
        <v>1386</v>
      </c>
      <c r="C884" s="8" t="s">
        <v>1459</v>
      </c>
      <c r="D884" s="2">
        <v>1</v>
      </c>
      <c r="E884" s="8" t="s">
        <v>10156</v>
      </c>
      <c r="F884" s="2">
        <v>3</v>
      </c>
      <c r="G884" s="8" t="s">
        <v>10163</v>
      </c>
      <c r="H884" s="8" t="s">
        <v>10163</v>
      </c>
      <c r="I884" s="2">
        <v>401.02</v>
      </c>
      <c r="J884" s="2">
        <v>313.92</v>
      </c>
      <c r="K884" s="2">
        <v>755.17</v>
      </c>
      <c r="L884" s="2">
        <v>533.29999999999995</v>
      </c>
      <c r="M884" s="8"/>
      <c r="N884" s="8" t="s">
        <v>10159</v>
      </c>
      <c r="O884" s="8" t="s">
        <v>8507</v>
      </c>
      <c r="P884" s="8" t="str">
        <f>HYPERLINK("https://seichotoushi-hojo.jp/assets/pdf/koufu/outline__191.pdf","PDFを開く")</f>
        <v>PDFを開く</v>
      </c>
      <c r="Q884" s="8" t="s">
        <v>1466</v>
      </c>
    </row>
    <row r="885" spans="1:17" ht="62.1" customHeight="1">
      <c r="A885" s="5" t="s">
        <v>1458</v>
      </c>
      <c r="B885" s="5" t="s">
        <v>1386</v>
      </c>
      <c r="C885" s="9" t="s">
        <v>1459</v>
      </c>
      <c r="D885" s="5">
        <v>1</v>
      </c>
      <c r="E885" s="9" t="s">
        <v>10156</v>
      </c>
      <c r="F885" s="5">
        <v>4</v>
      </c>
      <c r="G885" s="9" t="s">
        <v>8581</v>
      </c>
      <c r="H885" s="9" t="s">
        <v>8581</v>
      </c>
      <c r="I885" s="5">
        <v>24.71</v>
      </c>
      <c r="J885" s="5">
        <v>419.85</v>
      </c>
      <c r="K885" s="5">
        <v>368</v>
      </c>
      <c r="L885" s="5">
        <v>505.33</v>
      </c>
      <c r="M885" s="9"/>
      <c r="N885" s="9" t="s">
        <v>10159</v>
      </c>
      <c r="O885" s="9" t="s">
        <v>1463</v>
      </c>
      <c r="P885" s="9" t="str">
        <f>HYPERLINK("https://seichotoushi-hojo.jp/assets/pdf/koufu/outline__191.pdf","PDFを開く")</f>
        <v>PDFを開く</v>
      </c>
      <c r="Q885" s="9" t="s">
        <v>1466</v>
      </c>
    </row>
    <row r="886" spans="1:17" ht="62.1" customHeight="1">
      <c r="A886" s="2" t="s">
        <v>1458</v>
      </c>
      <c r="B886" s="2" t="s">
        <v>1386</v>
      </c>
      <c r="C886" s="8" t="s">
        <v>1459</v>
      </c>
      <c r="D886" s="2">
        <v>2</v>
      </c>
      <c r="E886" s="8" t="s">
        <v>10165</v>
      </c>
      <c r="F886" s="2">
        <v>1</v>
      </c>
      <c r="G886" s="8" t="s">
        <v>10184</v>
      </c>
      <c r="H886" s="8" t="s">
        <v>10184</v>
      </c>
      <c r="I886" s="2">
        <v>105.43</v>
      </c>
      <c r="J886" s="2">
        <v>192.49</v>
      </c>
      <c r="K886" s="2">
        <v>401.7</v>
      </c>
      <c r="L886" s="2">
        <v>387.89</v>
      </c>
      <c r="M886" s="8"/>
      <c r="N886" s="8" t="s">
        <v>10181</v>
      </c>
      <c r="O886" s="8" t="s">
        <v>10534</v>
      </c>
      <c r="P886" s="8" t="str">
        <f>HYPERLINK("https://seichotoushi-hojo.jp/assets/pdf/koufu/outline__191.pdf","PDFを開く")</f>
        <v>PDFを開く</v>
      </c>
      <c r="Q886" s="8" t="s">
        <v>1466</v>
      </c>
    </row>
    <row r="887" spans="1:17" ht="62.1" customHeight="1">
      <c r="A887" s="5" t="s">
        <v>1467</v>
      </c>
      <c r="B887" s="5" t="s">
        <v>1386</v>
      </c>
      <c r="C887" s="9" t="s">
        <v>1468</v>
      </c>
      <c r="D887" s="5">
        <v>1</v>
      </c>
      <c r="E887" s="9" t="s">
        <v>10156</v>
      </c>
      <c r="F887" s="5">
        <v>1</v>
      </c>
      <c r="G887" s="9" t="s">
        <v>8581</v>
      </c>
      <c r="H887" s="9" t="s">
        <v>8581</v>
      </c>
      <c r="I887" s="5">
        <v>419.28</v>
      </c>
      <c r="J887" s="5">
        <v>42.48</v>
      </c>
      <c r="K887" s="5">
        <v>764.16</v>
      </c>
      <c r="L887" s="5">
        <v>98.76</v>
      </c>
      <c r="M887" s="9" t="s">
        <v>10158</v>
      </c>
      <c r="N887" s="9" t="s">
        <v>10159</v>
      </c>
      <c r="O887" s="9" t="s">
        <v>8515</v>
      </c>
      <c r="P887" s="9" t="str">
        <f t="shared" ref="P887:P893" si="47">HYPERLINK("https://seichotoushi-hojo.jp/assets/pdf/koufu/outline__192.pdf","PDFを開く")</f>
        <v>PDFを開く</v>
      </c>
      <c r="Q887" s="9" t="s">
        <v>1473</v>
      </c>
    </row>
    <row r="888" spans="1:17" ht="62.1" customHeight="1">
      <c r="A888" s="2" t="s">
        <v>1467</v>
      </c>
      <c r="B888" s="2" t="s">
        <v>1386</v>
      </c>
      <c r="C888" s="8" t="s">
        <v>1468</v>
      </c>
      <c r="D888" s="2">
        <v>1</v>
      </c>
      <c r="E888" s="8" t="s">
        <v>10156</v>
      </c>
      <c r="F888" s="2">
        <v>2</v>
      </c>
      <c r="G888" s="8" t="s">
        <v>9578</v>
      </c>
      <c r="H888" s="8" t="s">
        <v>9578</v>
      </c>
      <c r="I888" s="2">
        <v>43.56</v>
      </c>
      <c r="J888" s="2">
        <v>116.16</v>
      </c>
      <c r="K888" s="2">
        <v>479.16</v>
      </c>
      <c r="L888" s="2">
        <v>441.24</v>
      </c>
      <c r="M888" s="8"/>
      <c r="N888" s="8" t="s">
        <v>10159</v>
      </c>
      <c r="O888" s="8" t="s">
        <v>10535</v>
      </c>
      <c r="P888" s="8" t="str">
        <f t="shared" si="47"/>
        <v>PDFを開く</v>
      </c>
      <c r="Q888" s="8" t="s">
        <v>1473</v>
      </c>
    </row>
    <row r="889" spans="1:17" ht="62.1" customHeight="1">
      <c r="A889" s="5" t="s">
        <v>1467</v>
      </c>
      <c r="B889" s="5" t="s">
        <v>1386</v>
      </c>
      <c r="C889" s="9" t="s">
        <v>1468</v>
      </c>
      <c r="D889" s="5">
        <v>1</v>
      </c>
      <c r="E889" s="9" t="s">
        <v>10156</v>
      </c>
      <c r="F889" s="5">
        <v>3</v>
      </c>
      <c r="G889" s="9" t="s">
        <v>10162</v>
      </c>
      <c r="H889" s="9" t="s">
        <v>10162</v>
      </c>
      <c r="I889" s="5">
        <v>507.6</v>
      </c>
      <c r="J889" s="5">
        <v>128.76</v>
      </c>
      <c r="K889" s="5">
        <v>800.52</v>
      </c>
      <c r="L889" s="5">
        <v>293.27999999999997</v>
      </c>
      <c r="M889" s="9"/>
      <c r="N889" s="9" t="s">
        <v>10159</v>
      </c>
      <c r="O889" s="9" t="s">
        <v>8513</v>
      </c>
      <c r="P889" s="9" t="str">
        <f t="shared" si="47"/>
        <v>PDFを開く</v>
      </c>
      <c r="Q889" s="9" t="s">
        <v>1473</v>
      </c>
    </row>
    <row r="890" spans="1:17" ht="62.1" customHeight="1">
      <c r="A890" s="2" t="s">
        <v>1467</v>
      </c>
      <c r="B890" s="2" t="s">
        <v>1386</v>
      </c>
      <c r="C890" s="8" t="s">
        <v>1468</v>
      </c>
      <c r="D890" s="2">
        <v>1</v>
      </c>
      <c r="E890" s="8" t="s">
        <v>10156</v>
      </c>
      <c r="F890" s="2">
        <v>4</v>
      </c>
      <c r="G890" s="8" t="s">
        <v>10163</v>
      </c>
      <c r="H890" s="8" t="s">
        <v>10163</v>
      </c>
      <c r="I890" s="2">
        <v>506.76</v>
      </c>
      <c r="J890" s="2">
        <v>299.64</v>
      </c>
      <c r="K890" s="2">
        <v>799.68</v>
      </c>
      <c r="L890" s="2">
        <v>450</v>
      </c>
      <c r="M890" s="8"/>
      <c r="N890" s="8" t="s">
        <v>10159</v>
      </c>
      <c r="O890" s="8" t="s">
        <v>8514</v>
      </c>
      <c r="P890" s="8" t="str">
        <f t="shared" si="47"/>
        <v>PDFを開く</v>
      </c>
      <c r="Q890" s="8" t="s">
        <v>1473</v>
      </c>
    </row>
    <row r="891" spans="1:17" ht="62.1" customHeight="1">
      <c r="A891" s="5" t="s">
        <v>1467</v>
      </c>
      <c r="B891" s="5" t="s">
        <v>1386</v>
      </c>
      <c r="C891" s="9" t="s">
        <v>1468</v>
      </c>
      <c r="D891" s="5">
        <v>1</v>
      </c>
      <c r="E891" s="9" t="s">
        <v>10156</v>
      </c>
      <c r="F891" s="5">
        <v>5</v>
      </c>
      <c r="G891" s="9" t="s">
        <v>9578</v>
      </c>
      <c r="H891" s="9" t="s">
        <v>9578</v>
      </c>
      <c r="I891" s="5">
        <v>44.88</v>
      </c>
      <c r="J891" s="5">
        <v>456.36</v>
      </c>
      <c r="K891" s="5">
        <v>800.52</v>
      </c>
      <c r="L891" s="5">
        <v>563.52</v>
      </c>
      <c r="M891" s="9"/>
      <c r="N891" s="9" t="s">
        <v>10159</v>
      </c>
      <c r="O891" s="9" t="s">
        <v>10536</v>
      </c>
      <c r="P891" s="9" t="str">
        <f t="shared" si="47"/>
        <v>PDFを開く</v>
      </c>
      <c r="Q891" s="9" t="s">
        <v>1473</v>
      </c>
    </row>
    <row r="892" spans="1:17" ht="62.1" customHeight="1">
      <c r="A892" s="2" t="s">
        <v>1467</v>
      </c>
      <c r="B892" s="2" t="s">
        <v>1386</v>
      </c>
      <c r="C892" s="8" t="s">
        <v>1468</v>
      </c>
      <c r="D892" s="2">
        <v>2</v>
      </c>
      <c r="E892" s="8" t="s">
        <v>10165</v>
      </c>
      <c r="F892" s="2">
        <v>1</v>
      </c>
      <c r="G892" s="8" t="s">
        <v>10167</v>
      </c>
      <c r="H892" s="8" t="s">
        <v>10537</v>
      </c>
      <c r="I892" s="2">
        <v>151.08000000000001</v>
      </c>
      <c r="J892" s="2">
        <v>226.44</v>
      </c>
      <c r="K892" s="2">
        <v>737.76</v>
      </c>
      <c r="L892" s="2">
        <v>268.32</v>
      </c>
      <c r="M892" s="8"/>
      <c r="N892" s="8" t="s">
        <v>10159</v>
      </c>
      <c r="O892" s="8" t="s">
        <v>10538</v>
      </c>
      <c r="P892" s="8" t="str">
        <f t="shared" si="47"/>
        <v>PDFを開く</v>
      </c>
      <c r="Q892" s="8" t="s">
        <v>1473</v>
      </c>
    </row>
    <row r="893" spans="1:17" ht="62.1" customHeight="1">
      <c r="A893" s="5" t="s">
        <v>1467</v>
      </c>
      <c r="B893" s="5" t="s">
        <v>1386</v>
      </c>
      <c r="C893" s="9" t="s">
        <v>1468</v>
      </c>
      <c r="D893" s="5">
        <v>2</v>
      </c>
      <c r="E893" s="9" t="s">
        <v>10165</v>
      </c>
      <c r="F893" s="5">
        <v>2</v>
      </c>
      <c r="G893" s="9" t="s">
        <v>10167</v>
      </c>
      <c r="H893" s="9" t="s">
        <v>3504</v>
      </c>
      <c r="I893" s="5">
        <v>136.91999999999999</v>
      </c>
      <c r="J893" s="5">
        <v>436.68</v>
      </c>
      <c r="K893" s="5">
        <v>566.76</v>
      </c>
      <c r="L893" s="5">
        <v>467.16</v>
      </c>
      <c r="M893" s="9"/>
      <c r="N893" s="9" t="s">
        <v>10159</v>
      </c>
      <c r="O893" s="9" t="s">
        <v>10186</v>
      </c>
      <c r="P893" s="9" t="str">
        <f t="shared" si="47"/>
        <v>PDFを開く</v>
      </c>
      <c r="Q893" s="9" t="s">
        <v>1473</v>
      </c>
    </row>
    <row r="894" spans="1:17" ht="62.1" customHeight="1">
      <c r="A894" s="2" t="s">
        <v>1474</v>
      </c>
      <c r="B894" s="2" t="s">
        <v>1386</v>
      </c>
      <c r="C894" s="8" t="s">
        <v>1475</v>
      </c>
      <c r="D894" s="2">
        <v>1</v>
      </c>
      <c r="E894" s="8" t="s">
        <v>10156</v>
      </c>
      <c r="F894" s="2">
        <v>1</v>
      </c>
      <c r="G894" s="8" t="s">
        <v>9578</v>
      </c>
      <c r="H894" s="8" t="s">
        <v>9578</v>
      </c>
      <c r="I894" s="2">
        <v>35.28</v>
      </c>
      <c r="J894" s="2">
        <v>116.76</v>
      </c>
      <c r="K894" s="2">
        <v>374.4</v>
      </c>
      <c r="L894" s="2">
        <v>513.24</v>
      </c>
      <c r="M894" s="8"/>
      <c r="N894" s="8" t="s">
        <v>10159</v>
      </c>
      <c r="O894" s="8" t="s">
        <v>8520</v>
      </c>
      <c r="P894" s="8" t="str">
        <f>HYPERLINK("https://seichotoushi-hojo.jp/assets/pdf/koufu/outline__194.pdf","PDFを開く")</f>
        <v>PDFを開く</v>
      </c>
      <c r="Q894" s="8" t="s">
        <v>1482</v>
      </c>
    </row>
    <row r="895" spans="1:17" ht="62.1" customHeight="1">
      <c r="A895" s="5" t="s">
        <v>1474</v>
      </c>
      <c r="B895" s="5" t="s">
        <v>1386</v>
      </c>
      <c r="C895" s="9" t="s">
        <v>1475</v>
      </c>
      <c r="D895" s="5">
        <v>1</v>
      </c>
      <c r="E895" s="9" t="s">
        <v>10156</v>
      </c>
      <c r="F895" s="5">
        <v>2</v>
      </c>
      <c r="G895" s="9" t="s">
        <v>10162</v>
      </c>
      <c r="H895" s="9" t="s">
        <v>10162</v>
      </c>
      <c r="I895" s="5">
        <v>396.96</v>
      </c>
      <c r="J895" s="5">
        <v>116.76</v>
      </c>
      <c r="K895" s="5">
        <v>740.52</v>
      </c>
      <c r="L895" s="5">
        <v>300.83999999999997</v>
      </c>
      <c r="M895" s="9"/>
      <c r="N895" s="9" t="s">
        <v>10159</v>
      </c>
      <c r="O895" s="9" t="s">
        <v>8521</v>
      </c>
      <c r="P895" s="9" t="str">
        <f>HYPERLINK("https://seichotoushi-hojo.jp/assets/pdf/koufu/outline__194.pdf","PDFを開く")</f>
        <v>PDFを開く</v>
      </c>
      <c r="Q895" s="9" t="s">
        <v>1482</v>
      </c>
    </row>
    <row r="896" spans="1:17" ht="62.1" customHeight="1">
      <c r="A896" s="2" t="s">
        <v>1474</v>
      </c>
      <c r="B896" s="2" t="s">
        <v>1386</v>
      </c>
      <c r="C896" s="8" t="s">
        <v>1475</v>
      </c>
      <c r="D896" s="2">
        <v>1</v>
      </c>
      <c r="E896" s="8" t="s">
        <v>10156</v>
      </c>
      <c r="F896" s="2">
        <v>3</v>
      </c>
      <c r="G896" s="8" t="s">
        <v>10163</v>
      </c>
      <c r="H896" s="8" t="s">
        <v>10163</v>
      </c>
      <c r="I896" s="2">
        <v>396.96</v>
      </c>
      <c r="J896" s="2">
        <v>314.16000000000003</v>
      </c>
      <c r="K896" s="2">
        <v>740.52</v>
      </c>
      <c r="L896" s="2">
        <v>513.24</v>
      </c>
      <c r="M896" s="8"/>
      <c r="N896" s="8" t="s">
        <v>10159</v>
      </c>
      <c r="O896" s="8" t="s">
        <v>8522</v>
      </c>
      <c r="P896" s="8" t="str">
        <f>HYPERLINK("https://seichotoushi-hojo.jp/assets/pdf/koufu/outline__194.pdf","PDFを開く")</f>
        <v>PDFを開く</v>
      </c>
      <c r="Q896" s="8" t="s">
        <v>1482</v>
      </c>
    </row>
    <row r="897" spans="1:17" ht="62.1" customHeight="1">
      <c r="A897" s="5" t="s">
        <v>1483</v>
      </c>
      <c r="B897" s="5" t="s">
        <v>1386</v>
      </c>
      <c r="C897" s="9" t="s">
        <v>1484</v>
      </c>
      <c r="D897" s="5">
        <v>1</v>
      </c>
      <c r="E897" s="9" t="s">
        <v>10156</v>
      </c>
      <c r="F897" s="5">
        <v>1</v>
      </c>
      <c r="G897" s="9" t="s">
        <v>9578</v>
      </c>
      <c r="H897" s="9" t="s">
        <v>9578</v>
      </c>
      <c r="I897" s="5">
        <v>18.84</v>
      </c>
      <c r="J897" s="5">
        <v>87.96</v>
      </c>
      <c r="K897" s="5">
        <v>378.84</v>
      </c>
      <c r="L897" s="5">
        <v>446.52</v>
      </c>
      <c r="M897" s="9"/>
      <c r="N897" s="9" t="s">
        <v>10159</v>
      </c>
      <c r="O897" s="9" t="s">
        <v>8526</v>
      </c>
      <c r="P897" s="9" t="str">
        <f t="shared" ref="P897:P903" si="48">HYPERLINK("https://seichotoushi-hojo.jp/assets/pdf/koufu/outline__195.pdf","PDFを開く")</f>
        <v>PDFを開く</v>
      </c>
      <c r="Q897" s="9" t="s">
        <v>1490</v>
      </c>
    </row>
    <row r="898" spans="1:17" ht="62.1" customHeight="1">
      <c r="A898" s="2" t="s">
        <v>1483</v>
      </c>
      <c r="B898" s="2" t="s">
        <v>1386</v>
      </c>
      <c r="C898" s="8" t="s">
        <v>1484</v>
      </c>
      <c r="D898" s="2">
        <v>1</v>
      </c>
      <c r="E898" s="8" t="s">
        <v>10156</v>
      </c>
      <c r="F898" s="2">
        <v>2</v>
      </c>
      <c r="G898" s="8" t="s">
        <v>10162</v>
      </c>
      <c r="H898" s="8" t="s">
        <v>10162</v>
      </c>
      <c r="I898" s="2">
        <v>396.36</v>
      </c>
      <c r="J898" s="2">
        <v>88.32</v>
      </c>
      <c r="K898" s="2">
        <v>770.28</v>
      </c>
      <c r="L898" s="2">
        <v>304.68</v>
      </c>
      <c r="M898" s="8"/>
      <c r="N898" s="8" t="s">
        <v>10159</v>
      </c>
      <c r="O898" s="8" t="s">
        <v>8527</v>
      </c>
      <c r="P898" s="8" t="str">
        <f t="shared" si="48"/>
        <v>PDFを開く</v>
      </c>
      <c r="Q898" s="8" t="s">
        <v>1490</v>
      </c>
    </row>
    <row r="899" spans="1:17" ht="62.1" customHeight="1">
      <c r="A899" s="5" t="s">
        <v>1483</v>
      </c>
      <c r="B899" s="5" t="s">
        <v>1386</v>
      </c>
      <c r="C899" s="9" t="s">
        <v>1484</v>
      </c>
      <c r="D899" s="5">
        <v>1</v>
      </c>
      <c r="E899" s="9" t="s">
        <v>10156</v>
      </c>
      <c r="F899" s="5">
        <v>3</v>
      </c>
      <c r="G899" s="9" t="s">
        <v>10163</v>
      </c>
      <c r="H899" s="9" t="s">
        <v>10163</v>
      </c>
      <c r="I899" s="5">
        <v>396.36</v>
      </c>
      <c r="J899" s="5">
        <v>307.92</v>
      </c>
      <c r="K899" s="5">
        <v>770.28</v>
      </c>
      <c r="L899" s="5">
        <v>460.56</v>
      </c>
      <c r="M899" s="9"/>
      <c r="N899" s="9" t="s">
        <v>10159</v>
      </c>
      <c r="O899" s="9" t="s">
        <v>8528</v>
      </c>
      <c r="P899" s="9" t="str">
        <f t="shared" si="48"/>
        <v>PDFを開く</v>
      </c>
      <c r="Q899" s="9" t="s">
        <v>1490</v>
      </c>
    </row>
    <row r="900" spans="1:17" ht="62.1" customHeight="1">
      <c r="A900" s="2" t="s">
        <v>1483</v>
      </c>
      <c r="B900" s="2" t="s">
        <v>1386</v>
      </c>
      <c r="C900" s="8" t="s">
        <v>1484</v>
      </c>
      <c r="D900" s="2">
        <v>1</v>
      </c>
      <c r="E900" s="8" t="s">
        <v>10156</v>
      </c>
      <c r="F900" s="2">
        <v>4</v>
      </c>
      <c r="G900" s="8" t="s">
        <v>8581</v>
      </c>
      <c r="H900" s="8" t="s">
        <v>8581</v>
      </c>
      <c r="I900" s="2">
        <v>18.84</v>
      </c>
      <c r="J900" s="2">
        <v>359.76</v>
      </c>
      <c r="K900" s="2">
        <v>378.84</v>
      </c>
      <c r="L900" s="2">
        <v>455.76</v>
      </c>
      <c r="M900" s="8"/>
      <c r="N900" s="8" t="s">
        <v>10159</v>
      </c>
      <c r="O900" s="8" t="s">
        <v>8530</v>
      </c>
      <c r="P900" s="8" t="str">
        <f t="shared" si="48"/>
        <v>PDFを開く</v>
      </c>
      <c r="Q900" s="8" t="s">
        <v>1490</v>
      </c>
    </row>
    <row r="901" spans="1:17" ht="62.1" customHeight="1">
      <c r="A901" s="5" t="s">
        <v>1483</v>
      </c>
      <c r="B901" s="5" t="s">
        <v>1386</v>
      </c>
      <c r="C901" s="9" t="s">
        <v>1484</v>
      </c>
      <c r="D901" s="5">
        <v>1</v>
      </c>
      <c r="E901" s="9" t="s">
        <v>10156</v>
      </c>
      <c r="F901" s="5">
        <v>5</v>
      </c>
      <c r="G901" s="9" t="s">
        <v>10171</v>
      </c>
      <c r="H901" s="9" t="s">
        <v>10171</v>
      </c>
      <c r="I901" s="5">
        <v>8.0399999999999991</v>
      </c>
      <c r="J901" s="5">
        <v>451.86</v>
      </c>
      <c r="K901" s="5">
        <v>401.7</v>
      </c>
      <c r="L901" s="5">
        <v>525.20000000000005</v>
      </c>
      <c r="M901" s="9"/>
      <c r="N901" s="9" t="s">
        <v>10181</v>
      </c>
      <c r="O901" s="9" t="s">
        <v>10539</v>
      </c>
      <c r="P901" s="9" t="str">
        <f t="shared" si="48"/>
        <v>PDFを開く</v>
      </c>
      <c r="Q901" s="9" t="s">
        <v>1490</v>
      </c>
    </row>
    <row r="902" spans="1:17" ht="62.1" customHeight="1">
      <c r="A902" s="2" t="s">
        <v>1483</v>
      </c>
      <c r="B902" s="2" t="s">
        <v>1386</v>
      </c>
      <c r="C902" s="8" t="s">
        <v>1484</v>
      </c>
      <c r="D902" s="2">
        <v>1</v>
      </c>
      <c r="E902" s="8" t="s">
        <v>10156</v>
      </c>
      <c r="F902" s="2">
        <v>6</v>
      </c>
      <c r="G902" s="8" t="s">
        <v>10171</v>
      </c>
      <c r="H902" s="8" t="s">
        <v>10171</v>
      </c>
      <c r="I902" s="2">
        <v>18.84</v>
      </c>
      <c r="J902" s="2">
        <v>463.8</v>
      </c>
      <c r="K902" s="2">
        <v>770.28</v>
      </c>
      <c r="L902" s="2">
        <v>516.48</v>
      </c>
      <c r="M902" s="8"/>
      <c r="N902" s="8" t="s">
        <v>10159</v>
      </c>
      <c r="O902" s="8" t="s">
        <v>10540</v>
      </c>
      <c r="P902" s="8" t="str">
        <f t="shared" si="48"/>
        <v>PDFを開く</v>
      </c>
      <c r="Q902" s="8" t="s">
        <v>1490</v>
      </c>
    </row>
    <row r="903" spans="1:17" ht="62.1" customHeight="1">
      <c r="A903" s="5" t="s">
        <v>1483</v>
      </c>
      <c r="B903" s="5" t="s">
        <v>1386</v>
      </c>
      <c r="C903" s="9" t="s">
        <v>1484</v>
      </c>
      <c r="D903" s="5">
        <v>2</v>
      </c>
      <c r="E903" s="9" t="s">
        <v>10165</v>
      </c>
      <c r="F903" s="5">
        <v>1</v>
      </c>
      <c r="G903" s="9" t="s">
        <v>10184</v>
      </c>
      <c r="H903" s="9" t="s">
        <v>10184</v>
      </c>
      <c r="I903" s="5">
        <v>89.26</v>
      </c>
      <c r="J903" s="5">
        <v>218.16</v>
      </c>
      <c r="K903" s="5">
        <v>401.7</v>
      </c>
      <c r="L903" s="5">
        <v>413.56</v>
      </c>
      <c r="M903" s="9"/>
      <c r="N903" s="9" t="s">
        <v>10181</v>
      </c>
      <c r="O903" s="9" t="s">
        <v>10541</v>
      </c>
      <c r="P903" s="9" t="str">
        <f t="shared" si="48"/>
        <v>PDFを開く</v>
      </c>
      <c r="Q903" s="9" t="s">
        <v>1490</v>
      </c>
    </row>
    <row r="904" spans="1:17" ht="62.1" customHeight="1">
      <c r="A904" s="2" t="s">
        <v>1491</v>
      </c>
      <c r="B904" s="2" t="s">
        <v>1386</v>
      </c>
      <c r="C904" s="8" t="s">
        <v>1492</v>
      </c>
      <c r="D904" s="2">
        <v>1</v>
      </c>
      <c r="E904" s="8" t="s">
        <v>10156</v>
      </c>
      <c r="F904" s="2">
        <v>1</v>
      </c>
      <c r="G904" s="8" t="s">
        <v>9578</v>
      </c>
      <c r="H904" s="8" t="s">
        <v>9578</v>
      </c>
      <c r="I904" s="2">
        <v>39.6</v>
      </c>
      <c r="J904" s="2">
        <v>103.56</v>
      </c>
      <c r="K904" s="2">
        <v>378.84</v>
      </c>
      <c r="L904" s="2">
        <v>525.96</v>
      </c>
      <c r="M904" s="8"/>
      <c r="N904" s="8" t="s">
        <v>10159</v>
      </c>
      <c r="O904" s="8" t="s">
        <v>8535</v>
      </c>
      <c r="P904" s="8" t="str">
        <f t="shared" ref="P904:P909" si="49">HYPERLINK("https://seichotoushi-hojo.jp/assets/pdf/koufu/outline__196.pdf","PDFを開く")</f>
        <v>PDFを開く</v>
      </c>
      <c r="Q904" s="8" t="s">
        <v>1498</v>
      </c>
    </row>
    <row r="905" spans="1:17" ht="62.1" customHeight="1">
      <c r="A905" s="5" t="s">
        <v>1491</v>
      </c>
      <c r="B905" s="5" t="s">
        <v>1386</v>
      </c>
      <c r="C905" s="9" t="s">
        <v>1492</v>
      </c>
      <c r="D905" s="5">
        <v>1</v>
      </c>
      <c r="E905" s="9" t="s">
        <v>10156</v>
      </c>
      <c r="F905" s="5">
        <v>2</v>
      </c>
      <c r="G905" s="9" t="s">
        <v>10162</v>
      </c>
      <c r="H905" s="9" t="s">
        <v>10162</v>
      </c>
      <c r="I905" s="5">
        <v>396.36</v>
      </c>
      <c r="J905" s="5">
        <v>104.64</v>
      </c>
      <c r="K905" s="5">
        <v>752.4</v>
      </c>
      <c r="L905" s="5">
        <v>302.27999999999997</v>
      </c>
      <c r="M905" s="9"/>
      <c r="N905" s="9" t="s">
        <v>10159</v>
      </c>
      <c r="O905" s="9" t="s">
        <v>8536</v>
      </c>
      <c r="P905" s="9" t="str">
        <f t="shared" si="49"/>
        <v>PDFを開く</v>
      </c>
      <c r="Q905" s="9" t="s">
        <v>1498</v>
      </c>
    </row>
    <row r="906" spans="1:17" ht="62.1" customHeight="1">
      <c r="A906" s="2" t="s">
        <v>1491</v>
      </c>
      <c r="B906" s="2" t="s">
        <v>1386</v>
      </c>
      <c r="C906" s="8" t="s">
        <v>1492</v>
      </c>
      <c r="D906" s="2">
        <v>1</v>
      </c>
      <c r="E906" s="8" t="s">
        <v>10156</v>
      </c>
      <c r="F906" s="2">
        <v>3</v>
      </c>
      <c r="G906" s="8" t="s">
        <v>10163</v>
      </c>
      <c r="H906" s="8" t="s">
        <v>10163</v>
      </c>
      <c r="I906" s="2">
        <v>396.36</v>
      </c>
      <c r="J906" s="2">
        <v>329.16</v>
      </c>
      <c r="K906" s="2">
        <v>752.4</v>
      </c>
      <c r="L906" s="2">
        <v>518.64</v>
      </c>
      <c r="M906" s="8"/>
      <c r="N906" s="8" t="s">
        <v>10159</v>
      </c>
      <c r="O906" s="8" t="s">
        <v>8537</v>
      </c>
      <c r="P906" s="8" t="str">
        <f t="shared" si="49"/>
        <v>PDFを開く</v>
      </c>
      <c r="Q906" s="8" t="s">
        <v>1498</v>
      </c>
    </row>
    <row r="907" spans="1:17" ht="62.1" customHeight="1">
      <c r="A907" s="5" t="s">
        <v>1491</v>
      </c>
      <c r="B907" s="5" t="s">
        <v>1386</v>
      </c>
      <c r="C907" s="9" t="s">
        <v>1492</v>
      </c>
      <c r="D907" s="5">
        <v>1</v>
      </c>
      <c r="E907" s="9" t="s">
        <v>10156</v>
      </c>
      <c r="F907" s="5">
        <v>4</v>
      </c>
      <c r="G907" s="9" t="s">
        <v>8581</v>
      </c>
      <c r="H907" s="9" t="s">
        <v>8581</v>
      </c>
      <c r="I907" s="5">
        <v>48</v>
      </c>
      <c r="J907" s="5">
        <v>435.84</v>
      </c>
      <c r="K907" s="5">
        <v>367.56</v>
      </c>
      <c r="L907" s="5">
        <v>521.64</v>
      </c>
      <c r="M907" s="9"/>
      <c r="N907" s="9" t="s">
        <v>10159</v>
      </c>
      <c r="O907" s="9" t="s">
        <v>1496</v>
      </c>
      <c r="P907" s="9" t="str">
        <f t="shared" si="49"/>
        <v>PDFを開く</v>
      </c>
      <c r="Q907" s="9" t="s">
        <v>1498</v>
      </c>
    </row>
    <row r="908" spans="1:17" ht="62.1" customHeight="1">
      <c r="A908" s="2" t="s">
        <v>1491</v>
      </c>
      <c r="B908" s="2" t="s">
        <v>1386</v>
      </c>
      <c r="C908" s="8" t="s">
        <v>1492</v>
      </c>
      <c r="D908" s="2">
        <v>2</v>
      </c>
      <c r="E908" s="8" t="s">
        <v>10165</v>
      </c>
      <c r="F908" s="2">
        <v>1</v>
      </c>
      <c r="G908" s="8" t="s">
        <v>10184</v>
      </c>
      <c r="H908" s="8" t="s">
        <v>10184</v>
      </c>
      <c r="I908" s="2">
        <v>136.54</v>
      </c>
      <c r="J908" s="2">
        <v>190.49</v>
      </c>
      <c r="K908" s="2">
        <v>401.7</v>
      </c>
      <c r="L908" s="2">
        <v>385.89</v>
      </c>
      <c r="M908" s="8"/>
      <c r="N908" s="8" t="s">
        <v>10181</v>
      </c>
      <c r="O908" s="8" t="s">
        <v>10542</v>
      </c>
      <c r="P908" s="8" t="str">
        <f t="shared" si="49"/>
        <v>PDFを開く</v>
      </c>
      <c r="Q908" s="8" t="s">
        <v>1498</v>
      </c>
    </row>
    <row r="909" spans="1:17" ht="62.1" customHeight="1">
      <c r="A909" s="5" t="s">
        <v>1491</v>
      </c>
      <c r="B909" s="5" t="s">
        <v>1386</v>
      </c>
      <c r="C909" s="9" t="s">
        <v>1492</v>
      </c>
      <c r="D909" s="5">
        <v>2</v>
      </c>
      <c r="E909" s="9" t="s">
        <v>10165</v>
      </c>
      <c r="F909" s="5">
        <v>2</v>
      </c>
      <c r="G909" s="9" t="s">
        <v>10167</v>
      </c>
      <c r="H909" s="9" t="s">
        <v>10543</v>
      </c>
      <c r="I909" s="5">
        <v>221.28</v>
      </c>
      <c r="J909" s="5">
        <v>289.33</v>
      </c>
      <c r="K909" s="5">
        <v>740.46</v>
      </c>
      <c r="L909" s="5">
        <v>318.20999999999998</v>
      </c>
      <c r="M909" s="9"/>
      <c r="N909" s="9" t="s">
        <v>10159</v>
      </c>
      <c r="O909" s="9" t="s">
        <v>10543</v>
      </c>
      <c r="P909" s="9" t="str">
        <f t="shared" si="49"/>
        <v>PDFを開く</v>
      </c>
      <c r="Q909" s="9" t="s">
        <v>1498</v>
      </c>
    </row>
    <row r="910" spans="1:17" ht="62.1" customHeight="1">
      <c r="A910" s="2" t="s">
        <v>1499</v>
      </c>
      <c r="B910" s="2" t="s">
        <v>1386</v>
      </c>
      <c r="C910" s="8" t="s">
        <v>1500</v>
      </c>
      <c r="D910" s="2">
        <v>1</v>
      </c>
      <c r="E910" s="8" t="s">
        <v>10156</v>
      </c>
      <c r="F910" s="2">
        <v>1</v>
      </c>
      <c r="G910" s="8" t="s">
        <v>9578</v>
      </c>
      <c r="H910" s="8" t="s">
        <v>9578</v>
      </c>
      <c r="I910" s="2">
        <v>39.6</v>
      </c>
      <c r="J910" s="2">
        <v>101.76</v>
      </c>
      <c r="K910" s="2">
        <v>378.84</v>
      </c>
      <c r="L910" s="2">
        <v>499.68</v>
      </c>
      <c r="M910" s="8"/>
      <c r="N910" s="8" t="s">
        <v>10159</v>
      </c>
      <c r="O910" s="8" t="s">
        <v>8542</v>
      </c>
      <c r="P910" s="8" t="str">
        <f>HYPERLINK("https://seichotoushi-hojo.jp/assets/pdf/koufu/outline__197.pdf","PDFを開く")</f>
        <v>PDFを開く</v>
      </c>
      <c r="Q910" s="8" t="s">
        <v>1505</v>
      </c>
    </row>
    <row r="911" spans="1:17" ht="62.1" customHeight="1">
      <c r="A911" s="5" t="s">
        <v>1499</v>
      </c>
      <c r="B911" s="5" t="s">
        <v>1386</v>
      </c>
      <c r="C911" s="9" t="s">
        <v>1500</v>
      </c>
      <c r="D911" s="5">
        <v>1</v>
      </c>
      <c r="E911" s="9" t="s">
        <v>10156</v>
      </c>
      <c r="F911" s="5">
        <v>2</v>
      </c>
      <c r="G911" s="9" t="s">
        <v>10162</v>
      </c>
      <c r="H911" s="9" t="s">
        <v>10162</v>
      </c>
      <c r="I911" s="5">
        <v>396.36</v>
      </c>
      <c r="J911" s="5">
        <v>101.76</v>
      </c>
      <c r="K911" s="5">
        <v>739.8</v>
      </c>
      <c r="L911" s="5">
        <v>345.96</v>
      </c>
      <c r="M911" s="9"/>
      <c r="N911" s="9" t="s">
        <v>10159</v>
      </c>
      <c r="O911" s="9" t="s">
        <v>8543</v>
      </c>
      <c r="P911" s="9" t="str">
        <f>HYPERLINK("https://seichotoushi-hojo.jp/assets/pdf/koufu/outline__197.pdf","PDFを開く")</f>
        <v>PDFを開く</v>
      </c>
      <c r="Q911" s="9" t="s">
        <v>1505</v>
      </c>
    </row>
    <row r="912" spans="1:17" ht="62.1" customHeight="1">
      <c r="A912" s="2" t="s">
        <v>1499</v>
      </c>
      <c r="B912" s="2" t="s">
        <v>1386</v>
      </c>
      <c r="C912" s="8" t="s">
        <v>1500</v>
      </c>
      <c r="D912" s="2">
        <v>1</v>
      </c>
      <c r="E912" s="8" t="s">
        <v>10156</v>
      </c>
      <c r="F912" s="2">
        <v>3</v>
      </c>
      <c r="G912" s="8" t="s">
        <v>10163</v>
      </c>
      <c r="H912" s="8" t="s">
        <v>10163</v>
      </c>
      <c r="I912" s="2">
        <v>396.36</v>
      </c>
      <c r="J912" s="2">
        <v>351.24</v>
      </c>
      <c r="K912" s="2">
        <v>739.8</v>
      </c>
      <c r="L912" s="2">
        <v>499.68</v>
      </c>
      <c r="M912" s="8"/>
      <c r="N912" s="8" t="s">
        <v>10159</v>
      </c>
      <c r="O912" s="8" t="s">
        <v>8544</v>
      </c>
      <c r="P912" s="8" t="str">
        <f>HYPERLINK("https://seichotoushi-hojo.jp/assets/pdf/koufu/outline__197.pdf","PDFを開く")</f>
        <v>PDFを開く</v>
      </c>
      <c r="Q912" s="8" t="s">
        <v>1505</v>
      </c>
    </row>
    <row r="913" spans="1:17" ht="62.1" customHeight="1">
      <c r="A913" s="5" t="s">
        <v>1499</v>
      </c>
      <c r="B913" s="5" t="s">
        <v>1386</v>
      </c>
      <c r="C913" s="9" t="s">
        <v>1500</v>
      </c>
      <c r="D913" s="5">
        <v>1</v>
      </c>
      <c r="E913" s="9" t="s">
        <v>10156</v>
      </c>
      <c r="F913" s="5">
        <v>4</v>
      </c>
      <c r="G913" s="9" t="s">
        <v>8581</v>
      </c>
      <c r="H913" s="9" t="s">
        <v>8581</v>
      </c>
      <c r="I913" s="5">
        <v>48</v>
      </c>
      <c r="J913" s="5">
        <v>431.64</v>
      </c>
      <c r="K913" s="5">
        <v>367.56</v>
      </c>
      <c r="L913" s="5">
        <v>492.6</v>
      </c>
      <c r="M913" s="9"/>
      <c r="N913" s="9" t="s">
        <v>10159</v>
      </c>
      <c r="O913" s="9" t="s">
        <v>8545</v>
      </c>
      <c r="P913" s="9" t="str">
        <f>HYPERLINK("https://seichotoushi-hojo.jp/assets/pdf/koufu/outline__197.pdf","PDFを開く")</f>
        <v>PDFを開く</v>
      </c>
      <c r="Q913" s="9" t="s">
        <v>1505</v>
      </c>
    </row>
    <row r="914" spans="1:17" ht="62.1" customHeight="1">
      <c r="A914" s="2" t="s">
        <v>1506</v>
      </c>
      <c r="B914" s="2" t="s">
        <v>1386</v>
      </c>
      <c r="C914" s="8" t="s">
        <v>1507</v>
      </c>
      <c r="D914" s="2">
        <v>1</v>
      </c>
      <c r="E914" s="8" t="s">
        <v>10156</v>
      </c>
      <c r="F914" s="2">
        <v>1</v>
      </c>
      <c r="G914" s="8" t="s">
        <v>9578</v>
      </c>
      <c r="H914" s="8" t="s">
        <v>9578</v>
      </c>
      <c r="I914" s="2">
        <v>39.659999999999997</v>
      </c>
      <c r="J914" s="2">
        <v>116.18</v>
      </c>
      <c r="K914" s="2">
        <v>378.79</v>
      </c>
      <c r="L914" s="2">
        <v>526.5</v>
      </c>
      <c r="M914" s="8"/>
      <c r="N914" s="8" t="s">
        <v>10159</v>
      </c>
      <c r="O914" s="8" t="s">
        <v>8550</v>
      </c>
      <c r="P914" s="8" t="str">
        <f>HYPERLINK("https://seichotoushi-hojo.jp/assets/pdf/koufu/outline__198.pdf","PDFを開く")</f>
        <v>PDFを開く</v>
      </c>
      <c r="Q914" s="8" t="s">
        <v>1513</v>
      </c>
    </row>
    <row r="915" spans="1:17" ht="62.1" customHeight="1">
      <c r="A915" s="5" t="s">
        <v>1506</v>
      </c>
      <c r="B915" s="5" t="s">
        <v>1386</v>
      </c>
      <c r="C915" s="9" t="s">
        <v>1507</v>
      </c>
      <c r="D915" s="5">
        <v>1</v>
      </c>
      <c r="E915" s="9" t="s">
        <v>10156</v>
      </c>
      <c r="F915" s="5">
        <v>2</v>
      </c>
      <c r="G915" s="9" t="s">
        <v>10162</v>
      </c>
      <c r="H915" s="9" t="s">
        <v>10162</v>
      </c>
      <c r="I915" s="5">
        <v>396.3</v>
      </c>
      <c r="J915" s="5">
        <v>137.65</v>
      </c>
      <c r="K915" s="5">
        <v>739.78</v>
      </c>
      <c r="L915" s="5">
        <v>295.95</v>
      </c>
      <c r="M915" s="9"/>
      <c r="N915" s="9" t="s">
        <v>10159</v>
      </c>
      <c r="O915" s="9" t="s">
        <v>8551</v>
      </c>
      <c r="P915" s="9" t="str">
        <f>HYPERLINK("https://seichotoushi-hojo.jp/assets/pdf/koufu/outline__198.pdf","PDFを開く")</f>
        <v>PDFを開く</v>
      </c>
      <c r="Q915" s="9" t="s">
        <v>1513</v>
      </c>
    </row>
    <row r="916" spans="1:17" ht="62.1" customHeight="1">
      <c r="A916" s="2" t="s">
        <v>1506</v>
      </c>
      <c r="B916" s="2" t="s">
        <v>1386</v>
      </c>
      <c r="C916" s="8" t="s">
        <v>1507</v>
      </c>
      <c r="D916" s="2">
        <v>1</v>
      </c>
      <c r="E916" s="8" t="s">
        <v>10156</v>
      </c>
      <c r="F916" s="2">
        <v>3</v>
      </c>
      <c r="G916" s="8" t="s">
        <v>10163</v>
      </c>
      <c r="H916" s="8" t="s">
        <v>10163</v>
      </c>
      <c r="I916" s="2">
        <v>396.3</v>
      </c>
      <c r="J916" s="2">
        <v>323.26</v>
      </c>
      <c r="K916" s="2">
        <v>739.78</v>
      </c>
      <c r="L916" s="2">
        <v>489.27</v>
      </c>
      <c r="M916" s="8"/>
      <c r="N916" s="8" t="s">
        <v>10159</v>
      </c>
      <c r="O916" s="8" t="s">
        <v>8552</v>
      </c>
      <c r="P916" s="8" t="str">
        <f>HYPERLINK("https://seichotoushi-hojo.jp/assets/pdf/koufu/outline__198.pdf","PDFを開く")</f>
        <v>PDFを開く</v>
      </c>
      <c r="Q916" s="8" t="s">
        <v>1513</v>
      </c>
    </row>
    <row r="917" spans="1:17" ht="62.1" customHeight="1">
      <c r="A917" s="5" t="s">
        <v>1506</v>
      </c>
      <c r="B917" s="5" t="s">
        <v>1386</v>
      </c>
      <c r="C917" s="9" t="s">
        <v>1507</v>
      </c>
      <c r="D917" s="5">
        <v>1</v>
      </c>
      <c r="E917" s="9" t="s">
        <v>10156</v>
      </c>
      <c r="F917" s="5">
        <v>4</v>
      </c>
      <c r="G917" s="9" t="s">
        <v>8581</v>
      </c>
      <c r="H917" s="9" t="s">
        <v>8581</v>
      </c>
      <c r="I917" s="5">
        <v>49.47</v>
      </c>
      <c r="J917" s="5">
        <v>432.81</v>
      </c>
      <c r="K917" s="5">
        <v>368.97</v>
      </c>
      <c r="L917" s="5">
        <v>517.04999999999995</v>
      </c>
      <c r="M917" s="9"/>
      <c r="N917" s="9" t="s">
        <v>10159</v>
      </c>
      <c r="O917" s="9" t="s">
        <v>1511</v>
      </c>
      <c r="P917" s="9" t="str">
        <f>HYPERLINK("https://seichotoushi-hojo.jp/assets/pdf/koufu/outline__198.pdf","PDFを開く")</f>
        <v>PDFを開く</v>
      </c>
      <c r="Q917" s="9" t="s">
        <v>1513</v>
      </c>
    </row>
    <row r="918" spans="1:17" ht="62.1" customHeight="1">
      <c r="A918" s="2" t="s">
        <v>1506</v>
      </c>
      <c r="B918" s="2" t="s">
        <v>1386</v>
      </c>
      <c r="C918" s="8" t="s">
        <v>1507</v>
      </c>
      <c r="D918" s="2">
        <v>2</v>
      </c>
      <c r="E918" s="8" t="s">
        <v>10165</v>
      </c>
      <c r="F918" s="2">
        <v>1</v>
      </c>
      <c r="G918" s="8" t="s">
        <v>10167</v>
      </c>
      <c r="H918" s="8" t="s">
        <v>10544</v>
      </c>
      <c r="I918" s="2">
        <v>477.03</v>
      </c>
      <c r="J918" s="2">
        <v>150.22</v>
      </c>
      <c r="K918" s="2">
        <v>762.48</v>
      </c>
      <c r="L918" s="2">
        <v>402.36</v>
      </c>
      <c r="M918" s="8"/>
      <c r="N918" s="8" t="s">
        <v>10159</v>
      </c>
      <c r="O918" s="8" t="s">
        <v>10545</v>
      </c>
      <c r="P918" s="8" t="str">
        <f>HYPERLINK("https://seichotoushi-hojo.jp/assets/pdf/koufu/outline__198.pdf","PDFを開く")</f>
        <v>PDFを開く</v>
      </c>
      <c r="Q918" s="8" t="s">
        <v>1513</v>
      </c>
    </row>
    <row r="919" spans="1:17" ht="62.1" customHeight="1">
      <c r="A919" s="5" t="s">
        <v>1514</v>
      </c>
      <c r="B919" s="5" t="s">
        <v>1386</v>
      </c>
      <c r="C919" s="9" t="s">
        <v>1515</v>
      </c>
      <c r="D919" s="5">
        <v>1</v>
      </c>
      <c r="E919" s="9" t="s">
        <v>10156</v>
      </c>
      <c r="F919" s="5">
        <v>1</v>
      </c>
      <c r="G919" s="9" t="s">
        <v>10157</v>
      </c>
      <c r="H919" s="9" t="s">
        <v>10157</v>
      </c>
      <c r="I919" s="5">
        <v>40.299999999999997</v>
      </c>
      <c r="J919" s="5">
        <v>46.65</v>
      </c>
      <c r="K919" s="5">
        <v>656.5</v>
      </c>
      <c r="L919" s="5">
        <v>67.05</v>
      </c>
      <c r="M919" s="9" t="s">
        <v>10158</v>
      </c>
      <c r="N919" s="9" t="s">
        <v>10159</v>
      </c>
      <c r="O919" s="9" t="s">
        <v>8557</v>
      </c>
      <c r="P919" s="9" t="str">
        <f t="shared" ref="P919:P925" si="50">HYPERLINK("https://seichotoushi-hojo.jp/assets/pdf/koufu/outline__199.pdf","PDFを開く")</f>
        <v>PDFを開く</v>
      </c>
      <c r="Q919" s="9" t="s">
        <v>1521</v>
      </c>
    </row>
    <row r="920" spans="1:17" ht="62.1" customHeight="1">
      <c r="A920" s="2" t="s">
        <v>1514</v>
      </c>
      <c r="B920" s="2" t="s">
        <v>1386</v>
      </c>
      <c r="C920" s="8" t="s">
        <v>1515</v>
      </c>
      <c r="D920" s="2">
        <v>1</v>
      </c>
      <c r="E920" s="8" t="s">
        <v>10156</v>
      </c>
      <c r="F920" s="2">
        <v>2</v>
      </c>
      <c r="G920" s="8" t="s">
        <v>10167</v>
      </c>
      <c r="H920" s="8" t="s">
        <v>10546</v>
      </c>
      <c r="I920" s="2">
        <v>33.72</v>
      </c>
      <c r="J920" s="2">
        <v>104</v>
      </c>
      <c r="K920" s="2">
        <v>752.97</v>
      </c>
      <c r="L920" s="2">
        <v>366.87</v>
      </c>
      <c r="M920" s="8"/>
      <c r="N920" s="8" t="s">
        <v>10159</v>
      </c>
      <c r="O920" s="8" t="s">
        <v>10547</v>
      </c>
      <c r="P920" s="8" t="str">
        <f t="shared" si="50"/>
        <v>PDFを開く</v>
      </c>
      <c r="Q920" s="8" t="s">
        <v>1521</v>
      </c>
    </row>
    <row r="921" spans="1:17" ht="62.1" customHeight="1">
      <c r="A921" s="5" t="s">
        <v>1514</v>
      </c>
      <c r="B921" s="5" t="s">
        <v>1386</v>
      </c>
      <c r="C921" s="9" t="s">
        <v>1515</v>
      </c>
      <c r="D921" s="5">
        <v>2</v>
      </c>
      <c r="E921" s="9" t="s">
        <v>10156</v>
      </c>
      <c r="F921" s="5">
        <v>1</v>
      </c>
      <c r="G921" s="9" t="s">
        <v>10167</v>
      </c>
      <c r="H921" s="9" t="s">
        <v>10548</v>
      </c>
      <c r="I921" s="5">
        <v>40.22</v>
      </c>
      <c r="J921" s="5">
        <v>99.48</v>
      </c>
      <c r="K921" s="5">
        <v>739.78</v>
      </c>
      <c r="L921" s="5">
        <v>156.01</v>
      </c>
      <c r="M921" s="9"/>
      <c r="N921" s="9" t="s">
        <v>10159</v>
      </c>
      <c r="O921" s="9" t="s">
        <v>10549</v>
      </c>
      <c r="P921" s="9" t="str">
        <f t="shared" si="50"/>
        <v>PDFを開く</v>
      </c>
      <c r="Q921" s="9" t="s">
        <v>1521</v>
      </c>
    </row>
    <row r="922" spans="1:17" ht="62.1" customHeight="1">
      <c r="A922" s="2" t="s">
        <v>1514</v>
      </c>
      <c r="B922" s="2" t="s">
        <v>1386</v>
      </c>
      <c r="C922" s="8" t="s">
        <v>1515</v>
      </c>
      <c r="D922" s="2">
        <v>2</v>
      </c>
      <c r="E922" s="8" t="s">
        <v>10156</v>
      </c>
      <c r="F922" s="2">
        <v>2</v>
      </c>
      <c r="G922" s="8" t="s">
        <v>9578</v>
      </c>
      <c r="H922" s="8" t="s">
        <v>9578</v>
      </c>
      <c r="I922" s="2">
        <v>44.06</v>
      </c>
      <c r="J922" s="2">
        <v>166.33</v>
      </c>
      <c r="K922" s="2">
        <v>383.19</v>
      </c>
      <c r="L922" s="2">
        <v>498.19</v>
      </c>
      <c r="M922" s="8"/>
      <c r="N922" s="8" t="s">
        <v>10159</v>
      </c>
      <c r="O922" s="8" t="s">
        <v>8558</v>
      </c>
      <c r="P922" s="8" t="str">
        <f t="shared" si="50"/>
        <v>PDFを開く</v>
      </c>
      <c r="Q922" s="8" t="s">
        <v>1521</v>
      </c>
    </row>
    <row r="923" spans="1:17" ht="62.1" customHeight="1">
      <c r="A923" s="5" t="s">
        <v>1514</v>
      </c>
      <c r="B923" s="5" t="s">
        <v>1386</v>
      </c>
      <c r="C923" s="9" t="s">
        <v>1515</v>
      </c>
      <c r="D923" s="5">
        <v>2</v>
      </c>
      <c r="E923" s="9" t="s">
        <v>10156</v>
      </c>
      <c r="F923" s="5">
        <v>3</v>
      </c>
      <c r="G923" s="9" t="s">
        <v>10162</v>
      </c>
      <c r="H923" s="9" t="s">
        <v>10162</v>
      </c>
      <c r="I923" s="5">
        <v>396.3</v>
      </c>
      <c r="J923" s="5">
        <v>170.15</v>
      </c>
      <c r="K923" s="5">
        <v>739.78</v>
      </c>
      <c r="L923" s="5">
        <v>328.45</v>
      </c>
      <c r="M923" s="9"/>
      <c r="N923" s="9" t="s">
        <v>10159</v>
      </c>
      <c r="O923" s="9" t="s">
        <v>8559</v>
      </c>
      <c r="P923" s="9" t="str">
        <f t="shared" si="50"/>
        <v>PDFを開く</v>
      </c>
      <c r="Q923" s="9" t="s">
        <v>1521</v>
      </c>
    </row>
    <row r="924" spans="1:17" ht="62.1" customHeight="1">
      <c r="A924" s="2" t="s">
        <v>1514</v>
      </c>
      <c r="B924" s="2" t="s">
        <v>1386</v>
      </c>
      <c r="C924" s="8" t="s">
        <v>1515</v>
      </c>
      <c r="D924" s="2">
        <v>2</v>
      </c>
      <c r="E924" s="8" t="s">
        <v>10156</v>
      </c>
      <c r="F924" s="2">
        <v>4</v>
      </c>
      <c r="G924" s="8" t="s">
        <v>10163</v>
      </c>
      <c r="H924" s="8" t="s">
        <v>10163</v>
      </c>
      <c r="I924" s="2">
        <v>396.3</v>
      </c>
      <c r="J924" s="2">
        <v>341.42</v>
      </c>
      <c r="K924" s="2">
        <v>739.78</v>
      </c>
      <c r="L924" s="2">
        <v>526.37</v>
      </c>
      <c r="M924" s="8"/>
      <c r="N924" s="8" t="s">
        <v>10159</v>
      </c>
      <c r="O924" s="8" t="s">
        <v>8560</v>
      </c>
      <c r="P924" s="8" t="str">
        <f t="shared" si="50"/>
        <v>PDFを開く</v>
      </c>
      <c r="Q924" s="8" t="s">
        <v>1521</v>
      </c>
    </row>
    <row r="925" spans="1:17" ht="62.1" customHeight="1">
      <c r="A925" s="5" t="s">
        <v>1514</v>
      </c>
      <c r="B925" s="5" t="s">
        <v>1386</v>
      </c>
      <c r="C925" s="9" t="s">
        <v>1515</v>
      </c>
      <c r="D925" s="5">
        <v>2</v>
      </c>
      <c r="E925" s="9" t="s">
        <v>10156</v>
      </c>
      <c r="F925" s="5">
        <v>5</v>
      </c>
      <c r="G925" s="9" t="s">
        <v>8581</v>
      </c>
      <c r="H925" s="9" t="s">
        <v>8581</v>
      </c>
      <c r="I925" s="5">
        <v>53.33</v>
      </c>
      <c r="J925" s="5">
        <v>468.32</v>
      </c>
      <c r="K925" s="5">
        <v>373.93</v>
      </c>
      <c r="L925" s="5">
        <v>531.13</v>
      </c>
      <c r="M925" s="9"/>
      <c r="N925" s="9" t="s">
        <v>10159</v>
      </c>
      <c r="O925" s="9" t="s">
        <v>1519</v>
      </c>
      <c r="P925" s="9" t="str">
        <f t="shared" si="50"/>
        <v>PDFを開く</v>
      </c>
      <c r="Q925" s="9" t="s">
        <v>1521</v>
      </c>
    </row>
    <row r="926" spans="1:17" ht="62.1" customHeight="1">
      <c r="A926" s="2" t="s">
        <v>1522</v>
      </c>
      <c r="B926" s="2" t="s">
        <v>1386</v>
      </c>
      <c r="C926" s="8" t="s">
        <v>1523</v>
      </c>
      <c r="D926" s="2">
        <v>1</v>
      </c>
      <c r="E926" s="8" t="s">
        <v>10156</v>
      </c>
      <c r="F926" s="2">
        <v>1</v>
      </c>
      <c r="G926" s="8" t="s">
        <v>9578</v>
      </c>
      <c r="H926" s="8" t="s">
        <v>9578</v>
      </c>
      <c r="I926" s="2">
        <v>22.98</v>
      </c>
      <c r="J926" s="2">
        <v>140.63</v>
      </c>
      <c r="K926" s="2">
        <v>408.63</v>
      </c>
      <c r="L926" s="2">
        <v>540.41999999999996</v>
      </c>
      <c r="M926" s="8"/>
      <c r="N926" s="8" t="s">
        <v>10159</v>
      </c>
      <c r="O926" s="8" t="s">
        <v>8565</v>
      </c>
      <c r="P926" s="8" t="str">
        <f>HYPERLINK("https://seichotoushi-hojo.jp/assets/pdf/koufu/outline__200.pdf","PDFを開く")</f>
        <v>PDFを開く</v>
      </c>
      <c r="Q926" s="8" t="s">
        <v>1527</v>
      </c>
    </row>
    <row r="927" spans="1:17" ht="62.1" customHeight="1">
      <c r="A927" s="5" t="s">
        <v>1522</v>
      </c>
      <c r="B927" s="5" t="s">
        <v>1386</v>
      </c>
      <c r="C927" s="9" t="s">
        <v>1523</v>
      </c>
      <c r="D927" s="5">
        <v>1</v>
      </c>
      <c r="E927" s="9" t="s">
        <v>10156</v>
      </c>
      <c r="F927" s="5">
        <v>2</v>
      </c>
      <c r="G927" s="9" t="s">
        <v>10162</v>
      </c>
      <c r="H927" s="9" t="s">
        <v>10162</v>
      </c>
      <c r="I927" s="5">
        <v>427.17</v>
      </c>
      <c r="J927" s="5">
        <v>182.89</v>
      </c>
      <c r="K927" s="5">
        <v>790.46</v>
      </c>
      <c r="L927" s="5">
        <v>350.28</v>
      </c>
      <c r="M927" s="9"/>
      <c r="N927" s="9" t="s">
        <v>10159</v>
      </c>
      <c r="O927" s="9" t="s">
        <v>8566</v>
      </c>
      <c r="P927" s="9" t="str">
        <f>HYPERLINK("https://seichotoushi-hojo.jp/assets/pdf/koufu/outline__200.pdf","PDFを開く")</f>
        <v>PDFを開く</v>
      </c>
      <c r="Q927" s="9" t="s">
        <v>1527</v>
      </c>
    </row>
    <row r="928" spans="1:17" ht="62.1" customHeight="1">
      <c r="A928" s="2" t="s">
        <v>1522</v>
      </c>
      <c r="B928" s="2" t="s">
        <v>1386</v>
      </c>
      <c r="C928" s="8" t="s">
        <v>1523</v>
      </c>
      <c r="D928" s="2">
        <v>1</v>
      </c>
      <c r="E928" s="8" t="s">
        <v>10156</v>
      </c>
      <c r="F928" s="2">
        <v>3</v>
      </c>
      <c r="G928" s="8" t="s">
        <v>10163</v>
      </c>
      <c r="H928" s="8" t="s">
        <v>10163</v>
      </c>
      <c r="I928" s="2">
        <v>427.17</v>
      </c>
      <c r="J928" s="2">
        <v>364</v>
      </c>
      <c r="K928" s="2">
        <v>790.46</v>
      </c>
      <c r="L928" s="2">
        <v>531.39</v>
      </c>
      <c r="M928" s="8"/>
      <c r="N928" s="8" t="s">
        <v>10159</v>
      </c>
      <c r="O928" s="8" t="s">
        <v>8567</v>
      </c>
      <c r="P928" s="8" t="str">
        <f>HYPERLINK("https://seichotoushi-hojo.jp/assets/pdf/koufu/outline__200.pdf","PDFを開く")</f>
        <v>PDFを開く</v>
      </c>
      <c r="Q928" s="8" t="s">
        <v>1527</v>
      </c>
    </row>
    <row r="929" spans="1:17" ht="62.1" customHeight="1">
      <c r="A929" s="5" t="s">
        <v>1528</v>
      </c>
      <c r="B929" s="5" t="s">
        <v>1386</v>
      </c>
      <c r="C929" s="9" t="s">
        <v>1529</v>
      </c>
      <c r="D929" s="5">
        <v>1</v>
      </c>
      <c r="E929" s="9" t="s">
        <v>10156</v>
      </c>
      <c r="F929" s="5">
        <v>1</v>
      </c>
      <c r="G929" s="9" t="s">
        <v>9578</v>
      </c>
      <c r="H929" s="9" t="s">
        <v>9578</v>
      </c>
      <c r="I929" s="5">
        <v>39.6</v>
      </c>
      <c r="J929" s="5">
        <v>99.84</v>
      </c>
      <c r="K929" s="5">
        <v>378.84</v>
      </c>
      <c r="L929" s="5">
        <v>524.64</v>
      </c>
      <c r="M929" s="9"/>
      <c r="N929" s="9" t="s">
        <v>10159</v>
      </c>
      <c r="O929" s="9" t="s">
        <v>8571</v>
      </c>
      <c r="P929" s="9" t="str">
        <f>HYPERLINK("https://seichotoushi-hojo.jp/assets/pdf/koufu/outline__201.pdf","PDFを開く")</f>
        <v>PDFを開く</v>
      </c>
      <c r="Q929" s="9" t="s">
        <v>1534</v>
      </c>
    </row>
    <row r="930" spans="1:17" ht="62.1" customHeight="1">
      <c r="A930" s="2" t="s">
        <v>1528</v>
      </c>
      <c r="B930" s="2" t="s">
        <v>1386</v>
      </c>
      <c r="C930" s="8" t="s">
        <v>1529</v>
      </c>
      <c r="D930" s="2">
        <v>1</v>
      </c>
      <c r="E930" s="8" t="s">
        <v>10156</v>
      </c>
      <c r="F930" s="2">
        <v>2</v>
      </c>
      <c r="G930" s="8" t="s">
        <v>10162</v>
      </c>
      <c r="H930" s="8" t="s">
        <v>10162</v>
      </c>
      <c r="I930" s="2">
        <v>396.36</v>
      </c>
      <c r="J930" s="2">
        <v>102.84</v>
      </c>
      <c r="K930" s="2">
        <v>739.8</v>
      </c>
      <c r="L930" s="2">
        <v>313.08</v>
      </c>
      <c r="M930" s="8"/>
      <c r="N930" s="8" t="s">
        <v>10159</v>
      </c>
      <c r="O930" s="8" t="s">
        <v>8572</v>
      </c>
      <c r="P930" s="8" t="str">
        <f>HYPERLINK("https://seichotoushi-hojo.jp/assets/pdf/koufu/outline__201.pdf","PDFを開く")</f>
        <v>PDFを開く</v>
      </c>
      <c r="Q930" s="8" t="s">
        <v>1534</v>
      </c>
    </row>
    <row r="931" spans="1:17" ht="62.1" customHeight="1">
      <c r="A931" s="5" t="s">
        <v>1528</v>
      </c>
      <c r="B931" s="5" t="s">
        <v>1386</v>
      </c>
      <c r="C931" s="9" t="s">
        <v>1529</v>
      </c>
      <c r="D931" s="5">
        <v>1</v>
      </c>
      <c r="E931" s="9" t="s">
        <v>10156</v>
      </c>
      <c r="F931" s="5">
        <v>3</v>
      </c>
      <c r="G931" s="9" t="s">
        <v>10163</v>
      </c>
      <c r="H931" s="9" t="s">
        <v>10163</v>
      </c>
      <c r="I931" s="5">
        <v>396.36</v>
      </c>
      <c r="J931" s="5">
        <v>314.27999999999997</v>
      </c>
      <c r="K931" s="5">
        <v>739.8</v>
      </c>
      <c r="L931" s="5">
        <v>524.64</v>
      </c>
      <c r="M931" s="9"/>
      <c r="N931" s="9" t="s">
        <v>10159</v>
      </c>
      <c r="O931" s="9" t="s">
        <v>8573</v>
      </c>
      <c r="P931" s="9" t="str">
        <f>HYPERLINK("https://seichotoushi-hojo.jp/assets/pdf/koufu/outline__201.pdf","PDFを開く")</f>
        <v>PDFを開く</v>
      </c>
      <c r="Q931" s="9" t="s">
        <v>1534</v>
      </c>
    </row>
    <row r="932" spans="1:17" ht="62.1" customHeight="1">
      <c r="A932" s="2" t="s">
        <v>1528</v>
      </c>
      <c r="B932" s="2" t="s">
        <v>1386</v>
      </c>
      <c r="C932" s="8" t="s">
        <v>1529</v>
      </c>
      <c r="D932" s="2">
        <v>1</v>
      </c>
      <c r="E932" s="8" t="s">
        <v>10156</v>
      </c>
      <c r="F932" s="2">
        <v>4</v>
      </c>
      <c r="G932" s="8" t="s">
        <v>8581</v>
      </c>
      <c r="H932" s="8" t="s">
        <v>8581</v>
      </c>
      <c r="I932" s="2">
        <v>48</v>
      </c>
      <c r="J932" s="2">
        <v>441.96</v>
      </c>
      <c r="K932" s="2">
        <v>367.56</v>
      </c>
      <c r="L932" s="2">
        <v>522.12</v>
      </c>
      <c r="M932" s="8"/>
      <c r="N932" s="8" t="s">
        <v>10159</v>
      </c>
      <c r="O932" s="8" t="s">
        <v>1532</v>
      </c>
      <c r="P932" s="8" t="str">
        <f>HYPERLINK("https://seichotoushi-hojo.jp/assets/pdf/koufu/outline__201.pdf","PDFを開く")</f>
        <v>PDFを開く</v>
      </c>
      <c r="Q932" s="8" t="s">
        <v>1534</v>
      </c>
    </row>
    <row r="933" spans="1:17" ht="62.1" customHeight="1">
      <c r="A933" s="5" t="s">
        <v>1535</v>
      </c>
      <c r="B933" s="5" t="s">
        <v>1386</v>
      </c>
      <c r="C933" s="9" t="s">
        <v>1536</v>
      </c>
      <c r="D933" s="5">
        <v>1</v>
      </c>
      <c r="E933" s="9" t="s">
        <v>10156</v>
      </c>
      <c r="F933" s="5">
        <v>1</v>
      </c>
      <c r="G933" s="9" t="s">
        <v>9578</v>
      </c>
      <c r="H933" s="9" t="s">
        <v>9578</v>
      </c>
      <c r="I933" s="5">
        <v>3.6</v>
      </c>
      <c r="J933" s="5">
        <v>110.18</v>
      </c>
      <c r="K933" s="5">
        <v>413.9</v>
      </c>
      <c r="L933" s="5">
        <v>583.88</v>
      </c>
      <c r="M933" s="9"/>
      <c r="N933" s="9" t="s">
        <v>10159</v>
      </c>
      <c r="O933" s="9" t="s">
        <v>8578</v>
      </c>
      <c r="P933" s="9" t="str">
        <f>HYPERLINK("https://seichotoushi-hojo.jp/assets/pdf/koufu/outline__202.pdf","PDFを開く")</f>
        <v>PDFを開く</v>
      </c>
      <c r="Q933" s="9" t="s">
        <v>1542</v>
      </c>
    </row>
    <row r="934" spans="1:17" ht="62.1" customHeight="1">
      <c r="A934" s="2" t="s">
        <v>1535</v>
      </c>
      <c r="B934" s="2" t="s">
        <v>1386</v>
      </c>
      <c r="C934" s="8" t="s">
        <v>1536</v>
      </c>
      <c r="D934" s="2">
        <v>1</v>
      </c>
      <c r="E934" s="8" t="s">
        <v>10156</v>
      </c>
      <c r="F934" s="2">
        <v>2</v>
      </c>
      <c r="G934" s="8" t="s">
        <v>10162</v>
      </c>
      <c r="H934" s="8" t="s">
        <v>10162</v>
      </c>
      <c r="I934" s="2">
        <v>435.3</v>
      </c>
      <c r="J934" s="2">
        <v>110.98</v>
      </c>
      <c r="K934" s="2">
        <v>815.4</v>
      </c>
      <c r="L934" s="2">
        <v>318.08</v>
      </c>
      <c r="M934" s="8"/>
      <c r="N934" s="8" t="s">
        <v>10159</v>
      </c>
      <c r="O934" s="8" t="s">
        <v>8579</v>
      </c>
      <c r="P934" s="8" t="str">
        <f>HYPERLINK("https://seichotoushi-hojo.jp/assets/pdf/koufu/outline__202.pdf","PDFを開く")</f>
        <v>PDFを開く</v>
      </c>
      <c r="Q934" s="8" t="s">
        <v>1542</v>
      </c>
    </row>
    <row r="935" spans="1:17" ht="62.1" customHeight="1">
      <c r="A935" s="5" t="s">
        <v>1535</v>
      </c>
      <c r="B935" s="5" t="s">
        <v>1386</v>
      </c>
      <c r="C935" s="9" t="s">
        <v>1536</v>
      </c>
      <c r="D935" s="5">
        <v>1</v>
      </c>
      <c r="E935" s="9" t="s">
        <v>10156</v>
      </c>
      <c r="F935" s="5">
        <v>3</v>
      </c>
      <c r="G935" s="9" t="s">
        <v>10163</v>
      </c>
      <c r="H935" s="9" t="s">
        <v>10163</v>
      </c>
      <c r="I935" s="5">
        <v>434.6</v>
      </c>
      <c r="J935" s="5">
        <v>329.38</v>
      </c>
      <c r="K935" s="5">
        <v>814.7</v>
      </c>
      <c r="L935" s="5">
        <v>573.67999999999995</v>
      </c>
      <c r="M935" s="9"/>
      <c r="N935" s="9" t="s">
        <v>10159</v>
      </c>
      <c r="O935" s="9" t="s">
        <v>8580</v>
      </c>
      <c r="P935" s="9" t="str">
        <f>HYPERLINK("https://seichotoushi-hojo.jp/assets/pdf/koufu/outline__202.pdf","PDFを開く")</f>
        <v>PDFを開く</v>
      </c>
      <c r="Q935" s="9" t="s">
        <v>1542</v>
      </c>
    </row>
    <row r="936" spans="1:17" ht="62.1" customHeight="1">
      <c r="A936" s="2" t="s">
        <v>1535</v>
      </c>
      <c r="B936" s="2" t="s">
        <v>1386</v>
      </c>
      <c r="C936" s="8" t="s">
        <v>1536</v>
      </c>
      <c r="D936" s="2">
        <v>1</v>
      </c>
      <c r="E936" s="8" t="s">
        <v>10156</v>
      </c>
      <c r="F936" s="2">
        <v>4</v>
      </c>
      <c r="G936" s="8" t="s">
        <v>8581</v>
      </c>
      <c r="H936" s="8" t="s">
        <v>8581</v>
      </c>
      <c r="I936" s="2">
        <v>9.3000000000000007</v>
      </c>
      <c r="J936" s="2">
        <v>398.98</v>
      </c>
      <c r="K936" s="2">
        <v>212.5</v>
      </c>
      <c r="L936" s="2">
        <v>427.78</v>
      </c>
      <c r="M936" s="8"/>
      <c r="N936" s="8" t="s">
        <v>10159</v>
      </c>
      <c r="O936" s="8" t="s">
        <v>8581</v>
      </c>
      <c r="P936" s="8" t="str">
        <f>HYPERLINK("https://seichotoushi-hojo.jp/assets/pdf/koufu/outline__202.pdf","PDFを開く")</f>
        <v>PDFを開く</v>
      </c>
      <c r="Q936" s="8" t="s">
        <v>1542</v>
      </c>
    </row>
    <row r="937" spans="1:17" ht="62.1" customHeight="1">
      <c r="A937" s="5" t="s">
        <v>1543</v>
      </c>
      <c r="B937" s="5" t="s">
        <v>1386</v>
      </c>
      <c r="C937" s="9" t="s">
        <v>1544</v>
      </c>
      <c r="D937" s="5">
        <v>1</v>
      </c>
      <c r="E937" s="9" t="s">
        <v>10156</v>
      </c>
      <c r="F937" s="5">
        <v>1</v>
      </c>
      <c r="G937" s="9" t="s">
        <v>9578</v>
      </c>
      <c r="H937" s="9" t="s">
        <v>9578</v>
      </c>
      <c r="I937" s="5">
        <v>5.28</v>
      </c>
      <c r="J937" s="5">
        <v>98.76</v>
      </c>
      <c r="K937" s="5">
        <v>519.84</v>
      </c>
      <c r="L937" s="5">
        <v>538.67999999999995</v>
      </c>
      <c r="M937" s="9"/>
      <c r="N937" s="9" t="s">
        <v>10159</v>
      </c>
      <c r="O937" s="9" t="s">
        <v>8586</v>
      </c>
      <c r="P937" s="9" t="str">
        <f t="shared" ref="P937:P942" si="51">HYPERLINK("https://seichotoushi-hojo.jp/assets/pdf/koufu/outline__203.pdf","PDFを開く")</f>
        <v>PDFを開く</v>
      </c>
      <c r="Q937" s="9" t="s">
        <v>1550</v>
      </c>
    </row>
    <row r="938" spans="1:17" ht="62.1" customHeight="1">
      <c r="A938" s="2" t="s">
        <v>1543</v>
      </c>
      <c r="B938" s="2" t="s">
        <v>1386</v>
      </c>
      <c r="C938" s="8" t="s">
        <v>1544</v>
      </c>
      <c r="D938" s="2">
        <v>1</v>
      </c>
      <c r="E938" s="8" t="s">
        <v>10156</v>
      </c>
      <c r="F938" s="2">
        <v>2</v>
      </c>
      <c r="G938" s="8" t="s">
        <v>10162</v>
      </c>
      <c r="H938" s="8" t="s">
        <v>10162</v>
      </c>
      <c r="I938" s="2">
        <v>544.67999999999995</v>
      </c>
      <c r="J938" s="2">
        <v>109.08</v>
      </c>
      <c r="K938" s="2">
        <v>774.72</v>
      </c>
      <c r="L938" s="2">
        <v>309.48</v>
      </c>
      <c r="M938" s="8"/>
      <c r="N938" s="8" t="s">
        <v>10159</v>
      </c>
      <c r="O938" s="8" t="s">
        <v>8587</v>
      </c>
      <c r="P938" s="8" t="str">
        <f t="shared" si="51"/>
        <v>PDFを開く</v>
      </c>
      <c r="Q938" s="8" t="s">
        <v>1550</v>
      </c>
    </row>
    <row r="939" spans="1:17" ht="62.1" customHeight="1">
      <c r="A939" s="5" t="s">
        <v>1543</v>
      </c>
      <c r="B939" s="5" t="s">
        <v>1386</v>
      </c>
      <c r="C939" s="9" t="s">
        <v>1544</v>
      </c>
      <c r="D939" s="5">
        <v>1</v>
      </c>
      <c r="E939" s="9" t="s">
        <v>10156</v>
      </c>
      <c r="F939" s="5">
        <v>3</v>
      </c>
      <c r="G939" s="9" t="s">
        <v>10163</v>
      </c>
      <c r="H939" s="9" t="s">
        <v>10163</v>
      </c>
      <c r="I939" s="5">
        <v>544.67999999999995</v>
      </c>
      <c r="J939" s="5">
        <v>316.08</v>
      </c>
      <c r="K939" s="5">
        <v>774.72</v>
      </c>
      <c r="L939" s="5">
        <v>518.16</v>
      </c>
      <c r="M939" s="9"/>
      <c r="N939" s="9" t="s">
        <v>10159</v>
      </c>
      <c r="O939" s="9" t="s">
        <v>8588</v>
      </c>
      <c r="P939" s="9" t="str">
        <f t="shared" si="51"/>
        <v>PDFを開く</v>
      </c>
      <c r="Q939" s="9" t="s">
        <v>1550</v>
      </c>
    </row>
    <row r="940" spans="1:17" ht="62.1" customHeight="1">
      <c r="A940" s="2" t="s">
        <v>1543</v>
      </c>
      <c r="B940" s="2" t="s">
        <v>1386</v>
      </c>
      <c r="C940" s="8" t="s">
        <v>1544</v>
      </c>
      <c r="D940" s="2">
        <v>1</v>
      </c>
      <c r="E940" s="8" t="s">
        <v>10156</v>
      </c>
      <c r="F940" s="2">
        <v>4</v>
      </c>
      <c r="G940" s="8" t="s">
        <v>8581</v>
      </c>
      <c r="H940" s="8" t="s">
        <v>8581</v>
      </c>
      <c r="I940" s="2">
        <v>10.92</v>
      </c>
      <c r="J940" s="2">
        <v>516.12</v>
      </c>
      <c r="K940" s="2">
        <v>513.24</v>
      </c>
      <c r="L940" s="2">
        <v>536.28</v>
      </c>
      <c r="M940" s="8"/>
      <c r="N940" s="8" t="s">
        <v>10159</v>
      </c>
      <c r="O940" s="8" t="s">
        <v>1548</v>
      </c>
      <c r="P940" s="8" t="str">
        <f t="shared" si="51"/>
        <v>PDFを開く</v>
      </c>
      <c r="Q940" s="8" t="s">
        <v>1550</v>
      </c>
    </row>
    <row r="941" spans="1:17" ht="62.1" customHeight="1">
      <c r="A941" s="5" t="s">
        <v>1543</v>
      </c>
      <c r="B941" s="5" t="s">
        <v>1386</v>
      </c>
      <c r="C941" s="9" t="s">
        <v>1544</v>
      </c>
      <c r="D941" s="5">
        <v>2</v>
      </c>
      <c r="E941" s="9" t="s">
        <v>10165</v>
      </c>
      <c r="F941" s="5">
        <v>1</v>
      </c>
      <c r="G941" s="9" t="s">
        <v>10184</v>
      </c>
      <c r="H941" s="9" t="s">
        <v>10184</v>
      </c>
      <c r="I941" s="5">
        <v>103.63</v>
      </c>
      <c r="J941" s="5">
        <v>158.63999999999999</v>
      </c>
      <c r="K941" s="5">
        <v>332</v>
      </c>
      <c r="L941" s="5">
        <v>179.04</v>
      </c>
      <c r="M941" s="9"/>
      <c r="N941" s="9" t="s">
        <v>10159</v>
      </c>
      <c r="O941" s="9" t="s">
        <v>10550</v>
      </c>
      <c r="P941" s="9" t="str">
        <f t="shared" si="51"/>
        <v>PDFを開く</v>
      </c>
      <c r="Q941" s="9" t="s">
        <v>1550</v>
      </c>
    </row>
    <row r="942" spans="1:17" ht="62.1" customHeight="1">
      <c r="A942" s="2" t="s">
        <v>1543</v>
      </c>
      <c r="B942" s="2" t="s">
        <v>1386</v>
      </c>
      <c r="C942" s="8" t="s">
        <v>1544</v>
      </c>
      <c r="D942" s="2">
        <v>3</v>
      </c>
      <c r="E942" s="8" t="s">
        <v>10165</v>
      </c>
      <c r="F942" s="2">
        <v>1</v>
      </c>
      <c r="G942" s="8" t="s">
        <v>10184</v>
      </c>
      <c r="H942" s="8" t="s">
        <v>10184</v>
      </c>
      <c r="I942" s="2">
        <v>103.63</v>
      </c>
      <c r="J942" s="2">
        <v>100.04</v>
      </c>
      <c r="K942" s="2">
        <v>335.33</v>
      </c>
      <c r="L942" s="2">
        <v>121.15</v>
      </c>
      <c r="M942" s="8"/>
      <c r="N942" s="8" t="s">
        <v>10159</v>
      </c>
      <c r="O942" s="8" t="s">
        <v>10550</v>
      </c>
      <c r="P942" s="8" t="str">
        <f t="shared" si="51"/>
        <v>PDFを開く</v>
      </c>
      <c r="Q942" s="8" t="s">
        <v>1550</v>
      </c>
    </row>
    <row r="943" spans="1:17" ht="62.1" customHeight="1">
      <c r="A943" s="5" t="s">
        <v>1551</v>
      </c>
      <c r="B943" s="5" t="s">
        <v>1386</v>
      </c>
      <c r="C943" s="9" t="s">
        <v>1552</v>
      </c>
      <c r="D943" s="5">
        <v>1</v>
      </c>
      <c r="E943" s="9" t="s">
        <v>10156</v>
      </c>
      <c r="F943" s="5">
        <v>1</v>
      </c>
      <c r="G943" s="9" t="s">
        <v>9578</v>
      </c>
      <c r="H943" s="9" t="s">
        <v>9578</v>
      </c>
      <c r="I943" s="5">
        <v>28.2</v>
      </c>
      <c r="J943" s="5">
        <v>125.34</v>
      </c>
      <c r="K943" s="5">
        <v>378.78</v>
      </c>
      <c r="L943" s="5">
        <v>499.74</v>
      </c>
      <c r="M943" s="9"/>
      <c r="N943" s="9" t="s">
        <v>10159</v>
      </c>
      <c r="O943" s="9" t="s">
        <v>8593</v>
      </c>
      <c r="P943" s="9" t="str">
        <f>HYPERLINK("https://seichotoushi-hojo.jp/assets/pdf/koufu/outline__204.pdf","PDFを開く")</f>
        <v>PDFを開く</v>
      </c>
      <c r="Q943" s="9" t="s">
        <v>1559</v>
      </c>
    </row>
    <row r="944" spans="1:17" ht="62.1" customHeight="1">
      <c r="A944" s="2" t="s">
        <v>1551</v>
      </c>
      <c r="B944" s="2" t="s">
        <v>1386</v>
      </c>
      <c r="C944" s="8" t="s">
        <v>1552</v>
      </c>
      <c r="D944" s="2">
        <v>1</v>
      </c>
      <c r="E944" s="8" t="s">
        <v>10156</v>
      </c>
      <c r="F944" s="2">
        <v>2</v>
      </c>
      <c r="G944" s="8" t="s">
        <v>10162</v>
      </c>
      <c r="H944" s="8" t="s">
        <v>10162</v>
      </c>
      <c r="I944" s="2">
        <v>396.33</v>
      </c>
      <c r="J944" s="2">
        <v>150.81</v>
      </c>
      <c r="K944" s="2">
        <v>739.83</v>
      </c>
      <c r="L944" s="2">
        <v>295.95</v>
      </c>
      <c r="M944" s="8"/>
      <c r="N944" s="8" t="s">
        <v>10159</v>
      </c>
      <c r="O944" s="8" t="s">
        <v>8594</v>
      </c>
      <c r="P944" s="8" t="str">
        <f>HYPERLINK("https://seichotoushi-hojo.jp/assets/pdf/koufu/outline__204.pdf","PDFを開く")</f>
        <v>PDFを開く</v>
      </c>
      <c r="Q944" s="8" t="s">
        <v>1559</v>
      </c>
    </row>
    <row r="945" spans="1:17" ht="62.1" customHeight="1">
      <c r="A945" s="5" t="s">
        <v>1551</v>
      </c>
      <c r="B945" s="5" t="s">
        <v>1386</v>
      </c>
      <c r="C945" s="9" t="s">
        <v>1552</v>
      </c>
      <c r="D945" s="5">
        <v>1</v>
      </c>
      <c r="E945" s="9" t="s">
        <v>10156</v>
      </c>
      <c r="F945" s="5">
        <v>3</v>
      </c>
      <c r="G945" s="9" t="s">
        <v>10163</v>
      </c>
      <c r="H945" s="9" t="s">
        <v>10163</v>
      </c>
      <c r="I945" s="5">
        <v>396.33</v>
      </c>
      <c r="J945" s="5">
        <v>305.73</v>
      </c>
      <c r="K945" s="5">
        <v>739.83</v>
      </c>
      <c r="L945" s="5">
        <v>499.77</v>
      </c>
      <c r="M945" s="9"/>
      <c r="N945" s="9" t="s">
        <v>10159</v>
      </c>
      <c r="O945" s="9" t="s">
        <v>8595</v>
      </c>
      <c r="P945" s="9" t="str">
        <f>HYPERLINK("https://seichotoushi-hojo.jp/assets/pdf/koufu/outline__204.pdf","PDFを開く")</f>
        <v>PDFを開く</v>
      </c>
      <c r="Q945" s="9" t="s">
        <v>1559</v>
      </c>
    </row>
    <row r="946" spans="1:17" ht="62.1" customHeight="1">
      <c r="A946" s="2" t="s">
        <v>1551</v>
      </c>
      <c r="B946" s="2" t="s">
        <v>1386</v>
      </c>
      <c r="C946" s="8" t="s">
        <v>1552</v>
      </c>
      <c r="D946" s="2">
        <v>1</v>
      </c>
      <c r="E946" s="8" t="s">
        <v>10156</v>
      </c>
      <c r="F946" s="2">
        <v>4</v>
      </c>
      <c r="G946" s="8" t="s">
        <v>8581</v>
      </c>
      <c r="H946" s="8" t="s">
        <v>8581</v>
      </c>
      <c r="I946" s="2">
        <v>43.74</v>
      </c>
      <c r="J946" s="2">
        <v>433.8</v>
      </c>
      <c r="K946" s="2">
        <v>363.24</v>
      </c>
      <c r="L946" s="2">
        <v>489.6</v>
      </c>
      <c r="M946" s="8"/>
      <c r="N946" s="8" t="s">
        <v>10159</v>
      </c>
      <c r="O946" s="8" t="s">
        <v>1556</v>
      </c>
      <c r="P946" s="8" t="str">
        <f>HYPERLINK("https://seichotoushi-hojo.jp/assets/pdf/koufu/outline__204.pdf","PDFを開く")</f>
        <v>PDFを開く</v>
      </c>
      <c r="Q946" s="8" t="s">
        <v>1559</v>
      </c>
    </row>
    <row r="947" spans="1:17" ht="62.1" customHeight="1">
      <c r="A947" s="5" t="s">
        <v>1551</v>
      </c>
      <c r="B947" s="5" t="s">
        <v>1386</v>
      </c>
      <c r="C947" s="9" t="s">
        <v>1552</v>
      </c>
      <c r="D947" s="5">
        <v>2</v>
      </c>
      <c r="E947" s="9" t="s">
        <v>10165</v>
      </c>
      <c r="F947" s="5">
        <v>1</v>
      </c>
      <c r="G947" s="9" t="s">
        <v>10167</v>
      </c>
      <c r="H947" s="9" t="s">
        <v>10551</v>
      </c>
      <c r="I947" s="5">
        <v>126.54</v>
      </c>
      <c r="J947" s="5">
        <v>181.18</v>
      </c>
      <c r="K947" s="5">
        <v>660.89</v>
      </c>
      <c r="L947" s="5">
        <v>216.69</v>
      </c>
      <c r="M947" s="9"/>
      <c r="N947" s="9" t="s">
        <v>10159</v>
      </c>
      <c r="O947" s="9" t="s">
        <v>10551</v>
      </c>
      <c r="P947" s="9" t="str">
        <f>HYPERLINK("https://seichotoushi-hojo.jp/assets/pdf/koufu/outline__204.pdf","PDFを開く")</f>
        <v>PDFを開く</v>
      </c>
      <c r="Q947" s="9" t="s">
        <v>1559</v>
      </c>
    </row>
    <row r="948" spans="1:17" ht="62.1" customHeight="1">
      <c r="A948" s="2" t="s">
        <v>1560</v>
      </c>
      <c r="B948" s="2" t="s">
        <v>1386</v>
      </c>
      <c r="C948" s="8" t="s">
        <v>1561</v>
      </c>
      <c r="D948" s="2">
        <v>1</v>
      </c>
      <c r="E948" s="8" t="s">
        <v>10156</v>
      </c>
      <c r="F948" s="2">
        <v>1</v>
      </c>
      <c r="G948" s="8" t="s">
        <v>10162</v>
      </c>
      <c r="H948" s="8" t="s">
        <v>10162</v>
      </c>
      <c r="I948" s="2">
        <v>427.92</v>
      </c>
      <c r="J948" s="2">
        <v>109.8</v>
      </c>
      <c r="K948" s="2">
        <v>829.44</v>
      </c>
      <c r="L948" s="2">
        <v>368.16</v>
      </c>
      <c r="M948" s="8"/>
      <c r="N948" s="8" t="s">
        <v>10159</v>
      </c>
      <c r="O948" s="8" t="s">
        <v>8601</v>
      </c>
      <c r="P948" s="8" t="str">
        <f>HYPERLINK("https://seichotoushi-hojo.jp/assets/pdf/koufu/outline__205.pdf","PDFを開く")</f>
        <v>PDFを開く</v>
      </c>
      <c r="Q948" s="8" t="s">
        <v>1568</v>
      </c>
    </row>
    <row r="949" spans="1:17" ht="62.1" customHeight="1">
      <c r="A949" s="5" t="s">
        <v>1560</v>
      </c>
      <c r="B949" s="5" t="s">
        <v>1386</v>
      </c>
      <c r="C949" s="9" t="s">
        <v>1561</v>
      </c>
      <c r="D949" s="5">
        <v>1</v>
      </c>
      <c r="E949" s="9" t="s">
        <v>10156</v>
      </c>
      <c r="F949" s="5">
        <v>2</v>
      </c>
      <c r="G949" s="9" t="s">
        <v>9578</v>
      </c>
      <c r="H949" s="9" t="s">
        <v>9578</v>
      </c>
      <c r="I949" s="5">
        <v>24.48</v>
      </c>
      <c r="J949" s="5">
        <v>116.4</v>
      </c>
      <c r="K949" s="5">
        <v>399.48</v>
      </c>
      <c r="L949" s="5">
        <v>578.28</v>
      </c>
      <c r="M949" s="9"/>
      <c r="N949" s="9" t="s">
        <v>10159</v>
      </c>
      <c r="O949" s="9" t="s">
        <v>8600</v>
      </c>
      <c r="P949" s="9" t="str">
        <f>HYPERLINK("https://seichotoushi-hojo.jp/assets/pdf/koufu/outline__205.pdf","PDFを開く")</f>
        <v>PDFを開く</v>
      </c>
      <c r="Q949" s="9" t="s">
        <v>1568</v>
      </c>
    </row>
    <row r="950" spans="1:17" ht="62.1" customHeight="1">
      <c r="A950" s="2" t="s">
        <v>1560</v>
      </c>
      <c r="B950" s="2" t="s">
        <v>1386</v>
      </c>
      <c r="C950" s="8" t="s">
        <v>1561</v>
      </c>
      <c r="D950" s="2">
        <v>1</v>
      </c>
      <c r="E950" s="8" t="s">
        <v>10156</v>
      </c>
      <c r="F950" s="2">
        <v>3</v>
      </c>
      <c r="G950" s="8" t="s">
        <v>10163</v>
      </c>
      <c r="H950" s="8" t="s">
        <v>10163</v>
      </c>
      <c r="I950" s="2">
        <v>427.92</v>
      </c>
      <c r="J950" s="2">
        <v>375.36</v>
      </c>
      <c r="K950" s="2">
        <v>829.44</v>
      </c>
      <c r="L950" s="2">
        <v>568.55999999999995</v>
      </c>
      <c r="M950" s="8"/>
      <c r="N950" s="8" t="s">
        <v>10159</v>
      </c>
      <c r="O950" s="8" t="s">
        <v>8602</v>
      </c>
      <c r="P950" s="8" t="str">
        <f>HYPERLINK("https://seichotoushi-hojo.jp/assets/pdf/koufu/outline__205.pdf","PDFを開く")</f>
        <v>PDFを開く</v>
      </c>
      <c r="Q950" s="8" t="s">
        <v>1568</v>
      </c>
    </row>
    <row r="951" spans="1:17" ht="62.1" customHeight="1">
      <c r="A951" s="5" t="s">
        <v>1560</v>
      </c>
      <c r="B951" s="5" t="s">
        <v>1386</v>
      </c>
      <c r="C951" s="9" t="s">
        <v>1561</v>
      </c>
      <c r="D951" s="5">
        <v>1</v>
      </c>
      <c r="E951" s="9" t="s">
        <v>10156</v>
      </c>
      <c r="F951" s="5">
        <v>4</v>
      </c>
      <c r="G951" s="9" t="s">
        <v>8581</v>
      </c>
      <c r="H951" s="9" t="s">
        <v>8581</v>
      </c>
      <c r="I951" s="5">
        <v>31.44</v>
      </c>
      <c r="J951" s="5">
        <v>442.2</v>
      </c>
      <c r="K951" s="5">
        <v>386.28</v>
      </c>
      <c r="L951" s="5">
        <v>573.6</v>
      </c>
      <c r="M951" s="9"/>
      <c r="N951" s="9" t="s">
        <v>10159</v>
      </c>
      <c r="O951" s="9" t="s">
        <v>1565</v>
      </c>
      <c r="P951" s="9" t="str">
        <f>HYPERLINK("https://seichotoushi-hojo.jp/assets/pdf/koufu/outline__205.pdf","PDFを開く")</f>
        <v>PDFを開く</v>
      </c>
      <c r="Q951" s="9" t="s">
        <v>1568</v>
      </c>
    </row>
    <row r="952" spans="1:17" ht="62.1" customHeight="1">
      <c r="A952" s="2" t="s">
        <v>1560</v>
      </c>
      <c r="B952" s="2" t="s">
        <v>1386</v>
      </c>
      <c r="C952" s="8" t="s">
        <v>1561</v>
      </c>
      <c r="D952" s="2">
        <v>2</v>
      </c>
      <c r="E952" s="8" t="s">
        <v>10165</v>
      </c>
      <c r="F952" s="2">
        <v>1</v>
      </c>
      <c r="G952" s="8" t="s">
        <v>10167</v>
      </c>
      <c r="H952" s="8" t="s">
        <v>3332</v>
      </c>
      <c r="I952" s="2">
        <v>136.91999999999999</v>
      </c>
      <c r="J952" s="2">
        <v>445.68</v>
      </c>
      <c r="K952" s="2">
        <v>566.76</v>
      </c>
      <c r="L952" s="2">
        <v>476.16</v>
      </c>
      <c r="M952" s="8"/>
      <c r="N952" s="8" t="s">
        <v>10159</v>
      </c>
      <c r="O952" s="8" t="s">
        <v>10552</v>
      </c>
      <c r="P952" s="8" t="str">
        <f>HYPERLINK("https://seichotoushi-hojo.jp/assets/pdf/koufu/outline__205.pdf","PDFを開く")</f>
        <v>PDFを開く</v>
      </c>
      <c r="Q952" s="8" t="s">
        <v>1568</v>
      </c>
    </row>
    <row r="953" spans="1:17" ht="62.1" customHeight="1">
      <c r="A953" s="5" t="s">
        <v>1569</v>
      </c>
      <c r="B953" s="5" t="s">
        <v>1386</v>
      </c>
      <c r="C953" s="9" t="s">
        <v>1570</v>
      </c>
      <c r="D953" s="5">
        <v>1</v>
      </c>
      <c r="E953" s="9" t="s">
        <v>10156</v>
      </c>
      <c r="F953" s="5">
        <v>1</v>
      </c>
      <c r="G953" s="9" t="s">
        <v>9578</v>
      </c>
      <c r="H953" s="9" t="s">
        <v>9578</v>
      </c>
      <c r="I953" s="5">
        <v>39.659999999999997</v>
      </c>
      <c r="J953" s="5">
        <v>101.82</v>
      </c>
      <c r="K953" s="5">
        <v>378.78</v>
      </c>
      <c r="L953" s="5">
        <v>520.91999999999996</v>
      </c>
      <c r="M953" s="9"/>
      <c r="N953" s="9" t="s">
        <v>10159</v>
      </c>
      <c r="O953" s="9" t="s">
        <v>8607</v>
      </c>
      <c r="P953" s="9" t="str">
        <f>HYPERLINK("https://seichotoushi-hojo.jp/assets/pdf/koufu/outline__206.pdf","PDFを開く")</f>
        <v>PDFを開く</v>
      </c>
      <c r="Q953" s="9" t="s">
        <v>1575</v>
      </c>
    </row>
    <row r="954" spans="1:17" ht="62.1" customHeight="1">
      <c r="A954" s="2" t="s">
        <v>1569</v>
      </c>
      <c r="B954" s="2" t="s">
        <v>1386</v>
      </c>
      <c r="C954" s="8" t="s">
        <v>1570</v>
      </c>
      <c r="D954" s="2">
        <v>1</v>
      </c>
      <c r="E954" s="8" t="s">
        <v>10156</v>
      </c>
      <c r="F954" s="2">
        <v>2</v>
      </c>
      <c r="G954" s="8" t="s">
        <v>10162</v>
      </c>
      <c r="H954" s="8" t="s">
        <v>10162</v>
      </c>
      <c r="I954" s="2">
        <v>396.33</v>
      </c>
      <c r="J954" s="2">
        <v>101.85</v>
      </c>
      <c r="K954" s="2">
        <v>739.83</v>
      </c>
      <c r="L954" s="2">
        <v>328.47</v>
      </c>
      <c r="M954" s="8"/>
      <c r="N954" s="8" t="s">
        <v>10159</v>
      </c>
      <c r="O954" s="8" t="s">
        <v>8608</v>
      </c>
      <c r="P954" s="8" t="str">
        <f>HYPERLINK("https://seichotoushi-hojo.jp/assets/pdf/koufu/outline__206.pdf","PDFを開く")</f>
        <v>PDFを開く</v>
      </c>
      <c r="Q954" s="8" t="s">
        <v>1575</v>
      </c>
    </row>
    <row r="955" spans="1:17" ht="62.1" customHeight="1">
      <c r="A955" s="5" t="s">
        <v>1569</v>
      </c>
      <c r="B955" s="5" t="s">
        <v>1386</v>
      </c>
      <c r="C955" s="9" t="s">
        <v>1570</v>
      </c>
      <c r="D955" s="5">
        <v>1</v>
      </c>
      <c r="E955" s="9" t="s">
        <v>10156</v>
      </c>
      <c r="F955" s="5">
        <v>3</v>
      </c>
      <c r="G955" s="9" t="s">
        <v>10163</v>
      </c>
      <c r="H955" s="9" t="s">
        <v>10163</v>
      </c>
      <c r="I955" s="5">
        <v>396.33</v>
      </c>
      <c r="J955" s="5">
        <v>350.79</v>
      </c>
      <c r="K955" s="5">
        <v>739.83</v>
      </c>
      <c r="L955" s="5">
        <v>520.95000000000005</v>
      </c>
      <c r="M955" s="9"/>
      <c r="N955" s="9" t="s">
        <v>10159</v>
      </c>
      <c r="O955" s="9" t="s">
        <v>8609</v>
      </c>
      <c r="P955" s="9" t="str">
        <f>HYPERLINK("https://seichotoushi-hojo.jp/assets/pdf/koufu/outline__206.pdf","PDFを開く")</f>
        <v>PDFを開く</v>
      </c>
      <c r="Q955" s="9" t="s">
        <v>1575</v>
      </c>
    </row>
    <row r="956" spans="1:17" ht="62.1" customHeight="1">
      <c r="A956" s="2" t="s">
        <v>1569</v>
      </c>
      <c r="B956" s="2" t="s">
        <v>1386</v>
      </c>
      <c r="C956" s="8" t="s">
        <v>1570</v>
      </c>
      <c r="D956" s="2">
        <v>1</v>
      </c>
      <c r="E956" s="8" t="s">
        <v>10156</v>
      </c>
      <c r="F956" s="2">
        <v>4</v>
      </c>
      <c r="G956" s="8" t="s">
        <v>8581</v>
      </c>
      <c r="H956" s="8" t="s">
        <v>8581</v>
      </c>
      <c r="I956" s="2">
        <v>48</v>
      </c>
      <c r="J956" s="2">
        <v>426.84</v>
      </c>
      <c r="K956" s="2">
        <v>367.5</v>
      </c>
      <c r="L956" s="2">
        <v>510</v>
      </c>
      <c r="M956" s="8"/>
      <c r="N956" s="8" t="s">
        <v>10159</v>
      </c>
      <c r="O956" s="8" t="s">
        <v>1573</v>
      </c>
      <c r="P956" s="8" t="str">
        <f>HYPERLINK("https://seichotoushi-hojo.jp/assets/pdf/koufu/outline__206.pdf","PDFを開く")</f>
        <v>PDFを開く</v>
      </c>
      <c r="Q956" s="8" t="s">
        <v>1575</v>
      </c>
    </row>
    <row r="957" spans="1:17" ht="62.1" customHeight="1">
      <c r="A957" s="5" t="s">
        <v>1576</v>
      </c>
      <c r="B957" s="5" t="s">
        <v>1386</v>
      </c>
      <c r="C957" s="9" t="s">
        <v>1577</v>
      </c>
      <c r="D957" s="5">
        <v>1</v>
      </c>
      <c r="E957" s="9" t="s">
        <v>10156</v>
      </c>
      <c r="F957" s="5">
        <v>1</v>
      </c>
      <c r="G957" s="9" t="s">
        <v>9578</v>
      </c>
      <c r="H957" s="9" t="s">
        <v>9578</v>
      </c>
      <c r="I957" s="5">
        <v>32.76</v>
      </c>
      <c r="J957" s="5">
        <v>99.84</v>
      </c>
      <c r="K957" s="5">
        <v>378.6</v>
      </c>
      <c r="L957" s="5">
        <v>167.88</v>
      </c>
      <c r="M957" s="9"/>
      <c r="N957" s="9" t="s">
        <v>10159</v>
      </c>
      <c r="O957" s="9" t="s">
        <v>8614</v>
      </c>
      <c r="P957" s="9" t="str">
        <f t="shared" ref="P957:P963" si="52">HYPERLINK("https://seichotoushi-hojo.jp/assets/pdf/koufu/outline__207.pdf","PDFを開く")</f>
        <v>PDFを開く</v>
      </c>
      <c r="Q957" s="9" t="s">
        <v>1583</v>
      </c>
    </row>
    <row r="958" spans="1:17" ht="62.1" customHeight="1">
      <c r="A958" s="2" t="s">
        <v>1576</v>
      </c>
      <c r="B958" s="2" t="s">
        <v>1386</v>
      </c>
      <c r="C958" s="8" t="s">
        <v>1577</v>
      </c>
      <c r="D958" s="2">
        <v>1</v>
      </c>
      <c r="E958" s="8" t="s">
        <v>10156</v>
      </c>
      <c r="F958" s="2">
        <v>2</v>
      </c>
      <c r="G958" s="8" t="s">
        <v>10167</v>
      </c>
      <c r="H958" s="8" t="s">
        <v>10553</v>
      </c>
      <c r="I958" s="2">
        <v>61.2</v>
      </c>
      <c r="J958" s="2">
        <v>184.92</v>
      </c>
      <c r="K958" s="2">
        <v>378.6</v>
      </c>
      <c r="L958" s="2">
        <v>360.72</v>
      </c>
      <c r="M958" s="8"/>
      <c r="N958" s="8" t="s">
        <v>10159</v>
      </c>
      <c r="O958" s="8" t="s">
        <v>10554</v>
      </c>
      <c r="P958" s="8" t="str">
        <f t="shared" si="52"/>
        <v>PDFを開く</v>
      </c>
      <c r="Q958" s="8" t="s">
        <v>1583</v>
      </c>
    </row>
    <row r="959" spans="1:17" ht="62.1" customHeight="1">
      <c r="A959" s="5" t="s">
        <v>1576</v>
      </c>
      <c r="B959" s="5" t="s">
        <v>1386</v>
      </c>
      <c r="C959" s="9" t="s">
        <v>1577</v>
      </c>
      <c r="D959" s="5">
        <v>1</v>
      </c>
      <c r="E959" s="9" t="s">
        <v>10156</v>
      </c>
      <c r="F959" s="5">
        <v>3</v>
      </c>
      <c r="G959" s="9" t="s">
        <v>10167</v>
      </c>
      <c r="H959" s="9" t="s">
        <v>10555</v>
      </c>
      <c r="I959" s="5">
        <v>492</v>
      </c>
      <c r="J959" s="5">
        <v>349.44</v>
      </c>
      <c r="K959" s="5">
        <v>747.24</v>
      </c>
      <c r="L959" s="5">
        <v>400.44</v>
      </c>
      <c r="M959" s="9"/>
      <c r="N959" s="9" t="s">
        <v>10159</v>
      </c>
      <c r="O959" s="9" t="s">
        <v>10556</v>
      </c>
      <c r="P959" s="9" t="str">
        <f t="shared" si="52"/>
        <v>PDFを開く</v>
      </c>
      <c r="Q959" s="9" t="s">
        <v>1583</v>
      </c>
    </row>
    <row r="960" spans="1:17" ht="62.1" customHeight="1">
      <c r="A960" s="2" t="s">
        <v>1576</v>
      </c>
      <c r="B960" s="2" t="s">
        <v>1386</v>
      </c>
      <c r="C960" s="8" t="s">
        <v>1577</v>
      </c>
      <c r="D960" s="2">
        <v>1</v>
      </c>
      <c r="E960" s="8" t="s">
        <v>10156</v>
      </c>
      <c r="F960" s="2">
        <v>4</v>
      </c>
      <c r="G960" s="8" t="s">
        <v>10167</v>
      </c>
      <c r="H960" s="8" t="s">
        <v>10557</v>
      </c>
      <c r="I960" s="2">
        <v>61.2</v>
      </c>
      <c r="J960" s="2">
        <v>366.36</v>
      </c>
      <c r="K960" s="2">
        <v>378.6</v>
      </c>
      <c r="L960" s="2">
        <v>513.84</v>
      </c>
      <c r="M960" s="8"/>
      <c r="N960" s="8" t="s">
        <v>10159</v>
      </c>
      <c r="O960" s="8" t="s">
        <v>10558</v>
      </c>
      <c r="P960" s="8" t="str">
        <f t="shared" si="52"/>
        <v>PDFを開く</v>
      </c>
      <c r="Q960" s="8" t="s">
        <v>1583</v>
      </c>
    </row>
    <row r="961" spans="1:17" ht="62.1" customHeight="1">
      <c r="A961" s="5" t="s">
        <v>1576</v>
      </c>
      <c r="B961" s="5" t="s">
        <v>1386</v>
      </c>
      <c r="C961" s="9" t="s">
        <v>1577</v>
      </c>
      <c r="D961" s="5">
        <v>1</v>
      </c>
      <c r="E961" s="9" t="s">
        <v>10156</v>
      </c>
      <c r="F961" s="5">
        <v>5</v>
      </c>
      <c r="G961" s="9" t="s">
        <v>10167</v>
      </c>
      <c r="H961" s="9" t="s">
        <v>10559</v>
      </c>
      <c r="I961" s="5">
        <v>492</v>
      </c>
      <c r="J961" s="5">
        <v>406.08</v>
      </c>
      <c r="K961" s="5">
        <v>747.24</v>
      </c>
      <c r="L961" s="5">
        <v>457.08</v>
      </c>
      <c r="M961" s="9"/>
      <c r="N961" s="9" t="s">
        <v>10159</v>
      </c>
      <c r="O961" s="9" t="s">
        <v>10560</v>
      </c>
      <c r="P961" s="9" t="str">
        <f t="shared" si="52"/>
        <v>PDFを開く</v>
      </c>
      <c r="Q961" s="9" t="s">
        <v>1583</v>
      </c>
    </row>
    <row r="962" spans="1:17" ht="62.1" customHeight="1">
      <c r="A962" s="2" t="s">
        <v>1576</v>
      </c>
      <c r="B962" s="2" t="s">
        <v>1386</v>
      </c>
      <c r="C962" s="8" t="s">
        <v>1577</v>
      </c>
      <c r="D962" s="2">
        <v>1</v>
      </c>
      <c r="E962" s="8" t="s">
        <v>10156</v>
      </c>
      <c r="F962" s="2">
        <v>6</v>
      </c>
      <c r="G962" s="8" t="s">
        <v>10167</v>
      </c>
      <c r="H962" s="8" t="s">
        <v>10561</v>
      </c>
      <c r="I962" s="2">
        <v>492</v>
      </c>
      <c r="J962" s="2">
        <v>462.72</v>
      </c>
      <c r="K962" s="2">
        <v>747.24</v>
      </c>
      <c r="L962" s="2">
        <v>513.84</v>
      </c>
      <c r="M962" s="8"/>
      <c r="N962" s="8" t="s">
        <v>10159</v>
      </c>
      <c r="O962" s="8" t="s">
        <v>10562</v>
      </c>
      <c r="P962" s="8" t="str">
        <f t="shared" si="52"/>
        <v>PDFを開く</v>
      </c>
      <c r="Q962" s="8" t="s">
        <v>1583</v>
      </c>
    </row>
    <row r="963" spans="1:17" ht="62.1" customHeight="1">
      <c r="A963" s="5" t="s">
        <v>1576</v>
      </c>
      <c r="B963" s="5" t="s">
        <v>1386</v>
      </c>
      <c r="C963" s="9" t="s">
        <v>1577</v>
      </c>
      <c r="D963" s="5">
        <v>2</v>
      </c>
      <c r="E963" s="9" t="s">
        <v>10165</v>
      </c>
      <c r="F963" s="5">
        <v>1</v>
      </c>
      <c r="G963" s="9" t="s">
        <v>10184</v>
      </c>
      <c r="H963" s="9" t="s">
        <v>10184</v>
      </c>
      <c r="I963" s="5">
        <v>125.28</v>
      </c>
      <c r="J963" s="5">
        <v>278.87</v>
      </c>
      <c r="K963" s="5">
        <v>401.7</v>
      </c>
      <c r="L963" s="5">
        <v>474.27</v>
      </c>
      <c r="M963" s="9"/>
      <c r="N963" s="9" t="s">
        <v>10181</v>
      </c>
      <c r="O963" s="9" t="s">
        <v>10563</v>
      </c>
      <c r="P963" s="9" t="str">
        <f t="shared" si="52"/>
        <v>PDFを開く</v>
      </c>
      <c r="Q963" s="9" t="s">
        <v>1583</v>
      </c>
    </row>
    <row r="964" spans="1:17" ht="62.1" customHeight="1">
      <c r="A964" s="2" t="s">
        <v>1584</v>
      </c>
      <c r="B964" s="2" t="s">
        <v>1386</v>
      </c>
      <c r="C964" s="8" t="s">
        <v>1585</v>
      </c>
      <c r="D964" s="2">
        <v>1</v>
      </c>
      <c r="E964" s="8" t="s">
        <v>10156</v>
      </c>
      <c r="F964" s="2">
        <v>1</v>
      </c>
      <c r="G964" s="8" t="s">
        <v>9578</v>
      </c>
      <c r="H964" s="8" t="s">
        <v>9578</v>
      </c>
      <c r="I964" s="2">
        <v>36.6</v>
      </c>
      <c r="J964" s="2">
        <v>131.28</v>
      </c>
      <c r="K964" s="2">
        <v>349.62</v>
      </c>
      <c r="L964" s="2">
        <v>469.68</v>
      </c>
      <c r="M964" s="8"/>
      <c r="N964" s="8" t="s">
        <v>10159</v>
      </c>
      <c r="O964" s="8" t="s">
        <v>8619</v>
      </c>
      <c r="P964" s="8" t="str">
        <f>HYPERLINK("https://seichotoushi-hojo.jp/assets/pdf/koufu/outline__208.pdf","PDFを開く")</f>
        <v>PDFを開く</v>
      </c>
      <c r="Q964" s="8" t="s">
        <v>1593</v>
      </c>
    </row>
    <row r="965" spans="1:17" ht="62.1" customHeight="1">
      <c r="A965" s="5" t="s">
        <v>1584</v>
      </c>
      <c r="B965" s="5" t="s">
        <v>1386</v>
      </c>
      <c r="C965" s="9" t="s">
        <v>1585</v>
      </c>
      <c r="D965" s="5">
        <v>1</v>
      </c>
      <c r="E965" s="9" t="s">
        <v>10156</v>
      </c>
      <c r="F965" s="5">
        <v>2</v>
      </c>
      <c r="G965" s="9" t="s">
        <v>10162</v>
      </c>
      <c r="H965" s="9" t="s">
        <v>10162</v>
      </c>
      <c r="I965" s="5">
        <v>365.85</v>
      </c>
      <c r="J965" s="5">
        <v>133.65</v>
      </c>
      <c r="K965" s="5">
        <v>682.89</v>
      </c>
      <c r="L965" s="5">
        <v>295.05</v>
      </c>
      <c r="M965" s="9"/>
      <c r="N965" s="9" t="s">
        <v>10159</v>
      </c>
      <c r="O965" s="9" t="s">
        <v>8620</v>
      </c>
      <c r="P965" s="9" t="str">
        <f>HYPERLINK("https://seichotoushi-hojo.jp/assets/pdf/koufu/outline__208.pdf","PDFを開く")</f>
        <v>PDFを開く</v>
      </c>
      <c r="Q965" s="9" t="s">
        <v>1593</v>
      </c>
    </row>
    <row r="966" spans="1:17" ht="62.1" customHeight="1">
      <c r="A966" s="2" t="s">
        <v>1584</v>
      </c>
      <c r="B966" s="2" t="s">
        <v>1386</v>
      </c>
      <c r="C966" s="8" t="s">
        <v>1585</v>
      </c>
      <c r="D966" s="2">
        <v>1</v>
      </c>
      <c r="E966" s="8" t="s">
        <v>10156</v>
      </c>
      <c r="F966" s="2">
        <v>3</v>
      </c>
      <c r="G966" s="8" t="s">
        <v>10163</v>
      </c>
      <c r="H966" s="8" t="s">
        <v>10163</v>
      </c>
      <c r="I966" s="2">
        <v>365.85</v>
      </c>
      <c r="J966" s="2">
        <v>308.31</v>
      </c>
      <c r="K966" s="2">
        <v>682.89</v>
      </c>
      <c r="L966" s="2">
        <v>469.71</v>
      </c>
      <c r="M966" s="8"/>
      <c r="N966" s="8" t="s">
        <v>10159</v>
      </c>
      <c r="O966" s="8" t="s">
        <v>8621</v>
      </c>
      <c r="P966" s="8" t="str">
        <f>HYPERLINK("https://seichotoushi-hojo.jp/assets/pdf/koufu/outline__208.pdf","PDFを開く")</f>
        <v>PDFを開く</v>
      </c>
      <c r="Q966" s="8" t="s">
        <v>1593</v>
      </c>
    </row>
    <row r="967" spans="1:17" ht="62.1" customHeight="1">
      <c r="A967" s="5" t="s">
        <v>1584</v>
      </c>
      <c r="B967" s="5" t="s">
        <v>1386</v>
      </c>
      <c r="C967" s="9" t="s">
        <v>1585</v>
      </c>
      <c r="D967" s="5">
        <v>1</v>
      </c>
      <c r="E967" s="9" t="s">
        <v>10156</v>
      </c>
      <c r="F967" s="5">
        <v>4</v>
      </c>
      <c r="G967" s="9" t="s">
        <v>8581</v>
      </c>
      <c r="H967" s="9" t="s">
        <v>8581</v>
      </c>
      <c r="I967" s="5">
        <v>44.28</v>
      </c>
      <c r="J967" s="5">
        <v>338.4</v>
      </c>
      <c r="K967" s="5">
        <v>339.24</v>
      </c>
      <c r="L967" s="5">
        <v>460.32</v>
      </c>
      <c r="M967" s="9"/>
      <c r="N967" s="9" t="s">
        <v>10159</v>
      </c>
      <c r="O967" s="9" t="s">
        <v>1590</v>
      </c>
      <c r="P967" s="9" t="str">
        <f>HYPERLINK("https://seichotoushi-hojo.jp/assets/pdf/koufu/outline__208.pdf","PDFを開く")</f>
        <v>PDFを開く</v>
      </c>
      <c r="Q967" s="9" t="s">
        <v>1593</v>
      </c>
    </row>
    <row r="968" spans="1:17" ht="62.1" customHeight="1">
      <c r="A968" s="2" t="s">
        <v>1594</v>
      </c>
      <c r="B968" s="2" t="s">
        <v>1595</v>
      </c>
      <c r="C968" s="8" t="s">
        <v>1596</v>
      </c>
      <c r="D968" s="2">
        <v>1</v>
      </c>
      <c r="E968" s="8" t="s">
        <v>10156</v>
      </c>
      <c r="F968" s="2">
        <v>1</v>
      </c>
      <c r="G968" s="8" t="s">
        <v>9578</v>
      </c>
      <c r="H968" s="8" t="s">
        <v>9578</v>
      </c>
      <c r="I968" s="2">
        <v>9.75</v>
      </c>
      <c r="J968" s="2">
        <v>87.84</v>
      </c>
      <c r="K968" s="2">
        <v>383.51</v>
      </c>
      <c r="L968" s="2">
        <v>288.58999999999997</v>
      </c>
      <c r="M968" s="8"/>
      <c r="N968" s="8" t="s">
        <v>10159</v>
      </c>
      <c r="O968" s="8" t="s">
        <v>8626</v>
      </c>
      <c r="P968" s="8" t="str">
        <f t="shared" ref="P968:P976" si="53">HYPERLINK("https://seichotoushi-hojo.jp/assets/pdf/koufu_3_4ji/outline_1.pdf","PDFを開く")</f>
        <v>PDFを開く</v>
      </c>
      <c r="Q968" s="8" t="s">
        <v>1602</v>
      </c>
    </row>
    <row r="969" spans="1:17" ht="62.1" customHeight="1">
      <c r="A969" s="5" t="s">
        <v>1594</v>
      </c>
      <c r="B969" s="5" t="s">
        <v>1595</v>
      </c>
      <c r="C969" s="9" t="s">
        <v>1596</v>
      </c>
      <c r="D969" s="5">
        <v>1</v>
      </c>
      <c r="E969" s="9" t="s">
        <v>10156</v>
      </c>
      <c r="F969" s="5">
        <v>2</v>
      </c>
      <c r="G969" s="9" t="s">
        <v>10162</v>
      </c>
      <c r="H969" s="9" t="s">
        <v>10162</v>
      </c>
      <c r="I969" s="5">
        <v>401.02</v>
      </c>
      <c r="J969" s="5">
        <v>90.12</v>
      </c>
      <c r="K969" s="5">
        <v>774.78</v>
      </c>
      <c r="L969" s="5">
        <v>273.88</v>
      </c>
      <c r="M969" s="9"/>
      <c r="N969" s="9" t="s">
        <v>10159</v>
      </c>
      <c r="O969" s="9" t="s">
        <v>8627</v>
      </c>
      <c r="P969" s="9" t="str">
        <f t="shared" si="53"/>
        <v>PDFを開く</v>
      </c>
      <c r="Q969" s="9" t="s">
        <v>1602</v>
      </c>
    </row>
    <row r="970" spans="1:17" ht="62.1" customHeight="1">
      <c r="A970" s="2" t="s">
        <v>1594</v>
      </c>
      <c r="B970" s="2" t="s">
        <v>1595</v>
      </c>
      <c r="C970" s="8" t="s">
        <v>1596</v>
      </c>
      <c r="D970" s="2">
        <v>1</v>
      </c>
      <c r="E970" s="8" t="s">
        <v>10156</v>
      </c>
      <c r="F970" s="2">
        <v>3</v>
      </c>
      <c r="G970" s="8" t="s">
        <v>10163</v>
      </c>
      <c r="H970" s="8" t="s">
        <v>10163</v>
      </c>
      <c r="I970" s="2">
        <v>401.02</v>
      </c>
      <c r="J970" s="2">
        <v>274.54000000000002</v>
      </c>
      <c r="K970" s="2">
        <v>774.78</v>
      </c>
      <c r="L970" s="2">
        <v>463.8</v>
      </c>
      <c r="M970" s="8"/>
      <c r="N970" s="8" t="s">
        <v>10159</v>
      </c>
      <c r="O970" s="8" t="s">
        <v>8628</v>
      </c>
      <c r="P970" s="8" t="str">
        <f t="shared" si="53"/>
        <v>PDFを開く</v>
      </c>
      <c r="Q970" s="8" t="s">
        <v>1602</v>
      </c>
    </row>
    <row r="971" spans="1:17" ht="62.1" customHeight="1">
      <c r="A971" s="5" t="s">
        <v>1594</v>
      </c>
      <c r="B971" s="5" t="s">
        <v>1595</v>
      </c>
      <c r="C971" s="9" t="s">
        <v>1596</v>
      </c>
      <c r="D971" s="5">
        <v>1</v>
      </c>
      <c r="E971" s="9" t="s">
        <v>10156</v>
      </c>
      <c r="F971" s="5">
        <v>4</v>
      </c>
      <c r="G971" s="9" t="s">
        <v>8581</v>
      </c>
      <c r="H971" s="9" t="s">
        <v>8581</v>
      </c>
      <c r="I971" s="5">
        <v>9.75</v>
      </c>
      <c r="J971" s="5">
        <v>290.61</v>
      </c>
      <c r="K971" s="5">
        <v>383.51</v>
      </c>
      <c r="L971" s="5">
        <v>381.53</v>
      </c>
      <c r="M971" s="9"/>
      <c r="N971" s="9" t="s">
        <v>10159</v>
      </c>
      <c r="O971" s="9" t="s">
        <v>1599</v>
      </c>
      <c r="P971" s="9" t="str">
        <f t="shared" si="53"/>
        <v>PDFを開く</v>
      </c>
      <c r="Q971" s="9" t="s">
        <v>1602</v>
      </c>
    </row>
    <row r="972" spans="1:17" ht="62.1" customHeight="1">
      <c r="A972" s="2" t="s">
        <v>1594</v>
      </c>
      <c r="B972" s="2" t="s">
        <v>1595</v>
      </c>
      <c r="C972" s="8" t="s">
        <v>1596</v>
      </c>
      <c r="D972" s="2">
        <v>1</v>
      </c>
      <c r="E972" s="8" t="s">
        <v>10156</v>
      </c>
      <c r="F972" s="2">
        <v>5</v>
      </c>
      <c r="G972" s="8" t="s">
        <v>10167</v>
      </c>
      <c r="H972" s="8" t="s">
        <v>10564</v>
      </c>
      <c r="I972" s="2">
        <v>9.75</v>
      </c>
      <c r="J972" s="2">
        <v>380.43</v>
      </c>
      <c r="K972" s="2">
        <v>383.51</v>
      </c>
      <c r="L972" s="2">
        <v>444.33</v>
      </c>
      <c r="M972" s="8"/>
      <c r="N972" s="8" t="s">
        <v>10159</v>
      </c>
      <c r="O972" s="8" t="s">
        <v>10565</v>
      </c>
      <c r="P972" s="8" t="str">
        <f t="shared" si="53"/>
        <v>PDFを開く</v>
      </c>
      <c r="Q972" s="8" t="s">
        <v>1602</v>
      </c>
    </row>
    <row r="973" spans="1:17" ht="62.1" customHeight="1">
      <c r="A973" s="5" t="s">
        <v>1594</v>
      </c>
      <c r="B973" s="5" t="s">
        <v>1595</v>
      </c>
      <c r="C973" s="9" t="s">
        <v>1596</v>
      </c>
      <c r="D973" s="5">
        <v>1</v>
      </c>
      <c r="E973" s="9" t="s">
        <v>10156</v>
      </c>
      <c r="F973" s="5">
        <v>6</v>
      </c>
      <c r="G973" s="9" t="s">
        <v>10171</v>
      </c>
      <c r="H973" s="9" t="s">
        <v>10171</v>
      </c>
      <c r="I973" s="5">
        <v>1.37</v>
      </c>
      <c r="J973" s="5">
        <v>447.18</v>
      </c>
      <c r="K973" s="5">
        <v>401.7</v>
      </c>
      <c r="L973" s="5">
        <v>525.20000000000005</v>
      </c>
      <c r="M973" s="9"/>
      <c r="N973" s="9" t="s">
        <v>10181</v>
      </c>
      <c r="O973" s="9" t="s">
        <v>8629</v>
      </c>
      <c r="P973" s="9" t="str">
        <f t="shared" si="53"/>
        <v>PDFを開く</v>
      </c>
      <c r="Q973" s="9" t="s">
        <v>1602</v>
      </c>
    </row>
    <row r="974" spans="1:17" ht="62.1" customHeight="1">
      <c r="A974" s="2" t="s">
        <v>1594</v>
      </c>
      <c r="B974" s="2" t="s">
        <v>1595</v>
      </c>
      <c r="C974" s="8" t="s">
        <v>1596</v>
      </c>
      <c r="D974" s="2">
        <v>1</v>
      </c>
      <c r="E974" s="8" t="s">
        <v>10156</v>
      </c>
      <c r="F974" s="2">
        <v>7</v>
      </c>
      <c r="G974" s="8" t="s">
        <v>10167</v>
      </c>
      <c r="H974" s="8" t="s">
        <v>10532</v>
      </c>
      <c r="I974" s="2">
        <v>14.27</v>
      </c>
      <c r="J974" s="2">
        <v>463.8</v>
      </c>
      <c r="K974" s="2">
        <v>765.72</v>
      </c>
      <c r="L974" s="2">
        <v>519.26</v>
      </c>
      <c r="M974" s="8"/>
      <c r="N974" s="8" t="s">
        <v>10159</v>
      </c>
      <c r="O974" s="8" t="s">
        <v>10566</v>
      </c>
      <c r="P974" s="8" t="str">
        <f t="shared" si="53"/>
        <v>PDFを開く</v>
      </c>
      <c r="Q974" s="8" t="s">
        <v>1602</v>
      </c>
    </row>
    <row r="975" spans="1:17" ht="62.1" customHeight="1">
      <c r="A975" s="5" t="s">
        <v>1594</v>
      </c>
      <c r="B975" s="5" t="s">
        <v>1595</v>
      </c>
      <c r="C975" s="9" t="s">
        <v>1596</v>
      </c>
      <c r="D975" s="5">
        <v>2</v>
      </c>
      <c r="E975" s="9" t="s">
        <v>10165</v>
      </c>
      <c r="F975" s="5">
        <v>1</v>
      </c>
      <c r="G975" s="9" t="s">
        <v>10167</v>
      </c>
      <c r="H975" s="9" t="s">
        <v>10567</v>
      </c>
      <c r="I975" s="5">
        <v>513.14</v>
      </c>
      <c r="J975" s="5">
        <v>135.9</v>
      </c>
      <c r="K975" s="5">
        <v>768.76</v>
      </c>
      <c r="L975" s="5">
        <v>372.53</v>
      </c>
      <c r="M975" s="9"/>
      <c r="N975" s="9" t="s">
        <v>10159</v>
      </c>
      <c r="O975" s="9" t="s">
        <v>10568</v>
      </c>
      <c r="P975" s="9" t="str">
        <f t="shared" si="53"/>
        <v>PDFを開く</v>
      </c>
      <c r="Q975" s="9" t="s">
        <v>1602</v>
      </c>
    </row>
    <row r="976" spans="1:17" ht="62.1" customHeight="1">
      <c r="A976" s="2" t="s">
        <v>1594</v>
      </c>
      <c r="B976" s="2" t="s">
        <v>1595</v>
      </c>
      <c r="C976" s="8" t="s">
        <v>1596</v>
      </c>
      <c r="D976" s="2">
        <v>2</v>
      </c>
      <c r="E976" s="8" t="s">
        <v>10165</v>
      </c>
      <c r="F976" s="2">
        <v>2</v>
      </c>
      <c r="G976" s="8" t="s">
        <v>10184</v>
      </c>
      <c r="H976" s="8" t="s">
        <v>10184</v>
      </c>
      <c r="I976" s="2">
        <v>89.26</v>
      </c>
      <c r="J976" s="2">
        <v>218.16</v>
      </c>
      <c r="K976" s="2">
        <v>401.7</v>
      </c>
      <c r="L976" s="2">
        <v>413.56</v>
      </c>
      <c r="M976" s="8"/>
      <c r="N976" s="8" t="s">
        <v>10181</v>
      </c>
      <c r="O976" s="8" t="s">
        <v>10569</v>
      </c>
      <c r="P976" s="8" t="str">
        <f t="shared" si="53"/>
        <v>PDFを開く</v>
      </c>
      <c r="Q976" s="8" t="s">
        <v>1602</v>
      </c>
    </row>
    <row r="977" spans="1:17" ht="62.1" customHeight="1">
      <c r="A977" s="5" t="s">
        <v>1603</v>
      </c>
      <c r="B977" s="5" t="s">
        <v>1595</v>
      </c>
      <c r="C977" s="9" t="s">
        <v>1604</v>
      </c>
      <c r="D977" s="5">
        <v>1</v>
      </c>
      <c r="E977" s="9" t="s">
        <v>10156</v>
      </c>
      <c r="F977" s="5">
        <v>1</v>
      </c>
      <c r="G977" s="9" t="s">
        <v>10162</v>
      </c>
      <c r="H977" s="9" t="s">
        <v>10162</v>
      </c>
      <c r="I977" s="5">
        <v>396.3</v>
      </c>
      <c r="J977" s="5">
        <v>106.04</v>
      </c>
      <c r="K977" s="5">
        <v>739.78</v>
      </c>
      <c r="L977" s="5">
        <v>299.98</v>
      </c>
      <c r="M977" s="9"/>
      <c r="N977" s="9" t="s">
        <v>10159</v>
      </c>
      <c r="O977" s="9" t="s">
        <v>8635</v>
      </c>
      <c r="P977" s="9" t="str">
        <f>HYPERLINK("https://seichotoushi-hojo.jp/assets/pdf/koufu_3_4ji/outline_101.pdf","PDFを開く")</f>
        <v>PDFを開く</v>
      </c>
      <c r="Q977" s="9" t="s">
        <v>1608</v>
      </c>
    </row>
    <row r="978" spans="1:17" ht="62.1" customHeight="1">
      <c r="A978" s="2" t="s">
        <v>1603</v>
      </c>
      <c r="B978" s="2" t="s">
        <v>1595</v>
      </c>
      <c r="C978" s="8" t="s">
        <v>1604</v>
      </c>
      <c r="D978" s="2">
        <v>1</v>
      </c>
      <c r="E978" s="8" t="s">
        <v>10156</v>
      </c>
      <c r="F978" s="2">
        <v>2</v>
      </c>
      <c r="G978" s="8" t="s">
        <v>9578</v>
      </c>
      <c r="H978" s="8" t="s">
        <v>9578</v>
      </c>
      <c r="I978" s="2">
        <v>39.659999999999997</v>
      </c>
      <c r="J978" s="2">
        <v>106.05</v>
      </c>
      <c r="K978" s="2">
        <v>378.79</v>
      </c>
      <c r="L978" s="2">
        <v>499.73</v>
      </c>
      <c r="M978" s="8"/>
      <c r="N978" s="8" t="s">
        <v>10159</v>
      </c>
      <c r="O978" s="8" t="s">
        <v>8634</v>
      </c>
      <c r="P978" s="8" t="str">
        <f>HYPERLINK("https://seichotoushi-hojo.jp/assets/pdf/koufu_3_4ji/outline_101.pdf","PDFを開く")</f>
        <v>PDFを開く</v>
      </c>
      <c r="Q978" s="8" t="s">
        <v>1608</v>
      </c>
    </row>
    <row r="979" spans="1:17" ht="62.1" customHeight="1">
      <c r="A979" s="5" t="s">
        <v>1603</v>
      </c>
      <c r="B979" s="5" t="s">
        <v>1595</v>
      </c>
      <c r="C979" s="9" t="s">
        <v>1604</v>
      </c>
      <c r="D979" s="5">
        <v>1</v>
      </c>
      <c r="E979" s="9" t="s">
        <v>10156</v>
      </c>
      <c r="F979" s="5">
        <v>3</v>
      </c>
      <c r="G979" s="9" t="s">
        <v>10163</v>
      </c>
      <c r="H979" s="9" t="s">
        <v>10163</v>
      </c>
      <c r="I979" s="5">
        <v>396.3</v>
      </c>
      <c r="J979" s="5">
        <v>305.79000000000002</v>
      </c>
      <c r="K979" s="5">
        <v>739.78</v>
      </c>
      <c r="L979" s="5">
        <v>499.73</v>
      </c>
      <c r="M979" s="9"/>
      <c r="N979" s="9" t="s">
        <v>10159</v>
      </c>
      <c r="O979" s="9" t="s">
        <v>8636</v>
      </c>
      <c r="P979" s="9" t="str">
        <f>HYPERLINK("https://seichotoushi-hojo.jp/assets/pdf/koufu_3_4ji/outline_101.pdf","PDFを開く")</f>
        <v>PDFを開く</v>
      </c>
      <c r="Q979" s="9" t="s">
        <v>1608</v>
      </c>
    </row>
    <row r="980" spans="1:17" ht="62.1" customHeight="1">
      <c r="A980" s="2" t="s">
        <v>1603</v>
      </c>
      <c r="B980" s="2" t="s">
        <v>1595</v>
      </c>
      <c r="C980" s="8" t="s">
        <v>1604</v>
      </c>
      <c r="D980" s="2">
        <v>1</v>
      </c>
      <c r="E980" s="8" t="s">
        <v>10156</v>
      </c>
      <c r="F980" s="2">
        <v>4</v>
      </c>
      <c r="G980" s="8" t="s">
        <v>8581</v>
      </c>
      <c r="H980" s="8" t="s">
        <v>8581</v>
      </c>
      <c r="I980" s="2">
        <v>49.47</v>
      </c>
      <c r="J980" s="2">
        <v>375.55</v>
      </c>
      <c r="K980" s="2">
        <v>368.97</v>
      </c>
      <c r="L980" s="2">
        <v>491.32</v>
      </c>
      <c r="M980" s="8"/>
      <c r="N980" s="8" t="s">
        <v>10159</v>
      </c>
      <c r="O980" s="8" t="s">
        <v>8637</v>
      </c>
      <c r="P980" s="8" t="str">
        <f>HYPERLINK("https://seichotoushi-hojo.jp/assets/pdf/koufu_3_4ji/outline_101.pdf","PDFを開く")</f>
        <v>PDFを開く</v>
      </c>
      <c r="Q980" s="8" t="s">
        <v>1608</v>
      </c>
    </row>
    <row r="981" spans="1:17" ht="62.1" customHeight="1">
      <c r="A981" s="5" t="s">
        <v>1609</v>
      </c>
      <c r="B981" s="5" t="s">
        <v>1595</v>
      </c>
      <c r="C981" s="9" t="s">
        <v>1610</v>
      </c>
      <c r="D981" s="5">
        <v>1</v>
      </c>
      <c r="E981" s="9" t="s">
        <v>10156</v>
      </c>
      <c r="F981" s="5">
        <v>1</v>
      </c>
      <c r="G981" s="9" t="s">
        <v>10167</v>
      </c>
      <c r="H981" s="9" t="s">
        <v>10570</v>
      </c>
      <c r="I981" s="5">
        <v>30.6</v>
      </c>
      <c r="J981" s="5">
        <v>115.4</v>
      </c>
      <c r="K981" s="5">
        <v>398.16</v>
      </c>
      <c r="L981" s="5">
        <v>563.61</v>
      </c>
      <c r="M981" s="9"/>
      <c r="N981" s="9" t="s">
        <v>10159</v>
      </c>
      <c r="O981" s="9" t="s">
        <v>10571</v>
      </c>
      <c r="P981" s="9" t="str">
        <f t="shared" ref="P981:P986" si="54">HYPERLINK("https://seichotoushi-hojo.jp/assets/pdf/koufu_3_4ji/outline_103.pdf","PDFを開く")</f>
        <v>PDFを開く</v>
      </c>
      <c r="Q981" s="9" t="s">
        <v>1616</v>
      </c>
    </row>
    <row r="982" spans="1:17" ht="62.1" customHeight="1">
      <c r="A982" s="2" t="s">
        <v>1609</v>
      </c>
      <c r="B982" s="2" t="s">
        <v>1595</v>
      </c>
      <c r="C982" s="8" t="s">
        <v>1610</v>
      </c>
      <c r="D982" s="2">
        <v>1</v>
      </c>
      <c r="E982" s="8" t="s">
        <v>10156</v>
      </c>
      <c r="F982" s="2">
        <v>2</v>
      </c>
      <c r="G982" s="8" t="s">
        <v>10162</v>
      </c>
      <c r="H982" s="8" t="s">
        <v>10162</v>
      </c>
      <c r="I982" s="2">
        <v>418.8</v>
      </c>
      <c r="J982" s="2">
        <v>118.29</v>
      </c>
      <c r="K982" s="2">
        <v>801.96</v>
      </c>
      <c r="L982" s="2">
        <v>332.25</v>
      </c>
      <c r="M982" s="8"/>
      <c r="N982" s="8" t="s">
        <v>10159</v>
      </c>
      <c r="O982" s="8" t="s">
        <v>8642</v>
      </c>
      <c r="P982" s="8" t="str">
        <f t="shared" si="54"/>
        <v>PDFを開く</v>
      </c>
      <c r="Q982" s="8" t="s">
        <v>1616</v>
      </c>
    </row>
    <row r="983" spans="1:17" ht="62.1" customHeight="1">
      <c r="A983" s="5" t="s">
        <v>1609</v>
      </c>
      <c r="B983" s="5" t="s">
        <v>1595</v>
      </c>
      <c r="C983" s="9" t="s">
        <v>1610</v>
      </c>
      <c r="D983" s="5">
        <v>1</v>
      </c>
      <c r="E983" s="9" t="s">
        <v>10156</v>
      </c>
      <c r="F983" s="5">
        <v>3</v>
      </c>
      <c r="G983" s="9" t="s">
        <v>10163</v>
      </c>
      <c r="H983" s="9" t="s">
        <v>10163</v>
      </c>
      <c r="I983" s="5">
        <v>418.8</v>
      </c>
      <c r="J983" s="5">
        <v>344.97</v>
      </c>
      <c r="K983" s="5">
        <v>801.96</v>
      </c>
      <c r="L983" s="5">
        <v>559.41</v>
      </c>
      <c r="M983" s="9"/>
      <c r="N983" s="9" t="s">
        <v>10159</v>
      </c>
      <c r="O983" s="9" t="s">
        <v>8643</v>
      </c>
      <c r="P983" s="9" t="str">
        <f t="shared" si="54"/>
        <v>PDFを開く</v>
      </c>
      <c r="Q983" s="9" t="s">
        <v>1616</v>
      </c>
    </row>
    <row r="984" spans="1:17" ht="62.1" customHeight="1">
      <c r="A984" s="2" t="s">
        <v>1609</v>
      </c>
      <c r="B984" s="2" t="s">
        <v>1595</v>
      </c>
      <c r="C984" s="8" t="s">
        <v>1610</v>
      </c>
      <c r="D984" s="2">
        <v>1</v>
      </c>
      <c r="E984" s="8" t="s">
        <v>10156</v>
      </c>
      <c r="F984" s="2">
        <v>4</v>
      </c>
      <c r="G984" s="8" t="s">
        <v>10167</v>
      </c>
      <c r="H984" s="8" t="s">
        <v>10572</v>
      </c>
      <c r="I984" s="2">
        <v>44.88</v>
      </c>
      <c r="J984" s="2">
        <v>452.25</v>
      </c>
      <c r="K984" s="2">
        <v>374.64</v>
      </c>
      <c r="L984" s="2">
        <v>558.09</v>
      </c>
      <c r="M984" s="8"/>
      <c r="N984" s="8" t="s">
        <v>10159</v>
      </c>
      <c r="O984" s="8" t="s">
        <v>10573</v>
      </c>
      <c r="P984" s="8" t="str">
        <f t="shared" si="54"/>
        <v>PDFを開く</v>
      </c>
      <c r="Q984" s="8" t="s">
        <v>1616</v>
      </c>
    </row>
    <row r="985" spans="1:17" ht="62.1" customHeight="1">
      <c r="A985" s="5" t="s">
        <v>1609</v>
      </c>
      <c r="B985" s="5" t="s">
        <v>1595</v>
      </c>
      <c r="C985" s="9" t="s">
        <v>1610</v>
      </c>
      <c r="D985" s="5">
        <v>2</v>
      </c>
      <c r="E985" s="9" t="s">
        <v>10156</v>
      </c>
      <c r="F985" s="5">
        <v>1</v>
      </c>
      <c r="G985" s="9" t="s">
        <v>10184</v>
      </c>
      <c r="H985" s="9" t="s">
        <v>10184</v>
      </c>
      <c r="I985" s="5">
        <v>143.04</v>
      </c>
      <c r="J985" s="5">
        <v>200.42</v>
      </c>
      <c r="K985" s="5">
        <v>433.63</v>
      </c>
      <c r="L985" s="5">
        <v>237.68</v>
      </c>
      <c r="M985" s="9"/>
      <c r="N985" s="9" t="s">
        <v>10181</v>
      </c>
      <c r="O985" s="9" t="s">
        <v>10574</v>
      </c>
      <c r="P985" s="9" t="str">
        <f t="shared" si="54"/>
        <v>PDFを開く</v>
      </c>
      <c r="Q985" s="9" t="s">
        <v>1616</v>
      </c>
    </row>
    <row r="986" spans="1:17" ht="62.1" customHeight="1">
      <c r="A986" s="2" t="s">
        <v>1609</v>
      </c>
      <c r="B986" s="2" t="s">
        <v>1595</v>
      </c>
      <c r="C986" s="8" t="s">
        <v>1610</v>
      </c>
      <c r="D986" s="2">
        <v>2</v>
      </c>
      <c r="E986" s="8" t="s">
        <v>10156</v>
      </c>
      <c r="F986" s="2">
        <v>2</v>
      </c>
      <c r="G986" s="8" t="s">
        <v>10184</v>
      </c>
      <c r="H986" s="8" t="s">
        <v>10184</v>
      </c>
      <c r="I986" s="2">
        <v>149.04</v>
      </c>
      <c r="J986" s="2">
        <v>216.56</v>
      </c>
      <c r="K986" s="2">
        <v>493.08</v>
      </c>
      <c r="L986" s="2">
        <v>238.17</v>
      </c>
      <c r="M986" s="8"/>
      <c r="N986" s="8" t="s">
        <v>10159</v>
      </c>
      <c r="O986" s="8" t="s">
        <v>10575</v>
      </c>
      <c r="P986" s="8" t="str">
        <f t="shared" si="54"/>
        <v>PDFを開く</v>
      </c>
      <c r="Q986" s="8" t="s">
        <v>1616</v>
      </c>
    </row>
    <row r="987" spans="1:17" ht="62.1" customHeight="1">
      <c r="A987" s="5" t="s">
        <v>1617</v>
      </c>
      <c r="B987" s="5" t="s">
        <v>1595</v>
      </c>
      <c r="C987" s="9" t="s">
        <v>1618</v>
      </c>
      <c r="D987" s="5">
        <v>1</v>
      </c>
      <c r="E987" s="9" t="s">
        <v>10156</v>
      </c>
      <c r="F987" s="5">
        <v>1</v>
      </c>
      <c r="G987" s="9" t="s">
        <v>9578</v>
      </c>
      <c r="H987" s="9" t="s">
        <v>9578</v>
      </c>
      <c r="I987" s="5">
        <v>83.76</v>
      </c>
      <c r="J987" s="5">
        <v>98.04</v>
      </c>
      <c r="K987" s="5">
        <v>433.8</v>
      </c>
      <c r="L987" s="5">
        <v>123.24</v>
      </c>
      <c r="M987" s="9"/>
      <c r="N987" s="9" t="s">
        <v>10159</v>
      </c>
      <c r="O987" s="9" t="s">
        <v>8647</v>
      </c>
      <c r="P987" s="9" t="str">
        <f t="shared" ref="P987:P996" si="55">HYPERLINK("https://seichotoushi-hojo.jp/assets/pdf/koufu_3_4ji/outline_104.pdf","PDFを開く")</f>
        <v>PDFを開く</v>
      </c>
      <c r="Q987" s="9" t="s">
        <v>1624</v>
      </c>
    </row>
    <row r="988" spans="1:17" ht="62.1" customHeight="1">
      <c r="A988" s="2" t="s">
        <v>1617</v>
      </c>
      <c r="B988" s="2" t="s">
        <v>1595</v>
      </c>
      <c r="C988" s="8" t="s">
        <v>1618</v>
      </c>
      <c r="D988" s="2">
        <v>1</v>
      </c>
      <c r="E988" s="8" t="s">
        <v>10156</v>
      </c>
      <c r="F988" s="2">
        <v>2</v>
      </c>
      <c r="G988" s="8" t="s">
        <v>8581</v>
      </c>
      <c r="H988" s="8" t="s">
        <v>8581</v>
      </c>
      <c r="I988" s="2">
        <v>506.28</v>
      </c>
      <c r="J988" s="2">
        <v>112.2</v>
      </c>
      <c r="K988" s="2">
        <v>760.8</v>
      </c>
      <c r="L988" s="2">
        <v>223.08</v>
      </c>
      <c r="M988" s="8"/>
      <c r="N988" s="8" t="s">
        <v>10159</v>
      </c>
      <c r="O988" s="8" t="s">
        <v>10576</v>
      </c>
      <c r="P988" s="8" t="str">
        <f t="shared" si="55"/>
        <v>PDFを開く</v>
      </c>
      <c r="Q988" s="8" t="s">
        <v>1624</v>
      </c>
    </row>
    <row r="989" spans="1:17" ht="62.1" customHeight="1">
      <c r="A989" s="5" t="s">
        <v>1617</v>
      </c>
      <c r="B989" s="5" t="s">
        <v>1595</v>
      </c>
      <c r="C989" s="9" t="s">
        <v>1618</v>
      </c>
      <c r="D989" s="5">
        <v>1</v>
      </c>
      <c r="E989" s="9" t="s">
        <v>10156</v>
      </c>
      <c r="F989" s="5">
        <v>3</v>
      </c>
      <c r="G989" s="9" t="s">
        <v>10167</v>
      </c>
      <c r="H989" s="9" t="s">
        <v>10577</v>
      </c>
      <c r="I989" s="5">
        <v>79.08</v>
      </c>
      <c r="J989" s="5">
        <v>143.04</v>
      </c>
      <c r="K989" s="5">
        <v>504.36</v>
      </c>
      <c r="L989" s="5">
        <v>264.95999999999998</v>
      </c>
      <c r="M989" s="9"/>
      <c r="N989" s="9" t="s">
        <v>10159</v>
      </c>
      <c r="O989" s="9" t="s">
        <v>10578</v>
      </c>
      <c r="P989" s="9" t="str">
        <f t="shared" si="55"/>
        <v>PDFを開く</v>
      </c>
      <c r="Q989" s="9" t="s">
        <v>1624</v>
      </c>
    </row>
    <row r="990" spans="1:17" ht="62.1" customHeight="1">
      <c r="A990" s="2" t="s">
        <v>1617</v>
      </c>
      <c r="B990" s="2" t="s">
        <v>1595</v>
      </c>
      <c r="C990" s="8" t="s">
        <v>1618</v>
      </c>
      <c r="D990" s="2">
        <v>1</v>
      </c>
      <c r="E990" s="8" t="s">
        <v>10156</v>
      </c>
      <c r="F990" s="2">
        <v>4</v>
      </c>
      <c r="G990" s="8" t="s">
        <v>8581</v>
      </c>
      <c r="H990" s="8" t="s">
        <v>8581</v>
      </c>
      <c r="I990" s="2">
        <v>514.91999999999996</v>
      </c>
      <c r="J990" s="2">
        <v>233.64</v>
      </c>
      <c r="K990" s="2">
        <v>737.28</v>
      </c>
      <c r="L990" s="2">
        <v>367.32</v>
      </c>
      <c r="M990" s="8"/>
      <c r="N990" s="8" t="s">
        <v>10159</v>
      </c>
      <c r="O990" s="8" t="s">
        <v>10579</v>
      </c>
      <c r="P990" s="8" t="str">
        <f t="shared" si="55"/>
        <v>PDFを開く</v>
      </c>
      <c r="Q990" s="8" t="s">
        <v>1624</v>
      </c>
    </row>
    <row r="991" spans="1:17" ht="62.1" customHeight="1">
      <c r="A991" s="5" t="s">
        <v>1617</v>
      </c>
      <c r="B991" s="5" t="s">
        <v>1595</v>
      </c>
      <c r="C991" s="9" t="s">
        <v>1618</v>
      </c>
      <c r="D991" s="5">
        <v>1</v>
      </c>
      <c r="E991" s="9" t="s">
        <v>10156</v>
      </c>
      <c r="F991" s="5">
        <v>5</v>
      </c>
      <c r="G991" s="9" t="s">
        <v>10167</v>
      </c>
      <c r="H991" s="9" t="s">
        <v>10580</v>
      </c>
      <c r="I991" s="5">
        <v>79.08</v>
      </c>
      <c r="J991" s="5">
        <v>268.92</v>
      </c>
      <c r="K991" s="5">
        <v>504.36</v>
      </c>
      <c r="L991" s="5">
        <v>390.84</v>
      </c>
      <c r="M991" s="9"/>
      <c r="N991" s="9" t="s">
        <v>10159</v>
      </c>
      <c r="O991" s="9" t="s">
        <v>10581</v>
      </c>
      <c r="P991" s="9" t="str">
        <f t="shared" si="55"/>
        <v>PDFを開く</v>
      </c>
      <c r="Q991" s="9" t="s">
        <v>1624</v>
      </c>
    </row>
    <row r="992" spans="1:17" ht="62.1" customHeight="1">
      <c r="A992" s="2" t="s">
        <v>1617</v>
      </c>
      <c r="B992" s="2" t="s">
        <v>1595</v>
      </c>
      <c r="C992" s="8" t="s">
        <v>1618</v>
      </c>
      <c r="D992" s="2">
        <v>1</v>
      </c>
      <c r="E992" s="8" t="s">
        <v>10156</v>
      </c>
      <c r="F992" s="2">
        <v>6</v>
      </c>
      <c r="G992" s="8" t="s">
        <v>10167</v>
      </c>
      <c r="H992" s="8" t="s">
        <v>10582</v>
      </c>
      <c r="I992" s="2">
        <v>79.08</v>
      </c>
      <c r="J992" s="2">
        <v>394.92</v>
      </c>
      <c r="K992" s="2">
        <v>504.36</v>
      </c>
      <c r="L992" s="2">
        <v>516.72</v>
      </c>
      <c r="M992" s="8"/>
      <c r="N992" s="8" t="s">
        <v>10159</v>
      </c>
      <c r="O992" s="8" t="s">
        <v>10583</v>
      </c>
      <c r="P992" s="8" t="str">
        <f t="shared" si="55"/>
        <v>PDFを開く</v>
      </c>
      <c r="Q992" s="8" t="s">
        <v>1624</v>
      </c>
    </row>
    <row r="993" spans="1:17" ht="62.1" customHeight="1">
      <c r="A993" s="5" t="s">
        <v>1617</v>
      </c>
      <c r="B993" s="5" t="s">
        <v>1595</v>
      </c>
      <c r="C993" s="9" t="s">
        <v>1618</v>
      </c>
      <c r="D993" s="5">
        <v>2</v>
      </c>
      <c r="E993" s="9" t="s">
        <v>10156</v>
      </c>
      <c r="F993" s="5">
        <v>1</v>
      </c>
      <c r="G993" s="9" t="s">
        <v>10163</v>
      </c>
      <c r="H993" s="9" t="s">
        <v>10163</v>
      </c>
      <c r="I993" s="5">
        <v>129.6</v>
      </c>
      <c r="J993" s="5">
        <v>14.12</v>
      </c>
      <c r="K993" s="5">
        <v>401.7</v>
      </c>
      <c r="L993" s="5">
        <v>100.77</v>
      </c>
      <c r="M993" s="9"/>
      <c r="N993" s="9" t="s">
        <v>10181</v>
      </c>
      <c r="O993" s="9" t="s">
        <v>10584</v>
      </c>
      <c r="P993" s="9" t="str">
        <f t="shared" si="55"/>
        <v>PDFを開く</v>
      </c>
      <c r="Q993" s="9" t="s">
        <v>1624</v>
      </c>
    </row>
    <row r="994" spans="1:17" ht="62.1" customHeight="1">
      <c r="A994" s="2" t="s">
        <v>1617</v>
      </c>
      <c r="B994" s="2" t="s">
        <v>1595</v>
      </c>
      <c r="C994" s="8" t="s">
        <v>1618</v>
      </c>
      <c r="D994" s="2">
        <v>2</v>
      </c>
      <c r="E994" s="8" t="s">
        <v>10156</v>
      </c>
      <c r="F994" s="2">
        <v>2</v>
      </c>
      <c r="G994" s="8" t="s">
        <v>10162</v>
      </c>
      <c r="H994" s="8" t="s">
        <v>10162</v>
      </c>
      <c r="I994" s="2">
        <v>195.6</v>
      </c>
      <c r="J994" s="2">
        <v>14.12</v>
      </c>
      <c r="K994" s="2">
        <v>401.7</v>
      </c>
      <c r="L994" s="2">
        <v>100.77</v>
      </c>
      <c r="M994" s="8"/>
      <c r="N994" s="8" t="s">
        <v>10181</v>
      </c>
      <c r="O994" s="8" t="s">
        <v>10585</v>
      </c>
      <c r="P994" s="8" t="str">
        <f t="shared" si="55"/>
        <v>PDFを開く</v>
      </c>
      <c r="Q994" s="8" t="s">
        <v>1624</v>
      </c>
    </row>
    <row r="995" spans="1:17" ht="62.1" customHeight="1">
      <c r="A995" s="5" t="s">
        <v>1617</v>
      </c>
      <c r="B995" s="5" t="s">
        <v>1595</v>
      </c>
      <c r="C995" s="9" t="s">
        <v>1618</v>
      </c>
      <c r="D995" s="5">
        <v>2</v>
      </c>
      <c r="E995" s="9" t="s">
        <v>10156</v>
      </c>
      <c r="F995" s="5">
        <v>3</v>
      </c>
      <c r="G995" s="9" t="s">
        <v>10162</v>
      </c>
      <c r="H995" s="9" t="s">
        <v>10162</v>
      </c>
      <c r="I995" s="5">
        <v>35.64</v>
      </c>
      <c r="J995" s="5">
        <v>99.48</v>
      </c>
      <c r="K995" s="5">
        <v>378.6</v>
      </c>
      <c r="L995" s="5">
        <v>530.28</v>
      </c>
      <c r="M995" s="9"/>
      <c r="N995" s="9" t="s">
        <v>10159</v>
      </c>
      <c r="O995" s="9" t="s">
        <v>10586</v>
      </c>
      <c r="P995" s="9" t="str">
        <f t="shared" si="55"/>
        <v>PDFを開く</v>
      </c>
      <c r="Q995" s="9" t="s">
        <v>1624</v>
      </c>
    </row>
    <row r="996" spans="1:17" ht="62.1" customHeight="1">
      <c r="A996" s="2" t="s">
        <v>1617</v>
      </c>
      <c r="B996" s="2" t="s">
        <v>1595</v>
      </c>
      <c r="C996" s="8" t="s">
        <v>1618</v>
      </c>
      <c r="D996" s="2">
        <v>2</v>
      </c>
      <c r="E996" s="8" t="s">
        <v>10156</v>
      </c>
      <c r="F996" s="2">
        <v>4</v>
      </c>
      <c r="G996" s="8" t="s">
        <v>10163</v>
      </c>
      <c r="H996" s="8" t="s">
        <v>10163</v>
      </c>
      <c r="I996" s="2">
        <v>401.4</v>
      </c>
      <c r="J996" s="2">
        <v>99.48</v>
      </c>
      <c r="K996" s="2">
        <v>755.76</v>
      </c>
      <c r="L996" s="2">
        <v>530.28</v>
      </c>
      <c r="M996" s="8"/>
      <c r="N996" s="8" t="s">
        <v>10159</v>
      </c>
      <c r="O996" s="8" t="s">
        <v>10587</v>
      </c>
      <c r="P996" s="8" t="str">
        <f t="shared" si="55"/>
        <v>PDFを開く</v>
      </c>
      <c r="Q996" s="8" t="s">
        <v>1624</v>
      </c>
    </row>
    <row r="997" spans="1:17" ht="62.1" customHeight="1">
      <c r="A997" s="5" t="s">
        <v>1625</v>
      </c>
      <c r="B997" s="5" t="s">
        <v>1595</v>
      </c>
      <c r="C997" s="9" t="s">
        <v>1626</v>
      </c>
      <c r="D997" s="5">
        <v>1</v>
      </c>
      <c r="E997" s="9" t="s">
        <v>10156</v>
      </c>
      <c r="F997" s="5">
        <v>1</v>
      </c>
      <c r="G997" s="9" t="s">
        <v>9578</v>
      </c>
      <c r="H997" s="9" t="s">
        <v>9578</v>
      </c>
      <c r="I997" s="5">
        <v>39.75</v>
      </c>
      <c r="J997" s="5">
        <v>105.75</v>
      </c>
      <c r="K997" s="5">
        <v>378.75</v>
      </c>
      <c r="L997" s="5">
        <v>499.5</v>
      </c>
      <c r="M997" s="9"/>
      <c r="N997" s="9" t="s">
        <v>10159</v>
      </c>
      <c r="O997" s="9" t="s">
        <v>8655</v>
      </c>
      <c r="P997" s="9" t="str">
        <f>HYPERLINK("https://seichotoushi-hojo.jp/assets/pdf/koufu_3_4ji/outline_105.pdf","PDFを開く")</f>
        <v>PDFを開く</v>
      </c>
      <c r="Q997" s="9" t="s">
        <v>1631</v>
      </c>
    </row>
    <row r="998" spans="1:17" ht="62.1" customHeight="1">
      <c r="A998" s="2" t="s">
        <v>1625</v>
      </c>
      <c r="B998" s="2" t="s">
        <v>1595</v>
      </c>
      <c r="C998" s="8" t="s">
        <v>1626</v>
      </c>
      <c r="D998" s="2">
        <v>1</v>
      </c>
      <c r="E998" s="8" t="s">
        <v>10156</v>
      </c>
      <c r="F998" s="2">
        <v>2</v>
      </c>
      <c r="G998" s="8" t="s">
        <v>10162</v>
      </c>
      <c r="H998" s="8" t="s">
        <v>10162</v>
      </c>
      <c r="I998" s="2">
        <v>396.38</v>
      </c>
      <c r="J998" s="2">
        <v>106.12</v>
      </c>
      <c r="K998" s="2">
        <v>739.88</v>
      </c>
      <c r="L998" s="2">
        <v>283.12</v>
      </c>
      <c r="M998" s="8"/>
      <c r="N998" s="8" t="s">
        <v>10159</v>
      </c>
      <c r="O998" s="8" t="s">
        <v>8656</v>
      </c>
      <c r="P998" s="8" t="str">
        <f>HYPERLINK("https://seichotoushi-hojo.jp/assets/pdf/koufu_3_4ji/outline_105.pdf","PDFを開く")</f>
        <v>PDFを開く</v>
      </c>
      <c r="Q998" s="8" t="s">
        <v>1631</v>
      </c>
    </row>
    <row r="999" spans="1:17" ht="62.1" customHeight="1">
      <c r="A999" s="5" t="s">
        <v>1625</v>
      </c>
      <c r="B999" s="5" t="s">
        <v>1595</v>
      </c>
      <c r="C999" s="9" t="s">
        <v>1626</v>
      </c>
      <c r="D999" s="5">
        <v>1</v>
      </c>
      <c r="E999" s="9" t="s">
        <v>10156</v>
      </c>
      <c r="F999" s="5">
        <v>3</v>
      </c>
      <c r="G999" s="9" t="s">
        <v>10163</v>
      </c>
      <c r="H999" s="9" t="s">
        <v>10163</v>
      </c>
      <c r="I999" s="5">
        <v>396.38</v>
      </c>
      <c r="J999" s="5">
        <v>290.62</v>
      </c>
      <c r="K999" s="5">
        <v>739.88</v>
      </c>
      <c r="L999" s="5">
        <v>499.88</v>
      </c>
      <c r="M999" s="9"/>
      <c r="N999" s="9" t="s">
        <v>10159</v>
      </c>
      <c r="O999" s="9" t="s">
        <v>8657</v>
      </c>
      <c r="P999" s="9" t="str">
        <f>HYPERLINK("https://seichotoushi-hojo.jp/assets/pdf/koufu_3_4ji/outline_105.pdf","PDFを開く")</f>
        <v>PDFを開く</v>
      </c>
      <c r="Q999" s="9" t="s">
        <v>1631</v>
      </c>
    </row>
    <row r="1000" spans="1:17" ht="62.1" customHeight="1">
      <c r="A1000" s="2" t="s">
        <v>1625</v>
      </c>
      <c r="B1000" s="2" t="s">
        <v>1595</v>
      </c>
      <c r="C1000" s="8" t="s">
        <v>1626</v>
      </c>
      <c r="D1000" s="2">
        <v>1</v>
      </c>
      <c r="E1000" s="8" t="s">
        <v>10156</v>
      </c>
      <c r="F1000" s="2">
        <v>4</v>
      </c>
      <c r="G1000" s="8" t="s">
        <v>8581</v>
      </c>
      <c r="H1000" s="8" t="s">
        <v>8581</v>
      </c>
      <c r="I1000" s="2">
        <v>48</v>
      </c>
      <c r="J1000" s="2">
        <v>371.25</v>
      </c>
      <c r="K1000" s="2">
        <v>367.5</v>
      </c>
      <c r="L1000" s="2">
        <v>486.75</v>
      </c>
      <c r="M1000" s="8"/>
      <c r="N1000" s="8" t="s">
        <v>10159</v>
      </c>
      <c r="O1000" s="8" t="s">
        <v>8658</v>
      </c>
      <c r="P1000" s="8" t="str">
        <f>HYPERLINK("https://seichotoushi-hojo.jp/assets/pdf/koufu_3_4ji/outline_105.pdf","PDFを開く")</f>
        <v>PDFを開く</v>
      </c>
      <c r="Q1000" s="8" t="s">
        <v>1631</v>
      </c>
    </row>
    <row r="1001" spans="1:17" ht="62.1" customHeight="1">
      <c r="A1001" s="5" t="s">
        <v>1632</v>
      </c>
      <c r="B1001" s="5" t="s">
        <v>1595</v>
      </c>
      <c r="C1001" s="9" t="s">
        <v>1633</v>
      </c>
      <c r="D1001" s="5">
        <v>1</v>
      </c>
      <c r="E1001" s="9" t="s">
        <v>10156</v>
      </c>
      <c r="F1001" s="5">
        <v>1</v>
      </c>
      <c r="G1001" s="9" t="s">
        <v>9578</v>
      </c>
      <c r="H1001" s="9" t="s">
        <v>9578</v>
      </c>
      <c r="I1001" s="5">
        <v>43.56</v>
      </c>
      <c r="J1001" s="5">
        <v>201.48</v>
      </c>
      <c r="K1001" s="5">
        <v>409.68</v>
      </c>
      <c r="L1001" s="5">
        <v>568.08000000000004</v>
      </c>
      <c r="M1001" s="9"/>
      <c r="N1001" s="9" t="s">
        <v>10159</v>
      </c>
      <c r="O1001" s="9" t="s">
        <v>8663</v>
      </c>
      <c r="P1001" s="9" t="str">
        <f>HYPERLINK("https://seichotoushi-hojo.jp/assets/pdf/koufu_3_4ji/outline_106.pdf","PDFを開く")</f>
        <v>PDFを開く</v>
      </c>
      <c r="Q1001" s="9" t="s">
        <v>1639</v>
      </c>
    </row>
    <row r="1002" spans="1:17" ht="62.1" customHeight="1">
      <c r="A1002" s="2" t="s">
        <v>1632</v>
      </c>
      <c r="B1002" s="2" t="s">
        <v>1595</v>
      </c>
      <c r="C1002" s="8" t="s">
        <v>1633</v>
      </c>
      <c r="D1002" s="2">
        <v>1</v>
      </c>
      <c r="E1002" s="8" t="s">
        <v>10156</v>
      </c>
      <c r="F1002" s="2">
        <v>2</v>
      </c>
      <c r="G1002" s="8" t="s">
        <v>10162</v>
      </c>
      <c r="H1002" s="8" t="s">
        <v>10162</v>
      </c>
      <c r="I1002" s="2">
        <v>428.52</v>
      </c>
      <c r="J1002" s="2">
        <v>203.88</v>
      </c>
      <c r="K1002" s="2">
        <v>821.52</v>
      </c>
      <c r="L1002" s="2">
        <v>368.16</v>
      </c>
      <c r="M1002" s="8"/>
      <c r="N1002" s="8" t="s">
        <v>10159</v>
      </c>
      <c r="O1002" s="8" t="s">
        <v>8664</v>
      </c>
      <c r="P1002" s="8" t="str">
        <f>HYPERLINK("https://seichotoushi-hojo.jp/assets/pdf/koufu_3_4ji/outline_106.pdf","PDFを開く")</f>
        <v>PDFを開く</v>
      </c>
      <c r="Q1002" s="8" t="s">
        <v>1639</v>
      </c>
    </row>
    <row r="1003" spans="1:17" ht="62.1" customHeight="1">
      <c r="A1003" s="5" t="s">
        <v>1632</v>
      </c>
      <c r="B1003" s="5" t="s">
        <v>1595</v>
      </c>
      <c r="C1003" s="9" t="s">
        <v>1633</v>
      </c>
      <c r="D1003" s="5">
        <v>1</v>
      </c>
      <c r="E1003" s="9" t="s">
        <v>10156</v>
      </c>
      <c r="F1003" s="5">
        <v>3</v>
      </c>
      <c r="G1003" s="9" t="s">
        <v>10163</v>
      </c>
      <c r="H1003" s="9" t="s">
        <v>10163</v>
      </c>
      <c r="I1003" s="5">
        <v>428.52</v>
      </c>
      <c r="J1003" s="5">
        <v>375.36</v>
      </c>
      <c r="K1003" s="5">
        <v>821.52</v>
      </c>
      <c r="L1003" s="5">
        <v>568.08000000000004</v>
      </c>
      <c r="M1003" s="9"/>
      <c r="N1003" s="9" t="s">
        <v>10159</v>
      </c>
      <c r="O1003" s="9" t="s">
        <v>8665</v>
      </c>
      <c r="P1003" s="9" t="str">
        <f>HYPERLINK("https://seichotoushi-hojo.jp/assets/pdf/koufu_3_4ji/outline_106.pdf","PDFを開く")</f>
        <v>PDFを開く</v>
      </c>
      <c r="Q1003" s="9" t="s">
        <v>1639</v>
      </c>
    </row>
    <row r="1004" spans="1:17" ht="62.1" customHeight="1">
      <c r="A1004" s="2" t="s">
        <v>1632</v>
      </c>
      <c r="B1004" s="2" t="s">
        <v>1595</v>
      </c>
      <c r="C1004" s="8" t="s">
        <v>1633</v>
      </c>
      <c r="D1004" s="2">
        <v>1</v>
      </c>
      <c r="E1004" s="8" t="s">
        <v>10156</v>
      </c>
      <c r="F1004" s="2">
        <v>4</v>
      </c>
      <c r="G1004" s="8" t="s">
        <v>8581</v>
      </c>
      <c r="H1004" s="8" t="s">
        <v>8581</v>
      </c>
      <c r="I1004" s="2">
        <v>54.24</v>
      </c>
      <c r="J1004" s="2">
        <v>467.4</v>
      </c>
      <c r="K1004" s="2">
        <v>399</v>
      </c>
      <c r="L1004" s="2">
        <v>558.84</v>
      </c>
      <c r="M1004" s="8"/>
      <c r="N1004" s="8" t="s">
        <v>10159</v>
      </c>
      <c r="O1004" s="8" t="s">
        <v>8666</v>
      </c>
      <c r="P1004" s="8" t="str">
        <f>HYPERLINK("https://seichotoushi-hojo.jp/assets/pdf/koufu_3_4ji/outline_106.pdf","PDFを開く")</f>
        <v>PDFを開く</v>
      </c>
      <c r="Q1004" s="8" t="s">
        <v>1639</v>
      </c>
    </row>
    <row r="1005" spans="1:17" ht="62.1" customHeight="1">
      <c r="A1005" s="5" t="s">
        <v>1632</v>
      </c>
      <c r="B1005" s="5" t="s">
        <v>1595</v>
      </c>
      <c r="C1005" s="9" t="s">
        <v>1633</v>
      </c>
      <c r="D1005" s="5">
        <v>2</v>
      </c>
      <c r="E1005" s="9" t="s">
        <v>10165</v>
      </c>
      <c r="F1005" s="5">
        <v>1</v>
      </c>
      <c r="G1005" s="9" t="s">
        <v>10184</v>
      </c>
      <c r="H1005" s="9" t="s">
        <v>10184</v>
      </c>
      <c r="I1005" s="5">
        <v>124.32</v>
      </c>
      <c r="J1005" s="5">
        <v>199.55</v>
      </c>
      <c r="K1005" s="5">
        <v>433.59</v>
      </c>
      <c r="L1005" s="5">
        <v>414.87</v>
      </c>
      <c r="M1005" s="9"/>
      <c r="N1005" s="9" t="s">
        <v>10181</v>
      </c>
      <c r="O1005" s="9" t="s">
        <v>10588</v>
      </c>
      <c r="P1005" s="9" t="str">
        <f>HYPERLINK("https://seichotoushi-hojo.jp/assets/pdf/koufu_3_4ji/outline_106.pdf","PDFを開く")</f>
        <v>PDFを開く</v>
      </c>
      <c r="Q1005" s="9" t="s">
        <v>1639</v>
      </c>
    </row>
    <row r="1006" spans="1:17" ht="62.1" customHeight="1">
      <c r="A1006" s="2" t="s">
        <v>1640</v>
      </c>
      <c r="B1006" s="2" t="s">
        <v>1595</v>
      </c>
      <c r="C1006" s="8" t="s">
        <v>1641</v>
      </c>
      <c r="D1006" s="2">
        <v>1</v>
      </c>
      <c r="E1006" s="8" t="s">
        <v>10156</v>
      </c>
      <c r="F1006" s="2">
        <v>1</v>
      </c>
      <c r="G1006" s="8" t="s">
        <v>9578</v>
      </c>
      <c r="H1006" s="8" t="s">
        <v>9578</v>
      </c>
      <c r="I1006" s="2">
        <v>17.46</v>
      </c>
      <c r="J1006" s="2">
        <v>101.82</v>
      </c>
      <c r="K1006" s="2">
        <v>499.38</v>
      </c>
      <c r="L1006" s="2">
        <v>499.74</v>
      </c>
      <c r="M1006" s="8"/>
      <c r="N1006" s="8" t="s">
        <v>10159</v>
      </c>
      <c r="O1006" s="8" t="s">
        <v>8671</v>
      </c>
      <c r="P1006" s="8" t="str">
        <f>HYPERLINK("https://seichotoushi-hojo.jp/assets/pdf/koufu_3_4ji/outline_108.pdf","PDFを開く")</f>
        <v>PDFを開く</v>
      </c>
      <c r="Q1006" s="8" t="s">
        <v>1648</v>
      </c>
    </row>
    <row r="1007" spans="1:17" ht="62.1" customHeight="1">
      <c r="A1007" s="5" t="s">
        <v>1640</v>
      </c>
      <c r="B1007" s="5" t="s">
        <v>1595</v>
      </c>
      <c r="C1007" s="9" t="s">
        <v>1641</v>
      </c>
      <c r="D1007" s="5">
        <v>1</v>
      </c>
      <c r="E1007" s="9" t="s">
        <v>10156</v>
      </c>
      <c r="F1007" s="5">
        <v>2</v>
      </c>
      <c r="G1007" s="9" t="s">
        <v>10162</v>
      </c>
      <c r="H1007" s="9" t="s">
        <v>10162</v>
      </c>
      <c r="I1007" s="5">
        <v>512.19000000000005</v>
      </c>
      <c r="J1007" s="5">
        <v>140.07</v>
      </c>
      <c r="K1007" s="5">
        <v>763.41</v>
      </c>
      <c r="L1007" s="5">
        <v>275.13</v>
      </c>
      <c r="M1007" s="9"/>
      <c r="N1007" s="9" t="s">
        <v>10159</v>
      </c>
      <c r="O1007" s="9" t="s">
        <v>8672</v>
      </c>
      <c r="P1007" s="9" t="str">
        <f>HYPERLINK("https://seichotoushi-hojo.jp/assets/pdf/koufu_3_4ji/outline_108.pdf","PDFを開く")</f>
        <v>PDFを開く</v>
      </c>
      <c r="Q1007" s="9" t="s">
        <v>1648</v>
      </c>
    </row>
    <row r="1008" spans="1:17" ht="62.1" customHeight="1">
      <c r="A1008" s="2" t="s">
        <v>1640</v>
      </c>
      <c r="B1008" s="2" t="s">
        <v>1595</v>
      </c>
      <c r="C1008" s="8" t="s">
        <v>1641</v>
      </c>
      <c r="D1008" s="2">
        <v>1</v>
      </c>
      <c r="E1008" s="8" t="s">
        <v>10156</v>
      </c>
      <c r="F1008" s="2">
        <v>3</v>
      </c>
      <c r="G1008" s="8" t="s">
        <v>10163</v>
      </c>
      <c r="H1008" s="8" t="s">
        <v>10163</v>
      </c>
      <c r="I1008" s="2">
        <v>512.19000000000005</v>
      </c>
      <c r="J1008" s="2">
        <v>309.08999999999997</v>
      </c>
      <c r="K1008" s="2">
        <v>763.41</v>
      </c>
      <c r="L1008" s="2">
        <v>467.55</v>
      </c>
      <c r="M1008" s="8"/>
      <c r="N1008" s="8" t="s">
        <v>10159</v>
      </c>
      <c r="O1008" s="8" t="s">
        <v>8673</v>
      </c>
      <c r="P1008" s="8" t="str">
        <f>HYPERLINK("https://seichotoushi-hojo.jp/assets/pdf/koufu_3_4ji/outline_108.pdf","PDFを開く")</f>
        <v>PDFを開く</v>
      </c>
      <c r="Q1008" s="8" t="s">
        <v>1648</v>
      </c>
    </row>
    <row r="1009" spans="1:17" ht="62.1" customHeight="1">
      <c r="A1009" s="5" t="s">
        <v>1640</v>
      </c>
      <c r="B1009" s="5" t="s">
        <v>1595</v>
      </c>
      <c r="C1009" s="9" t="s">
        <v>1641</v>
      </c>
      <c r="D1009" s="5">
        <v>1</v>
      </c>
      <c r="E1009" s="9" t="s">
        <v>10156</v>
      </c>
      <c r="F1009" s="5">
        <v>4</v>
      </c>
      <c r="G1009" s="9" t="s">
        <v>8581</v>
      </c>
      <c r="H1009" s="9" t="s">
        <v>8581</v>
      </c>
      <c r="I1009" s="5">
        <v>24.6</v>
      </c>
      <c r="J1009" s="5">
        <v>378.72</v>
      </c>
      <c r="K1009" s="5">
        <v>490.74</v>
      </c>
      <c r="L1009" s="5">
        <v>495.36</v>
      </c>
      <c r="M1009" s="9"/>
      <c r="N1009" s="9" t="s">
        <v>10159</v>
      </c>
      <c r="O1009" s="9" t="s">
        <v>8674</v>
      </c>
      <c r="P1009" s="9" t="str">
        <f>HYPERLINK("https://seichotoushi-hojo.jp/assets/pdf/koufu_3_4ji/outline_108.pdf","PDFを開く")</f>
        <v>PDFを開く</v>
      </c>
      <c r="Q1009" s="9" t="s">
        <v>1648</v>
      </c>
    </row>
    <row r="1010" spans="1:17" ht="62.1" customHeight="1">
      <c r="A1010" s="2" t="s">
        <v>1649</v>
      </c>
      <c r="B1010" s="2" t="s">
        <v>1595</v>
      </c>
      <c r="C1010" s="8" t="s">
        <v>1650</v>
      </c>
      <c r="D1010" s="2">
        <v>1</v>
      </c>
      <c r="E1010" s="8" t="s">
        <v>10156</v>
      </c>
      <c r="F1010" s="2">
        <v>1</v>
      </c>
      <c r="G1010" s="8" t="s">
        <v>9578</v>
      </c>
      <c r="H1010" s="8" t="s">
        <v>9578</v>
      </c>
      <c r="I1010" s="2">
        <v>39.75</v>
      </c>
      <c r="J1010" s="2">
        <v>105.75</v>
      </c>
      <c r="K1010" s="2">
        <v>378.75</v>
      </c>
      <c r="L1010" s="2">
        <v>509.25</v>
      </c>
      <c r="M1010" s="8"/>
      <c r="N1010" s="8" t="s">
        <v>10159</v>
      </c>
      <c r="O1010" s="8" t="s">
        <v>8679</v>
      </c>
      <c r="P1010" s="8" t="str">
        <f>HYPERLINK("https://seichotoushi-hojo.jp/assets/pdf/koufu_3_4ji/outline_109.pdf","PDFを開く")</f>
        <v>PDFを開く</v>
      </c>
      <c r="Q1010" s="8" t="s">
        <v>1655</v>
      </c>
    </row>
    <row r="1011" spans="1:17" ht="62.1" customHeight="1">
      <c r="A1011" s="5" t="s">
        <v>1649</v>
      </c>
      <c r="B1011" s="5" t="s">
        <v>1595</v>
      </c>
      <c r="C1011" s="9" t="s">
        <v>1650</v>
      </c>
      <c r="D1011" s="5">
        <v>1</v>
      </c>
      <c r="E1011" s="9" t="s">
        <v>10156</v>
      </c>
      <c r="F1011" s="5">
        <v>2</v>
      </c>
      <c r="G1011" s="9" t="s">
        <v>10162</v>
      </c>
      <c r="H1011" s="9" t="s">
        <v>10162</v>
      </c>
      <c r="I1011" s="5">
        <v>396.38</v>
      </c>
      <c r="J1011" s="5">
        <v>106.12</v>
      </c>
      <c r="K1011" s="5">
        <v>739.88</v>
      </c>
      <c r="L1011" s="5">
        <v>304.87</v>
      </c>
      <c r="M1011" s="9"/>
      <c r="N1011" s="9" t="s">
        <v>10159</v>
      </c>
      <c r="O1011" s="9" t="s">
        <v>8680</v>
      </c>
      <c r="P1011" s="9" t="str">
        <f>HYPERLINK("https://seichotoushi-hojo.jp/assets/pdf/koufu_3_4ji/outline_109.pdf","PDFを開く")</f>
        <v>PDFを開く</v>
      </c>
      <c r="Q1011" s="9" t="s">
        <v>1655</v>
      </c>
    </row>
    <row r="1012" spans="1:17" ht="62.1" customHeight="1">
      <c r="A1012" s="2" t="s">
        <v>1649</v>
      </c>
      <c r="B1012" s="2" t="s">
        <v>1595</v>
      </c>
      <c r="C1012" s="8" t="s">
        <v>1650</v>
      </c>
      <c r="D1012" s="2">
        <v>1</v>
      </c>
      <c r="E1012" s="8" t="s">
        <v>10156</v>
      </c>
      <c r="F1012" s="2">
        <v>3</v>
      </c>
      <c r="G1012" s="8" t="s">
        <v>10163</v>
      </c>
      <c r="H1012" s="8" t="s">
        <v>10163</v>
      </c>
      <c r="I1012" s="2">
        <v>396.38</v>
      </c>
      <c r="J1012" s="2">
        <v>311.62</v>
      </c>
      <c r="K1012" s="2">
        <v>739.88</v>
      </c>
      <c r="L1012" s="2">
        <v>509.62</v>
      </c>
      <c r="M1012" s="8"/>
      <c r="N1012" s="8" t="s">
        <v>10159</v>
      </c>
      <c r="O1012" s="8" t="s">
        <v>8681</v>
      </c>
      <c r="P1012" s="8" t="str">
        <f>HYPERLINK("https://seichotoushi-hojo.jp/assets/pdf/koufu_3_4ji/outline_109.pdf","PDFを開く")</f>
        <v>PDFを開く</v>
      </c>
      <c r="Q1012" s="8" t="s">
        <v>1655</v>
      </c>
    </row>
    <row r="1013" spans="1:17" ht="62.1" customHeight="1">
      <c r="A1013" s="5" t="s">
        <v>1649</v>
      </c>
      <c r="B1013" s="5" t="s">
        <v>1595</v>
      </c>
      <c r="C1013" s="9" t="s">
        <v>1650</v>
      </c>
      <c r="D1013" s="5">
        <v>1</v>
      </c>
      <c r="E1013" s="9" t="s">
        <v>10156</v>
      </c>
      <c r="F1013" s="5">
        <v>4</v>
      </c>
      <c r="G1013" s="9" t="s">
        <v>8581</v>
      </c>
      <c r="H1013" s="9" t="s">
        <v>8581</v>
      </c>
      <c r="I1013" s="5">
        <v>50.25</v>
      </c>
      <c r="J1013" s="5">
        <v>399</v>
      </c>
      <c r="K1013" s="5">
        <v>369.75</v>
      </c>
      <c r="L1013" s="5">
        <v>499.5</v>
      </c>
      <c r="M1013" s="9"/>
      <c r="N1013" s="9" t="s">
        <v>10159</v>
      </c>
      <c r="O1013" s="9" t="s">
        <v>8682</v>
      </c>
      <c r="P1013" s="9" t="str">
        <f>HYPERLINK("https://seichotoushi-hojo.jp/assets/pdf/koufu_3_4ji/outline_109.pdf","PDFを開く")</f>
        <v>PDFを開く</v>
      </c>
      <c r="Q1013" s="9" t="s">
        <v>1655</v>
      </c>
    </row>
    <row r="1014" spans="1:17" ht="62.1" customHeight="1">
      <c r="A1014" s="2" t="s">
        <v>1656</v>
      </c>
      <c r="B1014" s="2" t="s">
        <v>1595</v>
      </c>
      <c r="C1014" s="8" t="s">
        <v>1657</v>
      </c>
      <c r="D1014" s="2">
        <v>1</v>
      </c>
      <c r="E1014" s="8" t="s">
        <v>10156</v>
      </c>
      <c r="F1014" s="2">
        <v>1</v>
      </c>
      <c r="G1014" s="8" t="s">
        <v>10157</v>
      </c>
      <c r="H1014" s="8" t="s">
        <v>10157</v>
      </c>
      <c r="I1014" s="2">
        <v>15.51</v>
      </c>
      <c r="J1014" s="2">
        <v>41.15</v>
      </c>
      <c r="K1014" s="2">
        <v>772.63</v>
      </c>
      <c r="L1014" s="2">
        <v>88.78</v>
      </c>
      <c r="M1014" s="8" t="s">
        <v>10158</v>
      </c>
      <c r="N1014" s="8" t="s">
        <v>10159</v>
      </c>
      <c r="O1014" s="8" t="s">
        <v>10589</v>
      </c>
      <c r="P1014" s="8" t="str">
        <f t="shared" ref="P1014:P1019" si="56">HYPERLINK("https://seichotoushi-hojo.jp/assets/pdf/koufu_3_4ji/outline_11.pdf","PDFを開く")</f>
        <v>PDFを開く</v>
      </c>
      <c r="Q1014" s="8" t="s">
        <v>1662</v>
      </c>
    </row>
    <row r="1015" spans="1:17" ht="62.1" customHeight="1">
      <c r="A1015" s="5" t="s">
        <v>1656</v>
      </c>
      <c r="B1015" s="5" t="s">
        <v>1595</v>
      </c>
      <c r="C1015" s="9" t="s">
        <v>1657</v>
      </c>
      <c r="D1015" s="5">
        <v>1</v>
      </c>
      <c r="E1015" s="9" t="s">
        <v>10156</v>
      </c>
      <c r="F1015" s="5">
        <v>2</v>
      </c>
      <c r="G1015" s="9" t="s">
        <v>9578</v>
      </c>
      <c r="H1015" s="9" t="s">
        <v>9578</v>
      </c>
      <c r="I1015" s="5">
        <v>39.659999999999997</v>
      </c>
      <c r="J1015" s="5">
        <v>100.83</v>
      </c>
      <c r="K1015" s="5">
        <v>378.79</v>
      </c>
      <c r="L1015" s="5">
        <v>537.20000000000005</v>
      </c>
      <c r="M1015" s="9"/>
      <c r="N1015" s="9" t="s">
        <v>10159</v>
      </c>
      <c r="O1015" s="9" t="s">
        <v>8688</v>
      </c>
      <c r="P1015" s="9" t="str">
        <f t="shared" si="56"/>
        <v>PDFを開く</v>
      </c>
      <c r="Q1015" s="9" t="s">
        <v>1662</v>
      </c>
    </row>
    <row r="1016" spans="1:17" ht="62.1" customHeight="1">
      <c r="A1016" s="2" t="s">
        <v>1656</v>
      </c>
      <c r="B1016" s="2" t="s">
        <v>1595</v>
      </c>
      <c r="C1016" s="8" t="s">
        <v>1657</v>
      </c>
      <c r="D1016" s="2">
        <v>1</v>
      </c>
      <c r="E1016" s="8" t="s">
        <v>10156</v>
      </c>
      <c r="F1016" s="2">
        <v>3</v>
      </c>
      <c r="G1016" s="8" t="s">
        <v>10162</v>
      </c>
      <c r="H1016" s="8" t="s">
        <v>10162</v>
      </c>
      <c r="I1016" s="2">
        <v>396.3</v>
      </c>
      <c r="J1016" s="2">
        <v>111.42</v>
      </c>
      <c r="K1016" s="2">
        <v>739.78</v>
      </c>
      <c r="L1016" s="2">
        <v>270</v>
      </c>
      <c r="M1016" s="8"/>
      <c r="N1016" s="8" t="s">
        <v>10159</v>
      </c>
      <c r="O1016" s="8" t="s">
        <v>8689</v>
      </c>
      <c r="P1016" s="8" t="str">
        <f t="shared" si="56"/>
        <v>PDFを開く</v>
      </c>
      <c r="Q1016" s="8" t="s">
        <v>1662</v>
      </c>
    </row>
    <row r="1017" spans="1:17" ht="62.1" customHeight="1">
      <c r="A1017" s="5" t="s">
        <v>1656</v>
      </c>
      <c r="B1017" s="5" t="s">
        <v>1595</v>
      </c>
      <c r="C1017" s="9" t="s">
        <v>1657</v>
      </c>
      <c r="D1017" s="5">
        <v>1</v>
      </c>
      <c r="E1017" s="9" t="s">
        <v>10156</v>
      </c>
      <c r="F1017" s="5">
        <v>4</v>
      </c>
      <c r="G1017" s="9" t="s">
        <v>10163</v>
      </c>
      <c r="H1017" s="9" t="s">
        <v>10163</v>
      </c>
      <c r="I1017" s="5">
        <v>396.3</v>
      </c>
      <c r="J1017" s="5">
        <v>276.26</v>
      </c>
      <c r="K1017" s="5">
        <v>739.78</v>
      </c>
      <c r="L1017" s="5">
        <v>499.73</v>
      </c>
      <c r="M1017" s="9"/>
      <c r="N1017" s="9" t="s">
        <v>10159</v>
      </c>
      <c r="O1017" s="9" t="s">
        <v>8690</v>
      </c>
      <c r="P1017" s="9" t="str">
        <f t="shared" si="56"/>
        <v>PDFを開く</v>
      </c>
      <c r="Q1017" s="9" t="s">
        <v>1662</v>
      </c>
    </row>
    <row r="1018" spans="1:17" ht="62.1" customHeight="1">
      <c r="A1018" s="2" t="s">
        <v>1656</v>
      </c>
      <c r="B1018" s="2" t="s">
        <v>1595</v>
      </c>
      <c r="C1018" s="8" t="s">
        <v>1657</v>
      </c>
      <c r="D1018" s="2">
        <v>1</v>
      </c>
      <c r="E1018" s="8" t="s">
        <v>10156</v>
      </c>
      <c r="F1018" s="2">
        <v>5</v>
      </c>
      <c r="G1018" s="8" t="s">
        <v>8581</v>
      </c>
      <c r="H1018" s="8" t="s">
        <v>8581</v>
      </c>
      <c r="I1018" s="2">
        <v>50.52</v>
      </c>
      <c r="J1018" s="2">
        <v>421.43</v>
      </c>
      <c r="K1018" s="2">
        <v>370.02</v>
      </c>
      <c r="L1018" s="2">
        <v>530.53</v>
      </c>
      <c r="M1018" s="8"/>
      <c r="N1018" s="8" t="s">
        <v>10159</v>
      </c>
      <c r="O1018" s="8" t="s">
        <v>8691</v>
      </c>
      <c r="P1018" s="8" t="str">
        <f t="shared" si="56"/>
        <v>PDFを開く</v>
      </c>
      <c r="Q1018" s="8" t="s">
        <v>1662</v>
      </c>
    </row>
    <row r="1019" spans="1:17" ht="62.1" customHeight="1">
      <c r="A1019" s="5" t="s">
        <v>1656</v>
      </c>
      <c r="B1019" s="5" t="s">
        <v>1595</v>
      </c>
      <c r="C1019" s="9" t="s">
        <v>1657</v>
      </c>
      <c r="D1019" s="5">
        <v>2</v>
      </c>
      <c r="E1019" s="9" t="s">
        <v>10165</v>
      </c>
      <c r="F1019" s="5">
        <v>1</v>
      </c>
      <c r="G1019" s="9" t="s">
        <v>10157</v>
      </c>
      <c r="H1019" s="9" t="s">
        <v>10157</v>
      </c>
      <c r="I1019" s="5">
        <v>40.86</v>
      </c>
      <c r="J1019" s="5">
        <v>39.75</v>
      </c>
      <c r="K1019" s="5">
        <v>740.98</v>
      </c>
      <c r="L1019" s="5">
        <v>79.17</v>
      </c>
      <c r="M1019" s="9" t="s">
        <v>10158</v>
      </c>
      <c r="N1019" s="9" t="s">
        <v>10159</v>
      </c>
      <c r="O1019" s="9" t="s">
        <v>10590</v>
      </c>
      <c r="P1019" s="9" t="str">
        <f t="shared" si="56"/>
        <v>PDFを開く</v>
      </c>
      <c r="Q1019" s="9" t="s">
        <v>1662</v>
      </c>
    </row>
    <row r="1020" spans="1:17" ht="62.1" customHeight="1">
      <c r="A1020" s="2" t="s">
        <v>1663</v>
      </c>
      <c r="B1020" s="2" t="s">
        <v>1595</v>
      </c>
      <c r="C1020" s="8" t="s">
        <v>1664</v>
      </c>
      <c r="D1020" s="2">
        <v>1</v>
      </c>
      <c r="E1020" s="8" t="s">
        <v>10156</v>
      </c>
      <c r="F1020" s="2">
        <v>1</v>
      </c>
      <c r="G1020" s="8" t="s">
        <v>10162</v>
      </c>
      <c r="H1020" s="8" t="s">
        <v>10162</v>
      </c>
      <c r="I1020" s="2">
        <v>431.16</v>
      </c>
      <c r="J1020" s="2">
        <v>128.63999999999999</v>
      </c>
      <c r="K1020" s="2">
        <v>801.84</v>
      </c>
      <c r="L1020" s="2">
        <v>330.24</v>
      </c>
      <c r="M1020" s="8"/>
      <c r="N1020" s="8" t="s">
        <v>10159</v>
      </c>
      <c r="O1020" s="8" t="s">
        <v>8697</v>
      </c>
      <c r="P1020" s="8" t="str">
        <f t="shared" ref="P1020:P1025" si="57">HYPERLINK("https://seichotoushi-hojo.jp/assets/pdf/koufu_3_4ji/outline_110.pdf","PDFを開く")</f>
        <v>PDFを開く</v>
      </c>
      <c r="Q1020" s="8" t="s">
        <v>1669</v>
      </c>
    </row>
    <row r="1021" spans="1:17" ht="62.1" customHeight="1">
      <c r="A1021" s="5" t="s">
        <v>1663</v>
      </c>
      <c r="B1021" s="5" t="s">
        <v>1595</v>
      </c>
      <c r="C1021" s="9" t="s">
        <v>1664</v>
      </c>
      <c r="D1021" s="5">
        <v>1</v>
      </c>
      <c r="E1021" s="9" t="s">
        <v>10156</v>
      </c>
      <c r="F1021" s="5">
        <v>2</v>
      </c>
      <c r="G1021" s="9" t="s">
        <v>9578</v>
      </c>
      <c r="H1021" s="9" t="s">
        <v>9578</v>
      </c>
      <c r="I1021" s="5">
        <v>42.84</v>
      </c>
      <c r="J1021" s="5">
        <v>135.24</v>
      </c>
      <c r="K1021" s="5">
        <v>408.84</v>
      </c>
      <c r="L1021" s="5">
        <v>543.96</v>
      </c>
      <c r="M1021" s="9"/>
      <c r="N1021" s="9" t="s">
        <v>10159</v>
      </c>
      <c r="O1021" s="9" t="s">
        <v>8696</v>
      </c>
      <c r="P1021" s="9" t="str">
        <f t="shared" si="57"/>
        <v>PDFを開く</v>
      </c>
      <c r="Q1021" s="9" t="s">
        <v>1669</v>
      </c>
    </row>
    <row r="1022" spans="1:17" ht="62.1" customHeight="1">
      <c r="A1022" s="2" t="s">
        <v>1663</v>
      </c>
      <c r="B1022" s="2" t="s">
        <v>1595</v>
      </c>
      <c r="C1022" s="8" t="s">
        <v>1664</v>
      </c>
      <c r="D1022" s="2">
        <v>1</v>
      </c>
      <c r="E1022" s="8" t="s">
        <v>10156</v>
      </c>
      <c r="F1022" s="2">
        <v>3</v>
      </c>
      <c r="G1022" s="8" t="s">
        <v>10163</v>
      </c>
      <c r="H1022" s="8" t="s">
        <v>10163</v>
      </c>
      <c r="I1022" s="2">
        <v>431.16</v>
      </c>
      <c r="J1022" s="2">
        <v>354.12</v>
      </c>
      <c r="K1022" s="2">
        <v>801.84</v>
      </c>
      <c r="L1022" s="2">
        <v>545.64</v>
      </c>
      <c r="M1022" s="8"/>
      <c r="N1022" s="8" t="s">
        <v>10159</v>
      </c>
      <c r="O1022" s="8" t="s">
        <v>8698</v>
      </c>
      <c r="P1022" s="8" t="str">
        <f t="shared" si="57"/>
        <v>PDFを開く</v>
      </c>
      <c r="Q1022" s="8" t="s">
        <v>1669</v>
      </c>
    </row>
    <row r="1023" spans="1:17" ht="62.1" customHeight="1">
      <c r="A1023" s="5" t="s">
        <v>1663</v>
      </c>
      <c r="B1023" s="5" t="s">
        <v>1595</v>
      </c>
      <c r="C1023" s="9" t="s">
        <v>1664</v>
      </c>
      <c r="D1023" s="5">
        <v>1</v>
      </c>
      <c r="E1023" s="9" t="s">
        <v>10156</v>
      </c>
      <c r="F1023" s="5">
        <v>4</v>
      </c>
      <c r="G1023" s="9" t="s">
        <v>8581</v>
      </c>
      <c r="H1023" s="9" t="s">
        <v>8581</v>
      </c>
      <c r="I1023" s="5">
        <v>51.84</v>
      </c>
      <c r="J1023" s="5">
        <v>405</v>
      </c>
      <c r="K1023" s="5">
        <v>396.72</v>
      </c>
      <c r="L1023" s="5">
        <v>530.04</v>
      </c>
      <c r="M1023" s="9"/>
      <c r="N1023" s="9" t="s">
        <v>10159</v>
      </c>
      <c r="O1023" s="9" t="s">
        <v>8699</v>
      </c>
      <c r="P1023" s="9" t="str">
        <f t="shared" si="57"/>
        <v>PDFを開く</v>
      </c>
      <c r="Q1023" s="9" t="s">
        <v>1669</v>
      </c>
    </row>
    <row r="1024" spans="1:17" ht="62.1" customHeight="1">
      <c r="A1024" s="2" t="s">
        <v>1663</v>
      </c>
      <c r="B1024" s="2" t="s">
        <v>1595</v>
      </c>
      <c r="C1024" s="8" t="s">
        <v>1664</v>
      </c>
      <c r="D1024" s="2">
        <v>2</v>
      </c>
      <c r="E1024" s="8" t="s">
        <v>10165</v>
      </c>
      <c r="F1024" s="2">
        <v>1</v>
      </c>
      <c r="G1024" s="8" t="s">
        <v>10476</v>
      </c>
      <c r="H1024" s="8" t="s">
        <v>10476</v>
      </c>
      <c r="I1024" s="2">
        <v>31.57</v>
      </c>
      <c r="J1024" s="2">
        <v>52.45</v>
      </c>
      <c r="K1024" s="2">
        <v>433.59</v>
      </c>
      <c r="L1024" s="2">
        <v>267.76</v>
      </c>
      <c r="M1024" s="8"/>
      <c r="N1024" s="8" t="s">
        <v>10181</v>
      </c>
      <c r="O1024" s="8" t="s">
        <v>10591</v>
      </c>
      <c r="P1024" s="8" t="str">
        <f t="shared" si="57"/>
        <v>PDFを開く</v>
      </c>
      <c r="Q1024" s="8" t="s">
        <v>1669</v>
      </c>
    </row>
    <row r="1025" spans="1:17" ht="62.1" customHeight="1">
      <c r="A1025" s="5" t="s">
        <v>1663</v>
      </c>
      <c r="B1025" s="5" t="s">
        <v>1595</v>
      </c>
      <c r="C1025" s="9" t="s">
        <v>1664</v>
      </c>
      <c r="D1025" s="5">
        <v>2</v>
      </c>
      <c r="E1025" s="9" t="s">
        <v>10165</v>
      </c>
      <c r="F1025" s="5">
        <v>2</v>
      </c>
      <c r="G1025" s="9" t="s">
        <v>10167</v>
      </c>
      <c r="H1025" s="9" t="s">
        <v>3504</v>
      </c>
      <c r="I1025" s="5">
        <v>136.91999999999999</v>
      </c>
      <c r="J1025" s="5">
        <v>419.4</v>
      </c>
      <c r="K1025" s="5">
        <v>566.76</v>
      </c>
      <c r="L1025" s="5">
        <v>449.88</v>
      </c>
      <c r="M1025" s="9"/>
      <c r="N1025" s="9" t="s">
        <v>10159</v>
      </c>
      <c r="O1025" s="9" t="s">
        <v>10186</v>
      </c>
      <c r="P1025" s="9" t="str">
        <f t="shared" si="57"/>
        <v>PDFを開く</v>
      </c>
      <c r="Q1025" s="9" t="s">
        <v>1669</v>
      </c>
    </row>
    <row r="1026" spans="1:17" ht="62.1" customHeight="1">
      <c r="A1026" s="2" t="s">
        <v>1670</v>
      </c>
      <c r="B1026" s="2" t="s">
        <v>1595</v>
      </c>
      <c r="C1026" s="8" t="s">
        <v>1671</v>
      </c>
      <c r="D1026" s="2">
        <v>1</v>
      </c>
      <c r="E1026" s="8" t="s">
        <v>10156</v>
      </c>
      <c r="F1026" s="2">
        <v>1</v>
      </c>
      <c r="G1026" s="8" t="s">
        <v>10162</v>
      </c>
      <c r="H1026" s="8" t="s">
        <v>10162</v>
      </c>
      <c r="I1026" s="2">
        <v>396.3</v>
      </c>
      <c r="J1026" s="2">
        <v>101.53</v>
      </c>
      <c r="K1026" s="2">
        <v>757.61</v>
      </c>
      <c r="L1026" s="2">
        <v>305.08</v>
      </c>
      <c r="M1026" s="8"/>
      <c r="N1026" s="8" t="s">
        <v>10159</v>
      </c>
      <c r="O1026" s="8" t="s">
        <v>8705</v>
      </c>
      <c r="P1026" s="8" t="str">
        <f t="shared" ref="P1026:P1031" si="58">HYPERLINK("https://seichotoushi-hojo.jp/assets/pdf/koufu_3_4ji/outline_12.pdf","PDFを開く")</f>
        <v>PDFを開く</v>
      </c>
      <c r="Q1026" s="8" t="s">
        <v>1676</v>
      </c>
    </row>
    <row r="1027" spans="1:17" ht="62.1" customHeight="1">
      <c r="A1027" s="5" t="s">
        <v>1670</v>
      </c>
      <c r="B1027" s="5" t="s">
        <v>1595</v>
      </c>
      <c r="C1027" s="9" t="s">
        <v>1671</v>
      </c>
      <c r="D1027" s="5">
        <v>1</v>
      </c>
      <c r="E1027" s="9" t="s">
        <v>10156</v>
      </c>
      <c r="F1027" s="5">
        <v>2</v>
      </c>
      <c r="G1027" s="9" t="s">
        <v>9578</v>
      </c>
      <c r="H1027" s="9" t="s">
        <v>9578</v>
      </c>
      <c r="I1027" s="5">
        <v>39.659999999999997</v>
      </c>
      <c r="J1027" s="5">
        <v>105.5</v>
      </c>
      <c r="K1027" s="5">
        <v>378.78</v>
      </c>
      <c r="L1027" s="5">
        <v>511.51</v>
      </c>
      <c r="M1027" s="9"/>
      <c r="N1027" s="9" t="s">
        <v>10159</v>
      </c>
      <c r="O1027" s="9" t="s">
        <v>8704</v>
      </c>
      <c r="P1027" s="9" t="str">
        <f t="shared" si="58"/>
        <v>PDFを開く</v>
      </c>
      <c r="Q1027" s="9" t="s">
        <v>1676</v>
      </c>
    </row>
    <row r="1028" spans="1:17" ht="62.1" customHeight="1">
      <c r="A1028" s="2" t="s">
        <v>1670</v>
      </c>
      <c r="B1028" s="2" t="s">
        <v>1595</v>
      </c>
      <c r="C1028" s="8" t="s">
        <v>1671</v>
      </c>
      <c r="D1028" s="2">
        <v>1</v>
      </c>
      <c r="E1028" s="8" t="s">
        <v>10156</v>
      </c>
      <c r="F1028" s="2">
        <v>3</v>
      </c>
      <c r="G1028" s="8" t="s">
        <v>10163</v>
      </c>
      <c r="H1028" s="8" t="s">
        <v>10163</v>
      </c>
      <c r="I1028" s="2">
        <v>396.3</v>
      </c>
      <c r="J1028" s="2">
        <v>312.19</v>
      </c>
      <c r="K1028" s="2">
        <v>757.61</v>
      </c>
      <c r="L1028" s="2">
        <v>515.48</v>
      </c>
      <c r="M1028" s="8"/>
      <c r="N1028" s="8" t="s">
        <v>10159</v>
      </c>
      <c r="O1028" s="8" t="s">
        <v>8706</v>
      </c>
      <c r="P1028" s="8" t="str">
        <f t="shared" si="58"/>
        <v>PDFを開く</v>
      </c>
      <c r="Q1028" s="8" t="s">
        <v>1676</v>
      </c>
    </row>
    <row r="1029" spans="1:17" ht="62.1" customHeight="1">
      <c r="A1029" s="5" t="s">
        <v>1670</v>
      </c>
      <c r="B1029" s="5" t="s">
        <v>1595</v>
      </c>
      <c r="C1029" s="9" t="s">
        <v>1671</v>
      </c>
      <c r="D1029" s="5">
        <v>1</v>
      </c>
      <c r="E1029" s="9" t="s">
        <v>10156</v>
      </c>
      <c r="F1029" s="5">
        <v>4</v>
      </c>
      <c r="G1029" s="9" t="s">
        <v>8581</v>
      </c>
      <c r="H1029" s="9" t="s">
        <v>8581</v>
      </c>
      <c r="I1029" s="5">
        <v>49.47</v>
      </c>
      <c r="J1029" s="5">
        <v>406.96</v>
      </c>
      <c r="K1029" s="5">
        <v>368.97</v>
      </c>
      <c r="L1029" s="5">
        <v>504.12</v>
      </c>
      <c r="M1029" s="9"/>
      <c r="N1029" s="9" t="s">
        <v>10159</v>
      </c>
      <c r="O1029" s="9" t="s">
        <v>8707</v>
      </c>
      <c r="P1029" s="9" t="str">
        <f t="shared" si="58"/>
        <v>PDFを開く</v>
      </c>
      <c r="Q1029" s="9" t="s">
        <v>1676</v>
      </c>
    </row>
    <row r="1030" spans="1:17" ht="62.1" customHeight="1">
      <c r="A1030" s="2" t="s">
        <v>1670</v>
      </c>
      <c r="B1030" s="2" t="s">
        <v>1595</v>
      </c>
      <c r="C1030" s="8" t="s">
        <v>1671</v>
      </c>
      <c r="D1030" s="2">
        <v>2</v>
      </c>
      <c r="E1030" s="8" t="s">
        <v>10165</v>
      </c>
      <c r="F1030" s="2">
        <v>1</v>
      </c>
      <c r="G1030" s="8" t="s">
        <v>10184</v>
      </c>
      <c r="H1030" s="8" t="s">
        <v>10184</v>
      </c>
      <c r="I1030" s="2">
        <v>132.41</v>
      </c>
      <c r="J1030" s="2">
        <v>153.19999999999999</v>
      </c>
      <c r="K1030" s="2">
        <v>401.7</v>
      </c>
      <c r="L1030" s="2">
        <v>348.6</v>
      </c>
      <c r="M1030" s="8"/>
      <c r="N1030" s="8" t="s">
        <v>10181</v>
      </c>
      <c r="O1030" s="8" t="s">
        <v>10592</v>
      </c>
      <c r="P1030" s="8" t="str">
        <f t="shared" si="58"/>
        <v>PDFを開く</v>
      </c>
      <c r="Q1030" s="8" t="s">
        <v>1676</v>
      </c>
    </row>
    <row r="1031" spans="1:17" ht="62.1" customHeight="1">
      <c r="A1031" s="5" t="s">
        <v>1670</v>
      </c>
      <c r="B1031" s="5" t="s">
        <v>1595</v>
      </c>
      <c r="C1031" s="9" t="s">
        <v>1671</v>
      </c>
      <c r="D1031" s="5">
        <v>3</v>
      </c>
      <c r="E1031" s="9" t="s">
        <v>10165</v>
      </c>
      <c r="F1031" s="5">
        <v>1</v>
      </c>
      <c r="G1031" s="9" t="s">
        <v>10167</v>
      </c>
      <c r="H1031" s="9" t="s">
        <v>10593</v>
      </c>
      <c r="I1031" s="5">
        <v>23.98</v>
      </c>
      <c r="J1031" s="5">
        <v>315.95999999999998</v>
      </c>
      <c r="K1031" s="5">
        <v>388.28</v>
      </c>
      <c r="L1031" s="5">
        <v>527.77</v>
      </c>
      <c r="M1031" s="9"/>
      <c r="N1031" s="9" t="s">
        <v>10159</v>
      </c>
      <c r="O1031" s="9" t="s">
        <v>10594</v>
      </c>
      <c r="P1031" s="9" t="str">
        <f t="shared" si="58"/>
        <v>PDFを開く</v>
      </c>
      <c r="Q1031" s="9" t="s">
        <v>1676</v>
      </c>
    </row>
    <row r="1032" spans="1:17" ht="62.1" customHeight="1">
      <c r="A1032" s="2" t="s">
        <v>1677</v>
      </c>
      <c r="B1032" s="2" t="s">
        <v>1595</v>
      </c>
      <c r="C1032" s="8" t="s">
        <v>1678</v>
      </c>
      <c r="D1032" s="2">
        <v>1</v>
      </c>
      <c r="E1032" s="8" t="s">
        <v>10156</v>
      </c>
      <c r="F1032" s="2">
        <v>1</v>
      </c>
      <c r="G1032" s="8" t="s">
        <v>9578</v>
      </c>
      <c r="H1032" s="8" t="s">
        <v>9578</v>
      </c>
      <c r="I1032" s="2">
        <v>39.659999999999997</v>
      </c>
      <c r="J1032" s="2">
        <v>106.04</v>
      </c>
      <c r="K1032" s="2">
        <v>378.79</v>
      </c>
      <c r="L1032" s="2">
        <v>510.78</v>
      </c>
      <c r="M1032" s="8"/>
      <c r="N1032" s="8" t="s">
        <v>10159</v>
      </c>
      <c r="O1032" s="8" t="s">
        <v>8712</v>
      </c>
      <c r="P1032" s="8" t="str">
        <f>HYPERLINK("https://seichotoushi-hojo.jp/assets/pdf/koufu_3_4ji/outline_123.pdf","PDFを開く")</f>
        <v>PDFを開く</v>
      </c>
      <c r="Q1032" s="8" t="s">
        <v>1684</v>
      </c>
    </row>
    <row r="1033" spans="1:17" ht="62.1" customHeight="1">
      <c r="A1033" s="5" t="s">
        <v>1677</v>
      </c>
      <c r="B1033" s="5" t="s">
        <v>1595</v>
      </c>
      <c r="C1033" s="9" t="s">
        <v>1678</v>
      </c>
      <c r="D1033" s="5">
        <v>1</v>
      </c>
      <c r="E1033" s="9" t="s">
        <v>10156</v>
      </c>
      <c r="F1033" s="5">
        <v>2</v>
      </c>
      <c r="G1033" s="9" t="s">
        <v>10162</v>
      </c>
      <c r="H1033" s="9" t="s">
        <v>10162</v>
      </c>
      <c r="I1033" s="5">
        <v>396.3</v>
      </c>
      <c r="J1033" s="5">
        <v>106.04</v>
      </c>
      <c r="K1033" s="5">
        <v>739.78</v>
      </c>
      <c r="L1033" s="5">
        <v>292.43</v>
      </c>
      <c r="M1033" s="9"/>
      <c r="N1033" s="9" t="s">
        <v>10159</v>
      </c>
      <c r="O1033" s="9" t="s">
        <v>8713</v>
      </c>
      <c r="P1033" s="9" t="str">
        <f>HYPERLINK("https://seichotoushi-hojo.jp/assets/pdf/koufu_3_4ji/outline_123.pdf","PDFを開く")</f>
        <v>PDFを開く</v>
      </c>
      <c r="Q1033" s="9" t="s">
        <v>1684</v>
      </c>
    </row>
    <row r="1034" spans="1:17" ht="62.1" customHeight="1">
      <c r="A1034" s="2" t="s">
        <v>1677</v>
      </c>
      <c r="B1034" s="2" t="s">
        <v>1595</v>
      </c>
      <c r="C1034" s="8" t="s">
        <v>1678</v>
      </c>
      <c r="D1034" s="2">
        <v>1</v>
      </c>
      <c r="E1034" s="8" t="s">
        <v>10156</v>
      </c>
      <c r="F1034" s="2">
        <v>3</v>
      </c>
      <c r="G1034" s="8" t="s">
        <v>10163</v>
      </c>
      <c r="H1034" s="8" t="s">
        <v>10163</v>
      </c>
      <c r="I1034" s="2">
        <v>396.3</v>
      </c>
      <c r="J1034" s="2">
        <v>299.64999999999998</v>
      </c>
      <c r="K1034" s="2">
        <v>739.78</v>
      </c>
      <c r="L1034" s="2">
        <v>510.78</v>
      </c>
      <c r="M1034" s="8"/>
      <c r="N1034" s="8" t="s">
        <v>10159</v>
      </c>
      <c r="O1034" s="8" t="s">
        <v>8714</v>
      </c>
      <c r="P1034" s="8" t="str">
        <f>HYPERLINK("https://seichotoushi-hojo.jp/assets/pdf/koufu_3_4ji/outline_123.pdf","PDFを開く")</f>
        <v>PDFを開く</v>
      </c>
      <c r="Q1034" s="8" t="s">
        <v>1684</v>
      </c>
    </row>
    <row r="1035" spans="1:17" ht="62.1" customHeight="1">
      <c r="A1035" s="5" t="s">
        <v>1677</v>
      </c>
      <c r="B1035" s="5" t="s">
        <v>1595</v>
      </c>
      <c r="C1035" s="9" t="s">
        <v>1678</v>
      </c>
      <c r="D1035" s="5">
        <v>1</v>
      </c>
      <c r="E1035" s="9" t="s">
        <v>10156</v>
      </c>
      <c r="F1035" s="5">
        <v>4</v>
      </c>
      <c r="G1035" s="9" t="s">
        <v>8581</v>
      </c>
      <c r="H1035" s="9" t="s">
        <v>8581</v>
      </c>
      <c r="I1035" s="5">
        <v>48.54</v>
      </c>
      <c r="J1035" s="5">
        <v>374.23</v>
      </c>
      <c r="K1035" s="5">
        <v>368.04</v>
      </c>
      <c r="L1035" s="5">
        <v>490</v>
      </c>
      <c r="M1035" s="9"/>
      <c r="N1035" s="9" t="s">
        <v>10159</v>
      </c>
      <c r="O1035" s="9" t="s">
        <v>8715</v>
      </c>
      <c r="P1035" s="9" t="str">
        <f>HYPERLINK("https://seichotoushi-hojo.jp/assets/pdf/koufu_3_4ji/outline_123.pdf","PDFを開く")</f>
        <v>PDFを開く</v>
      </c>
      <c r="Q1035" s="9" t="s">
        <v>1684</v>
      </c>
    </row>
    <row r="1036" spans="1:17" ht="62.1" customHeight="1">
      <c r="A1036" s="2" t="s">
        <v>1685</v>
      </c>
      <c r="B1036" s="2" t="s">
        <v>1595</v>
      </c>
      <c r="C1036" s="8" t="s">
        <v>1686</v>
      </c>
      <c r="D1036" s="2">
        <v>1</v>
      </c>
      <c r="E1036" s="8" t="s">
        <v>10156</v>
      </c>
      <c r="F1036" s="2">
        <v>1</v>
      </c>
      <c r="G1036" s="8" t="s">
        <v>10162</v>
      </c>
      <c r="H1036" s="8" t="s">
        <v>10162</v>
      </c>
      <c r="I1036" s="2">
        <v>501.48</v>
      </c>
      <c r="J1036" s="2">
        <v>114.84</v>
      </c>
      <c r="K1036" s="2">
        <v>824.16</v>
      </c>
      <c r="L1036" s="2">
        <v>334.32</v>
      </c>
      <c r="M1036" s="8"/>
      <c r="N1036" s="8" t="s">
        <v>10159</v>
      </c>
      <c r="O1036" s="8" t="s">
        <v>8721</v>
      </c>
      <c r="P1036" s="8" t="str">
        <f>HYPERLINK("https://seichotoushi-hojo.jp/assets/pdf/koufu_3_4ji/outline_128.pdf","PDFを開く")</f>
        <v>PDFを開く</v>
      </c>
      <c r="Q1036" s="8" t="s">
        <v>1692</v>
      </c>
    </row>
    <row r="1037" spans="1:17" ht="62.1" customHeight="1">
      <c r="A1037" s="5" t="s">
        <v>1685</v>
      </c>
      <c r="B1037" s="5" t="s">
        <v>1595</v>
      </c>
      <c r="C1037" s="9" t="s">
        <v>1686</v>
      </c>
      <c r="D1037" s="5">
        <v>1</v>
      </c>
      <c r="E1037" s="9" t="s">
        <v>10156</v>
      </c>
      <c r="F1037" s="5">
        <v>2</v>
      </c>
      <c r="G1037" s="9" t="s">
        <v>9578</v>
      </c>
      <c r="H1037" s="9" t="s">
        <v>9578</v>
      </c>
      <c r="I1037" s="5">
        <v>43.56</v>
      </c>
      <c r="J1037" s="5">
        <v>117.6</v>
      </c>
      <c r="K1037" s="5">
        <v>478.8</v>
      </c>
      <c r="L1037" s="5">
        <v>560.76</v>
      </c>
      <c r="M1037" s="9"/>
      <c r="N1037" s="9" t="s">
        <v>10159</v>
      </c>
      <c r="O1037" s="9" t="s">
        <v>8720</v>
      </c>
      <c r="P1037" s="9" t="str">
        <f>HYPERLINK("https://seichotoushi-hojo.jp/assets/pdf/koufu_3_4ji/outline_128.pdf","PDFを開く")</f>
        <v>PDFを開く</v>
      </c>
      <c r="Q1037" s="9" t="s">
        <v>1692</v>
      </c>
    </row>
    <row r="1038" spans="1:17" ht="62.1" customHeight="1">
      <c r="A1038" s="2" t="s">
        <v>1685</v>
      </c>
      <c r="B1038" s="2" t="s">
        <v>1595</v>
      </c>
      <c r="C1038" s="8" t="s">
        <v>1686</v>
      </c>
      <c r="D1038" s="2">
        <v>1</v>
      </c>
      <c r="E1038" s="8" t="s">
        <v>10156</v>
      </c>
      <c r="F1038" s="2">
        <v>3</v>
      </c>
      <c r="G1038" s="8" t="s">
        <v>10163</v>
      </c>
      <c r="H1038" s="8" t="s">
        <v>10163</v>
      </c>
      <c r="I1038" s="2">
        <v>501.6</v>
      </c>
      <c r="J1038" s="2">
        <v>341.28</v>
      </c>
      <c r="K1038" s="2">
        <v>824.28</v>
      </c>
      <c r="L1038" s="2">
        <v>560.76</v>
      </c>
      <c r="M1038" s="8"/>
      <c r="N1038" s="8" t="s">
        <v>10159</v>
      </c>
      <c r="O1038" s="8" t="s">
        <v>8722</v>
      </c>
      <c r="P1038" s="8" t="str">
        <f>HYPERLINK("https://seichotoushi-hojo.jp/assets/pdf/koufu_3_4ji/outline_128.pdf","PDFを開く")</f>
        <v>PDFを開く</v>
      </c>
      <c r="Q1038" s="8" t="s">
        <v>1692</v>
      </c>
    </row>
    <row r="1039" spans="1:17" ht="62.1" customHeight="1">
      <c r="A1039" s="5" t="s">
        <v>1685</v>
      </c>
      <c r="B1039" s="5" t="s">
        <v>1595</v>
      </c>
      <c r="C1039" s="9" t="s">
        <v>1686</v>
      </c>
      <c r="D1039" s="5">
        <v>1</v>
      </c>
      <c r="E1039" s="9" t="s">
        <v>10156</v>
      </c>
      <c r="F1039" s="5">
        <v>4</v>
      </c>
      <c r="G1039" s="9" t="s">
        <v>8581</v>
      </c>
      <c r="H1039" s="9" t="s">
        <v>8581</v>
      </c>
      <c r="I1039" s="5">
        <v>68.400000000000006</v>
      </c>
      <c r="J1039" s="5">
        <v>423.96</v>
      </c>
      <c r="K1039" s="5">
        <v>455.52</v>
      </c>
      <c r="L1039" s="5">
        <v>555.36</v>
      </c>
      <c r="M1039" s="9"/>
      <c r="N1039" s="9" t="s">
        <v>10159</v>
      </c>
      <c r="O1039" s="9" t="s">
        <v>8723</v>
      </c>
      <c r="P1039" s="9" t="str">
        <f>HYPERLINK("https://seichotoushi-hojo.jp/assets/pdf/koufu_3_4ji/outline_128.pdf","PDFを開く")</f>
        <v>PDFを開く</v>
      </c>
      <c r="Q1039" s="9" t="s">
        <v>1692</v>
      </c>
    </row>
    <row r="1040" spans="1:17" ht="62.1" customHeight="1">
      <c r="A1040" s="2" t="s">
        <v>1685</v>
      </c>
      <c r="B1040" s="2" t="s">
        <v>1595</v>
      </c>
      <c r="C1040" s="8" t="s">
        <v>1686</v>
      </c>
      <c r="D1040" s="2">
        <v>2</v>
      </c>
      <c r="E1040" s="8" t="s">
        <v>10165</v>
      </c>
      <c r="F1040" s="2">
        <v>1</v>
      </c>
      <c r="G1040" s="8" t="s">
        <v>10167</v>
      </c>
      <c r="H1040" s="8" t="s">
        <v>10595</v>
      </c>
      <c r="I1040" s="2">
        <v>285.95999999999998</v>
      </c>
      <c r="J1040" s="2">
        <v>439.56</v>
      </c>
      <c r="K1040" s="2">
        <v>813.48</v>
      </c>
      <c r="L1040" s="2">
        <v>480.36</v>
      </c>
      <c r="M1040" s="8"/>
      <c r="N1040" s="8" t="s">
        <v>10159</v>
      </c>
      <c r="O1040" s="8" t="s">
        <v>10596</v>
      </c>
      <c r="P1040" s="8" t="str">
        <f>HYPERLINK("https://seichotoushi-hojo.jp/assets/pdf/koufu_3_4ji/outline_128.pdf","PDFを開く")</f>
        <v>PDFを開く</v>
      </c>
      <c r="Q1040" s="8" t="s">
        <v>1692</v>
      </c>
    </row>
    <row r="1041" spans="1:17" ht="62.1" customHeight="1">
      <c r="A1041" s="5" t="s">
        <v>1693</v>
      </c>
      <c r="B1041" s="5" t="s">
        <v>1595</v>
      </c>
      <c r="C1041" s="9" t="s">
        <v>1694</v>
      </c>
      <c r="D1041" s="5">
        <v>1</v>
      </c>
      <c r="E1041" s="9" t="s">
        <v>10156</v>
      </c>
      <c r="F1041" s="5">
        <v>1</v>
      </c>
      <c r="G1041" s="9" t="s">
        <v>10162</v>
      </c>
      <c r="H1041" s="9" t="s">
        <v>10162</v>
      </c>
      <c r="I1041" s="5">
        <v>395.77</v>
      </c>
      <c r="J1041" s="5">
        <v>100.66</v>
      </c>
      <c r="K1041" s="5">
        <v>766.83</v>
      </c>
      <c r="L1041" s="5">
        <v>306.55</v>
      </c>
      <c r="M1041" s="9"/>
      <c r="N1041" s="9" t="s">
        <v>10159</v>
      </c>
      <c r="O1041" s="9" t="s">
        <v>8729</v>
      </c>
      <c r="P1041" s="9" t="str">
        <f>HYPERLINK("https://seichotoushi-hojo.jp/assets/pdf/koufu_3_4ji/outline_13.pdf","PDFを開く")</f>
        <v>PDFを開く</v>
      </c>
      <c r="Q1041" s="9" t="s">
        <v>1701</v>
      </c>
    </row>
    <row r="1042" spans="1:17" ht="62.1" customHeight="1">
      <c r="A1042" s="2" t="s">
        <v>1693</v>
      </c>
      <c r="B1042" s="2" t="s">
        <v>1595</v>
      </c>
      <c r="C1042" s="8" t="s">
        <v>1694</v>
      </c>
      <c r="D1042" s="2">
        <v>1</v>
      </c>
      <c r="E1042" s="8" t="s">
        <v>10156</v>
      </c>
      <c r="F1042" s="2">
        <v>2</v>
      </c>
      <c r="G1042" s="8" t="s">
        <v>9578</v>
      </c>
      <c r="H1042" s="8" t="s">
        <v>9578</v>
      </c>
      <c r="I1042" s="2">
        <v>10.48</v>
      </c>
      <c r="J1042" s="2">
        <v>101.81</v>
      </c>
      <c r="K1042" s="2">
        <v>376.85</v>
      </c>
      <c r="L1042" s="2">
        <v>534.87</v>
      </c>
      <c r="M1042" s="8"/>
      <c r="N1042" s="8" t="s">
        <v>10159</v>
      </c>
      <c r="O1042" s="8" t="s">
        <v>8728</v>
      </c>
      <c r="P1042" s="8" t="str">
        <f>HYPERLINK("https://seichotoushi-hojo.jp/assets/pdf/koufu_3_4ji/outline_13.pdf","PDFを開く")</f>
        <v>PDFを開く</v>
      </c>
      <c r="Q1042" s="8" t="s">
        <v>1701</v>
      </c>
    </row>
    <row r="1043" spans="1:17" ht="62.1" customHeight="1">
      <c r="A1043" s="5" t="s">
        <v>1693</v>
      </c>
      <c r="B1043" s="5" t="s">
        <v>1595</v>
      </c>
      <c r="C1043" s="9" t="s">
        <v>1694</v>
      </c>
      <c r="D1043" s="5">
        <v>1</v>
      </c>
      <c r="E1043" s="9" t="s">
        <v>10156</v>
      </c>
      <c r="F1043" s="5">
        <v>3</v>
      </c>
      <c r="G1043" s="9" t="s">
        <v>10163</v>
      </c>
      <c r="H1043" s="9" t="s">
        <v>10163</v>
      </c>
      <c r="I1043" s="5">
        <v>395.77</v>
      </c>
      <c r="J1043" s="5">
        <v>320.99</v>
      </c>
      <c r="K1043" s="5">
        <v>766.83</v>
      </c>
      <c r="L1043" s="5">
        <v>531.26</v>
      </c>
      <c r="M1043" s="9"/>
      <c r="N1043" s="9" t="s">
        <v>10159</v>
      </c>
      <c r="O1043" s="9" t="s">
        <v>8730</v>
      </c>
      <c r="P1043" s="9" t="str">
        <f>HYPERLINK("https://seichotoushi-hojo.jp/assets/pdf/koufu_3_4ji/outline_13.pdf","PDFを開く")</f>
        <v>PDFを開く</v>
      </c>
      <c r="Q1043" s="9" t="s">
        <v>1701</v>
      </c>
    </row>
    <row r="1044" spans="1:17" ht="62.1" customHeight="1">
      <c r="A1044" s="2" t="s">
        <v>1693</v>
      </c>
      <c r="B1044" s="2" t="s">
        <v>1595</v>
      </c>
      <c r="C1044" s="8" t="s">
        <v>1694</v>
      </c>
      <c r="D1044" s="2">
        <v>1</v>
      </c>
      <c r="E1044" s="8" t="s">
        <v>10156</v>
      </c>
      <c r="F1044" s="2">
        <v>4</v>
      </c>
      <c r="G1044" s="8" t="s">
        <v>8581</v>
      </c>
      <c r="H1044" s="8" t="s">
        <v>8581</v>
      </c>
      <c r="I1044" s="2">
        <v>17.989999999999998</v>
      </c>
      <c r="J1044" s="2">
        <v>427.7</v>
      </c>
      <c r="K1044" s="2">
        <v>363.15</v>
      </c>
      <c r="L1044" s="2">
        <v>531.26</v>
      </c>
      <c r="M1044" s="8"/>
      <c r="N1044" s="8" t="s">
        <v>10159</v>
      </c>
      <c r="O1044" s="8" t="s">
        <v>8731</v>
      </c>
      <c r="P1044" s="8" t="str">
        <f>HYPERLINK("https://seichotoushi-hojo.jp/assets/pdf/koufu_3_4ji/outline_13.pdf","PDFを開く")</f>
        <v>PDFを開く</v>
      </c>
      <c r="Q1044" s="8" t="s">
        <v>1701</v>
      </c>
    </row>
    <row r="1045" spans="1:17" ht="62.1" customHeight="1">
      <c r="A1045" s="5" t="s">
        <v>1702</v>
      </c>
      <c r="B1045" s="5" t="s">
        <v>1595</v>
      </c>
      <c r="C1045" s="9" t="s">
        <v>1703</v>
      </c>
      <c r="D1045" s="5">
        <v>1</v>
      </c>
      <c r="E1045" s="9" t="s">
        <v>10156</v>
      </c>
      <c r="F1045" s="5">
        <v>1</v>
      </c>
      <c r="G1045" s="9" t="s">
        <v>9578</v>
      </c>
      <c r="H1045" s="9" t="s">
        <v>9578</v>
      </c>
      <c r="I1045" s="5">
        <v>40.869999999999997</v>
      </c>
      <c r="J1045" s="5">
        <v>108.31</v>
      </c>
      <c r="K1045" s="5">
        <v>380</v>
      </c>
      <c r="L1045" s="5">
        <v>512.66999999999996</v>
      </c>
      <c r="M1045" s="9"/>
      <c r="N1045" s="9" t="s">
        <v>10159</v>
      </c>
      <c r="O1045" s="9" t="s">
        <v>10597</v>
      </c>
      <c r="P1045" s="9" t="str">
        <f t="shared" ref="P1045:P1050" si="59">HYPERLINK("https://seichotoushi-hojo.jp/assets/pdf/koufu_3_4ji/outline_14.pdf","PDFを開く")</f>
        <v>PDFを開く</v>
      </c>
      <c r="Q1045" s="9" t="s">
        <v>1710</v>
      </c>
    </row>
    <row r="1046" spans="1:17" ht="62.1" customHeight="1">
      <c r="A1046" s="2" t="s">
        <v>1702</v>
      </c>
      <c r="B1046" s="2" t="s">
        <v>1595</v>
      </c>
      <c r="C1046" s="8" t="s">
        <v>1703</v>
      </c>
      <c r="D1046" s="2">
        <v>1</v>
      </c>
      <c r="E1046" s="8" t="s">
        <v>10156</v>
      </c>
      <c r="F1046" s="2">
        <v>2</v>
      </c>
      <c r="G1046" s="8" t="s">
        <v>10162</v>
      </c>
      <c r="H1046" s="8" t="s">
        <v>10162</v>
      </c>
      <c r="I1046" s="2">
        <v>399.04</v>
      </c>
      <c r="J1046" s="2">
        <v>110.6</v>
      </c>
      <c r="K1046" s="2">
        <v>742.52</v>
      </c>
      <c r="L1046" s="2">
        <v>304.68</v>
      </c>
      <c r="M1046" s="8"/>
      <c r="N1046" s="8" t="s">
        <v>10159</v>
      </c>
      <c r="O1046" s="8" t="s">
        <v>8737</v>
      </c>
      <c r="P1046" s="8" t="str">
        <f t="shared" si="59"/>
        <v>PDFを開く</v>
      </c>
      <c r="Q1046" s="8" t="s">
        <v>1710</v>
      </c>
    </row>
    <row r="1047" spans="1:17" ht="62.1" customHeight="1">
      <c r="A1047" s="5" t="s">
        <v>1702</v>
      </c>
      <c r="B1047" s="5" t="s">
        <v>1595</v>
      </c>
      <c r="C1047" s="9" t="s">
        <v>1703</v>
      </c>
      <c r="D1047" s="5">
        <v>1</v>
      </c>
      <c r="E1047" s="9" t="s">
        <v>10156</v>
      </c>
      <c r="F1047" s="5">
        <v>3</v>
      </c>
      <c r="G1047" s="9" t="s">
        <v>10163</v>
      </c>
      <c r="H1047" s="9" t="s">
        <v>10163</v>
      </c>
      <c r="I1047" s="5">
        <v>399.04</v>
      </c>
      <c r="J1047" s="5">
        <v>318.58999999999997</v>
      </c>
      <c r="K1047" s="5">
        <v>742.52</v>
      </c>
      <c r="L1047" s="5">
        <v>512.66999999999996</v>
      </c>
      <c r="M1047" s="9"/>
      <c r="N1047" s="9" t="s">
        <v>10159</v>
      </c>
      <c r="O1047" s="9" t="s">
        <v>8738</v>
      </c>
      <c r="P1047" s="9" t="str">
        <f t="shared" si="59"/>
        <v>PDFを開く</v>
      </c>
      <c r="Q1047" s="9" t="s">
        <v>1710</v>
      </c>
    </row>
    <row r="1048" spans="1:17" ht="62.1" customHeight="1">
      <c r="A1048" s="2" t="s">
        <v>1702</v>
      </c>
      <c r="B1048" s="2" t="s">
        <v>1595</v>
      </c>
      <c r="C1048" s="8" t="s">
        <v>1703</v>
      </c>
      <c r="D1048" s="2">
        <v>1</v>
      </c>
      <c r="E1048" s="8" t="s">
        <v>10156</v>
      </c>
      <c r="F1048" s="2">
        <v>4</v>
      </c>
      <c r="G1048" s="8" t="s">
        <v>8581</v>
      </c>
      <c r="H1048" s="8" t="s">
        <v>8581</v>
      </c>
      <c r="I1048" s="2">
        <v>50.68</v>
      </c>
      <c r="J1048" s="2">
        <v>400.7</v>
      </c>
      <c r="K1048" s="2">
        <v>370.18</v>
      </c>
      <c r="L1048" s="2">
        <v>505.81</v>
      </c>
      <c r="M1048" s="8"/>
      <c r="N1048" s="8" t="s">
        <v>10159</v>
      </c>
      <c r="O1048" s="8" t="s">
        <v>8739</v>
      </c>
      <c r="P1048" s="8" t="str">
        <f t="shared" si="59"/>
        <v>PDFを開く</v>
      </c>
      <c r="Q1048" s="8" t="s">
        <v>1710</v>
      </c>
    </row>
    <row r="1049" spans="1:17" ht="62.1" customHeight="1">
      <c r="A1049" s="5" t="s">
        <v>1702</v>
      </c>
      <c r="B1049" s="5" t="s">
        <v>1595</v>
      </c>
      <c r="C1049" s="9" t="s">
        <v>1703</v>
      </c>
      <c r="D1049" s="5">
        <v>1</v>
      </c>
      <c r="E1049" s="9" t="s">
        <v>10156</v>
      </c>
      <c r="F1049" s="5">
        <v>5</v>
      </c>
      <c r="G1049" s="9" t="s">
        <v>9578</v>
      </c>
      <c r="H1049" s="9" t="s">
        <v>9578</v>
      </c>
      <c r="I1049" s="5">
        <v>431.89</v>
      </c>
      <c r="J1049" s="5">
        <v>486.74</v>
      </c>
      <c r="K1049" s="5">
        <v>768.3</v>
      </c>
      <c r="L1049" s="5">
        <v>525.20000000000005</v>
      </c>
      <c r="M1049" s="9"/>
      <c r="N1049" s="9" t="s">
        <v>10181</v>
      </c>
      <c r="O1049" s="9" t="s">
        <v>10598</v>
      </c>
      <c r="P1049" s="9" t="str">
        <f t="shared" si="59"/>
        <v>PDFを開く</v>
      </c>
      <c r="Q1049" s="9" t="s">
        <v>1710</v>
      </c>
    </row>
    <row r="1050" spans="1:17" ht="62.1" customHeight="1">
      <c r="A1050" s="2" t="s">
        <v>1702</v>
      </c>
      <c r="B1050" s="2" t="s">
        <v>1595</v>
      </c>
      <c r="C1050" s="8" t="s">
        <v>1703</v>
      </c>
      <c r="D1050" s="2">
        <v>2</v>
      </c>
      <c r="E1050" s="8" t="s">
        <v>10165</v>
      </c>
      <c r="F1050" s="2">
        <v>1</v>
      </c>
      <c r="G1050" s="8" t="s">
        <v>10167</v>
      </c>
      <c r="H1050" s="8" t="s">
        <v>10599</v>
      </c>
      <c r="I1050" s="2">
        <v>126.83</v>
      </c>
      <c r="J1050" s="2">
        <v>235.68</v>
      </c>
      <c r="K1050" s="2">
        <v>740.95</v>
      </c>
      <c r="L1050" s="2">
        <v>379.27</v>
      </c>
      <c r="M1050" s="8"/>
      <c r="N1050" s="8" t="s">
        <v>10159</v>
      </c>
      <c r="O1050" s="8" t="s">
        <v>10600</v>
      </c>
      <c r="P1050" s="8" t="str">
        <f t="shared" si="59"/>
        <v>PDFを開く</v>
      </c>
      <c r="Q1050" s="8" t="s">
        <v>1710</v>
      </c>
    </row>
    <row r="1051" spans="1:17" ht="62.1" customHeight="1">
      <c r="A1051" s="5" t="s">
        <v>1711</v>
      </c>
      <c r="B1051" s="5" t="s">
        <v>1595</v>
      </c>
      <c r="C1051" s="9" t="s">
        <v>1712</v>
      </c>
      <c r="D1051" s="5">
        <v>1</v>
      </c>
      <c r="E1051" s="9" t="s">
        <v>10156</v>
      </c>
      <c r="F1051" s="5">
        <v>1</v>
      </c>
      <c r="G1051" s="9" t="s">
        <v>9578</v>
      </c>
      <c r="H1051" s="9" t="s">
        <v>9578</v>
      </c>
      <c r="I1051" s="5">
        <v>39.659999999999997</v>
      </c>
      <c r="J1051" s="5">
        <v>99.36</v>
      </c>
      <c r="K1051" s="5">
        <v>378.79</v>
      </c>
      <c r="L1051" s="5">
        <v>518.4</v>
      </c>
      <c r="M1051" s="9"/>
      <c r="N1051" s="9" t="s">
        <v>10159</v>
      </c>
      <c r="O1051" s="9" t="s">
        <v>8744</v>
      </c>
      <c r="P1051" s="9" t="str">
        <f>HYPERLINK("https://seichotoushi-hojo.jp/assets/pdf/koufu_3_4ji/outline_140.pdf","PDFを開く")</f>
        <v>PDFを開く</v>
      </c>
      <c r="Q1051" s="9" t="s">
        <v>1718</v>
      </c>
    </row>
    <row r="1052" spans="1:17" ht="62.1" customHeight="1">
      <c r="A1052" s="2" t="s">
        <v>1711</v>
      </c>
      <c r="B1052" s="2" t="s">
        <v>1595</v>
      </c>
      <c r="C1052" s="8" t="s">
        <v>1712</v>
      </c>
      <c r="D1052" s="2">
        <v>1</v>
      </c>
      <c r="E1052" s="8" t="s">
        <v>10156</v>
      </c>
      <c r="F1052" s="2">
        <v>2</v>
      </c>
      <c r="G1052" s="8" t="s">
        <v>10162</v>
      </c>
      <c r="H1052" s="8" t="s">
        <v>10162</v>
      </c>
      <c r="I1052" s="2">
        <v>396.3</v>
      </c>
      <c r="J1052" s="2">
        <v>99.36</v>
      </c>
      <c r="K1052" s="2">
        <v>739.78</v>
      </c>
      <c r="L1052" s="2">
        <v>282.11</v>
      </c>
      <c r="M1052" s="8"/>
      <c r="N1052" s="8" t="s">
        <v>10159</v>
      </c>
      <c r="O1052" s="8" t="s">
        <v>8745</v>
      </c>
      <c r="P1052" s="8" t="str">
        <f>HYPERLINK("https://seichotoushi-hojo.jp/assets/pdf/koufu_3_4ji/outline_140.pdf","PDFを開く")</f>
        <v>PDFを開く</v>
      </c>
      <c r="Q1052" s="8" t="s">
        <v>1718</v>
      </c>
    </row>
    <row r="1053" spans="1:17" ht="62.1" customHeight="1">
      <c r="A1053" s="5" t="s">
        <v>1711</v>
      </c>
      <c r="B1053" s="5" t="s">
        <v>1595</v>
      </c>
      <c r="C1053" s="9" t="s">
        <v>1712</v>
      </c>
      <c r="D1053" s="5">
        <v>1</v>
      </c>
      <c r="E1053" s="9" t="s">
        <v>10156</v>
      </c>
      <c r="F1053" s="5">
        <v>3</v>
      </c>
      <c r="G1053" s="9" t="s">
        <v>10163</v>
      </c>
      <c r="H1053" s="9" t="s">
        <v>10163</v>
      </c>
      <c r="I1053" s="5">
        <v>396.3</v>
      </c>
      <c r="J1053" s="5">
        <v>287.27999999999997</v>
      </c>
      <c r="K1053" s="5">
        <v>739.78</v>
      </c>
      <c r="L1053" s="5">
        <v>518.4</v>
      </c>
      <c r="M1053" s="9"/>
      <c r="N1053" s="9" t="s">
        <v>10159</v>
      </c>
      <c r="O1053" s="9" t="s">
        <v>8746</v>
      </c>
      <c r="P1053" s="9" t="str">
        <f>HYPERLINK("https://seichotoushi-hojo.jp/assets/pdf/koufu_3_4ji/outline_140.pdf","PDFを開く")</f>
        <v>PDFを開く</v>
      </c>
      <c r="Q1053" s="9" t="s">
        <v>1718</v>
      </c>
    </row>
    <row r="1054" spans="1:17" ht="62.1" customHeight="1">
      <c r="A1054" s="2" t="s">
        <v>1711</v>
      </c>
      <c r="B1054" s="2" t="s">
        <v>1595</v>
      </c>
      <c r="C1054" s="8" t="s">
        <v>1712</v>
      </c>
      <c r="D1054" s="2">
        <v>1</v>
      </c>
      <c r="E1054" s="8" t="s">
        <v>10156</v>
      </c>
      <c r="F1054" s="2">
        <v>4</v>
      </c>
      <c r="G1054" s="8" t="s">
        <v>8581</v>
      </c>
      <c r="H1054" s="8" t="s">
        <v>8581</v>
      </c>
      <c r="I1054" s="2">
        <v>48</v>
      </c>
      <c r="J1054" s="2">
        <v>383.04</v>
      </c>
      <c r="K1054" s="2">
        <v>367.5</v>
      </c>
      <c r="L1054" s="2">
        <v>514.79999999999995</v>
      </c>
      <c r="M1054" s="8"/>
      <c r="N1054" s="8" t="s">
        <v>10159</v>
      </c>
      <c r="O1054" s="8" t="s">
        <v>8747</v>
      </c>
      <c r="P1054" s="8" t="str">
        <f>HYPERLINK("https://seichotoushi-hojo.jp/assets/pdf/koufu_3_4ji/outline_140.pdf","PDFを開く")</f>
        <v>PDFを開く</v>
      </c>
      <c r="Q1054" s="8" t="s">
        <v>1718</v>
      </c>
    </row>
    <row r="1055" spans="1:17" ht="62.1" customHeight="1">
      <c r="A1055" s="5" t="s">
        <v>1711</v>
      </c>
      <c r="B1055" s="5" t="s">
        <v>1595</v>
      </c>
      <c r="C1055" s="9" t="s">
        <v>1712</v>
      </c>
      <c r="D1055" s="5">
        <v>2</v>
      </c>
      <c r="E1055" s="9" t="s">
        <v>10165</v>
      </c>
      <c r="F1055" s="5">
        <v>1</v>
      </c>
      <c r="G1055" s="9" t="s">
        <v>10167</v>
      </c>
      <c r="H1055" s="9" t="s">
        <v>10601</v>
      </c>
      <c r="I1055" s="5">
        <v>40.049999999999997</v>
      </c>
      <c r="J1055" s="5">
        <v>99.55</v>
      </c>
      <c r="K1055" s="5">
        <v>739.78</v>
      </c>
      <c r="L1055" s="5">
        <v>136.5</v>
      </c>
      <c r="M1055" s="9"/>
      <c r="N1055" s="9" t="s">
        <v>10159</v>
      </c>
      <c r="O1055" s="9" t="s">
        <v>10602</v>
      </c>
      <c r="P1055" s="9" t="str">
        <f>HYPERLINK("https://seichotoushi-hojo.jp/assets/pdf/koufu_3_4ji/outline_140.pdf","PDFを開く")</f>
        <v>PDFを開く</v>
      </c>
      <c r="Q1055" s="9" t="s">
        <v>1718</v>
      </c>
    </row>
    <row r="1056" spans="1:17" ht="62.1" customHeight="1">
      <c r="A1056" s="2" t="s">
        <v>1719</v>
      </c>
      <c r="B1056" s="2" t="s">
        <v>1595</v>
      </c>
      <c r="C1056" s="8" t="s">
        <v>1720</v>
      </c>
      <c r="D1056" s="2">
        <v>1</v>
      </c>
      <c r="E1056" s="8" t="s">
        <v>10156</v>
      </c>
      <c r="F1056" s="2">
        <v>1</v>
      </c>
      <c r="G1056" s="8" t="s">
        <v>10162</v>
      </c>
      <c r="H1056" s="8" t="s">
        <v>10162</v>
      </c>
      <c r="I1056" s="2">
        <v>397.13</v>
      </c>
      <c r="J1056" s="2">
        <v>102.37</v>
      </c>
      <c r="K1056" s="2">
        <v>765.38</v>
      </c>
      <c r="L1056" s="2">
        <v>307.12</v>
      </c>
      <c r="M1056" s="8"/>
      <c r="N1056" s="8" t="s">
        <v>10159</v>
      </c>
      <c r="O1056" s="8" t="s">
        <v>8753</v>
      </c>
      <c r="P1056" s="8" t="str">
        <f>HYPERLINK("https://seichotoushi-hojo.jp/assets/pdf/koufu_3_4ji/outline_15.pdf","PDFを開く")</f>
        <v>PDFを開く</v>
      </c>
      <c r="Q1056" s="8" t="s">
        <v>1726</v>
      </c>
    </row>
    <row r="1057" spans="1:17" ht="62.1" customHeight="1">
      <c r="A1057" s="5" t="s">
        <v>1719</v>
      </c>
      <c r="B1057" s="5" t="s">
        <v>1595</v>
      </c>
      <c r="C1057" s="9" t="s">
        <v>1720</v>
      </c>
      <c r="D1057" s="5">
        <v>1</v>
      </c>
      <c r="E1057" s="9" t="s">
        <v>10156</v>
      </c>
      <c r="F1057" s="5">
        <v>2</v>
      </c>
      <c r="G1057" s="9" t="s">
        <v>9578</v>
      </c>
      <c r="H1057" s="9" t="s">
        <v>9578</v>
      </c>
      <c r="I1057" s="5">
        <v>15.38</v>
      </c>
      <c r="J1057" s="5">
        <v>102.38</v>
      </c>
      <c r="K1057" s="5">
        <v>379.12</v>
      </c>
      <c r="L1057" s="5">
        <v>499.88</v>
      </c>
      <c r="M1057" s="9"/>
      <c r="N1057" s="9" t="s">
        <v>10159</v>
      </c>
      <c r="O1057" s="9" t="s">
        <v>8752</v>
      </c>
      <c r="P1057" s="9" t="str">
        <f>HYPERLINK("https://seichotoushi-hojo.jp/assets/pdf/koufu_3_4ji/outline_15.pdf","PDFを開く")</f>
        <v>PDFを開く</v>
      </c>
      <c r="Q1057" s="9" t="s">
        <v>1726</v>
      </c>
    </row>
    <row r="1058" spans="1:17" ht="62.1" customHeight="1">
      <c r="A1058" s="2" t="s">
        <v>1719</v>
      </c>
      <c r="B1058" s="2" t="s">
        <v>1595</v>
      </c>
      <c r="C1058" s="8" t="s">
        <v>1720</v>
      </c>
      <c r="D1058" s="2">
        <v>1</v>
      </c>
      <c r="E1058" s="8" t="s">
        <v>10156</v>
      </c>
      <c r="F1058" s="2">
        <v>3</v>
      </c>
      <c r="G1058" s="8" t="s">
        <v>10163</v>
      </c>
      <c r="H1058" s="8" t="s">
        <v>10163</v>
      </c>
      <c r="I1058" s="2">
        <v>397.13</v>
      </c>
      <c r="J1058" s="2">
        <v>307.12</v>
      </c>
      <c r="K1058" s="2">
        <v>765.38</v>
      </c>
      <c r="L1058" s="2">
        <v>521.62</v>
      </c>
      <c r="M1058" s="8"/>
      <c r="N1058" s="8" t="s">
        <v>10159</v>
      </c>
      <c r="O1058" s="8" t="s">
        <v>8754</v>
      </c>
      <c r="P1058" s="8" t="str">
        <f>HYPERLINK("https://seichotoushi-hojo.jp/assets/pdf/koufu_3_4ji/outline_15.pdf","PDFを開く")</f>
        <v>PDFを開く</v>
      </c>
      <c r="Q1058" s="8" t="s">
        <v>1726</v>
      </c>
    </row>
    <row r="1059" spans="1:17" ht="62.1" customHeight="1">
      <c r="A1059" s="5" t="s">
        <v>1719</v>
      </c>
      <c r="B1059" s="5" t="s">
        <v>1595</v>
      </c>
      <c r="C1059" s="9" t="s">
        <v>1720</v>
      </c>
      <c r="D1059" s="5">
        <v>1</v>
      </c>
      <c r="E1059" s="9" t="s">
        <v>10156</v>
      </c>
      <c r="F1059" s="5">
        <v>4</v>
      </c>
      <c r="G1059" s="9" t="s">
        <v>8581</v>
      </c>
      <c r="H1059" s="9" t="s">
        <v>8581</v>
      </c>
      <c r="I1059" s="5">
        <v>48</v>
      </c>
      <c r="J1059" s="5">
        <v>371.25</v>
      </c>
      <c r="K1059" s="5">
        <v>367.5</v>
      </c>
      <c r="L1059" s="5">
        <v>486.75</v>
      </c>
      <c r="M1059" s="9"/>
      <c r="N1059" s="9" t="s">
        <v>10159</v>
      </c>
      <c r="O1059" s="9" t="s">
        <v>8755</v>
      </c>
      <c r="P1059" s="9" t="str">
        <f>HYPERLINK("https://seichotoushi-hojo.jp/assets/pdf/koufu_3_4ji/outline_15.pdf","PDFを開く")</f>
        <v>PDFを開く</v>
      </c>
      <c r="Q1059" s="9" t="s">
        <v>1726</v>
      </c>
    </row>
    <row r="1060" spans="1:17" ht="62.1" customHeight="1">
      <c r="A1060" s="2" t="s">
        <v>1719</v>
      </c>
      <c r="B1060" s="2" t="s">
        <v>1595</v>
      </c>
      <c r="C1060" s="8" t="s">
        <v>1720</v>
      </c>
      <c r="D1060" s="2">
        <v>2</v>
      </c>
      <c r="E1060" s="8" t="s">
        <v>10165</v>
      </c>
      <c r="F1060" s="2">
        <v>1</v>
      </c>
      <c r="G1060" s="8" t="s">
        <v>10184</v>
      </c>
      <c r="H1060" s="8" t="s">
        <v>10184</v>
      </c>
      <c r="I1060" s="2">
        <v>105.4</v>
      </c>
      <c r="J1060" s="2">
        <v>184.59</v>
      </c>
      <c r="K1060" s="2">
        <v>401.7</v>
      </c>
      <c r="L1060" s="2">
        <v>379.99</v>
      </c>
      <c r="M1060" s="8"/>
      <c r="N1060" s="8" t="s">
        <v>10181</v>
      </c>
      <c r="O1060" s="8" t="s">
        <v>10603</v>
      </c>
      <c r="P1060" s="8" t="str">
        <f>HYPERLINK("https://seichotoushi-hojo.jp/assets/pdf/koufu_3_4ji/outline_15.pdf","PDFを開く")</f>
        <v>PDFを開く</v>
      </c>
      <c r="Q1060" s="8" t="s">
        <v>1726</v>
      </c>
    </row>
    <row r="1061" spans="1:17" ht="62.1" customHeight="1">
      <c r="A1061" s="5" t="s">
        <v>1727</v>
      </c>
      <c r="B1061" s="5" t="s">
        <v>1595</v>
      </c>
      <c r="C1061" s="9" t="s">
        <v>1728</v>
      </c>
      <c r="D1061" s="5">
        <v>1</v>
      </c>
      <c r="E1061" s="9" t="s">
        <v>10156</v>
      </c>
      <c r="F1061" s="5">
        <v>1</v>
      </c>
      <c r="G1061" s="9" t="s">
        <v>9578</v>
      </c>
      <c r="H1061" s="9" t="s">
        <v>9578</v>
      </c>
      <c r="I1061" s="5">
        <v>33.229999999999997</v>
      </c>
      <c r="J1061" s="5">
        <v>101.81</v>
      </c>
      <c r="K1061" s="5">
        <v>393.13</v>
      </c>
      <c r="L1061" s="5">
        <v>529.48</v>
      </c>
      <c r="M1061" s="9"/>
      <c r="N1061" s="9" t="s">
        <v>10159</v>
      </c>
      <c r="O1061" s="9" t="s">
        <v>8760</v>
      </c>
      <c r="P1061" s="9" t="str">
        <f>HYPERLINK("https://seichotoushi-hojo.jp/assets/pdf/koufu_3_4ji/outline_151.pdf","PDFを開く")</f>
        <v>PDFを開く</v>
      </c>
      <c r="Q1061" s="9" t="s">
        <v>1733</v>
      </c>
    </row>
    <row r="1062" spans="1:17" ht="62.1" customHeight="1">
      <c r="A1062" s="2" t="s">
        <v>1727</v>
      </c>
      <c r="B1062" s="2" t="s">
        <v>1595</v>
      </c>
      <c r="C1062" s="8" t="s">
        <v>1728</v>
      </c>
      <c r="D1062" s="2">
        <v>1</v>
      </c>
      <c r="E1062" s="8" t="s">
        <v>10156</v>
      </c>
      <c r="F1062" s="2">
        <v>2</v>
      </c>
      <c r="G1062" s="8" t="s">
        <v>10162</v>
      </c>
      <c r="H1062" s="8" t="s">
        <v>10162</v>
      </c>
      <c r="I1062" s="2">
        <v>410.92</v>
      </c>
      <c r="J1062" s="2">
        <v>104.75</v>
      </c>
      <c r="K1062" s="2">
        <v>759.72</v>
      </c>
      <c r="L1062" s="2">
        <v>317.64999999999998</v>
      </c>
      <c r="M1062" s="8"/>
      <c r="N1062" s="8" t="s">
        <v>10159</v>
      </c>
      <c r="O1062" s="8" t="s">
        <v>8761</v>
      </c>
      <c r="P1062" s="8" t="str">
        <f>HYPERLINK("https://seichotoushi-hojo.jp/assets/pdf/koufu_3_4ji/outline_151.pdf","PDFを開く")</f>
        <v>PDFを開く</v>
      </c>
      <c r="Q1062" s="8" t="s">
        <v>1733</v>
      </c>
    </row>
    <row r="1063" spans="1:17" ht="62.1" customHeight="1">
      <c r="A1063" s="5" t="s">
        <v>1727</v>
      </c>
      <c r="B1063" s="5" t="s">
        <v>1595</v>
      </c>
      <c r="C1063" s="9" t="s">
        <v>1728</v>
      </c>
      <c r="D1063" s="5">
        <v>1</v>
      </c>
      <c r="E1063" s="9" t="s">
        <v>10156</v>
      </c>
      <c r="F1063" s="5">
        <v>3</v>
      </c>
      <c r="G1063" s="9" t="s">
        <v>10163</v>
      </c>
      <c r="H1063" s="9" t="s">
        <v>10163</v>
      </c>
      <c r="I1063" s="5">
        <v>410.92</v>
      </c>
      <c r="J1063" s="5">
        <v>326.97000000000003</v>
      </c>
      <c r="K1063" s="5">
        <v>759.72</v>
      </c>
      <c r="L1063" s="5">
        <v>532.95000000000005</v>
      </c>
      <c r="M1063" s="9"/>
      <c r="N1063" s="9" t="s">
        <v>10159</v>
      </c>
      <c r="O1063" s="9" t="s">
        <v>8762</v>
      </c>
      <c r="P1063" s="9" t="str">
        <f>HYPERLINK("https://seichotoushi-hojo.jp/assets/pdf/koufu_3_4ji/outline_151.pdf","PDFを開く")</f>
        <v>PDFを開く</v>
      </c>
      <c r="Q1063" s="9" t="s">
        <v>1733</v>
      </c>
    </row>
    <row r="1064" spans="1:17" ht="62.1" customHeight="1">
      <c r="A1064" s="2" t="s">
        <v>1727</v>
      </c>
      <c r="B1064" s="2" t="s">
        <v>1595</v>
      </c>
      <c r="C1064" s="8" t="s">
        <v>1728</v>
      </c>
      <c r="D1064" s="2">
        <v>1</v>
      </c>
      <c r="E1064" s="8" t="s">
        <v>10156</v>
      </c>
      <c r="F1064" s="2">
        <v>4</v>
      </c>
      <c r="G1064" s="8" t="s">
        <v>8581</v>
      </c>
      <c r="H1064" s="8" t="s">
        <v>8581</v>
      </c>
      <c r="I1064" s="2">
        <v>48.06</v>
      </c>
      <c r="J1064" s="2">
        <v>425.25</v>
      </c>
      <c r="K1064" s="2">
        <v>372.51</v>
      </c>
      <c r="L1064" s="2">
        <v>520.9</v>
      </c>
      <c r="M1064" s="8"/>
      <c r="N1064" s="8" t="s">
        <v>10159</v>
      </c>
      <c r="O1064" s="8" t="s">
        <v>8763</v>
      </c>
      <c r="P1064" s="8" t="str">
        <f>HYPERLINK("https://seichotoushi-hojo.jp/assets/pdf/koufu_3_4ji/outline_151.pdf","PDFを開く")</f>
        <v>PDFを開く</v>
      </c>
      <c r="Q1064" s="8" t="s">
        <v>1733</v>
      </c>
    </row>
    <row r="1065" spans="1:17" ht="62.1" customHeight="1">
      <c r="A1065" s="5" t="s">
        <v>1734</v>
      </c>
      <c r="B1065" s="5" t="s">
        <v>1595</v>
      </c>
      <c r="C1065" s="9" t="s">
        <v>1735</v>
      </c>
      <c r="D1065" s="5">
        <v>1</v>
      </c>
      <c r="E1065" s="9" t="s">
        <v>10156</v>
      </c>
      <c r="F1065" s="5">
        <v>1</v>
      </c>
      <c r="G1065" s="9" t="s">
        <v>8581</v>
      </c>
      <c r="H1065" s="9" t="s">
        <v>8581</v>
      </c>
      <c r="I1065" s="5">
        <v>80.55</v>
      </c>
      <c r="J1065" s="5">
        <v>58.25</v>
      </c>
      <c r="K1065" s="5">
        <v>401.7</v>
      </c>
      <c r="L1065" s="5">
        <v>105.4</v>
      </c>
      <c r="M1065" s="9"/>
      <c r="N1065" s="9" t="s">
        <v>10181</v>
      </c>
      <c r="O1065" s="9" t="s">
        <v>10604</v>
      </c>
      <c r="P1065" s="9" t="str">
        <f>HYPERLINK("https://seichotoushi-hojo.jp/assets/pdf/koufu_3_4ji/outline_16.pdf","PDFを開く")</f>
        <v>PDFを開く</v>
      </c>
      <c r="Q1065" s="9" t="s">
        <v>1739</v>
      </c>
    </row>
    <row r="1066" spans="1:17" ht="62.1" customHeight="1">
      <c r="A1066" s="2" t="s">
        <v>1734</v>
      </c>
      <c r="B1066" s="2" t="s">
        <v>1595</v>
      </c>
      <c r="C1066" s="8" t="s">
        <v>1735</v>
      </c>
      <c r="D1066" s="2">
        <v>1</v>
      </c>
      <c r="E1066" s="8" t="s">
        <v>10156</v>
      </c>
      <c r="F1066" s="2">
        <v>2</v>
      </c>
      <c r="G1066" s="8" t="s">
        <v>9578</v>
      </c>
      <c r="H1066" s="8" t="s">
        <v>9578</v>
      </c>
      <c r="I1066" s="2">
        <v>8.82</v>
      </c>
      <c r="J1066" s="2">
        <v>104.07</v>
      </c>
      <c r="K1066" s="2">
        <v>379.36</v>
      </c>
      <c r="L1066" s="2">
        <v>534.07000000000005</v>
      </c>
      <c r="M1066" s="8"/>
      <c r="N1066" s="8" t="s">
        <v>10159</v>
      </c>
      <c r="O1066" s="8" t="s">
        <v>8768</v>
      </c>
      <c r="P1066" s="8" t="str">
        <f>HYPERLINK("https://seichotoushi-hojo.jp/assets/pdf/koufu_3_4ji/outline_16.pdf","PDFを開く")</f>
        <v>PDFを開く</v>
      </c>
      <c r="Q1066" s="8" t="s">
        <v>1739</v>
      </c>
    </row>
    <row r="1067" spans="1:17" ht="62.1" customHeight="1">
      <c r="A1067" s="5" t="s">
        <v>1734</v>
      </c>
      <c r="B1067" s="5" t="s">
        <v>1595</v>
      </c>
      <c r="C1067" s="9" t="s">
        <v>1735</v>
      </c>
      <c r="D1067" s="5">
        <v>1</v>
      </c>
      <c r="E1067" s="9" t="s">
        <v>10156</v>
      </c>
      <c r="F1067" s="5">
        <v>3</v>
      </c>
      <c r="G1067" s="9" t="s">
        <v>10162</v>
      </c>
      <c r="H1067" s="9" t="s">
        <v>10162</v>
      </c>
      <c r="I1067" s="5">
        <v>398.5</v>
      </c>
      <c r="J1067" s="5">
        <v>106.85</v>
      </c>
      <c r="K1067" s="5">
        <v>773.8</v>
      </c>
      <c r="L1067" s="5">
        <v>322.52999999999997</v>
      </c>
      <c r="M1067" s="9"/>
      <c r="N1067" s="9" t="s">
        <v>10159</v>
      </c>
      <c r="O1067" s="9" t="s">
        <v>8769</v>
      </c>
      <c r="P1067" s="9" t="str">
        <f>HYPERLINK("https://seichotoushi-hojo.jp/assets/pdf/koufu_3_4ji/outline_16.pdf","PDFを開く")</f>
        <v>PDFを開く</v>
      </c>
      <c r="Q1067" s="9" t="s">
        <v>1739</v>
      </c>
    </row>
    <row r="1068" spans="1:17" ht="62.1" customHeight="1">
      <c r="A1068" s="2" t="s">
        <v>1734</v>
      </c>
      <c r="B1068" s="2" t="s">
        <v>1595</v>
      </c>
      <c r="C1068" s="8" t="s">
        <v>1735</v>
      </c>
      <c r="D1068" s="2">
        <v>1</v>
      </c>
      <c r="E1068" s="8" t="s">
        <v>10156</v>
      </c>
      <c r="F1068" s="2">
        <v>4</v>
      </c>
      <c r="G1068" s="8" t="s">
        <v>10163</v>
      </c>
      <c r="H1068" s="8" t="s">
        <v>10163</v>
      </c>
      <c r="I1068" s="2">
        <v>398.5</v>
      </c>
      <c r="J1068" s="2">
        <v>327.86</v>
      </c>
      <c r="K1068" s="2">
        <v>773.8</v>
      </c>
      <c r="L1068" s="2">
        <v>520.9</v>
      </c>
      <c r="M1068" s="8"/>
      <c r="N1068" s="8" t="s">
        <v>10159</v>
      </c>
      <c r="O1068" s="8" t="s">
        <v>8770</v>
      </c>
      <c r="P1068" s="8" t="str">
        <f>HYPERLINK("https://seichotoushi-hojo.jp/assets/pdf/koufu_3_4ji/outline_16.pdf","PDFを開く")</f>
        <v>PDFを開く</v>
      </c>
      <c r="Q1068" s="8" t="s">
        <v>1739</v>
      </c>
    </row>
    <row r="1069" spans="1:17" ht="62.1" customHeight="1">
      <c r="A1069" s="5" t="s">
        <v>1734</v>
      </c>
      <c r="B1069" s="5" t="s">
        <v>1595</v>
      </c>
      <c r="C1069" s="9" t="s">
        <v>1735</v>
      </c>
      <c r="D1069" s="5">
        <v>1</v>
      </c>
      <c r="E1069" s="9" t="s">
        <v>10156</v>
      </c>
      <c r="F1069" s="5">
        <v>5</v>
      </c>
      <c r="G1069" s="9" t="s">
        <v>8581</v>
      </c>
      <c r="H1069" s="9" t="s">
        <v>8581</v>
      </c>
      <c r="I1069" s="5">
        <v>18.73</v>
      </c>
      <c r="J1069" s="5">
        <v>421.71</v>
      </c>
      <c r="K1069" s="5">
        <v>367.83</v>
      </c>
      <c r="L1069" s="5">
        <v>530.11</v>
      </c>
      <c r="M1069" s="9"/>
      <c r="N1069" s="9" t="s">
        <v>10159</v>
      </c>
      <c r="O1069" s="9" t="s">
        <v>10605</v>
      </c>
      <c r="P1069" s="9" t="str">
        <f>HYPERLINK("https://seichotoushi-hojo.jp/assets/pdf/koufu_3_4ji/outline_16.pdf","PDFを開く")</f>
        <v>PDFを開く</v>
      </c>
      <c r="Q1069" s="9" t="s">
        <v>1739</v>
      </c>
    </row>
    <row r="1070" spans="1:17" ht="62.1" customHeight="1">
      <c r="A1070" s="2" t="s">
        <v>1740</v>
      </c>
      <c r="B1070" s="2" t="s">
        <v>1595</v>
      </c>
      <c r="C1070" s="8" t="s">
        <v>1741</v>
      </c>
      <c r="D1070" s="2">
        <v>1</v>
      </c>
      <c r="E1070" s="8" t="s">
        <v>10156</v>
      </c>
      <c r="F1070" s="2">
        <v>1</v>
      </c>
      <c r="G1070" s="8" t="s">
        <v>9578</v>
      </c>
      <c r="H1070" s="8" t="s">
        <v>9578</v>
      </c>
      <c r="I1070" s="2">
        <v>40.380000000000003</v>
      </c>
      <c r="J1070" s="2">
        <v>114.38</v>
      </c>
      <c r="K1070" s="2">
        <v>393.75</v>
      </c>
      <c r="L1070" s="2">
        <v>503.38</v>
      </c>
      <c r="M1070" s="8"/>
      <c r="N1070" s="8" t="s">
        <v>10159</v>
      </c>
      <c r="O1070" s="8" t="s">
        <v>8776</v>
      </c>
      <c r="P1070" s="8" t="str">
        <f>HYPERLINK("https://seichotoushi-hojo.jp/assets/pdf/koufu_3_4ji/outline_17.pdf","PDFを開く")</f>
        <v>PDFを開く</v>
      </c>
      <c r="Q1070" s="8" t="s">
        <v>1747</v>
      </c>
    </row>
    <row r="1071" spans="1:17" ht="62.1" customHeight="1">
      <c r="A1071" s="5" t="s">
        <v>1740</v>
      </c>
      <c r="B1071" s="5" t="s">
        <v>1595</v>
      </c>
      <c r="C1071" s="9" t="s">
        <v>1741</v>
      </c>
      <c r="D1071" s="5">
        <v>1</v>
      </c>
      <c r="E1071" s="9" t="s">
        <v>10156</v>
      </c>
      <c r="F1071" s="5">
        <v>2</v>
      </c>
      <c r="G1071" s="9" t="s">
        <v>10162</v>
      </c>
      <c r="H1071" s="9" t="s">
        <v>10162</v>
      </c>
      <c r="I1071" s="5">
        <v>410.87</v>
      </c>
      <c r="J1071" s="5">
        <v>114.67</v>
      </c>
      <c r="K1071" s="5">
        <v>719.5</v>
      </c>
      <c r="L1071" s="5">
        <v>345.46</v>
      </c>
      <c r="M1071" s="9"/>
      <c r="N1071" s="9" t="s">
        <v>10159</v>
      </c>
      <c r="O1071" s="9" t="s">
        <v>8777</v>
      </c>
      <c r="P1071" s="9" t="str">
        <f>HYPERLINK("https://seichotoushi-hojo.jp/assets/pdf/koufu_3_4ji/outline_17.pdf","PDFを開く")</f>
        <v>PDFを開く</v>
      </c>
      <c r="Q1071" s="9" t="s">
        <v>1747</v>
      </c>
    </row>
    <row r="1072" spans="1:17" ht="62.1" customHeight="1">
      <c r="A1072" s="2" t="s">
        <v>1740</v>
      </c>
      <c r="B1072" s="2" t="s">
        <v>1595</v>
      </c>
      <c r="C1072" s="8" t="s">
        <v>1741</v>
      </c>
      <c r="D1072" s="2">
        <v>1</v>
      </c>
      <c r="E1072" s="8" t="s">
        <v>10156</v>
      </c>
      <c r="F1072" s="2">
        <v>3</v>
      </c>
      <c r="G1072" s="8" t="s">
        <v>8581</v>
      </c>
      <c r="H1072" s="8" t="s">
        <v>8581</v>
      </c>
      <c r="I1072" s="2">
        <v>42.38</v>
      </c>
      <c r="J1072" s="2">
        <v>311.5</v>
      </c>
      <c r="K1072" s="2">
        <v>391.25</v>
      </c>
      <c r="L1072" s="2">
        <v>500.25</v>
      </c>
      <c r="M1072" s="8"/>
      <c r="N1072" s="8" t="s">
        <v>10159</v>
      </c>
      <c r="O1072" s="8" t="s">
        <v>8779</v>
      </c>
      <c r="P1072" s="8" t="str">
        <f>HYPERLINK("https://seichotoushi-hojo.jp/assets/pdf/koufu_3_4ji/outline_17.pdf","PDFを開く")</f>
        <v>PDFを開く</v>
      </c>
      <c r="Q1072" s="8" t="s">
        <v>1747</v>
      </c>
    </row>
    <row r="1073" spans="1:17" ht="62.1" customHeight="1">
      <c r="A1073" s="5" t="s">
        <v>1740</v>
      </c>
      <c r="B1073" s="5" t="s">
        <v>1595</v>
      </c>
      <c r="C1073" s="9" t="s">
        <v>1741</v>
      </c>
      <c r="D1073" s="5">
        <v>1</v>
      </c>
      <c r="E1073" s="9" t="s">
        <v>10156</v>
      </c>
      <c r="F1073" s="5">
        <v>4</v>
      </c>
      <c r="G1073" s="9" t="s">
        <v>10163</v>
      </c>
      <c r="H1073" s="9" t="s">
        <v>10163</v>
      </c>
      <c r="I1073" s="5">
        <v>410.88</v>
      </c>
      <c r="J1073" s="5">
        <v>349.31</v>
      </c>
      <c r="K1073" s="5">
        <v>719.51</v>
      </c>
      <c r="L1073" s="5">
        <v>501.94</v>
      </c>
      <c r="M1073" s="9"/>
      <c r="N1073" s="9" t="s">
        <v>10159</v>
      </c>
      <c r="O1073" s="9" t="s">
        <v>8778</v>
      </c>
      <c r="P1073" s="9" t="str">
        <f>HYPERLINK("https://seichotoushi-hojo.jp/assets/pdf/koufu_3_4ji/outline_17.pdf","PDFを開く")</f>
        <v>PDFを開く</v>
      </c>
      <c r="Q1073" s="9" t="s">
        <v>1747</v>
      </c>
    </row>
    <row r="1074" spans="1:17" ht="62.1" customHeight="1">
      <c r="A1074" s="2" t="s">
        <v>1740</v>
      </c>
      <c r="B1074" s="2" t="s">
        <v>1595</v>
      </c>
      <c r="C1074" s="8" t="s">
        <v>1741</v>
      </c>
      <c r="D1074" s="2">
        <v>1</v>
      </c>
      <c r="E1074" s="8" t="s">
        <v>10156</v>
      </c>
      <c r="F1074" s="2">
        <v>5</v>
      </c>
      <c r="G1074" s="8" t="s">
        <v>10167</v>
      </c>
      <c r="H1074" s="8" t="s">
        <v>10606</v>
      </c>
      <c r="I1074" s="2">
        <v>59.5</v>
      </c>
      <c r="J1074" s="2">
        <v>380.62</v>
      </c>
      <c r="K1074" s="2">
        <v>395.75</v>
      </c>
      <c r="L1074" s="2">
        <v>449.88</v>
      </c>
      <c r="M1074" s="8"/>
      <c r="N1074" s="8" t="s">
        <v>10159</v>
      </c>
      <c r="O1074" s="8" t="s">
        <v>10607</v>
      </c>
      <c r="P1074" s="8" t="str">
        <f>HYPERLINK("https://seichotoushi-hojo.jp/assets/pdf/koufu_3_4ji/outline_17.pdf","PDFを開く")</f>
        <v>PDFを開く</v>
      </c>
      <c r="Q1074" s="8" t="s">
        <v>1747</v>
      </c>
    </row>
    <row r="1075" spans="1:17" ht="62.1" customHeight="1">
      <c r="A1075" s="5" t="s">
        <v>1748</v>
      </c>
      <c r="B1075" s="5" t="s">
        <v>1595</v>
      </c>
      <c r="C1075" s="9" t="s">
        <v>1749</v>
      </c>
      <c r="D1075" s="5">
        <v>1</v>
      </c>
      <c r="E1075" s="9" t="s">
        <v>10156</v>
      </c>
      <c r="F1075" s="5">
        <v>1</v>
      </c>
      <c r="G1075" s="9" t="s">
        <v>10157</v>
      </c>
      <c r="H1075" s="9" t="s">
        <v>10157</v>
      </c>
      <c r="I1075" s="5">
        <v>40.340000000000003</v>
      </c>
      <c r="J1075" s="5">
        <v>40.270000000000003</v>
      </c>
      <c r="K1075" s="5">
        <v>740.47</v>
      </c>
      <c r="L1075" s="5">
        <v>87.84</v>
      </c>
      <c r="M1075" s="9"/>
      <c r="N1075" s="9" t="s">
        <v>10159</v>
      </c>
      <c r="O1075" s="9" t="s">
        <v>10608</v>
      </c>
      <c r="P1075" s="9" t="str">
        <f t="shared" ref="P1075:P1081" si="60">HYPERLINK("https://seichotoushi-hojo.jp/assets/pdf/koufu_3_4ji/outline_173.pdf","PDFを開く")</f>
        <v>PDFを開く</v>
      </c>
      <c r="Q1075" s="9" t="s">
        <v>1754</v>
      </c>
    </row>
    <row r="1076" spans="1:17" ht="62.1" customHeight="1">
      <c r="A1076" s="2" t="s">
        <v>1748</v>
      </c>
      <c r="B1076" s="2" t="s">
        <v>1595</v>
      </c>
      <c r="C1076" s="8" t="s">
        <v>1749</v>
      </c>
      <c r="D1076" s="2">
        <v>1</v>
      </c>
      <c r="E1076" s="8" t="s">
        <v>10156</v>
      </c>
      <c r="F1076" s="2">
        <v>2</v>
      </c>
      <c r="G1076" s="8" t="s">
        <v>9578</v>
      </c>
      <c r="H1076" s="8" t="s">
        <v>9578</v>
      </c>
      <c r="I1076" s="2">
        <v>39.659999999999997</v>
      </c>
      <c r="J1076" s="2">
        <v>107.76</v>
      </c>
      <c r="K1076" s="2">
        <v>378.79</v>
      </c>
      <c r="L1076" s="2">
        <v>514.61</v>
      </c>
      <c r="M1076" s="8"/>
      <c r="N1076" s="8" t="s">
        <v>10159</v>
      </c>
      <c r="O1076" s="8" t="s">
        <v>8785</v>
      </c>
      <c r="P1076" s="8" t="str">
        <f t="shared" si="60"/>
        <v>PDFを開く</v>
      </c>
      <c r="Q1076" s="8" t="s">
        <v>1754</v>
      </c>
    </row>
    <row r="1077" spans="1:17" ht="62.1" customHeight="1">
      <c r="A1077" s="5" t="s">
        <v>1748</v>
      </c>
      <c r="B1077" s="5" t="s">
        <v>1595</v>
      </c>
      <c r="C1077" s="9" t="s">
        <v>1749</v>
      </c>
      <c r="D1077" s="5">
        <v>1</v>
      </c>
      <c r="E1077" s="9" t="s">
        <v>10156</v>
      </c>
      <c r="F1077" s="5">
        <v>3</v>
      </c>
      <c r="G1077" s="9" t="s">
        <v>10162</v>
      </c>
      <c r="H1077" s="9" t="s">
        <v>10162</v>
      </c>
      <c r="I1077" s="5">
        <v>396.3</v>
      </c>
      <c r="J1077" s="5">
        <v>110.04</v>
      </c>
      <c r="K1077" s="5">
        <v>739.78</v>
      </c>
      <c r="L1077" s="5">
        <v>309.98</v>
      </c>
      <c r="M1077" s="9"/>
      <c r="N1077" s="9" t="s">
        <v>10159</v>
      </c>
      <c r="O1077" s="9" t="s">
        <v>8786</v>
      </c>
      <c r="P1077" s="9" t="str">
        <f t="shared" si="60"/>
        <v>PDFを開く</v>
      </c>
      <c r="Q1077" s="9" t="s">
        <v>1754</v>
      </c>
    </row>
    <row r="1078" spans="1:17" ht="62.1" customHeight="1">
      <c r="A1078" s="2" t="s">
        <v>1748</v>
      </c>
      <c r="B1078" s="2" t="s">
        <v>1595</v>
      </c>
      <c r="C1078" s="8" t="s">
        <v>1749</v>
      </c>
      <c r="D1078" s="2">
        <v>1</v>
      </c>
      <c r="E1078" s="8" t="s">
        <v>10156</v>
      </c>
      <c r="F1078" s="2">
        <v>4</v>
      </c>
      <c r="G1078" s="8" t="s">
        <v>10163</v>
      </c>
      <c r="H1078" s="8" t="s">
        <v>10163</v>
      </c>
      <c r="I1078" s="2">
        <v>396.86</v>
      </c>
      <c r="J1078" s="2">
        <v>332.19</v>
      </c>
      <c r="K1078" s="2">
        <v>740.34</v>
      </c>
      <c r="L1078" s="2">
        <v>505.52</v>
      </c>
      <c r="M1078" s="8"/>
      <c r="N1078" s="8" t="s">
        <v>10159</v>
      </c>
      <c r="O1078" s="8" t="s">
        <v>8787</v>
      </c>
      <c r="P1078" s="8" t="str">
        <f t="shared" si="60"/>
        <v>PDFを開く</v>
      </c>
      <c r="Q1078" s="8" t="s">
        <v>1754</v>
      </c>
    </row>
    <row r="1079" spans="1:17" ht="62.1" customHeight="1">
      <c r="A1079" s="5" t="s">
        <v>1748</v>
      </c>
      <c r="B1079" s="5" t="s">
        <v>1595</v>
      </c>
      <c r="C1079" s="9" t="s">
        <v>1749</v>
      </c>
      <c r="D1079" s="5">
        <v>1</v>
      </c>
      <c r="E1079" s="9" t="s">
        <v>10156</v>
      </c>
      <c r="F1079" s="5">
        <v>5</v>
      </c>
      <c r="G1079" s="9" t="s">
        <v>8581</v>
      </c>
      <c r="H1079" s="9" t="s">
        <v>8581</v>
      </c>
      <c r="I1079" s="5">
        <v>50.24</v>
      </c>
      <c r="J1079" s="5">
        <v>398.85</v>
      </c>
      <c r="K1079" s="5">
        <v>369.74</v>
      </c>
      <c r="L1079" s="5">
        <v>499.73</v>
      </c>
      <c r="M1079" s="9"/>
      <c r="N1079" s="9" t="s">
        <v>10159</v>
      </c>
      <c r="O1079" s="9" t="s">
        <v>8788</v>
      </c>
      <c r="P1079" s="9" t="str">
        <f t="shared" si="60"/>
        <v>PDFを開く</v>
      </c>
      <c r="Q1079" s="9" t="s">
        <v>1754</v>
      </c>
    </row>
    <row r="1080" spans="1:17" ht="62.1" customHeight="1">
      <c r="A1080" s="2" t="s">
        <v>1748</v>
      </c>
      <c r="B1080" s="2" t="s">
        <v>1595</v>
      </c>
      <c r="C1080" s="8" t="s">
        <v>1749</v>
      </c>
      <c r="D1080" s="2">
        <v>2</v>
      </c>
      <c r="E1080" s="8" t="s">
        <v>10165</v>
      </c>
      <c r="F1080" s="2">
        <v>1</v>
      </c>
      <c r="G1080" s="8" t="s">
        <v>10157</v>
      </c>
      <c r="H1080" s="8" t="s">
        <v>10157</v>
      </c>
      <c r="I1080" s="2">
        <v>40.86</v>
      </c>
      <c r="J1080" s="2">
        <v>39.75</v>
      </c>
      <c r="K1080" s="2">
        <v>740.99</v>
      </c>
      <c r="L1080" s="2">
        <v>90.88</v>
      </c>
      <c r="M1080" s="8"/>
      <c r="N1080" s="8" t="s">
        <v>10159</v>
      </c>
      <c r="O1080" s="8" t="s">
        <v>10609</v>
      </c>
      <c r="P1080" s="8" t="str">
        <f t="shared" si="60"/>
        <v>PDFを開く</v>
      </c>
      <c r="Q1080" s="8" t="s">
        <v>1754</v>
      </c>
    </row>
    <row r="1081" spans="1:17" ht="62.1" customHeight="1">
      <c r="A1081" s="5" t="s">
        <v>1748</v>
      </c>
      <c r="B1081" s="5" t="s">
        <v>1595</v>
      </c>
      <c r="C1081" s="9" t="s">
        <v>1749</v>
      </c>
      <c r="D1081" s="5">
        <v>2</v>
      </c>
      <c r="E1081" s="9" t="s">
        <v>10165</v>
      </c>
      <c r="F1081" s="5">
        <v>2</v>
      </c>
      <c r="G1081" s="9" t="s">
        <v>10167</v>
      </c>
      <c r="H1081" s="9" t="s">
        <v>10610</v>
      </c>
      <c r="I1081" s="5">
        <v>530.64</v>
      </c>
      <c r="J1081" s="5">
        <v>285.12</v>
      </c>
      <c r="K1081" s="5">
        <v>767.98</v>
      </c>
      <c r="L1081" s="5">
        <v>382.01</v>
      </c>
      <c r="M1081" s="9"/>
      <c r="N1081" s="9" t="s">
        <v>10159</v>
      </c>
      <c r="O1081" s="9" t="s">
        <v>10611</v>
      </c>
      <c r="P1081" s="9" t="str">
        <f t="shared" si="60"/>
        <v>PDFを開く</v>
      </c>
      <c r="Q1081" s="9" t="s">
        <v>1754</v>
      </c>
    </row>
    <row r="1082" spans="1:17" ht="62.1" customHeight="1">
      <c r="A1082" s="2" t="s">
        <v>1755</v>
      </c>
      <c r="B1082" s="2" t="s">
        <v>1595</v>
      </c>
      <c r="C1082" s="8" t="s">
        <v>1756</v>
      </c>
      <c r="D1082" s="2">
        <v>1</v>
      </c>
      <c r="E1082" s="8" t="s">
        <v>10156</v>
      </c>
      <c r="F1082" s="2">
        <v>1</v>
      </c>
      <c r="G1082" s="8" t="s">
        <v>9578</v>
      </c>
      <c r="H1082" s="8" t="s">
        <v>9578</v>
      </c>
      <c r="I1082" s="2">
        <v>9</v>
      </c>
      <c r="J1082" s="2">
        <v>97.08</v>
      </c>
      <c r="K1082" s="2">
        <v>386.28</v>
      </c>
      <c r="L1082" s="2">
        <v>535.20000000000005</v>
      </c>
      <c r="M1082" s="8"/>
      <c r="N1082" s="8" t="s">
        <v>10159</v>
      </c>
      <c r="O1082" s="8" t="s">
        <v>10612</v>
      </c>
      <c r="P1082" s="8" t="str">
        <f>HYPERLINK("https://seichotoushi-hojo.jp/assets/pdf/koufu_3_4ji/outline_18.pdf","PDFを開く")</f>
        <v>PDFを開く</v>
      </c>
      <c r="Q1082" s="8" t="s">
        <v>1760</v>
      </c>
    </row>
    <row r="1083" spans="1:17" ht="62.1" customHeight="1">
      <c r="A1083" s="5" t="s">
        <v>1755</v>
      </c>
      <c r="B1083" s="5" t="s">
        <v>1595</v>
      </c>
      <c r="C1083" s="9" t="s">
        <v>1756</v>
      </c>
      <c r="D1083" s="5">
        <v>1</v>
      </c>
      <c r="E1083" s="9" t="s">
        <v>10156</v>
      </c>
      <c r="F1083" s="5">
        <v>2</v>
      </c>
      <c r="G1083" s="9" t="s">
        <v>10162</v>
      </c>
      <c r="H1083" s="9" t="s">
        <v>10162</v>
      </c>
      <c r="I1083" s="5">
        <v>413.76</v>
      </c>
      <c r="J1083" s="5">
        <v>105.12</v>
      </c>
      <c r="K1083" s="5">
        <v>757.32</v>
      </c>
      <c r="L1083" s="5">
        <v>263.39999999999998</v>
      </c>
      <c r="M1083" s="9"/>
      <c r="N1083" s="9" t="s">
        <v>10159</v>
      </c>
      <c r="O1083" s="9" t="s">
        <v>8794</v>
      </c>
      <c r="P1083" s="9" t="str">
        <f>HYPERLINK("https://seichotoushi-hojo.jp/assets/pdf/koufu_3_4ji/outline_18.pdf","PDFを開く")</f>
        <v>PDFを開く</v>
      </c>
      <c r="Q1083" s="9" t="s">
        <v>1760</v>
      </c>
    </row>
    <row r="1084" spans="1:17" ht="62.1" customHeight="1">
      <c r="A1084" s="2" t="s">
        <v>1755</v>
      </c>
      <c r="B1084" s="2" t="s">
        <v>1595</v>
      </c>
      <c r="C1084" s="8" t="s">
        <v>1756</v>
      </c>
      <c r="D1084" s="2">
        <v>1</v>
      </c>
      <c r="E1084" s="8" t="s">
        <v>10156</v>
      </c>
      <c r="F1084" s="2">
        <v>3</v>
      </c>
      <c r="G1084" s="8" t="s">
        <v>10163</v>
      </c>
      <c r="H1084" s="8" t="s">
        <v>10163</v>
      </c>
      <c r="I1084" s="2">
        <v>413.76</v>
      </c>
      <c r="J1084" s="2">
        <v>298.8</v>
      </c>
      <c r="K1084" s="2">
        <v>757.32</v>
      </c>
      <c r="L1084" s="2">
        <v>483.84</v>
      </c>
      <c r="M1084" s="8"/>
      <c r="N1084" s="8" t="s">
        <v>10159</v>
      </c>
      <c r="O1084" s="8" t="s">
        <v>8795</v>
      </c>
      <c r="P1084" s="8" t="str">
        <f>HYPERLINK("https://seichotoushi-hojo.jp/assets/pdf/koufu_3_4ji/outline_18.pdf","PDFを開く")</f>
        <v>PDFを開く</v>
      </c>
      <c r="Q1084" s="8" t="s">
        <v>1760</v>
      </c>
    </row>
    <row r="1085" spans="1:17" ht="62.1" customHeight="1">
      <c r="A1085" s="5" t="s">
        <v>1755</v>
      </c>
      <c r="B1085" s="5" t="s">
        <v>1595</v>
      </c>
      <c r="C1085" s="9" t="s">
        <v>1756</v>
      </c>
      <c r="D1085" s="5">
        <v>1</v>
      </c>
      <c r="E1085" s="9" t="s">
        <v>10156</v>
      </c>
      <c r="F1085" s="5">
        <v>4</v>
      </c>
      <c r="G1085" s="9" t="s">
        <v>8581</v>
      </c>
      <c r="H1085" s="9" t="s">
        <v>8581</v>
      </c>
      <c r="I1085" s="5">
        <v>30.84</v>
      </c>
      <c r="J1085" s="5">
        <v>415.08</v>
      </c>
      <c r="K1085" s="5">
        <v>350.28</v>
      </c>
      <c r="L1085" s="5">
        <v>521.4</v>
      </c>
      <c r="M1085" s="9"/>
      <c r="N1085" s="9" t="s">
        <v>10159</v>
      </c>
      <c r="O1085" s="9" t="s">
        <v>8796</v>
      </c>
      <c r="P1085" s="9" t="str">
        <f>HYPERLINK("https://seichotoushi-hojo.jp/assets/pdf/koufu_3_4ji/outline_18.pdf","PDFを開く")</f>
        <v>PDFを開く</v>
      </c>
      <c r="Q1085" s="9" t="s">
        <v>1760</v>
      </c>
    </row>
    <row r="1086" spans="1:17" ht="62.1" customHeight="1">
      <c r="A1086" s="2" t="s">
        <v>1755</v>
      </c>
      <c r="B1086" s="2" t="s">
        <v>1595</v>
      </c>
      <c r="C1086" s="8" t="s">
        <v>1756</v>
      </c>
      <c r="D1086" s="2">
        <v>1</v>
      </c>
      <c r="E1086" s="8" t="s">
        <v>10156</v>
      </c>
      <c r="F1086" s="2">
        <v>5</v>
      </c>
      <c r="G1086" s="8" t="s">
        <v>9578</v>
      </c>
      <c r="H1086" s="8" t="s">
        <v>9578</v>
      </c>
      <c r="I1086" s="2">
        <v>431.66</v>
      </c>
      <c r="J1086" s="2">
        <v>445.34</v>
      </c>
      <c r="K1086" s="2">
        <v>768.3</v>
      </c>
      <c r="L1086" s="2">
        <v>525.20000000000005</v>
      </c>
      <c r="M1086" s="8"/>
      <c r="N1086" s="8" t="s">
        <v>10181</v>
      </c>
      <c r="O1086" s="8" t="s">
        <v>10613</v>
      </c>
      <c r="P1086" s="8" t="str">
        <f>HYPERLINK("https://seichotoushi-hojo.jp/assets/pdf/koufu_3_4ji/outline_18.pdf","PDFを開く")</f>
        <v>PDFを開く</v>
      </c>
      <c r="Q1086" s="8" t="s">
        <v>1760</v>
      </c>
    </row>
    <row r="1087" spans="1:17" ht="62.1" customHeight="1">
      <c r="A1087" s="5" t="s">
        <v>1761</v>
      </c>
      <c r="B1087" s="5" t="s">
        <v>1595</v>
      </c>
      <c r="C1087" s="9" t="s">
        <v>1762</v>
      </c>
      <c r="D1087" s="5">
        <v>1</v>
      </c>
      <c r="E1087" s="9" t="s">
        <v>10156</v>
      </c>
      <c r="F1087" s="5">
        <v>1</v>
      </c>
      <c r="G1087" s="9" t="s">
        <v>9578</v>
      </c>
      <c r="H1087" s="9" t="s">
        <v>9578</v>
      </c>
      <c r="I1087" s="5">
        <v>18.72</v>
      </c>
      <c r="J1087" s="5">
        <v>117.66</v>
      </c>
      <c r="K1087" s="5">
        <v>402.51</v>
      </c>
      <c r="L1087" s="5">
        <v>549.27</v>
      </c>
      <c r="M1087" s="9"/>
      <c r="N1087" s="9" t="s">
        <v>10159</v>
      </c>
      <c r="O1087" s="9" t="s">
        <v>8801</v>
      </c>
      <c r="P1087" s="9" t="str">
        <f>HYPERLINK("https://seichotoushi-hojo.jp/assets/pdf/koufu_3_4ji/outline_185.pdf","PDFを開く")</f>
        <v>PDFを開く</v>
      </c>
      <c r="Q1087" s="9" t="s">
        <v>1768</v>
      </c>
    </row>
    <row r="1088" spans="1:17" ht="62.1" customHeight="1">
      <c r="A1088" s="2" t="s">
        <v>1761</v>
      </c>
      <c r="B1088" s="2" t="s">
        <v>1595</v>
      </c>
      <c r="C1088" s="8" t="s">
        <v>1762</v>
      </c>
      <c r="D1088" s="2">
        <v>1</v>
      </c>
      <c r="E1088" s="8" t="s">
        <v>10156</v>
      </c>
      <c r="F1088" s="2">
        <v>2</v>
      </c>
      <c r="G1088" s="8" t="s">
        <v>10162</v>
      </c>
      <c r="H1088" s="8" t="s">
        <v>10162</v>
      </c>
      <c r="I1088" s="2">
        <v>420.48</v>
      </c>
      <c r="J1088" s="2">
        <v>118.14</v>
      </c>
      <c r="K1088" s="2">
        <v>798.27</v>
      </c>
      <c r="L1088" s="2">
        <v>297.95</v>
      </c>
      <c r="M1088" s="8"/>
      <c r="N1088" s="8" t="s">
        <v>10159</v>
      </c>
      <c r="O1088" s="8" t="s">
        <v>8802</v>
      </c>
      <c r="P1088" s="8" t="str">
        <f>HYPERLINK("https://seichotoushi-hojo.jp/assets/pdf/koufu_3_4ji/outline_185.pdf","PDFを開く")</f>
        <v>PDFを開く</v>
      </c>
      <c r="Q1088" s="8" t="s">
        <v>1768</v>
      </c>
    </row>
    <row r="1089" spans="1:17" ht="62.1" customHeight="1">
      <c r="A1089" s="5" t="s">
        <v>1761</v>
      </c>
      <c r="B1089" s="5" t="s">
        <v>1595</v>
      </c>
      <c r="C1089" s="9" t="s">
        <v>1762</v>
      </c>
      <c r="D1089" s="5">
        <v>1</v>
      </c>
      <c r="E1089" s="9" t="s">
        <v>10156</v>
      </c>
      <c r="F1089" s="5">
        <v>3</v>
      </c>
      <c r="G1089" s="9" t="s">
        <v>10163</v>
      </c>
      <c r="H1089" s="9" t="s">
        <v>10163</v>
      </c>
      <c r="I1089" s="5">
        <v>420.48</v>
      </c>
      <c r="J1089" s="5">
        <v>339.96</v>
      </c>
      <c r="K1089" s="5">
        <v>798.27</v>
      </c>
      <c r="L1089" s="5">
        <v>519.77</v>
      </c>
      <c r="M1089" s="9"/>
      <c r="N1089" s="9" t="s">
        <v>10159</v>
      </c>
      <c r="O1089" s="9" t="s">
        <v>8803</v>
      </c>
      <c r="P1089" s="9" t="str">
        <f>HYPERLINK("https://seichotoushi-hojo.jp/assets/pdf/koufu_3_4ji/outline_185.pdf","PDFを開く")</f>
        <v>PDFを開く</v>
      </c>
      <c r="Q1089" s="9" t="s">
        <v>1768</v>
      </c>
    </row>
    <row r="1090" spans="1:17" ht="62.1" customHeight="1">
      <c r="A1090" s="2" t="s">
        <v>1761</v>
      </c>
      <c r="B1090" s="2" t="s">
        <v>1595</v>
      </c>
      <c r="C1090" s="8" t="s">
        <v>1762</v>
      </c>
      <c r="D1090" s="2">
        <v>1</v>
      </c>
      <c r="E1090" s="8" t="s">
        <v>10156</v>
      </c>
      <c r="F1090" s="2">
        <v>4</v>
      </c>
      <c r="G1090" s="8" t="s">
        <v>8581</v>
      </c>
      <c r="H1090" s="8" t="s">
        <v>8581</v>
      </c>
      <c r="I1090" s="2">
        <v>23.7</v>
      </c>
      <c r="J1090" s="2">
        <v>471.36</v>
      </c>
      <c r="K1090" s="2">
        <v>395.46</v>
      </c>
      <c r="L1090" s="2">
        <v>543.29999999999995</v>
      </c>
      <c r="M1090" s="8"/>
      <c r="N1090" s="8" t="s">
        <v>10159</v>
      </c>
      <c r="O1090" s="8" t="s">
        <v>8804</v>
      </c>
      <c r="P1090" s="8" t="str">
        <f>HYPERLINK("https://seichotoushi-hojo.jp/assets/pdf/koufu_3_4ji/outline_185.pdf","PDFを開く")</f>
        <v>PDFを開く</v>
      </c>
      <c r="Q1090" s="8" t="s">
        <v>1768</v>
      </c>
    </row>
    <row r="1091" spans="1:17" ht="62.1" customHeight="1">
      <c r="A1091" s="5" t="s">
        <v>1769</v>
      </c>
      <c r="B1091" s="5" t="s">
        <v>1595</v>
      </c>
      <c r="C1091" s="9" t="s">
        <v>1770</v>
      </c>
      <c r="D1091" s="5">
        <v>1</v>
      </c>
      <c r="E1091" s="9" t="s">
        <v>10156</v>
      </c>
      <c r="F1091" s="5">
        <v>1</v>
      </c>
      <c r="G1091" s="9" t="s">
        <v>9578</v>
      </c>
      <c r="H1091" s="9" t="s">
        <v>9578</v>
      </c>
      <c r="I1091" s="5">
        <v>39.659999999999997</v>
      </c>
      <c r="J1091" s="5">
        <v>95.92</v>
      </c>
      <c r="K1091" s="5">
        <v>378.79</v>
      </c>
      <c r="L1091" s="5">
        <v>513.01</v>
      </c>
      <c r="M1091" s="9"/>
      <c r="N1091" s="9" t="s">
        <v>10159</v>
      </c>
      <c r="O1091" s="9" t="s">
        <v>8809</v>
      </c>
      <c r="P1091" s="9" t="str">
        <f>HYPERLINK("https://seichotoushi-hojo.jp/assets/pdf/koufu_3_4ji/outline_186.pdf","PDFを開く")</f>
        <v>PDFを開く</v>
      </c>
      <c r="Q1091" s="9" t="s">
        <v>1775</v>
      </c>
    </row>
    <row r="1092" spans="1:17" ht="62.1" customHeight="1">
      <c r="A1092" s="2" t="s">
        <v>1769</v>
      </c>
      <c r="B1092" s="2" t="s">
        <v>1595</v>
      </c>
      <c r="C1092" s="8" t="s">
        <v>1770</v>
      </c>
      <c r="D1092" s="2">
        <v>1</v>
      </c>
      <c r="E1092" s="8" t="s">
        <v>10156</v>
      </c>
      <c r="F1092" s="2">
        <v>2</v>
      </c>
      <c r="G1092" s="8" t="s">
        <v>10162</v>
      </c>
      <c r="H1092" s="8" t="s">
        <v>10162</v>
      </c>
      <c r="I1092" s="2">
        <v>396.86</v>
      </c>
      <c r="J1092" s="2">
        <v>100.92</v>
      </c>
      <c r="K1092" s="2">
        <v>740.34</v>
      </c>
      <c r="L1092" s="2">
        <v>300.49</v>
      </c>
      <c r="M1092" s="8"/>
      <c r="N1092" s="8" t="s">
        <v>10159</v>
      </c>
      <c r="O1092" s="8" t="s">
        <v>8810</v>
      </c>
      <c r="P1092" s="8" t="str">
        <f>HYPERLINK("https://seichotoushi-hojo.jp/assets/pdf/koufu_3_4ji/outline_186.pdf","PDFを開く")</f>
        <v>PDFを開く</v>
      </c>
      <c r="Q1092" s="8" t="s">
        <v>1775</v>
      </c>
    </row>
    <row r="1093" spans="1:17" ht="62.1" customHeight="1">
      <c r="A1093" s="5" t="s">
        <v>1769</v>
      </c>
      <c r="B1093" s="5" t="s">
        <v>1595</v>
      </c>
      <c r="C1093" s="9" t="s">
        <v>1770</v>
      </c>
      <c r="D1093" s="5">
        <v>1</v>
      </c>
      <c r="E1093" s="9" t="s">
        <v>10156</v>
      </c>
      <c r="F1093" s="5">
        <v>3</v>
      </c>
      <c r="G1093" s="9" t="s">
        <v>8581</v>
      </c>
      <c r="H1093" s="9" t="s">
        <v>8581</v>
      </c>
      <c r="I1093" s="5">
        <v>49.47</v>
      </c>
      <c r="J1093" s="5">
        <v>304.45999999999998</v>
      </c>
      <c r="K1093" s="5">
        <v>368.97</v>
      </c>
      <c r="L1093" s="5">
        <v>506.76</v>
      </c>
      <c r="M1093" s="9"/>
      <c r="N1093" s="9" t="s">
        <v>10159</v>
      </c>
      <c r="O1093" s="9" t="s">
        <v>8812</v>
      </c>
      <c r="P1093" s="9" t="str">
        <f>HYPERLINK("https://seichotoushi-hojo.jp/assets/pdf/koufu_3_4ji/outline_186.pdf","PDFを開く")</f>
        <v>PDFを開く</v>
      </c>
      <c r="Q1093" s="9" t="s">
        <v>1775</v>
      </c>
    </row>
    <row r="1094" spans="1:17" ht="62.1" customHeight="1">
      <c r="A1094" s="2" t="s">
        <v>1769</v>
      </c>
      <c r="B1094" s="2" t="s">
        <v>1595</v>
      </c>
      <c r="C1094" s="8" t="s">
        <v>1770</v>
      </c>
      <c r="D1094" s="2">
        <v>1</v>
      </c>
      <c r="E1094" s="8" t="s">
        <v>10156</v>
      </c>
      <c r="F1094" s="2">
        <v>4</v>
      </c>
      <c r="G1094" s="8" t="s">
        <v>10163</v>
      </c>
      <c r="H1094" s="8" t="s">
        <v>10163</v>
      </c>
      <c r="I1094" s="2">
        <v>396.86</v>
      </c>
      <c r="J1094" s="2">
        <v>307.19</v>
      </c>
      <c r="K1094" s="2">
        <v>740.34</v>
      </c>
      <c r="L1094" s="2">
        <v>506.76</v>
      </c>
      <c r="M1094" s="8"/>
      <c r="N1094" s="8" t="s">
        <v>10159</v>
      </c>
      <c r="O1094" s="8" t="s">
        <v>8811</v>
      </c>
      <c r="P1094" s="8" t="str">
        <f>HYPERLINK("https://seichotoushi-hojo.jp/assets/pdf/koufu_3_4ji/outline_186.pdf","PDFを開く")</f>
        <v>PDFを開く</v>
      </c>
      <c r="Q1094" s="8" t="s">
        <v>1775</v>
      </c>
    </row>
    <row r="1095" spans="1:17" ht="62.1" customHeight="1">
      <c r="A1095" s="5" t="s">
        <v>1776</v>
      </c>
      <c r="B1095" s="5" t="s">
        <v>1595</v>
      </c>
      <c r="C1095" s="9" t="s">
        <v>1777</v>
      </c>
      <c r="D1095" s="5">
        <v>1</v>
      </c>
      <c r="E1095" s="9" t="s">
        <v>10156</v>
      </c>
      <c r="F1095" s="5">
        <v>1</v>
      </c>
      <c r="G1095" s="9" t="s">
        <v>10162</v>
      </c>
      <c r="H1095" s="9" t="s">
        <v>10162</v>
      </c>
      <c r="I1095" s="5">
        <v>396.3</v>
      </c>
      <c r="J1095" s="5">
        <v>106.04</v>
      </c>
      <c r="K1095" s="5">
        <v>739.78</v>
      </c>
      <c r="L1095" s="5">
        <v>299.98</v>
      </c>
      <c r="M1095" s="9"/>
      <c r="N1095" s="9" t="s">
        <v>10159</v>
      </c>
      <c r="O1095" s="9" t="s">
        <v>8818</v>
      </c>
      <c r="P1095" s="9" t="str">
        <f>HYPERLINK("https://seichotoushi-hojo.jp/assets/pdf/koufu_3_4ji/outline_188.pdf","PDFを開く")</f>
        <v>PDFを開く</v>
      </c>
      <c r="Q1095" s="9" t="s">
        <v>1783</v>
      </c>
    </row>
    <row r="1096" spans="1:17" ht="62.1" customHeight="1">
      <c r="A1096" s="2" t="s">
        <v>1776</v>
      </c>
      <c r="B1096" s="2" t="s">
        <v>1595</v>
      </c>
      <c r="C1096" s="8" t="s">
        <v>1777</v>
      </c>
      <c r="D1096" s="2">
        <v>1</v>
      </c>
      <c r="E1096" s="8" t="s">
        <v>10156</v>
      </c>
      <c r="F1096" s="2">
        <v>2</v>
      </c>
      <c r="G1096" s="8" t="s">
        <v>9578</v>
      </c>
      <c r="H1096" s="8" t="s">
        <v>9578</v>
      </c>
      <c r="I1096" s="2">
        <v>39.659999999999997</v>
      </c>
      <c r="J1096" s="2">
        <v>106.05</v>
      </c>
      <c r="K1096" s="2">
        <v>378.79</v>
      </c>
      <c r="L1096" s="2">
        <v>499.73</v>
      </c>
      <c r="M1096" s="8"/>
      <c r="N1096" s="8" t="s">
        <v>10159</v>
      </c>
      <c r="O1096" s="8" t="s">
        <v>8817</v>
      </c>
      <c r="P1096" s="8" t="str">
        <f>HYPERLINK("https://seichotoushi-hojo.jp/assets/pdf/koufu_3_4ji/outline_188.pdf","PDFを開く")</f>
        <v>PDFを開く</v>
      </c>
      <c r="Q1096" s="8" t="s">
        <v>1783</v>
      </c>
    </row>
    <row r="1097" spans="1:17" ht="62.1" customHeight="1">
      <c r="A1097" s="5" t="s">
        <v>1776</v>
      </c>
      <c r="B1097" s="5" t="s">
        <v>1595</v>
      </c>
      <c r="C1097" s="9" t="s">
        <v>1777</v>
      </c>
      <c r="D1097" s="5">
        <v>1</v>
      </c>
      <c r="E1097" s="9" t="s">
        <v>10156</v>
      </c>
      <c r="F1097" s="5">
        <v>3</v>
      </c>
      <c r="G1097" s="9" t="s">
        <v>10163</v>
      </c>
      <c r="H1097" s="9" t="s">
        <v>10163</v>
      </c>
      <c r="I1097" s="5">
        <v>396.3</v>
      </c>
      <c r="J1097" s="5">
        <v>305.79000000000002</v>
      </c>
      <c r="K1097" s="5">
        <v>739.78</v>
      </c>
      <c r="L1097" s="5">
        <v>499.73</v>
      </c>
      <c r="M1097" s="9"/>
      <c r="N1097" s="9" t="s">
        <v>10159</v>
      </c>
      <c r="O1097" s="9" t="s">
        <v>8819</v>
      </c>
      <c r="P1097" s="9" t="str">
        <f>HYPERLINK("https://seichotoushi-hojo.jp/assets/pdf/koufu_3_4ji/outline_188.pdf","PDFを開く")</f>
        <v>PDFを開く</v>
      </c>
      <c r="Q1097" s="9" t="s">
        <v>1783</v>
      </c>
    </row>
    <row r="1098" spans="1:17" ht="62.1" customHeight="1">
      <c r="A1098" s="2" t="s">
        <v>1776</v>
      </c>
      <c r="B1098" s="2" t="s">
        <v>1595</v>
      </c>
      <c r="C1098" s="8" t="s">
        <v>1777</v>
      </c>
      <c r="D1098" s="2">
        <v>1</v>
      </c>
      <c r="E1098" s="8" t="s">
        <v>10156</v>
      </c>
      <c r="F1098" s="2">
        <v>4</v>
      </c>
      <c r="G1098" s="8" t="s">
        <v>8581</v>
      </c>
      <c r="H1098" s="8" t="s">
        <v>8581</v>
      </c>
      <c r="I1098" s="2">
        <v>48</v>
      </c>
      <c r="J1098" s="2">
        <v>370.98</v>
      </c>
      <c r="K1098" s="2">
        <v>367.5</v>
      </c>
      <c r="L1098" s="2">
        <v>486.75</v>
      </c>
      <c r="M1098" s="8"/>
      <c r="N1098" s="8" t="s">
        <v>10159</v>
      </c>
      <c r="O1098" s="8" t="s">
        <v>8820</v>
      </c>
      <c r="P1098" s="8" t="str">
        <f>HYPERLINK("https://seichotoushi-hojo.jp/assets/pdf/koufu_3_4ji/outline_188.pdf","PDFを開く")</f>
        <v>PDFを開く</v>
      </c>
      <c r="Q1098" s="8" t="s">
        <v>1783</v>
      </c>
    </row>
    <row r="1099" spans="1:17" ht="62.1" customHeight="1">
      <c r="A1099" s="5" t="s">
        <v>1784</v>
      </c>
      <c r="B1099" s="5" t="s">
        <v>1595</v>
      </c>
      <c r="C1099" s="9" t="s">
        <v>1785</v>
      </c>
      <c r="D1099" s="5">
        <v>1</v>
      </c>
      <c r="E1099" s="9" t="s">
        <v>10156</v>
      </c>
      <c r="F1099" s="5">
        <v>1</v>
      </c>
      <c r="G1099" s="9" t="s">
        <v>9578</v>
      </c>
      <c r="H1099" s="9" t="s">
        <v>9578</v>
      </c>
      <c r="I1099" s="5">
        <v>24.36</v>
      </c>
      <c r="J1099" s="5">
        <v>113.52</v>
      </c>
      <c r="K1099" s="5">
        <v>417.72</v>
      </c>
      <c r="L1099" s="5">
        <v>584.76</v>
      </c>
      <c r="M1099" s="9"/>
      <c r="N1099" s="9" t="s">
        <v>10159</v>
      </c>
      <c r="O1099" s="9" t="s">
        <v>8826</v>
      </c>
      <c r="P1099" s="9" t="str">
        <f>HYPERLINK("https://seichotoushi-hojo.jp/assets/pdf/koufu_3_4ji/outline_19.pdf","PDFを開く")</f>
        <v>PDFを開く</v>
      </c>
      <c r="Q1099" s="9" t="s">
        <v>1790</v>
      </c>
    </row>
    <row r="1100" spans="1:17" ht="62.1" customHeight="1">
      <c r="A1100" s="2" t="s">
        <v>1784</v>
      </c>
      <c r="B1100" s="2" t="s">
        <v>1595</v>
      </c>
      <c r="C1100" s="8" t="s">
        <v>1785</v>
      </c>
      <c r="D1100" s="2">
        <v>1</v>
      </c>
      <c r="E1100" s="8" t="s">
        <v>10156</v>
      </c>
      <c r="F1100" s="2">
        <v>2</v>
      </c>
      <c r="G1100" s="8" t="s">
        <v>10162</v>
      </c>
      <c r="H1100" s="8" t="s">
        <v>10162</v>
      </c>
      <c r="I1100" s="2">
        <v>440.88</v>
      </c>
      <c r="J1100" s="2">
        <v>121.56</v>
      </c>
      <c r="K1100" s="2">
        <v>817.56</v>
      </c>
      <c r="L1100" s="2">
        <v>342.36</v>
      </c>
      <c r="M1100" s="8"/>
      <c r="N1100" s="8" t="s">
        <v>10159</v>
      </c>
      <c r="O1100" s="8" t="s">
        <v>8827</v>
      </c>
      <c r="P1100" s="8" t="str">
        <f>HYPERLINK("https://seichotoushi-hojo.jp/assets/pdf/koufu_3_4ji/outline_19.pdf","PDFを開く")</f>
        <v>PDFを開く</v>
      </c>
      <c r="Q1100" s="8" t="s">
        <v>1790</v>
      </c>
    </row>
    <row r="1101" spans="1:17" ht="62.1" customHeight="1">
      <c r="A1101" s="5" t="s">
        <v>1784</v>
      </c>
      <c r="B1101" s="5" t="s">
        <v>1595</v>
      </c>
      <c r="C1101" s="9" t="s">
        <v>1785</v>
      </c>
      <c r="D1101" s="5">
        <v>1</v>
      </c>
      <c r="E1101" s="9" t="s">
        <v>10156</v>
      </c>
      <c r="F1101" s="5">
        <v>3</v>
      </c>
      <c r="G1101" s="9" t="s">
        <v>10163</v>
      </c>
      <c r="H1101" s="9" t="s">
        <v>10163</v>
      </c>
      <c r="I1101" s="5">
        <v>440.16</v>
      </c>
      <c r="J1101" s="5">
        <v>351.48</v>
      </c>
      <c r="K1101" s="5">
        <v>818.04</v>
      </c>
      <c r="L1101" s="5">
        <v>561.48</v>
      </c>
      <c r="M1101" s="9"/>
      <c r="N1101" s="9" t="s">
        <v>10159</v>
      </c>
      <c r="O1101" s="9" t="s">
        <v>8828</v>
      </c>
      <c r="P1101" s="9" t="str">
        <f>HYPERLINK("https://seichotoushi-hojo.jp/assets/pdf/koufu_3_4ji/outline_19.pdf","PDFを開く")</f>
        <v>PDFを開く</v>
      </c>
      <c r="Q1101" s="9" t="s">
        <v>1790</v>
      </c>
    </row>
    <row r="1102" spans="1:17" ht="62.1" customHeight="1">
      <c r="A1102" s="2" t="s">
        <v>1784</v>
      </c>
      <c r="B1102" s="2" t="s">
        <v>1595</v>
      </c>
      <c r="C1102" s="8" t="s">
        <v>1785</v>
      </c>
      <c r="D1102" s="2">
        <v>1</v>
      </c>
      <c r="E1102" s="8" t="s">
        <v>10156</v>
      </c>
      <c r="F1102" s="2">
        <v>4</v>
      </c>
      <c r="G1102" s="8" t="s">
        <v>8581</v>
      </c>
      <c r="H1102" s="8" t="s">
        <v>8581</v>
      </c>
      <c r="I1102" s="2">
        <v>32.76</v>
      </c>
      <c r="J1102" s="2">
        <v>489.84</v>
      </c>
      <c r="K1102" s="2">
        <v>410.76</v>
      </c>
      <c r="L1102" s="2">
        <v>577.91999999999996</v>
      </c>
      <c r="M1102" s="8"/>
      <c r="N1102" s="8" t="s">
        <v>10159</v>
      </c>
      <c r="O1102" s="8" t="s">
        <v>8829</v>
      </c>
      <c r="P1102" s="8" t="str">
        <f>HYPERLINK("https://seichotoushi-hojo.jp/assets/pdf/koufu_3_4ji/outline_19.pdf","PDFを開く")</f>
        <v>PDFを開く</v>
      </c>
      <c r="Q1102" s="8" t="s">
        <v>1790</v>
      </c>
    </row>
    <row r="1103" spans="1:17" ht="62.1" customHeight="1">
      <c r="A1103" s="5" t="s">
        <v>1784</v>
      </c>
      <c r="B1103" s="5" t="s">
        <v>1595</v>
      </c>
      <c r="C1103" s="9" t="s">
        <v>1785</v>
      </c>
      <c r="D1103" s="5">
        <v>2</v>
      </c>
      <c r="E1103" s="9" t="s">
        <v>10165</v>
      </c>
      <c r="F1103" s="5">
        <v>1</v>
      </c>
      <c r="G1103" s="9" t="s">
        <v>10157</v>
      </c>
      <c r="H1103" s="9" t="s">
        <v>10157</v>
      </c>
      <c r="I1103" s="5">
        <v>43.56</v>
      </c>
      <c r="J1103" s="5">
        <v>49.8</v>
      </c>
      <c r="K1103" s="5">
        <v>799.2</v>
      </c>
      <c r="L1103" s="5">
        <v>101.16</v>
      </c>
      <c r="M1103" s="9"/>
      <c r="N1103" s="9" t="s">
        <v>10159</v>
      </c>
      <c r="O1103" s="9" t="s">
        <v>8825</v>
      </c>
      <c r="P1103" s="9" t="str">
        <f>HYPERLINK("https://seichotoushi-hojo.jp/assets/pdf/koufu_3_4ji/outline_19.pdf","PDFを開く")</f>
        <v>PDFを開く</v>
      </c>
      <c r="Q1103" s="9" t="s">
        <v>1790</v>
      </c>
    </row>
    <row r="1104" spans="1:17" ht="62.1" customHeight="1">
      <c r="A1104" s="2" t="s">
        <v>1791</v>
      </c>
      <c r="B1104" s="2" t="s">
        <v>1595</v>
      </c>
      <c r="C1104" s="8" t="s">
        <v>1792</v>
      </c>
      <c r="D1104" s="2">
        <v>1</v>
      </c>
      <c r="E1104" s="8" t="s">
        <v>10156</v>
      </c>
      <c r="F1104" s="2">
        <v>1</v>
      </c>
      <c r="G1104" s="8" t="s">
        <v>9578</v>
      </c>
      <c r="H1104" s="8" t="s">
        <v>9578</v>
      </c>
      <c r="I1104" s="2">
        <v>39.659999999999997</v>
      </c>
      <c r="J1104" s="2">
        <v>125.19</v>
      </c>
      <c r="K1104" s="2">
        <v>378.79</v>
      </c>
      <c r="L1104" s="2">
        <v>492.16</v>
      </c>
      <c r="M1104" s="8"/>
      <c r="N1104" s="8" t="s">
        <v>10159</v>
      </c>
      <c r="O1104" s="8" t="s">
        <v>8834</v>
      </c>
      <c r="P1104" s="8" t="str">
        <f>HYPERLINK("https://seichotoushi-hojo.jp/assets/pdf/koufu_3_4ji/outline_190.pdf","PDFを開く")</f>
        <v>PDFを開く</v>
      </c>
      <c r="Q1104" s="8" t="s">
        <v>1797</v>
      </c>
    </row>
    <row r="1105" spans="1:17" ht="62.1" customHeight="1">
      <c r="A1105" s="5" t="s">
        <v>1791</v>
      </c>
      <c r="B1105" s="5" t="s">
        <v>1595</v>
      </c>
      <c r="C1105" s="9" t="s">
        <v>1792</v>
      </c>
      <c r="D1105" s="5">
        <v>1</v>
      </c>
      <c r="E1105" s="9" t="s">
        <v>10156</v>
      </c>
      <c r="F1105" s="5">
        <v>2</v>
      </c>
      <c r="G1105" s="9" t="s">
        <v>10162</v>
      </c>
      <c r="H1105" s="9" t="s">
        <v>10162</v>
      </c>
      <c r="I1105" s="5">
        <v>396.86</v>
      </c>
      <c r="J1105" s="5">
        <v>125.19</v>
      </c>
      <c r="K1105" s="5">
        <v>761.87</v>
      </c>
      <c r="L1105" s="5">
        <v>298.74</v>
      </c>
      <c r="M1105" s="9"/>
      <c r="N1105" s="9" t="s">
        <v>10159</v>
      </c>
      <c r="O1105" s="9" t="s">
        <v>8835</v>
      </c>
      <c r="P1105" s="9" t="str">
        <f>HYPERLINK("https://seichotoushi-hojo.jp/assets/pdf/koufu_3_4ji/outline_190.pdf","PDFを開く")</f>
        <v>PDFを開く</v>
      </c>
      <c r="Q1105" s="9" t="s">
        <v>1797</v>
      </c>
    </row>
    <row r="1106" spans="1:17" ht="62.1" customHeight="1">
      <c r="A1106" s="2" t="s">
        <v>1791</v>
      </c>
      <c r="B1106" s="2" t="s">
        <v>1595</v>
      </c>
      <c r="C1106" s="8" t="s">
        <v>1792</v>
      </c>
      <c r="D1106" s="2">
        <v>1</v>
      </c>
      <c r="E1106" s="8" t="s">
        <v>10156</v>
      </c>
      <c r="F1106" s="2">
        <v>3</v>
      </c>
      <c r="G1106" s="8" t="s">
        <v>10163</v>
      </c>
      <c r="H1106" s="8" t="s">
        <v>10163</v>
      </c>
      <c r="I1106" s="2">
        <v>396.3</v>
      </c>
      <c r="J1106" s="2">
        <v>309.88</v>
      </c>
      <c r="K1106" s="2">
        <v>761.31</v>
      </c>
      <c r="L1106" s="2">
        <v>492.16</v>
      </c>
      <c r="M1106" s="8"/>
      <c r="N1106" s="8" t="s">
        <v>10159</v>
      </c>
      <c r="O1106" s="8" t="s">
        <v>8836</v>
      </c>
      <c r="P1106" s="8" t="str">
        <f>HYPERLINK("https://seichotoushi-hojo.jp/assets/pdf/koufu_3_4ji/outline_190.pdf","PDFを開く")</f>
        <v>PDFを開く</v>
      </c>
      <c r="Q1106" s="8" t="s">
        <v>1797</v>
      </c>
    </row>
    <row r="1107" spans="1:17" ht="62.1" customHeight="1">
      <c r="A1107" s="5" t="s">
        <v>1791</v>
      </c>
      <c r="B1107" s="5" t="s">
        <v>1595</v>
      </c>
      <c r="C1107" s="9" t="s">
        <v>1792</v>
      </c>
      <c r="D1107" s="5">
        <v>1</v>
      </c>
      <c r="E1107" s="9" t="s">
        <v>10156</v>
      </c>
      <c r="F1107" s="5">
        <v>4</v>
      </c>
      <c r="G1107" s="9" t="s">
        <v>8581</v>
      </c>
      <c r="H1107" s="9" t="s">
        <v>8581</v>
      </c>
      <c r="I1107" s="5">
        <v>51.09</v>
      </c>
      <c r="J1107" s="5">
        <v>366.02</v>
      </c>
      <c r="K1107" s="5">
        <v>370.59</v>
      </c>
      <c r="L1107" s="5">
        <v>466.25</v>
      </c>
      <c r="M1107" s="9"/>
      <c r="N1107" s="9" t="s">
        <v>10159</v>
      </c>
      <c r="O1107" s="9" t="s">
        <v>8837</v>
      </c>
      <c r="P1107" s="9" t="str">
        <f>HYPERLINK("https://seichotoushi-hojo.jp/assets/pdf/koufu_3_4ji/outline_190.pdf","PDFを開く")</f>
        <v>PDFを開く</v>
      </c>
      <c r="Q1107" s="9" t="s">
        <v>1797</v>
      </c>
    </row>
    <row r="1108" spans="1:17" ht="62.1" customHeight="1">
      <c r="A1108" s="2" t="s">
        <v>1798</v>
      </c>
      <c r="B1108" s="2" t="s">
        <v>1595</v>
      </c>
      <c r="C1108" s="8" t="s">
        <v>1799</v>
      </c>
      <c r="D1108" s="2">
        <v>1</v>
      </c>
      <c r="E1108" s="8" t="s">
        <v>10156</v>
      </c>
      <c r="F1108" s="2">
        <v>1</v>
      </c>
      <c r="G1108" s="8" t="s">
        <v>9578</v>
      </c>
      <c r="H1108" s="8" t="s">
        <v>9578</v>
      </c>
      <c r="I1108" s="2">
        <v>0</v>
      </c>
      <c r="J1108" s="2">
        <v>81.430000000000007</v>
      </c>
      <c r="K1108" s="2">
        <v>433.57</v>
      </c>
      <c r="L1108" s="2">
        <v>123.71</v>
      </c>
      <c r="M1108" s="8"/>
      <c r="N1108" s="8" t="s">
        <v>10181</v>
      </c>
      <c r="O1108" s="8" t="s">
        <v>10614</v>
      </c>
      <c r="P1108" s="8" t="str">
        <f>HYPERLINK("https://seichotoushi-hojo.jp/assets/pdf/koufu_3_4ji/outline_197.pdf","PDFを開く")</f>
        <v>PDFを開く</v>
      </c>
      <c r="Q1108" s="8" t="s">
        <v>1805</v>
      </c>
    </row>
    <row r="1109" spans="1:17" ht="62.1" customHeight="1">
      <c r="A1109" s="5" t="s">
        <v>1798</v>
      </c>
      <c r="B1109" s="5" t="s">
        <v>1595</v>
      </c>
      <c r="C1109" s="9" t="s">
        <v>1799</v>
      </c>
      <c r="D1109" s="5">
        <v>1</v>
      </c>
      <c r="E1109" s="9" t="s">
        <v>10156</v>
      </c>
      <c r="F1109" s="5">
        <v>2</v>
      </c>
      <c r="G1109" s="9" t="s">
        <v>9578</v>
      </c>
      <c r="H1109" s="9" t="s">
        <v>9578</v>
      </c>
      <c r="I1109" s="5">
        <v>4.92</v>
      </c>
      <c r="J1109" s="5">
        <v>109.8</v>
      </c>
      <c r="K1109" s="5">
        <v>449.4</v>
      </c>
      <c r="L1109" s="5">
        <v>582.72</v>
      </c>
      <c r="M1109" s="9"/>
      <c r="N1109" s="9" t="s">
        <v>10159</v>
      </c>
      <c r="O1109" s="9" t="s">
        <v>10615</v>
      </c>
      <c r="P1109" s="9" t="str">
        <f>HYPERLINK("https://seichotoushi-hojo.jp/assets/pdf/koufu_3_4ji/outline_197.pdf","PDFを開く")</f>
        <v>PDFを開く</v>
      </c>
      <c r="Q1109" s="9" t="s">
        <v>1805</v>
      </c>
    </row>
    <row r="1110" spans="1:17" ht="62.1" customHeight="1">
      <c r="A1110" s="2" t="s">
        <v>1798</v>
      </c>
      <c r="B1110" s="2" t="s">
        <v>1595</v>
      </c>
      <c r="C1110" s="8" t="s">
        <v>1799</v>
      </c>
      <c r="D1110" s="2">
        <v>1</v>
      </c>
      <c r="E1110" s="8" t="s">
        <v>10156</v>
      </c>
      <c r="F1110" s="2">
        <v>3</v>
      </c>
      <c r="G1110" s="8" t="s">
        <v>10162</v>
      </c>
      <c r="H1110" s="8" t="s">
        <v>10162</v>
      </c>
      <c r="I1110" s="2">
        <v>468</v>
      </c>
      <c r="J1110" s="2">
        <v>110.52</v>
      </c>
      <c r="K1110" s="2">
        <v>836.88</v>
      </c>
      <c r="L1110" s="2">
        <v>381.72</v>
      </c>
      <c r="M1110" s="8"/>
      <c r="N1110" s="8" t="s">
        <v>10159</v>
      </c>
      <c r="O1110" s="8" t="s">
        <v>8843</v>
      </c>
      <c r="P1110" s="8" t="str">
        <f>HYPERLINK("https://seichotoushi-hojo.jp/assets/pdf/koufu_3_4ji/outline_197.pdf","PDFを開く")</f>
        <v>PDFを開く</v>
      </c>
      <c r="Q1110" s="8" t="s">
        <v>1805</v>
      </c>
    </row>
    <row r="1111" spans="1:17" ht="62.1" customHeight="1">
      <c r="A1111" s="5" t="s">
        <v>1798</v>
      </c>
      <c r="B1111" s="5" t="s">
        <v>1595</v>
      </c>
      <c r="C1111" s="9" t="s">
        <v>1799</v>
      </c>
      <c r="D1111" s="5">
        <v>1</v>
      </c>
      <c r="E1111" s="9" t="s">
        <v>10156</v>
      </c>
      <c r="F1111" s="5">
        <v>4</v>
      </c>
      <c r="G1111" s="9" t="s">
        <v>10163</v>
      </c>
      <c r="H1111" s="9" t="s">
        <v>10163</v>
      </c>
      <c r="I1111" s="5">
        <v>468</v>
      </c>
      <c r="J1111" s="5">
        <v>385.8</v>
      </c>
      <c r="K1111" s="5">
        <v>836.88</v>
      </c>
      <c r="L1111" s="5">
        <v>582.72</v>
      </c>
      <c r="M1111" s="9"/>
      <c r="N1111" s="9" t="s">
        <v>10159</v>
      </c>
      <c r="O1111" s="9" t="s">
        <v>8844</v>
      </c>
      <c r="P1111" s="9" t="str">
        <f>HYPERLINK("https://seichotoushi-hojo.jp/assets/pdf/koufu_3_4ji/outline_197.pdf","PDFを開く")</f>
        <v>PDFを開く</v>
      </c>
      <c r="Q1111" s="9" t="s">
        <v>1805</v>
      </c>
    </row>
    <row r="1112" spans="1:17" ht="62.1" customHeight="1">
      <c r="A1112" s="2" t="s">
        <v>1806</v>
      </c>
      <c r="B1112" s="2" t="s">
        <v>1595</v>
      </c>
      <c r="C1112" s="8" t="s">
        <v>1807</v>
      </c>
      <c r="D1112" s="2">
        <v>1</v>
      </c>
      <c r="E1112" s="8" t="s">
        <v>10156</v>
      </c>
      <c r="F1112" s="2">
        <v>1</v>
      </c>
      <c r="G1112" s="8" t="s">
        <v>9578</v>
      </c>
      <c r="H1112" s="8" t="s">
        <v>9578</v>
      </c>
      <c r="I1112" s="2">
        <v>6</v>
      </c>
      <c r="J1112" s="2">
        <v>94.15</v>
      </c>
      <c r="K1112" s="2">
        <v>377.11</v>
      </c>
      <c r="L1112" s="2">
        <v>538.15</v>
      </c>
      <c r="M1112" s="8"/>
      <c r="N1112" s="8" t="s">
        <v>10159</v>
      </c>
      <c r="O1112" s="8" t="s">
        <v>8848</v>
      </c>
      <c r="P1112" s="8" t="str">
        <f>HYPERLINK("https://seichotoushi-hojo.jp/assets/pdf/koufu_3_4ji/outline_2.pdf","PDFを開く")</f>
        <v>PDFを開く</v>
      </c>
      <c r="Q1112" s="8" t="s">
        <v>1812</v>
      </c>
    </row>
    <row r="1113" spans="1:17" ht="62.1" customHeight="1">
      <c r="A1113" s="5" t="s">
        <v>1806</v>
      </c>
      <c r="B1113" s="5" t="s">
        <v>1595</v>
      </c>
      <c r="C1113" s="9" t="s">
        <v>1807</v>
      </c>
      <c r="D1113" s="5">
        <v>1</v>
      </c>
      <c r="E1113" s="9" t="s">
        <v>10156</v>
      </c>
      <c r="F1113" s="5">
        <v>2</v>
      </c>
      <c r="G1113" s="9" t="s">
        <v>10162</v>
      </c>
      <c r="H1113" s="9" t="s">
        <v>10162</v>
      </c>
      <c r="I1113" s="5">
        <v>401.22</v>
      </c>
      <c r="J1113" s="5">
        <v>101.81</v>
      </c>
      <c r="K1113" s="5">
        <v>744.7</v>
      </c>
      <c r="L1113" s="5">
        <v>285.77</v>
      </c>
      <c r="M1113" s="9"/>
      <c r="N1113" s="9" t="s">
        <v>10159</v>
      </c>
      <c r="O1113" s="9" t="s">
        <v>8849</v>
      </c>
      <c r="P1113" s="9" t="str">
        <f>HYPERLINK("https://seichotoushi-hojo.jp/assets/pdf/koufu_3_4ji/outline_2.pdf","PDFを開く")</f>
        <v>PDFを開く</v>
      </c>
      <c r="Q1113" s="9" t="s">
        <v>1812</v>
      </c>
    </row>
    <row r="1114" spans="1:17" ht="62.1" customHeight="1">
      <c r="A1114" s="2" t="s">
        <v>1806</v>
      </c>
      <c r="B1114" s="2" t="s">
        <v>1595</v>
      </c>
      <c r="C1114" s="8" t="s">
        <v>1807</v>
      </c>
      <c r="D1114" s="2">
        <v>1</v>
      </c>
      <c r="E1114" s="8" t="s">
        <v>10156</v>
      </c>
      <c r="F1114" s="2">
        <v>3</v>
      </c>
      <c r="G1114" s="8" t="s">
        <v>10163</v>
      </c>
      <c r="H1114" s="8" t="s">
        <v>10163</v>
      </c>
      <c r="I1114" s="2">
        <v>401.22</v>
      </c>
      <c r="J1114" s="2">
        <v>291.37</v>
      </c>
      <c r="K1114" s="2">
        <v>744.7</v>
      </c>
      <c r="L1114" s="2">
        <v>529.64</v>
      </c>
      <c r="M1114" s="8"/>
      <c r="N1114" s="8" t="s">
        <v>10159</v>
      </c>
      <c r="O1114" s="8" t="s">
        <v>8850</v>
      </c>
      <c r="P1114" s="8" t="str">
        <f>HYPERLINK("https://seichotoushi-hojo.jp/assets/pdf/koufu_3_4ji/outline_2.pdf","PDFを開く")</f>
        <v>PDFを開く</v>
      </c>
      <c r="Q1114" s="8" t="s">
        <v>1812</v>
      </c>
    </row>
    <row r="1115" spans="1:17" ht="62.1" customHeight="1">
      <c r="A1115" s="5" t="s">
        <v>1806</v>
      </c>
      <c r="B1115" s="5" t="s">
        <v>1595</v>
      </c>
      <c r="C1115" s="9" t="s">
        <v>1807</v>
      </c>
      <c r="D1115" s="5">
        <v>1</v>
      </c>
      <c r="E1115" s="9" t="s">
        <v>10156</v>
      </c>
      <c r="F1115" s="5">
        <v>4</v>
      </c>
      <c r="G1115" s="9" t="s">
        <v>8581</v>
      </c>
      <c r="H1115" s="9" t="s">
        <v>8581</v>
      </c>
      <c r="I1115" s="5">
        <v>11.12</v>
      </c>
      <c r="J1115" s="5">
        <v>437.91</v>
      </c>
      <c r="K1115" s="5">
        <v>373.62</v>
      </c>
      <c r="L1115" s="5">
        <v>533.69000000000005</v>
      </c>
      <c r="M1115" s="9"/>
      <c r="N1115" s="9" t="s">
        <v>10159</v>
      </c>
      <c r="O1115" s="9" t="s">
        <v>8851</v>
      </c>
      <c r="P1115" s="9" t="str">
        <f>HYPERLINK("https://seichotoushi-hojo.jp/assets/pdf/koufu_3_4ji/outline_2.pdf","PDFを開く")</f>
        <v>PDFを開く</v>
      </c>
      <c r="Q1115" s="9" t="s">
        <v>1812</v>
      </c>
    </row>
    <row r="1116" spans="1:17" ht="62.1" customHeight="1">
      <c r="A1116" s="2" t="s">
        <v>1806</v>
      </c>
      <c r="B1116" s="2" t="s">
        <v>1595</v>
      </c>
      <c r="C1116" s="8" t="s">
        <v>1807</v>
      </c>
      <c r="D1116" s="2">
        <v>2</v>
      </c>
      <c r="E1116" s="8" t="s">
        <v>10165</v>
      </c>
      <c r="F1116" s="2">
        <v>1</v>
      </c>
      <c r="G1116" s="8" t="s">
        <v>10184</v>
      </c>
      <c r="H1116" s="8" t="s">
        <v>10184</v>
      </c>
      <c r="I1116" s="2">
        <v>93.06</v>
      </c>
      <c r="J1116" s="2">
        <v>147.72999999999999</v>
      </c>
      <c r="K1116" s="2">
        <v>401.7</v>
      </c>
      <c r="L1116" s="2">
        <v>343.13</v>
      </c>
      <c r="M1116" s="8"/>
      <c r="N1116" s="8" t="s">
        <v>10181</v>
      </c>
      <c r="O1116" s="8" t="s">
        <v>10616</v>
      </c>
      <c r="P1116" s="8" t="str">
        <f>HYPERLINK("https://seichotoushi-hojo.jp/assets/pdf/koufu_3_4ji/outline_2.pdf","PDFを開く")</f>
        <v>PDFを開く</v>
      </c>
      <c r="Q1116" s="8" t="s">
        <v>1812</v>
      </c>
    </row>
    <row r="1117" spans="1:17" ht="62.1" customHeight="1">
      <c r="A1117" s="5" t="s">
        <v>1813</v>
      </c>
      <c r="B1117" s="5" t="s">
        <v>1595</v>
      </c>
      <c r="C1117" s="9" t="s">
        <v>1814</v>
      </c>
      <c r="D1117" s="5">
        <v>1</v>
      </c>
      <c r="E1117" s="9" t="s">
        <v>10156</v>
      </c>
      <c r="F1117" s="5">
        <v>1</v>
      </c>
      <c r="G1117" s="9" t="s">
        <v>9578</v>
      </c>
      <c r="H1117" s="9" t="s">
        <v>9578</v>
      </c>
      <c r="I1117" s="5">
        <v>18.510000000000002</v>
      </c>
      <c r="J1117" s="5">
        <v>101.81</v>
      </c>
      <c r="K1117" s="5">
        <v>378.78</v>
      </c>
      <c r="L1117" s="5">
        <v>466.79</v>
      </c>
      <c r="M1117" s="9"/>
      <c r="N1117" s="9" t="s">
        <v>10159</v>
      </c>
      <c r="O1117" s="9" t="s">
        <v>8856</v>
      </c>
      <c r="P1117" s="9" t="str">
        <f>HYPERLINK("https://seichotoushi-hojo.jp/assets/pdf/koufu_3_4ji/outline_205.pdf","PDFを開く")</f>
        <v>PDFを開く</v>
      </c>
      <c r="Q1117" s="9" t="s">
        <v>1820</v>
      </c>
    </row>
    <row r="1118" spans="1:17" ht="62.1" customHeight="1">
      <c r="A1118" s="2" t="s">
        <v>1813</v>
      </c>
      <c r="B1118" s="2" t="s">
        <v>1595</v>
      </c>
      <c r="C1118" s="8" t="s">
        <v>1814</v>
      </c>
      <c r="D1118" s="2">
        <v>1</v>
      </c>
      <c r="E1118" s="8" t="s">
        <v>10156</v>
      </c>
      <c r="F1118" s="2">
        <v>2</v>
      </c>
      <c r="G1118" s="8" t="s">
        <v>10162</v>
      </c>
      <c r="H1118" s="8" t="s">
        <v>10162</v>
      </c>
      <c r="I1118" s="2">
        <v>396.3</v>
      </c>
      <c r="J1118" s="2">
        <v>101.81</v>
      </c>
      <c r="K1118" s="2">
        <v>769.35</v>
      </c>
      <c r="L1118" s="2">
        <v>253.95</v>
      </c>
      <c r="M1118" s="8"/>
      <c r="N1118" s="8" t="s">
        <v>10159</v>
      </c>
      <c r="O1118" s="8" t="s">
        <v>8857</v>
      </c>
      <c r="P1118" s="8" t="str">
        <f>HYPERLINK("https://seichotoushi-hojo.jp/assets/pdf/koufu_3_4ji/outline_205.pdf","PDFを開く")</f>
        <v>PDFを開く</v>
      </c>
      <c r="Q1118" s="8" t="s">
        <v>1820</v>
      </c>
    </row>
    <row r="1119" spans="1:17" ht="62.1" customHeight="1">
      <c r="A1119" s="5" t="s">
        <v>1813</v>
      </c>
      <c r="B1119" s="5" t="s">
        <v>1595</v>
      </c>
      <c r="C1119" s="9" t="s">
        <v>1814</v>
      </c>
      <c r="D1119" s="5">
        <v>1</v>
      </c>
      <c r="E1119" s="9" t="s">
        <v>10156</v>
      </c>
      <c r="F1119" s="5">
        <v>3</v>
      </c>
      <c r="G1119" s="9" t="s">
        <v>10163</v>
      </c>
      <c r="H1119" s="9" t="s">
        <v>10163</v>
      </c>
      <c r="I1119" s="5">
        <v>395.73</v>
      </c>
      <c r="J1119" s="5">
        <v>258.66000000000003</v>
      </c>
      <c r="K1119" s="5">
        <v>769.35</v>
      </c>
      <c r="L1119" s="5">
        <v>466.79</v>
      </c>
      <c r="M1119" s="9"/>
      <c r="N1119" s="9" t="s">
        <v>10159</v>
      </c>
      <c r="O1119" s="9" t="s">
        <v>8858</v>
      </c>
      <c r="P1119" s="9" t="str">
        <f>HYPERLINK("https://seichotoushi-hojo.jp/assets/pdf/koufu_3_4ji/outline_205.pdf","PDFを開く")</f>
        <v>PDFを開く</v>
      </c>
      <c r="Q1119" s="9" t="s">
        <v>1820</v>
      </c>
    </row>
    <row r="1120" spans="1:17" ht="62.1" customHeight="1">
      <c r="A1120" s="2" t="s">
        <v>1813</v>
      </c>
      <c r="B1120" s="2" t="s">
        <v>1595</v>
      </c>
      <c r="C1120" s="8" t="s">
        <v>1814</v>
      </c>
      <c r="D1120" s="2">
        <v>1</v>
      </c>
      <c r="E1120" s="8" t="s">
        <v>10156</v>
      </c>
      <c r="F1120" s="2">
        <v>4</v>
      </c>
      <c r="G1120" s="8" t="s">
        <v>8581</v>
      </c>
      <c r="H1120" s="8" t="s">
        <v>8581</v>
      </c>
      <c r="I1120" s="2">
        <v>36.18</v>
      </c>
      <c r="J1120" s="2">
        <v>357.74</v>
      </c>
      <c r="K1120" s="2">
        <v>355.68</v>
      </c>
      <c r="L1120" s="2">
        <v>459.21</v>
      </c>
      <c r="M1120" s="8"/>
      <c r="N1120" s="8" t="s">
        <v>10159</v>
      </c>
      <c r="O1120" s="8" t="s">
        <v>8860</v>
      </c>
      <c r="P1120" s="8" t="str">
        <f>HYPERLINK("https://seichotoushi-hojo.jp/assets/pdf/koufu_3_4ji/outline_205.pdf","PDFを開く")</f>
        <v>PDFを開く</v>
      </c>
      <c r="Q1120" s="8" t="s">
        <v>1820</v>
      </c>
    </row>
    <row r="1121" spans="1:17" ht="62.1" customHeight="1">
      <c r="A1121" s="5" t="s">
        <v>1813</v>
      </c>
      <c r="B1121" s="5" t="s">
        <v>1595</v>
      </c>
      <c r="C1121" s="9" t="s">
        <v>1814</v>
      </c>
      <c r="D1121" s="5">
        <v>1</v>
      </c>
      <c r="E1121" s="9" t="s">
        <v>10156</v>
      </c>
      <c r="F1121" s="5">
        <v>5</v>
      </c>
      <c r="G1121" s="9" t="s">
        <v>10171</v>
      </c>
      <c r="H1121" s="9" t="s">
        <v>10171</v>
      </c>
      <c r="I1121" s="5">
        <v>13.08</v>
      </c>
      <c r="J1121" s="5">
        <v>471.5</v>
      </c>
      <c r="K1121" s="5">
        <v>769.35</v>
      </c>
      <c r="L1121" s="5">
        <v>528.27</v>
      </c>
      <c r="M1121" s="9"/>
      <c r="N1121" s="9" t="s">
        <v>10159</v>
      </c>
      <c r="O1121" s="9" t="s">
        <v>8859</v>
      </c>
      <c r="P1121" s="9" t="str">
        <f>HYPERLINK("https://seichotoushi-hojo.jp/assets/pdf/koufu_3_4ji/outline_205.pdf","PDFを開く")</f>
        <v>PDFを開く</v>
      </c>
      <c r="Q1121" s="9" t="s">
        <v>1820</v>
      </c>
    </row>
    <row r="1122" spans="1:17" ht="62.1" customHeight="1">
      <c r="A1122" s="2" t="s">
        <v>1821</v>
      </c>
      <c r="B1122" s="2" t="s">
        <v>1595</v>
      </c>
      <c r="C1122" s="8" t="s">
        <v>1822</v>
      </c>
      <c r="D1122" s="2">
        <v>1</v>
      </c>
      <c r="E1122" s="8" t="s">
        <v>10156</v>
      </c>
      <c r="F1122" s="2">
        <v>1</v>
      </c>
      <c r="G1122" s="8" t="s">
        <v>9578</v>
      </c>
      <c r="H1122" s="8" t="s">
        <v>9578</v>
      </c>
      <c r="I1122" s="2">
        <v>39.659999999999997</v>
      </c>
      <c r="J1122" s="2">
        <v>108.14</v>
      </c>
      <c r="K1122" s="2">
        <v>378.79</v>
      </c>
      <c r="L1122" s="2">
        <v>513.17999999999995</v>
      </c>
      <c r="M1122" s="8"/>
      <c r="N1122" s="8" t="s">
        <v>10159</v>
      </c>
      <c r="O1122" s="8" t="s">
        <v>8865</v>
      </c>
      <c r="P1122" s="8" t="str">
        <f t="shared" ref="P1122:P1127" si="61">HYPERLINK("https://seichotoushi-hojo.jp/assets/pdf/koufu_3_4ji/outline_209.pdf","PDFを開く")</f>
        <v>PDFを開く</v>
      </c>
      <c r="Q1122" s="8" t="s">
        <v>1829</v>
      </c>
    </row>
    <row r="1123" spans="1:17" ht="62.1" customHeight="1">
      <c r="A1123" s="5" t="s">
        <v>1821</v>
      </c>
      <c r="B1123" s="5" t="s">
        <v>1595</v>
      </c>
      <c r="C1123" s="9" t="s">
        <v>1822</v>
      </c>
      <c r="D1123" s="5">
        <v>1</v>
      </c>
      <c r="E1123" s="9" t="s">
        <v>10156</v>
      </c>
      <c r="F1123" s="5">
        <v>2</v>
      </c>
      <c r="G1123" s="9" t="s">
        <v>10162</v>
      </c>
      <c r="H1123" s="9" t="s">
        <v>10162</v>
      </c>
      <c r="I1123" s="5">
        <v>396.3</v>
      </c>
      <c r="J1123" s="5">
        <v>125.33</v>
      </c>
      <c r="K1123" s="5">
        <v>739.78</v>
      </c>
      <c r="L1123" s="5">
        <v>302.12</v>
      </c>
      <c r="M1123" s="9"/>
      <c r="N1123" s="9" t="s">
        <v>10159</v>
      </c>
      <c r="O1123" s="9" t="s">
        <v>8866</v>
      </c>
      <c r="P1123" s="9" t="str">
        <f t="shared" si="61"/>
        <v>PDFを開く</v>
      </c>
      <c r="Q1123" s="9" t="s">
        <v>1829</v>
      </c>
    </row>
    <row r="1124" spans="1:17" ht="62.1" customHeight="1">
      <c r="A1124" s="2" t="s">
        <v>1821</v>
      </c>
      <c r="B1124" s="2" t="s">
        <v>1595</v>
      </c>
      <c r="C1124" s="8" t="s">
        <v>1822</v>
      </c>
      <c r="D1124" s="2">
        <v>1</v>
      </c>
      <c r="E1124" s="8" t="s">
        <v>10156</v>
      </c>
      <c r="F1124" s="2">
        <v>3</v>
      </c>
      <c r="G1124" s="8" t="s">
        <v>10163</v>
      </c>
      <c r="H1124" s="8" t="s">
        <v>10163</v>
      </c>
      <c r="I1124" s="2">
        <v>396.3</v>
      </c>
      <c r="J1124" s="2">
        <v>316.11</v>
      </c>
      <c r="K1124" s="2">
        <v>739.78</v>
      </c>
      <c r="L1124" s="2">
        <v>474.41</v>
      </c>
      <c r="M1124" s="8"/>
      <c r="N1124" s="8" t="s">
        <v>10159</v>
      </c>
      <c r="O1124" s="8" t="s">
        <v>8867</v>
      </c>
      <c r="P1124" s="8" t="str">
        <f t="shared" si="61"/>
        <v>PDFを開く</v>
      </c>
      <c r="Q1124" s="8" t="s">
        <v>1829</v>
      </c>
    </row>
    <row r="1125" spans="1:17" ht="62.1" customHeight="1">
      <c r="A1125" s="5" t="s">
        <v>1821</v>
      </c>
      <c r="B1125" s="5" t="s">
        <v>1595</v>
      </c>
      <c r="C1125" s="9" t="s">
        <v>1822</v>
      </c>
      <c r="D1125" s="5">
        <v>1</v>
      </c>
      <c r="E1125" s="9" t="s">
        <v>10156</v>
      </c>
      <c r="F1125" s="5">
        <v>4</v>
      </c>
      <c r="G1125" s="9" t="s">
        <v>8581</v>
      </c>
      <c r="H1125" s="9" t="s">
        <v>8581</v>
      </c>
      <c r="I1125" s="5">
        <v>46.87</v>
      </c>
      <c r="J1125" s="5">
        <v>389.13</v>
      </c>
      <c r="K1125" s="5">
        <v>371.58</v>
      </c>
      <c r="L1125" s="5">
        <v>506.82</v>
      </c>
      <c r="M1125" s="9"/>
      <c r="N1125" s="9" t="s">
        <v>10159</v>
      </c>
      <c r="O1125" s="9" t="s">
        <v>8868</v>
      </c>
      <c r="P1125" s="9" t="str">
        <f t="shared" si="61"/>
        <v>PDFを開く</v>
      </c>
      <c r="Q1125" s="9" t="s">
        <v>1829</v>
      </c>
    </row>
    <row r="1126" spans="1:17" ht="62.1" customHeight="1">
      <c r="A1126" s="2" t="s">
        <v>1821</v>
      </c>
      <c r="B1126" s="2" t="s">
        <v>1595</v>
      </c>
      <c r="C1126" s="8" t="s">
        <v>1822</v>
      </c>
      <c r="D1126" s="2">
        <v>3</v>
      </c>
      <c r="E1126" s="8" t="s">
        <v>10165</v>
      </c>
      <c r="F1126" s="2">
        <v>1</v>
      </c>
      <c r="G1126" s="8" t="s">
        <v>10167</v>
      </c>
      <c r="H1126" s="8" t="s">
        <v>10617</v>
      </c>
      <c r="I1126" s="2">
        <v>26.83</v>
      </c>
      <c r="J1126" s="2">
        <v>120.2</v>
      </c>
      <c r="K1126" s="2">
        <v>751.65</v>
      </c>
      <c r="L1126" s="2">
        <v>519.92999999999995</v>
      </c>
      <c r="M1126" s="8"/>
      <c r="N1126" s="8" t="s">
        <v>10159</v>
      </c>
      <c r="O1126" s="8" t="s">
        <v>10618</v>
      </c>
      <c r="P1126" s="8" t="str">
        <f t="shared" si="61"/>
        <v>PDFを開く</v>
      </c>
      <c r="Q1126" s="8" t="s">
        <v>1829</v>
      </c>
    </row>
    <row r="1127" spans="1:17" ht="62.1" customHeight="1">
      <c r="A1127" s="5" t="s">
        <v>1821</v>
      </c>
      <c r="B1127" s="5" t="s">
        <v>1595</v>
      </c>
      <c r="C1127" s="9" t="s">
        <v>1822</v>
      </c>
      <c r="D1127" s="5">
        <v>4</v>
      </c>
      <c r="E1127" s="9" t="s">
        <v>10165</v>
      </c>
      <c r="F1127" s="5">
        <v>1</v>
      </c>
      <c r="G1127" s="9" t="s">
        <v>10167</v>
      </c>
      <c r="H1127" s="9" t="s">
        <v>10619</v>
      </c>
      <c r="I1127" s="5">
        <v>26.83</v>
      </c>
      <c r="J1127" s="5">
        <v>122.45</v>
      </c>
      <c r="K1127" s="5">
        <v>751.65</v>
      </c>
      <c r="L1127" s="5">
        <v>522.17999999999995</v>
      </c>
      <c r="M1127" s="9"/>
      <c r="N1127" s="9" t="s">
        <v>10159</v>
      </c>
      <c r="O1127" s="9" t="s">
        <v>10620</v>
      </c>
      <c r="P1127" s="9" t="str">
        <f t="shared" si="61"/>
        <v>PDFを開く</v>
      </c>
      <c r="Q1127" s="9" t="s">
        <v>1829</v>
      </c>
    </row>
    <row r="1128" spans="1:17" ht="62.1" customHeight="1">
      <c r="A1128" s="2" t="s">
        <v>1830</v>
      </c>
      <c r="B1128" s="2" t="s">
        <v>1595</v>
      </c>
      <c r="C1128" s="8" t="s">
        <v>1831</v>
      </c>
      <c r="D1128" s="2">
        <v>1</v>
      </c>
      <c r="E1128" s="8" t="s">
        <v>10156</v>
      </c>
      <c r="F1128" s="2">
        <v>1</v>
      </c>
      <c r="G1128" s="8" t="s">
        <v>9578</v>
      </c>
      <c r="H1128" s="8" t="s">
        <v>9578</v>
      </c>
      <c r="I1128" s="2">
        <v>5.48</v>
      </c>
      <c r="J1128" s="2">
        <v>101.81</v>
      </c>
      <c r="K1128" s="2">
        <v>378.78</v>
      </c>
      <c r="L1128" s="2">
        <v>528</v>
      </c>
      <c r="M1128" s="8"/>
      <c r="N1128" s="8" t="s">
        <v>10159</v>
      </c>
      <c r="O1128" s="8" t="s">
        <v>8873</v>
      </c>
      <c r="P1128" s="8" t="str">
        <f>HYPERLINK("https://seichotoushi-hojo.jp/assets/pdf/koufu_3_4ji/outline_21.pdf","PDFを開く")</f>
        <v>PDFを開く</v>
      </c>
      <c r="Q1128" s="8" t="s">
        <v>1836</v>
      </c>
    </row>
    <row r="1129" spans="1:17" ht="62.1" customHeight="1">
      <c r="A1129" s="5" t="s">
        <v>1830</v>
      </c>
      <c r="B1129" s="5" t="s">
        <v>1595</v>
      </c>
      <c r="C1129" s="9" t="s">
        <v>1831</v>
      </c>
      <c r="D1129" s="5">
        <v>1</v>
      </c>
      <c r="E1129" s="9" t="s">
        <v>10156</v>
      </c>
      <c r="F1129" s="5">
        <v>2</v>
      </c>
      <c r="G1129" s="9" t="s">
        <v>10162</v>
      </c>
      <c r="H1129" s="9" t="s">
        <v>10162</v>
      </c>
      <c r="I1129" s="5">
        <v>398.47</v>
      </c>
      <c r="J1129" s="5">
        <v>101.81</v>
      </c>
      <c r="K1129" s="5">
        <v>771.77</v>
      </c>
      <c r="L1129" s="5">
        <v>317.05</v>
      </c>
      <c r="M1129" s="9"/>
      <c r="N1129" s="9" t="s">
        <v>10159</v>
      </c>
      <c r="O1129" s="9" t="s">
        <v>8874</v>
      </c>
      <c r="P1129" s="9" t="str">
        <f>HYPERLINK("https://seichotoushi-hojo.jp/assets/pdf/koufu_3_4ji/outline_21.pdf","PDFを開く")</f>
        <v>PDFを開く</v>
      </c>
      <c r="Q1129" s="9" t="s">
        <v>1836</v>
      </c>
    </row>
    <row r="1130" spans="1:17" ht="62.1" customHeight="1">
      <c r="A1130" s="2" t="s">
        <v>1830</v>
      </c>
      <c r="B1130" s="2" t="s">
        <v>1595</v>
      </c>
      <c r="C1130" s="8" t="s">
        <v>1831</v>
      </c>
      <c r="D1130" s="2">
        <v>1</v>
      </c>
      <c r="E1130" s="8" t="s">
        <v>10156</v>
      </c>
      <c r="F1130" s="2">
        <v>3</v>
      </c>
      <c r="G1130" s="8" t="s">
        <v>10163</v>
      </c>
      <c r="H1130" s="8" t="s">
        <v>10163</v>
      </c>
      <c r="I1130" s="2">
        <v>398.47</v>
      </c>
      <c r="J1130" s="2">
        <v>331.02</v>
      </c>
      <c r="K1130" s="2">
        <v>771.77</v>
      </c>
      <c r="L1130" s="2">
        <v>533.79</v>
      </c>
      <c r="M1130" s="8"/>
      <c r="N1130" s="8" t="s">
        <v>10159</v>
      </c>
      <c r="O1130" s="8" t="s">
        <v>8875</v>
      </c>
      <c r="P1130" s="8" t="str">
        <f>HYPERLINK("https://seichotoushi-hojo.jp/assets/pdf/koufu_3_4ji/outline_21.pdf","PDFを開く")</f>
        <v>PDFを開く</v>
      </c>
      <c r="Q1130" s="8" t="s">
        <v>1836</v>
      </c>
    </row>
    <row r="1131" spans="1:17" ht="62.1" customHeight="1">
      <c r="A1131" s="5" t="s">
        <v>1830</v>
      </c>
      <c r="B1131" s="5" t="s">
        <v>1595</v>
      </c>
      <c r="C1131" s="9" t="s">
        <v>1831</v>
      </c>
      <c r="D1131" s="5">
        <v>1</v>
      </c>
      <c r="E1131" s="9" t="s">
        <v>10156</v>
      </c>
      <c r="F1131" s="5">
        <v>4</v>
      </c>
      <c r="G1131" s="9" t="s">
        <v>8581</v>
      </c>
      <c r="H1131" s="9" t="s">
        <v>8581</v>
      </c>
      <c r="I1131" s="5">
        <v>11.59</v>
      </c>
      <c r="J1131" s="5">
        <v>419.77</v>
      </c>
      <c r="K1131" s="5">
        <v>369.53</v>
      </c>
      <c r="L1131" s="5">
        <v>515.92999999999995</v>
      </c>
      <c r="M1131" s="9"/>
      <c r="N1131" s="9" t="s">
        <v>10159</v>
      </c>
      <c r="O1131" s="9" t="s">
        <v>8876</v>
      </c>
      <c r="P1131" s="9" t="str">
        <f>HYPERLINK("https://seichotoushi-hojo.jp/assets/pdf/koufu_3_4ji/outline_21.pdf","PDFを開く")</f>
        <v>PDFを開く</v>
      </c>
      <c r="Q1131" s="9" t="s">
        <v>1836</v>
      </c>
    </row>
    <row r="1132" spans="1:17" ht="62.1" customHeight="1">
      <c r="A1132" s="2" t="s">
        <v>1837</v>
      </c>
      <c r="B1132" s="2" t="s">
        <v>1595</v>
      </c>
      <c r="C1132" s="8" t="s">
        <v>1838</v>
      </c>
      <c r="D1132" s="2">
        <v>1</v>
      </c>
      <c r="E1132" s="8" t="s">
        <v>10156</v>
      </c>
      <c r="F1132" s="2">
        <v>1</v>
      </c>
      <c r="G1132" s="8" t="s">
        <v>9578</v>
      </c>
      <c r="H1132" s="8" t="s">
        <v>9578</v>
      </c>
      <c r="I1132" s="2">
        <v>32.76</v>
      </c>
      <c r="J1132" s="2">
        <v>105.6</v>
      </c>
      <c r="K1132" s="2">
        <v>378.59</v>
      </c>
      <c r="L1132" s="2">
        <v>519.46</v>
      </c>
      <c r="M1132" s="8"/>
      <c r="N1132" s="8" t="s">
        <v>10159</v>
      </c>
      <c r="O1132" s="8" t="s">
        <v>8881</v>
      </c>
      <c r="P1132" s="8" t="str">
        <f>HYPERLINK("https://seichotoushi-hojo.jp/assets/pdf/koufu_3_4ji/outline_212.pdf","PDFを開く")</f>
        <v>PDFを開く</v>
      </c>
      <c r="Q1132" s="8" t="s">
        <v>1842</v>
      </c>
    </row>
    <row r="1133" spans="1:17" ht="62.1" customHeight="1">
      <c r="A1133" s="5" t="s">
        <v>1837</v>
      </c>
      <c r="B1133" s="5" t="s">
        <v>1595</v>
      </c>
      <c r="C1133" s="9" t="s">
        <v>1838</v>
      </c>
      <c r="D1133" s="5">
        <v>1</v>
      </c>
      <c r="E1133" s="9" t="s">
        <v>10156</v>
      </c>
      <c r="F1133" s="5">
        <v>2</v>
      </c>
      <c r="G1133" s="9" t="s">
        <v>10162</v>
      </c>
      <c r="H1133" s="9" t="s">
        <v>10162</v>
      </c>
      <c r="I1133" s="5">
        <v>407.04</v>
      </c>
      <c r="J1133" s="5">
        <v>105.6</v>
      </c>
      <c r="K1133" s="5">
        <v>747.24</v>
      </c>
      <c r="L1133" s="5">
        <v>309.72000000000003</v>
      </c>
      <c r="M1133" s="9"/>
      <c r="N1133" s="9" t="s">
        <v>10159</v>
      </c>
      <c r="O1133" s="9" t="s">
        <v>8882</v>
      </c>
      <c r="P1133" s="9" t="str">
        <f>HYPERLINK("https://seichotoushi-hojo.jp/assets/pdf/koufu_3_4ji/outline_212.pdf","PDFを開く")</f>
        <v>PDFを開く</v>
      </c>
      <c r="Q1133" s="9" t="s">
        <v>1842</v>
      </c>
    </row>
    <row r="1134" spans="1:17" ht="62.1" customHeight="1">
      <c r="A1134" s="2" t="s">
        <v>1837</v>
      </c>
      <c r="B1134" s="2" t="s">
        <v>1595</v>
      </c>
      <c r="C1134" s="8" t="s">
        <v>1838</v>
      </c>
      <c r="D1134" s="2">
        <v>1</v>
      </c>
      <c r="E1134" s="8" t="s">
        <v>10156</v>
      </c>
      <c r="F1134" s="2">
        <v>3</v>
      </c>
      <c r="G1134" s="8" t="s">
        <v>10163</v>
      </c>
      <c r="H1134" s="8" t="s">
        <v>10163</v>
      </c>
      <c r="I1134" s="2">
        <v>407.04</v>
      </c>
      <c r="J1134" s="2">
        <v>326.76</v>
      </c>
      <c r="K1134" s="2">
        <v>747.24</v>
      </c>
      <c r="L1134" s="2">
        <v>519.54</v>
      </c>
      <c r="M1134" s="8"/>
      <c r="N1134" s="8" t="s">
        <v>10159</v>
      </c>
      <c r="O1134" s="8" t="s">
        <v>8883</v>
      </c>
      <c r="P1134" s="8" t="str">
        <f>HYPERLINK("https://seichotoushi-hojo.jp/assets/pdf/koufu_3_4ji/outline_212.pdf","PDFを開く")</f>
        <v>PDFを開く</v>
      </c>
      <c r="Q1134" s="8" t="s">
        <v>1842</v>
      </c>
    </row>
    <row r="1135" spans="1:17" ht="62.1" customHeight="1">
      <c r="A1135" s="5" t="s">
        <v>1837</v>
      </c>
      <c r="B1135" s="5" t="s">
        <v>1595</v>
      </c>
      <c r="C1135" s="9" t="s">
        <v>1838</v>
      </c>
      <c r="D1135" s="5">
        <v>1</v>
      </c>
      <c r="E1135" s="9" t="s">
        <v>10156</v>
      </c>
      <c r="F1135" s="5">
        <v>4</v>
      </c>
      <c r="G1135" s="9" t="s">
        <v>8581</v>
      </c>
      <c r="H1135" s="9" t="s">
        <v>8581</v>
      </c>
      <c r="I1135" s="5">
        <v>40.32</v>
      </c>
      <c r="J1135" s="5">
        <v>406.08</v>
      </c>
      <c r="K1135" s="5">
        <v>369.12</v>
      </c>
      <c r="L1135" s="5">
        <v>508.08</v>
      </c>
      <c r="M1135" s="9"/>
      <c r="N1135" s="9" t="s">
        <v>10159</v>
      </c>
      <c r="O1135" s="9" t="s">
        <v>8884</v>
      </c>
      <c r="P1135" s="9" t="str">
        <f>HYPERLINK("https://seichotoushi-hojo.jp/assets/pdf/koufu_3_4ji/outline_212.pdf","PDFを開く")</f>
        <v>PDFを開く</v>
      </c>
      <c r="Q1135" s="9" t="s">
        <v>1842</v>
      </c>
    </row>
    <row r="1136" spans="1:17" ht="62.1" customHeight="1">
      <c r="A1136" s="2" t="s">
        <v>1837</v>
      </c>
      <c r="B1136" s="2" t="s">
        <v>1595</v>
      </c>
      <c r="C1136" s="8" t="s">
        <v>1838</v>
      </c>
      <c r="D1136" s="2">
        <v>2</v>
      </c>
      <c r="E1136" s="8" t="s">
        <v>10165</v>
      </c>
      <c r="F1136" s="2">
        <v>1</v>
      </c>
      <c r="G1136" s="8" t="s">
        <v>10184</v>
      </c>
      <c r="H1136" s="8" t="s">
        <v>10184</v>
      </c>
      <c r="I1136" s="2">
        <v>125.3</v>
      </c>
      <c r="J1136" s="2">
        <v>228.66</v>
      </c>
      <c r="K1136" s="2">
        <v>401.7</v>
      </c>
      <c r="L1136" s="2">
        <v>424.06</v>
      </c>
      <c r="M1136" s="8"/>
      <c r="N1136" s="8" t="s">
        <v>10181</v>
      </c>
      <c r="O1136" s="8" t="s">
        <v>10621</v>
      </c>
      <c r="P1136" s="8" t="str">
        <f>HYPERLINK("https://seichotoushi-hojo.jp/assets/pdf/koufu_3_4ji/outline_212.pdf","PDFを開く")</f>
        <v>PDFを開く</v>
      </c>
      <c r="Q1136" s="8" t="s">
        <v>1842</v>
      </c>
    </row>
    <row r="1137" spans="1:17" ht="62.1" customHeight="1">
      <c r="A1137" s="5" t="s">
        <v>1843</v>
      </c>
      <c r="B1137" s="5" t="s">
        <v>1595</v>
      </c>
      <c r="C1137" s="9" t="s">
        <v>1844</v>
      </c>
      <c r="D1137" s="5">
        <v>1</v>
      </c>
      <c r="E1137" s="9" t="s">
        <v>10156</v>
      </c>
      <c r="F1137" s="5">
        <v>1</v>
      </c>
      <c r="G1137" s="9" t="s">
        <v>9578</v>
      </c>
      <c r="H1137" s="9" t="s">
        <v>9578</v>
      </c>
      <c r="I1137" s="5">
        <v>39.96</v>
      </c>
      <c r="J1137" s="5">
        <v>14.12</v>
      </c>
      <c r="K1137" s="5">
        <v>401.7</v>
      </c>
      <c r="L1137" s="5">
        <v>98.7</v>
      </c>
      <c r="M1137" s="9"/>
      <c r="N1137" s="9" t="s">
        <v>10181</v>
      </c>
      <c r="O1137" s="9" t="s">
        <v>10622</v>
      </c>
      <c r="P1137" s="9" t="str">
        <f t="shared" ref="P1137:P1144" si="62">HYPERLINK("https://seichotoushi-hojo.jp/assets/pdf/koufu_3_4ji/outline_214.pdf","PDFを開く")</f>
        <v>PDFを開く</v>
      </c>
      <c r="Q1137" s="9" t="s">
        <v>1851</v>
      </c>
    </row>
    <row r="1138" spans="1:17" ht="62.1" customHeight="1">
      <c r="A1138" s="2" t="s">
        <v>1843</v>
      </c>
      <c r="B1138" s="2" t="s">
        <v>1595</v>
      </c>
      <c r="C1138" s="8" t="s">
        <v>1844</v>
      </c>
      <c r="D1138" s="2">
        <v>1</v>
      </c>
      <c r="E1138" s="8" t="s">
        <v>10156</v>
      </c>
      <c r="F1138" s="2">
        <v>2</v>
      </c>
      <c r="G1138" s="8" t="s">
        <v>10157</v>
      </c>
      <c r="H1138" s="8" t="s">
        <v>10157</v>
      </c>
      <c r="I1138" s="2">
        <v>32.76</v>
      </c>
      <c r="J1138" s="2">
        <v>41.28</v>
      </c>
      <c r="K1138" s="2">
        <v>754.2</v>
      </c>
      <c r="L1138" s="2">
        <v>88.92</v>
      </c>
      <c r="M1138" s="8"/>
      <c r="N1138" s="8" t="s">
        <v>10159</v>
      </c>
      <c r="O1138" s="8" t="s">
        <v>10623</v>
      </c>
      <c r="P1138" s="8" t="str">
        <f t="shared" si="62"/>
        <v>PDFを開く</v>
      </c>
      <c r="Q1138" s="8" t="s">
        <v>1851</v>
      </c>
    </row>
    <row r="1139" spans="1:17" ht="62.1" customHeight="1">
      <c r="A1139" s="5" t="s">
        <v>1843</v>
      </c>
      <c r="B1139" s="5" t="s">
        <v>1595</v>
      </c>
      <c r="C1139" s="9" t="s">
        <v>1844</v>
      </c>
      <c r="D1139" s="5">
        <v>1</v>
      </c>
      <c r="E1139" s="9" t="s">
        <v>10156</v>
      </c>
      <c r="F1139" s="5">
        <v>3</v>
      </c>
      <c r="G1139" s="9" t="s">
        <v>9578</v>
      </c>
      <c r="H1139" s="9" t="s">
        <v>9578</v>
      </c>
      <c r="I1139" s="5">
        <v>10.97</v>
      </c>
      <c r="J1139" s="5">
        <v>97.7</v>
      </c>
      <c r="K1139" s="5">
        <v>401.7</v>
      </c>
      <c r="L1139" s="5">
        <v>445.04</v>
      </c>
      <c r="M1139" s="9"/>
      <c r="N1139" s="9" t="s">
        <v>10181</v>
      </c>
      <c r="O1139" s="9" t="s">
        <v>10624</v>
      </c>
      <c r="P1139" s="9" t="str">
        <f t="shared" si="62"/>
        <v>PDFを開く</v>
      </c>
      <c r="Q1139" s="9" t="s">
        <v>1851</v>
      </c>
    </row>
    <row r="1140" spans="1:17" ht="62.1" customHeight="1">
      <c r="A1140" s="2" t="s">
        <v>1843</v>
      </c>
      <c r="B1140" s="2" t="s">
        <v>1595</v>
      </c>
      <c r="C1140" s="8" t="s">
        <v>1844</v>
      </c>
      <c r="D1140" s="2">
        <v>1</v>
      </c>
      <c r="E1140" s="8" t="s">
        <v>10156</v>
      </c>
      <c r="F1140" s="2">
        <v>4</v>
      </c>
      <c r="G1140" s="8" t="s">
        <v>10167</v>
      </c>
      <c r="H1140" s="8" t="s">
        <v>10625</v>
      </c>
      <c r="I1140" s="2">
        <v>395.28</v>
      </c>
      <c r="J1140" s="2">
        <v>113.64</v>
      </c>
      <c r="K1140" s="2">
        <v>769.56</v>
      </c>
      <c r="L1140" s="2">
        <v>343.56</v>
      </c>
      <c r="M1140" s="8"/>
      <c r="N1140" s="8" t="s">
        <v>10159</v>
      </c>
      <c r="O1140" s="8" t="s">
        <v>10626</v>
      </c>
      <c r="P1140" s="8" t="str">
        <f t="shared" si="62"/>
        <v>PDFを開く</v>
      </c>
      <c r="Q1140" s="8" t="s">
        <v>1851</v>
      </c>
    </row>
    <row r="1141" spans="1:17" ht="62.1" customHeight="1">
      <c r="A1141" s="5" t="s">
        <v>1843</v>
      </c>
      <c r="B1141" s="5" t="s">
        <v>1595</v>
      </c>
      <c r="C1141" s="9" t="s">
        <v>1844</v>
      </c>
      <c r="D1141" s="5">
        <v>1</v>
      </c>
      <c r="E1141" s="9" t="s">
        <v>10156</v>
      </c>
      <c r="F1141" s="5">
        <v>5</v>
      </c>
      <c r="G1141" s="9" t="s">
        <v>10167</v>
      </c>
      <c r="H1141" s="9" t="s">
        <v>10627</v>
      </c>
      <c r="I1141" s="5">
        <v>397.68</v>
      </c>
      <c r="J1141" s="5">
        <v>357.6</v>
      </c>
      <c r="K1141" s="5">
        <v>771.84</v>
      </c>
      <c r="L1141" s="5">
        <v>533.64</v>
      </c>
      <c r="M1141" s="9"/>
      <c r="N1141" s="9" t="s">
        <v>10159</v>
      </c>
      <c r="O1141" s="9" t="s">
        <v>10628</v>
      </c>
      <c r="P1141" s="9" t="str">
        <f t="shared" si="62"/>
        <v>PDFを開く</v>
      </c>
      <c r="Q1141" s="9" t="s">
        <v>1851</v>
      </c>
    </row>
    <row r="1142" spans="1:17" ht="62.1" customHeight="1">
      <c r="A1142" s="2" t="s">
        <v>1843</v>
      </c>
      <c r="B1142" s="2" t="s">
        <v>1595</v>
      </c>
      <c r="C1142" s="8" t="s">
        <v>1844</v>
      </c>
      <c r="D1142" s="2">
        <v>1</v>
      </c>
      <c r="E1142" s="8" t="s">
        <v>10156</v>
      </c>
      <c r="F1142" s="2">
        <v>6</v>
      </c>
      <c r="G1142" s="8" t="s">
        <v>8581</v>
      </c>
      <c r="H1142" s="8" t="s">
        <v>8581</v>
      </c>
      <c r="I1142" s="2">
        <v>18.239999999999998</v>
      </c>
      <c r="J1142" s="2">
        <v>370.68</v>
      </c>
      <c r="K1142" s="2">
        <v>337.2</v>
      </c>
      <c r="L1142" s="2">
        <v>529.67999999999995</v>
      </c>
      <c r="M1142" s="8"/>
      <c r="N1142" s="8" t="s">
        <v>10159</v>
      </c>
      <c r="O1142" s="8" t="s">
        <v>8891</v>
      </c>
      <c r="P1142" s="8" t="str">
        <f t="shared" si="62"/>
        <v>PDFを開く</v>
      </c>
      <c r="Q1142" s="8" t="s">
        <v>1851</v>
      </c>
    </row>
    <row r="1143" spans="1:17" ht="62.1" customHeight="1">
      <c r="A1143" s="5" t="s">
        <v>1843</v>
      </c>
      <c r="B1143" s="5" t="s">
        <v>1595</v>
      </c>
      <c r="C1143" s="9" t="s">
        <v>1844</v>
      </c>
      <c r="D1143" s="5">
        <v>2</v>
      </c>
      <c r="E1143" s="9" t="s">
        <v>10165</v>
      </c>
      <c r="F1143" s="5">
        <v>1</v>
      </c>
      <c r="G1143" s="9" t="s">
        <v>10157</v>
      </c>
      <c r="H1143" s="9" t="s">
        <v>10157</v>
      </c>
      <c r="I1143" s="5">
        <v>32.76</v>
      </c>
      <c r="J1143" s="5">
        <v>41.28</v>
      </c>
      <c r="K1143" s="5">
        <v>754.2</v>
      </c>
      <c r="L1143" s="5">
        <v>88.92</v>
      </c>
      <c r="M1143" s="9"/>
      <c r="N1143" s="9" t="s">
        <v>10159</v>
      </c>
      <c r="O1143" s="9" t="s">
        <v>10629</v>
      </c>
      <c r="P1143" s="9" t="str">
        <f t="shared" si="62"/>
        <v>PDFを開く</v>
      </c>
      <c r="Q1143" s="9" t="s">
        <v>1851</v>
      </c>
    </row>
    <row r="1144" spans="1:17" ht="62.1" customHeight="1">
      <c r="A1144" s="2" t="s">
        <v>1843</v>
      </c>
      <c r="B1144" s="2" t="s">
        <v>1595</v>
      </c>
      <c r="C1144" s="8" t="s">
        <v>1844</v>
      </c>
      <c r="D1144" s="2">
        <v>2</v>
      </c>
      <c r="E1144" s="8" t="s">
        <v>10165</v>
      </c>
      <c r="F1144" s="2">
        <v>2</v>
      </c>
      <c r="G1144" s="8" t="s">
        <v>10184</v>
      </c>
      <c r="H1144" s="8" t="s">
        <v>10184</v>
      </c>
      <c r="I1144" s="2">
        <v>137.47</v>
      </c>
      <c r="J1144" s="2">
        <v>175.79</v>
      </c>
      <c r="K1144" s="2">
        <v>401.7</v>
      </c>
      <c r="L1144" s="2">
        <v>371.19</v>
      </c>
      <c r="M1144" s="8"/>
      <c r="N1144" s="8" t="s">
        <v>10181</v>
      </c>
      <c r="O1144" s="8" t="s">
        <v>10630</v>
      </c>
      <c r="P1144" s="8" t="str">
        <f t="shared" si="62"/>
        <v>PDFを開く</v>
      </c>
      <c r="Q1144" s="8" t="s">
        <v>1851</v>
      </c>
    </row>
    <row r="1145" spans="1:17" ht="62.1" customHeight="1">
      <c r="A1145" s="5" t="s">
        <v>1852</v>
      </c>
      <c r="B1145" s="5" t="s">
        <v>1595</v>
      </c>
      <c r="C1145" s="9" t="s">
        <v>1853</v>
      </c>
      <c r="D1145" s="5">
        <v>1</v>
      </c>
      <c r="E1145" s="9" t="s">
        <v>10156</v>
      </c>
      <c r="F1145" s="5">
        <v>1</v>
      </c>
      <c r="G1145" s="9" t="s">
        <v>9578</v>
      </c>
      <c r="H1145" s="9" t="s">
        <v>9578</v>
      </c>
      <c r="I1145" s="5">
        <v>39.659999999999997</v>
      </c>
      <c r="J1145" s="5">
        <v>119.75</v>
      </c>
      <c r="K1145" s="5">
        <v>378.79</v>
      </c>
      <c r="L1145" s="5">
        <v>499.73</v>
      </c>
      <c r="M1145" s="9"/>
      <c r="N1145" s="9" t="s">
        <v>10159</v>
      </c>
      <c r="O1145" s="9" t="s">
        <v>8896</v>
      </c>
      <c r="P1145" s="9" t="str">
        <f>HYPERLINK("https://seichotoushi-hojo.jp/assets/pdf/koufu_3_4ji/outline_215.pdf","PDFを開く")</f>
        <v>PDFを開く</v>
      </c>
      <c r="Q1145" s="9" t="s">
        <v>1858</v>
      </c>
    </row>
    <row r="1146" spans="1:17" ht="62.1" customHeight="1">
      <c r="A1146" s="2" t="s">
        <v>1852</v>
      </c>
      <c r="B1146" s="2" t="s">
        <v>1595</v>
      </c>
      <c r="C1146" s="8" t="s">
        <v>1853</v>
      </c>
      <c r="D1146" s="2">
        <v>1</v>
      </c>
      <c r="E1146" s="8" t="s">
        <v>10156</v>
      </c>
      <c r="F1146" s="2">
        <v>2</v>
      </c>
      <c r="G1146" s="8" t="s">
        <v>10162</v>
      </c>
      <c r="H1146" s="8" t="s">
        <v>10162</v>
      </c>
      <c r="I1146" s="2">
        <v>396.3</v>
      </c>
      <c r="J1146" s="2">
        <v>119.75</v>
      </c>
      <c r="K1146" s="2">
        <v>739.78</v>
      </c>
      <c r="L1146" s="2">
        <v>328.45</v>
      </c>
      <c r="M1146" s="8"/>
      <c r="N1146" s="8" t="s">
        <v>10159</v>
      </c>
      <c r="O1146" s="8" t="s">
        <v>8897</v>
      </c>
      <c r="P1146" s="8" t="str">
        <f>HYPERLINK("https://seichotoushi-hojo.jp/assets/pdf/koufu_3_4ji/outline_215.pdf","PDFを開く")</f>
        <v>PDFを開く</v>
      </c>
      <c r="Q1146" s="8" t="s">
        <v>1858</v>
      </c>
    </row>
    <row r="1147" spans="1:17" ht="62.1" customHeight="1">
      <c r="A1147" s="5" t="s">
        <v>1852</v>
      </c>
      <c r="B1147" s="5" t="s">
        <v>1595</v>
      </c>
      <c r="C1147" s="9" t="s">
        <v>1853</v>
      </c>
      <c r="D1147" s="5">
        <v>1</v>
      </c>
      <c r="E1147" s="9" t="s">
        <v>10156</v>
      </c>
      <c r="F1147" s="5">
        <v>3</v>
      </c>
      <c r="G1147" s="9" t="s">
        <v>10163</v>
      </c>
      <c r="H1147" s="9" t="s">
        <v>10163</v>
      </c>
      <c r="I1147" s="5">
        <v>396.3</v>
      </c>
      <c r="J1147" s="5">
        <v>341.43</v>
      </c>
      <c r="K1147" s="5">
        <v>739.78</v>
      </c>
      <c r="L1147" s="5">
        <v>499.73</v>
      </c>
      <c r="M1147" s="9"/>
      <c r="N1147" s="9" t="s">
        <v>10159</v>
      </c>
      <c r="O1147" s="9" t="s">
        <v>8898</v>
      </c>
      <c r="P1147" s="9" t="str">
        <f>HYPERLINK("https://seichotoushi-hojo.jp/assets/pdf/koufu_3_4ji/outline_215.pdf","PDFを開く")</f>
        <v>PDFを開く</v>
      </c>
      <c r="Q1147" s="9" t="s">
        <v>1858</v>
      </c>
    </row>
    <row r="1148" spans="1:17" ht="62.1" customHeight="1">
      <c r="A1148" s="2" t="s">
        <v>1852</v>
      </c>
      <c r="B1148" s="2" t="s">
        <v>1595</v>
      </c>
      <c r="C1148" s="8" t="s">
        <v>1853</v>
      </c>
      <c r="D1148" s="2">
        <v>1</v>
      </c>
      <c r="E1148" s="8" t="s">
        <v>10156</v>
      </c>
      <c r="F1148" s="2">
        <v>4</v>
      </c>
      <c r="G1148" s="8" t="s">
        <v>8581</v>
      </c>
      <c r="H1148" s="8" t="s">
        <v>8581</v>
      </c>
      <c r="I1148" s="2">
        <v>48</v>
      </c>
      <c r="J1148" s="2">
        <v>370.98</v>
      </c>
      <c r="K1148" s="2">
        <v>367.5</v>
      </c>
      <c r="L1148" s="2">
        <v>486.75</v>
      </c>
      <c r="M1148" s="8"/>
      <c r="N1148" s="8" t="s">
        <v>10159</v>
      </c>
      <c r="O1148" s="8" t="s">
        <v>8899</v>
      </c>
      <c r="P1148" s="8" t="str">
        <f>HYPERLINK("https://seichotoushi-hojo.jp/assets/pdf/koufu_3_4ji/outline_215.pdf","PDFを開く")</f>
        <v>PDFを開く</v>
      </c>
      <c r="Q1148" s="8" t="s">
        <v>1858</v>
      </c>
    </row>
    <row r="1149" spans="1:17" ht="62.1" customHeight="1">
      <c r="A1149" s="5" t="s">
        <v>1859</v>
      </c>
      <c r="B1149" s="5" t="s">
        <v>1595</v>
      </c>
      <c r="C1149" s="9" t="s">
        <v>1860</v>
      </c>
      <c r="D1149" s="5">
        <v>1</v>
      </c>
      <c r="E1149" s="9" t="s">
        <v>10156</v>
      </c>
      <c r="F1149" s="5">
        <v>1</v>
      </c>
      <c r="G1149" s="9" t="s">
        <v>9578</v>
      </c>
      <c r="H1149" s="9" t="s">
        <v>9578</v>
      </c>
      <c r="I1149" s="5">
        <v>8.02</v>
      </c>
      <c r="J1149" s="5">
        <v>98.59</v>
      </c>
      <c r="K1149" s="5">
        <v>356.22</v>
      </c>
      <c r="L1149" s="5">
        <v>536.78</v>
      </c>
      <c r="M1149" s="9"/>
      <c r="N1149" s="9" t="s">
        <v>10159</v>
      </c>
      <c r="O1149" s="9" t="s">
        <v>8904</v>
      </c>
      <c r="P1149" s="9" t="str">
        <f>HYPERLINK("https://seichotoushi-hojo.jp/assets/pdf/koufu_3_4ji/outline_216.pdf","PDFを開く")</f>
        <v>PDFを開く</v>
      </c>
      <c r="Q1149" s="9" t="s">
        <v>1866</v>
      </c>
    </row>
    <row r="1150" spans="1:17" ht="62.1" customHeight="1">
      <c r="A1150" s="2" t="s">
        <v>1859</v>
      </c>
      <c r="B1150" s="2" t="s">
        <v>1595</v>
      </c>
      <c r="C1150" s="8" t="s">
        <v>1860</v>
      </c>
      <c r="D1150" s="2">
        <v>1</v>
      </c>
      <c r="E1150" s="8" t="s">
        <v>10156</v>
      </c>
      <c r="F1150" s="2">
        <v>2</v>
      </c>
      <c r="G1150" s="8" t="s">
        <v>10162</v>
      </c>
      <c r="H1150" s="8" t="s">
        <v>10162</v>
      </c>
      <c r="I1150" s="2">
        <v>383.51</v>
      </c>
      <c r="J1150" s="2">
        <v>98.95</v>
      </c>
      <c r="K1150" s="2">
        <v>768.76</v>
      </c>
      <c r="L1150" s="2">
        <v>330.12</v>
      </c>
      <c r="M1150" s="8"/>
      <c r="N1150" s="8" t="s">
        <v>10159</v>
      </c>
      <c r="O1150" s="8" t="s">
        <v>8905</v>
      </c>
      <c r="P1150" s="8" t="str">
        <f>HYPERLINK("https://seichotoushi-hojo.jp/assets/pdf/koufu_3_4ji/outline_216.pdf","PDFを開く")</f>
        <v>PDFを開く</v>
      </c>
      <c r="Q1150" s="8" t="s">
        <v>1866</v>
      </c>
    </row>
    <row r="1151" spans="1:17" ht="62.1" customHeight="1">
      <c r="A1151" s="5" t="s">
        <v>1859</v>
      </c>
      <c r="B1151" s="5" t="s">
        <v>1595</v>
      </c>
      <c r="C1151" s="9" t="s">
        <v>1860</v>
      </c>
      <c r="D1151" s="5">
        <v>1</v>
      </c>
      <c r="E1151" s="9" t="s">
        <v>10156</v>
      </c>
      <c r="F1151" s="5">
        <v>3</v>
      </c>
      <c r="G1151" s="9" t="s">
        <v>10163</v>
      </c>
      <c r="H1151" s="9" t="s">
        <v>10163</v>
      </c>
      <c r="I1151" s="5">
        <v>383.51</v>
      </c>
      <c r="J1151" s="5">
        <v>341.42</v>
      </c>
      <c r="K1151" s="5">
        <v>768.76</v>
      </c>
      <c r="L1151" s="5">
        <v>530.57000000000005</v>
      </c>
      <c r="M1151" s="9"/>
      <c r="N1151" s="9" t="s">
        <v>10159</v>
      </c>
      <c r="O1151" s="9" t="s">
        <v>8906</v>
      </c>
      <c r="P1151" s="9" t="str">
        <f>HYPERLINK("https://seichotoushi-hojo.jp/assets/pdf/koufu_3_4ji/outline_216.pdf","PDFを開く")</f>
        <v>PDFを開く</v>
      </c>
      <c r="Q1151" s="9" t="s">
        <v>1866</v>
      </c>
    </row>
    <row r="1152" spans="1:17" ht="62.1" customHeight="1">
      <c r="A1152" s="2" t="s">
        <v>1859</v>
      </c>
      <c r="B1152" s="2" t="s">
        <v>1595</v>
      </c>
      <c r="C1152" s="8" t="s">
        <v>1860</v>
      </c>
      <c r="D1152" s="2">
        <v>1</v>
      </c>
      <c r="E1152" s="8" t="s">
        <v>10156</v>
      </c>
      <c r="F1152" s="2">
        <v>4</v>
      </c>
      <c r="G1152" s="8" t="s">
        <v>8581</v>
      </c>
      <c r="H1152" s="8" t="s">
        <v>8581</v>
      </c>
      <c r="I1152" s="2">
        <v>26.7</v>
      </c>
      <c r="J1152" s="2">
        <v>414.8</v>
      </c>
      <c r="K1152" s="2">
        <v>346.02</v>
      </c>
      <c r="L1152" s="2">
        <v>530.57000000000005</v>
      </c>
      <c r="M1152" s="8"/>
      <c r="N1152" s="8" t="s">
        <v>10159</v>
      </c>
      <c r="O1152" s="8" t="s">
        <v>8907</v>
      </c>
      <c r="P1152" s="8" t="str">
        <f>HYPERLINK("https://seichotoushi-hojo.jp/assets/pdf/koufu_3_4ji/outline_216.pdf","PDFを開く")</f>
        <v>PDFを開く</v>
      </c>
      <c r="Q1152" s="8" t="s">
        <v>1866</v>
      </c>
    </row>
    <row r="1153" spans="1:17" ht="62.1" customHeight="1">
      <c r="A1153" s="5" t="s">
        <v>1859</v>
      </c>
      <c r="B1153" s="5" t="s">
        <v>1595</v>
      </c>
      <c r="C1153" s="9" t="s">
        <v>1860</v>
      </c>
      <c r="D1153" s="5">
        <v>2</v>
      </c>
      <c r="E1153" s="9" t="s">
        <v>10165</v>
      </c>
      <c r="F1153" s="5">
        <v>1</v>
      </c>
      <c r="G1153" s="9" t="s">
        <v>10184</v>
      </c>
      <c r="H1153" s="9" t="s">
        <v>10184</v>
      </c>
      <c r="I1153" s="5">
        <v>125.16</v>
      </c>
      <c r="J1153" s="5">
        <v>145.43</v>
      </c>
      <c r="K1153" s="5">
        <v>401.7</v>
      </c>
      <c r="L1153" s="5">
        <v>340.83</v>
      </c>
      <c r="M1153" s="9"/>
      <c r="N1153" s="9" t="s">
        <v>10181</v>
      </c>
      <c r="O1153" s="9" t="s">
        <v>10631</v>
      </c>
      <c r="P1153" s="9" t="str">
        <f>HYPERLINK("https://seichotoushi-hojo.jp/assets/pdf/koufu_3_4ji/outline_216.pdf","PDFを開く")</f>
        <v>PDFを開く</v>
      </c>
      <c r="Q1153" s="9" t="s">
        <v>1866</v>
      </c>
    </row>
    <row r="1154" spans="1:17" ht="62.1" customHeight="1">
      <c r="A1154" s="2" t="s">
        <v>1867</v>
      </c>
      <c r="B1154" s="2" t="s">
        <v>1595</v>
      </c>
      <c r="C1154" s="8" t="s">
        <v>1868</v>
      </c>
      <c r="D1154" s="2">
        <v>1</v>
      </c>
      <c r="E1154" s="8" t="s">
        <v>10156</v>
      </c>
      <c r="F1154" s="2">
        <v>1</v>
      </c>
      <c r="G1154" s="8" t="s">
        <v>9578</v>
      </c>
      <c r="H1154" s="8" t="s">
        <v>9578</v>
      </c>
      <c r="I1154" s="2">
        <v>5.16</v>
      </c>
      <c r="J1154" s="2">
        <v>103.8</v>
      </c>
      <c r="K1154" s="2">
        <v>382.8</v>
      </c>
      <c r="L1154" s="2">
        <v>527.52</v>
      </c>
      <c r="M1154" s="8"/>
      <c r="N1154" s="8" t="s">
        <v>10159</v>
      </c>
      <c r="O1154" s="8" t="s">
        <v>8912</v>
      </c>
      <c r="P1154" s="8" t="str">
        <f>HYPERLINK("https://seichotoushi-hojo.jp/assets/pdf/koufu_3_4ji/outline_22.pdf","PDFを開く")</f>
        <v>PDFを開く</v>
      </c>
      <c r="Q1154" s="8" t="s">
        <v>1873</v>
      </c>
    </row>
    <row r="1155" spans="1:17" ht="62.1" customHeight="1">
      <c r="A1155" s="5" t="s">
        <v>1867</v>
      </c>
      <c r="B1155" s="5" t="s">
        <v>1595</v>
      </c>
      <c r="C1155" s="9" t="s">
        <v>1868</v>
      </c>
      <c r="D1155" s="5">
        <v>1</v>
      </c>
      <c r="E1155" s="9" t="s">
        <v>10156</v>
      </c>
      <c r="F1155" s="5">
        <v>2</v>
      </c>
      <c r="G1155" s="9" t="s">
        <v>10162</v>
      </c>
      <c r="H1155" s="9" t="s">
        <v>10162</v>
      </c>
      <c r="I1155" s="5">
        <v>397.08</v>
      </c>
      <c r="J1155" s="5">
        <v>103.8</v>
      </c>
      <c r="K1155" s="5">
        <v>764.64</v>
      </c>
      <c r="L1155" s="5">
        <v>283.2</v>
      </c>
      <c r="M1155" s="9"/>
      <c r="N1155" s="9" t="s">
        <v>10159</v>
      </c>
      <c r="O1155" s="9" t="s">
        <v>8913</v>
      </c>
      <c r="P1155" s="9" t="str">
        <f>HYPERLINK("https://seichotoushi-hojo.jp/assets/pdf/koufu_3_4ji/outline_22.pdf","PDFを開く")</f>
        <v>PDFを開く</v>
      </c>
      <c r="Q1155" s="9" t="s">
        <v>1873</v>
      </c>
    </row>
    <row r="1156" spans="1:17" ht="62.1" customHeight="1">
      <c r="A1156" s="2" t="s">
        <v>1867</v>
      </c>
      <c r="B1156" s="2" t="s">
        <v>1595</v>
      </c>
      <c r="C1156" s="8" t="s">
        <v>1868</v>
      </c>
      <c r="D1156" s="2">
        <v>1</v>
      </c>
      <c r="E1156" s="8" t="s">
        <v>10156</v>
      </c>
      <c r="F1156" s="2">
        <v>3</v>
      </c>
      <c r="G1156" s="8" t="s">
        <v>10163</v>
      </c>
      <c r="H1156" s="8" t="s">
        <v>10163</v>
      </c>
      <c r="I1156" s="2">
        <v>396.36</v>
      </c>
      <c r="J1156" s="2">
        <v>295.32</v>
      </c>
      <c r="K1156" s="2">
        <v>764.64</v>
      </c>
      <c r="L1156" s="2">
        <v>527.88</v>
      </c>
      <c r="M1156" s="8"/>
      <c r="N1156" s="8" t="s">
        <v>10159</v>
      </c>
      <c r="O1156" s="8" t="s">
        <v>8914</v>
      </c>
      <c r="P1156" s="8" t="str">
        <f>HYPERLINK("https://seichotoushi-hojo.jp/assets/pdf/koufu_3_4ji/outline_22.pdf","PDFを開く")</f>
        <v>PDFを開く</v>
      </c>
      <c r="Q1156" s="8" t="s">
        <v>1873</v>
      </c>
    </row>
    <row r="1157" spans="1:17" ht="62.1" customHeight="1">
      <c r="A1157" s="5" t="s">
        <v>1867</v>
      </c>
      <c r="B1157" s="5" t="s">
        <v>1595</v>
      </c>
      <c r="C1157" s="9" t="s">
        <v>1868</v>
      </c>
      <c r="D1157" s="5">
        <v>1</v>
      </c>
      <c r="E1157" s="9" t="s">
        <v>10156</v>
      </c>
      <c r="F1157" s="5">
        <v>4</v>
      </c>
      <c r="G1157" s="9" t="s">
        <v>8581</v>
      </c>
      <c r="H1157" s="9" t="s">
        <v>8581</v>
      </c>
      <c r="I1157" s="5">
        <v>12.84</v>
      </c>
      <c r="J1157" s="5">
        <v>395.52</v>
      </c>
      <c r="K1157" s="5">
        <v>374.28</v>
      </c>
      <c r="L1157" s="5">
        <v>521.04</v>
      </c>
      <c r="M1157" s="9"/>
      <c r="N1157" s="9" t="s">
        <v>10159</v>
      </c>
      <c r="O1157" s="9" t="s">
        <v>8915</v>
      </c>
      <c r="P1157" s="9" t="str">
        <f>HYPERLINK("https://seichotoushi-hojo.jp/assets/pdf/koufu_3_4ji/outline_22.pdf","PDFを開く")</f>
        <v>PDFを開く</v>
      </c>
      <c r="Q1157" s="9" t="s">
        <v>1873</v>
      </c>
    </row>
    <row r="1158" spans="1:17" ht="62.1" customHeight="1">
      <c r="A1158" s="2" t="s">
        <v>1874</v>
      </c>
      <c r="B1158" s="2" t="s">
        <v>1595</v>
      </c>
      <c r="C1158" s="8" t="s">
        <v>1875</v>
      </c>
      <c r="D1158" s="2">
        <v>1</v>
      </c>
      <c r="E1158" s="8" t="s">
        <v>10156</v>
      </c>
      <c r="F1158" s="2">
        <v>1</v>
      </c>
      <c r="G1158" s="8" t="s">
        <v>9578</v>
      </c>
      <c r="H1158" s="8" t="s">
        <v>9578</v>
      </c>
      <c r="I1158" s="2">
        <v>39.659999999999997</v>
      </c>
      <c r="J1158" s="2">
        <v>107.23</v>
      </c>
      <c r="K1158" s="2">
        <v>378.78</v>
      </c>
      <c r="L1158" s="2">
        <v>525.61</v>
      </c>
      <c r="M1158" s="8"/>
      <c r="N1158" s="8" t="s">
        <v>10159</v>
      </c>
      <c r="O1158" s="8" t="s">
        <v>8920</v>
      </c>
      <c r="P1158" s="8" t="str">
        <f>HYPERLINK("https://seichotoushi-hojo.jp/assets/pdf/koufu_3_4ji/outline_229.pdf","PDFを開く")</f>
        <v>PDFを開く</v>
      </c>
      <c r="Q1158" s="8" t="s">
        <v>1880</v>
      </c>
    </row>
    <row r="1159" spans="1:17" ht="62.1" customHeight="1">
      <c r="A1159" s="5" t="s">
        <v>1874</v>
      </c>
      <c r="B1159" s="5" t="s">
        <v>1595</v>
      </c>
      <c r="C1159" s="9" t="s">
        <v>1875</v>
      </c>
      <c r="D1159" s="5">
        <v>1</v>
      </c>
      <c r="E1159" s="9" t="s">
        <v>10156</v>
      </c>
      <c r="F1159" s="5">
        <v>2</v>
      </c>
      <c r="G1159" s="9" t="s">
        <v>10162</v>
      </c>
      <c r="H1159" s="9" t="s">
        <v>10162</v>
      </c>
      <c r="I1159" s="5">
        <v>396.3</v>
      </c>
      <c r="J1159" s="5">
        <v>107.23</v>
      </c>
      <c r="K1159" s="5">
        <v>739.78</v>
      </c>
      <c r="L1159" s="5">
        <v>280.63</v>
      </c>
      <c r="M1159" s="9"/>
      <c r="N1159" s="9" t="s">
        <v>10159</v>
      </c>
      <c r="O1159" s="9" t="s">
        <v>8921</v>
      </c>
      <c r="P1159" s="9" t="str">
        <f>HYPERLINK("https://seichotoushi-hojo.jp/assets/pdf/koufu_3_4ji/outline_229.pdf","PDFを開く")</f>
        <v>PDFを開く</v>
      </c>
      <c r="Q1159" s="9" t="s">
        <v>1880</v>
      </c>
    </row>
    <row r="1160" spans="1:17" ht="62.1" customHeight="1">
      <c r="A1160" s="2" t="s">
        <v>1874</v>
      </c>
      <c r="B1160" s="2" t="s">
        <v>1595</v>
      </c>
      <c r="C1160" s="8" t="s">
        <v>1875</v>
      </c>
      <c r="D1160" s="2">
        <v>1</v>
      </c>
      <c r="E1160" s="8" t="s">
        <v>10156</v>
      </c>
      <c r="F1160" s="2">
        <v>3</v>
      </c>
      <c r="G1160" s="8" t="s">
        <v>10163</v>
      </c>
      <c r="H1160" s="8" t="s">
        <v>10163</v>
      </c>
      <c r="I1160" s="2">
        <v>396.3</v>
      </c>
      <c r="J1160" s="2">
        <v>288.73</v>
      </c>
      <c r="K1160" s="2">
        <v>739.78</v>
      </c>
      <c r="L1160" s="2">
        <v>525.61</v>
      </c>
      <c r="M1160" s="8"/>
      <c r="N1160" s="8" t="s">
        <v>10159</v>
      </c>
      <c r="O1160" s="8" t="s">
        <v>8922</v>
      </c>
      <c r="P1160" s="8" t="str">
        <f>HYPERLINK("https://seichotoushi-hojo.jp/assets/pdf/koufu_3_4ji/outline_229.pdf","PDFを開く")</f>
        <v>PDFを開く</v>
      </c>
      <c r="Q1160" s="8" t="s">
        <v>1880</v>
      </c>
    </row>
    <row r="1161" spans="1:17" ht="62.1" customHeight="1">
      <c r="A1161" s="5" t="s">
        <v>1874</v>
      </c>
      <c r="B1161" s="5" t="s">
        <v>1595</v>
      </c>
      <c r="C1161" s="9" t="s">
        <v>1875</v>
      </c>
      <c r="D1161" s="5">
        <v>1</v>
      </c>
      <c r="E1161" s="9" t="s">
        <v>10156</v>
      </c>
      <c r="F1161" s="5">
        <v>4</v>
      </c>
      <c r="G1161" s="9" t="s">
        <v>8581</v>
      </c>
      <c r="H1161" s="9" t="s">
        <v>8581</v>
      </c>
      <c r="I1161" s="5">
        <v>49.47</v>
      </c>
      <c r="J1161" s="5">
        <v>422.93</v>
      </c>
      <c r="K1161" s="5">
        <v>368.97</v>
      </c>
      <c r="L1161" s="5">
        <v>520.9</v>
      </c>
      <c r="M1161" s="9"/>
      <c r="N1161" s="9" t="s">
        <v>10159</v>
      </c>
      <c r="O1161" s="9" t="s">
        <v>8923</v>
      </c>
      <c r="P1161" s="9" t="str">
        <f>HYPERLINK("https://seichotoushi-hojo.jp/assets/pdf/koufu_3_4ji/outline_229.pdf","PDFを開く")</f>
        <v>PDFを開く</v>
      </c>
      <c r="Q1161" s="9" t="s">
        <v>1880</v>
      </c>
    </row>
    <row r="1162" spans="1:17" ht="62.1" customHeight="1">
      <c r="A1162" s="2" t="s">
        <v>1874</v>
      </c>
      <c r="B1162" s="2" t="s">
        <v>1595</v>
      </c>
      <c r="C1162" s="8" t="s">
        <v>1875</v>
      </c>
      <c r="D1162" s="2">
        <v>2</v>
      </c>
      <c r="E1162" s="8" t="s">
        <v>10165</v>
      </c>
      <c r="F1162" s="2">
        <v>1</v>
      </c>
      <c r="G1162" s="8" t="s">
        <v>10184</v>
      </c>
      <c r="H1162" s="8" t="s">
        <v>10184</v>
      </c>
      <c r="I1162" s="2">
        <v>120.22</v>
      </c>
      <c r="J1162" s="2">
        <v>148.66</v>
      </c>
      <c r="K1162" s="2">
        <v>401.7</v>
      </c>
      <c r="L1162" s="2">
        <v>344.06</v>
      </c>
      <c r="M1162" s="8"/>
      <c r="N1162" s="8" t="s">
        <v>10181</v>
      </c>
      <c r="O1162" s="8" t="s">
        <v>10632</v>
      </c>
      <c r="P1162" s="8" t="str">
        <f>HYPERLINK("https://seichotoushi-hojo.jp/assets/pdf/koufu_3_4ji/outline_229.pdf","PDFを開く")</f>
        <v>PDFを開く</v>
      </c>
      <c r="Q1162" s="8" t="s">
        <v>1880</v>
      </c>
    </row>
    <row r="1163" spans="1:17" ht="62.1" customHeight="1">
      <c r="A1163" s="5" t="s">
        <v>1881</v>
      </c>
      <c r="B1163" s="5" t="s">
        <v>1595</v>
      </c>
      <c r="C1163" s="9" t="s">
        <v>1882</v>
      </c>
      <c r="D1163" s="5">
        <v>1</v>
      </c>
      <c r="E1163" s="9" t="s">
        <v>10156</v>
      </c>
      <c r="F1163" s="5">
        <v>1</v>
      </c>
      <c r="G1163" s="9" t="s">
        <v>9578</v>
      </c>
      <c r="H1163" s="9" t="s">
        <v>9578</v>
      </c>
      <c r="I1163" s="5">
        <v>25.98</v>
      </c>
      <c r="J1163" s="5">
        <v>106.07</v>
      </c>
      <c r="K1163" s="5">
        <v>372.96</v>
      </c>
      <c r="L1163" s="5">
        <v>520.9</v>
      </c>
      <c r="M1163" s="9"/>
      <c r="N1163" s="9" t="s">
        <v>10159</v>
      </c>
      <c r="O1163" s="9" t="s">
        <v>8928</v>
      </c>
      <c r="P1163" s="9" t="str">
        <f>HYPERLINK("https://seichotoushi-hojo.jp/assets/pdf/koufu_3_4ji/outline_23.pdf","PDFを開く")</f>
        <v>PDFを開く</v>
      </c>
      <c r="Q1163" s="9" t="s">
        <v>1887</v>
      </c>
    </row>
    <row r="1164" spans="1:17" ht="62.1" customHeight="1">
      <c r="A1164" s="2" t="s">
        <v>1881</v>
      </c>
      <c r="B1164" s="2" t="s">
        <v>1595</v>
      </c>
      <c r="C1164" s="8" t="s">
        <v>1882</v>
      </c>
      <c r="D1164" s="2">
        <v>1</v>
      </c>
      <c r="E1164" s="8" t="s">
        <v>10156</v>
      </c>
      <c r="F1164" s="2">
        <v>2</v>
      </c>
      <c r="G1164" s="8" t="s">
        <v>10162</v>
      </c>
      <c r="H1164" s="8" t="s">
        <v>10162</v>
      </c>
      <c r="I1164" s="2">
        <v>396.3</v>
      </c>
      <c r="J1164" s="2">
        <v>110.27</v>
      </c>
      <c r="K1164" s="2">
        <v>753.84</v>
      </c>
      <c r="L1164" s="2">
        <v>285</v>
      </c>
      <c r="M1164" s="8"/>
      <c r="N1164" s="8" t="s">
        <v>10159</v>
      </c>
      <c r="O1164" s="8" t="s">
        <v>8929</v>
      </c>
      <c r="P1164" s="8" t="str">
        <f>HYPERLINK("https://seichotoushi-hojo.jp/assets/pdf/koufu_3_4ji/outline_23.pdf","PDFを開く")</f>
        <v>PDFを開く</v>
      </c>
      <c r="Q1164" s="8" t="s">
        <v>1887</v>
      </c>
    </row>
    <row r="1165" spans="1:17" ht="62.1" customHeight="1">
      <c r="A1165" s="5" t="s">
        <v>1881</v>
      </c>
      <c r="B1165" s="5" t="s">
        <v>1595</v>
      </c>
      <c r="C1165" s="9" t="s">
        <v>1882</v>
      </c>
      <c r="D1165" s="5">
        <v>1</v>
      </c>
      <c r="E1165" s="9" t="s">
        <v>10156</v>
      </c>
      <c r="F1165" s="5">
        <v>3</v>
      </c>
      <c r="G1165" s="9" t="s">
        <v>10163</v>
      </c>
      <c r="H1165" s="9" t="s">
        <v>10163</v>
      </c>
      <c r="I1165" s="5">
        <v>396.3</v>
      </c>
      <c r="J1165" s="5">
        <v>300.66000000000003</v>
      </c>
      <c r="K1165" s="5">
        <v>753.84</v>
      </c>
      <c r="L1165" s="5">
        <v>512.64</v>
      </c>
      <c r="M1165" s="9"/>
      <c r="N1165" s="9" t="s">
        <v>10159</v>
      </c>
      <c r="O1165" s="9" t="s">
        <v>8930</v>
      </c>
      <c r="P1165" s="9" t="str">
        <f>HYPERLINK("https://seichotoushi-hojo.jp/assets/pdf/koufu_3_4ji/outline_23.pdf","PDFを開く")</f>
        <v>PDFを開く</v>
      </c>
      <c r="Q1165" s="9" t="s">
        <v>1887</v>
      </c>
    </row>
    <row r="1166" spans="1:17" ht="62.1" customHeight="1">
      <c r="A1166" s="2" t="s">
        <v>1881</v>
      </c>
      <c r="B1166" s="2" t="s">
        <v>1595</v>
      </c>
      <c r="C1166" s="8" t="s">
        <v>1882</v>
      </c>
      <c r="D1166" s="2">
        <v>1</v>
      </c>
      <c r="E1166" s="8" t="s">
        <v>10156</v>
      </c>
      <c r="F1166" s="2">
        <v>4</v>
      </c>
      <c r="G1166" s="8" t="s">
        <v>8581</v>
      </c>
      <c r="H1166" s="8" t="s">
        <v>8581</v>
      </c>
      <c r="I1166" s="2">
        <v>40.299999999999997</v>
      </c>
      <c r="J1166" s="2">
        <v>408.73</v>
      </c>
      <c r="K1166" s="2">
        <v>359.81</v>
      </c>
      <c r="L1166" s="2">
        <v>512.64</v>
      </c>
      <c r="M1166" s="8"/>
      <c r="N1166" s="8" t="s">
        <v>10159</v>
      </c>
      <c r="O1166" s="8" t="s">
        <v>8931</v>
      </c>
      <c r="P1166" s="8" t="str">
        <f>HYPERLINK("https://seichotoushi-hojo.jp/assets/pdf/koufu_3_4ji/outline_23.pdf","PDFを開く")</f>
        <v>PDFを開く</v>
      </c>
      <c r="Q1166" s="8" t="s">
        <v>1887</v>
      </c>
    </row>
    <row r="1167" spans="1:17" ht="62.1" customHeight="1">
      <c r="A1167" s="5" t="s">
        <v>1888</v>
      </c>
      <c r="B1167" s="5" t="s">
        <v>1595</v>
      </c>
      <c r="C1167" s="9" t="s">
        <v>1889</v>
      </c>
      <c r="D1167" s="5">
        <v>1</v>
      </c>
      <c r="E1167" s="9" t="s">
        <v>10156</v>
      </c>
      <c r="F1167" s="5">
        <v>1</v>
      </c>
      <c r="G1167" s="9" t="s">
        <v>9578</v>
      </c>
      <c r="H1167" s="9" t="s">
        <v>9578</v>
      </c>
      <c r="I1167" s="5">
        <v>39.950000000000003</v>
      </c>
      <c r="J1167" s="5">
        <v>17.940000000000001</v>
      </c>
      <c r="K1167" s="5">
        <v>401.7</v>
      </c>
      <c r="L1167" s="5">
        <v>76.569999999999993</v>
      </c>
      <c r="M1167" s="9"/>
      <c r="N1167" s="9" t="s">
        <v>10181</v>
      </c>
      <c r="O1167" s="9" t="s">
        <v>10633</v>
      </c>
      <c r="P1167" s="9" t="str">
        <f t="shared" ref="P1167:P1172" si="63">HYPERLINK("https://seichotoushi-hojo.jp/assets/pdf/koufu_3_4ji/outline_232.pdf","PDFを開く")</f>
        <v>PDFを開く</v>
      </c>
      <c r="Q1167" s="9" t="s">
        <v>1896</v>
      </c>
    </row>
    <row r="1168" spans="1:17" ht="62.1" customHeight="1">
      <c r="A1168" s="2" t="s">
        <v>1888</v>
      </c>
      <c r="B1168" s="2" t="s">
        <v>1595</v>
      </c>
      <c r="C1168" s="8" t="s">
        <v>1889</v>
      </c>
      <c r="D1168" s="2">
        <v>1</v>
      </c>
      <c r="E1168" s="8" t="s">
        <v>10156</v>
      </c>
      <c r="F1168" s="2">
        <v>2</v>
      </c>
      <c r="G1168" s="8" t="s">
        <v>8581</v>
      </c>
      <c r="H1168" s="8" t="s">
        <v>8581</v>
      </c>
      <c r="I1168" s="2">
        <v>76.209999999999994</v>
      </c>
      <c r="J1168" s="2">
        <v>75.569999999999993</v>
      </c>
      <c r="K1168" s="2">
        <v>401.7</v>
      </c>
      <c r="L1168" s="2">
        <v>114.55</v>
      </c>
      <c r="M1168" s="8"/>
      <c r="N1168" s="8" t="s">
        <v>10181</v>
      </c>
      <c r="O1168" s="8" t="s">
        <v>10634</v>
      </c>
      <c r="P1168" s="8" t="str">
        <f t="shared" si="63"/>
        <v>PDFを開く</v>
      </c>
      <c r="Q1168" s="8" t="s">
        <v>1896</v>
      </c>
    </row>
    <row r="1169" spans="1:17" ht="62.1" customHeight="1">
      <c r="A1169" s="5" t="s">
        <v>1888</v>
      </c>
      <c r="B1169" s="5" t="s">
        <v>1595</v>
      </c>
      <c r="C1169" s="9" t="s">
        <v>1889</v>
      </c>
      <c r="D1169" s="5">
        <v>1</v>
      </c>
      <c r="E1169" s="9" t="s">
        <v>10156</v>
      </c>
      <c r="F1169" s="5">
        <v>3</v>
      </c>
      <c r="G1169" s="9" t="s">
        <v>10162</v>
      </c>
      <c r="H1169" s="9" t="s">
        <v>10162</v>
      </c>
      <c r="I1169" s="5">
        <v>396.33</v>
      </c>
      <c r="J1169" s="5">
        <v>97.17</v>
      </c>
      <c r="K1169" s="5">
        <v>739.83</v>
      </c>
      <c r="L1169" s="5">
        <v>316.58999999999997</v>
      </c>
      <c r="M1169" s="9"/>
      <c r="N1169" s="9" t="s">
        <v>10159</v>
      </c>
      <c r="O1169" s="9" t="s">
        <v>8937</v>
      </c>
      <c r="P1169" s="9" t="str">
        <f t="shared" si="63"/>
        <v>PDFを開く</v>
      </c>
      <c r="Q1169" s="9" t="s">
        <v>1896</v>
      </c>
    </row>
    <row r="1170" spans="1:17" ht="62.1" customHeight="1">
      <c r="A1170" s="2" t="s">
        <v>1888</v>
      </c>
      <c r="B1170" s="2" t="s">
        <v>1595</v>
      </c>
      <c r="C1170" s="8" t="s">
        <v>1889</v>
      </c>
      <c r="D1170" s="2">
        <v>1</v>
      </c>
      <c r="E1170" s="8" t="s">
        <v>10156</v>
      </c>
      <c r="F1170" s="2">
        <v>4</v>
      </c>
      <c r="G1170" s="8" t="s">
        <v>9578</v>
      </c>
      <c r="H1170" s="8" t="s">
        <v>9578</v>
      </c>
      <c r="I1170" s="2">
        <v>39</v>
      </c>
      <c r="J1170" s="2">
        <v>100.74</v>
      </c>
      <c r="K1170" s="2">
        <v>378.12</v>
      </c>
      <c r="L1170" s="2">
        <v>535.67999999999995</v>
      </c>
      <c r="M1170" s="8"/>
      <c r="N1170" s="8" t="s">
        <v>10159</v>
      </c>
      <c r="O1170" s="8" t="s">
        <v>10635</v>
      </c>
      <c r="P1170" s="8" t="str">
        <f t="shared" si="63"/>
        <v>PDFを開く</v>
      </c>
      <c r="Q1170" s="8" t="s">
        <v>1896</v>
      </c>
    </row>
    <row r="1171" spans="1:17" ht="62.1" customHeight="1">
      <c r="A1171" s="5" t="s">
        <v>1888</v>
      </c>
      <c r="B1171" s="5" t="s">
        <v>1595</v>
      </c>
      <c r="C1171" s="9" t="s">
        <v>1889</v>
      </c>
      <c r="D1171" s="5">
        <v>1</v>
      </c>
      <c r="E1171" s="9" t="s">
        <v>10156</v>
      </c>
      <c r="F1171" s="5">
        <v>5</v>
      </c>
      <c r="G1171" s="9" t="s">
        <v>10163</v>
      </c>
      <c r="H1171" s="9" t="s">
        <v>10163</v>
      </c>
      <c r="I1171" s="5">
        <v>396.33</v>
      </c>
      <c r="J1171" s="5">
        <v>318.08999999999997</v>
      </c>
      <c r="K1171" s="5">
        <v>739.83</v>
      </c>
      <c r="L1171" s="5">
        <v>529.83000000000004</v>
      </c>
      <c r="M1171" s="9"/>
      <c r="N1171" s="9" t="s">
        <v>10159</v>
      </c>
      <c r="O1171" s="9" t="s">
        <v>8938</v>
      </c>
      <c r="P1171" s="9" t="str">
        <f t="shared" si="63"/>
        <v>PDFを開く</v>
      </c>
      <c r="Q1171" s="9" t="s">
        <v>1896</v>
      </c>
    </row>
    <row r="1172" spans="1:17" ht="62.1" customHeight="1">
      <c r="A1172" s="2" t="s">
        <v>1888</v>
      </c>
      <c r="B1172" s="2" t="s">
        <v>1595</v>
      </c>
      <c r="C1172" s="8" t="s">
        <v>1889</v>
      </c>
      <c r="D1172" s="2">
        <v>1</v>
      </c>
      <c r="E1172" s="8" t="s">
        <v>10156</v>
      </c>
      <c r="F1172" s="2">
        <v>6</v>
      </c>
      <c r="G1172" s="8" t="s">
        <v>8581</v>
      </c>
      <c r="H1172" s="8" t="s">
        <v>8581</v>
      </c>
      <c r="I1172" s="2">
        <v>47.1</v>
      </c>
      <c r="J1172" s="2">
        <v>414.48</v>
      </c>
      <c r="K1172" s="2">
        <v>366.6</v>
      </c>
      <c r="L1172" s="2">
        <v>529.74</v>
      </c>
      <c r="M1172" s="8"/>
      <c r="N1172" s="8" t="s">
        <v>10159</v>
      </c>
      <c r="O1172" s="8" t="s">
        <v>10636</v>
      </c>
      <c r="P1172" s="8" t="str">
        <f t="shared" si="63"/>
        <v>PDFを開く</v>
      </c>
      <c r="Q1172" s="8" t="s">
        <v>1896</v>
      </c>
    </row>
    <row r="1173" spans="1:17" ht="62.1" customHeight="1">
      <c r="A1173" s="5" t="s">
        <v>1897</v>
      </c>
      <c r="B1173" s="5" t="s">
        <v>1595</v>
      </c>
      <c r="C1173" s="9" t="s">
        <v>1898</v>
      </c>
      <c r="D1173" s="5">
        <v>1</v>
      </c>
      <c r="E1173" s="9" t="s">
        <v>10156</v>
      </c>
      <c r="F1173" s="5">
        <v>1</v>
      </c>
      <c r="G1173" s="9" t="s">
        <v>9578</v>
      </c>
      <c r="H1173" s="9" t="s">
        <v>9578</v>
      </c>
      <c r="I1173" s="5">
        <v>39.6</v>
      </c>
      <c r="J1173" s="5">
        <v>107.04</v>
      </c>
      <c r="K1173" s="5">
        <v>378.84</v>
      </c>
      <c r="L1173" s="5">
        <v>523.79999999999995</v>
      </c>
      <c r="M1173" s="9"/>
      <c r="N1173" s="9" t="s">
        <v>10159</v>
      </c>
      <c r="O1173" s="9" t="s">
        <v>8944</v>
      </c>
      <c r="P1173" s="9" t="str">
        <f>HYPERLINK("https://seichotoushi-hojo.jp/assets/pdf/koufu_3_4ji/outline_234.pdf","PDFを開く")</f>
        <v>PDFを開く</v>
      </c>
      <c r="Q1173" s="9" t="s">
        <v>1903</v>
      </c>
    </row>
    <row r="1174" spans="1:17" ht="62.1" customHeight="1">
      <c r="A1174" s="2" t="s">
        <v>1897</v>
      </c>
      <c r="B1174" s="2" t="s">
        <v>1595</v>
      </c>
      <c r="C1174" s="8" t="s">
        <v>1898</v>
      </c>
      <c r="D1174" s="2">
        <v>1</v>
      </c>
      <c r="E1174" s="8" t="s">
        <v>10156</v>
      </c>
      <c r="F1174" s="2">
        <v>2</v>
      </c>
      <c r="G1174" s="8" t="s">
        <v>10162</v>
      </c>
      <c r="H1174" s="8" t="s">
        <v>10162</v>
      </c>
      <c r="I1174" s="2">
        <v>400.92</v>
      </c>
      <c r="J1174" s="2">
        <v>108.24</v>
      </c>
      <c r="K1174" s="2">
        <v>744.48</v>
      </c>
      <c r="L1174" s="2">
        <v>406.92</v>
      </c>
      <c r="M1174" s="8"/>
      <c r="N1174" s="8" t="s">
        <v>10159</v>
      </c>
      <c r="O1174" s="8" t="s">
        <v>8945</v>
      </c>
      <c r="P1174" s="8" t="str">
        <f>HYPERLINK("https://seichotoushi-hojo.jp/assets/pdf/koufu_3_4ji/outline_234.pdf","PDFを開く")</f>
        <v>PDFを開く</v>
      </c>
      <c r="Q1174" s="8" t="s">
        <v>1903</v>
      </c>
    </row>
    <row r="1175" spans="1:17" ht="62.1" customHeight="1">
      <c r="A1175" s="5" t="s">
        <v>1897</v>
      </c>
      <c r="B1175" s="5" t="s">
        <v>1595</v>
      </c>
      <c r="C1175" s="9" t="s">
        <v>1898</v>
      </c>
      <c r="D1175" s="5">
        <v>1</v>
      </c>
      <c r="E1175" s="9" t="s">
        <v>10156</v>
      </c>
      <c r="F1175" s="5">
        <v>3</v>
      </c>
      <c r="G1175" s="9" t="s">
        <v>8581</v>
      </c>
      <c r="H1175" s="9" t="s">
        <v>8581</v>
      </c>
      <c r="I1175" s="5">
        <v>48.48</v>
      </c>
      <c r="J1175" s="5">
        <v>273.60000000000002</v>
      </c>
      <c r="K1175" s="5">
        <v>367.92</v>
      </c>
      <c r="L1175" s="5">
        <v>377.16</v>
      </c>
      <c r="M1175" s="9"/>
      <c r="N1175" s="9" t="s">
        <v>10159</v>
      </c>
      <c r="O1175" s="9" t="s">
        <v>8947</v>
      </c>
      <c r="P1175" s="9" t="str">
        <f>HYPERLINK("https://seichotoushi-hojo.jp/assets/pdf/koufu_3_4ji/outline_234.pdf","PDFを開く")</f>
        <v>PDFを開く</v>
      </c>
      <c r="Q1175" s="9" t="s">
        <v>1903</v>
      </c>
    </row>
    <row r="1176" spans="1:17" ht="62.1" customHeight="1">
      <c r="A1176" s="2" t="s">
        <v>1897</v>
      </c>
      <c r="B1176" s="2" t="s">
        <v>1595</v>
      </c>
      <c r="C1176" s="8" t="s">
        <v>1898</v>
      </c>
      <c r="D1176" s="2">
        <v>1</v>
      </c>
      <c r="E1176" s="8" t="s">
        <v>10156</v>
      </c>
      <c r="F1176" s="2">
        <v>4</v>
      </c>
      <c r="G1176" s="8" t="s">
        <v>10163</v>
      </c>
      <c r="H1176" s="8" t="s">
        <v>10163</v>
      </c>
      <c r="I1176" s="2">
        <v>400.32</v>
      </c>
      <c r="J1176" s="2">
        <v>416.76</v>
      </c>
      <c r="K1176" s="2">
        <v>744.48</v>
      </c>
      <c r="L1176" s="2">
        <v>513.96</v>
      </c>
      <c r="M1176" s="8"/>
      <c r="N1176" s="8" t="s">
        <v>10159</v>
      </c>
      <c r="O1176" s="8" t="s">
        <v>8946</v>
      </c>
      <c r="P1176" s="8" t="str">
        <f>HYPERLINK("https://seichotoushi-hojo.jp/assets/pdf/koufu_3_4ji/outline_234.pdf","PDFを開く")</f>
        <v>PDFを開く</v>
      </c>
      <c r="Q1176" s="8" t="s">
        <v>1903</v>
      </c>
    </row>
    <row r="1177" spans="1:17" ht="62.1" customHeight="1">
      <c r="A1177" s="5" t="s">
        <v>1904</v>
      </c>
      <c r="B1177" s="5" t="s">
        <v>1595</v>
      </c>
      <c r="C1177" s="9" t="s">
        <v>1905</v>
      </c>
      <c r="D1177" s="5">
        <v>1</v>
      </c>
      <c r="E1177" s="9" t="s">
        <v>10156</v>
      </c>
      <c r="F1177" s="5">
        <v>1</v>
      </c>
      <c r="G1177" s="9" t="s">
        <v>9578</v>
      </c>
      <c r="H1177" s="9" t="s">
        <v>9578</v>
      </c>
      <c r="I1177" s="5">
        <v>13.92</v>
      </c>
      <c r="J1177" s="5">
        <v>118.44</v>
      </c>
      <c r="K1177" s="5">
        <v>399.48</v>
      </c>
      <c r="L1177" s="5">
        <v>580.44000000000005</v>
      </c>
      <c r="M1177" s="9"/>
      <c r="N1177" s="9" t="s">
        <v>10159</v>
      </c>
      <c r="O1177" s="9" t="s">
        <v>8952</v>
      </c>
      <c r="P1177" s="9" t="str">
        <f>HYPERLINK("https://seichotoushi-hojo.jp/assets/pdf/koufu_3_4ji/outline_24.pdf","PDFを開く")</f>
        <v>PDFを開く</v>
      </c>
      <c r="Q1177" s="9" t="s">
        <v>1911</v>
      </c>
    </row>
    <row r="1178" spans="1:17" ht="62.1" customHeight="1">
      <c r="A1178" s="2" t="s">
        <v>1904</v>
      </c>
      <c r="B1178" s="2" t="s">
        <v>1595</v>
      </c>
      <c r="C1178" s="8" t="s">
        <v>1905</v>
      </c>
      <c r="D1178" s="2">
        <v>1</v>
      </c>
      <c r="E1178" s="8" t="s">
        <v>10156</v>
      </c>
      <c r="F1178" s="2">
        <v>2</v>
      </c>
      <c r="G1178" s="8" t="s">
        <v>10162</v>
      </c>
      <c r="H1178" s="8" t="s">
        <v>10162</v>
      </c>
      <c r="I1178" s="2">
        <v>427.8</v>
      </c>
      <c r="J1178" s="2">
        <v>183</v>
      </c>
      <c r="K1178" s="2">
        <v>816.36</v>
      </c>
      <c r="L1178" s="2">
        <v>378.84</v>
      </c>
      <c r="M1178" s="8"/>
      <c r="N1178" s="8" t="s">
        <v>10159</v>
      </c>
      <c r="O1178" s="8" t="s">
        <v>8953</v>
      </c>
      <c r="P1178" s="8" t="str">
        <f>HYPERLINK("https://seichotoushi-hojo.jp/assets/pdf/koufu_3_4ji/outline_24.pdf","PDFを開く")</f>
        <v>PDFを開く</v>
      </c>
      <c r="Q1178" s="8" t="s">
        <v>1911</v>
      </c>
    </row>
    <row r="1179" spans="1:17" ht="62.1" customHeight="1">
      <c r="A1179" s="5" t="s">
        <v>1904</v>
      </c>
      <c r="B1179" s="5" t="s">
        <v>1595</v>
      </c>
      <c r="C1179" s="9" t="s">
        <v>1905</v>
      </c>
      <c r="D1179" s="5">
        <v>1</v>
      </c>
      <c r="E1179" s="9" t="s">
        <v>10156</v>
      </c>
      <c r="F1179" s="5">
        <v>3</v>
      </c>
      <c r="G1179" s="9" t="s">
        <v>10163</v>
      </c>
      <c r="H1179" s="9" t="s">
        <v>10163</v>
      </c>
      <c r="I1179" s="5">
        <v>431.04</v>
      </c>
      <c r="J1179" s="5">
        <v>441.24</v>
      </c>
      <c r="K1179" s="5">
        <v>816.48</v>
      </c>
      <c r="L1179" s="5">
        <v>578.88</v>
      </c>
      <c r="M1179" s="9"/>
      <c r="N1179" s="9" t="s">
        <v>10159</v>
      </c>
      <c r="O1179" s="9" t="s">
        <v>8954</v>
      </c>
      <c r="P1179" s="9" t="str">
        <f>HYPERLINK("https://seichotoushi-hojo.jp/assets/pdf/koufu_3_4ji/outline_24.pdf","PDFを開く")</f>
        <v>PDFを開く</v>
      </c>
      <c r="Q1179" s="9" t="s">
        <v>1911</v>
      </c>
    </row>
    <row r="1180" spans="1:17" ht="62.1" customHeight="1">
      <c r="A1180" s="2" t="s">
        <v>1904</v>
      </c>
      <c r="B1180" s="2" t="s">
        <v>1595</v>
      </c>
      <c r="C1180" s="8" t="s">
        <v>1905</v>
      </c>
      <c r="D1180" s="2">
        <v>1</v>
      </c>
      <c r="E1180" s="8" t="s">
        <v>10156</v>
      </c>
      <c r="F1180" s="2">
        <v>4</v>
      </c>
      <c r="G1180" s="8" t="s">
        <v>8581</v>
      </c>
      <c r="H1180" s="8" t="s">
        <v>8581</v>
      </c>
      <c r="I1180" s="2">
        <v>34.32</v>
      </c>
      <c r="J1180" s="2">
        <v>450.6</v>
      </c>
      <c r="K1180" s="2">
        <v>379.08</v>
      </c>
      <c r="L1180" s="2">
        <v>575.64</v>
      </c>
      <c r="M1180" s="8"/>
      <c r="N1180" s="8" t="s">
        <v>10159</v>
      </c>
      <c r="O1180" s="8" t="s">
        <v>8955</v>
      </c>
      <c r="P1180" s="8" t="str">
        <f>HYPERLINK("https://seichotoushi-hojo.jp/assets/pdf/koufu_3_4ji/outline_24.pdf","PDFを開く")</f>
        <v>PDFを開く</v>
      </c>
      <c r="Q1180" s="8" t="s">
        <v>1911</v>
      </c>
    </row>
    <row r="1181" spans="1:17" ht="62.1" customHeight="1">
      <c r="A1181" s="5" t="s">
        <v>1904</v>
      </c>
      <c r="B1181" s="5" t="s">
        <v>1595</v>
      </c>
      <c r="C1181" s="9" t="s">
        <v>1905</v>
      </c>
      <c r="D1181" s="5">
        <v>2</v>
      </c>
      <c r="E1181" s="9" t="s">
        <v>10165</v>
      </c>
      <c r="F1181" s="5">
        <v>1</v>
      </c>
      <c r="G1181" s="9" t="s">
        <v>10167</v>
      </c>
      <c r="H1181" s="9" t="s">
        <v>5265</v>
      </c>
      <c r="I1181" s="5">
        <v>129.6</v>
      </c>
      <c r="J1181" s="5">
        <v>438</v>
      </c>
      <c r="K1181" s="5">
        <v>559.44000000000005</v>
      </c>
      <c r="L1181" s="5">
        <v>468.48</v>
      </c>
      <c r="M1181" s="9"/>
      <c r="N1181" s="9" t="s">
        <v>10159</v>
      </c>
      <c r="O1181" s="9" t="s">
        <v>10187</v>
      </c>
      <c r="P1181" s="9" t="str">
        <f>HYPERLINK("https://seichotoushi-hojo.jp/assets/pdf/koufu_3_4ji/outline_24.pdf","PDFを開く")</f>
        <v>PDFを開く</v>
      </c>
      <c r="Q1181" s="9" t="s">
        <v>1911</v>
      </c>
    </row>
    <row r="1182" spans="1:17" ht="62.1" customHeight="1">
      <c r="A1182" s="2" t="s">
        <v>1912</v>
      </c>
      <c r="B1182" s="2" t="s">
        <v>1595</v>
      </c>
      <c r="C1182" s="8" t="s">
        <v>1913</v>
      </c>
      <c r="D1182" s="2">
        <v>1</v>
      </c>
      <c r="E1182" s="8" t="s">
        <v>10156</v>
      </c>
      <c r="F1182" s="2">
        <v>1</v>
      </c>
      <c r="G1182" s="8" t="s">
        <v>10171</v>
      </c>
      <c r="H1182" s="8" t="s">
        <v>10171</v>
      </c>
      <c r="I1182" s="2">
        <v>30.6</v>
      </c>
      <c r="J1182" s="2">
        <v>101.64</v>
      </c>
      <c r="K1182" s="2">
        <v>395.16</v>
      </c>
      <c r="L1182" s="2">
        <v>173.64</v>
      </c>
      <c r="M1182" s="8"/>
      <c r="N1182" s="8" t="s">
        <v>10159</v>
      </c>
      <c r="O1182" s="8" t="s">
        <v>8964</v>
      </c>
      <c r="P1182" s="8" t="str">
        <f t="shared" ref="P1182:P1205" si="64">HYPERLINK("https://seichotoushi-hojo.jp/assets/pdf/koufu_3_4ji/outline_25.pdf","PDFを開く")</f>
        <v>PDFを開く</v>
      </c>
      <c r="Q1182" s="8" t="s">
        <v>1917</v>
      </c>
    </row>
    <row r="1183" spans="1:17" ht="62.1" customHeight="1">
      <c r="A1183" s="5" t="s">
        <v>1912</v>
      </c>
      <c r="B1183" s="5" t="s">
        <v>1595</v>
      </c>
      <c r="C1183" s="9" t="s">
        <v>1913</v>
      </c>
      <c r="D1183" s="5">
        <v>1</v>
      </c>
      <c r="E1183" s="9" t="s">
        <v>10156</v>
      </c>
      <c r="F1183" s="5">
        <v>2</v>
      </c>
      <c r="G1183" s="9" t="s">
        <v>10167</v>
      </c>
      <c r="H1183" s="9" t="s">
        <v>10637</v>
      </c>
      <c r="I1183" s="5">
        <v>399.84</v>
      </c>
      <c r="J1183" s="5">
        <v>101.64</v>
      </c>
      <c r="K1183" s="5">
        <v>749.4</v>
      </c>
      <c r="L1183" s="5">
        <v>173.64</v>
      </c>
      <c r="M1183" s="9"/>
      <c r="N1183" s="9" t="s">
        <v>10159</v>
      </c>
      <c r="O1183" s="9" t="s">
        <v>10638</v>
      </c>
      <c r="P1183" s="9" t="str">
        <f t="shared" si="64"/>
        <v>PDFを開く</v>
      </c>
      <c r="Q1183" s="9" t="s">
        <v>1917</v>
      </c>
    </row>
    <row r="1184" spans="1:17" ht="62.1" customHeight="1">
      <c r="A1184" s="2" t="s">
        <v>1912</v>
      </c>
      <c r="B1184" s="2" t="s">
        <v>1595</v>
      </c>
      <c r="C1184" s="8" t="s">
        <v>1913</v>
      </c>
      <c r="D1184" s="2">
        <v>1</v>
      </c>
      <c r="E1184" s="8" t="s">
        <v>10156</v>
      </c>
      <c r="F1184" s="2">
        <v>3</v>
      </c>
      <c r="G1184" s="8" t="s">
        <v>10167</v>
      </c>
      <c r="H1184" s="8" t="s">
        <v>10639</v>
      </c>
      <c r="I1184" s="2">
        <v>30.6</v>
      </c>
      <c r="J1184" s="2">
        <v>180.12</v>
      </c>
      <c r="K1184" s="2">
        <v>528.96</v>
      </c>
      <c r="L1184" s="2">
        <v>289.68</v>
      </c>
      <c r="M1184" s="8"/>
      <c r="N1184" s="8" t="s">
        <v>10159</v>
      </c>
      <c r="O1184" s="8" t="s">
        <v>10640</v>
      </c>
      <c r="P1184" s="8" t="str">
        <f t="shared" si="64"/>
        <v>PDFを開く</v>
      </c>
      <c r="Q1184" s="8" t="s">
        <v>1917</v>
      </c>
    </row>
    <row r="1185" spans="1:17" ht="62.1" customHeight="1">
      <c r="A1185" s="5" t="s">
        <v>1912</v>
      </c>
      <c r="B1185" s="5" t="s">
        <v>1595</v>
      </c>
      <c r="C1185" s="9" t="s">
        <v>1913</v>
      </c>
      <c r="D1185" s="5">
        <v>2</v>
      </c>
      <c r="E1185" s="9" t="s">
        <v>10156</v>
      </c>
      <c r="F1185" s="5">
        <v>1</v>
      </c>
      <c r="G1185" s="9" t="s">
        <v>10162</v>
      </c>
      <c r="H1185" s="9" t="s">
        <v>10162</v>
      </c>
      <c r="I1185" s="5">
        <v>396.36</v>
      </c>
      <c r="J1185" s="5">
        <v>106.08</v>
      </c>
      <c r="K1185" s="5">
        <v>739.8</v>
      </c>
      <c r="L1185" s="5">
        <v>302.52</v>
      </c>
      <c r="M1185" s="9"/>
      <c r="N1185" s="9" t="s">
        <v>10159</v>
      </c>
      <c r="O1185" s="9" t="s">
        <v>8962</v>
      </c>
      <c r="P1185" s="9" t="str">
        <f t="shared" si="64"/>
        <v>PDFを開く</v>
      </c>
      <c r="Q1185" s="9" t="s">
        <v>1917</v>
      </c>
    </row>
    <row r="1186" spans="1:17" ht="62.1" customHeight="1">
      <c r="A1186" s="2" t="s">
        <v>1912</v>
      </c>
      <c r="B1186" s="2" t="s">
        <v>1595</v>
      </c>
      <c r="C1186" s="8" t="s">
        <v>1913</v>
      </c>
      <c r="D1186" s="2">
        <v>2</v>
      </c>
      <c r="E1186" s="8" t="s">
        <v>10156</v>
      </c>
      <c r="F1186" s="2">
        <v>2</v>
      </c>
      <c r="G1186" s="8" t="s">
        <v>9578</v>
      </c>
      <c r="H1186" s="8" t="s">
        <v>9578</v>
      </c>
      <c r="I1186" s="2">
        <v>39.6</v>
      </c>
      <c r="J1186" s="2">
        <v>114.84</v>
      </c>
      <c r="K1186" s="2">
        <v>378.84</v>
      </c>
      <c r="L1186" s="2">
        <v>507.6</v>
      </c>
      <c r="M1186" s="8"/>
      <c r="N1186" s="8" t="s">
        <v>10159</v>
      </c>
      <c r="O1186" s="8" t="s">
        <v>8961</v>
      </c>
      <c r="P1186" s="8" t="str">
        <f t="shared" si="64"/>
        <v>PDFを開く</v>
      </c>
      <c r="Q1186" s="8" t="s">
        <v>1917</v>
      </c>
    </row>
    <row r="1187" spans="1:17" ht="62.1" customHeight="1">
      <c r="A1187" s="5" t="s">
        <v>1912</v>
      </c>
      <c r="B1187" s="5" t="s">
        <v>1595</v>
      </c>
      <c r="C1187" s="9" t="s">
        <v>1913</v>
      </c>
      <c r="D1187" s="5">
        <v>2</v>
      </c>
      <c r="E1187" s="9" t="s">
        <v>10156</v>
      </c>
      <c r="F1187" s="5">
        <v>3</v>
      </c>
      <c r="G1187" s="9" t="s">
        <v>10163</v>
      </c>
      <c r="H1187" s="9" t="s">
        <v>10163</v>
      </c>
      <c r="I1187" s="5">
        <v>396.36</v>
      </c>
      <c r="J1187" s="5">
        <v>312.95999999999998</v>
      </c>
      <c r="K1187" s="5">
        <v>739.8</v>
      </c>
      <c r="L1187" s="5">
        <v>509.4</v>
      </c>
      <c r="M1187" s="9"/>
      <c r="N1187" s="9" t="s">
        <v>10159</v>
      </c>
      <c r="O1187" s="9" t="s">
        <v>8963</v>
      </c>
      <c r="P1187" s="9" t="str">
        <f t="shared" si="64"/>
        <v>PDFを開く</v>
      </c>
      <c r="Q1187" s="9" t="s">
        <v>1917</v>
      </c>
    </row>
    <row r="1188" spans="1:17" ht="62.1" customHeight="1">
      <c r="A1188" s="2" t="s">
        <v>1912</v>
      </c>
      <c r="B1188" s="2" t="s">
        <v>1595</v>
      </c>
      <c r="C1188" s="8" t="s">
        <v>1913</v>
      </c>
      <c r="D1188" s="2">
        <v>2</v>
      </c>
      <c r="E1188" s="8" t="s">
        <v>10156</v>
      </c>
      <c r="F1188" s="2">
        <v>4</v>
      </c>
      <c r="G1188" s="8" t="s">
        <v>8581</v>
      </c>
      <c r="H1188" s="8" t="s">
        <v>8581</v>
      </c>
      <c r="I1188" s="2">
        <v>49.44</v>
      </c>
      <c r="J1188" s="2">
        <v>384</v>
      </c>
      <c r="K1188" s="2">
        <v>369</v>
      </c>
      <c r="L1188" s="2">
        <v>499.68</v>
      </c>
      <c r="M1188" s="8"/>
      <c r="N1188" s="8" t="s">
        <v>10159</v>
      </c>
      <c r="O1188" s="8" t="s">
        <v>8965</v>
      </c>
      <c r="P1188" s="8" t="str">
        <f t="shared" si="64"/>
        <v>PDFを開く</v>
      </c>
      <c r="Q1188" s="8" t="s">
        <v>1917</v>
      </c>
    </row>
    <row r="1189" spans="1:17" ht="62.1" customHeight="1">
      <c r="A1189" s="5" t="s">
        <v>1912</v>
      </c>
      <c r="B1189" s="5" t="s">
        <v>1595</v>
      </c>
      <c r="C1189" s="9" t="s">
        <v>1913</v>
      </c>
      <c r="D1189" s="5">
        <v>3</v>
      </c>
      <c r="E1189" s="9" t="s">
        <v>10156</v>
      </c>
      <c r="F1189" s="5">
        <v>1</v>
      </c>
      <c r="G1189" s="9" t="s">
        <v>10167</v>
      </c>
      <c r="H1189" s="9" t="s">
        <v>10641</v>
      </c>
      <c r="I1189" s="5">
        <v>391.56</v>
      </c>
      <c r="J1189" s="5">
        <v>115.8</v>
      </c>
      <c r="K1189" s="5">
        <v>747.48</v>
      </c>
      <c r="L1189" s="5">
        <v>177.72</v>
      </c>
      <c r="M1189" s="9"/>
      <c r="N1189" s="9" t="s">
        <v>10159</v>
      </c>
      <c r="O1189" s="9" t="s">
        <v>10642</v>
      </c>
      <c r="P1189" s="9" t="str">
        <f t="shared" si="64"/>
        <v>PDFを開く</v>
      </c>
      <c r="Q1189" s="9" t="s">
        <v>1917</v>
      </c>
    </row>
    <row r="1190" spans="1:17" ht="62.1" customHeight="1">
      <c r="A1190" s="2" t="s">
        <v>1912</v>
      </c>
      <c r="B1190" s="2" t="s">
        <v>1595</v>
      </c>
      <c r="C1190" s="8" t="s">
        <v>1913</v>
      </c>
      <c r="D1190" s="2">
        <v>3</v>
      </c>
      <c r="E1190" s="8" t="s">
        <v>10156</v>
      </c>
      <c r="F1190" s="2">
        <v>2</v>
      </c>
      <c r="G1190" s="8" t="s">
        <v>10167</v>
      </c>
      <c r="H1190" s="8" t="s">
        <v>10643</v>
      </c>
      <c r="I1190" s="2">
        <v>33.24</v>
      </c>
      <c r="J1190" s="2">
        <v>116.04</v>
      </c>
      <c r="K1190" s="2">
        <v>383.52</v>
      </c>
      <c r="L1190" s="2">
        <v>177.84</v>
      </c>
      <c r="M1190" s="8"/>
      <c r="N1190" s="8" t="s">
        <v>10159</v>
      </c>
      <c r="O1190" s="8" t="s">
        <v>10644</v>
      </c>
      <c r="P1190" s="8" t="str">
        <f t="shared" si="64"/>
        <v>PDFを開く</v>
      </c>
      <c r="Q1190" s="8" t="s">
        <v>1917</v>
      </c>
    </row>
    <row r="1191" spans="1:17" ht="62.1" customHeight="1">
      <c r="A1191" s="5" t="s">
        <v>1912</v>
      </c>
      <c r="B1191" s="5" t="s">
        <v>1595</v>
      </c>
      <c r="C1191" s="9" t="s">
        <v>1913</v>
      </c>
      <c r="D1191" s="5">
        <v>3</v>
      </c>
      <c r="E1191" s="9" t="s">
        <v>10156</v>
      </c>
      <c r="F1191" s="5">
        <v>3</v>
      </c>
      <c r="G1191" s="9" t="s">
        <v>10167</v>
      </c>
      <c r="H1191" s="9" t="s">
        <v>10645</v>
      </c>
      <c r="I1191" s="5">
        <v>33.24</v>
      </c>
      <c r="J1191" s="5">
        <v>180.12</v>
      </c>
      <c r="K1191" s="5">
        <v>383.52</v>
      </c>
      <c r="L1191" s="5">
        <v>229.08</v>
      </c>
      <c r="M1191" s="9"/>
      <c r="N1191" s="9" t="s">
        <v>10159</v>
      </c>
      <c r="O1191" s="9" t="s">
        <v>10646</v>
      </c>
      <c r="P1191" s="9" t="str">
        <f t="shared" si="64"/>
        <v>PDFを開く</v>
      </c>
      <c r="Q1191" s="9" t="s">
        <v>1917</v>
      </c>
    </row>
    <row r="1192" spans="1:17" ht="62.1" customHeight="1">
      <c r="A1192" s="2" t="s">
        <v>1912</v>
      </c>
      <c r="B1192" s="2" t="s">
        <v>1595</v>
      </c>
      <c r="C1192" s="8" t="s">
        <v>1913</v>
      </c>
      <c r="D1192" s="2">
        <v>3</v>
      </c>
      <c r="E1192" s="8" t="s">
        <v>10156</v>
      </c>
      <c r="F1192" s="2">
        <v>4</v>
      </c>
      <c r="G1192" s="8" t="s">
        <v>10167</v>
      </c>
      <c r="H1192" s="8" t="s">
        <v>10647</v>
      </c>
      <c r="I1192" s="2">
        <v>392.28</v>
      </c>
      <c r="J1192" s="2">
        <v>180.72</v>
      </c>
      <c r="K1192" s="2">
        <v>748.2</v>
      </c>
      <c r="L1192" s="2">
        <v>228.36</v>
      </c>
      <c r="M1192" s="8"/>
      <c r="N1192" s="8" t="s">
        <v>10159</v>
      </c>
      <c r="O1192" s="8" t="s">
        <v>10648</v>
      </c>
      <c r="P1192" s="8" t="str">
        <f t="shared" si="64"/>
        <v>PDFを開く</v>
      </c>
      <c r="Q1192" s="8" t="s">
        <v>1917</v>
      </c>
    </row>
    <row r="1193" spans="1:17" ht="62.1" customHeight="1">
      <c r="A1193" s="5" t="s">
        <v>1912</v>
      </c>
      <c r="B1193" s="5" t="s">
        <v>1595</v>
      </c>
      <c r="C1193" s="9" t="s">
        <v>1913</v>
      </c>
      <c r="D1193" s="5">
        <v>3</v>
      </c>
      <c r="E1193" s="9" t="s">
        <v>10156</v>
      </c>
      <c r="F1193" s="5">
        <v>5</v>
      </c>
      <c r="G1193" s="9" t="s">
        <v>10167</v>
      </c>
      <c r="H1193" s="9" t="s">
        <v>10649</v>
      </c>
      <c r="I1193" s="5">
        <v>390.36</v>
      </c>
      <c r="J1193" s="5">
        <v>251.64</v>
      </c>
      <c r="K1193" s="5">
        <v>748.68</v>
      </c>
      <c r="L1193" s="5">
        <v>311.64</v>
      </c>
      <c r="M1193" s="9"/>
      <c r="N1193" s="9" t="s">
        <v>10159</v>
      </c>
      <c r="O1193" s="9" t="s">
        <v>10650</v>
      </c>
      <c r="P1193" s="9" t="str">
        <f t="shared" si="64"/>
        <v>PDFを開く</v>
      </c>
      <c r="Q1193" s="9" t="s">
        <v>1917</v>
      </c>
    </row>
    <row r="1194" spans="1:17" ht="62.1" customHeight="1">
      <c r="A1194" s="2" t="s">
        <v>1912</v>
      </c>
      <c r="B1194" s="2" t="s">
        <v>1595</v>
      </c>
      <c r="C1194" s="8" t="s">
        <v>1913</v>
      </c>
      <c r="D1194" s="2">
        <v>3</v>
      </c>
      <c r="E1194" s="8" t="s">
        <v>10156</v>
      </c>
      <c r="F1194" s="2">
        <v>6</v>
      </c>
      <c r="G1194" s="8" t="s">
        <v>10167</v>
      </c>
      <c r="H1194" s="8" t="s">
        <v>10651</v>
      </c>
      <c r="I1194" s="2">
        <v>33.24</v>
      </c>
      <c r="J1194" s="2">
        <v>252.36</v>
      </c>
      <c r="K1194" s="2">
        <v>383.52</v>
      </c>
      <c r="L1194" s="2">
        <v>311.64</v>
      </c>
      <c r="M1194" s="8"/>
      <c r="N1194" s="8" t="s">
        <v>10159</v>
      </c>
      <c r="O1194" s="8" t="s">
        <v>10652</v>
      </c>
      <c r="P1194" s="8" t="str">
        <f t="shared" si="64"/>
        <v>PDFを開く</v>
      </c>
      <c r="Q1194" s="8" t="s">
        <v>1917</v>
      </c>
    </row>
    <row r="1195" spans="1:17" ht="62.1" customHeight="1">
      <c r="A1195" s="5" t="s">
        <v>1912</v>
      </c>
      <c r="B1195" s="5" t="s">
        <v>1595</v>
      </c>
      <c r="C1195" s="9" t="s">
        <v>1913</v>
      </c>
      <c r="D1195" s="5">
        <v>3</v>
      </c>
      <c r="E1195" s="9" t="s">
        <v>10156</v>
      </c>
      <c r="F1195" s="5">
        <v>7</v>
      </c>
      <c r="G1195" s="9" t="s">
        <v>10167</v>
      </c>
      <c r="H1195" s="9" t="s">
        <v>10653</v>
      </c>
      <c r="I1195" s="5">
        <v>32.520000000000003</v>
      </c>
      <c r="J1195" s="5">
        <v>333.6</v>
      </c>
      <c r="K1195" s="5">
        <v>382.8</v>
      </c>
      <c r="L1195" s="5">
        <v>395.52</v>
      </c>
      <c r="M1195" s="9"/>
      <c r="N1195" s="9" t="s">
        <v>10159</v>
      </c>
      <c r="O1195" s="9" t="s">
        <v>10654</v>
      </c>
      <c r="P1195" s="9" t="str">
        <f t="shared" si="64"/>
        <v>PDFを開く</v>
      </c>
      <c r="Q1195" s="9" t="s">
        <v>1917</v>
      </c>
    </row>
    <row r="1196" spans="1:17" ht="62.1" customHeight="1">
      <c r="A1196" s="2" t="s">
        <v>1912</v>
      </c>
      <c r="B1196" s="2" t="s">
        <v>1595</v>
      </c>
      <c r="C1196" s="8" t="s">
        <v>1913</v>
      </c>
      <c r="D1196" s="2">
        <v>3</v>
      </c>
      <c r="E1196" s="8" t="s">
        <v>10156</v>
      </c>
      <c r="F1196" s="2">
        <v>8</v>
      </c>
      <c r="G1196" s="8" t="s">
        <v>10167</v>
      </c>
      <c r="H1196" s="8" t="s">
        <v>10655</v>
      </c>
      <c r="I1196" s="2">
        <v>392.28</v>
      </c>
      <c r="J1196" s="2">
        <v>333.6</v>
      </c>
      <c r="K1196" s="2">
        <v>748.2</v>
      </c>
      <c r="L1196" s="2">
        <v>395.52</v>
      </c>
      <c r="M1196" s="8"/>
      <c r="N1196" s="8" t="s">
        <v>10159</v>
      </c>
      <c r="O1196" s="8" t="s">
        <v>10656</v>
      </c>
      <c r="P1196" s="8" t="str">
        <f t="shared" si="64"/>
        <v>PDFを開く</v>
      </c>
      <c r="Q1196" s="8" t="s">
        <v>1917</v>
      </c>
    </row>
    <row r="1197" spans="1:17" ht="62.1" customHeight="1">
      <c r="A1197" s="5" t="s">
        <v>1912</v>
      </c>
      <c r="B1197" s="5" t="s">
        <v>1595</v>
      </c>
      <c r="C1197" s="9" t="s">
        <v>1913</v>
      </c>
      <c r="D1197" s="5">
        <v>3</v>
      </c>
      <c r="E1197" s="9" t="s">
        <v>10156</v>
      </c>
      <c r="F1197" s="5">
        <v>9</v>
      </c>
      <c r="G1197" s="9" t="s">
        <v>10167</v>
      </c>
      <c r="H1197" s="9" t="s">
        <v>10657</v>
      </c>
      <c r="I1197" s="5">
        <v>28.92</v>
      </c>
      <c r="J1197" s="5">
        <v>444.72</v>
      </c>
      <c r="K1197" s="5">
        <v>382.8</v>
      </c>
      <c r="L1197" s="5">
        <v>506.64</v>
      </c>
      <c r="M1197" s="9"/>
      <c r="N1197" s="9" t="s">
        <v>10159</v>
      </c>
      <c r="O1197" s="9" t="s">
        <v>10658</v>
      </c>
      <c r="P1197" s="9" t="str">
        <f t="shared" si="64"/>
        <v>PDFを開く</v>
      </c>
      <c r="Q1197" s="9" t="s">
        <v>1917</v>
      </c>
    </row>
    <row r="1198" spans="1:17" ht="62.1" customHeight="1">
      <c r="A1198" s="2" t="s">
        <v>1912</v>
      </c>
      <c r="B1198" s="2" t="s">
        <v>1595</v>
      </c>
      <c r="C1198" s="8" t="s">
        <v>1913</v>
      </c>
      <c r="D1198" s="2">
        <v>3</v>
      </c>
      <c r="E1198" s="8" t="s">
        <v>10156</v>
      </c>
      <c r="F1198" s="2">
        <v>10</v>
      </c>
      <c r="G1198" s="8" t="s">
        <v>10167</v>
      </c>
      <c r="H1198" s="8" t="s">
        <v>10659</v>
      </c>
      <c r="I1198" s="2">
        <v>392.28</v>
      </c>
      <c r="J1198" s="2">
        <v>444.72</v>
      </c>
      <c r="K1198" s="2">
        <v>748.68</v>
      </c>
      <c r="L1198" s="2">
        <v>506.64</v>
      </c>
      <c r="M1198" s="8"/>
      <c r="N1198" s="8" t="s">
        <v>10159</v>
      </c>
      <c r="O1198" s="8" t="s">
        <v>10660</v>
      </c>
      <c r="P1198" s="8" t="str">
        <f t="shared" si="64"/>
        <v>PDFを開く</v>
      </c>
      <c r="Q1198" s="8" t="s">
        <v>1917</v>
      </c>
    </row>
    <row r="1199" spans="1:17" ht="62.1" customHeight="1">
      <c r="A1199" s="5" t="s">
        <v>1912</v>
      </c>
      <c r="B1199" s="5" t="s">
        <v>1595</v>
      </c>
      <c r="C1199" s="9" t="s">
        <v>1913</v>
      </c>
      <c r="D1199" s="5">
        <v>5</v>
      </c>
      <c r="E1199" s="9" t="s">
        <v>10165</v>
      </c>
      <c r="F1199" s="5">
        <v>1</v>
      </c>
      <c r="G1199" s="9" t="s">
        <v>10167</v>
      </c>
      <c r="H1199" s="9" t="s">
        <v>10661</v>
      </c>
      <c r="I1199" s="5">
        <v>485.64</v>
      </c>
      <c r="J1199" s="5">
        <v>95.64</v>
      </c>
      <c r="K1199" s="5">
        <v>773.76</v>
      </c>
      <c r="L1199" s="5">
        <v>218.16</v>
      </c>
      <c r="M1199" s="9"/>
      <c r="N1199" s="9" t="s">
        <v>10159</v>
      </c>
      <c r="O1199" s="9" t="s">
        <v>10662</v>
      </c>
      <c r="P1199" s="9" t="str">
        <f t="shared" si="64"/>
        <v>PDFを開く</v>
      </c>
      <c r="Q1199" s="9" t="s">
        <v>1917</v>
      </c>
    </row>
    <row r="1200" spans="1:17" ht="62.1" customHeight="1">
      <c r="A1200" s="2" t="s">
        <v>1912</v>
      </c>
      <c r="B1200" s="2" t="s">
        <v>1595</v>
      </c>
      <c r="C1200" s="8" t="s">
        <v>1913</v>
      </c>
      <c r="D1200" s="2">
        <v>5</v>
      </c>
      <c r="E1200" s="8" t="s">
        <v>10165</v>
      </c>
      <c r="F1200" s="2">
        <v>2</v>
      </c>
      <c r="G1200" s="8" t="s">
        <v>10157</v>
      </c>
      <c r="H1200" s="8" t="s">
        <v>10157</v>
      </c>
      <c r="I1200" s="2">
        <v>219.36</v>
      </c>
      <c r="J1200" s="2">
        <v>96.84</v>
      </c>
      <c r="K1200" s="2">
        <v>661.92</v>
      </c>
      <c r="L1200" s="2">
        <v>125.04</v>
      </c>
      <c r="M1200" s="8"/>
      <c r="N1200" s="8" t="s">
        <v>10159</v>
      </c>
      <c r="O1200" s="8" t="s">
        <v>8960</v>
      </c>
      <c r="P1200" s="8" t="str">
        <f t="shared" si="64"/>
        <v>PDFを開く</v>
      </c>
      <c r="Q1200" s="8" t="s">
        <v>1917</v>
      </c>
    </row>
    <row r="1201" spans="1:17" ht="62.1" customHeight="1">
      <c r="A1201" s="5" t="s">
        <v>1912</v>
      </c>
      <c r="B1201" s="5" t="s">
        <v>1595</v>
      </c>
      <c r="C1201" s="9" t="s">
        <v>1913</v>
      </c>
      <c r="D1201" s="5">
        <v>5</v>
      </c>
      <c r="E1201" s="9" t="s">
        <v>10165</v>
      </c>
      <c r="F1201" s="5">
        <v>3</v>
      </c>
      <c r="G1201" s="9" t="s">
        <v>10167</v>
      </c>
      <c r="H1201" s="9" t="s">
        <v>10663</v>
      </c>
      <c r="I1201" s="5">
        <v>10.68</v>
      </c>
      <c r="J1201" s="5">
        <v>105.84</v>
      </c>
      <c r="K1201" s="5">
        <v>298.8</v>
      </c>
      <c r="L1201" s="5">
        <v>402.84</v>
      </c>
      <c r="M1201" s="9"/>
      <c r="N1201" s="9" t="s">
        <v>10159</v>
      </c>
      <c r="O1201" s="9" t="s">
        <v>10664</v>
      </c>
      <c r="P1201" s="9" t="str">
        <f t="shared" si="64"/>
        <v>PDFを開く</v>
      </c>
      <c r="Q1201" s="9" t="s">
        <v>1917</v>
      </c>
    </row>
    <row r="1202" spans="1:17" ht="62.1" customHeight="1">
      <c r="A1202" s="2" t="s">
        <v>1912</v>
      </c>
      <c r="B1202" s="2" t="s">
        <v>1595</v>
      </c>
      <c r="C1202" s="8" t="s">
        <v>1913</v>
      </c>
      <c r="D1202" s="2">
        <v>5</v>
      </c>
      <c r="E1202" s="8" t="s">
        <v>10165</v>
      </c>
      <c r="F1202" s="2">
        <v>4</v>
      </c>
      <c r="G1202" s="8" t="s">
        <v>10167</v>
      </c>
      <c r="H1202" s="8" t="s">
        <v>10665</v>
      </c>
      <c r="I1202" s="2">
        <v>535.67999999999995</v>
      </c>
      <c r="J1202" s="2">
        <v>221.16</v>
      </c>
      <c r="K1202" s="2">
        <v>773.76</v>
      </c>
      <c r="L1202" s="2">
        <v>425.88</v>
      </c>
      <c r="M1202" s="8"/>
      <c r="N1202" s="8" t="s">
        <v>10159</v>
      </c>
      <c r="O1202" s="8" t="s">
        <v>10666</v>
      </c>
      <c r="P1202" s="8" t="str">
        <f t="shared" si="64"/>
        <v>PDFを開く</v>
      </c>
      <c r="Q1202" s="8" t="s">
        <v>1917</v>
      </c>
    </row>
    <row r="1203" spans="1:17" ht="62.1" customHeight="1">
      <c r="A1203" s="5" t="s">
        <v>1912</v>
      </c>
      <c r="B1203" s="5" t="s">
        <v>1595</v>
      </c>
      <c r="C1203" s="9" t="s">
        <v>1913</v>
      </c>
      <c r="D1203" s="5">
        <v>5</v>
      </c>
      <c r="E1203" s="9" t="s">
        <v>10165</v>
      </c>
      <c r="F1203" s="5">
        <v>5</v>
      </c>
      <c r="G1203" s="9" t="s">
        <v>10167</v>
      </c>
      <c r="H1203" s="9" t="s">
        <v>10667</v>
      </c>
      <c r="I1203" s="5">
        <v>297</v>
      </c>
      <c r="J1203" s="5">
        <v>408.24</v>
      </c>
      <c r="K1203" s="5">
        <v>631.20000000000005</v>
      </c>
      <c r="L1203" s="5">
        <v>436.32</v>
      </c>
      <c r="M1203" s="9"/>
      <c r="N1203" s="9" t="s">
        <v>10159</v>
      </c>
      <c r="O1203" s="9" t="s">
        <v>10668</v>
      </c>
      <c r="P1203" s="9" t="str">
        <f t="shared" si="64"/>
        <v>PDFを開く</v>
      </c>
      <c r="Q1203" s="9" t="s">
        <v>1917</v>
      </c>
    </row>
    <row r="1204" spans="1:17" ht="62.1" customHeight="1">
      <c r="A1204" s="2" t="s">
        <v>1912</v>
      </c>
      <c r="B1204" s="2" t="s">
        <v>1595</v>
      </c>
      <c r="C1204" s="8" t="s">
        <v>1913</v>
      </c>
      <c r="D1204" s="2">
        <v>5</v>
      </c>
      <c r="E1204" s="8" t="s">
        <v>10165</v>
      </c>
      <c r="F1204" s="2">
        <v>6</v>
      </c>
      <c r="G1204" s="8" t="s">
        <v>10167</v>
      </c>
      <c r="H1204" s="8" t="s">
        <v>10669</v>
      </c>
      <c r="I1204" s="2">
        <v>10.68</v>
      </c>
      <c r="J1204" s="2">
        <v>411.12</v>
      </c>
      <c r="K1204" s="2">
        <v>371.76</v>
      </c>
      <c r="L1204" s="2">
        <v>536.52</v>
      </c>
      <c r="M1204" s="8"/>
      <c r="N1204" s="8" t="s">
        <v>10159</v>
      </c>
      <c r="O1204" s="8" t="s">
        <v>10670</v>
      </c>
      <c r="P1204" s="8" t="str">
        <f t="shared" si="64"/>
        <v>PDFを開く</v>
      </c>
      <c r="Q1204" s="8" t="s">
        <v>1917</v>
      </c>
    </row>
    <row r="1205" spans="1:17" ht="62.1" customHeight="1">
      <c r="A1205" s="5" t="s">
        <v>1912</v>
      </c>
      <c r="B1205" s="5" t="s">
        <v>1595</v>
      </c>
      <c r="C1205" s="9" t="s">
        <v>1913</v>
      </c>
      <c r="D1205" s="5">
        <v>5</v>
      </c>
      <c r="E1205" s="9" t="s">
        <v>10165</v>
      </c>
      <c r="F1205" s="5">
        <v>7</v>
      </c>
      <c r="G1205" s="9" t="s">
        <v>10167</v>
      </c>
      <c r="H1205" s="9" t="s">
        <v>10671</v>
      </c>
      <c r="I1205" s="5">
        <v>480.6</v>
      </c>
      <c r="J1205" s="5">
        <v>436.08</v>
      </c>
      <c r="K1205" s="5">
        <v>773.76</v>
      </c>
      <c r="L1205" s="5">
        <v>517.44000000000005</v>
      </c>
      <c r="M1205" s="9"/>
      <c r="N1205" s="9" t="s">
        <v>10159</v>
      </c>
      <c r="O1205" s="9" t="s">
        <v>10672</v>
      </c>
      <c r="P1205" s="9" t="str">
        <f t="shared" si="64"/>
        <v>PDFを開く</v>
      </c>
      <c r="Q1205" s="9" t="s">
        <v>1917</v>
      </c>
    </row>
    <row r="1206" spans="1:17" ht="62.1" customHeight="1">
      <c r="A1206" s="2" t="s">
        <v>1918</v>
      </c>
      <c r="B1206" s="2" t="s">
        <v>1595</v>
      </c>
      <c r="C1206" s="8" t="s">
        <v>1919</v>
      </c>
      <c r="D1206" s="2">
        <v>1</v>
      </c>
      <c r="E1206" s="8" t="s">
        <v>10156</v>
      </c>
      <c r="F1206" s="2">
        <v>1</v>
      </c>
      <c r="G1206" s="8" t="s">
        <v>9578</v>
      </c>
      <c r="H1206" s="8" t="s">
        <v>9578</v>
      </c>
      <c r="I1206" s="2">
        <v>39.6</v>
      </c>
      <c r="J1206" s="2">
        <v>99.96</v>
      </c>
      <c r="K1206" s="2">
        <v>378.84</v>
      </c>
      <c r="L1206" s="2">
        <v>525.12</v>
      </c>
      <c r="M1206" s="8"/>
      <c r="N1206" s="8" t="s">
        <v>10159</v>
      </c>
      <c r="O1206" s="8" t="s">
        <v>8970</v>
      </c>
      <c r="P1206" s="8" t="str">
        <f>HYPERLINK("https://seichotoushi-hojo.jp/assets/pdf/koufu_3_4ji/outline_26.pdf","PDFを開く")</f>
        <v>PDFを開く</v>
      </c>
      <c r="Q1206" s="8" t="s">
        <v>1926</v>
      </c>
    </row>
    <row r="1207" spans="1:17" ht="62.1" customHeight="1">
      <c r="A1207" s="5" t="s">
        <v>1918</v>
      </c>
      <c r="B1207" s="5" t="s">
        <v>1595</v>
      </c>
      <c r="C1207" s="9" t="s">
        <v>1919</v>
      </c>
      <c r="D1207" s="5">
        <v>1</v>
      </c>
      <c r="E1207" s="9" t="s">
        <v>10156</v>
      </c>
      <c r="F1207" s="5">
        <v>2</v>
      </c>
      <c r="G1207" s="9" t="s">
        <v>10162</v>
      </c>
      <c r="H1207" s="9" t="s">
        <v>10162</v>
      </c>
      <c r="I1207" s="5">
        <v>395.64</v>
      </c>
      <c r="J1207" s="5">
        <v>99.96</v>
      </c>
      <c r="K1207" s="5">
        <v>739.08</v>
      </c>
      <c r="L1207" s="5">
        <v>315.36</v>
      </c>
      <c r="M1207" s="9"/>
      <c r="N1207" s="9" t="s">
        <v>10159</v>
      </c>
      <c r="O1207" s="9" t="s">
        <v>8971</v>
      </c>
      <c r="P1207" s="9" t="str">
        <f>HYPERLINK("https://seichotoushi-hojo.jp/assets/pdf/koufu_3_4ji/outline_26.pdf","PDFを開く")</f>
        <v>PDFを開く</v>
      </c>
      <c r="Q1207" s="9" t="s">
        <v>1926</v>
      </c>
    </row>
    <row r="1208" spans="1:17" ht="62.1" customHeight="1">
      <c r="A1208" s="2" t="s">
        <v>1918</v>
      </c>
      <c r="B1208" s="2" t="s">
        <v>1595</v>
      </c>
      <c r="C1208" s="8" t="s">
        <v>1919</v>
      </c>
      <c r="D1208" s="2">
        <v>1</v>
      </c>
      <c r="E1208" s="8" t="s">
        <v>10156</v>
      </c>
      <c r="F1208" s="2">
        <v>3</v>
      </c>
      <c r="G1208" s="8" t="s">
        <v>10163</v>
      </c>
      <c r="H1208" s="8" t="s">
        <v>10163</v>
      </c>
      <c r="I1208" s="2">
        <v>395.64</v>
      </c>
      <c r="J1208" s="2">
        <v>321</v>
      </c>
      <c r="K1208" s="2">
        <v>739.2</v>
      </c>
      <c r="L1208" s="2">
        <v>525.12</v>
      </c>
      <c r="M1208" s="8"/>
      <c r="N1208" s="8" t="s">
        <v>10159</v>
      </c>
      <c r="O1208" s="8" t="s">
        <v>8972</v>
      </c>
      <c r="P1208" s="8" t="str">
        <f>HYPERLINK("https://seichotoushi-hojo.jp/assets/pdf/koufu_3_4ji/outline_26.pdf","PDFを開く")</f>
        <v>PDFを開く</v>
      </c>
      <c r="Q1208" s="8" t="s">
        <v>1926</v>
      </c>
    </row>
    <row r="1209" spans="1:17" ht="62.1" customHeight="1">
      <c r="A1209" s="5" t="s">
        <v>1918</v>
      </c>
      <c r="B1209" s="5" t="s">
        <v>1595</v>
      </c>
      <c r="C1209" s="9" t="s">
        <v>1919</v>
      </c>
      <c r="D1209" s="5">
        <v>1</v>
      </c>
      <c r="E1209" s="9" t="s">
        <v>10156</v>
      </c>
      <c r="F1209" s="5">
        <v>4</v>
      </c>
      <c r="G1209" s="9" t="s">
        <v>8581</v>
      </c>
      <c r="H1209" s="9" t="s">
        <v>8581</v>
      </c>
      <c r="I1209" s="5">
        <v>44.16</v>
      </c>
      <c r="J1209" s="5">
        <v>428.76</v>
      </c>
      <c r="K1209" s="5">
        <v>372.96</v>
      </c>
      <c r="L1209" s="5">
        <v>508.08</v>
      </c>
      <c r="M1209" s="9"/>
      <c r="N1209" s="9" t="s">
        <v>10159</v>
      </c>
      <c r="O1209" s="9" t="s">
        <v>8973</v>
      </c>
      <c r="P1209" s="9" t="str">
        <f>HYPERLINK("https://seichotoushi-hojo.jp/assets/pdf/koufu_3_4ji/outline_26.pdf","PDFを開く")</f>
        <v>PDFを開く</v>
      </c>
      <c r="Q1209" s="9" t="s">
        <v>1926</v>
      </c>
    </row>
    <row r="1210" spans="1:17" ht="62.1" customHeight="1">
      <c r="A1210" s="2" t="s">
        <v>1918</v>
      </c>
      <c r="B1210" s="2" t="s">
        <v>1595</v>
      </c>
      <c r="C1210" s="8" t="s">
        <v>1919</v>
      </c>
      <c r="D1210" s="2">
        <v>2</v>
      </c>
      <c r="E1210" s="8" t="s">
        <v>10165</v>
      </c>
      <c r="F1210" s="2">
        <v>1</v>
      </c>
      <c r="G1210" s="8" t="s">
        <v>10184</v>
      </c>
      <c r="H1210" s="8" t="s">
        <v>10184</v>
      </c>
      <c r="I1210" s="2">
        <v>127.32</v>
      </c>
      <c r="J1210" s="2">
        <v>263.58999999999997</v>
      </c>
      <c r="K1210" s="2">
        <v>401.7</v>
      </c>
      <c r="L1210" s="2">
        <v>458.99</v>
      </c>
      <c r="M1210" s="8"/>
      <c r="N1210" s="8" t="s">
        <v>10181</v>
      </c>
      <c r="O1210" s="8" t="s">
        <v>10673</v>
      </c>
      <c r="P1210" s="8" t="str">
        <f>HYPERLINK("https://seichotoushi-hojo.jp/assets/pdf/koufu_3_4ji/outline_26.pdf","PDFを開く")</f>
        <v>PDFを開く</v>
      </c>
      <c r="Q1210" s="8" t="s">
        <v>1926</v>
      </c>
    </row>
    <row r="1211" spans="1:17" ht="62.1" customHeight="1">
      <c r="A1211" s="5" t="s">
        <v>1927</v>
      </c>
      <c r="B1211" s="5" t="s">
        <v>1595</v>
      </c>
      <c r="C1211" s="9" t="s">
        <v>1928</v>
      </c>
      <c r="D1211" s="5">
        <v>1</v>
      </c>
      <c r="E1211" s="9" t="s">
        <v>10156</v>
      </c>
      <c r="F1211" s="5">
        <v>1</v>
      </c>
      <c r="G1211" s="9" t="s">
        <v>9578</v>
      </c>
      <c r="H1211" s="9" t="s">
        <v>9578</v>
      </c>
      <c r="I1211" s="5">
        <v>42.84</v>
      </c>
      <c r="J1211" s="5">
        <v>118.32</v>
      </c>
      <c r="K1211" s="5">
        <v>408.84</v>
      </c>
      <c r="L1211" s="5">
        <v>577.32000000000005</v>
      </c>
      <c r="M1211" s="9"/>
      <c r="N1211" s="9" t="s">
        <v>10159</v>
      </c>
      <c r="O1211" s="9" t="s">
        <v>8978</v>
      </c>
      <c r="P1211" s="9" t="str">
        <f>HYPERLINK("https://seichotoushi-hojo.jp/assets/pdf/koufu_3_4ji/outline_27.pdf","PDFを開く")</f>
        <v>PDFを開く</v>
      </c>
      <c r="Q1211" s="9" t="s">
        <v>1935</v>
      </c>
    </row>
    <row r="1212" spans="1:17" ht="62.1" customHeight="1">
      <c r="A1212" s="2" t="s">
        <v>1927</v>
      </c>
      <c r="B1212" s="2" t="s">
        <v>1595</v>
      </c>
      <c r="C1212" s="8" t="s">
        <v>1928</v>
      </c>
      <c r="D1212" s="2">
        <v>1</v>
      </c>
      <c r="E1212" s="8" t="s">
        <v>10156</v>
      </c>
      <c r="F1212" s="2">
        <v>2</v>
      </c>
      <c r="G1212" s="8" t="s">
        <v>10162</v>
      </c>
      <c r="H1212" s="8" t="s">
        <v>10162</v>
      </c>
      <c r="I1212" s="2">
        <v>427.8</v>
      </c>
      <c r="J1212" s="2">
        <v>118.32</v>
      </c>
      <c r="K1212" s="2">
        <v>798.48</v>
      </c>
      <c r="L1212" s="2">
        <v>344.76</v>
      </c>
      <c r="M1212" s="8"/>
      <c r="N1212" s="8" t="s">
        <v>10159</v>
      </c>
      <c r="O1212" s="8" t="s">
        <v>8979</v>
      </c>
      <c r="P1212" s="8" t="str">
        <f>HYPERLINK("https://seichotoushi-hojo.jp/assets/pdf/koufu_3_4ji/outline_27.pdf","PDFを開く")</f>
        <v>PDFを開く</v>
      </c>
      <c r="Q1212" s="8" t="s">
        <v>1935</v>
      </c>
    </row>
    <row r="1213" spans="1:17" ht="62.1" customHeight="1">
      <c r="A1213" s="5" t="s">
        <v>1927</v>
      </c>
      <c r="B1213" s="5" t="s">
        <v>1595</v>
      </c>
      <c r="C1213" s="9" t="s">
        <v>1928</v>
      </c>
      <c r="D1213" s="5">
        <v>1</v>
      </c>
      <c r="E1213" s="9" t="s">
        <v>10156</v>
      </c>
      <c r="F1213" s="5">
        <v>3</v>
      </c>
      <c r="G1213" s="9" t="s">
        <v>10163</v>
      </c>
      <c r="H1213" s="9" t="s">
        <v>10163</v>
      </c>
      <c r="I1213" s="5">
        <v>427.8</v>
      </c>
      <c r="J1213" s="5">
        <v>354.48</v>
      </c>
      <c r="K1213" s="5">
        <v>798.48</v>
      </c>
      <c r="L1213" s="5">
        <v>577.32000000000005</v>
      </c>
      <c r="M1213" s="9"/>
      <c r="N1213" s="9" t="s">
        <v>10159</v>
      </c>
      <c r="O1213" s="9" t="s">
        <v>8980</v>
      </c>
      <c r="P1213" s="9" t="str">
        <f>HYPERLINK("https://seichotoushi-hojo.jp/assets/pdf/koufu_3_4ji/outline_27.pdf","PDFを開く")</f>
        <v>PDFを開く</v>
      </c>
      <c r="Q1213" s="9" t="s">
        <v>1935</v>
      </c>
    </row>
    <row r="1214" spans="1:17" ht="62.1" customHeight="1">
      <c r="A1214" s="2" t="s">
        <v>1936</v>
      </c>
      <c r="B1214" s="2" t="s">
        <v>1595</v>
      </c>
      <c r="C1214" s="8" t="s">
        <v>1937</v>
      </c>
      <c r="D1214" s="2">
        <v>1</v>
      </c>
      <c r="E1214" s="8" t="s">
        <v>10156</v>
      </c>
      <c r="F1214" s="2">
        <v>1</v>
      </c>
      <c r="G1214" s="8" t="s">
        <v>10162</v>
      </c>
      <c r="H1214" s="8" t="s">
        <v>10162</v>
      </c>
      <c r="I1214" s="2">
        <v>396.36</v>
      </c>
      <c r="J1214" s="2">
        <v>95.88</v>
      </c>
      <c r="K1214" s="2">
        <v>739.8</v>
      </c>
      <c r="L1214" s="2">
        <v>300.48</v>
      </c>
      <c r="M1214" s="8"/>
      <c r="N1214" s="8" t="s">
        <v>10159</v>
      </c>
      <c r="O1214" s="8" t="s">
        <v>8985</v>
      </c>
      <c r="P1214" s="8" t="str">
        <f t="shared" ref="P1214:P1221" si="65">HYPERLINK("https://seichotoushi-hojo.jp/assets/pdf/koufu_3_4ji/outline_3.pdf","PDFを開く")</f>
        <v>PDFを開く</v>
      </c>
      <c r="Q1214" s="8" t="s">
        <v>1943</v>
      </c>
    </row>
    <row r="1215" spans="1:17" ht="62.1" customHeight="1">
      <c r="A1215" s="5" t="s">
        <v>1936</v>
      </c>
      <c r="B1215" s="5" t="s">
        <v>1595</v>
      </c>
      <c r="C1215" s="9" t="s">
        <v>1937</v>
      </c>
      <c r="D1215" s="5">
        <v>1</v>
      </c>
      <c r="E1215" s="9" t="s">
        <v>10156</v>
      </c>
      <c r="F1215" s="5">
        <v>2</v>
      </c>
      <c r="G1215" s="9" t="s">
        <v>9578</v>
      </c>
      <c r="H1215" s="9" t="s">
        <v>9578</v>
      </c>
      <c r="I1215" s="5">
        <v>39.6</v>
      </c>
      <c r="J1215" s="5">
        <v>101.76</v>
      </c>
      <c r="K1215" s="5">
        <v>378.84</v>
      </c>
      <c r="L1215" s="5">
        <v>531.12</v>
      </c>
      <c r="M1215" s="9"/>
      <c r="N1215" s="9" t="s">
        <v>10159</v>
      </c>
      <c r="O1215" s="9" t="s">
        <v>10674</v>
      </c>
      <c r="P1215" s="9" t="str">
        <f t="shared" si="65"/>
        <v>PDFを開く</v>
      </c>
      <c r="Q1215" s="9" t="s">
        <v>1943</v>
      </c>
    </row>
    <row r="1216" spans="1:17" ht="62.1" customHeight="1">
      <c r="A1216" s="2" t="s">
        <v>1936</v>
      </c>
      <c r="B1216" s="2" t="s">
        <v>1595</v>
      </c>
      <c r="C1216" s="8" t="s">
        <v>1937</v>
      </c>
      <c r="D1216" s="2">
        <v>1</v>
      </c>
      <c r="E1216" s="8" t="s">
        <v>10156</v>
      </c>
      <c r="F1216" s="2">
        <v>3</v>
      </c>
      <c r="G1216" s="8" t="s">
        <v>10163</v>
      </c>
      <c r="H1216" s="8" t="s">
        <v>10163</v>
      </c>
      <c r="I1216" s="2">
        <v>396.36</v>
      </c>
      <c r="J1216" s="2">
        <v>313.08</v>
      </c>
      <c r="K1216" s="2">
        <v>739.8</v>
      </c>
      <c r="L1216" s="2">
        <v>531.12</v>
      </c>
      <c r="M1216" s="8"/>
      <c r="N1216" s="8" t="s">
        <v>10159</v>
      </c>
      <c r="O1216" s="8" t="s">
        <v>8986</v>
      </c>
      <c r="P1216" s="8" t="str">
        <f t="shared" si="65"/>
        <v>PDFを開く</v>
      </c>
      <c r="Q1216" s="8" t="s">
        <v>1943</v>
      </c>
    </row>
    <row r="1217" spans="1:17" ht="62.1" customHeight="1">
      <c r="A1217" s="5" t="s">
        <v>1936</v>
      </c>
      <c r="B1217" s="5" t="s">
        <v>1595</v>
      </c>
      <c r="C1217" s="9" t="s">
        <v>1937</v>
      </c>
      <c r="D1217" s="5">
        <v>1</v>
      </c>
      <c r="E1217" s="9" t="s">
        <v>10156</v>
      </c>
      <c r="F1217" s="5">
        <v>4</v>
      </c>
      <c r="G1217" s="9" t="s">
        <v>8581</v>
      </c>
      <c r="H1217" s="9" t="s">
        <v>8581</v>
      </c>
      <c r="I1217" s="5">
        <v>48</v>
      </c>
      <c r="J1217" s="5">
        <v>319.56</v>
      </c>
      <c r="K1217" s="5">
        <v>367.56</v>
      </c>
      <c r="L1217" s="5">
        <v>529.08000000000004</v>
      </c>
      <c r="M1217" s="9"/>
      <c r="N1217" s="9" t="s">
        <v>10159</v>
      </c>
      <c r="O1217" s="9" t="s">
        <v>8987</v>
      </c>
      <c r="P1217" s="9" t="str">
        <f t="shared" si="65"/>
        <v>PDFを開く</v>
      </c>
      <c r="Q1217" s="9" t="s">
        <v>1943</v>
      </c>
    </row>
    <row r="1218" spans="1:17" ht="62.1" customHeight="1">
      <c r="A1218" s="2" t="s">
        <v>1936</v>
      </c>
      <c r="B1218" s="2" t="s">
        <v>1595</v>
      </c>
      <c r="C1218" s="8" t="s">
        <v>1937</v>
      </c>
      <c r="D1218" s="2">
        <v>3</v>
      </c>
      <c r="E1218" s="8" t="s">
        <v>10165</v>
      </c>
      <c r="F1218" s="2">
        <v>1</v>
      </c>
      <c r="G1218" s="8" t="s">
        <v>10167</v>
      </c>
      <c r="H1218" s="8" t="s">
        <v>10675</v>
      </c>
      <c r="I1218" s="2">
        <v>207.12</v>
      </c>
      <c r="J1218" s="2">
        <v>223.2</v>
      </c>
      <c r="K1218" s="2">
        <v>484.8</v>
      </c>
      <c r="L1218" s="2">
        <v>260.64</v>
      </c>
      <c r="M1218" s="8"/>
      <c r="N1218" s="8" t="s">
        <v>10159</v>
      </c>
      <c r="O1218" s="8" t="s">
        <v>10676</v>
      </c>
      <c r="P1218" s="8" t="str">
        <f t="shared" si="65"/>
        <v>PDFを開く</v>
      </c>
      <c r="Q1218" s="8" t="s">
        <v>1943</v>
      </c>
    </row>
    <row r="1219" spans="1:17" ht="62.1" customHeight="1">
      <c r="A1219" s="5" t="s">
        <v>1936</v>
      </c>
      <c r="B1219" s="5" t="s">
        <v>1595</v>
      </c>
      <c r="C1219" s="9" t="s">
        <v>1937</v>
      </c>
      <c r="D1219" s="5">
        <v>4</v>
      </c>
      <c r="E1219" s="9" t="s">
        <v>10165</v>
      </c>
      <c r="F1219" s="5">
        <v>1</v>
      </c>
      <c r="G1219" s="9" t="s">
        <v>10167</v>
      </c>
      <c r="H1219" s="9" t="s">
        <v>10677</v>
      </c>
      <c r="I1219" s="5">
        <v>19.8</v>
      </c>
      <c r="J1219" s="5">
        <v>142.44</v>
      </c>
      <c r="K1219" s="5">
        <v>340.08</v>
      </c>
      <c r="L1219" s="5">
        <v>515.16</v>
      </c>
      <c r="M1219" s="9"/>
      <c r="N1219" s="9" t="s">
        <v>10159</v>
      </c>
      <c r="O1219" s="9" t="s">
        <v>10678</v>
      </c>
      <c r="P1219" s="9" t="str">
        <f t="shared" si="65"/>
        <v>PDFを開く</v>
      </c>
      <c r="Q1219" s="9" t="s">
        <v>1943</v>
      </c>
    </row>
    <row r="1220" spans="1:17" ht="62.1" customHeight="1">
      <c r="A1220" s="2" t="s">
        <v>1936</v>
      </c>
      <c r="B1220" s="2" t="s">
        <v>1595</v>
      </c>
      <c r="C1220" s="8" t="s">
        <v>1937</v>
      </c>
      <c r="D1220" s="2">
        <v>4</v>
      </c>
      <c r="E1220" s="8" t="s">
        <v>10165</v>
      </c>
      <c r="F1220" s="2">
        <v>2</v>
      </c>
      <c r="G1220" s="8" t="s">
        <v>10167</v>
      </c>
      <c r="H1220" s="8" t="s">
        <v>10679</v>
      </c>
      <c r="I1220" s="2">
        <v>405.84</v>
      </c>
      <c r="J1220" s="2">
        <v>142.44</v>
      </c>
      <c r="K1220" s="2">
        <v>726.12</v>
      </c>
      <c r="L1220" s="2">
        <v>515.16</v>
      </c>
      <c r="M1220" s="8"/>
      <c r="N1220" s="8" t="s">
        <v>10159</v>
      </c>
      <c r="O1220" s="8" t="s">
        <v>10680</v>
      </c>
      <c r="P1220" s="8" t="str">
        <f t="shared" si="65"/>
        <v>PDFを開く</v>
      </c>
      <c r="Q1220" s="8" t="s">
        <v>1943</v>
      </c>
    </row>
    <row r="1221" spans="1:17" ht="62.1" customHeight="1">
      <c r="A1221" s="5" t="s">
        <v>1936</v>
      </c>
      <c r="B1221" s="5" t="s">
        <v>1595</v>
      </c>
      <c r="C1221" s="9" t="s">
        <v>1937</v>
      </c>
      <c r="D1221" s="5">
        <v>4</v>
      </c>
      <c r="E1221" s="9" t="s">
        <v>10165</v>
      </c>
      <c r="F1221" s="5">
        <v>3</v>
      </c>
      <c r="G1221" s="9" t="s">
        <v>9578</v>
      </c>
      <c r="H1221" s="9" t="s">
        <v>9578</v>
      </c>
      <c r="I1221" s="5">
        <v>256.2</v>
      </c>
      <c r="J1221" s="5">
        <v>233.04</v>
      </c>
      <c r="K1221" s="5">
        <v>490.44</v>
      </c>
      <c r="L1221" s="5">
        <v>270.60000000000002</v>
      </c>
      <c r="M1221" s="9"/>
      <c r="N1221" s="9" t="s">
        <v>10159</v>
      </c>
      <c r="O1221" s="9" t="s">
        <v>10681</v>
      </c>
      <c r="P1221" s="9" t="str">
        <f t="shared" si="65"/>
        <v>PDFを開く</v>
      </c>
      <c r="Q1221" s="9" t="s">
        <v>1943</v>
      </c>
    </row>
    <row r="1222" spans="1:17" ht="62.1" customHeight="1">
      <c r="A1222" s="2" t="s">
        <v>1944</v>
      </c>
      <c r="B1222" s="2" t="s">
        <v>1595</v>
      </c>
      <c r="C1222" s="8" t="s">
        <v>1945</v>
      </c>
      <c r="D1222" s="2">
        <v>1</v>
      </c>
      <c r="E1222" s="8" t="s">
        <v>10156</v>
      </c>
      <c r="F1222" s="2">
        <v>1</v>
      </c>
      <c r="G1222" s="8" t="s">
        <v>9578</v>
      </c>
      <c r="H1222" s="8" t="s">
        <v>9578</v>
      </c>
      <c r="I1222" s="2">
        <v>18.71</v>
      </c>
      <c r="J1222" s="2">
        <v>103.47</v>
      </c>
      <c r="K1222" s="2">
        <v>429.45</v>
      </c>
      <c r="L1222" s="2">
        <v>518.99</v>
      </c>
      <c r="M1222" s="8"/>
      <c r="N1222" s="8" t="s">
        <v>10159</v>
      </c>
      <c r="O1222" s="8" t="s">
        <v>8992</v>
      </c>
      <c r="P1222" s="8" t="str">
        <f>HYPERLINK("https://seichotoushi-hojo.jp/assets/pdf/koufu_3_4ji/outline_30.pdf","PDFを開く")</f>
        <v>PDFを開く</v>
      </c>
      <c r="Q1222" s="8" t="s">
        <v>1951</v>
      </c>
    </row>
    <row r="1223" spans="1:17" ht="62.1" customHeight="1">
      <c r="A1223" s="5" t="s">
        <v>1944</v>
      </c>
      <c r="B1223" s="5" t="s">
        <v>1595</v>
      </c>
      <c r="C1223" s="9" t="s">
        <v>1945</v>
      </c>
      <c r="D1223" s="5">
        <v>1</v>
      </c>
      <c r="E1223" s="9" t="s">
        <v>10156</v>
      </c>
      <c r="F1223" s="5">
        <v>2</v>
      </c>
      <c r="G1223" s="9" t="s">
        <v>10162</v>
      </c>
      <c r="H1223" s="9" t="s">
        <v>10162</v>
      </c>
      <c r="I1223" s="5">
        <v>452.13</v>
      </c>
      <c r="J1223" s="5">
        <v>104.6</v>
      </c>
      <c r="K1223" s="5">
        <v>761.39</v>
      </c>
      <c r="L1223" s="5">
        <v>283.75</v>
      </c>
      <c r="M1223" s="9"/>
      <c r="N1223" s="9" t="s">
        <v>10159</v>
      </c>
      <c r="O1223" s="9" t="s">
        <v>8993</v>
      </c>
      <c r="P1223" s="9" t="str">
        <f>HYPERLINK("https://seichotoushi-hojo.jp/assets/pdf/koufu_3_4ji/outline_30.pdf","PDFを開く")</f>
        <v>PDFを開く</v>
      </c>
      <c r="Q1223" s="9" t="s">
        <v>1951</v>
      </c>
    </row>
    <row r="1224" spans="1:17" ht="62.1" customHeight="1">
      <c r="A1224" s="2" t="s">
        <v>1944</v>
      </c>
      <c r="B1224" s="2" t="s">
        <v>1595</v>
      </c>
      <c r="C1224" s="8" t="s">
        <v>1945</v>
      </c>
      <c r="D1224" s="2">
        <v>1</v>
      </c>
      <c r="E1224" s="8" t="s">
        <v>10156</v>
      </c>
      <c r="F1224" s="2">
        <v>3</v>
      </c>
      <c r="G1224" s="8" t="s">
        <v>10163</v>
      </c>
      <c r="H1224" s="8" t="s">
        <v>10163</v>
      </c>
      <c r="I1224" s="2">
        <v>452.13</v>
      </c>
      <c r="J1224" s="2">
        <v>294.56</v>
      </c>
      <c r="K1224" s="2">
        <v>761.39</v>
      </c>
      <c r="L1224" s="2">
        <v>518.99</v>
      </c>
      <c r="M1224" s="8"/>
      <c r="N1224" s="8" t="s">
        <v>10159</v>
      </c>
      <c r="O1224" s="8" t="s">
        <v>8994</v>
      </c>
      <c r="P1224" s="8" t="str">
        <f>HYPERLINK("https://seichotoushi-hojo.jp/assets/pdf/koufu_3_4ji/outline_30.pdf","PDFを開く")</f>
        <v>PDFを開く</v>
      </c>
      <c r="Q1224" s="8" t="s">
        <v>1951</v>
      </c>
    </row>
    <row r="1225" spans="1:17" ht="62.1" customHeight="1">
      <c r="A1225" s="5" t="s">
        <v>1944</v>
      </c>
      <c r="B1225" s="5" t="s">
        <v>1595</v>
      </c>
      <c r="C1225" s="9" t="s">
        <v>1945</v>
      </c>
      <c r="D1225" s="5">
        <v>1</v>
      </c>
      <c r="E1225" s="9" t="s">
        <v>10156</v>
      </c>
      <c r="F1225" s="5">
        <v>4</v>
      </c>
      <c r="G1225" s="9" t="s">
        <v>8581</v>
      </c>
      <c r="H1225" s="9" t="s">
        <v>8581</v>
      </c>
      <c r="I1225" s="5">
        <v>24.84</v>
      </c>
      <c r="J1225" s="5">
        <v>419.63</v>
      </c>
      <c r="K1225" s="5">
        <v>422.18</v>
      </c>
      <c r="L1225" s="5">
        <v>513.17999999999995</v>
      </c>
      <c r="M1225" s="9"/>
      <c r="N1225" s="9" t="s">
        <v>10159</v>
      </c>
      <c r="O1225" s="9" t="s">
        <v>8995</v>
      </c>
      <c r="P1225" s="9" t="str">
        <f>HYPERLINK("https://seichotoushi-hojo.jp/assets/pdf/koufu_3_4ji/outline_30.pdf","PDFを開く")</f>
        <v>PDFを開く</v>
      </c>
      <c r="Q1225" s="9" t="s">
        <v>1951</v>
      </c>
    </row>
    <row r="1226" spans="1:17" ht="62.1" customHeight="1">
      <c r="A1226" s="2" t="s">
        <v>1952</v>
      </c>
      <c r="B1226" s="2" t="s">
        <v>1595</v>
      </c>
      <c r="C1226" s="8" t="s">
        <v>1953</v>
      </c>
      <c r="D1226" s="2">
        <v>1</v>
      </c>
      <c r="E1226" s="8" t="s">
        <v>10156</v>
      </c>
      <c r="F1226" s="2">
        <v>1</v>
      </c>
      <c r="G1226" s="8" t="s">
        <v>9578</v>
      </c>
      <c r="H1226" s="8" t="s">
        <v>9578</v>
      </c>
      <c r="I1226" s="2">
        <v>10.199999999999999</v>
      </c>
      <c r="J1226" s="2">
        <v>101.88</v>
      </c>
      <c r="K1226" s="2">
        <v>413.04</v>
      </c>
      <c r="L1226" s="2">
        <v>529.79999999999995</v>
      </c>
      <c r="M1226" s="8"/>
      <c r="N1226" s="8" t="s">
        <v>10159</v>
      </c>
      <c r="O1226" s="8" t="s">
        <v>9000</v>
      </c>
      <c r="P1226" s="8" t="str">
        <f>HYPERLINK("https://seichotoushi-hojo.jp/assets/pdf/koufu_3_4ji/outline_31.pdf","PDFを開く")</f>
        <v>PDFを開く</v>
      </c>
      <c r="Q1226" s="8" t="s">
        <v>1959</v>
      </c>
    </row>
    <row r="1227" spans="1:17" ht="62.1" customHeight="1">
      <c r="A1227" s="5" t="s">
        <v>1952</v>
      </c>
      <c r="B1227" s="5" t="s">
        <v>1595</v>
      </c>
      <c r="C1227" s="9" t="s">
        <v>1953</v>
      </c>
      <c r="D1227" s="5">
        <v>1</v>
      </c>
      <c r="E1227" s="9" t="s">
        <v>10156</v>
      </c>
      <c r="F1227" s="5">
        <v>2</v>
      </c>
      <c r="G1227" s="9" t="s">
        <v>10162</v>
      </c>
      <c r="H1227" s="9" t="s">
        <v>10162</v>
      </c>
      <c r="I1227" s="5">
        <v>448.56</v>
      </c>
      <c r="J1227" s="5">
        <v>105</v>
      </c>
      <c r="K1227" s="5">
        <v>758.76</v>
      </c>
      <c r="L1227" s="5">
        <v>310.44</v>
      </c>
      <c r="M1227" s="9"/>
      <c r="N1227" s="9" t="s">
        <v>10159</v>
      </c>
      <c r="O1227" s="9" t="s">
        <v>9001</v>
      </c>
      <c r="P1227" s="9" t="str">
        <f>HYPERLINK("https://seichotoushi-hojo.jp/assets/pdf/koufu_3_4ji/outline_31.pdf","PDFを開く")</f>
        <v>PDFを開く</v>
      </c>
      <c r="Q1227" s="9" t="s">
        <v>1959</v>
      </c>
    </row>
    <row r="1228" spans="1:17" ht="62.1" customHeight="1">
      <c r="A1228" s="2" t="s">
        <v>1952</v>
      </c>
      <c r="B1228" s="2" t="s">
        <v>1595</v>
      </c>
      <c r="C1228" s="8" t="s">
        <v>1953</v>
      </c>
      <c r="D1228" s="2">
        <v>1</v>
      </c>
      <c r="E1228" s="8" t="s">
        <v>10156</v>
      </c>
      <c r="F1228" s="2">
        <v>3</v>
      </c>
      <c r="G1228" s="8" t="s">
        <v>10163</v>
      </c>
      <c r="H1228" s="8" t="s">
        <v>10163</v>
      </c>
      <c r="I1228" s="2">
        <v>448.56</v>
      </c>
      <c r="J1228" s="2">
        <v>325.92</v>
      </c>
      <c r="K1228" s="2">
        <v>758.76</v>
      </c>
      <c r="L1228" s="2">
        <v>525.84</v>
      </c>
      <c r="M1228" s="8"/>
      <c r="N1228" s="8" t="s">
        <v>10159</v>
      </c>
      <c r="O1228" s="8" t="s">
        <v>9002</v>
      </c>
      <c r="P1228" s="8" t="str">
        <f>HYPERLINK("https://seichotoushi-hojo.jp/assets/pdf/koufu_3_4ji/outline_31.pdf","PDFを開く")</f>
        <v>PDFを開く</v>
      </c>
      <c r="Q1228" s="8" t="s">
        <v>1959</v>
      </c>
    </row>
    <row r="1229" spans="1:17" ht="62.1" customHeight="1">
      <c r="A1229" s="5" t="s">
        <v>1952</v>
      </c>
      <c r="B1229" s="5" t="s">
        <v>1595</v>
      </c>
      <c r="C1229" s="9" t="s">
        <v>1953</v>
      </c>
      <c r="D1229" s="5">
        <v>1</v>
      </c>
      <c r="E1229" s="9" t="s">
        <v>10156</v>
      </c>
      <c r="F1229" s="5">
        <v>4</v>
      </c>
      <c r="G1229" s="9" t="s">
        <v>8581</v>
      </c>
      <c r="H1229" s="9" t="s">
        <v>8581</v>
      </c>
      <c r="I1229" s="5">
        <v>31.92</v>
      </c>
      <c r="J1229" s="5">
        <v>429.84</v>
      </c>
      <c r="K1229" s="5">
        <v>372.84</v>
      </c>
      <c r="L1229" s="5">
        <v>525.84</v>
      </c>
      <c r="M1229" s="9"/>
      <c r="N1229" s="9" t="s">
        <v>10159</v>
      </c>
      <c r="O1229" s="9" t="s">
        <v>9003</v>
      </c>
      <c r="P1229" s="9" t="str">
        <f>HYPERLINK("https://seichotoushi-hojo.jp/assets/pdf/koufu_3_4ji/outline_31.pdf","PDFを開く")</f>
        <v>PDFを開く</v>
      </c>
      <c r="Q1229" s="9" t="s">
        <v>1959</v>
      </c>
    </row>
    <row r="1230" spans="1:17" ht="62.1" customHeight="1">
      <c r="A1230" s="2" t="s">
        <v>1960</v>
      </c>
      <c r="B1230" s="2" t="s">
        <v>1595</v>
      </c>
      <c r="C1230" s="8" t="s">
        <v>1961</v>
      </c>
      <c r="D1230" s="2">
        <v>1</v>
      </c>
      <c r="E1230" s="8" t="s">
        <v>10156</v>
      </c>
      <c r="F1230" s="2">
        <v>1</v>
      </c>
      <c r="G1230" s="8" t="s">
        <v>9578</v>
      </c>
      <c r="H1230" s="8" t="s">
        <v>9578</v>
      </c>
      <c r="I1230" s="2">
        <v>42.84</v>
      </c>
      <c r="J1230" s="2">
        <v>128.4</v>
      </c>
      <c r="K1230" s="2">
        <v>408.84</v>
      </c>
      <c r="L1230" s="2">
        <v>554.4</v>
      </c>
      <c r="M1230" s="8"/>
      <c r="N1230" s="8" t="s">
        <v>10159</v>
      </c>
      <c r="O1230" s="8" t="s">
        <v>9008</v>
      </c>
      <c r="P1230" s="8" t="str">
        <f t="shared" ref="P1230:P1236" si="66">HYPERLINK("https://seichotoushi-hojo.jp/assets/pdf/koufu_3_4ji/outline_32.pdf","PDFを開く")</f>
        <v>PDFを開く</v>
      </c>
      <c r="Q1230" s="8" t="s">
        <v>1967</v>
      </c>
    </row>
    <row r="1231" spans="1:17" ht="62.1" customHeight="1">
      <c r="A1231" s="5" t="s">
        <v>1960</v>
      </c>
      <c r="B1231" s="5" t="s">
        <v>1595</v>
      </c>
      <c r="C1231" s="9" t="s">
        <v>1961</v>
      </c>
      <c r="D1231" s="5">
        <v>1</v>
      </c>
      <c r="E1231" s="9" t="s">
        <v>10156</v>
      </c>
      <c r="F1231" s="5">
        <v>2</v>
      </c>
      <c r="G1231" s="9" t="s">
        <v>10162</v>
      </c>
      <c r="H1231" s="9" t="s">
        <v>10162</v>
      </c>
      <c r="I1231" s="5">
        <v>427.8</v>
      </c>
      <c r="J1231" s="5">
        <v>128.4</v>
      </c>
      <c r="K1231" s="5">
        <v>798.48</v>
      </c>
      <c r="L1231" s="5">
        <v>330.36</v>
      </c>
      <c r="M1231" s="9"/>
      <c r="N1231" s="9" t="s">
        <v>10159</v>
      </c>
      <c r="O1231" s="9" t="s">
        <v>9009</v>
      </c>
      <c r="P1231" s="9" t="str">
        <f t="shared" si="66"/>
        <v>PDFを開く</v>
      </c>
      <c r="Q1231" s="9" t="s">
        <v>1967</v>
      </c>
    </row>
    <row r="1232" spans="1:17" ht="62.1" customHeight="1">
      <c r="A1232" s="2" t="s">
        <v>1960</v>
      </c>
      <c r="B1232" s="2" t="s">
        <v>1595</v>
      </c>
      <c r="C1232" s="8" t="s">
        <v>1961</v>
      </c>
      <c r="D1232" s="2">
        <v>1</v>
      </c>
      <c r="E1232" s="8" t="s">
        <v>10156</v>
      </c>
      <c r="F1232" s="2">
        <v>3</v>
      </c>
      <c r="G1232" s="8" t="s">
        <v>10163</v>
      </c>
      <c r="H1232" s="8" t="s">
        <v>10163</v>
      </c>
      <c r="I1232" s="2">
        <v>427.8</v>
      </c>
      <c r="J1232" s="2">
        <v>340.32</v>
      </c>
      <c r="K1232" s="2">
        <v>798.48</v>
      </c>
      <c r="L1232" s="2">
        <v>554.4</v>
      </c>
      <c r="M1232" s="8"/>
      <c r="N1232" s="8" t="s">
        <v>10159</v>
      </c>
      <c r="O1232" s="8" t="s">
        <v>9010</v>
      </c>
      <c r="P1232" s="8" t="str">
        <f t="shared" si="66"/>
        <v>PDFを開く</v>
      </c>
      <c r="Q1232" s="8" t="s">
        <v>1967</v>
      </c>
    </row>
    <row r="1233" spans="1:17" ht="62.1" customHeight="1">
      <c r="A1233" s="5" t="s">
        <v>1960</v>
      </c>
      <c r="B1233" s="5" t="s">
        <v>1595</v>
      </c>
      <c r="C1233" s="9" t="s">
        <v>1961</v>
      </c>
      <c r="D1233" s="5">
        <v>1</v>
      </c>
      <c r="E1233" s="9" t="s">
        <v>10156</v>
      </c>
      <c r="F1233" s="5">
        <v>4</v>
      </c>
      <c r="G1233" s="9" t="s">
        <v>8581</v>
      </c>
      <c r="H1233" s="9" t="s">
        <v>8581</v>
      </c>
      <c r="I1233" s="5">
        <v>53.4</v>
      </c>
      <c r="J1233" s="5">
        <v>433.68</v>
      </c>
      <c r="K1233" s="5">
        <v>398.28</v>
      </c>
      <c r="L1233" s="5">
        <v>545.64</v>
      </c>
      <c r="M1233" s="9"/>
      <c r="N1233" s="9" t="s">
        <v>10159</v>
      </c>
      <c r="O1233" s="9" t="s">
        <v>9011</v>
      </c>
      <c r="P1233" s="9" t="str">
        <f t="shared" si="66"/>
        <v>PDFを開く</v>
      </c>
      <c r="Q1233" s="9" t="s">
        <v>1967</v>
      </c>
    </row>
    <row r="1234" spans="1:17" ht="62.1" customHeight="1">
      <c r="A1234" s="2" t="s">
        <v>1960</v>
      </c>
      <c r="B1234" s="2" t="s">
        <v>1595</v>
      </c>
      <c r="C1234" s="8" t="s">
        <v>1961</v>
      </c>
      <c r="D1234" s="2">
        <v>2</v>
      </c>
      <c r="E1234" s="8" t="s">
        <v>10165</v>
      </c>
      <c r="F1234" s="2">
        <v>1</v>
      </c>
      <c r="G1234" s="8" t="s">
        <v>10167</v>
      </c>
      <c r="H1234" s="8" t="s">
        <v>10682</v>
      </c>
      <c r="I1234" s="2">
        <v>136.91999999999999</v>
      </c>
      <c r="J1234" s="2">
        <v>448.08</v>
      </c>
      <c r="K1234" s="2">
        <v>566.76</v>
      </c>
      <c r="L1234" s="2">
        <v>478.56</v>
      </c>
      <c r="M1234" s="8"/>
      <c r="N1234" s="8" t="s">
        <v>10159</v>
      </c>
      <c r="O1234" s="8" t="s">
        <v>10683</v>
      </c>
      <c r="P1234" s="8" t="str">
        <f t="shared" si="66"/>
        <v>PDFを開く</v>
      </c>
      <c r="Q1234" s="8" t="s">
        <v>1967</v>
      </c>
    </row>
    <row r="1235" spans="1:17" ht="62.1" customHeight="1">
      <c r="A1235" s="5" t="s">
        <v>1960</v>
      </c>
      <c r="B1235" s="5" t="s">
        <v>1595</v>
      </c>
      <c r="C1235" s="9" t="s">
        <v>1961</v>
      </c>
      <c r="D1235" s="5">
        <v>3</v>
      </c>
      <c r="E1235" s="9" t="s">
        <v>10165</v>
      </c>
      <c r="F1235" s="5">
        <v>1</v>
      </c>
      <c r="G1235" s="9" t="s">
        <v>10167</v>
      </c>
      <c r="H1235" s="9" t="s">
        <v>10684</v>
      </c>
      <c r="I1235" s="5">
        <v>20.88</v>
      </c>
      <c r="J1235" s="5">
        <v>311.04000000000002</v>
      </c>
      <c r="K1235" s="5">
        <v>344.04</v>
      </c>
      <c r="L1235" s="5">
        <v>363.72</v>
      </c>
      <c r="M1235" s="9"/>
      <c r="N1235" s="9" t="s">
        <v>10159</v>
      </c>
      <c r="O1235" s="9" t="s">
        <v>10685</v>
      </c>
      <c r="P1235" s="9" t="str">
        <f t="shared" si="66"/>
        <v>PDFを開く</v>
      </c>
      <c r="Q1235" s="9" t="s">
        <v>1967</v>
      </c>
    </row>
    <row r="1236" spans="1:17" ht="62.1" customHeight="1">
      <c r="A1236" s="2" t="s">
        <v>1960</v>
      </c>
      <c r="B1236" s="2" t="s">
        <v>1595</v>
      </c>
      <c r="C1236" s="8" t="s">
        <v>1961</v>
      </c>
      <c r="D1236" s="2">
        <v>3</v>
      </c>
      <c r="E1236" s="8" t="s">
        <v>10165</v>
      </c>
      <c r="F1236" s="2">
        <v>2</v>
      </c>
      <c r="G1236" s="8" t="s">
        <v>10167</v>
      </c>
      <c r="H1236" s="8" t="s">
        <v>10686</v>
      </c>
      <c r="I1236" s="2">
        <v>429.24</v>
      </c>
      <c r="J1236" s="2">
        <v>311.39999999999998</v>
      </c>
      <c r="K1236" s="2">
        <v>825.6</v>
      </c>
      <c r="L1236" s="2">
        <v>377.28</v>
      </c>
      <c r="M1236" s="8"/>
      <c r="N1236" s="8" t="s">
        <v>10159</v>
      </c>
      <c r="O1236" s="8" t="s">
        <v>10687</v>
      </c>
      <c r="P1236" s="8" t="str">
        <f t="shared" si="66"/>
        <v>PDFを開く</v>
      </c>
      <c r="Q1236" s="8" t="s">
        <v>1967</v>
      </c>
    </row>
    <row r="1237" spans="1:17" ht="62.1" customHeight="1">
      <c r="A1237" s="5" t="s">
        <v>1968</v>
      </c>
      <c r="B1237" s="5" t="s">
        <v>1595</v>
      </c>
      <c r="C1237" s="9" t="s">
        <v>1969</v>
      </c>
      <c r="D1237" s="5">
        <v>1</v>
      </c>
      <c r="E1237" s="9" t="s">
        <v>10156</v>
      </c>
      <c r="F1237" s="5">
        <v>1</v>
      </c>
      <c r="G1237" s="9" t="s">
        <v>10162</v>
      </c>
      <c r="H1237" s="9" t="s">
        <v>10162</v>
      </c>
      <c r="I1237" s="5">
        <v>396.86</v>
      </c>
      <c r="J1237" s="5">
        <v>111.22</v>
      </c>
      <c r="K1237" s="5">
        <v>740.34</v>
      </c>
      <c r="L1237" s="5">
        <v>342.86</v>
      </c>
      <c r="M1237" s="9"/>
      <c r="N1237" s="9" t="s">
        <v>10159</v>
      </c>
      <c r="O1237" s="9" t="s">
        <v>9017</v>
      </c>
      <c r="P1237" s="9" t="str">
        <f>HYPERLINK("https://seichotoushi-hojo.jp/assets/pdf/koufu_3_4ji/outline_33.pdf","PDFを開く")</f>
        <v>PDFを開く</v>
      </c>
      <c r="Q1237" s="9" t="s">
        <v>1974</v>
      </c>
    </row>
    <row r="1238" spans="1:17" ht="62.1" customHeight="1">
      <c r="A1238" s="2" t="s">
        <v>1968</v>
      </c>
      <c r="B1238" s="2" t="s">
        <v>1595</v>
      </c>
      <c r="C1238" s="8" t="s">
        <v>1969</v>
      </c>
      <c r="D1238" s="2">
        <v>1</v>
      </c>
      <c r="E1238" s="8" t="s">
        <v>10156</v>
      </c>
      <c r="F1238" s="2">
        <v>2</v>
      </c>
      <c r="G1238" s="8" t="s">
        <v>9578</v>
      </c>
      <c r="H1238" s="8" t="s">
        <v>9578</v>
      </c>
      <c r="I1238" s="2">
        <v>39.659999999999997</v>
      </c>
      <c r="J1238" s="2">
        <v>111.41</v>
      </c>
      <c r="K1238" s="2">
        <v>378.79</v>
      </c>
      <c r="L1238" s="2">
        <v>530.08000000000004</v>
      </c>
      <c r="M1238" s="8"/>
      <c r="N1238" s="8" t="s">
        <v>10159</v>
      </c>
      <c r="O1238" s="8" t="s">
        <v>9016</v>
      </c>
      <c r="P1238" s="8" t="str">
        <f>HYPERLINK("https://seichotoushi-hojo.jp/assets/pdf/koufu_3_4ji/outline_33.pdf","PDFを開く")</f>
        <v>PDFを開く</v>
      </c>
      <c r="Q1238" s="8" t="s">
        <v>1974</v>
      </c>
    </row>
    <row r="1239" spans="1:17" ht="62.1" customHeight="1">
      <c r="A1239" s="5" t="s">
        <v>1968</v>
      </c>
      <c r="B1239" s="5" t="s">
        <v>1595</v>
      </c>
      <c r="C1239" s="9" t="s">
        <v>1969</v>
      </c>
      <c r="D1239" s="5">
        <v>1</v>
      </c>
      <c r="E1239" s="9" t="s">
        <v>10156</v>
      </c>
      <c r="F1239" s="5">
        <v>3</v>
      </c>
      <c r="G1239" s="9" t="s">
        <v>10163</v>
      </c>
      <c r="H1239" s="9" t="s">
        <v>10163</v>
      </c>
      <c r="I1239" s="5">
        <v>396.86</v>
      </c>
      <c r="J1239" s="5">
        <v>348.66</v>
      </c>
      <c r="K1239" s="5">
        <v>740.34</v>
      </c>
      <c r="L1239" s="5">
        <v>530.08000000000004</v>
      </c>
      <c r="M1239" s="9"/>
      <c r="N1239" s="9" t="s">
        <v>10159</v>
      </c>
      <c r="O1239" s="9" t="s">
        <v>9018</v>
      </c>
      <c r="P1239" s="9" t="str">
        <f>HYPERLINK("https://seichotoushi-hojo.jp/assets/pdf/koufu_3_4ji/outline_33.pdf","PDFを開く")</f>
        <v>PDFを開く</v>
      </c>
      <c r="Q1239" s="9" t="s">
        <v>1974</v>
      </c>
    </row>
    <row r="1240" spans="1:17" ht="62.1" customHeight="1">
      <c r="A1240" s="2" t="s">
        <v>1968</v>
      </c>
      <c r="B1240" s="2" t="s">
        <v>1595</v>
      </c>
      <c r="C1240" s="8" t="s">
        <v>1969</v>
      </c>
      <c r="D1240" s="2">
        <v>1</v>
      </c>
      <c r="E1240" s="8" t="s">
        <v>10156</v>
      </c>
      <c r="F1240" s="2">
        <v>4</v>
      </c>
      <c r="G1240" s="8" t="s">
        <v>8581</v>
      </c>
      <c r="H1240" s="8" t="s">
        <v>8581</v>
      </c>
      <c r="I1240" s="2">
        <v>49.47</v>
      </c>
      <c r="J1240" s="2">
        <v>405.13</v>
      </c>
      <c r="K1240" s="2">
        <v>368.97</v>
      </c>
      <c r="L1240" s="2">
        <v>520.9</v>
      </c>
      <c r="M1240" s="8"/>
      <c r="N1240" s="8" t="s">
        <v>10159</v>
      </c>
      <c r="O1240" s="8" t="s">
        <v>9019</v>
      </c>
      <c r="P1240" s="8" t="str">
        <f>HYPERLINK("https://seichotoushi-hojo.jp/assets/pdf/koufu_3_4ji/outline_33.pdf","PDFを開く")</f>
        <v>PDFを開く</v>
      </c>
      <c r="Q1240" s="8" t="s">
        <v>1974</v>
      </c>
    </row>
    <row r="1241" spans="1:17" ht="62.1" customHeight="1">
      <c r="A1241" s="5" t="s">
        <v>1975</v>
      </c>
      <c r="B1241" s="5" t="s">
        <v>1595</v>
      </c>
      <c r="C1241" s="9" t="s">
        <v>1976</v>
      </c>
      <c r="D1241" s="5">
        <v>1</v>
      </c>
      <c r="E1241" s="9" t="s">
        <v>10156</v>
      </c>
      <c r="F1241" s="5">
        <v>1</v>
      </c>
      <c r="G1241" s="9" t="s">
        <v>10162</v>
      </c>
      <c r="H1241" s="9" t="s">
        <v>10162</v>
      </c>
      <c r="I1241" s="5">
        <v>395.77</v>
      </c>
      <c r="J1241" s="5">
        <v>100.65</v>
      </c>
      <c r="K1241" s="5">
        <v>769.51</v>
      </c>
      <c r="L1241" s="5">
        <v>316.95</v>
      </c>
      <c r="M1241" s="9"/>
      <c r="N1241" s="9" t="s">
        <v>10159</v>
      </c>
      <c r="O1241" s="9" t="s">
        <v>9025</v>
      </c>
      <c r="P1241" s="9" t="str">
        <f>HYPERLINK("https://seichotoushi-hojo.jp/assets/pdf/koufu_3_4ji/outline_34.pdf","PDFを開く")</f>
        <v>PDFを開く</v>
      </c>
      <c r="Q1241" s="9" t="s">
        <v>1982</v>
      </c>
    </row>
    <row r="1242" spans="1:17" ht="62.1" customHeight="1">
      <c r="A1242" s="2" t="s">
        <v>1975</v>
      </c>
      <c r="B1242" s="2" t="s">
        <v>1595</v>
      </c>
      <c r="C1242" s="8" t="s">
        <v>1976</v>
      </c>
      <c r="D1242" s="2">
        <v>1</v>
      </c>
      <c r="E1242" s="8" t="s">
        <v>10156</v>
      </c>
      <c r="F1242" s="2">
        <v>2</v>
      </c>
      <c r="G1242" s="8" t="s">
        <v>9578</v>
      </c>
      <c r="H1242" s="8" t="s">
        <v>9578</v>
      </c>
      <c r="I1242" s="2">
        <v>10.48</v>
      </c>
      <c r="J1242" s="2">
        <v>101.81</v>
      </c>
      <c r="K1242" s="2">
        <v>376.85</v>
      </c>
      <c r="L1242" s="2">
        <v>534.87</v>
      </c>
      <c r="M1242" s="8"/>
      <c r="N1242" s="8" t="s">
        <v>10159</v>
      </c>
      <c r="O1242" s="8" t="s">
        <v>9024</v>
      </c>
      <c r="P1242" s="8" t="str">
        <f>HYPERLINK("https://seichotoushi-hojo.jp/assets/pdf/koufu_3_4ji/outline_34.pdf","PDFを開く")</f>
        <v>PDFを開く</v>
      </c>
      <c r="Q1242" s="8" t="s">
        <v>1982</v>
      </c>
    </row>
    <row r="1243" spans="1:17" ht="62.1" customHeight="1">
      <c r="A1243" s="5" t="s">
        <v>1975</v>
      </c>
      <c r="B1243" s="5" t="s">
        <v>1595</v>
      </c>
      <c r="C1243" s="9" t="s">
        <v>1976</v>
      </c>
      <c r="D1243" s="5">
        <v>1</v>
      </c>
      <c r="E1243" s="9" t="s">
        <v>10156</v>
      </c>
      <c r="F1243" s="5">
        <v>3</v>
      </c>
      <c r="G1243" s="9" t="s">
        <v>10163</v>
      </c>
      <c r="H1243" s="9" t="s">
        <v>10163</v>
      </c>
      <c r="I1243" s="5">
        <v>395.77</v>
      </c>
      <c r="J1243" s="5">
        <v>320.99</v>
      </c>
      <c r="K1243" s="5">
        <v>769.51</v>
      </c>
      <c r="L1243" s="5">
        <v>531.26</v>
      </c>
      <c r="M1243" s="9"/>
      <c r="N1243" s="9" t="s">
        <v>10159</v>
      </c>
      <c r="O1243" s="9" t="s">
        <v>9026</v>
      </c>
      <c r="P1243" s="9" t="str">
        <f>HYPERLINK("https://seichotoushi-hojo.jp/assets/pdf/koufu_3_4ji/outline_34.pdf","PDFを開く")</f>
        <v>PDFを開く</v>
      </c>
      <c r="Q1243" s="9" t="s">
        <v>1982</v>
      </c>
    </row>
    <row r="1244" spans="1:17" ht="62.1" customHeight="1">
      <c r="A1244" s="2" t="s">
        <v>1975</v>
      </c>
      <c r="B1244" s="2" t="s">
        <v>1595</v>
      </c>
      <c r="C1244" s="8" t="s">
        <v>1976</v>
      </c>
      <c r="D1244" s="2">
        <v>1</v>
      </c>
      <c r="E1244" s="8" t="s">
        <v>10156</v>
      </c>
      <c r="F1244" s="2">
        <v>4</v>
      </c>
      <c r="G1244" s="8" t="s">
        <v>8581</v>
      </c>
      <c r="H1244" s="8" t="s">
        <v>8581</v>
      </c>
      <c r="I1244" s="2">
        <v>17.989999999999998</v>
      </c>
      <c r="J1244" s="2">
        <v>427.7</v>
      </c>
      <c r="K1244" s="2">
        <v>363.15</v>
      </c>
      <c r="L1244" s="2">
        <v>531.26</v>
      </c>
      <c r="M1244" s="8"/>
      <c r="N1244" s="8" t="s">
        <v>10159</v>
      </c>
      <c r="O1244" s="8" t="s">
        <v>9027</v>
      </c>
      <c r="P1244" s="8" t="str">
        <f>HYPERLINK("https://seichotoushi-hojo.jp/assets/pdf/koufu_3_4ji/outline_34.pdf","PDFを開く")</f>
        <v>PDFを開く</v>
      </c>
      <c r="Q1244" s="8" t="s">
        <v>1982</v>
      </c>
    </row>
    <row r="1245" spans="1:17" ht="62.1" customHeight="1">
      <c r="A1245" s="5" t="s">
        <v>1983</v>
      </c>
      <c r="B1245" s="5" t="s">
        <v>1595</v>
      </c>
      <c r="C1245" s="9" t="s">
        <v>1984</v>
      </c>
      <c r="D1245" s="5">
        <v>1</v>
      </c>
      <c r="E1245" s="9" t="s">
        <v>10156</v>
      </c>
      <c r="F1245" s="5">
        <v>1</v>
      </c>
      <c r="G1245" s="9" t="s">
        <v>9578</v>
      </c>
      <c r="H1245" s="9" t="s">
        <v>9578</v>
      </c>
      <c r="I1245" s="5">
        <v>8.82</v>
      </c>
      <c r="J1245" s="5">
        <v>99.4</v>
      </c>
      <c r="K1245" s="5">
        <v>390</v>
      </c>
      <c r="L1245" s="5">
        <v>520.9</v>
      </c>
      <c r="M1245" s="9"/>
      <c r="N1245" s="9" t="s">
        <v>10159</v>
      </c>
      <c r="O1245" s="9" t="s">
        <v>9032</v>
      </c>
      <c r="P1245" s="9" t="str">
        <f t="shared" ref="P1245:P1253" si="67">HYPERLINK("https://seichotoushi-hojo.jp/assets/pdf/koufu_3_4ji/outline_35.pdf","PDFを開く")</f>
        <v>PDFを開く</v>
      </c>
      <c r="Q1245" s="9" t="s">
        <v>1991</v>
      </c>
    </row>
    <row r="1246" spans="1:17" ht="62.1" customHeight="1">
      <c r="A1246" s="2" t="s">
        <v>1983</v>
      </c>
      <c r="B1246" s="2" t="s">
        <v>1595</v>
      </c>
      <c r="C1246" s="8" t="s">
        <v>1984</v>
      </c>
      <c r="D1246" s="2">
        <v>1</v>
      </c>
      <c r="E1246" s="8" t="s">
        <v>10156</v>
      </c>
      <c r="F1246" s="2">
        <v>2</v>
      </c>
      <c r="G1246" s="8" t="s">
        <v>10162</v>
      </c>
      <c r="H1246" s="8" t="s">
        <v>10162</v>
      </c>
      <c r="I1246" s="2">
        <v>412.57</v>
      </c>
      <c r="J1246" s="2">
        <v>99.4</v>
      </c>
      <c r="K1246" s="2">
        <v>771.19</v>
      </c>
      <c r="L1246" s="2">
        <v>343.06</v>
      </c>
      <c r="M1246" s="8"/>
      <c r="N1246" s="8" t="s">
        <v>10159</v>
      </c>
      <c r="O1246" s="8" t="s">
        <v>9033</v>
      </c>
      <c r="P1246" s="8" t="str">
        <f t="shared" si="67"/>
        <v>PDFを開く</v>
      </c>
      <c r="Q1246" s="8" t="s">
        <v>1991</v>
      </c>
    </row>
    <row r="1247" spans="1:17" ht="62.1" customHeight="1">
      <c r="A1247" s="5" t="s">
        <v>1983</v>
      </c>
      <c r="B1247" s="5" t="s">
        <v>1595</v>
      </c>
      <c r="C1247" s="9" t="s">
        <v>1984</v>
      </c>
      <c r="D1247" s="5">
        <v>1</v>
      </c>
      <c r="E1247" s="9" t="s">
        <v>10156</v>
      </c>
      <c r="F1247" s="5">
        <v>3</v>
      </c>
      <c r="G1247" s="9" t="s">
        <v>10163</v>
      </c>
      <c r="H1247" s="9" t="s">
        <v>10163</v>
      </c>
      <c r="I1247" s="5">
        <v>412.57</v>
      </c>
      <c r="J1247" s="5">
        <v>345.5</v>
      </c>
      <c r="K1247" s="5">
        <v>771.19</v>
      </c>
      <c r="L1247" s="5">
        <v>520.9</v>
      </c>
      <c r="M1247" s="9"/>
      <c r="N1247" s="9" t="s">
        <v>10159</v>
      </c>
      <c r="O1247" s="9" t="s">
        <v>9034</v>
      </c>
      <c r="P1247" s="9" t="str">
        <f t="shared" si="67"/>
        <v>PDFを開く</v>
      </c>
      <c r="Q1247" s="9" t="s">
        <v>1991</v>
      </c>
    </row>
    <row r="1248" spans="1:17" ht="62.1" customHeight="1">
      <c r="A1248" s="2" t="s">
        <v>1983</v>
      </c>
      <c r="B1248" s="2" t="s">
        <v>1595</v>
      </c>
      <c r="C1248" s="8" t="s">
        <v>1984</v>
      </c>
      <c r="D1248" s="2">
        <v>1</v>
      </c>
      <c r="E1248" s="8" t="s">
        <v>10156</v>
      </c>
      <c r="F1248" s="2">
        <v>4</v>
      </c>
      <c r="G1248" s="8" t="s">
        <v>8581</v>
      </c>
      <c r="H1248" s="8" t="s">
        <v>8581</v>
      </c>
      <c r="I1248" s="2">
        <v>19.100000000000001</v>
      </c>
      <c r="J1248" s="2">
        <v>388.66</v>
      </c>
      <c r="K1248" s="2">
        <v>379.21</v>
      </c>
      <c r="L1248" s="2">
        <v>512.04</v>
      </c>
      <c r="M1248" s="8"/>
      <c r="N1248" s="8" t="s">
        <v>10159</v>
      </c>
      <c r="O1248" s="8" t="s">
        <v>9035</v>
      </c>
      <c r="P1248" s="8" t="str">
        <f t="shared" si="67"/>
        <v>PDFを開く</v>
      </c>
      <c r="Q1248" s="8" t="s">
        <v>1991</v>
      </c>
    </row>
    <row r="1249" spans="1:17" ht="62.1" customHeight="1">
      <c r="A1249" s="5" t="s">
        <v>1983</v>
      </c>
      <c r="B1249" s="5" t="s">
        <v>1595</v>
      </c>
      <c r="C1249" s="9" t="s">
        <v>1984</v>
      </c>
      <c r="D1249" s="5">
        <v>2</v>
      </c>
      <c r="E1249" s="9" t="s">
        <v>10165</v>
      </c>
      <c r="F1249" s="5">
        <v>1</v>
      </c>
      <c r="G1249" s="9" t="s">
        <v>10167</v>
      </c>
      <c r="H1249" s="9" t="s">
        <v>10688</v>
      </c>
      <c r="I1249" s="5">
        <v>249.06</v>
      </c>
      <c r="J1249" s="5">
        <v>200.85</v>
      </c>
      <c r="K1249" s="5">
        <v>582.36</v>
      </c>
      <c r="L1249" s="5">
        <v>244.05</v>
      </c>
      <c r="M1249" s="9"/>
      <c r="N1249" s="9" t="s">
        <v>10159</v>
      </c>
      <c r="O1249" s="9" t="s">
        <v>10689</v>
      </c>
      <c r="P1249" s="9" t="str">
        <f t="shared" si="67"/>
        <v>PDFを開く</v>
      </c>
      <c r="Q1249" s="9" t="s">
        <v>1991</v>
      </c>
    </row>
    <row r="1250" spans="1:17" ht="62.1" customHeight="1">
      <c r="A1250" s="2" t="s">
        <v>1983</v>
      </c>
      <c r="B1250" s="2" t="s">
        <v>1595</v>
      </c>
      <c r="C1250" s="8" t="s">
        <v>1984</v>
      </c>
      <c r="D1250" s="2">
        <v>2</v>
      </c>
      <c r="E1250" s="8" t="s">
        <v>10165</v>
      </c>
      <c r="F1250" s="2">
        <v>2</v>
      </c>
      <c r="G1250" s="8" t="s">
        <v>10167</v>
      </c>
      <c r="H1250" s="8" t="s">
        <v>10690</v>
      </c>
      <c r="I1250" s="2">
        <v>249.06</v>
      </c>
      <c r="J1250" s="2">
        <v>244.05</v>
      </c>
      <c r="K1250" s="2">
        <v>582.36</v>
      </c>
      <c r="L1250" s="2">
        <v>275.25</v>
      </c>
      <c r="M1250" s="8"/>
      <c r="N1250" s="8" t="s">
        <v>10159</v>
      </c>
      <c r="O1250" s="8" t="s">
        <v>10691</v>
      </c>
      <c r="P1250" s="8" t="str">
        <f t="shared" si="67"/>
        <v>PDFを開く</v>
      </c>
      <c r="Q1250" s="8" t="s">
        <v>1991</v>
      </c>
    </row>
    <row r="1251" spans="1:17" ht="62.1" customHeight="1">
      <c r="A1251" s="5" t="s">
        <v>1983</v>
      </c>
      <c r="B1251" s="5" t="s">
        <v>1595</v>
      </c>
      <c r="C1251" s="9" t="s">
        <v>1984</v>
      </c>
      <c r="D1251" s="5">
        <v>2</v>
      </c>
      <c r="E1251" s="9" t="s">
        <v>10165</v>
      </c>
      <c r="F1251" s="5">
        <v>3</v>
      </c>
      <c r="G1251" s="9" t="s">
        <v>10167</v>
      </c>
      <c r="H1251" s="9" t="s">
        <v>10692</v>
      </c>
      <c r="I1251" s="5">
        <v>249.06</v>
      </c>
      <c r="J1251" s="5">
        <v>275.25</v>
      </c>
      <c r="K1251" s="5">
        <v>582.36</v>
      </c>
      <c r="L1251" s="5">
        <v>306.45</v>
      </c>
      <c r="M1251" s="9"/>
      <c r="N1251" s="9" t="s">
        <v>10159</v>
      </c>
      <c r="O1251" s="9" t="s">
        <v>10693</v>
      </c>
      <c r="P1251" s="9" t="str">
        <f t="shared" si="67"/>
        <v>PDFを開く</v>
      </c>
      <c r="Q1251" s="9" t="s">
        <v>1991</v>
      </c>
    </row>
    <row r="1252" spans="1:17" ht="62.1" customHeight="1">
      <c r="A1252" s="2" t="s">
        <v>1983</v>
      </c>
      <c r="B1252" s="2" t="s">
        <v>1595</v>
      </c>
      <c r="C1252" s="8" t="s">
        <v>1984</v>
      </c>
      <c r="D1252" s="2">
        <v>2</v>
      </c>
      <c r="E1252" s="8" t="s">
        <v>10165</v>
      </c>
      <c r="F1252" s="2">
        <v>4</v>
      </c>
      <c r="G1252" s="8" t="s">
        <v>10167</v>
      </c>
      <c r="H1252" s="8" t="s">
        <v>10694</v>
      </c>
      <c r="I1252" s="2">
        <v>249.06</v>
      </c>
      <c r="J1252" s="2">
        <v>306.45</v>
      </c>
      <c r="K1252" s="2">
        <v>582.36</v>
      </c>
      <c r="L1252" s="2">
        <v>336.92</v>
      </c>
      <c r="M1252" s="8"/>
      <c r="N1252" s="8" t="s">
        <v>10159</v>
      </c>
      <c r="O1252" s="8" t="s">
        <v>10694</v>
      </c>
      <c r="P1252" s="8" t="str">
        <f t="shared" si="67"/>
        <v>PDFを開く</v>
      </c>
      <c r="Q1252" s="8" t="s">
        <v>1991</v>
      </c>
    </row>
    <row r="1253" spans="1:17" ht="62.1" customHeight="1">
      <c r="A1253" s="5" t="s">
        <v>1983</v>
      </c>
      <c r="B1253" s="5" t="s">
        <v>1595</v>
      </c>
      <c r="C1253" s="9" t="s">
        <v>1984</v>
      </c>
      <c r="D1253" s="5">
        <v>3</v>
      </c>
      <c r="E1253" s="9" t="s">
        <v>10165</v>
      </c>
      <c r="F1253" s="5">
        <v>1</v>
      </c>
      <c r="G1253" s="9" t="s">
        <v>10167</v>
      </c>
      <c r="H1253" s="9" t="s">
        <v>10695</v>
      </c>
      <c r="I1253" s="5">
        <v>3.75</v>
      </c>
      <c r="J1253" s="5">
        <v>361.6</v>
      </c>
      <c r="K1253" s="5">
        <v>357.06</v>
      </c>
      <c r="L1253" s="5">
        <v>532.30999999999995</v>
      </c>
      <c r="M1253" s="9"/>
      <c r="N1253" s="9" t="s">
        <v>10159</v>
      </c>
      <c r="O1253" s="9" t="s">
        <v>10696</v>
      </c>
      <c r="P1253" s="9" t="str">
        <f t="shared" si="67"/>
        <v>PDFを開く</v>
      </c>
      <c r="Q1253" s="9" t="s">
        <v>1991</v>
      </c>
    </row>
    <row r="1254" spans="1:17" ht="62.1" customHeight="1">
      <c r="A1254" s="2" t="s">
        <v>2001</v>
      </c>
      <c r="B1254" s="2" t="s">
        <v>1595</v>
      </c>
      <c r="C1254" s="8" t="s">
        <v>2002</v>
      </c>
      <c r="D1254" s="2">
        <v>1</v>
      </c>
      <c r="E1254" s="8" t="s">
        <v>10156</v>
      </c>
      <c r="F1254" s="2">
        <v>1</v>
      </c>
      <c r="G1254" s="8" t="s">
        <v>9578</v>
      </c>
      <c r="H1254" s="8" t="s">
        <v>9578</v>
      </c>
      <c r="I1254" s="2">
        <v>38.119999999999997</v>
      </c>
      <c r="J1254" s="2">
        <v>116.54</v>
      </c>
      <c r="K1254" s="2">
        <v>377.25</v>
      </c>
      <c r="L1254" s="2">
        <v>520.9</v>
      </c>
      <c r="M1254" s="8"/>
      <c r="N1254" s="8" t="s">
        <v>10159</v>
      </c>
      <c r="O1254" s="8" t="s">
        <v>9040</v>
      </c>
      <c r="P1254" s="8" t="str">
        <f>HYPERLINK("https://seichotoushi-hojo.jp/assets/pdf/koufu_3_4ji/outline_39.pdf","PDFを開く")</f>
        <v>PDFを開く</v>
      </c>
      <c r="Q1254" s="8" t="s">
        <v>2009</v>
      </c>
    </row>
    <row r="1255" spans="1:17" ht="62.1" customHeight="1">
      <c r="A1255" s="5" t="s">
        <v>2001</v>
      </c>
      <c r="B1255" s="5" t="s">
        <v>1595</v>
      </c>
      <c r="C1255" s="9" t="s">
        <v>2002</v>
      </c>
      <c r="D1255" s="5">
        <v>1</v>
      </c>
      <c r="E1255" s="9" t="s">
        <v>10156</v>
      </c>
      <c r="F1255" s="5">
        <v>2</v>
      </c>
      <c r="G1255" s="9" t="s">
        <v>10162</v>
      </c>
      <c r="H1255" s="9" t="s">
        <v>10162</v>
      </c>
      <c r="I1255" s="5">
        <v>396.3</v>
      </c>
      <c r="J1255" s="5">
        <v>118.83</v>
      </c>
      <c r="K1255" s="5">
        <v>739.78</v>
      </c>
      <c r="L1255" s="5">
        <v>312.91000000000003</v>
      </c>
      <c r="M1255" s="9"/>
      <c r="N1255" s="9" t="s">
        <v>10159</v>
      </c>
      <c r="O1255" s="9" t="s">
        <v>9041</v>
      </c>
      <c r="P1255" s="9" t="str">
        <f>HYPERLINK("https://seichotoushi-hojo.jp/assets/pdf/koufu_3_4ji/outline_39.pdf","PDFを開く")</f>
        <v>PDFを開く</v>
      </c>
      <c r="Q1255" s="9" t="s">
        <v>2009</v>
      </c>
    </row>
    <row r="1256" spans="1:17" ht="62.1" customHeight="1">
      <c r="A1256" s="2" t="s">
        <v>2001</v>
      </c>
      <c r="B1256" s="2" t="s">
        <v>1595</v>
      </c>
      <c r="C1256" s="8" t="s">
        <v>2002</v>
      </c>
      <c r="D1256" s="2">
        <v>1</v>
      </c>
      <c r="E1256" s="8" t="s">
        <v>10156</v>
      </c>
      <c r="F1256" s="2">
        <v>3</v>
      </c>
      <c r="G1256" s="8" t="s">
        <v>10163</v>
      </c>
      <c r="H1256" s="8" t="s">
        <v>10163</v>
      </c>
      <c r="I1256" s="2">
        <v>396.3</v>
      </c>
      <c r="J1256" s="2">
        <v>326.82</v>
      </c>
      <c r="K1256" s="2">
        <v>739.78</v>
      </c>
      <c r="L1256" s="2">
        <v>520.9</v>
      </c>
      <c r="M1256" s="8"/>
      <c r="N1256" s="8" t="s">
        <v>10159</v>
      </c>
      <c r="O1256" s="8" t="s">
        <v>9042</v>
      </c>
      <c r="P1256" s="8" t="str">
        <f>HYPERLINK("https://seichotoushi-hojo.jp/assets/pdf/koufu_3_4ji/outline_39.pdf","PDFを開く")</f>
        <v>PDFを開く</v>
      </c>
      <c r="Q1256" s="8" t="s">
        <v>2009</v>
      </c>
    </row>
    <row r="1257" spans="1:17" ht="62.1" customHeight="1">
      <c r="A1257" s="5" t="s">
        <v>2001</v>
      </c>
      <c r="B1257" s="5" t="s">
        <v>1595</v>
      </c>
      <c r="C1257" s="9" t="s">
        <v>2002</v>
      </c>
      <c r="D1257" s="5">
        <v>1</v>
      </c>
      <c r="E1257" s="9" t="s">
        <v>10156</v>
      </c>
      <c r="F1257" s="5">
        <v>4</v>
      </c>
      <c r="G1257" s="9" t="s">
        <v>8581</v>
      </c>
      <c r="H1257" s="9" t="s">
        <v>8581</v>
      </c>
      <c r="I1257" s="5">
        <v>47.94</v>
      </c>
      <c r="J1257" s="5">
        <v>407.31</v>
      </c>
      <c r="K1257" s="5">
        <v>367.44</v>
      </c>
      <c r="L1257" s="5">
        <v>512.41999999999996</v>
      </c>
      <c r="M1257" s="9"/>
      <c r="N1257" s="9" t="s">
        <v>10159</v>
      </c>
      <c r="O1257" s="9" t="s">
        <v>9043</v>
      </c>
      <c r="P1257" s="9" t="str">
        <f>HYPERLINK("https://seichotoushi-hojo.jp/assets/pdf/koufu_3_4ji/outline_39.pdf","PDFを開く")</f>
        <v>PDFを開く</v>
      </c>
      <c r="Q1257" s="9" t="s">
        <v>2009</v>
      </c>
    </row>
    <row r="1258" spans="1:17" ht="62.1" customHeight="1">
      <c r="A1258" s="2" t="s">
        <v>2001</v>
      </c>
      <c r="B1258" s="2" t="s">
        <v>1595</v>
      </c>
      <c r="C1258" s="8" t="s">
        <v>2002</v>
      </c>
      <c r="D1258" s="2">
        <v>2</v>
      </c>
      <c r="E1258" s="8" t="s">
        <v>10165</v>
      </c>
      <c r="F1258" s="2">
        <v>1</v>
      </c>
      <c r="G1258" s="8" t="s">
        <v>10167</v>
      </c>
      <c r="H1258" s="8" t="s">
        <v>10697</v>
      </c>
      <c r="I1258" s="2">
        <v>126.83</v>
      </c>
      <c r="J1258" s="2">
        <v>148</v>
      </c>
      <c r="K1258" s="2">
        <v>740.95</v>
      </c>
      <c r="L1258" s="2">
        <v>244.66</v>
      </c>
      <c r="M1258" s="8"/>
      <c r="N1258" s="8" t="s">
        <v>10159</v>
      </c>
      <c r="O1258" s="8" t="s">
        <v>10698</v>
      </c>
      <c r="P1258" s="8" t="str">
        <f>HYPERLINK("https://seichotoushi-hojo.jp/assets/pdf/koufu_3_4ji/outline_39.pdf","PDFを開く")</f>
        <v>PDFを開く</v>
      </c>
      <c r="Q1258" s="8" t="s">
        <v>2009</v>
      </c>
    </row>
    <row r="1259" spans="1:17" ht="62.1" customHeight="1">
      <c r="A1259" s="5" t="s">
        <v>2010</v>
      </c>
      <c r="B1259" s="5" t="s">
        <v>1595</v>
      </c>
      <c r="C1259" s="9" t="s">
        <v>2011</v>
      </c>
      <c r="D1259" s="5">
        <v>1</v>
      </c>
      <c r="E1259" s="9" t="s">
        <v>10156</v>
      </c>
      <c r="F1259" s="5">
        <v>1</v>
      </c>
      <c r="G1259" s="9" t="s">
        <v>9578</v>
      </c>
      <c r="H1259" s="9" t="s">
        <v>9578</v>
      </c>
      <c r="I1259" s="5">
        <v>35.299999999999997</v>
      </c>
      <c r="J1259" s="5">
        <v>122.99</v>
      </c>
      <c r="K1259" s="5">
        <v>374.43</v>
      </c>
      <c r="L1259" s="5">
        <v>510.26</v>
      </c>
      <c r="M1259" s="9"/>
      <c r="N1259" s="9" t="s">
        <v>10159</v>
      </c>
      <c r="O1259" s="9" t="s">
        <v>9048</v>
      </c>
      <c r="P1259" s="9" t="str">
        <f t="shared" ref="P1259:P1264" si="68">HYPERLINK("https://seichotoushi-hojo.jp/assets/pdf/koufu_3_4ji/outline_40.pdf","PDFを開く")</f>
        <v>PDFを開く</v>
      </c>
      <c r="Q1259" s="9" t="s">
        <v>2017</v>
      </c>
    </row>
    <row r="1260" spans="1:17" ht="62.1" customHeight="1">
      <c r="A1260" s="2" t="s">
        <v>2010</v>
      </c>
      <c r="B1260" s="2" t="s">
        <v>1595</v>
      </c>
      <c r="C1260" s="8" t="s">
        <v>2011</v>
      </c>
      <c r="D1260" s="2">
        <v>1</v>
      </c>
      <c r="E1260" s="8" t="s">
        <v>10156</v>
      </c>
      <c r="F1260" s="2">
        <v>2</v>
      </c>
      <c r="G1260" s="8" t="s">
        <v>10162</v>
      </c>
      <c r="H1260" s="8" t="s">
        <v>10162</v>
      </c>
      <c r="I1260" s="2">
        <v>401.22</v>
      </c>
      <c r="J1260" s="2">
        <v>138.36000000000001</v>
      </c>
      <c r="K1260" s="2">
        <v>749.05</v>
      </c>
      <c r="L1260" s="2">
        <v>296.66000000000003</v>
      </c>
      <c r="M1260" s="8"/>
      <c r="N1260" s="8" t="s">
        <v>10159</v>
      </c>
      <c r="O1260" s="8" t="s">
        <v>9049</v>
      </c>
      <c r="P1260" s="8" t="str">
        <f t="shared" si="68"/>
        <v>PDFを開く</v>
      </c>
      <c r="Q1260" s="8" t="s">
        <v>2017</v>
      </c>
    </row>
    <row r="1261" spans="1:17" ht="62.1" customHeight="1">
      <c r="A1261" s="5" t="s">
        <v>2010</v>
      </c>
      <c r="B1261" s="5" t="s">
        <v>1595</v>
      </c>
      <c r="C1261" s="9" t="s">
        <v>2011</v>
      </c>
      <c r="D1261" s="5">
        <v>1</v>
      </c>
      <c r="E1261" s="9" t="s">
        <v>10156</v>
      </c>
      <c r="F1261" s="5">
        <v>3</v>
      </c>
      <c r="G1261" s="9" t="s">
        <v>10163</v>
      </c>
      <c r="H1261" s="9" t="s">
        <v>10163</v>
      </c>
      <c r="I1261" s="5">
        <v>405.57</v>
      </c>
      <c r="J1261" s="5">
        <v>329.57</v>
      </c>
      <c r="K1261" s="5">
        <v>749.05</v>
      </c>
      <c r="L1261" s="5">
        <v>487.87</v>
      </c>
      <c r="M1261" s="9"/>
      <c r="N1261" s="9" t="s">
        <v>10159</v>
      </c>
      <c r="O1261" s="9" t="s">
        <v>9050</v>
      </c>
      <c r="P1261" s="9" t="str">
        <f t="shared" si="68"/>
        <v>PDFを開く</v>
      </c>
      <c r="Q1261" s="9" t="s">
        <v>2017</v>
      </c>
    </row>
    <row r="1262" spans="1:17" ht="62.1" customHeight="1">
      <c r="A1262" s="2" t="s">
        <v>2010</v>
      </c>
      <c r="B1262" s="2" t="s">
        <v>1595</v>
      </c>
      <c r="C1262" s="8" t="s">
        <v>2011</v>
      </c>
      <c r="D1262" s="2">
        <v>1</v>
      </c>
      <c r="E1262" s="8" t="s">
        <v>10156</v>
      </c>
      <c r="F1262" s="2">
        <v>4</v>
      </c>
      <c r="G1262" s="8" t="s">
        <v>8581</v>
      </c>
      <c r="H1262" s="8" t="s">
        <v>8581</v>
      </c>
      <c r="I1262" s="2">
        <v>45.12</v>
      </c>
      <c r="J1262" s="2">
        <v>394.49</v>
      </c>
      <c r="K1262" s="2">
        <v>364.62</v>
      </c>
      <c r="L1262" s="2">
        <v>510.26</v>
      </c>
      <c r="M1262" s="8"/>
      <c r="N1262" s="8" t="s">
        <v>10159</v>
      </c>
      <c r="O1262" s="8" t="s">
        <v>9051</v>
      </c>
      <c r="P1262" s="8" t="str">
        <f t="shared" si="68"/>
        <v>PDFを開く</v>
      </c>
      <c r="Q1262" s="8" t="s">
        <v>2017</v>
      </c>
    </row>
    <row r="1263" spans="1:17" ht="62.1" customHeight="1">
      <c r="A1263" s="5" t="s">
        <v>2010</v>
      </c>
      <c r="B1263" s="5" t="s">
        <v>1595</v>
      </c>
      <c r="C1263" s="9" t="s">
        <v>2011</v>
      </c>
      <c r="D1263" s="5">
        <v>2</v>
      </c>
      <c r="E1263" s="9" t="s">
        <v>10165</v>
      </c>
      <c r="F1263" s="5">
        <v>1</v>
      </c>
      <c r="G1263" s="9" t="s">
        <v>10167</v>
      </c>
      <c r="H1263" s="9" t="s">
        <v>10699</v>
      </c>
      <c r="I1263" s="5">
        <v>214.74</v>
      </c>
      <c r="J1263" s="5">
        <v>205.9</v>
      </c>
      <c r="K1263" s="5">
        <v>512.19000000000005</v>
      </c>
      <c r="L1263" s="5">
        <v>234.5</v>
      </c>
      <c r="M1263" s="9"/>
      <c r="N1263" s="9" t="s">
        <v>10159</v>
      </c>
      <c r="O1263" s="9" t="s">
        <v>10699</v>
      </c>
      <c r="P1263" s="9" t="str">
        <f t="shared" si="68"/>
        <v>PDFを開く</v>
      </c>
      <c r="Q1263" s="9" t="s">
        <v>2017</v>
      </c>
    </row>
    <row r="1264" spans="1:17" ht="62.1" customHeight="1">
      <c r="A1264" s="2" t="s">
        <v>2010</v>
      </c>
      <c r="B1264" s="2" t="s">
        <v>1595</v>
      </c>
      <c r="C1264" s="8" t="s">
        <v>2011</v>
      </c>
      <c r="D1264" s="2">
        <v>2</v>
      </c>
      <c r="E1264" s="8" t="s">
        <v>10165</v>
      </c>
      <c r="F1264" s="2">
        <v>2</v>
      </c>
      <c r="G1264" s="8" t="s">
        <v>10167</v>
      </c>
      <c r="H1264" s="8" t="s">
        <v>10700</v>
      </c>
      <c r="I1264" s="2">
        <v>214.74</v>
      </c>
      <c r="J1264" s="2">
        <v>234.5</v>
      </c>
      <c r="K1264" s="2">
        <v>512.19000000000005</v>
      </c>
      <c r="L1264" s="2">
        <v>284.89999999999998</v>
      </c>
      <c r="M1264" s="8"/>
      <c r="N1264" s="8" t="s">
        <v>10159</v>
      </c>
      <c r="O1264" s="8" t="s">
        <v>10701</v>
      </c>
      <c r="P1264" s="8" t="str">
        <f t="shared" si="68"/>
        <v>PDFを開く</v>
      </c>
      <c r="Q1264" s="8" t="s">
        <v>2017</v>
      </c>
    </row>
    <row r="1265" spans="1:17" ht="62.1" customHeight="1">
      <c r="A1265" s="5" t="s">
        <v>2018</v>
      </c>
      <c r="B1265" s="5" t="s">
        <v>1595</v>
      </c>
      <c r="C1265" s="9" t="s">
        <v>2019</v>
      </c>
      <c r="D1265" s="5">
        <v>1</v>
      </c>
      <c r="E1265" s="9" t="s">
        <v>10156</v>
      </c>
      <c r="F1265" s="5">
        <v>1</v>
      </c>
      <c r="G1265" s="9" t="s">
        <v>9578</v>
      </c>
      <c r="H1265" s="9" t="s">
        <v>9578</v>
      </c>
      <c r="I1265" s="5">
        <v>21.39</v>
      </c>
      <c r="J1265" s="5">
        <v>101.81</v>
      </c>
      <c r="K1265" s="5">
        <v>360.52</v>
      </c>
      <c r="L1265" s="5">
        <v>533.11</v>
      </c>
      <c r="M1265" s="9"/>
      <c r="N1265" s="9" t="s">
        <v>10159</v>
      </c>
      <c r="O1265" s="9" t="s">
        <v>9056</v>
      </c>
      <c r="P1265" s="9" t="str">
        <f t="shared" ref="P1265:P1270" si="69">HYPERLINK("https://seichotoushi-hojo.jp/assets/pdf/koufu_3_4ji/outline_41.pdf","PDFを開く")</f>
        <v>PDFを開く</v>
      </c>
      <c r="Q1265" s="9" t="s">
        <v>2025</v>
      </c>
    </row>
    <row r="1266" spans="1:17" ht="62.1" customHeight="1">
      <c r="A1266" s="2" t="s">
        <v>2018</v>
      </c>
      <c r="B1266" s="2" t="s">
        <v>1595</v>
      </c>
      <c r="C1266" s="8" t="s">
        <v>2019</v>
      </c>
      <c r="D1266" s="2">
        <v>1</v>
      </c>
      <c r="E1266" s="8" t="s">
        <v>10156</v>
      </c>
      <c r="F1266" s="2">
        <v>2</v>
      </c>
      <c r="G1266" s="8" t="s">
        <v>10162</v>
      </c>
      <c r="H1266" s="8" t="s">
        <v>10162</v>
      </c>
      <c r="I1266" s="2">
        <v>378.04</v>
      </c>
      <c r="J1266" s="2">
        <v>101.81</v>
      </c>
      <c r="K1266" s="2">
        <v>758.6</v>
      </c>
      <c r="L1266" s="2">
        <v>340.85</v>
      </c>
      <c r="M1266" s="8"/>
      <c r="N1266" s="8" t="s">
        <v>10159</v>
      </c>
      <c r="O1266" s="8" t="s">
        <v>9057</v>
      </c>
      <c r="P1266" s="8" t="str">
        <f t="shared" si="69"/>
        <v>PDFを開く</v>
      </c>
      <c r="Q1266" s="8" t="s">
        <v>2025</v>
      </c>
    </row>
    <row r="1267" spans="1:17" ht="62.1" customHeight="1">
      <c r="A1267" s="5" t="s">
        <v>2018</v>
      </c>
      <c r="B1267" s="5" t="s">
        <v>1595</v>
      </c>
      <c r="C1267" s="9" t="s">
        <v>2019</v>
      </c>
      <c r="D1267" s="5">
        <v>1</v>
      </c>
      <c r="E1267" s="9" t="s">
        <v>10156</v>
      </c>
      <c r="F1267" s="5">
        <v>3</v>
      </c>
      <c r="G1267" s="9" t="s">
        <v>10163</v>
      </c>
      <c r="H1267" s="9" t="s">
        <v>10163</v>
      </c>
      <c r="I1267" s="5">
        <v>378.04</v>
      </c>
      <c r="J1267" s="5">
        <v>349.28</v>
      </c>
      <c r="K1267" s="5">
        <v>758.6</v>
      </c>
      <c r="L1267" s="5">
        <v>533.11</v>
      </c>
      <c r="M1267" s="9"/>
      <c r="N1267" s="9" t="s">
        <v>10159</v>
      </c>
      <c r="O1267" s="9" t="s">
        <v>9058</v>
      </c>
      <c r="P1267" s="9" t="str">
        <f t="shared" si="69"/>
        <v>PDFを開く</v>
      </c>
      <c r="Q1267" s="9" t="s">
        <v>2025</v>
      </c>
    </row>
    <row r="1268" spans="1:17" ht="62.1" customHeight="1">
      <c r="A1268" s="2" t="s">
        <v>2018</v>
      </c>
      <c r="B1268" s="2" t="s">
        <v>1595</v>
      </c>
      <c r="C1268" s="8" t="s">
        <v>2019</v>
      </c>
      <c r="D1268" s="2">
        <v>1</v>
      </c>
      <c r="E1268" s="8" t="s">
        <v>10156</v>
      </c>
      <c r="F1268" s="2">
        <v>4</v>
      </c>
      <c r="G1268" s="8" t="s">
        <v>8581</v>
      </c>
      <c r="H1268" s="8" t="s">
        <v>8581</v>
      </c>
      <c r="I1268" s="2">
        <v>29.65</v>
      </c>
      <c r="J1268" s="2">
        <v>407.01</v>
      </c>
      <c r="K1268" s="2">
        <v>349.15</v>
      </c>
      <c r="L1268" s="2">
        <v>520.9</v>
      </c>
      <c r="M1268" s="8"/>
      <c r="N1268" s="8" t="s">
        <v>10159</v>
      </c>
      <c r="O1268" s="8" t="s">
        <v>9059</v>
      </c>
      <c r="P1268" s="8" t="str">
        <f t="shared" si="69"/>
        <v>PDFを開く</v>
      </c>
      <c r="Q1268" s="8" t="s">
        <v>2025</v>
      </c>
    </row>
    <row r="1269" spans="1:17" ht="62.1" customHeight="1">
      <c r="A1269" s="5" t="s">
        <v>2018</v>
      </c>
      <c r="B1269" s="5" t="s">
        <v>1595</v>
      </c>
      <c r="C1269" s="9" t="s">
        <v>2019</v>
      </c>
      <c r="D1269" s="5">
        <v>2</v>
      </c>
      <c r="E1269" s="9" t="s">
        <v>10165</v>
      </c>
      <c r="F1269" s="5">
        <v>1</v>
      </c>
      <c r="G1269" s="9" t="s">
        <v>10184</v>
      </c>
      <c r="H1269" s="9" t="s">
        <v>10184</v>
      </c>
      <c r="I1269" s="5">
        <v>131.26</v>
      </c>
      <c r="J1269" s="5">
        <v>147.94999999999999</v>
      </c>
      <c r="K1269" s="5">
        <v>401.7</v>
      </c>
      <c r="L1269" s="5">
        <v>343.35</v>
      </c>
      <c r="M1269" s="9"/>
      <c r="N1269" s="9" t="s">
        <v>10181</v>
      </c>
      <c r="O1269" s="9" t="s">
        <v>10702</v>
      </c>
      <c r="P1269" s="9" t="str">
        <f t="shared" si="69"/>
        <v>PDFを開く</v>
      </c>
      <c r="Q1269" s="9" t="s">
        <v>2025</v>
      </c>
    </row>
    <row r="1270" spans="1:17" ht="62.1" customHeight="1">
      <c r="A1270" s="2" t="s">
        <v>2018</v>
      </c>
      <c r="B1270" s="2" t="s">
        <v>1595</v>
      </c>
      <c r="C1270" s="8" t="s">
        <v>2019</v>
      </c>
      <c r="D1270" s="2">
        <v>2</v>
      </c>
      <c r="E1270" s="8" t="s">
        <v>10165</v>
      </c>
      <c r="F1270" s="2">
        <v>2</v>
      </c>
      <c r="G1270" s="8" t="s">
        <v>10167</v>
      </c>
      <c r="H1270" s="8" t="s">
        <v>5261</v>
      </c>
      <c r="I1270" s="2">
        <v>459.84</v>
      </c>
      <c r="J1270" s="2">
        <v>375.44</v>
      </c>
      <c r="K1270" s="2">
        <v>758.82</v>
      </c>
      <c r="L1270" s="2">
        <v>403.68</v>
      </c>
      <c r="M1270" s="8"/>
      <c r="N1270" s="8" t="s">
        <v>10159</v>
      </c>
      <c r="O1270" s="8" t="s">
        <v>10703</v>
      </c>
      <c r="P1270" s="8" t="str">
        <f t="shared" si="69"/>
        <v>PDFを開く</v>
      </c>
      <c r="Q1270" s="8" t="s">
        <v>2025</v>
      </c>
    </row>
    <row r="1271" spans="1:17" ht="62.1" customHeight="1">
      <c r="A1271" s="5" t="s">
        <v>2026</v>
      </c>
      <c r="B1271" s="5" t="s">
        <v>1595</v>
      </c>
      <c r="C1271" s="9" t="s">
        <v>2027</v>
      </c>
      <c r="D1271" s="5">
        <v>1</v>
      </c>
      <c r="E1271" s="9" t="s">
        <v>10156</v>
      </c>
      <c r="F1271" s="5">
        <v>1</v>
      </c>
      <c r="G1271" s="9" t="s">
        <v>9578</v>
      </c>
      <c r="H1271" s="9" t="s">
        <v>9578</v>
      </c>
      <c r="I1271" s="5">
        <v>33.299999999999997</v>
      </c>
      <c r="J1271" s="5">
        <v>107.95</v>
      </c>
      <c r="K1271" s="5">
        <v>372.43</v>
      </c>
      <c r="L1271" s="5">
        <v>524.48</v>
      </c>
      <c r="M1271" s="9"/>
      <c r="N1271" s="9" t="s">
        <v>10159</v>
      </c>
      <c r="O1271" s="9" t="s">
        <v>9064</v>
      </c>
      <c r="P1271" s="9" t="str">
        <f>HYPERLINK("https://seichotoushi-hojo.jp/assets/pdf/koufu_3_4ji/outline_42.pdf","PDFを開く")</f>
        <v>PDFを開く</v>
      </c>
      <c r="Q1271" s="9" t="s">
        <v>2033</v>
      </c>
    </row>
    <row r="1272" spans="1:17" ht="62.1" customHeight="1">
      <c r="A1272" s="2" t="s">
        <v>2026</v>
      </c>
      <c r="B1272" s="2" t="s">
        <v>1595</v>
      </c>
      <c r="C1272" s="8" t="s">
        <v>2027</v>
      </c>
      <c r="D1272" s="2">
        <v>1</v>
      </c>
      <c r="E1272" s="8" t="s">
        <v>10156</v>
      </c>
      <c r="F1272" s="2">
        <v>2</v>
      </c>
      <c r="G1272" s="8" t="s">
        <v>10162</v>
      </c>
      <c r="H1272" s="8" t="s">
        <v>10162</v>
      </c>
      <c r="I1272" s="2">
        <v>396.3</v>
      </c>
      <c r="J1272" s="2">
        <v>117.99</v>
      </c>
      <c r="K1272" s="2">
        <v>751.27</v>
      </c>
      <c r="L1272" s="2">
        <v>295.58</v>
      </c>
      <c r="M1272" s="8"/>
      <c r="N1272" s="8" t="s">
        <v>10159</v>
      </c>
      <c r="O1272" s="8" t="s">
        <v>9065</v>
      </c>
      <c r="P1272" s="8" t="str">
        <f>HYPERLINK("https://seichotoushi-hojo.jp/assets/pdf/koufu_3_4ji/outline_42.pdf","PDFを開く")</f>
        <v>PDFを開く</v>
      </c>
      <c r="Q1272" s="8" t="s">
        <v>2033</v>
      </c>
    </row>
    <row r="1273" spans="1:17" ht="62.1" customHeight="1">
      <c r="A1273" s="5" t="s">
        <v>2026</v>
      </c>
      <c r="B1273" s="5" t="s">
        <v>1595</v>
      </c>
      <c r="C1273" s="9" t="s">
        <v>2027</v>
      </c>
      <c r="D1273" s="5">
        <v>1</v>
      </c>
      <c r="E1273" s="9" t="s">
        <v>10156</v>
      </c>
      <c r="F1273" s="5">
        <v>3</v>
      </c>
      <c r="G1273" s="9" t="s">
        <v>10163</v>
      </c>
      <c r="H1273" s="9" t="s">
        <v>10163</v>
      </c>
      <c r="I1273" s="5">
        <v>396.3</v>
      </c>
      <c r="J1273" s="5">
        <v>305.87</v>
      </c>
      <c r="K1273" s="5">
        <v>751.27</v>
      </c>
      <c r="L1273" s="5">
        <v>496.59</v>
      </c>
      <c r="M1273" s="9"/>
      <c r="N1273" s="9" t="s">
        <v>10159</v>
      </c>
      <c r="O1273" s="9" t="s">
        <v>9066</v>
      </c>
      <c r="P1273" s="9" t="str">
        <f>HYPERLINK("https://seichotoushi-hojo.jp/assets/pdf/koufu_3_4ji/outline_42.pdf","PDFを開く")</f>
        <v>PDFを開く</v>
      </c>
      <c r="Q1273" s="9" t="s">
        <v>2033</v>
      </c>
    </row>
    <row r="1274" spans="1:17" ht="62.1" customHeight="1">
      <c r="A1274" s="2" t="s">
        <v>2026</v>
      </c>
      <c r="B1274" s="2" t="s">
        <v>1595</v>
      </c>
      <c r="C1274" s="8" t="s">
        <v>2027</v>
      </c>
      <c r="D1274" s="2">
        <v>1</v>
      </c>
      <c r="E1274" s="8" t="s">
        <v>10156</v>
      </c>
      <c r="F1274" s="2">
        <v>4</v>
      </c>
      <c r="G1274" s="8" t="s">
        <v>8581</v>
      </c>
      <c r="H1274" s="8" t="s">
        <v>8581</v>
      </c>
      <c r="I1274" s="2">
        <v>40.9</v>
      </c>
      <c r="J1274" s="2">
        <v>390.89</v>
      </c>
      <c r="K1274" s="2">
        <v>364.83</v>
      </c>
      <c r="L1274" s="2">
        <v>490.1</v>
      </c>
      <c r="M1274" s="8"/>
      <c r="N1274" s="8" t="s">
        <v>10159</v>
      </c>
      <c r="O1274" s="8" t="s">
        <v>9067</v>
      </c>
      <c r="P1274" s="8" t="str">
        <f>HYPERLINK("https://seichotoushi-hojo.jp/assets/pdf/koufu_3_4ji/outline_42.pdf","PDFを開く")</f>
        <v>PDFを開く</v>
      </c>
      <c r="Q1274" s="8" t="s">
        <v>2033</v>
      </c>
    </row>
    <row r="1275" spans="1:17" ht="62.1" customHeight="1">
      <c r="A1275" s="5" t="s">
        <v>2034</v>
      </c>
      <c r="B1275" s="5" t="s">
        <v>1595</v>
      </c>
      <c r="C1275" s="9" t="s">
        <v>2035</v>
      </c>
      <c r="D1275" s="5">
        <v>1</v>
      </c>
      <c r="E1275" s="9" t="s">
        <v>10704</v>
      </c>
      <c r="F1275" s="5">
        <v>1</v>
      </c>
      <c r="G1275" s="9" t="s">
        <v>10705</v>
      </c>
      <c r="H1275" s="9" t="s">
        <v>10705</v>
      </c>
      <c r="I1275" s="5">
        <v>39.840000000000003</v>
      </c>
      <c r="J1275" s="5">
        <v>14.1</v>
      </c>
      <c r="K1275" s="5">
        <v>401.7</v>
      </c>
      <c r="L1275" s="5">
        <v>209.5</v>
      </c>
      <c r="M1275" s="9"/>
      <c r="N1275" s="9" t="s">
        <v>10181</v>
      </c>
      <c r="O1275" s="9" t="s">
        <v>10706</v>
      </c>
      <c r="P1275" s="9" t="str">
        <f t="shared" ref="P1275:P1281" si="70">HYPERLINK("https://seichotoushi-hojo.jp/assets/pdf/koufu_3_4ji/outline_43.pdf","PDFを開く")</f>
        <v>PDFを開く</v>
      </c>
      <c r="Q1275" s="9" t="s">
        <v>2042</v>
      </c>
    </row>
    <row r="1276" spans="1:17" ht="62.1" customHeight="1">
      <c r="A1276" s="2" t="s">
        <v>2034</v>
      </c>
      <c r="B1276" s="2" t="s">
        <v>1595</v>
      </c>
      <c r="C1276" s="8" t="s">
        <v>2035</v>
      </c>
      <c r="D1276" s="2">
        <v>2</v>
      </c>
      <c r="E1276" s="8" t="s">
        <v>10704</v>
      </c>
      <c r="F1276" s="2">
        <v>1</v>
      </c>
      <c r="G1276" s="8" t="s">
        <v>10705</v>
      </c>
      <c r="H1276" s="8" t="s">
        <v>10705</v>
      </c>
      <c r="I1276" s="2">
        <v>39.840000000000003</v>
      </c>
      <c r="J1276" s="2">
        <v>14.1</v>
      </c>
      <c r="K1276" s="2">
        <v>401.7</v>
      </c>
      <c r="L1276" s="2">
        <v>209.5</v>
      </c>
      <c r="M1276" s="8"/>
      <c r="N1276" s="8" t="s">
        <v>10181</v>
      </c>
      <c r="O1276" s="8" t="s">
        <v>10707</v>
      </c>
      <c r="P1276" s="8" t="str">
        <f t="shared" si="70"/>
        <v>PDFを開く</v>
      </c>
      <c r="Q1276" s="8" t="s">
        <v>2042</v>
      </c>
    </row>
    <row r="1277" spans="1:17" ht="62.1" customHeight="1">
      <c r="A1277" s="5" t="s">
        <v>2034</v>
      </c>
      <c r="B1277" s="5" t="s">
        <v>1595</v>
      </c>
      <c r="C1277" s="9" t="s">
        <v>2035</v>
      </c>
      <c r="D1277" s="5">
        <v>3</v>
      </c>
      <c r="E1277" s="9" t="s">
        <v>10704</v>
      </c>
      <c r="F1277" s="5">
        <v>1</v>
      </c>
      <c r="G1277" s="9" t="s">
        <v>10705</v>
      </c>
      <c r="H1277" s="9" t="s">
        <v>10705</v>
      </c>
      <c r="I1277" s="5">
        <v>39.840000000000003</v>
      </c>
      <c r="J1277" s="5">
        <v>14.1</v>
      </c>
      <c r="K1277" s="5">
        <v>401.7</v>
      </c>
      <c r="L1277" s="5">
        <v>209.5</v>
      </c>
      <c r="M1277" s="9"/>
      <c r="N1277" s="9" t="s">
        <v>10181</v>
      </c>
      <c r="O1277" s="9" t="s">
        <v>10708</v>
      </c>
      <c r="P1277" s="9" t="str">
        <f t="shared" si="70"/>
        <v>PDFを開く</v>
      </c>
      <c r="Q1277" s="9" t="s">
        <v>2042</v>
      </c>
    </row>
    <row r="1278" spans="1:17" ht="62.1" customHeight="1">
      <c r="A1278" s="2" t="s">
        <v>2034</v>
      </c>
      <c r="B1278" s="2" t="s">
        <v>1595</v>
      </c>
      <c r="C1278" s="8" t="s">
        <v>2035</v>
      </c>
      <c r="D1278" s="2">
        <v>4</v>
      </c>
      <c r="E1278" s="8" t="s">
        <v>10156</v>
      </c>
      <c r="F1278" s="2">
        <v>1</v>
      </c>
      <c r="G1278" s="8" t="s">
        <v>9578</v>
      </c>
      <c r="H1278" s="8" t="s">
        <v>9578</v>
      </c>
      <c r="I1278" s="2">
        <v>39.6</v>
      </c>
      <c r="J1278" s="2">
        <v>101.76</v>
      </c>
      <c r="K1278" s="2">
        <v>378.72</v>
      </c>
      <c r="L1278" s="2">
        <v>505.68</v>
      </c>
      <c r="M1278" s="8"/>
      <c r="N1278" s="8" t="s">
        <v>10159</v>
      </c>
      <c r="O1278" s="8" t="s">
        <v>9072</v>
      </c>
      <c r="P1278" s="8" t="str">
        <f t="shared" si="70"/>
        <v>PDFを開く</v>
      </c>
      <c r="Q1278" s="8" t="s">
        <v>2042</v>
      </c>
    </row>
    <row r="1279" spans="1:17" ht="62.1" customHeight="1">
      <c r="A1279" s="5" t="s">
        <v>2034</v>
      </c>
      <c r="B1279" s="5" t="s">
        <v>1595</v>
      </c>
      <c r="C1279" s="9" t="s">
        <v>2035</v>
      </c>
      <c r="D1279" s="5">
        <v>4</v>
      </c>
      <c r="E1279" s="9" t="s">
        <v>10156</v>
      </c>
      <c r="F1279" s="5">
        <v>2</v>
      </c>
      <c r="G1279" s="9" t="s">
        <v>10162</v>
      </c>
      <c r="H1279" s="9" t="s">
        <v>10162</v>
      </c>
      <c r="I1279" s="5">
        <v>396.36</v>
      </c>
      <c r="J1279" s="5">
        <v>104.76</v>
      </c>
      <c r="K1279" s="5">
        <v>739.8</v>
      </c>
      <c r="L1279" s="5">
        <v>273.72000000000003</v>
      </c>
      <c r="M1279" s="9"/>
      <c r="N1279" s="9" t="s">
        <v>10159</v>
      </c>
      <c r="O1279" s="9" t="s">
        <v>9073</v>
      </c>
      <c r="P1279" s="9" t="str">
        <f t="shared" si="70"/>
        <v>PDFを開く</v>
      </c>
      <c r="Q1279" s="9" t="s">
        <v>2042</v>
      </c>
    </row>
    <row r="1280" spans="1:17" ht="62.1" customHeight="1">
      <c r="A1280" s="2" t="s">
        <v>2034</v>
      </c>
      <c r="B1280" s="2" t="s">
        <v>1595</v>
      </c>
      <c r="C1280" s="8" t="s">
        <v>2035</v>
      </c>
      <c r="D1280" s="2">
        <v>4</v>
      </c>
      <c r="E1280" s="8" t="s">
        <v>10156</v>
      </c>
      <c r="F1280" s="2">
        <v>3</v>
      </c>
      <c r="G1280" s="8" t="s">
        <v>10163</v>
      </c>
      <c r="H1280" s="8" t="s">
        <v>10163</v>
      </c>
      <c r="I1280" s="2">
        <v>396.36</v>
      </c>
      <c r="J1280" s="2">
        <v>279.72000000000003</v>
      </c>
      <c r="K1280" s="2">
        <v>739.8</v>
      </c>
      <c r="L1280" s="2">
        <v>505.8</v>
      </c>
      <c r="M1280" s="8"/>
      <c r="N1280" s="8" t="s">
        <v>10159</v>
      </c>
      <c r="O1280" s="8" t="s">
        <v>9074</v>
      </c>
      <c r="P1280" s="8" t="str">
        <f t="shared" si="70"/>
        <v>PDFを開く</v>
      </c>
      <c r="Q1280" s="8" t="s">
        <v>2042</v>
      </c>
    </row>
    <row r="1281" spans="1:17" ht="62.1" customHeight="1">
      <c r="A1281" s="5" t="s">
        <v>2034</v>
      </c>
      <c r="B1281" s="5" t="s">
        <v>1595</v>
      </c>
      <c r="C1281" s="9" t="s">
        <v>2035</v>
      </c>
      <c r="D1281" s="5">
        <v>4</v>
      </c>
      <c r="E1281" s="9" t="s">
        <v>10156</v>
      </c>
      <c r="F1281" s="5">
        <v>4</v>
      </c>
      <c r="G1281" s="9" t="s">
        <v>8581</v>
      </c>
      <c r="H1281" s="9" t="s">
        <v>8581</v>
      </c>
      <c r="I1281" s="5">
        <v>48</v>
      </c>
      <c r="J1281" s="5">
        <v>377.76</v>
      </c>
      <c r="K1281" s="5">
        <v>367.44</v>
      </c>
      <c r="L1281" s="5">
        <v>502.56</v>
      </c>
      <c r="M1281" s="9"/>
      <c r="N1281" s="9" t="s">
        <v>10159</v>
      </c>
      <c r="O1281" s="9" t="s">
        <v>9075</v>
      </c>
      <c r="P1281" s="9" t="str">
        <f t="shared" si="70"/>
        <v>PDFを開く</v>
      </c>
      <c r="Q1281" s="9" t="s">
        <v>2042</v>
      </c>
    </row>
    <row r="1282" spans="1:17" ht="62.1" customHeight="1">
      <c r="A1282" s="2" t="s">
        <v>2043</v>
      </c>
      <c r="B1282" s="2" t="s">
        <v>1595</v>
      </c>
      <c r="C1282" s="8" t="s">
        <v>2044</v>
      </c>
      <c r="D1282" s="2">
        <v>1</v>
      </c>
      <c r="E1282" s="8" t="s">
        <v>10156</v>
      </c>
      <c r="F1282" s="2">
        <v>1</v>
      </c>
      <c r="G1282" s="8" t="s">
        <v>10162</v>
      </c>
      <c r="H1282" s="8" t="s">
        <v>10162</v>
      </c>
      <c r="I1282" s="2">
        <v>462.33</v>
      </c>
      <c r="J1282" s="2">
        <v>97.59</v>
      </c>
      <c r="K1282" s="2">
        <v>774.51</v>
      </c>
      <c r="L1282" s="2">
        <v>275.61</v>
      </c>
      <c r="M1282" s="8"/>
      <c r="N1282" s="8" t="s">
        <v>10159</v>
      </c>
      <c r="O1282" s="8" t="s">
        <v>9081</v>
      </c>
      <c r="P1282" s="8" t="str">
        <f t="shared" ref="P1282:P1288" si="71">HYPERLINK("https://seichotoushi-hojo.jp/assets/pdf/koufu_3_4ji/outline_44.pdf","PDFを開く")</f>
        <v>PDFを開く</v>
      </c>
      <c r="Q1282" s="8" t="s">
        <v>2049</v>
      </c>
    </row>
    <row r="1283" spans="1:17" ht="62.1" customHeight="1">
      <c r="A1283" s="5" t="s">
        <v>2043</v>
      </c>
      <c r="B1283" s="5" t="s">
        <v>1595</v>
      </c>
      <c r="C1283" s="9" t="s">
        <v>2044</v>
      </c>
      <c r="D1283" s="5">
        <v>1</v>
      </c>
      <c r="E1283" s="9" t="s">
        <v>10156</v>
      </c>
      <c r="F1283" s="5">
        <v>2</v>
      </c>
      <c r="G1283" s="9" t="s">
        <v>9578</v>
      </c>
      <c r="H1283" s="9" t="s">
        <v>9578</v>
      </c>
      <c r="I1283" s="5">
        <v>1.92</v>
      </c>
      <c r="J1283" s="5">
        <v>100.26</v>
      </c>
      <c r="K1283" s="5">
        <v>441.66</v>
      </c>
      <c r="L1283" s="5">
        <v>536.94000000000005</v>
      </c>
      <c r="M1283" s="9"/>
      <c r="N1283" s="9" t="s">
        <v>10159</v>
      </c>
      <c r="O1283" s="9" t="s">
        <v>9080</v>
      </c>
      <c r="P1283" s="9" t="str">
        <f t="shared" si="71"/>
        <v>PDFを開く</v>
      </c>
      <c r="Q1283" s="9" t="s">
        <v>2049</v>
      </c>
    </row>
    <row r="1284" spans="1:17" ht="62.1" customHeight="1">
      <c r="A1284" s="2" t="s">
        <v>2043</v>
      </c>
      <c r="B1284" s="2" t="s">
        <v>1595</v>
      </c>
      <c r="C1284" s="8" t="s">
        <v>2044</v>
      </c>
      <c r="D1284" s="2">
        <v>1</v>
      </c>
      <c r="E1284" s="8" t="s">
        <v>10156</v>
      </c>
      <c r="F1284" s="2">
        <v>3</v>
      </c>
      <c r="G1284" s="8" t="s">
        <v>10163</v>
      </c>
      <c r="H1284" s="8" t="s">
        <v>10163</v>
      </c>
      <c r="I1284" s="2">
        <v>461.91</v>
      </c>
      <c r="J1284" s="2">
        <v>275.61</v>
      </c>
      <c r="K1284" s="2">
        <v>774.51</v>
      </c>
      <c r="L1284" s="2">
        <v>536.97</v>
      </c>
      <c r="M1284" s="8"/>
      <c r="N1284" s="8" t="s">
        <v>10159</v>
      </c>
      <c r="O1284" s="8" t="s">
        <v>9082</v>
      </c>
      <c r="P1284" s="8" t="str">
        <f t="shared" si="71"/>
        <v>PDFを開く</v>
      </c>
      <c r="Q1284" s="8" t="s">
        <v>2049</v>
      </c>
    </row>
    <row r="1285" spans="1:17" ht="62.1" customHeight="1">
      <c r="A1285" s="5" t="s">
        <v>2043</v>
      </c>
      <c r="B1285" s="5" t="s">
        <v>1595</v>
      </c>
      <c r="C1285" s="9" t="s">
        <v>2044</v>
      </c>
      <c r="D1285" s="5">
        <v>1</v>
      </c>
      <c r="E1285" s="9" t="s">
        <v>10156</v>
      </c>
      <c r="F1285" s="5">
        <v>4</v>
      </c>
      <c r="G1285" s="9" t="s">
        <v>8581</v>
      </c>
      <c r="H1285" s="9" t="s">
        <v>8581</v>
      </c>
      <c r="I1285" s="5">
        <v>59.7</v>
      </c>
      <c r="J1285" s="5">
        <v>452.94</v>
      </c>
      <c r="K1285" s="5">
        <v>379.2</v>
      </c>
      <c r="L1285" s="5">
        <v>535.74</v>
      </c>
      <c r="M1285" s="9"/>
      <c r="N1285" s="9" t="s">
        <v>10159</v>
      </c>
      <c r="O1285" s="9" t="s">
        <v>9083</v>
      </c>
      <c r="P1285" s="9" t="str">
        <f t="shared" si="71"/>
        <v>PDFを開く</v>
      </c>
      <c r="Q1285" s="9" t="s">
        <v>2049</v>
      </c>
    </row>
    <row r="1286" spans="1:17" ht="62.1" customHeight="1">
      <c r="A1286" s="2" t="s">
        <v>2043</v>
      </c>
      <c r="B1286" s="2" t="s">
        <v>1595</v>
      </c>
      <c r="C1286" s="8" t="s">
        <v>2044</v>
      </c>
      <c r="D1286" s="2">
        <v>3</v>
      </c>
      <c r="E1286" s="8" t="s">
        <v>10165</v>
      </c>
      <c r="F1286" s="2">
        <v>1</v>
      </c>
      <c r="G1286" s="8" t="s">
        <v>10167</v>
      </c>
      <c r="H1286" s="8" t="s">
        <v>10709</v>
      </c>
      <c r="I1286" s="2">
        <v>239.8</v>
      </c>
      <c r="J1286" s="2">
        <v>100.51</v>
      </c>
      <c r="K1286" s="2">
        <v>502.68</v>
      </c>
      <c r="L1286" s="2">
        <v>132.88999999999999</v>
      </c>
      <c r="M1286" s="8"/>
      <c r="N1286" s="8" t="s">
        <v>10159</v>
      </c>
      <c r="O1286" s="8" t="s">
        <v>10709</v>
      </c>
      <c r="P1286" s="8" t="str">
        <f t="shared" si="71"/>
        <v>PDFを開く</v>
      </c>
      <c r="Q1286" s="8" t="s">
        <v>2049</v>
      </c>
    </row>
    <row r="1287" spans="1:17" ht="62.1" customHeight="1">
      <c r="A1287" s="5" t="s">
        <v>2043</v>
      </c>
      <c r="B1287" s="5" t="s">
        <v>1595</v>
      </c>
      <c r="C1287" s="9" t="s">
        <v>2044</v>
      </c>
      <c r="D1287" s="5">
        <v>3</v>
      </c>
      <c r="E1287" s="9" t="s">
        <v>10165</v>
      </c>
      <c r="F1287" s="5">
        <v>2</v>
      </c>
      <c r="G1287" s="9" t="s">
        <v>10167</v>
      </c>
      <c r="H1287" s="9" t="s">
        <v>10710</v>
      </c>
      <c r="I1287" s="5">
        <v>502.68</v>
      </c>
      <c r="J1287" s="5">
        <v>100.51</v>
      </c>
      <c r="K1287" s="5">
        <v>758.72</v>
      </c>
      <c r="L1287" s="5">
        <v>132.88999999999999</v>
      </c>
      <c r="M1287" s="9"/>
      <c r="N1287" s="9" t="s">
        <v>10159</v>
      </c>
      <c r="O1287" s="9" t="s">
        <v>10710</v>
      </c>
      <c r="P1287" s="9" t="str">
        <f t="shared" si="71"/>
        <v>PDFを開く</v>
      </c>
      <c r="Q1287" s="9" t="s">
        <v>2049</v>
      </c>
    </row>
    <row r="1288" spans="1:17" ht="62.1" customHeight="1">
      <c r="A1288" s="2" t="s">
        <v>2043</v>
      </c>
      <c r="B1288" s="2" t="s">
        <v>1595</v>
      </c>
      <c r="C1288" s="8" t="s">
        <v>2044</v>
      </c>
      <c r="D1288" s="2">
        <v>4</v>
      </c>
      <c r="E1288" s="8" t="s">
        <v>10165</v>
      </c>
      <c r="F1288" s="2">
        <v>1</v>
      </c>
      <c r="G1288" s="8" t="s">
        <v>10167</v>
      </c>
      <c r="H1288" s="8" t="s">
        <v>10709</v>
      </c>
      <c r="I1288" s="2">
        <v>233.82</v>
      </c>
      <c r="J1288" s="2">
        <v>100.51</v>
      </c>
      <c r="K1288" s="2">
        <v>483.68</v>
      </c>
      <c r="L1288" s="2">
        <v>132.88999999999999</v>
      </c>
      <c r="M1288" s="8"/>
      <c r="N1288" s="8" t="s">
        <v>10159</v>
      </c>
      <c r="O1288" s="8" t="s">
        <v>10709</v>
      </c>
      <c r="P1288" s="8" t="str">
        <f t="shared" si="71"/>
        <v>PDFを開く</v>
      </c>
      <c r="Q1288" s="8" t="s">
        <v>2049</v>
      </c>
    </row>
    <row r="1289" spans="1:17" ht="62.1" customHeight="1">
      <c r="A1289" s="5" t="s">
        <v>2050</v>
      </c>
      <c r="B1289" s="5" t="s">
        <v>1595</v>
      </c>
      <c r="C1289" s="9" t="s">
        <v>2051</v>
      </c>
      <c r="D1289" s="5">
        <v>1</v>
      </c>
      <c r="E1289" s="9" t="s">
        <v>10156</v>
      </c>
      <c r="F1289" s="5">
        <v>1</v>
      </c>
      <c r="G1289" s="9" t="s">
        <v>9578</v>
      </c>
      <c r="H1289" s="9" t="s">
        <v>9578</v>
      </c>
      <c r="I1289" s="5">
        <v>7.01</v>
      </c>
      <c r="J1289" s="5">
        <v>115.92</v>
      </c>
      <c r="K1289" s="5">
        <v>408.95</v>
      </c>
      <c r="L1289" s="5">
        <v>572.70000000000005</v>
      </c>
      <c r="M1289" s="9"/>
      <c r="N1289" s="9" t="s">
        <v>10159</v>
      </c>
      <c r="O1289" s="9" t="s">
        <v>9088</v>
      </c>
      <c r="P1289" s="9" t="str">
        <f>HYPERLINK("https://seichotoushi-hojo.jp/assets/pdf/koufu_3_4ji/outline_45.pdf","PDFを開く")</f>
        <v>PDFを開く</v>
      </c>
      <c r="Q1289" s="9" t="s">
        <v>2057</v>
      </c>
    </row>
    <row r="1290" spans="1:17" ht="62.1" customHeight="1">
      <c r="A1290" s="2" t="s">
        <v>2050</v>
      </c>
      <c r="B1290" s="2" t="s">
        <v>1595</v>
      </c>
      <c r="C1290" s="8" t="s">
        <v>2051</v>
      </c>
      <c r="D1290" s="2">
        <v>1</v>
      </c>
      <c r="E1290" s="8" t="s">
        <v>10156</v>
      </c>
      <c r="F1290" s="2">
        <v>2</v>
      </c>
      <c r="G1290" s="8" t="s">
        <v>10162</v>
      </c>
      <c r="H1290" s="8" t="s">
        <v>10162</v>
      </c>
      <c r="I1290" s="2">
        <v>427.49</v>
      </c>
      <c r="J1290" s="2">
        <v>115.92</v>
      </c>
      <c r="K1290" s="2">
        <v>834.77</v>
      </c>
      <c r="L1290" s="2">
        <v>360.72</v>
      </c>
      <c r="M1290" s="8"/>
      <c r="N1290" s="8" t="s">
        <v>10159</v>
      </c>
      <c r="O1290" s="8" t="s">
        <v>9089</v>
      </c>
      <c r="P1290" s="8" t="str">
        <f>HYPERLINK("https://seichotoushi-hojo.jp/assets/pdf/koufu_3_4ji/outline_45.pdf","PDFを開く")</f>
        <v>PDFを開く</v>
      </c>
      <c r="Q1290" s="8" t="s">
        <v>2057</v>
      </c>
    </row>
    <row r="1291" spans="1:17" ht="62.1" customHeight="1">
      <c r="A1291" s="5" t="s">
        <v>2050</v>
      </c>
      <c r="B1291" s="5" t="s">
        <v>1595</v>
      </c>
      <c r="C1291" s="9" t="s">
        <v>2051</v>
      </c>
      <c r="D1291" s="5">
        <v>1</v>
      </c>
      <c r="E1291" s="9" t="s">
        <v>10156</v>
      </c>
      <c r="F1291" s="5">
        <v>3</v>
      </c>
      <c r="G1291" s="9" t="s">
        <v>10163</v>
      </c>
      <c r="H1291" s="9" t="s">
        <v>10163</v>
      </c>
      <c r="I1291" s="5">
        <v>427.49</v>
      </c>
      <c r="J1291" s="5">
        <v>365.7</v>
      </c>
      <c r="K1291" s="5">
        <v>834.77</v>
      </c>
      <c r="L1291" s="5">
        <v>579.9</v>
      </c>
      <c r="M1291" s="9"/>
      <c r="N1291" s="9" t="s">
        <v>10159</v>
      </c>
      <c r="O1291" s="9" t="s">
        <v>9090</v>
      </c>
      <c r="P1291" s="9" t="str">
        <f>HYPERLINK("https://seichotoushi-hojo.jp/assets/pdf/koufu_3_4ji/outline_45.pdf","PDFを開く")</f>
        <v>PDFを開く</v>
      </c>
      <c r="Q1291" s="9" t="s">
        <v>2057</v>
      </c>
    </row>
    <row r="1292" spans="1:17" ht="62.1" customHeight="1">
      <c r="A1292" s="2" t="s">
        <v>2050</v>
      </c>
      <c r="B1292" s="2" t="s">
        <v>1595</v>
      </c>
      <c r="C1292" s="8" t="s">
        <v>2051</v>
      </c>
      <c r="D1292" s="2">
        <v>1</v>
      </c>
      <c r="E1292" s="8" t="s">
        <v>10156</v>
      </c>
      <c r="F1292" s="2">
        <v>4</v>
      </c>
      <c r="G1292" s="8" t="s">
        <v>8581</v>
      </c>
      <c r="H1292" s="8" t="s">
        <v>8581</v>
      </c>
      <c r="I1292" s="2">
        <v>33.409999999999997</v>
      </c>
      <c r="J1292" s="2">
        <v>436.56</v>
      </c>
      <c r="K1292" s="2">
        <v>378.23</v>
      </c>
      <c r="L1292" s="2">
        <v>561.54</v>
      </c>
      <c r="M1292" s="8"/>
      <c r="N1292" s="8" t="s">
        <v>10159</v>
      </c>
      <c r="O1292" s="8" t="s">
        <v>9091</v>
      </c>
      <c r="P1292" s="8" t="str">
        <f>HYPERLINK("https://seichotoushi-hojo.jp/assets/pdf/koufu_3_4ji/outline_45.pdf","PDFを開く")</f>
        <v>PDFを開く</v>
      </c>
      <c r="Q1292" s="8" t="s">
        <v>2057</v>
      </c>
    </row>
    <row r="1293" spans="1:17" ht="62.1" customHeight="1">
      <c r="A1293" s="5" t="s">
        <v>2058</v>
      </c>
      <c r="B1293" s="5" t="s">
        <v>1595</v>
      </c>
      <c r="C1293" s="9" t="s">
        <v>2059</v>
      </c>
      <c r="D1293" s="5">
        <v>1</v>
      </c>
      <c r="E1293" s="9" t="s">
        <v>10156</v>
      </c>
      <c r="F1293" s="5">
        <v>1</v>
      </c>
      <c r="G1293" s="9" t="s">
        <v>10162</v>
      </c>
      <c r="H1293" s="9" t="s">
        <v>10162</v>
      </c>
      <c r="I1293" s="5">
        <v>427.8</v>
      </c>
      <c r="J1293" s="5">
        <v>137.88</v>
      </c>
      <c r="K1293" s="5">
        <v>798.48</v>
      </c>
      <c r="L1293" s="5">
        <v>337.8</v>
      </c>
      <c r="M1293" s="9"/>
      <c r="N1293" s="9" t="s">
        <v>10159</v>
      </c>
      <c r="O1293" s="9" t="s">
        <v>9097</v>
      </c>
      <c r="P1293" s="9" t="str">
        <f>HYPERLINK("https://seichotoushi-hojo.jp/assets/pdf/koufu_3_4ji/outline_46.pdf","PDFを開く")</f>
        <v>PDFを開く</v>
      </c>
      <c r="Q1293" s="9" t="s">
        <v>2065</v>
      </c>
    </row>
    <row r="1294" spans="1:17" ht="62.1" customHeight="1">
      <c r="A1294" s="2" t="s">
        <v>2058</v>
      </c>
      <c r="B1294" s="2" t="s">
        <v>1595</v>
      </c>
      <c r="C1294" s="8" t="s">
        <v>2059</v>
      </c>
      <c r="D1294" s="2">
        <v>1</v>
      </c>
      <c r="E1294" s="8" t="s">
        <v>10156</v>
      </c>
      <c r="F1294" s="2">
        <v>2</v>
      </c>
      <c r="G1294" s="8" t="s">
        <v>9578</v>
      </c>
      <c r="H1294" s="8" t="s">
        <v>9578</v>
      </c>
      <c r="I1294" s="2">
        <v>42.84</v>
      </c>
      <c r="J1294" s="2">
        <v>138.24</v>
      </c>
      <c r="K1294" s="2">
        <v>408.84</v>
      </c>
      <c r="L1294" s="2">
        <v>568.55999999999995</v>
      </c>
      <c r="M1294" s="8"/>
      <c r="N1294" s="8" t="s">
        <v>10159</v>
      </c>
      <c r="O1294" s="8" t="s">
        <v>9096</v>
      </c>
      <c r="P1294" s="8" t="str">
        <f>HYPERLINK("https://seichotoushi-hojo.jp/assets/pdf/koufu_3_4ji/outline_46.pdf","PDFを開く")</f>
        <v>PDFを開く</v>
      </c>
      <c r="Q1294" s="8" t="s">
        <v>2065</v>
      </c>
    </row>
    <row r="1295" spans="1:17" ht="62.1" customHeight="1">
      <c r="A1295" s="5" t="s">
        <v>2058</v>
      </c>
      <c r="B1295" s="5" t="s">
        <v>1595</v>
      </c>
      <c r="C1295" s="9" t="s">
        <v>2059</v>
      </c>
      <c r="D1295" s="5">
        <v>1</v>
      </c>
      <c r="E1295" s="9" t="s">
        <v>10156</v>
      </c>
      <c r="F1295" s="5">
        <v>3</v>
      </c>
      <c r="G1295" s="9" t="s">
        <v>10163</v>
      </c>
      <c r="H1295" s="9" t="s">
        <v>10163</v>
      </c>
      <c r="I1295" s="5">
        <v>428.4</v>
      </c>
      <c r="J1295" s="5">
        <v>344.64</v>
      </c>
      <c r="K1295" s="5">
        <v>799.08</v>
      </c>
      <c r="L1295" s="5">
        <v>568.55999999999995</v>
      </c>
      <c r="M1295" s="9"/>
      <c r="N1295" s="9" t="s">
        <v>10159</v>
      </c>
      <c r="O1295" s="9" t="s">
        <v>9098</v>
      </c>
      <c r="P1295" s="9" t="str">
        <f>HYPERLINK("https://seichotoushi-hojo.jp/assets/pdf/koufu_3_4ji/outline_46.pdf","PDFを開く")</f>
        <v>PDFを開く</v>
      </c>
      <c r="Q1295" s="9" t="s">
        <v>2065</v>
      </c>
    </row>
    <row r="1296" spans="1:17" ht="62.1" customHeight="1">
      <c r="A1296" s="2" t="s">
        <v>2058</v>
      </c>
      <c r="B1296" s="2" t="s">
        <v>1595</v>
      </c>
      <c r="C1296" s="8" t="s">
        <v>2059</v>
      </c>
      <c r="D1296" s="2">
        <v>1</v>
      </c>
      <c r="E1296" s="8" t="s">
        <v>10156</v>
      </c>
      <c r="F1296" s="2">
        <v>4</v>
      </c>
      <c r="G1296" s="8" t="s">
        <v>8581</v>
      </c>
      <c r="H1296" s="8" t="s">
        <v>8581</v>
      </c>
      <c r="I1296" s="2">
        <v>54.6</v>
      </c>
      <c r="J1296" s="2">
        <v>445.32</v>
      </c>
      <c r="K1296" s="2">
        <v>399.48</v>
      </c>
      <c r="L1296" s="2">
        <v>560.64</v>
      </c>
      <c r="M1296" s="8"/>
      <c r="N1296" s="8" t="s">
        <v>10159</v>
      </c>
      <c r="O1296" s="8" t="s">
        <v>9099</v>
      </c>
      <c r="P1296" s="8" t="str">
        <f>HYPERLINK("https://seichotoushi-hojo.jp/assets/pdf/koufu_3_4ji/outline_46.pdf","PDFを開く")</f>
        <v>PDFを開く</v>
      </c>
      <c r="Q1296" s="8" t="s">
        <v>2065</v>
      </c>
    </row>
    <row r="1297" spans="1:17" ht="62.1" customHeight="1">
      <c r="A1297" s="5" t="s">
        <v>2066</v>
      </c>
      <c r="B1297" s="5" t="s">
        <v>1595</v>
      </c>
      <c r="C1297" s="9" t="s">
        <v>2067</v>
      </c>
      <c r="D1297" s="5">
        <v>1</v>
      </c>
      <c r="E1297" s="9" t="s">
        <v>10156</v>
      </c>
      <c r="F1297" s="5">
        <v>1</v>
      </c>
      <c r="G1297" s="9" t="s">
        <v>9578</v>
      </c>
      <c r="H1297" s="9" t="s">
        <v>9578</v>
      </c>
      <c r="I1297" s="5">
        <v>24.48</v>
      </c>
      <c r="J1297" s="5">
        <v>127.2</v>
      </c>
      <c r="K1297" s="5">
        <v>411.12</v>
      </c>
      <c r="L1297" s="5">
        <v>568.55999999999995</v>
      </c>
      <c r="M1297" s="9"/>
      <c r="N1297" s="9" t="s">
        <v>10159</v>
      </c>
      <c r="O1297" s="9" t="s">
        <v>9104</v>
      </c>
      <c r="P1297" s="9" t="str">
        <f>HYPERLINK("https://seichotoushi-hojo.jp/assets/pdf/koufu_3_4ji/outline_47.pdf","PDFを開く")</f>
        <v>PDFを開く</v>
      </c>
      <c r="Q1297" s="9" t="s">
        <v>2072</v>
      </c>
    </row>
    <row r="1298" spans="1:17" ht="62.1" customHeight="1">
      <c r="A1298" s="2" t="s">
        <v>2066</v>
      </c>
      <c r="B1298" s="2" t="s">
        <v>1595</v>
      </c>
      <c r="C1298" s="8" t="s">
        <v>2067</v>
      </c>
      <c r="D1298" s="2">
        <v>1</v>
      </c>
      <c r="E1298" s="8" t="s">
        <v>10156</v>
      </c>
      <c r="F1298" s="2">
        <v>2</v>
      </c>
      <c r="G1298" s="8" t="s">
        <v>10162</v>
      </c>
      <c r="H1298" s="8" t="s">
        <v>10162</v>
      </c>
      <c r="I1298" s="2">
        <v>431.04</v>
      </c>
      <c r="J1298" s="2">
        <v>130.08000000000001</v>
      </c>
      <c r="K1298" s="2">
        <v>822.72</v>
      </c>
      <c r="L1298" s="2">
        <v>258.12</v>
      </c>
      <c r="M1298" s="8"/>
      <c r="N1298" s="8" t="s">
        <v>10159</v>
      </c>
      <c r="O1298" s="8" t="s">
        <v>9105</v>
      </c>
      <c r="P1298" s="8" t="str">
        <f>HYPERLINK("https://seichotoushi-hojo.jp/assets/pdf/koufu_3_4ji/outline_47.pdf","PDFを開く")</f>
        <v>PDFを開く</v>
      </c>
      <c r="Q1298" s="8" t="s">
        <v>2072</v>
      </c>
    </row>
    <row r="1299" spans="1:17" ht="62.1" customHeight="1">
      <c r="A1299" s="5" t="s">
        <v>2066</v>
      </c>
      <c r="B1299" s="5" t="s">
        <v>1595</v>
      </c>
      <c r="C1299" s="9" t="s">
        <v>2067</v>
      </c>
      <c r="D1299" s="5">
        <v>1</v>
      </c>
      <c r="E1299" s="9" t="s">
        <v>10156</v>
      </c>
      <c r="F1299" s="5">
        <v>3</v>
      </c>
      <c r="G1299" s="9" t="s">
        <v>10163</v>
      </c>
      <c r="H1299" s="9" t="s">
        <v>10163</v>
      </c>
      <c r="I1299" s="5">
        <v>430.92</v>
      </c>
      <c r="J1299" s="5">
        <v>264.12</v>
      </c>
      <c r="K1299" s="5">
        <v>822.48</v>
      </c>
      <c r="L1299" s="5">
        <v>414.84</v>
      </c>
      <c r="M1299" s="9"/>
      <c r="N1299" s="9" t="s">
        <v>10159</v>
      </c>
      <c r="O1299" s="9" t="s">
        <v>9106</v>
      </c>
      <c r="P1299" s="9" t="str">
        <f>HYPERLINK("https://seichotoushi-hojo.jp/assets/pdf/koufu_3_4ji/outline_47.pdf","PDFを開く")</f>
        <v>PDFを開く</v>
      </c>
      <c r="Q1299" s="9" t="s">
        <v>2072</v>
      </c>
    </row>
    <row r="1300" spans="1:17" ht="62.1" customHeight="1">
      <c r="A1300" s="2" t="s">
        <v>2066</v>
      </c>
      <c r="B1300" s="2" t="s">
        <v>1595</v>
      </c>
      <c r="C1300" s="8" t="s">
        <v>2067</v>
      </c>
      <c r="D1300" s="2">
        <v>1</v>
      </c>
      <c r="E1300" s="8" t="s">
        <v>10156</v>
      </c>
      <c r="F1300" s="2">
        <v>4</v>
      </c>
      <c r="G1300" s="8" t="s">
        <v>8581</v>
      </c>
      <c r="H1300" s="8" t="s">
        <v>8581</v>
      </c>
      <c r="I1300" s="2">
        <v>36.479999999999997</v>
      </c>
      <c r="J1300" s="2">
        <v>444.12</v>
      </c>
      <c r="K1300" s="2">
        <v>399.12</v>
      </c>
      <c r="L1300" s="2">
        <v>550.32000000000005</v>
      </c>
      <c r="M1300" s="8"/>
      <c r="N1300" s="8" t="s">
        <v>10159</v>
      </c>
      <c r="O1300" s="8" t="s">
        <v>9107</v>
      </c>
      <c r="P1300" s="8" t="str">
        <f>HYPERLINK("https://seichotoushi-hojo.jp/assets/pdf/koufu_3_4ji/outline_47.pdf","PDFを開く")</f>
        <v>PDFを開く</v>
      </c>
      <c r="Q1300" s="8" t="s">
        <v>2072</v>
      </c>
    </row>
    <row r="1301" spans="1:17" ht="62.1" customHeight="1">
      <c r="A1301" s="5" t="s">
        <v>2073</v>
      </c>
      <c r="B1301" s="5" t="s">
        <v>1595</v>
      </c>
      <c r="C1301" s="9" t="s">
        <v>2074</v>
      </c>
      <c r="D1301" s="5">
        <v>1</v>
      </c>
      <c r="E1301" s="9" t="s">
        <v>10156</v>
      </c>
      <c r="F1301" s="5">
        <v>1</v>
      </c>
      <c r="G1301" s="9" t="s">
        <v>9578</v>
      </c>
      <c r="H1301" s="9" t="s">
        <v>9578</v>
      </c>
      <c r="I1301" s="5">
        <v>39.75</v>
      </c>
      <c r="J1301" s="5">
        <v>105.75</v>
      </c>
      <c r="K1301" s="5">
        <v>378.75</v>
      </c>
      <c r="L1301" s="5">
        <v>499.5</v>
      </c>
      <c r="M1301" s="9"/>
      <c r="N1301" s="9" t="s">
        <v>10159</v>
      </c>
      <c r="O1301" s="9" t="s">
        <v>9112</v>
      </c>
      <c r="P1301" s="9" t="str">
        <f>HYPERLINK("https://seichotoushi-hojo.jp/assets/pdf/koufu_3_4ji/outline_48.pdf","PDFを開く")</f>
        <v>PDFを開く</v>
      </c>
      <c r="Q1301" s="9" t="s">
        <v>2080</v>
      </c>
    </row>
    <row r="1302" spans="1:17" ht="62.1" customHeight="1">
      <c r="A1302" s="2" t="s">
        <v>2073</v>
      </c>
      <c r="B1302" s="2" t="s">
        <v>1595</v>
      </c>
      <c r="C1302" s="8" t="s">
        <v>2074</v>
      </c>
      <c r="D1302" s="2">
        <v>1</v>
      </c>
      <c r="E1302" s="8" t="s">
        <v>10156</v>
      </c>
      <c r="F1302" s="2">
        <v>2</v>
      </c>
      <c r="G1302" s="8" t="s">
        <v>10162</v>
      </c>
      <c r="H1302" s="8" t="s">
        <v>10162</v>
      </c>
      <c r="I1302" s="2">
        <v>396.38</v>
      </c>
      <c r="J1302" s="2">
        <v>106.12</v>
      </c>
      <c r="K1302" s="2">
        <v>739.88</v>
      </c>
      <c r="L1302" s="2">
        <v>289.87</v>
      </c>
      <c r="M1302" s="8"/>
      <c r="N1302" s="8" t="s">
        <v>10159</v>
      </c>
      <c r="O1302" s="8" t="s">
        <v>9113</v>
      </c>
      <c r="P1302" s="8" t="str">
        <f>HYPERLINK("https://seichotoushi-hojo.jp/assets/pdf/koufu_3_4ji/outline_48.pdf","PDFを開く")</f>
        <v>PDFを開く</v>
      </c>
      <c r="Q1302" s="8" t="s">
        <v>2080</v>
      </c>
    </row>
    <row r="1303" spans="1:17" ht="62.1" customHeight="1">
      <c r="A1303" s="5" t="s">
        <v>2073</v>
      </c>
      <c r="B1303" s="5" t="s">
        <v>1595</v>
      </c>
      <c r="C1303" s="9" t="s">
        <v>2074</v>
      </c>
      <c r="D1303" s="5">
        <v>1</v>
      </c>
      <c r="E1303" s="9" t="s">
        <v>10156</v>
      </c>
      <c r="F1303" s="5">
        <v>3</v>
      </c>
      <c r="G1303" s="9" t="s">
        <v>10163</v>
      </c>
      <c r="H1303" s="9" t="s">
        <v>10163</v>
      </c>
      <c r="I1303" s="5">
        <v>396.38</v>
      </c>
      <c r="J1303" s="5">
        <v>295.12</v>
      </c>
      <c r="K1303" s="5">
        <v>739.88</v>
      </c>
      <c r="L1303" s="5">
        <v>499.88</v>
      </c>
      <c r="M1303" s="9"/>
      <c r="N1303" s="9" t="s">
        <v>10159</v>
      </c>
      <c r="O1303" s="9" t="s">
        <v>9114</v>
      </c>
      <c r="P1303" s="9" t="str">
        <f>HYPERLINK("https://seichotoushi-hojo.jp/assets/pdf/koufu_3_4ji/outline_48.pdf","PDFを開く")</f>
        <v>PDFを開く</v>
      </c>
      <c r="Q1303" s="9" t="s">
        <v>2080</v>
      </c>
    </row>
    <row r="1304" spans="1:17" ht="62.1" customHeight="1">
      <c r="A1304" s="2" t="s">
        <v>2073</v>
      </c>
      <c r="B1304" s="2" t="s">
        <v>1595</v>
      </c>
      <c r="C1304" s="8" t="s">
        <v>2074</v>
      </c>
      <c r="D1304" s="2">
        <v>1</v>
      </c>
      <c r="E1304" s="8" t="s">
        <v>10156</v>
      </c>
      <c r="F1304" s="2">
        <v>4</v>
      </c>
      <c r="G1304" s="8" t="s">
        <v>8581</v>
      </c>
      <c r="H1304" s="8" t="s">
        <v>8581</v>
      </c>
      <c r="I1304" s="2">
        <v>48</v>
      </c>
      <c r="J1304" s="2">
        <v>388.5</v>
      </c>
      <c r="K1304" s="2">
        <v>367.5</v>
      </c>
      <c r="L1304" s="2">
        <v>488.25</v>
      </c>
      <c r="M1304" s="8"/>
      <c r="N1304" s="8" t="s">
        <v>10159</v>
      </c>
      <c r="O1304" s="8" t="s">
        <v>9115</v>
      </c>
      <c r="P1304" s="8" t="str">
        <f>HYPERLINK("https://seichotoushi-hojo.jp/assets/pdf/koufu_3_4ji/outline_48.pdf","PDFを開く")</f>
        <v>PDFを開く</v>
      </c>
      <c r="Q1304" s="8" t="s">
        <v>2080</v>
      </c>
    </row>
    <row r="1305" spans="1:17" ht="62.1" customHeight="1">
      <c r="A1305" s="5" t="s">
        <v>2081</v>
      </c>
      <c r="B1305" s="5" t="s">
        <v>1595</v>
      </c>
      <c r="C1305" s="9" t="s">
        <v>2082</v>
      </c>
      <c r="D1305" s="5">
        <v>1</v>
      </c>
      <c r="E1305" s="9" t="s">
        <v>10156</v>
      </c>
      <c r="F1305" s="5">
        <v>1</v>
      </c>
      <c r="G1305" s="9" t="s">
        <v>9578</v>
      </c>
      <c r="H1305" s="9" t="s">
        <v>9578</v>
      </c>
      <c r="I1305" s="5">
        <v>39.96</v>
      </c>
      <c r="J1305" s="5">
        <v>14.12</v>
      </c>
      <c r="K1305" s="5">
        <v>401.7</v>
      </c>
      <c r="L1305" s="5">
        <v>103.14</v>
      </c>
      <c r="M1305" s="9"/>
      <c r="N1305" s="9" t="s">
        <v>10181</v>
      </c>
      <c r="O1305" s="9" t="s">
        <v>10711</v>
      </c>
      <c r="P1305" s="9" t="str">
        <f t="shared" ref="P1305:P1312" si="72">HYPERLINK("https://seichotoushi-hojo.jp/assets/pdf/koufu_3_4ji/outline_49.pdf","PDFを開く")</f>
        <v>PDFを開く</v>
      </c>
      <c r="Q1305" s="9" t="s">
        <v>2089</v>
      </c>
    </row>
    <row r="1306" spans="1:17" ht="62.1" customHeight="1">
      <c r="A1306" s="2" t="s">
        <v>2081</v>
      </c>
      <c r="B1306" s="2" t="s">
        <v>1595</v>
      </c>
      <c r="C1306" s="8" t="s">
        <v>2082</v>
      </c>
      <c r="D1306" s="2">
        <v>1</v>
      </c>
      <c r="E1306" s="8" t="s">
        <v>10156</v>
      </c>
      <c r="F1306" s="2">
        <v>2</v>
      </c>
      <c r="G1306" s="8" t="s">
        <v>9578</v>
      </c>
      <c r="H1306" s="8" t="s">
        <v>9578</v>
      </c>
      <c r="I1306" s="2">
        <v>39.659999999999997</v>
      </c>
      <c r="J1306" s="2">
        <v>101.8</v>
      </c>
      <c r="K1306" s="2">
        <v>378.79</v>
      </c>
      <c r="L1306" s="2">
        <v>350.33</v>
      </c>
      <c r="M1306" s="8"/>
      <c r="N1306" s="8" t="s">
        <v>10159</v>
      </c>
      <c r="O1306" s="8" t="s">
        <v>10712</v>
      </c>
      <c r="P1306" s="8" t="str">
        <f t="shared" si="72"/>
        <v>PDFを開く</v>
      </c>
      <c r="Q1306" s="8" t="s">
        <v>2089</v>
      </c>
    </row>
    <row r="1307" spans="1:17" ht="62.1" customHeight="1">
      <c r="A1307" s="5" t="s">
        <v>2081</v>
      </c>
      <c r="B1307" s="5" t="s">
        <v>1595</v>
      </c>
      <c r="C1307" s="9" t="s">
        <v>2082</v>
      </c>
      <c r="D1307" s="5">
        <v>1</v>
      </c>
      <c r="E1307" s="9" t="s">
        <v>10156</v>
      </c>
      <c r="F1307" s="5">
        <v>3</v>
      </c>
      <c r="G1307" s="9" t="s">
        <v>10162</v>
      </c>
      <c r="H1307" s="9" t="s">
        <v>10162</v>
      </c>
      <c r="I1307" s="5">
        <v>396.86</v>
      </c>
      <c r="J1307" s="5">
        <v>101.8</v>
      </c>
      <c r="K1307" s="5">
        <v>740.34</v>
      </c>
      <c r="L1307" s="5">
        <v>232.66</v>
      </c>
      <c r="M1307" s="9"/>
      <c r="N1307" s="9" t="s">
        <v>10159</v>
      </c>
      <c r="O1307" s="9" t="s">
        <v>9121</v>
      </c>
      <c r="P1307" s="9" t="str">
        <f t="shared" si="72"/>
        <v>PDFを開く</v>
      </c>
      <c r="Q1307" s="9" t="s">
        <v>2089</v>
      </c>
    </row>
    <row r="1308" spans="1:17" ht="62.1" customHeight="1">
      <c r="A1308" s="2" t="s">
        <v>2081</v>
      </c>
      <c r="B1308" s="2" t="s">
        <v>1595</v>
      </c>
      <c r="C1308" s="8" t="s">
        <v>2082</v>
      </c>
      <c r="D1308" s="2">
        <v>1</v>
      </c>
      <c r="E1308" s="8" t="s">
        <v>10156</v>
      </c>
      <c r="F1308" s="2">
        <v>4</v>
      </c>
      <c r="G1308" s="8" t="s">
        <v>10163</v>
      </c>
      <c r="H1308" s="8" t="s">
        <v>10163</v>
      </c>
      <c r="I1308" s="2">
        <v>396.3</v>
      </c>
      <c r="J1308" s="2">
        <v>237.62</v>
      </c>
      <c r="K1308" s="2">
        <v>739.78</v>
      </c>
      <c r="L1308" s="2">
        <v>347.8</v>
      </c>
      <c r="M1308" s="8"/>
      <c r="N1308" s="8" t="s">
        <v>10159</v>
      </c>
      <c r="O1308" s="8" t="s">
        <v>9122</v>
      </c>
      <c r="P1308" s="8" t="str">
        <f t="shared" si="72"/>
        <v>PDFを開く</v>
      </c>
      <c r="Q1308" s="8" t="s">
        <v>2089</v>
      </c>
    </row>
    <row r="1309" spans="1:17" ht="62.1" customHeight="1">
      <c r="A1309" s="5" t="s">
        <v>2081</v>
      </c>
      <c r="B1309" s="5" t="s">
        <v>1595</v>
      </c>
      <c r="C1309" s="9" t="s">
        <v>2082</v>
      </c>
      <c r="D1309" s="5">
        <v>1</v>
      </c>
      <c r="E1309" s="9" t="s">
        <v>10156</v>
      </c>
      <c r="F1309" s="5">
        <v>5</v>
      </c>
      <c r="G1309" s="9" t="s">
        <v>8581</v>
      </c>
      <c r="H1309" s="9" t="s">
        <v>8581</v>
      </c>
      <c r="I1309" s="5">
        <v>49.25</v>
      </c>
      <c r="J1309" s="5">
        <v>358.44</v>
      </c>
      <c r="K1309" s="5">
        <v>378.78</v>
      </c>
      <c r="L1309" s="5">
        <v>443.8</v>
      </c>
      <c r="M1309" s="9"/>
      <c r="N1309" s="9" t="s">
        <v>10159</v>
      </c>
      <c r="O1309" s="9" t="s">
        <v>10713</v>
      </c>
      <c r="P1309" s="9" t="str">
        <f t="shared" si="72"/>
        <v>PDFを開く</v>
      </c>
      <c r="Q1309" s="9" t="s">
        <v>2089</v>
      </c>
    </row>
    <row r="1310" spans="1:17" ht="62.1" customHeight="1">
      <c r="A1310" s="2" t="s">
        <v>2081</v>
      </c>
      <c r="B1310" s="2" t="s">
        <v>1595</v>
      </c>
      <c r="C1310" s="8" t="s">
        <v>2082</v>
      </c>
      <c r="D1310" s="2">
        <v>1</v>
      </c>
      <c r="E1310" s="8" t="s">
        <v>10156</v>
      </c>
      <c r="F1310" s="2">
        <v>6</v>
      </c>
      <c r="G1310" s="8" t="s">
        <v>8581</v>
      </c>
      <c r="H1310" s="8" t="s">
        <v>8581</v>
      </c>
      <c r="I1310" s="2">
        <v>398.51</v>
      </c>
      <c r="J1310" s="2">
        <v>358.44</v>
      </c>
      <c r="K1310" s="2">
        <v>739.78</v>
      </c>
      <c r="L1310" s="2">
        <v>443.8</v>
      </c>
      <c r="M1310" s="8"/>
      <c r="N1310" s="8" t="s">
        <v>10159</v>
      </c>
      <c r="O1310" s="8" t="s">
        <v>10714</v>
      </c>
      <c r="P1310" s="8" t="str">
        <f t="shared" si="72"/>
        <v>PDFを開く</v>
      </c>
      <c r="Q1310" s="8" t="s">
        <v>2089</v>
      </c>
    </row>
    <row r="1311" spans="1:17" ht="62.1" customHeight="1">
      <c r="A1311" s="5" t="s">
        <v>2081</v>
      </c>
      <c r="B1311" s="5" t="s">
        <v>1595</v>
      </c>
      <c r="C1311" s="9" t="s">
        <v>2082</v>
      </c>
      <c r="D1311" s="5">
        <v>1</v>
      </c>
      <c r="E1311" s="9" t="s">
        <v>10156</v>
      </c>
      <c r="F1311" s="5">
        <v>7</v>
      </c>
      <c r="G1311" s="9" t="s">
        <v>10167</v>
      </c>
      <c r="H1311" s="9" t="s">
        <v>10715</v>
      </c>
      <c r="I1311" s="5">
        <v>396.86</v>
      </c>
      <c r="J1311" s="5">
        <v>457.6</v>
      </c>
      <c r="K1311" s="5">
        <v>740.34</v>
      </c>
      <c r="L1311" s="5">
        <v>507.07</v>
      </c>
      <c r="M1311" s="9"/>
      <c r="N1311" s="9" t="s">
        <v>10159</v>
      </c>
      <c r="O1311" s="9" t="s">
        <v>10716</v>
      </c>
      <c r="P1311" s="9" t="str">
        <f t="shared" si="72"/>
        <v>PDFを開く</v>
      </c>
      <c r="Q1311" s="9" t="s">
        <v>2089</v>
      </c>
    </row>
    <row r="1312" spans="1:17" ht="62.1" customHeight="1">
      <c r="A1312" s="2" t="s">
        <v>2081</v>
      </c>
      <c r="B1312" s="2" t="s">
        <v>1595</v>
      </c>
      <c r="C1312" s="8" t="s">
        <v>2082</v>
      </c>
      <c r="D1312" s="2">
        <v>1</v>
      </c>
      <c r="E1312" s="8" t="s">
        <v>10156</v>
      </c>
      <c r="F1312" s="2">
        <v>8</v>
      </c>
      <c r="G1312" s="8" t="s">
        <v>8581</v>
      </c>
      <c r="H1312" s="8" t="s">
        <v>8581</v>
      </c>
      <c r="I1312" s="2">
        <v>49.25</v>
      </c>
      <c r="J1312" s="2">
        <v>457.78</v>
      </c>
      <c r="K1312" s="2">
        <v>378.78</v>
      </c>
      <c r="L1312" s="2">
        <v>507.07</v>
      </c>
      <c r="M1312" s="8"/>
      <c r="N1312" s="8" t="s">
        <v>10159</v>
      </c>
      <c r="O1312" s="8" t="s">
        <v>2087</v>
      </c>
      <c r="P1312" s="8" t="str">
        <f t="shared" si="72"/>
        <v>PDFを開く</v>
      </c>
      <c r="Q1312" s="8" t="s">
        <v>2089</v>
      </c>
    </row>
    <row r="1313" spans="1:17" ht="62.1" customHeight="1">
      <c r="A1313" s="5" t="s">
        <v>2090</v>
      </c>
      <c r="B1313" s="5" t="s">
        <v>1595</v>
      </c>
      <c r="C1313" s="9" t="s">
        <v>2091</v>
      </c>
      <c r="D1313" s="5">
        <v>1</v>
      </c>
      <c r="E1313" s="9" t="s">
        <v>10156</v>
      </c>
      <c r="F1313" s="5">
        <v>1</v>
      </c>
      <c r="G1313" s="9" t="s">
        <v>10157</v>
      </c>
      <c r="H1313" s="9" t="s">
        <v>10157</v>
      </c>
      <c r="I1313" s="5">
        <v>40.340000000000003</v>
      </c>
      <c r="J1313" s="5">
        <v>60.07</v>
      </c>
      <c r="K1313" s="5">
        <v>680.3</v>
      </c>
      <c r="L1313" s="5">
        <v>80.47</v>
      </c>
      <c r="M1313" s="9"/>
      <c r="N1313" s="9" t="s">
        <v>10159</v>
      </c>
      <c r="O1313" s="9" t="s">
        <v>9128</v>
      </c>
      <c r="P1313" s="9" t="str">
        <f>HYPERLINK("https://seichotoushi-hojo.jp/assets/pdf/koufu_3_4ji/outline_5.pdf","PDFを開く")</f>
        <v>PDFを開く</v>
      </c>
      <c r="Q1313" s="9" t="s">
        <v>2097</v>
      </c>
    </row>
    <row r="1314" spans="1:17" ht="62.1" customHeight="1">
      <c r="A1314" s="2" t="s">
        <v>2090</v>
      </c>
      <c r="B1314" s="2" t="s">
        <v>1595</v>
      </c>
      <c r="C1314" s="8" t="s">
        <v>2091</v>
      </c>
      <c r="D1314" s="2">
        <v>1</v>
      </c>
      <c r="E1314" s="8" t="s">
        <v>10156</v>
      </c>
      <c r="F1314" s="2">
        <v>2</v>
      </c>
      <c r="G1314" s="8" t="s">
        <v>9578</v>
      </c>
      <c r="H1314" s="8" t="s">
        <v>9578</v>
      </c>
      <c r="I1314" s="2">
        <v>39.659999999999997</v>
      </c>
      <c r="J1314" s="2">
        <v>100.05</v>
      </c>
      <c r="K1314" s="2">
        <v>378.79</v>
      </c>
      <c r="L1314" s="2">
        <v>520.9</v>
      </c>
      <c r="M1314" s="8"/>
      <c r="N1314" s="8" t="s">
        <v>10159</v>
      </c>
      <c r="O1314" s="8" t="s">
        <v>9129</v>
      </c>
      <c r="P1314" s="8" t="str">
        <f>HYPERLINK("https://seichotoushi-hojo.jp/assets/pdf/koufu_3_4ji/outline_5.pdf","PDFを開く")</f>
        <v>PDFを開く</v>
      </c>
      <c r="Q1314" s="8" t="s">
        <v>2097</v>
      </c>
    </row>
    <row r="1315" spans="1:17" ht="62.1" customHeight="1">
      <c r="A1315" s="5" t="s">
        <v>2090</v>
      </c>
      <c r="B1315" s="5" t="s">
        <v>1595</v>
      </c>
      <c r="C1315" s="9" t="s">
        <v>2091</v>
      </c>
      <c r="D1315" s="5">
        <v>1</v>
      </c>
      <c r="E1315" s="9" t="s">
        <v>10156</v>
      </c>
      <c r="F1315" s="5">
        <v>3</v>
      </c>
      <c r="G1315" s="9" t="s">
        <v>10162</v>
      </c>
      <c r="H1315" s="9" t="s">
        <v>10162</v>
      </c>
      <c r="I1315" s="5">
        <v>402.08</v>
      </c>
      <c r="J1315" s="5">
        <v>111.13</v>
      </c>
      <c r="K1315" s="5">
        <v>745.56</v>
      </c>
      <c r="L1315" s="5">
        <v>313.14</v>
      </c>
      <c r="M1315" s="9"/>
      <c r="N1315" s="9" t="s">
        <v>10159</v>
      </c>
      <c r="O1315" s="9" t="s">
        <v>9130</v>
      </c>
      <c r="P1315" s="9" t="str">
        <f>HYPERLINK("https://seichotoushi-hojo.jp/assets/pdf/koufu_3_4ji/outline_5.pdf","PDFを開く")</f>
        <v>PDFを開く</v>
      </c>
      <c r="Q1315" s="9" t="s">
        <v>2097</v>
      </c>
    </row>
    <row r="1316" spans="1:17" ht="62.1" customHeight="1">
      <c r="A1316" s="2" t="s">
        <v>2090</v>
      </c>
      <c r="B1316" s="2" t="s">
        <v>1595</v>
      </c>
      <c r="C1316" s="8" t="s">
        <v>2091</v>
      </c>
      <c r="D1316" s="2">
        <v>1</v>
      </c>
      <c r="E1316" s="8" t="s">
        <v>10156</v>
      </c>
      <c r="F1316" s="2">
        <v>4</v>
      </c>
      <c r="G1316" s="8" t="s">
        <v>8581</v>
      </c>
      <c r="H1316" s="8" t="s">
        <v>8581</v>
      </c>
      <c r="I1316" s="2">
        <v>49.47</v>
      </c>
      <c r="J1316" s="2">
        <v>273.89</v>
      </c>
      <c r="K1316" s="2">
        <v>368.97</v>
      </c>
      <c r="L1316" s="2">
        <v>508.8</v>
      </c>
      <c r="M1316" s="8"/>
      <c r="N1316" s="8" t="s">
        <v>10159</v>
      </c>
      <c r="O1316" s="8" t="s">
        <v>9132</v>
      </c>
      <c r="P1316" s="8" t="str">
        <f>HYPERLINK("https://seichotoushi-hojo.jp/assets/pdf/koufu_3_4ji/outline_5.pdf","PDFを開く")</f>
        <v>PDFを開く</v>
      </c>
      <c r="Q1316" s="8" t="s">
        <v>2097</v>
      </c>
    </row>
    <row r="1317" spans="1:17" ht="62.1" customHeight="1">
      <c r="A1317" s="5" t="s">
        <v>2090</v>
      </c>
      <c r="B1317" s="5" t="s">
        <v>1595</v>
      </c>
      <c r="C1317" s="9" t="s">
        <v>2091</v>
      </c>
      <c r="D1317" s="5">
        <v>1</v>
      </c>
      <c r="E1317" s="9" t="s">
        <v>10156</v>
      </c>
      <c r="F1317" s="5">
        <v>5</v>
      </c>
      <c r="G1317" s="9" t="s">
        <v>10163</v>
      </c>
      <c r="H1317" s="9" t="s">
        <v>10163</v>
      </c>
      <c r="I1317" s="5">
        <v>402.08</v>
      </c>
      <c r="J1317" s="5">
        <v>324.44</v>
      </c>
      <c r="K1317" s="5">
        <v>745.56</v>
      </c>
      <c r="L1317" s="5">
        <v>496.29</v>
      </c>
      <c r="M1317" s="9"/>
      <c r="N1317" s="9" t="s">
        <v>10159</v>
      </c>
      <c r="O1317" s="9" t="s">
        <v>9131</v>
      </c>
      <c r="P1317" s="9" t="str">
        <f>HYPERLINK("https://seichotoushi-hojo.jp/assets/pdf/koufu_3_4ji/outline_5.pdf","PDFを開く")</f>
        <v>PDFを開く</v>
      </c>
      <c r="Q1317" s="9" t="s">
        <v>2097</v>
      </c>
    </row>
    <row r="1318" spans="1:17" ht="62.1" customHeight="1">
      <c r="A1318" s="2" t="s">
        <v>2098</v>
      </c>
      <c r="B1318" s="2" t="s">
        <v>1595</v>
      </c>
      <c r="C1318" s="8" t="s">
        <v>2099</v>
      </c>
      <c r="D1318" s="2">
        <v>1</v>
      </c>
      <c r="E1318" s="8" t="s">
        <v>10704</v>
      </c>
      <c r="F1318" s="2">
        <v>1</v>
      </c>
      <c r="G1318" s="8" t="s">
        <v>10171</v>
      </c>
      <c r="H1318" s="8" t="s">
        <v>10171</v>
      </c>
      <c r="I1318" s="2">
        <v>150.07</v>
      </c>
      <c r="J1318" s="2">
        <v>99.59</v>
      </c>
      <c r="K1318" s="2">
        <v>401.7</v>
      </c>
      <c r="L1318" s="2">
        <v>294.99</v>
      </c>
      <c r="M1318" s="8"/>
      <c r="N1318" s="8" t="s">
        <v>10181</v>
      </c>
      <c r="O1318" s="8" t="s">
        <v>9140</v>
      </c>
      <c r="P1318" s="8" t="str">
        <f t="shared" ref="P1318:P1323" si="73">HYPERLINK("https://seichotoushi-hojo.jp/assets/pdf/koufu_3_4ji/outline_51.pdf","PDFを開く")</f>
        <v>PDFを開く</v>
      </c>
      <c r="Q1318" s="8" t="s">
        <v>2104</v>
      </c>
    </row>
    <row r="1319" spans="1:17" ht="62.1" customHeight="1">
      <c r="A1319" s="5" t="s">
        <v>2098</v>
      </c>
      <c r="B1319" s="5" t="s">
        <v>1595</v>
      </c>
      <c r="C1319" s="9" t="s">
        <v>2099</v>
      </c>
      <c r="D1319" s="5">
        <v>1</v>
      </c>
      <c r="E1319" s="9" t="s">
        <v>10704</v>
      </c>
      <c r="F1319" s="5">
        <v>2</v>
      </c>
      <c r="G1319" s="9" t="s">
        <v>10167</v>
      </c>
      <c r="H1319" s="9" t="s">
        <v>10717</v>
      </c>
      <c r="I1319" s="5">
        <v>365.8</v>
      </c>
      <c r="J1319" s="5">
        <v>133.58000000000001</v>
      </c>
      <c r="K1319" s="5">
        <v>728.63</v>
      </c>
      <c r="L1319" s="5">
        <v>329.17</v>
      </c>
      <c r="M1319" s="9"/>
      <c r="N1319" s="9" t="s">
        <v>10159</v>
      </c>
      <c r="O1319" s="9" t="s">
        <v>10718</v>
      </c>
      <c r="P1319" s="9" t="str">
        <f t="shared" si="73"/>
        <v>PDFを開く</v>
      </c>
      <c r="Q1319" s="9" t="s">
        <v>2104</v>
      </c>
    </row>
    <row r="1320" spans="1:17" ht="62.1" customHeight="1">
      <c r="A1320" s="2" t="s">
        <v>2098</v>
      </c>
      <c r="B1320" s="2" t="s">
        <v>1595</v>
      </c>
      <c r="C1320" s="8" t="s">
        <v>2099</v>
      </c>
      <c r="D1320" s="2">
        <v>2</v>
      </c>
      <c r="E1320" s="8" t="s">
        <v>10156</v>
      </c>
      <c r="F1320" s="2">
        <v>1</v>
      </c>
      <c r="G1320" s="8" t="s">
        <v>9578</v>
      </c>
      <c r="H1320" s="8" t="s">
        <v>9578</v>
      </c>
      <c r="I1320" s="2">
        <v>39.659999999999997</v>
      </c>
      <c r="J1320" s="2">
        <v>167.87</v>
      </c>
      <c r="K1320" s="2">
        <v>378.79</v>
      </c>
      <c r="L1320" s="2">
        <v>499.73</v>
      </c>
      <c r="M1320" s="8"/>
      <c r="N1320" s="8" t="s">
        <v>10159</v>
      </c>
      <c r="O1320" s="8" t="s">
        <v>9137</v>
      </c>
      <c r="P1320" s="8" t="str">
        <f t="shared" si="73"/>
        <v>PDFを開く</v>
      </c>
      <c r="Q1320" s="8" t="s">
        <v>2104</v>
      </c>
    </row>
    <row r="1321" spans="1:17" ht="62.1" customHeight="1">
      <c r="A1321" s="5" t="s">
        <v>2098</v>
      </c>
      <c r="B1321" s="5" t="s">
        <v>1595</v>
      </c>
      <c r="C1321" s="9" t="s">
        <v>2099</v>
      </c>
      <c r="D1321" s="5">
        <v>2</v>
      </c>
      <c r="E1321" s="9" t="s">
        <v>10156</v>
      </c>
      <c r="F1321" s="5">
        <v>2</v>
      </c>
      <c r="G1321" s="9" t="s">
        <v>10162</v>
      </c>
      <c r="H1321" s="9" t="s">
        <v>10162</v>
      </c>
      <c r="I1321" s="5">
        <v>396.3</v>
      </c>
      <c r="J1321" s="5">
        <v>170.15</v>
      </c>
      <c r="K1321" s="5">
        <v>739.78</v>
      </c>
      <c r="L1321" s="5">
        <v>328.45</v>
      </c>
      <c r="M1321" s="9"/>
      <c r="N1321" s="9" t="s">
        <v>10159</v>
      </c>
      <c r="O1321" s="9" t="s">
        <v>9138</v>
      </c>
      <c r="P1321" s="9" t="str">
        <f t="shared" si="73"/>
        <v>PDFを開く</v>
      </c>
      <c r="Q1321" s="9" t="s">
        <v>2104</v>
      </c>
    </row>
    <row r="1322" spans="1:17" ht="62.1" customHeight="1">
      <c r="A1322" s="2" t="s">
        <v>2098</v>
      </c>
      <c r="B1322" s="2" t="s">
        <v>1595</v>
      </c>
      <c r="C1322" s="8" t="s">
        <v>2099</v>
      </c>
      <c r="D1322" s="2">
        <v>2</v>
      </c>
      <c r="E1322" s="8" t="s">
        <v>10156</v>
      </c>
      <c r="F1322" s="2">
        <v>3</v>
      </c>
      <c r="G1322" s="8" t="s">
        <v>10163</v>
      </c>
      <c r="H1322" s="8" t="s">
        <v>10163</v>
      </c>
      <c r="I1322" s="2">
        <v>396.3</v>
      </c>
      <c r="J1322" s="2">
        <v>341.43</v>
      </c>
      <c r="K1322" s="2">
        <v>739.78</v>
      </c>
      <c r="L1322" s="2">
        <v>499.73</v>
      </c>
      <c r="M1322" s="8"/>
      <c r="N1322" s="8" t="s">
        <v>10159</v>
      </c>
      <c r="O1322" s="8" t="s">
        <v>9139</v>
      </c>
      <c r="P1322" s="8" t="str">
        <f t="shared" si="73"/>
        <v>PDFを開く</v>
      </c>
      <c r="Q1322" s="8" t="s">
        <v>2104</v>
      </c>
    </row>
    <row r="1323" spans="1:17" ht="62.1" customHeight="1">
      <c r="A1323" s="5" t="s">
        <v>2098</v>
      </c>
      <c r="B1323" s="5" t="s">
        <v>1595</v>
      </c>
      <c r="C1323" s="9" t="s">
        <v>2099</v>
      </c>
      <c r="D1323" s="5">
        <v>2</v>
      </c>
      <c r="E1323" s="9" t="s">
        <v>10156</v>
      </c>
      <c r="F1323" s="5">
        <v>4</v>
      </c>
      <c r="G1323" s="9" t="s">
        <v>8581</v>
      </c>
      <c r="H1323" s="9" t="s">
        <v>8581</v>
      </c>
      <c r="I1323" s="5">
        <v>48</v>
      </c>
      <c r="J1323" s="5">
        <v>370.98</v>
      </c>
      <c r="K1323" s="5">
        <v>367.5</v>
      </c>
      <c r="L1323" s="5">
        <v>486.75</v>
      </c>
      <c r="M1323" s="9"/>
      <c r="N1323" s="9" t="s">
        <v>10159</v>
      </c>
      <c r="O1323" s="9" t="s">
        <v>9141</v>
      </c>
      <c r="P1323" s="9" t="str">
        <f t="shared" si="73"/>
        <v>PDFを開く</v>
      </c>
      <c r="Q1323" s="9" t="s">
        <v>2104</v>
      </c>
    </row>
    <row r="1324" spans="1:17" ht="62.1" customHeight="1">
      <c r="A1324" s="2" t="s">
        <v>2105</v>
      </c>
      <c r="B1324" s="2" t="s">
        <v>1595</v>
      </c>
      <c r="C1324" s="8" t="s">
        <v>2106</v>
      </c>
      <c r="D1324" s="2">
        <v>1</v>
      </c>
      <c r="E1324" s="8" t="s">
        <v>10156</v>
      </c>
      <c r="F1324" s="2">
        <v>1</v>
      </c>
      <c r="G1324" s="8" t="s">
        <v>9578</v>
      </c>
      <c r="H1324" s="8" t="s">
        <v>9578</v>
      </c>
      <c r="I1324" s="2">
        <v>8.76</v>
      </c>
      <c r="J1324" s="2">
        <v>112.2</v>
      </c>
      <c r="K1324" s="2">
        <v>369.36</v>
      </c>
      <c r="L1324" s="2">
        <v>420.12</v>
      </c>
      <c r="M1324" s="8"/>
      <c r="N1324" s="8" t="s">
        <v>10159</v>
      </c>
      <c r="O1324" s="8" t="s">
        <v>9146</v>
      </c>
      <c r="P1324" s="8" t="str">
        <f>HYPERLINK("https://seichotoushi-hojo.jp/assets/pdf/koufu_3_4ji/outline_52.pdf","PDFを開く")</f>
        <v>PDFを開く</v>
      </c>
      <c r="Q1324" s="8" t="s">
        <v>2113</v>
      </c>
    </row>
    <row r="1325" spans="1:17" ht="62.1" customHeight="1">
      <c r="A1325" s="5" t="s">
        <v>2105</v>
      </c>
      <c r="B1325" s="5" t="s">
        <v>1595</v>
      </c>
      <c r="C1325" s="9" t="s">
        <v>2106</v>
      </c>
      <c r="D1325" s="5">
        <v>1</v>
      </c>
      <c r="E1325" s="9" t="s">
        <v>10156</v>
      </c>
      <c r="F1325" s="5">
        <v>2</v>
      </c>
      <c r="G1325" s="9" t="s">
        <v>10162</v>
      </c>
      <c r="H1325" s="9" t="s">
        <v>10162</v>
      </c>
      <c r="I1325" s="5">
        <v>388.32</v>
      </c>
      <c r="J1325" s="5">
        <v>112.8</v>
      </c>
      <c r="K1325" s="5">
        <v>834.48</v>
      </c>
      <c r="L1325" s="5">
        <v>267.83999999999997</v>
      </c>
      <c r="M1325" s="9"/>
      <c r="N1325" s="9" t="s">
        <v>10159</v>
      </c>
      <c r="O1325" s="9" t="s">
        <v>9147</v>
      </c>
      <c r="P1325" s="9" t="str">
        <f>HYPERLINK("https://seichotoushi-hojo.jp/assets/pdf/koufu_3_4ji/outline_52.pdf","PDFを開く")</f>
        <v>PDFを開く</v>
      </c>
      <c r="Q1325" s="9" t="s">
        <v>2113</v>
      </c>
    </row>
    <row r="1326" spans="1:17" ht="62.1" customHeight="1">
      <c r="A1326" s="2" t="s">
        <v>2105</v>
      </c>
      <c r="B1326" s="2" t="s">
        <v>1595</v>
      </c>
      <c r="C1326" s="8" t="s">
        <v>2106</v>
      </c>
      <c r="D1326" s="2">
        <v>1</v>
      </c>
      <c r="E1326" s="8" t="s">
        <v>10156</v>
      </c>
      <c r="F1326" s="2">
        <v>3</v>
      </c>
      <c r="G1326" s="8" t="s">
        <v>10163</v>
      </c>
      <c r="H1326" s="8" t="s">
        <v>10163</v>
      </c>
      <c r="I1326" s="2">
        <v>387.72</v>
      </c>
      <c r="J1326" s="2">
        <v>276.48</v>
      </c>
      <c r="K1326" s="2">
        <v>834.24</v>
      </c>
      <c r="L1326" s="2">
        <v>419.04</v>
      </c>
      <c r="M1326" s="8"/>
      <c r="N1326" s="8" t="s">
        <v>10159</v>
      </c>
      <c r="O1326" s="8" t="s">
        <v>9148</v>
      </c>
      <c r="P1326" s="8" t="str">
        <f>HYPERLINK("https://seichotoushi-hojo.jp/assets/pdf/koufu_3_4ji/outline_52.pdf","PDFを開く")</f>
        <v>PDFを開く</v>
      </c>
      <c r="Q1326" s="8" t="s">
        <v>2113</v>
      </c>
    </row>
    <row r="1327" spans="1:17" ht="62.1" customHeight="1">
      <c r="A1327" s="5" t="s">
        <v>2105</v>
      </c>
      <c r="B1327" s="5" t="s">
        <v>1595</v>
      </c>
      <c r="C1327" s="9" t="s">
        <v>2106</v>
      </c>
      <c r="D1327" s="5">
        <v>1</v>
      </c>
      <c r="E1327" s="9" t="s">
        <v>10156</v>
      </c>
      <c r="F1327" s="5">
        <v>4</v>
      </c>
      <c r="G1327" s="9" t="s">
        <v>10167</v>
      </c>
      <c r="H1327" s="9" t="s">
        <v>10719</v>
      </c>
      <c r="I1327" s="5">
        <v>124.08</v>
      </c>
      <c r="J1327" s="5">
        <v>426.24</v>
      </c>
      <c r="K1327" s="5">
        <v>833.28</v>
      </c>
      <c r="L1327" s="5">
        <v>463.44</v>
      </c>
      <c r="M1327" s="9"/>
      <c r="N1327" s="9" t="s">
        <v>10159</v>
      </c>
      <c r="O1327" s="9" t="s">
        <v>10720</v>
      </c>
      <c r="P1327" s="9" t="str">
        <f>HYPERLINK("https://seichotoushi-hojo.jp/assets/pdf/koufu_3_4ji/outline_52.pdf","PDFを開く")</f>
        <v>PDFを開く</v>
      </c>
      <c r="Q1327" s="9" t="s">
        <v>2113</v>
      </c>
    </row>
    <row r="1328" spans="1:17" ht="62.1" customHeight="1">
      <c r="A1328" s="2" t="s">
        <v>2114</v>
      </c>
      <c r="B1328" s="2" t="s">
        <v>1595</v>
      </c>
      <c r="C1328" s="8" t="s">
        <v>2115</v>
      </c>
      <c r="D1328" s="2">
        <v>1</v>
      </c>
      <c r="E1328" s="8" t="s">
        <v>10156</v>
      </c>
      <c r="F1328" s="2">
        <v>1</v>
      </c>
      <c r="G1328" s="8" t="s">
        <v>9578</v>
      </c>
      <c r="H1328" s="8" t="s">
        <v>9578</v>
      </c>
      <c r="I1328" s="2">
        <v>9.75</v>
      </c>
      <c r="J1328" s="2">
        <v>87.84</v>
      </c>
      <c r="K1328" s="2">
        <v>383.51</v>
      </c>
      <c r="L1328" s="2">
        <v>303.93</v>
      </c>
      <c r="M1328" s="8"/>
      <c r="N1328" s="8" t="s">
        <v>10159</v>
      </c>
      <c r="O1328" s="8" t="s">
        <v>9153</v>
      </c>
      <c r="P1328" s="8" t="str">
        <f t="shared" ref="P1328:P1336" si="74">HYPERLINK("https://seichotoushi-hojo.jp/assets/pdf/koufu_3_4ji/outline_58.pdf","PDFを開く")</f>
        <v>PDFを開く</v>
      </c>
      <c r="Q1328" s="8" t="s">
        <v>2122</v>
      </c>
    </row>
    <row r="1329" spans="1:17" ht="62.1" customHeight="1">
      <c r="A1329" s="5" t="s">
        <v>2114</v>
      </c>
      <c r="B1329" s="5" t="s">
        <v>1595</v>
      </c>
      <c r="C1329" s="9" t="s">
        <v>2115</v>
      </c>
      <c r="D1329" s="5">
        <v>1</v>
      </c>
      <c r="E1329" s="9" t="s">
        <v>10156</v>
      </c>
      <c r="F1329" s="5">
        <v>2</v>
      </c>
      <c r="G1329" s="9" t="s">
        <v>10162</v>
      </c>
      <c r="H1329" s="9" t="s">
        <v>10162</v>
      </c>
      <c r="I1329" s="5">
        <v>401.02</v>
      </c>
      <c r="J1329" s="5">
        <v>90.13</v>
      </c>
      <c r="K1329" s="5">
        <v>774.78</v>
      </c>
      <c r="L1329" s="5">
        <v>276.95999999999998</v>
      </c>
      <c r="M1329" s="9"/>
      <c r="N1329" s="9" t="s">
        <v>10159</v>
      </c>
      <c r="O1329" s="9" t="s">
        <v>9154</v>
      </c>
      <c r="P1329" s="9" t="str">
        <f t="shared" si="74"/>
        <v>PDFを開く</v>
      </c>
      <c r="Q1329" s="9" t="s">
        <v>2122</v>
      </c>
    </row>
    <row r="1330" spans="1:17" ht="62.1" customHeight="1">
      <c r="A1330" s="2" t="s">
        <v>2114</v>
      </c>
      <c r="B1330" s="2" t="s">
        <v>1595</v>
      </c>
      <c r="C1330" s="8" t="s">
        <v>2115</v>
      </c>
      <c r="D1330" s="2">
        <v>1</v>
      </c>
      <c r="E1330" s="8" t="s">
        <v>10156</v>
      </c>
      <c r="F1330" s="2">
        <v>3</v>
      </c>
      <c r="G1330" s="8" t="s">
        <v>10163</v>
      </c>
      <c r="H1330" s="8" t="s">
        <v>10163</v>
      </c>
      <c r="I1330" s="2">
        <v>401.02</v>
      </c>
      <c r="J1330" s="2">
        <v>279.24</v>
      </c>
      <c r="K1330" s="2">
        <v>774.78</v>
      </c>
      <c r="L1330" s="2">
        <v>472.82</v>
      </c>
      <c r="M1330" s="8"/>
      <c r="N1330" s="8" t="s">
        <v>10159</v>
      </c>
      <c r="O1330" s="8" t="s">
        <v>9155</v>
      </c>
      <c r="P1330" s="8" t="str">
        <f t="shared" si="74"/>
        <v>PDFを開く</v>
      </c>
      <c r="Q1330" s="8" t="s">
        <v>2122</v>
      </c>
    </row>
    <row r="1331" spans="1:17" ht="62.1" customHeight="1">
      <c r="A1331" s="5" t="s">
        <v>2114</v>
      </c>
      <c r="B1331" s="5" t="s">
        <v>1595</v>
      </c>
      <c r="C1331" s="9" t="s">
        <v>2115</v>
      </c>
      <c r="D1331" s="5">
        <v>1</v>
      </c>
      <c r="E1331" s="9" t="s">
        <v>10156</v>
      </c>
      <c r="F1331" s="5">
        <v>4</v>
      </c>
      <c r="G1331" s="9" t="s">
        <v>8581</v>
      </c>
      <c r="H1331" s="9" t="s">
        <v>8581</v>
      </c>
      <c r="I1331" s="5">
        <v>9.75</v>
      </c>
      <c r="J1331" s="5">
        <v>301.98</v>
      </c>
      <c r="K1331" s="5">
        <v>383.51</v>
      </c>
      <c r="L1331" s="5">
        <v>405.88</v>
      </c>
      <c r="M1331" s="9"/>
      <c r="N1331" s="9" t="s">
        <v>10159</v>
      </c>
      <c r="O1331" s="9" t="s">
        <v>9156</v>
      </c>
      <c r="P1331" s="9" t="str">
        <f t="shared" si="74"/>
        <v>PDFを開く</v>
      </c>
      <c r="Q1331" s="9" t="s">
        <v>2122</v>
      </c>
    </row>
    <row r="1332" spans="1:17" ht="62.1" customHeight="1">
      <c r="A1332" s="2" t="s">
        <v>2114</v>
      </c>
      <c r="B1332" s="2" t="s">
        <v>1595</v>
      </c>
      <c r="C1332" s="8" t="s">
        <v>2115</v>
      </c>
      <c r="D1332" s="2">
        <v>1</v>
      </c>
      <c r="E1332" s="8" t="s">
        <v>10156</v>
      </c>
      <c r="F1332" s="2">
        <v>5</v>
      </c>
      <c r="G1332" s="8" t="s">
        <v>10167</v>
      </c>
      <c r="H1332" s="8" t="s">
        <v>10564</v>
      </c>
      <c r="I1332" s="2">
        <v>9.75</v>
      </c>
      <c r="J1332" s="2">
        <v>394.77</v>
      </c>
      <c r="K1332" s="2">
        <v>383.51</v>
      </c>
      <c r="L1332" s="2">
        <v>458.67</v>
      </c>
      <c r="M1332" s="8"/>
      <c r="N1332" s="8" t="s">
        <v>10159</v>
      </c>
      <c r="O1332" s="8" t="s">
        <v>10721</v>
      </c>
      <c r="P1332" s="8" t="str">
        <f t="shared" si="74"/>
        <v>PDFを開く</v>
      </c>
      <c r="Q1332" s="8" t="s">
        <v>2122</v>
      </c>
    </row>
    <row r="1333" spans="1:17" ht="62.1" customHeight="1">
      <c r="A1333" s="5" t="s">
        <v>2114</v>
      </c>
      <c r="B1333" s="5" t="s">
        <v>1595</v>
      </c>
      <c r="C1333" s="9" t="s">
        <v>2115</v>
      </c>
      <c r="D1333" s="5">
        <v>1</v>
      </c>
      <c r="E1333" s="9" t="s">
        <v>10156</v>
      </c>
      <c r="F1333" s="5">
        <v>6</v>
      </c>
      <c r="G1333" s="9" t="s">
        <v>10167</v>
      </c>
      <c r="H1333" s="9" t="s">
        <v>10722</v>
      </c>
      <c r="I1333" s="5">
        <v>18.8</v>
      </c>
      <c r="J1333" s="5">
        <v>478.07</v>
      </c>
      <c r="K1333" s="5">
        <v>770.25</v>
      </c>
      <c r="L1333" s="5">
        <v>523.89</v>
      </c>
      <c r="M1333" s="9"/>
      <c r="N1333" s="9" t="s">
        <v>10159</v>
      </c>
      <c r="O1333" s="9" t="s">
        <v>10723</v>
      </c>
      <c r="P1333" s="9" t="str">
        <f t="shared" si="74"/>
        <v>PDFを開く</v>
      </c>
      <c r="Q1333" s="9" t="s">
        <v>2122</v>
      </c>
    </row>
    <row r="1334" spans="1:17" ht="62.1" customHeight="1">
      <c r="A1334" s="2" t="s">
        <v>2114</v>
      </c>
      <c r="B1334" s="2" t="s">
        <v>1595</v>
      </c>
      <c r="C1334" s="8" t="s">
        <v>2115</v>
      </c>
      <c r="D1334" s="2">
        <v>2</v>
      </c>
      <c r="E1334" s="8" t="s">
        <v>10165</v>
      </c>
      <c r="F1334" s="2">
        <v>1</v>
      </c>
      <c r="G1334" s="8" t="s">
        <v>10167</v>
      </c>
      <c r="H1334" s="8" t="s">
        <v>10724</v>
      </c>
      <c r="I1334" s="2">
        <v>510.91</v>
      </c>
      <c r="J1334" s="2">
        <v>155.19</v>
      </c>
      <c r="K1334" s="2">
        <v>777.77</v>
      </c>
      <c r="L1334" s="2">
        <v>364.68</v>
      </c>
      <c r="M1334" s="8"/>
      <c r="N1334" s="8" t="s">
        <v>10159</v>
      </c>
      <c r="O1334" s="8" t="s">
        <v>10725</v>
      </c>
      <c r="P1334" s="8" t="str">
        <f t="shared" si="74"/>
        <v>PDFを開く</v>
      </c>
      <c r="Q1334" s="8" t="s">
        <v>2122</v>
      </c>
    </row>
    <row r="1335" spans="1:17" ht="62.1" customHeight="1">
      <c r="A1335" s="5" t="s">
        <v>2114</v>
      </c>
      <c r="B1335" s="5" t="s">
        <v>1595</v>
      </c>
      <c r="C1335" s="9" t="s">
        <v>2115</v>
      </c>
      <c r="D1335" s="5">
        <v>2</v>
      </c>
      <c r="E1335" s="9" t="s">
        <v>10165</v>
      </c>
      <c r="F1335" s="5">
        <v>2</v>
      </c>
      <c r="G1335" s="9" t="s">
        <v>10184</v>
      </c>
      <c r="H1335" s="9" t="s">
        <v>10184</v>
      </c>
      <c r="I1335" s="5">
        <v>88.13</v>
      </c>
      <c r="J1335" s="5">
        <v>226.77</v>
      </c>
      <c r="K1335" s="5">
        <v>401.7</v>
      </c>
      <c r="L1335" s="5">
        <v>422.17</v>
      </c>
      <c r="M1335" s="9"/>
      <c r="N1335" s="9" t="s">
        <v>10181</v>
      </c>
      <c r="O1335" s="9" t="s">
        <v>10726</v>
      </c>
      <c r="P1335" s="9" t="str">
        <f t="shared" si="74"/>
        <v>PDFを開く</v>
      </c>
      <c r="Q1335" s="9" t="s">
        <v>2122</v>
      </c>
    </row>
    <row r="1336" spans="1:17" ht="62.1" customHeight="1">
      <c r="A1336" s="2" t="s">
        <v>2114</v>
      </c>
      <c r="B1336" s="2" t="s">
        <v>1595</v>
      </c>
      <c r="C1336" s="8" t="s">
        <v>2115</v>
      </c>
      <c r="D1336" s="2">
        <v>2</v>
      </c>
      <c r="E1336" s="8" t="s">
        <v>10165</v>
      </c>
      <c r="F1336" s="2">
        <v>3</v>
      </c>
      <c r="G1336" s="8" t="s">
        <v>10167</v>
      </c>
      <c r="H1336" s="8" t="s">
        <v>10727</v>
      </c>
      <c r="I1336" s="2">
        <v>86.93</v>
      </c>
      <c r="J1336" s="2">
        <v>511.46</v>
      </c>
      <c r="K1336" s="2">
        <v>740.47</v>
      </c>
      <c r="L1336" s="2">
        <v>538.49</v>
      </c>
      <c r="M1336" s="8"/>
      <c r="N1336" s="8" t="s">
        <v>10159</v>
      </c>
      <c r="O1336" s="8" t="s">
        <v>10728</v>
      </c>
      <c r="P1336" s="8" t="str">
        <f t="shared" si="74"/>
        <v>PDFを開く</v>
      </c>
      <c r="Q1336" s="8" t="s">
        <v>2122</v>
      </c>
    </row>
    <row r="1337" spans="1:17" ht="62.1" customHeight="1">
      <c r="A1337" s="5" t="s">
        <v>2123</v>
      </c>
      <c r="B1337" s="5" t="s">
        <v>1595</v>
      </c>
      <c r="C1337" s="9" t="s">
        <v>2124</v>
      </c>
      <c r="D1337" s="5">
        <v>1</v>
      </c>
      <c r="E1337" s="9" t="s">
        <v>10156</v>
      </c>
      <c r="F1337" s="5">
        <v>1</v>
      </c>
      <c r="G1337" s="9" t="s">
        <v>9578</v>
      </c>
      <c r="H1337" s="9" t="s">
        <v>9578</v>
      </c>
      <c r="I1337" s="5">
        <v>39.6</v>
      </c>
      <c r="J1337" s="5">
        <v>107.76</v>
      </c>
      <c r="K1337" s="5">
        <v>378.72</v>
      </c>
      <c r="L1337" s="5">
        <v>512.4</v>
      </c>
      <c r="M1337" s="9"/>
      <c r="N1337" s="9" t="s">
        <v>10159</v>
      </c>
      <c r="O1337" s="9" t="s">
        <v>10729</v>
      </c>
      <c r="P1337" s="9" t="str">
        <f t="shared" ref="P1337:P1342" si="75">HYPERLINK("https://seichotoushi-hojo.jp/assets/pdf/koufu_3_4ji/outline_6.pdf","PDFを開く")</f>
        <v>PDFを開く</v>
      </c>
      <c r="Q1337" s="9" t="s">
        <v>2131</v>
      </c>
    </row>
    <row r="1338" spans="1:17" ht="62.1" customHeight="1">
      <c r="A1338" s="2" t="s">
        <v>2123</v>
      </c>
      <c r="B1338" s="2" t="s">
        <v>1595</v>
      </c>
      <c r="C1338" s="8" t="s">
        <v>2124</v>
      </c>
      <c r="D1338" s="2">
        <v>1</v>
      </c>
      <c r="E1338" s="8" t="s">
        <v>10156</v>
      </c>
      <c r="F1338" s="2">
        <v>2</v>
      </c>
      <c r="G1338" s="8" t="s">
        <v>10162</v>
      </c>
      <c r="H1338" s="8" t="s">
        <v>10162</v>
      </c>
      <c r="I1338" s="2">
        <v>396.36</v>
      </c>
      <c r="J1338" s="2">
        <v>107.88</v>
      </c>
      <c r="K1338" s="2">
        <v>739.8</v>
      </c>
      <c r="L1338" s="2">
        <v>300.12</v>
      </c>
      <c r="M1338" s="8"/>
      <c r="N1338" s="8" t="s">
        <v>10159</v>
      </c>
      <c r="O1338" s="8" t="s">
        <v>9162</v>
      </c>
      <c r="P1338" s="8" t="str">
        <f t="shared" si="75"/>
        <v>PDFを開く</v>
      </c>
      <c r="Q1338" s="8" t="s">
        <v>2131</v>
      </c>
    </row>
    <row r="1339" spans="1:17" ht="62.1" customHeight="1">
      <c r="A1339" s="5" t="s">
        <v>2123</v>
      </c>
      <c r="B1339" s="5" t="s">
        <v>1595</v>
      </c>
      <c r="C1339" s="9" t="s">
        <v>2124</v>
      </c>
      <c r="D1339" s="5">
        <v>1</v>
      </c>
      <c r="E1339" s="9" t="s">
        <v>10156</v>
      </c>
      <c r="F1339" s="5">
        <v>3</v>
      </c>
      <c r="G1339" s="9" t="s">
        <v>10163</v>
      </c>
      <c r="H1339" s="9" t="s">
        <v>10163</v>
      </c>
      <c r="I1339" s="5">
        <v>396.36</v>
      </c>
      <c r="J1339" s="5">
        <v>320.27999999999997</v>
      </c>
      <c r="K1339" s="5">
        <v>739.8</v>
      </c>
      <c r="L1339" s="5">
        <v>512.52</v>
      </c>
      <c r="M1339" s="9"/>
      <c r="N1339" s="9" t="s">
        <v>10159</v>
      </c>
      <c r="O1339" s="9" t="s">
        <v>9163</v>
      </c>
      <c r="P1339" s="9" t="str">
        <f t="shared" si="75"/>
        <v>PDFを開く</v>
      </c>
      <c r="Q1339" s="9" t="s">
        <v>2131</v>
      </c>
    </row>
    <row r="1340" spans="1:17" ht="62.1" customHeight="1">
      <c r="A1340" s="2" t="s">
        <v>2123</v>
      </c>
      <c r="B1340" s="2" t="s">
        <v>1595</v>
      </c>
      <c r="C1340" s="8" t="s">
        <v>2124</v>
      </c>
      <c r="D1340" s="2">
        <v>1</v>
      </c>
      <c r="E1340" s="8" t="s">
        <v>10156</v>
      </c>
      <c r="F1340" s="2">
        <v>4</v>
      </c>
      <c r="G1340" s="8" t="s">
        <v>8581</v>
      </c>
      <c r="H1340" s="8" t="s">
        <v>8581</v>
      </c>
      <c r="I1340" s="2">
        <v>48</v>
      </c>
      <c r="J1340" s="2">
        <v>393.36</v>
      </c>
      <c r="K1340" s="2">
        <v>367.44</v>
      </c>
      <c r="L1340" s="2">
        <v>504.48</v>
      </c>
      <c r="M1340" s="8"/>
      <c r="N1340" s="8" t="s">
        <v>10159</v>
      </c>
      <c r="O1340" s="8" t="s">
        <v>9164</v>
      </c>
      <c r="P1340" s="8" t="str">
        <f t="shared" si="75"/>
        <v>PDFを開く</v>
      </c>
      <c r="Q1340" s="8" t="s">
        <v>2131</v>
      </c>
    </row>
    <row r="1341" spans="1:17" ht="62.1" customHeight="1">
      <c r="A1341" s="5" t="s">
        <v>2123</v>
      </c>
      <c r="B1341" s="5" t="s">
        <v>1595</v>
      </c>
      <c r="C1341" s="9" t="s">
        <v>2124</v>
      </c>
      <c r="D1341" s="5">
        <v>2</v>
      </c>
      <c r="E1341" s="9" t="s">
        <v>10165</v>
      </c>
      <c r="F1341" s="5">
        <v>1</v>
      </c>
      <c r="G1341" s="9" t="s">
        <v>9578</v>
      </c>
      <c r="H1341" s="9" t="s">
        <v>9578</v>
      </c>
      <c r="I1341" s="5">
        <v>431.54</v>
      </c>
      <c r="J1341" s="5">
        <v>70.650000000000006</v>
      </c>
      <c r="K1341" s="5">
        <v>768.3</v>
      </c>
      <c r="L1341" s="5">
        <v>266.05</v>
      </c>
      <c r="M1341" s="9"/>
      <c r="N1341" s="9" t="s">
        <v>10181</v>
      </c>
      <c r="O1341" s="9" t="s">
        <v>10730</v>
      </c>
      <c r="P1341" s="9" t="str">
        <f t="shared" si="75"/>
        <v>PDFを開く</v>
      </c>
      <c r="Q1341" s="9" t="s">
        <v>2131</v>
      </c>
    </row>
    <row r="1342" spans="1:17" ht="62.1" customHeight="1">
      <c r="A1342" s="2" t="s">
        <v>2123</v>
      </c>
      <c r="B1342" s="2" t="s">
        <v>1595</v>
      </c>
      <c r="C1342" s="8" t="s">
        <v>2124</v>
      </c>
      <c r="D1342" s="2">
        <v>2</v>
      </c>
      <c r="E1342" s="8" t="s">
        <v>10165</v>
      </c>
      <c r="F1342" s="2">
        <v>2</v>
      </c>
      <c r="G1342" s="8" t="s">
        <v>10184</v>
      </c>
      <c r="H1342" s="8" t="s">
        <v>10184</v>
      </c>
      <c r="I1342" s="2">
        <v>127.18</v>
      </c>
      <c r="J1342" s="2">
        <v>171.28</v>
      </c>
      <c r="K1342" s="2">
        <v>401.7</v>
      </c>
      <c r="L1342" s="2">
        <v>366.68</v>
      </c>
      <c r="M1342" s="8"/>
      <c r="N1342" s="8" t="s">
        <v>10181</v>
      </c>
      <c r="O1342" s="8" t="s">
        <v>10731</v>
      </c>
      <c r="P1342" s="8" t="str">
        <f t="shared" si="75"/>
        <v>PDFを開く</v>
      </c>
      <c r="Q1342" s="8" t="s">
        <v>2131</v>
      </c>
    </row>
    <row r="1343" spans="1:17" ht="62.1" customHeight="1">
      <c r="A1343" s="5" t="s">
        <v>2132</v>
      </c>
      <c r="B1343" s="5" t="s">
        <v>1595</v>
      </c>
      <c r="C1343" s="9" t="s">
        <v>2133</v>
      </c>
      <c r="D1343" s="5">
        <v>1</v>
      </c>
      <c r="E1343" s="9" t="s">
        <v>10704</v>
      </c>
      <c r="F1343" s="5">
        <v>1</v>
      </c>
      <c r="G1343" s="9" t="s">
        <v>10171</v>
      </c>
      <c r="H1343" s="9" t="s">
        <v>10171</v>
      </c>
      <c r="I1343" s="5">
        <v>39.96</v>
      </c>
      <c r="J1343" s="5">
        <v>14.12</v>
      </c>
      <c r="K1343" s="5">
        <v>401.7</v>
      </c>
      <c r="L1343" s="5">
        <v>103.12</v>
      </c>
      <c r="M1343" s="9"/>
      <c r="N1343" s="9" t="s">
        <v>10181</v>
      </c>
      <c r="O1343" s="9" t="s">
        <v>10732</v>
      </c>
      <c r="P1343" s="9" t="str">
        <f t="shared" ref="P1343:P1350" si="76">HYPERLINK("https://seichotoushi-hojo.jp/assets/pdf/koufu_3_4ji/outline_60.pdf","PDFを開く")</f>
        <v>PDFを開く</v>
      </c>
      <c r="Q1343" s="9" t="s">
        <v>2137</v>
      </c>
    </row>
    <row r="1344" spans="1:17" ht="62.1" customHeight="1">
      <c r="A1344" s="2" t="s">
        <v>2132</v>
      </c>
      <c r="B1344" s="2" t="s">
        <v>1595</v>
      </c>
      <c r="C1344" s="8" t="s">
        <v>2133</v>
      </c>
      <c r="D1344" s="2">
        <v>1</v>
      </c>
      <c r="E1344" s="8" t="s">
        <v>10704</v>
      </c>
      <c r="F1344" s="2">
        <v>2</v>
      </c>
      <c r="G1344" s="8" t="s">
        <v>10171</v>
      </c>
      <c r="H1344" s="8" t="s">
        <v>10171</v>
      </c>
      <c r="I1344" s="2">
        <v>46.8</v>
      </c>
      <c r="J1344" s="2">
        <v>102.12</v>
      </c>
      <c r="K1344" s="2">
        <v>401.7</v>
      </c>
      <c r="L1344" s="2">
        <v>297.52</v>
      </c>
      <c r="M1344" s="8"/>
      <c r="N1344" s="8" t="s">
        <v>10181</v>
      </c>
      <c r="O1344" s="8" t="s">
        <v>10733</v>
      </c>
      <c r="P1344" s="8" t="str">
        <f t="shared" si="76"/>
        <v>PDFを開く</v>
      </c>
      <c r="Q1344" s="8" t="s">
        <v>2137</v>
      </c>
    </row>
    <row r="1345" spans="1:17" ht="62.1" customHeight="1">
      <c r="A1345" s="5" t="s">
        <v>2132</v>
      </c>
      <c r="B1345" s="5" t="s">
        <v>1595</v>
      </c>
      <c r="C1345" s="9" t="s">
        <v>2133</v>
      </c>
      <c r="D1345" s="5">
        <v>2</v>
      </c>
      <c r="E1345" s="9" t="s">
        <v>10704</v>
      </c>
      <c r="F1345" s="5">
        <v>1</v>
      </c>
      <c r="G1345" s="9" t="s">
        <v>10171</v>
      </c>
      <c r="H1345" s="9" t="s">
        <v>10171</v>
      </c>
      <c r="I1345" s="5">
        <v>39.96</v>
      </c>
      <c r="J1345" s="5">
        <v>14.12</v>
      </c>
      <c r="K1345" s="5">
        <v>401.7</v>
      </c>
      <c r="L1345" s="5">
        <v>209.52</v>
      </c>
      <c r="M1345" s="9"/>
      <c r="N1345" s="9" t="s">
        <v>10181</v>
      </c>
      <c r="O1345" s="9" t="s">
        <v>10734</v>
      </c>
      <c r="P1345" s="9" t="str">
        <f t="shared" si="76"/>
        <v>PDFを開く</v>
      </c>
      <c r="Q1345" s="9" t="s">
        <v>2137</v>
      </c>
    </row>
    <row r="1346" spans="1:17" ht="62.1" customHeight="1">
      <c r="A1346" s="2" t="s">
        <v>2132</v>
      </c>
      <c r="B1346" s="2" t="s">
        <v>1595</v>
      </c>
      <c r="C1346" s="8" t="s">
        <v>2133</v>
      </c>
      <c r="D1346" s="2">
        <v>3</v>
      </c>
      <c r="E1346" s="8" t="s">
        <v>10156</v>
      </c>
      <c r="F1346" s="2">
        <v>1</v>
      </c>
      <c r="G1346" s="8" t="s">
        <v>9578</v>
      </c>
      <c r="H1346" s="8" t="s">
        <v>9578</v>
      </c>
      <c r="I1346" s="2">
        <v>39.6</v>
      </c>
      <c r="J1346" s="2">
        <v>101.76</v>
      </c>
      <c r="K1346" s="2">
        <v>378.84</v>
      </c>
      <c r="L1346" s="2">
        <v>529.08000000000004</v>
      </c>
      <c r="M1346" s="8"/>
      <c r="N1346" s="8" t="s">
        <v>10159</v>
      </c>
      <c r="O1346" s="8" t="s">
        <v>9169</v>
      </c>
      <c r="P1346" s="8" t="str">
        <f t="shared" si="76"/>
        <v>PDFを開く</v>
      </c>
      <c r="Q1346" s="8" t="s">
        <v>2137</v>
      </c>
    </row>
    <row r="1347" spans="1:17" ht="62.1" customHeight="1">
      <c r="A1347" s="5" t="s">
        <v>2132</v>
      </c>
      <c r="B1347" s="5" t="s">
        <v>1595</v>
      </c>
      <c r="C1347" s="9" t="s">
        <v>2133</v>
      </c>
      <c r="D1347" s="5">
        <v>3</v>
      </c>
      <c r="E1347" s="9" t="s">
        <v>10156</v>
      </c>
      <c r="F1347" s="5">
        <v>2</v>
      </c>
      <c r="G1347" s="9" t="s">
        <v>10162</v>
      </c>
      <c r="H1347" s="9" t="s">
        <v>10162</v>
      </c>
      <c r="I1347" s="5">
        <v>395.64</v>
      </c>
      <c r="J1347" s="5">
        <v>101.76</v>
      </c>
      <c r="K1347" s="5">
        <v>739.08</v>
      </c>
      <c r="L1347" s="5">
        <v>320.76</v>
      </c>
      <c r="M1347" s="9"/>
      <c r="N1347" s="9" t="s">
        <v>10159</v>
      </c>
      <c r="O1347" s="9" t="s">
        <v>9170</v>
      </c>
      <c r="P1347" s="9" t="str">
        <f t="shared" si="76"/>
        <v>PDFを開く</v>
      </c>
      <c r="Q1347" s="9" t="s">
        <v>2137</v>
      </c>
    </row>
    <row r="1348" spans="1:17" ht="62.1" customHeight="1">
      <c r="A1348" s="2" t="s">
        <v>2132</v>
      </c>
      <c r="B1348" s="2" t="s">
        <v>1595</v>
      </c>
      <c r="C1348" s="8" t="s">
        <v>2133</v>
      </c>
      <c r="D1348" s="2">
        <v>3</v>
      </c>
      <c r="E1348" s="8" t="s">
        <v>10156</v>
      </c>
      <c r="F1348" s="2">
        <v>3</v>
      </c>
      <c r="G1348" s="8" t="s">
        <v>10163</v>
      </c>
      <c r="H1348" s="8" t="s">
        <v>10163</v>
      </c>
      <c r="I1348" s="2">
        <v>396.36</v>
      </c>
      <c r="J1348" s="2">
        <v>329.64</v>
      </c>
      <c r="K1348" s="2">
        <v>739.8</v>
      </c>
      <c r="L1348" s="2">
        <v>529.08000000000004</v>
      </c>
      <c r="M1348" s="8"/>
      <c r="N1348" s="8" t="s">
        <v>10159</v>
      </c>
      <c r="O1348" s="8" t="s">
        <v>9171</v>
      </c>
      <c r="P1348" s="8" t="str">
        <f t="shared" si="76"/>
        <v>PDFを開く</v>
      </c>
      <c r="Q1348" s="8" t="s">
        <v>2137</v>
      </c>
    </row>
    <row r="1349" spans="1:17" ht="62.1" customHeight="1">
      <c r="A1349" s="5" t="s">
        <v>2132</v>
      </c>
      <c r="B1349" s="5" t="s">
        <v>1595</v>
      </c>
      <c r="C1349" s="9" t="s">
        <v>2133</v>
      </c>
      <c r="D1349" s="5">
        <v>3</v>
      </c>
      <c r="E1349" s="9" t="s">
        <v>10156</v>
      </c>
      <c r="F1349" s="5">
        <v>4</v>
      </c>
      <c r="G1349" s="9" t="s">
        <v>8581</v>
      </c>
      <c r="H1349" s="9" t="s">
        <v>8581</v>
      </c>
      <c r="I1349" s="5">
        <v>49.44</v>
      </c>
      <c r="J1349" s="5">
        <v>381.24</v>
      </c>
      <c r="K1349" s="5">
        <v>369</v>
      </c>
      <c r="L1349" s="5">
        <v>526.91999999999996</v>
      </c>
      <c r="M1349" s="9"/>
      <c r="N1349" s="9" t="s">
        <v>10159</v>
      </c>
      <c r="O1349" s="9" t="s">
        <v>9173</v>
      </c>
      <c r="P1349" s="9" t="str">
        <f t="shared" si="76"/>
        <v>PDFを開く</v>
      </c>
      <c r="Q1349" s="9" t="s">
        <v>2137</v>
      </c>
    </row>
    <row r="1350" spans="1:17" ht="62.1" customHeight="1">
      <c r="A1350" s="2" t="s">
        <v>2132</v>
      </c>
      <c r="B1350" s="2" t="s">
        <v>1595</v>
      </c>
      <c r="C1350" s="8" t="s">
        <v>2133</v>
      </c>
      <c r="D1350" s="2">
        <v>5</v>
      </c>
      <c r="E1350" s="8" t="s">
        <v>10165</v>
      </c>
      <c r="F1350" s="2">
        <v>1</v>
      </c>
      <c r="G1350" s="8" t="s">
        <v>10167</v>
      </c>
      <c r="H1350" s="8" t="s">
        <v>10735</v>
      </c>
      <c r="I1350" s="2">
        <v>422.78</v>
      </c>
      <c r="J1350" s="2">
        <v>330.14</v>
      </c>
      <c r="K1350" s="2">
        <v>736.9</v>
      </c>
      <c r="L1350" s="2">
        <v>525.13</v>
      </c>
      <c r="M1350" s="8"/>
      <c r="N1350" s="8" t="s">
        <v>10159</v>
      </c>
      <c r="O1350" s="8" t="s">
        <v>10736</v>
      </c>
      <c r="P1350" s="8" t="str">
        <f t="shared" si="76"/>
        <v>PDFを開く</v>
      </c>
      <c r="Q1350" s="8" t="s">
        <v>2137</v>
      </c>
    </row>
    <row r="1351" spans="1:17" ht="62.1" customHeight="1">
      <c r="A1351" s="5" t="s">
        <v>2138</v>
      </c>
      <c r="B1351" s="5" t="s">
        <v>1595</v>
      </c>
      <c r="C1351" s="9" t="s">
        <v>2139</v>
      </c>
      <c r="D1351" s="5">
        <v>1</v>
      </c>
      <c r="E1351" s="9" t="s">
        <v>10156</v>
      </c>
      <c r="F1351" s="5">
        <v>1</v>
      </c>
      <c r="G1351" s="9" t="s">
        <v>8581</v>
      </c>
      <c r="H1351" s="9" t="s">
        <v>8581</v>
      </c>
      <c r="I1351" s="5">
        <v>8.76</v>
      </c>
      <c r="J1351" s="5">
        <v>101.81</v>
      </c>
      <c r="K1351" s="5">
        <v>378.78</v>
      </c>
      <c r="L1351" s="5">
        <v>457.33</v>
      </c>
      <c r="M1351" s="9"/>
      <c r="N1351" s="9" t="s">
        <v>10159</v>
      </c>
      <c r="O1351" s="9" t="s">
        <v>10737</v>
      </c>
      <c r="P1351" s="9" t="str">
        <f>HYPERLINK("https://seichotoushi-hojo.jp/assets/pdf/koufu_3_4ji/outline_61.pdf","PDFを開く")</f>
        <v>PDFを開く</v>
      </c>
      <c r="Q1351" s="9" t="s">
        <v>2144</v>
      </c>
    </row>
    <row r="1352" spans="1:17" ht="62.1" customHeight="1">
      <c r="A1352" s="2" t="s">
        <v>2138</v>
      </c>
      <c r="B1352" s="2" t="s">
        <v>1595</v>
      </c>
      <c r="C1352" s="8" t="s">
        <v>2139</v>
      </c>
      <c r="D1352" s="2">
        <v>1</v>
      </c>
      <c r="E1352" s="8" t="s">
        <v>10156</v>
      </c>
      <c r="F1352" s="2">
        <v>2</v>
      </c>
      <c r="G1352" s="8" t="s">
        <v>10162</v>
      </c>
      <c r="H1352" s="8" t="s">
        <v>10162</v>
      </c>
      <c r="I1352" s="2">
        <v>396.3</v>
      </c>
      <c r="J1352" s="2">
        <v>101.81</v>
      </c>
      <c r="K1352" s="2">
        <v>759.77</v>
      </c>
      <c r="L1352" s="2">
        <v>300.77999999999997</v>
      </c>
      <c r="M1352" s="8"/>
      <c r="N1352" s="8" t="s">
        <v>10159</v>
      </c>
      <c r="O1352" s="8" t="s">
        <v>9178</v>
      </c>
      <c r="P1352" s="8" t="str">
        <f>HYPERLINK("https://seichotoushi-hojo.jp/assets/pdf/koufu_3_4ji/outline_61.pdf","PDFを開く")</f>
        <v>PDFを開く</v>
      </c>
      <c r="Q1352" s="8" t="s">
        <v>2144</v>
      </c>
    </row>
    <row r="1353" spans="1:17" ht="62.1" customHeight="1">
      <c r="A1353" s="5" t="s">
        <v>2138</v>
      </c>
      <c r="B1353" s="5" t="s">
        <v>1595</v>
      </c>
      <c r="C1353" s="9" t="s">
        <v>2139</v>
      </c>
      <c r="D1353" s="5">
        <v>1</v>
      </c>
      <c r="E1353" s="9" t="s">
        <v>10156</v>
      </c>
      <c r="F1353" s="5">
        <v>3</v>
      </c>
      <c r="G1353" s="9" t="s">
        <v>10163</v>
      </c>
      <c r="H1353" s="9" t="s">
        <v>10163</v>
      </c>
      <c r="I1353" s="5">
        <v>396.3</v>
      </c>
      <c r="J1353" s="5">
        <v>301.52</v>
      </c>
      <c r="K1353" s="5">
        <v>759.77</v>
      </c>
      <c r="L1353" s="5">
        <v>526.63</v>
      </c>
      <c r="M1353" s="9"/>
      <c r="N1353" s="9" t="s">
        <v>10159</v>
      </c>
      <c r="O1353" s="9" t="s">
        <v>9179</v>
      </c>
      <c r="P1353" s="9" t="str">
        <f>HYPERLINK("https://seichotoushi-hojo.jp/assets/pdf/koufu_3_4ji/outline_61.pdf","PDFを開く")</f>
        <v>PDFを開く</v>
      </c>
      <c r="Q1353" s="9" t="s">
        <v>2144</v>
      </c>
    </row>
    <row r="1354" spans="1:17" ht="62.1" customHeight="1">
      <c r="A1354" s="2" t="s">
        <v>2138</v>
      </c>
      <c r="B1354" s="2" t="s">
        <v>1595</v>
      </c>
      <c r="C1354" s="8" t="s">
        <v>2139</v>
      </c>
      <c r="D1354" s="2">
        <v>1</v>
      </c>
      <c r="E1354" s="8" t="s">
        <v>10156</v>
      </c>
      <c r="F1354" s="2">
        <v>4</v>
      </c>
      <c r="G1354" s="8" t="s">
        <v>8581</v>
      </c>
      <c r="H1354" s="8" t="s">
        <v>8581</v>
      </c>
      <c r="I1354" s="2">
        <v>120.76</v>
      </c>
      <c r="J1354" s="2">
        <v>447.13</v>
      </c>
      <c r="K1354" s="2">
        <v>370.02</v>
      </c>
      <c r="L1354" s="2">
        <v>533.21</v>
      </c>
      <c r="M1354" s="8"/>
      <c r="N1354" s="8" t="s">
        <v>10159</v>
      </c>
      <c r="O1354" s="8" t="s">
        <v>10738</v>
      </c>
      <c r="P1354" s="8" t="str">
        <f>HYPERLINK("https://seichotoushi-hojo.jp/assets/pdf/koufu_3_4ji/outline_61.pdf","PDFを開く")</f>
        <v>PDFを開く</v>
      </c>
      <c r="Q1354" s="8" t="s">
        <v>2144</v>
      </c>
    </row>
    <row r="1355" spans="1:17" ht="62.1" customHeight="1">
      <c r="A1355" s="5" t="s">
        <v>2145</v>
      </c>
      <c r="B1355" s="5" t="s">
        <v>1595</v>
      </c>
      <c r="C1355" s="9" t="s">
        <v>2146</v>
      </c>
      <c r="D1355" s="5">
        <v>1</v>
      </c>
      <c r="E1355" s="9" t="s">
        <v>10156</v>
      </c>
      <c r="F1355" s="5">
        <v>1</v>
      </c>
      <c r="G1355" s="9" t="s">
        <v>9578</v>
      </c>
      <c r="H1355" s="9" t="s">
        <v>9578</v>
      </c>
      <c r="I1355" s="5">
        <v>39.659999999999997</v>
      </c>
      <c r="J1355" s="5">
        <v>101.81</v>
      </c>
      <c r="K1355" s="5">
        <v>378.79</v>
      </c>
      <c r="L1355" s="5">
        <v>499.73</v>
      </c>
      <c r="M1355" s="9"/>
      <c r="N1355" s="9" t="s">
        <v>10159</v>
      </c>
      <c r="O1355" s="9" t="s">
        <v>9185</v>
      </c>
      <c r="P1355" s="9" t="str">
        <f>HYPERLINK("https://seichotoushi-hojo.jp/assets/pdf/koufu_3_4ji/outline_62.pdf","PDFを開く")</f>
        <v>PDFを開く</v>
      </c>
      <c r="Q1355" s="9" t="s">
        <v>2151</v>
      </c>
    </row>
    <row r="1356" spans="1:17" ht="62.1" customHeight="1">
      <c r="A1356" s="2" t="s">
        <v>2145</v>
      </c>
      <c r="B1356" s="2" t="s">
        <v>1595</v>
      </c>
      <c r="C1356" s="8" t="s">
        <v>2146</v>
      </c>
      <c r="D1356" s="2">
        <v>1</v>
      </c>
      <c r="E1356" s="8" t="s">
        <v>10156</v>
      </c>
      <c r="F1356" s="2">
        <v>2</v>
      </c>
      <c r="G1356" s="8" t="s">
        <v>10162</v>
      </c>
      <c r="H1356" s="8" t="s">
        <v>10162</v>
      </c>
      <c r="I1356" s="2">
        <v>396.3</v>
      </c>
      <c r="J1356" s="2">
        <v>104.55</v>
      </c>
      <c r="K1356" s="2">
        <v>739.78</v>
      </c>
      <c r="L1356" s="2">
        <v>294.36</v>
      </c>
      <c r="M1356" s="8"/>
      <c r="N1356" s="8" t="s">
        <v>10159</v>
      </c>
      <c r="O1356" s="8" t="s">
        <v>9186</v>
      </c>
      <c r="P1356" s="8" t="str">
        <f>HYPERLINK("https://seichotoushi-hojo.jp/assets/pdf/koufu_3_4ji/outline_62.pdf","PDFを開く")</f>
        <v>PDFを開く</v>
      </c>
      <c r="Q1356" s="8" t="s">
        <v>2151</v>
      </c>
    </row>
    <row r="1357" spans="1:17" ht="62.1" customHeight="1">
      <c r="A1357" s="5" t="s">
        <v>2145</v>
      </c>
      <c r="B1357" s="5" t="s">
        <v>1595</v>
      </c>
      <c r="C1357" s="9" t="s">
        <v>2146</v>
      </c>
      <c r="D1357" s="5">
        <v>1</v>
      </c>
      <c r="E1357" s="9" t="s">
        <v>10156</v>
      </c>
      <c r="F1357" s="5">
        <v>3</v>
      </c>
      <c r="G1357" s="9" t="s">
        <v>10163</v>
      </c>
      <c r="H1357" s="9" t="s">
        <v>10163</v>
      </c>
      <c r="I1357" s="5">
        <v>396.3</v>
      </c>
      <c r="J1357" s="5">
        <v>309.92</v>
      </c>
      <c r="K1357" s="5">
        <v>739.78</v>
      </c>
      <c r="L1357" s="5">
        <v>499.73</v>
      </c>
      <c r="M1357" s="9"/>
      <c r="N1357" s="9" t="s">
        <v>10159</v>
      </c>
      <c r="O1357" s="9" t="s">
        <v>9187</v>
      </c>
      <c r="P1357" s="9" t="str">
        <f>HYPERLINK("https://seichotoushi-hojo.jp/assets/pdf/koufu_3_4ji/outline_62.pdf","PDFを開く")</f>
        <v>PDFを開く</v>
      </c>
      <c r="Q1357" s="9" t="s">
        <v>2151</v>
      </c>
    </row>
    <row r="1358" spans="1:17" ht="62.1" customHeight="1">
      <c r="A1358" s="2" t="s">
        <v>2145</v>
      </c>
      <c r="B1358" s="2" t="s">
        <v>1595</v>
      </c>
      <c r="C1358" s="8" t="s">
        <v>2146</v>
      </c>
      <c r="D1358" s="2">
        <v>1</v>
      </c>
      <c r="E1358" s="8" t="s">
        <v>10156</v>
      </c>
      <c r="F1358" s="2">
        <v>4</v>
      </c>
      <c r="G1358" s="8" t="s">
        <v>8581</v>
      </c>
      <c r="H1358" s="8" t="s">
        <v>8581</v>
      </c>
      <c r="I1358" s="2">
        <v>48</v>
      </c>
      <c r="J1358" s="2">
        <v>383.29</v>
      </c>
      <c r="K1358" s="2">
        <v>367.5</v>
      </c>
      <c r="L1358" s="2">
        <v>485.34</v>
      </c>
      <c r="M1358" s="8"/>
      <c r="N1358" s="8" t="s">
        <v>10159</v>
      </c>
      <c r="O1358" s="8" t="s">
        <v>9188</v>
      </c>
      <c r="P1358" s="8" t="str">
        <f>HYPERLINK("https://seichotoushi-hojo.jp/assets/pdf/koufu_3_4ji/outline_62.pdf","PDFを開く")</f>
        <v>PDFを開く</v>
      </c>
      <c r="Q1358" s="8" t="s">
        <v>2151</v>
      </c>
    </row>
    <row r="1359" spans="1:17" ht="62.1" customHeight="1">
      <c r="A1359" s="5" t="s">
        <v>2152</v>
      </c>
      <c r="B1359" s="5" t="s">
        <v>1595</v>
      </c>
      <c r="C1359" s="9" t="s">
        <v>2153</v>
      </c>
      <c r="D1359" s="5">
        <v>1</v>
      </c>
      <c r="E1359" s="9" t="s">
        <v>10156</v>
      </c>
      <c r="F1359" s="5">
        <v>1</v>
      </c>
      <c r="G1359" s="9" t="s">
        <v>9578</v>
      </c>
      <c r="H1359" s="9" t="s">
        <v>9578</v>
      </c>
      <c r="I1359" s="5">
        <v>30.12</v>
      </c>
      <c r="J1359" s="5">
        <v>127.87</v>
      </c>
      <c r="K1359" s="5">
        <v>349.94</v>
      </c>
      <c r="L1359" s="5">
        <v>499.73</v>
      </c>
      <c r="M1359" s="9"/>
      <c r="N1359" s="9" t="s">
        <v>10159</v>
      </c>
      <c r="O1359" s="9" t="s">
        <v>9193</v>
      </c>
      <c r="P1359" s="9" t="str">
        <f t="shared" ref="P1359:P1364" si="77">HYPERLINK("https://seichotoushi-hojo.jp/assets/pdf/koufu_3_4ji/outline_63.pdf","PDFを開く")</f>
        <v>PDFを開く</v>
      </c>
      <c r="Q1359" s="9" t="s">
        <v>2161</v>
      </c>
    </row>
    <row r="1360" spans="1:17" ht="62.1" customHeight="1">
      <c r="A1360" s="2" t="s">
        <v>2152</v>
      </c>
      <c r="B1360" s="2" t="s">
        <v>1595</v>
      </c>
      <c r="C1360" s="8" t="s">
        <v>2153</v>
      </c>
      <c r="D1360" s="2">
        <v>1</v>
      </c>
      <c r="E1360" s="8" t="s">
        <v>10156</v>
      </c>
      <c r="F1360" s="2">
        <v>2</v>
      </c>
      <c r="G1360" s="8" t="s">
        <v>10162</v>
      </c>
      <c r="H1360" s="8" t="s">
        <v>10162</v>
      </c>
      <c r="I1360" s="2">
        <v>378.16</v>
      </c>
      <c r="J1360" s="2">
        <v>127.87</v>
      </c>
      <c r="K1360" s="2">
        <v>758.51</v>
      </c>
      <c r="L1360" s="2">
        <v>319.26</v>
      </c>
      <c r="M1360" s="8"/>
      <c r="N1360" s="8" t="s">
        <v>10159</v>
      </c>
      <c r="O1360" s="8" t="s">
        <v>9194</v>
      </c>
      <c r="P1360" s="8" t="str">
        <f t="shared" si="77"/>
        <v>PDFを開く</v>
      </c>
      <c r="Q1360" s="8" t="s">
        <v>2161</v>
      </c>
    </row>
    <row r="1361" spans="1:17" ht="62.1" customHeight="1">
      <c r="A1361" s="5" t="s">
        <v>2152</v>
      </c>
      <c r="B1361" s="5" t="s">
        <v>1595</v>
      </c>
      <c r="C1361" s="9" t="s">
        <v>2153</v>
      </c>
      <c r="D1361" s="5">
        <v>1</v>
      </c>
      <c r="E1361" s="9" t="s">
        <v>10156</v>
      </c>
      <c r="F1361" s="5">
        <v>3</v>
      </c>
      <c r="G1361" s="9" t="s">
        <v>8581</v>
      </c>
      <c r="H1361" s="9" t="s">
        <v>8581</v>
      </c>
      <c r="I1361" s="5">
        <v>39.06</v>
      </c>
      <c r="J1361" s="5">
        <v>334.33</v>
      </c>
      <c r="K1361" s="5">
        <v>341.01</v>
      </c>
      <c r="L1361" s="5">
        <v>489.94</v>
      </c>
      <c r="M1361" s="9"/>
      <c r="N1361" s="9" t="s">
        <v>10159</v>
      </c>
      <c r="O1361" s="9" t="s">
        <v>9196</v>
      </c>
      <c r="P1361" s="9" t="str">
        <f t="shared" si="77"/>
        <v>PDFを開く</v>
      </c>
      <c r="Q1361" s="9" t="s">
        <v>2161</v>
      </c>
    </row>
    <row r="1362" spans="1:17" ht="62.1" customHeight="1">
      <c r="A1362" s="2" t="s">
        <v>2152</v>
      </c>
      <c r="B1362" s="2" t="s">
        <v>1595</v>
      </c>
      <c r="C1362" s="8" t="s">
        <v>2153</v>
      </c>
      <c r="D1362" s="2">
        <v>1</v>
      </c>
      <c r="E1362" s="8" t="s">
        <v>10156</v>
      </c>
      <c r="F1362" s="2">
        <v>4</v>
      </c>
      <c r="G1362" s="8" t="s">
        <v>10163</v>
      </c>
      <c r="H1362" s="8" t="s">
        <v>10163</v>
      </c>
      <c r="I1362" s="2">
        <v>378.16</v>
      </c>
      <c r="J1362" s="2">
        <v>334.33</v>
      </c>
      <c r="K1362" s="2">
        <v>758.51</v>
      </c>
      <c r="L1362" s="2">
        <v>512.5</v>
      </c>
      <c r="M1362" s="8"/>
      <c r="N1362" s="8" t="s">
        <v>10159</v>
      </c>
      <c r="O1362" s="8" t="s">
        <v>9195</v>
      </c>
      <c r="P1362" s="8" t="str">
        <f t="shared" si="77"/>
        <v>PDFを開く</v>
      </c>
      <c r="Q1362" s="8" t="s">
        <v>2161</v>
      </c>
    </row>
    <row r="1363" spans="1:17" ht="62.1" customHeight="1">
      <c r="A1363" s="5" t="s">
        <v>2152</v>
      </c>
      <c r="B1363" s="5" t="s">
        <v>1595</v>
      </c>
      <c r="C1363" s="9" t="s">
        <v>2153</v>
      </c>
      <c r="D1363" s="5">
        <v>2</v>
      </c>
      <c r="E1363" s="9" t="s">
        <v>10156</v>
      </c>
      <c r="F1363" s="5">
        <v>1</v>
      </c>
      <c r="G1363" s="9" t="s">
        <v>10167</v>
      </c>
      <c r="H1363" s="9" t="s">
        <v>10739</v>
      </c>
      <c r="I1363" s="5">
        <v>38.92</v>
      </c>
      <c r="J1363" s="5">
        <v>103.93</v>
      </c>
      <c r="K1363" s="5">
        <v>756.38</v>
      </c>
      <c r="L1363" s="5">
        <v>417.96</v>
      </c>
      <c r="M1363" s="9"/>
      <c r="N1363" s="9" t="s">
        <v>10159</v>
      </c>
      <c r="O1363" s="9" t="s">
        <v>10740</v>
      </c>
      <c r="P1363" s="9" t="str">
        <f t="shared" si="77"/>
        <v>PDFを開く</v>
      </c>
      <c r="Q1363" s="9" t="s">
        <v>2161</v>
      </c>
    </row>
    <row r="1364" spans="1:17" ht="62.1" customHeight="1">
      <c r="A1364" s="2" t="s">
        <v>2152</v>
      </c>
      <c r="B1364" s="2" t="s">
        <v>1595</v>
      </c>
      <c r="C1364" s="8" t="s">
        <v>2153</v>
      </c>
      <c r="D1364" s="2">
        <v>2</v>
      </c>
      <c r="E1364" s="8" t="s">
        <v>10156</v>
      </c>
      <c r="F1364" s="2">
        <v>2</v>
      </c>
      <c r="G1364" s="8" t="s">
        <v>10167</v>
      </c>
      <c r="H1364" s="8" t="s">
        <v>10741</v>
      </c>
      <c r="I1364" s="2">
        <v>40.17</v>
      </c>
      <c r="J1364" s="2">
        <v>418.89</v>
      </c>
      <c r="K1364" s="2">
        <v>740.61</v>
      </c>
      <c r="L1364" s="2">
        <v>516.36</v>
      </c>
      <c r="M1364" s="8"/>
      <c r="N1364" s="8" t="s">
        <v>10159</v>
      </c>
      <c r="O1364" s="8" t="s">
        <v>10742</v>
      </c>
      <c r="P1364" s="8" t="str">
        <f t="shared" si="77"/>
        <v>PDFを開く</v>
      </c>
      <c r="Q1364" s="8" t="s">
        <v>2161</v>
      </c>
    </row>
    <row r="1365" spans="1:17" ht="62.1" customHeight="1">
      <c r="A1365" s="5" t="s">
        <v>2162</v>
      </c>
      <c r="B1365" s="5" t="s">
        <v>1595</v>
      </c>
      <c r="C1365" s="9" t="s">
        <v>2163</v>
      </c>
      <c r="D1365" s="5">
        <v>1</v>
      </c>
      <c r="E1365" s="9" t="s">
        <v>10156</v>
      </c>
      <c r="F1365" s="5">
        <v>1</v>
      </c>
      <c r="G1365" s="9" t="s">
        <v>9578</v>
      </c>
      <c r="H1365" s="9" t="s">
        <v>9578</v>
      </c>
      <c r="I1365" s="5">
        <v>42.84</v>
      </c>
      <c r="J1365" s="5">
        <v>116.16</v>
      </c>
      <c r="K1365" s="5">
        <v>408.84</v>
      </c>
      <c r="L1365" s="5">
        <v>545.64</v>
      </c>
      <c r="M1365" s="9"/>
      <c r="N1365" s="9" t="s">
        <v>10159</v>
      </c>
      <c r="O1365" s="9" t="s">
        <v>9201</v>
      </c>
      <c r="P1365" s="9" t="str">
        <f>HYPERLINK("https://seichotoushi-hojo.jp/assets/pdf/koufu_3_4ji/outline_65.pdf","PDFを開く")</f>
        <v>PDFを開く</v>
      </c>
      <c r="Q1365" s="9" t="s">
        <v>2167</v>
      </c>
    </row>
    <row r="1366" spans="1:17" ht="62.1" customHeight="1">
      <c r="A1366" s="2" t="s">
        <v>2162</v>
      </c>
      <c r="B1366" s="2" t="s">
        <v>1595</v>
      </c>
      <c r="C1366" s="8" t="s">
        <v>2163</v>
      </c>
      <c r="D1366" s="2">
        <v>1</v>
      </c>
      <c r="E1366" s="8" t="s">
        <v>10156</v>
      </c>
      <c r="F1366" s="2">
        <v>2</v>
      </c>
      <c r="G1366" s="8" t="s">
        <v>10162</v>
      </c>
      <c r="H1366" s="8" t="s">
        <v>10162</v>
      </c>
      <c r="I1366" s="2">
        <v>427.8</v>
      </c>
      <c r="J1366" s="2">
        <v>116.16</v>
      </c>
      <c r="K1366" s="2">
        <v>798.48</v>
      </c>
      <c r="L1366" s="2">
        <v>281.16000000000003</v>
      </c>
      <c r="M1366" s="8"/>
      <c r="N1366" s="8" t="s">
        <v>10159</v>
      </c>
      <c r="O1366" s="8" t="s">
        <v>9202</v>
      </c>
      <c r="P1366" s="8" t="str">
        <f>HYPERLINK("https://seichotoushi-hojo.jp/assets/pdf/koufu_3_4ji/outline_65.pdf","PDFを開く")</f>
        <v>PDFを開く</v>
      </c>
      <c r="Q1366" s="8" t="s">
        <v>2167</v>
      </c>
    </row>
    <row r="1367" spans="1:17" ht="62.1" customHeight="1">
      <c r="A1367" s="5" t="s">
        <v>2162</v>
      </c>
      <c r="B1367" s="5" t="s">
        <v>1595</v>
      </c>
      <c r="C1367" s="9" t="s">
        <v>2163</v>
      </c>
      <c r="D1367" s="5">
        <v>1</v>
      </c>
      <c r="E1367" s="9" t="s">
        <v>10156</v>
      </c>
      <c r="F1367" s="5">
        <v>3</v>
      </c>
      <c r="G1367" s="9" t="s">
        <v>10163</v>
      </c>
      <c r="H1367" s="9" t="s">
        <v>10163</v>
      </c>
      <c r="I1367" s="5">
        <v>428.4</v>
      </c>
      <c r="J1367" s="5">
        <v>287.64</v>
      </c>
      <c r="K1367" s="5">
        <v>799.08</v>
      </c>
      <c r="L1367" s="5">
        <v>471.84</v>
      </c>
      <c r="M1367" s="9"/>
      <c r="N1367" s="9" t="s">
        <v>10159</v>
      </c>
      <c r="O1367" s="9" t="s">
        <v>9203</v>
      </c>
      <c r="P1367" s="9" t="str">
        <f>HYPERLINK("https://seichotoushi-hojo.jp/assets/pdf/koufu_3_4ji/outline_65.pdf","PDFを開く")</f>
        <v>PDFを開く</v>
      </c>
      <c r="Q1367" s="9" t="s">
        <v>2167</v>
      </c>
    </row>
    <row r="1368" spans="1:17" ht="62.1" customHeight="1">
      <c r="A1368" s="2" t="s">
        <v>2162</v>
      </c>
      <c r="B1368" s="2" t="s">
        <v>1595</v>
      </c>
      <c r="C1368" s="8" t="s">
        <v>2163</v>
      </c>
      <c r="D1368" s="2">
        <v>1</v>
      </c>
      <c r="E1368" s="8" t="s">
        <v>10156</v>
      </c>
      <c r="F1368" s="2">
        <v>4</v>
      </c>
      <c r="G1368" s="8" t="s">
        <v>8581</v>
      </c>
      <c r="H1368" s="8" t="s">
        <v>8581</v>
      </c>
      <c r="I1368" s="2">
        <v>428.4</v>
      </c>
      <c r="J1368" s="2">
        <v>479.16</v>
      </c>
      <c r="K1368" s="2">
        <v>799.08</v>
      </c>
      <c r="L1368" s="2">
        <v>545.64</v>
      </c>
      <c r="M1368" s="8"/>
      <c r="N1368" s="8" t="s">
        <v>10159</v>
      </c>
      <c r="O1368" s="8" t="s">
        <v>2165</v>
      </c>
      <c r="P1368" s="8" t="str">
        <f>HYPERLINK("https://seichotoushi-hojo.jp/assets/pdf/koufu_3_4ji/outline_65.pdf","PDFを開く")</f>
        <v>PDFを開く</v>
      </c>
      <c r="Q1368" s="8" t="s">
        <v>2167</v>
      </c>
    </row>
    <row r="1369" spans="1:17" ht="62.1" customHeight="1">
      <c r="A1369" s="5" t="s">
        <v>2162</v>
      </c>
      <c r="B1369" s="5" t="s">
        <v>1595</v>
      </c>
      <c r="C1369" s="9" t="s">
        <v>2163</v>
      </c>
      <c r="D1369" s="5">
        <v>2</v>
      </c>
      <c r="E1369" s="9" t="s">
        <v>10165</v>
      </c>
      <c r="F1369" s="5">
        <v>1</v>
      </c>
      <c r="G1369" s="9" t="s">
        <v>10167</v>
      </c>
      <c r="H1369" s="9" t="s">
        <v>5265</v>
      </c>
      <c r="I1369" s="5">
        <v>136.91999999999999</v>
      </c>
      <c r="J1369" s="5">
        <v>441.12</v>
      </c>
      <c r="K1369" s="5">
        <v>566.76</v>
      </c>
      <c r="L1369" s="5">
        <v>471.6</v>
      </c>
      <c r="M1369" s="9"/>
      <c r="N1369" s="9" t="s">
        <v>10159</v>
      </c>
      <c r="O1369" s="9" t="s">
        <v>10187</v>
      </c>
      <c r="P1369" s="9" t="str">
        <f>HYPERLINK("https://seichotoushi-hojo.jp/assets/pdf/koufu_3_4ji/outline_65.pdf","PDFを開く")</f>
        <v>PDFを開く</v>
      </c>
      <c r="Q1369" s="9" t="s">
        <v>2167</v>
      </c>
    </row>
    <row r="1370" spans="1:17" ht="62.1" customHeight="1">
      <c r="A1370" s="2" t="s">
        <v>2168</v>
      </c>
      <c r="B1370" s="2" t="s">
        <v>1595</v>
      </c>
      <c r="C1370" s="8" t="s">
        <v>2169</v>
      </c>
      <c r="D1370" s="2">
        <v>1</v>
      </c>
      <c r="E1370" s="8" t="s">
        <v>10156</v>
      </c>
      <c r="F1370" s="2">
        <v>1</v>
      </c>
      <c r="G1370" s="8" t="s">
        <v>10162</v>
      </c>
      <c r="H1370" s="8" t="s">
        <v>10162</v>
      </c>
      <c r="I1370" s="2">
        <v>399.24</v>
      </c>
      <c r="J1370" s="2">
        <v>96.66</v>
      </c>
      <c r="K1370" s="2">
        <v>776.1</v>
      </c>
      <c r="L1370" s="2">
        <v>277.41000000000003</v>
      </c>
      <c r="M1370" s="8"/>
      <c r="N1370" s="8" t="s">
        <v>10159</v>
      </c>
      <c r="O1370" s="8" t="s">
        <v>9209</v>
      </c>
      <c r="P1370" s="8" t="str">
        <f>HYPERLINK("https://seichotoushi-hojo.jp/assets/pdf/koufu_3_4ji/outline_66.pdf","PDFを開く")</f>
        <v>PDFを開く</v>
      </c>
      <c r="Q1370" s="8" t="s">
        <v>2176</v>
      </c>
    </row>
    <row r="1371" spans="1:17" ht="62.1" customHeight="1">
      <c r="A1371" s="5" t="s">
        <v>2168</v>
      </c>
      <c r="B1371" s="5" t="s">
        <v>1595</v>
      </c>
      <c r="C1371" s="9" t="s">
        <v>2169</v>
      </c>
      <c r="D1371" s="5">
        <v>1</v>
      </c>
      <c r="E1371" s="9" t="s">
        <v>10156</v>
      </c>
      <c r="F1371" s="5">
        <v>2</v>
      </c>
      <c r="G1371" s="9" t="s">
        <v>9578</v>
      </c>
      <c r="H1371" s="9" t="s">
        <v>9578</v>
      </c>
      <c r="I1371" s="5">
        <v>5.99</v>
      </c>
      <c r="J1371" s="5">
        <v>96.67</v>
      </c>
      <c r="K1371" s="5">
        <v>379.12</v>
      </c>
      <c r="L1371" s="5">
        <v>534.86</v>
      </c>
      <c r="M1371" s="9"/>
      <c r="N1371" s="9" t="s">
        <v>10159</v>
      </c>
      <c r="O1371" s="9" t="s">
        <v>9208</v>
      </c>
      <c r="P1371" s="9" t="str">
        <f>HYPERLINK("https://seichotoushi-hojo.jp/assets/pdf/koufu_3_4ji/outline_66.pdf","PDFを開く")</f>
        <v>PDFを開く</v>
      </c>
      <c r="Q1371" s="9" t="s">
        <v>2176</v>
      </c>
    </row>
    <row r="1372" spans="1:17" ht="62.1" customHeight="1">
      <c r="A1372" s="2" t="s">
        <v>2168</v>
      </c>
      <c r="B1372" s="2" t="s">
        <v>1595</v>
      </c>
      <c r="C1372" s="8" t="s">
        <v>2169</v>
      </c>
      <c r="D1372" s="2">
        <v>1</v>
      </c>
      <c r="E1372" s="8" t="s">
        <v>10156</v>
      </c>
      <c r="F1372" s="2">
        <v>3</v>
      </c>
      <c r="G1372" s="8" t="s">
        <v>10163</v>
      </c>
      <c r="H1372" s="8" t="s">
        <v>10163</v>
      </c>
      <c r="I1372" s="2">
        <v>398.93</v>
      </c>
      <c r="J1372" s="2">
        <v>280.56</v>
      </c>
      <c r="K1372" s="2">
        <v>776.93</v>
      </c>
      <c r="L1372" s="2">
        <v>534.86</v>
      </c>
      <c r="M1372" s="8"/>
      <c r="N1372" s="8" t="s">
        <v>10159</v>
      </c>
      <c r="O1372" s="8" t="s">
        <v>9210</v>
      </c>
      <c r="P1372" s="8" t="str">
        <f>HYPERLINK("https://seichotoushi-hojo.jp/assets/pdf/koufu_3_4ji/outline_66.pdf","PDFを開く")</f>
        <v>PDFを開く</v>
      </c>
      <c r="Q1372" s="8" t="s">
        <v>2176</v>
      </c>
    </row>
    <row r="1373" spans="1:17" ht="62.1" customHeight="1">
      <c r="A1373" s="5" t="s">
        <v>2168</v>
      </c>
      <c r="B1373" s="5" t="s">
        <v>1595</v>
      </c>
      <c r="C1373" s="9" t="s">
        <v>2169</v>
      </c>
      <c r="D1373" s="5">
        <v>1</v>
      </c>
      <c r="E1373" s="9" t="s">
        <v>10156</v>
      </c>
      <c r="F1373" s="5">
        <v>4</v>
      </c>
      <c r="G1373" s="9" t="s">
        <v>8581</v>
      </c>
      <c r="H1373" s="9" t="s">
        <v>8581</v>
      </c>
      <c r="I1373" s="5">
        <v>9.2899999999999991</v>
      </c>
      <c r="J1373" s="5">
        <v>422.87</v>
      </c>
      <c r="K1373" s="5">
        <v>372.31</v>
      </c>
      <c r="L1373" s="5">
        <v>538.02</v>
      </c>
      <c r="M1373" s="9"/>
      <c r="N1373" s="9" t="s">
        <v>10159</v>
      </c>
      <c r="O1373" s="9" t="s">
        <v>9211</v>
      </c>
      <c r="P1373" s="9" t="str">
        <f>HYPERLINK("https://seichotoushi-hojo.jp/assets/pdf/koufu_3_4ji/outline_66.pdf","PDFを開く")</f>
        <v>PDFを開く</v>
      </c>
      <c r="Q1373" s="9" t="s">
        <v>2176</v>
      </c>
    </row>
    <row r="1374" spans="1:17" ht="62.1" customHeight="1">
      <c r="A1374" s="2" t="s">
        <v>2177</v>
      </c>
      <c r="B1374" s="2" t="s">
        <v>1595</v>
      </c>
      <c r="C1374" s="8" t="s">
        <v>2178</v>
      </c>
      <c r="D1374" s="2">
        <v>1</v>
      </c>
      <c r="E1374" s="8" t="s">
        <v>10156</v>
      </c>
      <c r="F1374" s="2">
        <v>1</v>
      </c>
      <c r="G1374" s="8" t="s">
        <v>9578</v>
      </c>
      <c r="H1374" s="8" t="s">
        <v>9578</v>
      </c>
      <c r="I1374" s="2">
        <v>39.6</v>
      </c>
      <c r="J1374" s="2">
        <v>101.76</v>
      </c>
      <c r="K1374" s="2">
        <v>378.84</v>
      </c>
      <c r="L1374" s="2">
        <v>532.08000000000004</v>
      </c>
      <c r="M1374" s="8"/>
      <c r="N1374" s="8" t="s">
        <v>10159</v>
      </c>
      <c r="O1374" s="8" t="s">
        <v>9216</v>
      </c>
      <c r="P1374" s="8" t="str">
        <f t="shared" ref="P1374:P1380" si="78">HYPERLINK("https://seichotoushi-hojo.jp/assets/pdf/koufu_3_4ji/outline_67.pdf","PDFを開く")</f>
        <v>PDFを開く</v>
      </c>
      <c r="Q1374" s="8" t="s">
        <v>2184</v>
      </c>
    </row>
    <row r="1375" spans="1:17" ht="62.1" customHeight="1">
      <c r="A1375" s="5" t="s">
        <v>2177</v>
      </c>
      <c r="B1375" s="5" t="s">
        <v>1595</v>
      </c>
      <c r="C1375" s="9" t="s">
        <v>2178</v>
      </c>
      <c r="D1375" s="5">
        <v>1</v>
      </c>
      <c r="E1375" s="9" t="s">
        <v>10156</v>
      </c>
      <c r="F1375" s="5">
        <v>2</v>
      </c>
      <c r="G1375" s="9" t="s">
        <v>10162</v>
      </c>
      <c r="H1375" s="9" t="s">
        <v>10162</v>
      </c>
      <c r="I1375" s="5">
        <v>396.36</v>
      </c>
      <c r="J1375" s="5">
        <v>104.76</v>
      </c>
      <c r="K1375" s="5">
        <v>739.8</v>
      </c>
      <c r="L1375" s="5">
        <v>303.24</v>
      </c>
      <c r="M1375" s="9"/>
      <c r="N1375" s="9" t="s">
        <v>10159</v>
      </c>
      <c r="O1375" s="9" t="s">
        <v>9217</v>
      </c>
      <c r="P1375" s="9" t="str">
        <f t="shared" si="78"/>
        <v>PDFを開く</v>
      </c>
      <c r="Q1375" s="9" t="s">
        <v>2184</v>
      </c>
    </row>
    <row r="1376" spans="1:17" ht="62.1" customHeight="1">
      <c r="A1376" s="2" t="s">
        <v>2177</v>
      </c>
      <c r="B1376" s="2" t="s">
        <v>1595</v>
      </c>
      <c r="C1376" s="8" t="s">
        <v>2178</v>
      </c>
      <c r="D1376" s="2">
        <v>1</v>
      </c>
      <c r="E1376" s="8" t="s">
        <v>10156</v>
      </c>
      <c r="F1376" s="2">
        <v>3</v>
      </c>
      <c r="G1376" s="8" t="s">
        <v>10163</v>
      </c>
      <c r="H1376" s="8" t="s">
        <v>10163</v>
      </c>
      <c r="I1376" s="2">
        <v>396.36</v>
      </c>
      <c r="J1376" s="2">
        <v>321.48</v>
      </c>
      <c r="K1376" s="2">
        <v>739.8</v>
      </c>
      <c r="L1376" s="2">
        <v>519.84</v>
      </c>
      <c r="M1376" s="8"/>
      <c r="N1376" s="8" t="s">
        <v>10159</v>
      </c>
      <c r="O1376" s="8" t="s">
        <v>9218</v>
      </c>
      <c r="P1376" s="8" t="str">
        <f t="shared" si="78"/>
        <v>PDFを開く</v>
      </c>
      <c r="Q1376" s="8" t="s">
        <v>2184</v>
      </c>
    </row>
    <row r="1377" spans="1:17" ht="62.1" customHeight="1">
      <c r="A1377" s="5" t="s">
        <v>2177</v>
      </c>
      <c r="B1377" s="5" t="s">
        <v>1595</v>
      </c>
      <c r="C1377" s="9" t="s">
        <v>2178</v>
      </c>
      <c r="D1377" s="5">
        <v>1</v>
      </c>
      <c r="E1377" s="9" t="s">
        <v>10156</v>
      </c>
      <c r="F1377" s="5">
        <v>4</v>
      </c>
      <c r="G1377" s="9" t="s">
        <v>8581</v>
      </c>
      <c r="H1377" s="9" t="s">
        <v>8581</v>
      </c>
      <c r="I1377" s="5">
        <v>50.52</v>
      </c>
      <c r="J1377" s="5">
        <v>450.48</v>
      </c>
      <c r="K1377" s="5">
        <v>370.08</v>
      </c>
      <c r="L1377" s="5">
        <v>527.04</v>
      </c>
      <c r="M1377" s="9"/>
      <c r="N1377" s="9" t="s">
        <v>10159</v>
      </c>
      <c r="O1377" s="9" t="s">
        <v>9219</v>
      </c>
      <c r="P1377" s="9" t="str">
        <f t="shared" si="78"/>
        <v>PDFを開く</v>
      </c>
      <c r="Q1377" s="9" t="s">
        <v>2184</v>
      </c>
    </row>
    <row r="1378" spans="1:17" ht="62.1" customHeight="1">
      <c r="A1378" s="2" t="s">
        <v>2177</v>
      </c>
      <c r="B1378" s="2" t="s">
        <v>1595</v>
      </c>
      <c r="C1378" s="8" t="s">
        <v>2178</v>
      </c>
      <c r="D1378" s="2">
        <v>2</v>
      </c>
      <c r="E1378" s="8" t="s">
        <v>10156</v>
      </c>
      <c r="F1378" s="2">
        <v>1</v>
      </c>
      <c r="G1378" s="8" t="s">
        <v>10167</v>
      </c>
      <c r="H1378" s="8" t="s">
        <v>10743</v>
      </c>
      <c r="I1378" s="2">
        <v>39.6</v>
      </c>
      <c r="J1378" s="2">
        <v>108.6</v>
      </c>
      <c r="K1378" s="2">
        <v>378.84</v>
      </c>
      <c r="L1378" s="2">
        <v>508.2</v>
      </c>
      <c r="M1378" s="8"/>
      <c r="N1378" s="8" t="s">
        <v>10159</v>
      </c>
      <c r="O1378" s="8" t="s">
        <v>10744</v>
      </c>
      <c r="P1378" s="8" t="str">
        <f t="shared" si="78"/>
        <v>PDFを開く</v>
      </c>
      <c r="Q1378" s="8" t="s">
        <v>2184</v>
      </c>
    </row>
    <row r="1379" spans="1:17" ht="62.1" customHeight="1">
      <c r="A1379" s="5" t="s">
        <v>2177</v>
      </c>
      <c r="B1379" s="5" t="s">
        <v>1595</v>
      </c>
      <c r="C1379" s="9" t="s">
        <v>2178</v>
      </c>
      <c r="D1379" s="5">
        <v>2</v>
      </c>
      <c r="E1379" s="9" t="s">
        <v>10156</v>
      </c>
      <c r="F1379" s="5">
        <v>2</v>
      </c>
      <c r="G1379" s="9" t="s">
        <v>10167</v>
      </c>
      <c r="H1379" s="9" t="s">
        <v>10745</v>
      </c>
      <c r="I1379" s="5">
        <v>388.44</v>
      </c>
      <c r="J1379" s="5">
        <v>108.6</v>
      </c>
      <c r="K1379" s="5">
        <v>756.84</v>
      </c>
      <c r="L1379" s="5">
        <v>508.2</v>
      </c>
      <c r="M1379" s="9"/>
      <c r="N1379" s="9" t="s">
        <v>10159</v>
      </c>
      <c r="O1379" s="9" t="s">
        <v>10746</v>
      </c>
      <c r="P1379" s="9" t="str">
        <f t="shared" si="78"/>
        <v>PDFを開く</v>
      </c>
      <c r="Q1379" s="9" t="s">
        <v>2184</v>
      </c>
    </row>
    <row r="1380" spans="1:17" ht="62.1" customHeight="1">
      <c r="A1380" s="2" t="s">
        <v>2177</v>
      </c>
      <c r="B1380" s="2" t="s">
        <v>1595</v>
      </c>
      <c r="C1380" s="8" t="s">
        <v>2178</v>
      </c>
      <c r="D1380" s="2">
        <v>4</v>
      </c>
      <c r="E1380" s="8" t="s">
        <v>10156</v>
      </c>
      <c r="F1380" s="2">
        <v>1</v>
      </c>
      <c r="G1380" s="8" t="s">
        <v>10167</v>
      </c>
      <c r="H1380" s="8" t="s">
        <v>10747</v>
      </c>
      <c r="I1380" s="2">
        <v>20.04</v>
      </c>
      <c r="J1380" s="2">
        <v>477.72</v>
      </c>
      <c r="K1380" s="2">
        <v>747.96</v>
      </c>
      <c r="L1380" s="2">
        <v>530.88</v>
      </c>
      <c r="M1380" s="8"/>
      <c r="N1380" s="8" t="s">
        <v>10159</v>
      </c>
      <c r="O1380" s="8" t="s">
        <v>10747</v>
      </c>
      <c r="P1380" s="8" t="str">
        <f t="shared" si="78"/>
        <v>PDFを開く</v>
      </c>
      <c r="Q1380" s="8" t="s">
        <v>2184</v>
      </c>
    </row>
    <row r="1381" spans="1:17" ht="62.1" customHeight="1">
      <c r="A1381" s="5" t="s">
        <v>2185</v>
      </c>
      <c r="B1381" s="5" t="s">
        <v>1595</v>
      </c>
      <c r="C1381" s="9" t="s">
        <v>2186</v>
      </c>
      <c r="D1381" s="5">
        <v>1</v>
      </c>
      <c r="E1381" s="9" t="s">
        <v>10156</v>
      </c>
      <c r="F1381" s="5">
        <v>1</v>
      </c>
      <c r="G1381" s="9" t="s">
        <v>9578</v>
      </c>
      <c r="H1381" s="9" t="s">
        <v>9578</v>
      </c>
      <c r="I1381" s="5">
        <v>15.13</v>
      </c>
      <c r="J1381" s="5">
        <v>101.81</v>
      </c>
      <c r="K1381" s="5">
        <v>378.79</v>
      </c>
      <c r="L1381" s="5">
        <v>523.36</v>
      </c>
      <c r="M1381" s="9"/>
      <c r="N1381" s="9" t="s">
        <v>10159</v>
      </c>
      <c r="O1381" s="9" t="s">
        <v>9224</v>
      </c>
      <c r="P1381" s="9" t="str">
        <f>HYPERLINK("https://seichotoushi-hojo.jp/assets/pdf/koufu_3_4ji/outline_68.pdf","PDFを開く")</f>
        <v>PDFを開く</v>
      </c>
      <c r="Q1381" s="9" t="s">
        <v>2192</v>
      </c>
    </row>
    <row r="1382" spans="1:17" ht="62.1" customHeight="1">
      <c r="A1382" s="2" t="s">
        <v>2185</v>
      </c>
      <c r="B1382" s="2" t="s">
        <v>1595</v>
      </c>
      <c r="C1382" s="8" t="s">
        <v>2186</v>
      </c>
      <c r="D1382" s="2">
        <v>1</v>
      </c>
      <c r="E1382" s="8" t="s">
        <v>10156</v>
      </c>
      <c r="F1382" s="2">
        <v>2</v>
      </c>
      <c r="G1382" s="8" t="s">
        <v>10162</v>
      </c>
      <c r="H1382" s="8" t="s">
        <v>10162</v>
      </c>
      <c r="I1382" s="2">
        <v>396.3</v>
      </c>
      <c r="J1382" s="2">
        <v>101.81</v>
      </c>
      <c r="K1382" s="2">
        <v>764.87</v>
      </c>
      <c r="L1382" s="2">
        <v>348.6</v>
      </c>
      <c r="M1382" s="8"/>
      <c r="N1382" s="8" t="s">
        <v>10159</v>
      </c>
      <c r="O1382" s="8" t="s">
        <v>9225</v>
      </c>
      <c r="P1382" s="8" t="str">
        <f>HYPERLINK("https://seichotoushi-hojo.jp/assets/pdf/koufu_3_4ji/outline_68.pdf","PDFを開く")</f>
        <v>PDFを開く</v>
      </c>
      <c r="Q1382" s="8" t="s">
        <v>2192</v>
      </c>
    </row>
    <row r="1383" spans="1:17" ht="62.1" customHeight="1">
      <c r="A1383" s="5" t="s">
        <v>2185</v>
      </c>
      <c r="B1383" s="5" t="s">
        <v>1595</v>
      </c>
      <c r="C1383" s="9" t="s">
        <v>2186</v>
      </c>
      <c r="D1383" s="5">
        <v>1</v>
      </c>
      <c r="E1383" s="9" t="s">
        <v>10156</v>
      </c>
      <c r="F1383" s="5">
        <v>3</v>
      </c>
      <c r="G1383" s="9" t="s">
        <v>10163</v>
      </c>
      <c r="H1383" s="9" t="s">
        <v>10163</v>
      </c>
      <c r="I1383" s="5">
        <v>396.3</v>
      </c>
      <c r="J1383" s="5">
        <v>353.97</v>
      </c>
      <c r="K1383" s="5">
        <v>764.87</v>
      </c>
      <c r="L1383" s="5">
        <v>523.36</v>
      </c>
      <c r="M1383" s="9"/>
      <c r="N1383" s="9" t="s">
        <v>10159</v>
      </c>
      <c r="O1383" s="9" t="s">
        <v>9226</v>
      </c>
      <c r="P1383" s="9" t="str">
        <f>HYPERLINK("https://seichotoushi-hojo.jp/assets/pdf/koufu_3_4ji/outline_68.pdf","PDFを開く")</f>
        <v>PDFを開く</v>
      </c>
      <c r="Q1383" s="9" t="s">
        <v>2192</v>
      </c>
    </row>
    <row r="1384" spans="1:17" ht="62.1" customHeight="1">
      <c r="A1384" s="2" t="s">
        <v>2185</v>
      </c>
      <c r="B1384" s="2" t="s">
        <v>1595</v>
      </c>
      <c r="C1384" s="8" t="s">
        <v>2186</v>
      </c>
      <c r="D1384" s="2">
        <v>1</v>
      </c>
      <c r="E1384" s="8" t="s">
        <v>10156</v>
      </c>
      <c r="F1384" s="2">
        <v>4</v>
      </c>
      <c r="G1384" s="8" t="s">
        <v>8581</v>
      </c>
      <c r="H1384" s="8" t="s">
        <v>8581</v>
      </c>
      <c r="I1384" s="2">
        <v>21.18</v>
      </c>
      <c r="J1384" s="2">
        <v>361.81</v>
      </c>
      <c r="K1384" s="2">
        <v>373.36</v>
      </c>
      <c r="L1384" s="2">
        <v>510.65</v>
      </c>
      <c r="M1384" s="8"/>
      <c r="N1384" s="8" t="s">
        <v>10159</v>
      </c>
      <c r="O1384" s="8" t="s">
        <v>9227</v>
      </c>
      <c r="P1384" s="8" t="str">
        <f>HYPERLINK("https://seichotoushi-hojo.jp/assets/pdf/koufu_3_4ji/outline_68.pdf","PDFを開く")</f>
        <v>PDFを開く</v>
      </c>
      <c r="Q1384" s="8" t="s">
        <v>2192</v>
      </c>
    </row>
    <row r="1385" spans="1:17" ht="62.1" customHeight="1">
      <c r="A1385" s="5" t="s">
        <v>2193</v>
      </c>
      <c r="B1385" s="5" t="s">
        <v>1595</v>
      </c>
      <c r="C1385" s="9" t="s">
        <v>2194</v>
      </c>
      <c r="D1385" s="5">
        <v>1</v>
      </c>
      <c r="E1385" s="9" t="s">
        <v>10156</v>
      </c>
      <c r="F1385" s="5">
        <v>1</v>
      </c>
      <c r="G1385" s="9" t="s">
        <v>9578</v>
      </c>
      <c r="H1385" s="9" t="s">
        <v>9578</v>
      </c>
      <c r="I1385" s="5">
        <v>30.9</v>
      </c>
      <c r="J1385" s="5">
        <v>156.35</v>
      </c>
      <c r="K1385" s="5">
        <v>370.03</v>
      </c>
      <c r="L1385" s="5">
        <v>515.25</v>
      </c>
      <c r="M1385" s="9"/>
      <c r="N1385" s="9" t="s">
        <v>10159</v>
      </c>
      <c r="O1385" s="9" t="s">
        <v>9232</v>
      </c>
      <c r="P1385" s="9" t="str">
        <f>HYPERLINK("https://seichotoushi-hojo.jp/assets/pdf/koufu_3_4ji/outline_69.pdf","PDFを開く")</f>
        <v>PDFを開く</v>
      </c>
      <c r="Q1385" s="9" t="s">
        <v>2199</v>
      </c>
    </row>
    <row r="1386" spans="1:17" ht="62.1" customHeight="1">
      <c r="A1386" s="2" t="s">
        <v>2193</v>
      </c>
      <c r="B1386" s="2" t="s">
        <v>1595</v>
      </c>
      <c r="C1386" s="8" t="s">
        <v>2194</v>
      </c>
      <c r="D1386" s="2">
        <v>1</v>
      </c>
      <c r="E1386" s="8" t="s">
        <v>10156</v>
      </c>
      <c r="F1386" s="2">
        <v>2</v>
      </c>
      <c r="G1386" s="8" t="s">
        <v>10162</v>
      </c>
      <c r="H1386" s="8" t="s">
        <v>10162</v>
      </c>
      <c r="I1386" s="2">
        <v>396.3</v>
      </c>
      <c r="J1386" s="2">
        <v>170.15</v>
      </c>
      <c r="K1386" s="2">
        <v>739.78</v>
      </c>
      <c r="L1386" s="2">
        <v>328.45</v>
      </c>
      <c r="M1386" s="8"/>
      <c r="N1386" s="8" t="s">
        <v>10159</v>
      </c>
      <c r="O1386" s="8" t="s">
        <v>9233</v>
      </c>
      <c r="P1386" s="8" t="str">
        <f>HYPERLINK("https://seichotoushi-hojo.jp/assets/pdf/koufu_3_4ji/outline_69.pdf","PDFを開く")</f>
        <v>PDFを開く</v>
      </c>
      <c r="Q1386" s="8" t="s">
        <v>2199</v>
      </c>
    </row>
    <row r="1387" spans="1:17" ht="62.1" customHeight="1">
      <c r="A1387" s="5" t="s">
        <v>2193</v>
      </c>
      <c r="B1387" s="5" t="s">
        <v>1595</v>
      </c>
      <c r="C1387" s="9" t="s">
        <v>2194</v>
      </c>
      <c r="D1387" s="5">
        <v>1</v>
      </c>
      <c r="E1387" s="9" t="s">
        <v>10156</v>
      </c>
      <c r="F1387" s="5">
        <v>3</v>
      </c>
      <c r="G1387" s="9" t="s">
        <v>10163</v>
      </c>
      <c r="H1387" s="9" t="s">
        <v>10163</v>
      </c>
      <c r="I1387" s="5">
        <v>396.3</v>
      </c>
      <c r="J1387" s="5">
        <v>347.24</v>
      </c>
      <c r="K1387" s="5">
        <v>739.78</v>
      </c>
      <c r="L1387" s="5">
        <v>530.49</v>
      </c>
      <c r="M1387" s="9"/>
      <c r="N1387" s="9" t="s">
        <v>10159</v>
      </c>
      <c r="O1387" s="9" t="s">
        <v>9234</v>
      </c>
      <c r="P1387" s="9" t="str">
        <f>HYPERLINK("https://seichotoushi-hojo.jp/assets/pdf/koufu_3_4ji/outline_69.pdf","PDFを開く")</f>
        <v>PDFを開く</v>
      </c>
      <c r="Q1387" s="9" t="s">
        <v>2199</v>
      </c>
    </row>
    <row r="1388" spans="1:17" ht="62.1" customHeight="1">
      <c r="A1388" s="2" t="s">
        <v>2193</v>
      </c>
      <c r="B1388" s="2" t="s">
        <v>1595</v>
      </c>
      <c r="C1388" s="8" t="s">
        <v>2194</v>
      </c>
      <c r="D1388" s="2">
        <v>1</v>
      </c>
      <c r="E1388" s="8" t="s">
        <v>10156</v>
      </c>
      <c r="F1388" s="2">
        <v>4</v>
      </c>
      <c r="G1388" s="8" t="s">
        <v>8581</v>
      </c>
      <c r="H1388" s="8" t="s">
        <v>8581</v>
      </c>
      <c r="I1388" s="2">
        <v>48</v>
      </c>
      <c r="J1388" s="2">
        <v>370.98</v>
      </c>
      <c r="K1388" s="2">
        <v>367.5</v>
      </c>
      <c r="L1388" s="2">
        <v>486.75</v>
      </c>
      <c r="M1388" s="8"/>
      <c r="N1388" s="8" t="s">
        <v>10159</v>
      </c>
      <c r="O1388" s="8" t="s">
        <v>9235</v>
      </c>
      <c r="P1388" s="8" t="str">
        <f>HYPERLINK("https://seichotoushi-hojo.jp/assets/pdf/koufu_3_4ji/outline_69.pdf","PDFを開く")</f>
        <v>PDFを開く</v>
      </c>
      <c r="Q1388" s="8" t="s">
        <v>2199</v>
      </c>
    </row>
    <row r="1389" spans="1:17" ht="62.1" customHeight="1">
      <c r="A1389" s="5" t="s">
        <v>2193</v>
      </c>
      <c r="B1389" s="5" t="s">
        <v>1595</v>
      </c>
      <c r="C1389" s="9" t="s">
        <v>2194</v>
      </c>
      <c r="D1389" s="5">
        <v>2</v>
      </c>
      <c r="E1389" s="9" t="s">
        <v>10165</v>
      </c>
      <c r="F1389" s="5">
        <v>1</v>
      </c>
      <c r="G1389" s="9" t="s">
        <v>10184</v>
      </c>
      <c r="H1389" s="9" t="s">
        <v>10184</v>
      </c>
      <c r="I1389" s="5">
        <v>128.28</v>
      </c>
      <c r="J1389" s="5">
        <v>192.8</v>
      </c>
      <c r="K1389" s="5">
        <v>401.7</v>
      </c>
      <c r="L1389" s="5">
        <v>388.2</v>
      </c>
      <c r="M1389" s="9"/>
      <c r="N1389" s="9" t="s">
        <v>10181</v>
      </c>
      <c r="O1389" s="9" t="s">
        <v>10748</v>
      </c>
      <c r="P1389" s="9" t="str">
        <f>HYPERLINK("https://seichotoushi-hojo.jp/assets/pdf/koufu_3_4ji/outline_69.pdf","PDFを開く")</f>
        <v>PDFを開く</v>
      </c>
      <c r="Q1389" s="9" t="s">
        <v>2199</v>
      </c>
    </row>
    <row r="1390" spans="1:17" ht="62.1" customHeight="1">
      <c r="A1390" s="2" t="s">
        <v>2200</v>
      </c>
      <c r="B1390" s="2" t="s">
        <v>1595</v>
      </c>
      <c r="C1390" s="8" t="s">
        <v>706</v>
      </c>
      <c r="D1390" s="2">
        <v>1</v>
      </c>
      <c r="E1390" s="8" t="s">
        <v>10156</v>
      </c>
      <c r="F1390" s="2">
        <v>1</v>
      </c>
      <c r="G1390" s="8" t="s">
        <v>9578</v>
      </c>
      <c r="H1390" s="8" t="s">
        <v>9578</v>
      </c>
      <c r="I1390" s="2">
        <v>42.84</v>
      </c>
      <c r="J1390" s="2">
        <v>140.04</v>
      </c>
      <c r="K1390" s="2">
        <v>408.84</v>
      </c>
      <c r="L1390" s="2">
        <v>545.64</v>
      </c>
      <c r="M1390" s="8"/>
      <c r="N1390" s="8" t="s">
        <v>10159</v>
      </c>
      <c r="O1390" s="8" t="s">
        <v>9240</v>
      </c>
      <c r="P1390" s="8" t="str">
        <f>HYPERLINK("https://seichotoushi-hojo.jp/assets/pdf/koufu_3_4ji/outline_70.pdf","PDFを開く")</f>
        <v>PDFを開く</v>
      </c>
      <c r="Q1390" s="8" t="s">
        <v>2206</v>
      </c>
    </row>
    <row r="1391" spans="1:17" ht="62.1" customHeight="1">
      <c r="A1391" s="5" t="s">
        <v>2200</v>
      </c>
      <c r="B1391" s="5" t="s">
        <v>1595</v>
      </c>
      <c r="C1391" s="9" t="s">
        <v>706</v>
      </c>
      <c r="D1391" s="5">
        <v>1</v>
      </c>
      <c r="E1391" s="9" t="s">
        <v>10156</v>
      </c>
      <c r="F1391" s="5">
        <v>2</v>
      </c>
      <c r="G1391" s="9" t="s">
        <v>10162</v>
      </c>
      <c r="H1391" s="9" t="s">
        <v>10162</v>
      </c>
      <c r="I1391" s="5">
        <v>427.8</v>
      </c>
      <c r="J1391" s="5">
        <v>151.32</v>
      </c>
      <c r="K1391" s="5">
        <v>798.48</v>
      </c>
      <c r="L1391" s="5">
        <v>331.56</v>
      </c>
      <c r="M1391" s="9"/>
      <c r="N1391" s="9" t="s">
        <v>10159</v>
      </c>
      <c r="O1391" s="9" t="s">
        <v>9241</v>
      </c>
      <c r="P1391" s="9" t="str">
        <f>HYPERLINK("https://seichotoushi-hojo.jp/assets/pdf/koufu_3_4ji/outline_70.pdf","PDFを開く")</f>
        <v>PDFを開く</v>
      </c>
      <c r="Q1391" s="9" t="s">
        <v>2206</v>
      </c>
    </row>
    <row r="1392" spans="1:17" ht="62.1" customHeight="1">
      <c r="A1392" s="2" t="s">
        <v>2200</v>
      </c>
      <c r="B1392" s="2" t="s">
        <v>1595</v>
      </c>
      <c r="C1392" s="8" t="s">
        <v>706</v>
      </c>
      <c r="D1392" s="2">
        <v>1</v>
      </c>
      <c r="E1392" s="8" t="s">
        <v>10156</v>
      </c>
      <c r="F1392" s="2">
        <v>3</v>
      </c>
      <c r="G1392" s="8" t="s">
        <v>10163</v>
      </c>
      <c r="H1392" s="8" t="s">
        <v>10163</v>
      </c>
      <c r="I1392" s="2">
        <v>427.8</v>
      </c>
      <c r="J1392" s="2">
        <v>340.32</v>
      </c>
      <c r="K1392" s="2">
        <v>798.48</v>
      </c>
      <c r="L1392" s="2">
        <v>545.64</v>
      </c>
      <c r="M1392" s="8"/>
      <c r="N1392" s="8" t="s">
        <v>10159</v>
      </c>
      <c r="O1392" s="8" t="s">
        <v>9242</v>
      </c>
      <c r="P1392" s="8" t="str">
        <f>HYPERLINK("https://seichotoushi-hojo.jp/assets/pdf/koufu_3_4ji/outline_70.pdf","PDFを開く")</f>
        <v>PDFを開く</v>
      </c>
      <c r="Q1392" s="8" t="s">
        <v>2206</v>
      </c>
    </row>
    <row r="1393" spans="1:17" ht="62.1" customHeight="1">
      <c r="A1393" s="5" t="s">
        <v>2200</v>
      </c>
      <c r="B1393" s="5" t="s">
        <v>1595</v>
      </c>
      <c r="C1393" s="9" t="s">
        <v>706</v>
      </c>
      <c r="D1393" s="5">
        <v>1</v>
      </c>
      <c r="E1393" s="9" t="s">
        <v>10156</v>
      </c>
      <c r="F1393" s="5">
        <v>4</v>
      </c>
      <c r="G1393" s="9" t="s">
        <v>8581</v>
      </c>
      <c r="H1393" s="9" t="s">
        <v>8581</v>
      </c>
      <c r="I1393" s="5">
        <v>51.84</v>
      </c>
      <c r="J1393" s="5">
        <v>406.68</v>
      </c>
      <c r="K1393" s="5">
        <v>396.72</v>
      </c>
      <c r="L1393" s="5">
        <v>531.6</v>
      </c>
      <c r="M1393" s="9"/>
      <c r="N1393" s="9" t="s">
        <v>10159</v>
      </c>
      <c r="O1393" s="9" t="s">
        <v>2204</v>
      </c>
      <c r="P1393" s="9" t="str">
        <f>HYPERLINK("https://seichotoushi-hojo.jp/assets/pdf/koufu_3_4ji/outline_70.pdf","PDFを開く")</f>
        <v>PDFを開く</v>
      </c>
      <c r="Q1393" s="9" t="s">
        <v>2206</v>
      </c>
    </row>
    <row r="1394" spans="1:17" ht="62.1" customHeight="1">
      <c r="A1394" s="2" t="s">
        <v>2200</v>
      </c>
      <c r="B1394" s="2" t="s">
        <v>1595</v>
      </c>
      <c r="C1394" s="8" t="s">
        <v>706</v>
      </c>
      <c r="D1394" s="2">
        <v>2</v>
      </c>
      <c r="E1394" s="8" t="s">
        <v>10165</v>
      </c>
      <c r="F1394" s="2">
        <v>1</v>
      </c>
      <c r="G1394" s="8" t="s">
        <v>10167</v>
      </c>
      <c r="H1394" s="8" t="s">
        <v>5265</v>
      </c>
      <c r="I1394" s="2">
        <v>136.91999999999999</v>
      </c>
      <c r="J1394" s="2">
        <v>436.68</v>
      </c>
      <c r="K1394" s="2">
        <v>566.76</v>
      </c>
      <c r="L1394" s="2">
        <v>467.16</v>
      </c>
      <c r="M1394" s="8"/>
      <c r="N1394" s="8" t="s">
        <v>10159</v>
      </c>
      <c r="O1394" s="8" t="s">
        <v>10187</v>
      </c>
      <c r="P1394" s="8" t="str">
        <f>HYPERLINK("https://seichotoushi-hojo.jp/assets/pdf/koufu_3_4ji/outline_70.pdf","PDFを開く")</f>
        <v>PDFを開く</v>
      </c>
      <c r="Q1394" s="8" t="s">
        <v>2206</v>
      </c>
    </row>
    <row r="1395" spans="1:17" ht="62.1" customHeight="1">
      <c r="A1395" s="5" t="s">
        <v>2207</v>
      </c>
      <c r="B1395" s="5" t="s">
        <v>1595</v>
      </c>
      <c r="C1395" s="9" t="s">
        <v>2208</v>
      </c>
      <c r="D1395" s="5">
        <v>1</v>
      </c>
      <c r="E1395" s="9" t="s">
        <v>10156</v>
      </c>
      <c r="F1395" s="5">
        <v>1</v>
      </c>
      <c r="G1395" s="9" t="s">
        <v>10162</v>
      </c>
      <c r="H1395" s="9" t="s">
        <v>10162</v>
      </c>
      <c r="I1395" s="5">
        <v>382.8</v>
      </c>
      <c r="J1395" s="5">
        <v>96.96</v>
      </c>
      <c r="K1395" s="5">
        <v>762</v>
      </c>
      <c r="L1395" s="5">
        <v>337.2</v>
      </c>
      <c r="M1395" s="9"/>
      <c r="N1395" s="9" t="s">
        <v>10159</v>
      </c>
      <c r="O1395" s="9" t="s">
        <v>9248</v>
      </c>
      <c r="P1395" s="9" t="str">
        <f>HYPERLINK("https://seichotoushi-hojo.jp/assets/pdf/koufu_3_4ji/outline_71.pdf","PDFを開く")</f>
        <v>PDFを開く</v>
      </c>
      <c r="Q1395" s="9" t="s">
        <v>2214</v>
      </c>
    </row>
    <row r="1396" spans="1:17" ht="62.1" customHeight="1">
      <c r="A1396" s="2" t="s">
        <v>2207</v>
      </c>
      <c r="B1396" s="2" t="s">
        <v>1595</v>
      </c>
      <c r="C1396" s="8" t="s">
        <v>2208</v>
      </c>
      <c r="D1396" s="2">
        <v>1</v>
      </c>
      <c r="E1396" s="8" t="s">
        <v>10156</v>
      </c>
      <c r="F1396" s="2">
        <v>2</v>
      </c>
      <c r="G1396" s="8" t="s">
        <v>9578</v>
      </c>
      <c r="H1396" s="8" t="s">
        <v>9578</v>
      </c>
      <c r="I1396" s="2">
        <v>21</v>
      </c>
      <c r="J1396" s="2">
        <v>98.4</v>
      </c>
      <c r="K1396" s="2">
        <v>360.12</v>
      </c>
      <c r="L1396" s="2">
        <v>520.91999999999996</v>
      </c>
      <c r="M1396" s="8"/>
      <c r="N1396" s="8" t="s">
        <v>10159</v>
      </c>
      <c r="O1396" s="8" t="s">
        <v>9247</v>
      </c>
      <c r="P1396" s="8" t="str">
        <f>HYPERLINK("https://seichotoushi-hojo.jp/assets/pdf/koufu_3_4ji/outline_71.pdf","PDFを開く")</f>
        <v>PDFを開く</v>
      </c>
      <c r="Q1396" s="8" t="s">
        <v>2214</v>
      </c>
    </row>
    <row r="1397" spans="1:17" ht="62.1" customHeight="1">
      <c r="A1397" s="5" t="s">
        <v>2207</v>
      </c>
      <c r="B1397" s="5" t="s">
        <v>1595</v>
      </c>
      <c r="C1397" s="9" t="s">
        <v>2208</v>
      </c>
      <c r="D1397" s="5">
        <v>1</v>
      </c>
      <c r="E1397" s="9" t="s">
        <v>10156</v>
      </c>
      <c r="F1397" s="5">
        <v>3</v>
      </c>
      <c r="G1397" s="9" t="s">
        <v>10163</v>
      </c>
      <c r="H1397" s="9" t="s">
        <v>10163</v>
      </c>
      <c r="I1397" s="5">
        <v>382.8</v>
      </c>
      <c r="J1397" s="5">
        <v>342.96</v>
      </c>
      <c r="K1397" s="5">
        <v>762</v>
      </c>
      <c r="L1397" s="5">
        <v>518.28</v>
      </c>
      <c r="M1397" s="9"/>
      <c r="N1397" s="9" t="s">
        <v>10159</v>
      </c>
      <c r="O1397" s="9" t="s">
        <v>9249</v>
      </c>
      <c r="P1397" s="9" t="str">
        <f>HYPERLINK("https://seichotoushi-hojo.jp/assets/pdf/koufu_3_4ji/outline_71.pdf","PDFを開く")</f>
        <v>PDFを開く</v>
      </c>
      <c r="Q1397" s="9" t="s">
        <v>2214</v>
      </c>
    </row>
    <row r="1398" spans="1:17" ht="62.1" customHeight="1">
      <c r="A1398" s="2" t="s">
        <v>2207</v>
      </c>
      <c r="B1398" s="2" t="s">
        <v>1595</v>
      </c>
      <c r="C1398" s="8" t="s">
        <v>2208</v>
      </c>
      <c r="D1398" s="2">
        <v>1</v>
      </c>
      <c r="E1398" s="8" t="s">
        <v>10156</v>
      </c>
      <c r="F1398" s="2">
        <v>4</v>
      </c>
      <c r="G1398" s="8" t="s">
        <v>8581</v>
      </c>
      <c r="H1398" s="8" t="s">
        <v>8581</v>
      </c>
      <c r="I1398" s="2">
        <v>30.84</v>
      </c>
      <c r="J1398" s="2">
        <v>415.8</v>
      </c>
      <c r="K1398" s="2">
        <v>350.28</v>
      </c>
      <c r="L1398" s="2">
        <v>514.67999999999995</v>
      </c>
      <c r="M1398" s="8"/>
      <c r="N1398" s="8" t="s">
        <v>10159</v>
      </c>
      <c r="O1398" s="8" t="s">
        <v>9250</v>
      </c>
      <c r="P1398" s="8" t="str">
        <f>HYPERLINK("https://seichotoushi-hojo.jp/assets/pdf/koufu_3_4ji/outline_71.pdf","PDFを開く")</f>
        <v>PDFを開く</v>
      </c>
      <c r="Q1398" s="8" t="s">
        <v>2214</v>
      </c>
    </row>
    <row r="1399" spans="1:17" ht="62.1" customHeight="1">
      <c r="A1399" s="5" t="s">
        <v>2215</v>
      </c>
      <c r="B1399" s="5" t="s">
        <v>1595</v>
      </c>
      <c r="C1399" s="9" t="s">
        <v>2216</v>
      </c>
      <c r="D1399" s="5">
        <v>1</v>
      </c>
      <c r="E1399" s="9" t="s">
        <v>10156</v>
      </c>
      <c r="F1399" s="5">
        <v>1</v>
      </c>
      <c r="G1399" s="9" t="s">
        <v>9578</v>
      </c>
      <c r="H1399" s="9" t="s">
        <v>9578</v>
      </c>
      <c r="I1399" s="5">
        <v>39.659999999999997</v>
      </c>
      <c r="J1399" s="5">
        <v>95.95</v>
      </c>
      <c r="K1399" s="5">
        <v>378.79</v>
      </c>
      <c r="L1399" s="5">
        <v>528.75</v>
      </c>
      <c r="M1399" s="9"/>
      <c r="N1399" s="9" t="s">
        <v>10159</v>
      </c>
      <c r="O1399" s="9" t="s">
        <v>9256</v>
      </c>
      <c r="P1399" s="9" t="str">
        <f t="shared" ref="P1399:P1405" si="79">HYPERLINK("https://seichotoushi-hojo.jp/assets/pdf/koufu_3_4ji/outline_72.pdf","PDFを開く")</f>
        <v>PDFを開く</v>
      </c>
      <c r="Q1399" s="9" t="s">
        <v>2221</v>
      </c>
    </row>
    <row r="1400" spans="1:17" ht="62.1" customHeight="1">
      <c r="A1400" s="2" t="s">
        <v>2215</v>
      </c>
      <c r="B1400" s="2" t="s">
        <v>1595</v>
      </c>
      <c r="C1400" s="8" t="s">
        <v>2216</v>
      </c>
      <c r="D1400" s="2">
        <v>1</v>
      </c>
      <c r="E1400" s="8" t="s">
        <v>10156</v>
      </c>
      <c r="F1400" s="2">
        <v>2</v>
      </c>
      <c r="G1400" s="8" t="s">
        <v>10162</v>
      </c>
      <c r="H1400" s="8" t="s">
        <v>10162</v>
      </c>
      <c r="I1400" s="2">
        <v>396.3</v>
      </c>
      <c r="J1400" s="2">
        <v>95.95</v>
      </c>
      <c r="K1400" s="2">
        <v>739.78</v>
      </c>
      <c r="L1400" s="2">
        <v>249.75</v>
      </c>
      <c r="M1400" s="8"/>
      <c r="N1400" s="8" t="s">
        <v>10159</v>
      </c>
      <c r="O1400" s="8" t="s">
        <v>9257</v>
      </c>
      <c r="P1400" s="8" t="str">
        <f t="shared" si="79"/>
        <v>PDFを開く</v>
      </c>
      <c r="Q1400" s="8" t="s">
        <v>2221</v>
      </c>
    </row>
    <row r="1401" spans="1:17" ht="62.1" customHeight="1">
      <c r="A1401" s="5" t="s">
        <v>2215</v>
      </c>
      <c r="B1401" s="5" t="s">
        <v>1595</v>
      </c>
      <c r="C1401" s="9" t="s">
        <v>2216</v>
      </c>
      <c r="D1401" s="5">
        <v>1</v>
      </c>
      <c r="E1401" s="9" t="s">
        <v>10156</v>
      </c>
      <c r="F1401" s="5">
        <v>3</v>
      </c>
      <c r="G1401" s="9" t="s">
        <v>10163</v>
      </c>
      <c r="H1401" s="9" t="s">
        <v>10163</v>
      </c>
      <c r="I1401" s="5">
        <v>396.3</v>
      </c>
      <c r="J1401" s="5">
        <v>254.95</v>
      </c>
      <c r="K1401" s="5">
        <v>739.78</v>
      </c>
      <c r="L1401" s="5">
        <v>528.75</v>
      </c>
      <c r="M1401" s="9"/>
      <c r="N1401" s="9" t="s">
        <v>10159</v>
      </c>
      <c r="O1401" s="9" t="s">
        <v>9258</v>
      </c>
      <c r="P1401" s="9" t="str">
        <f t="shared" si="79"/>
        <v>PDFを開く</v>
      </c>
      <c r="Q1401" s="9" t="s">
        <v>2221</v>
      </c>
    </row>
    <row r="1402" spans="1:17" ht="62.1" customHeight="1">
      <c r="A1402" s="2" t="s">
        <v>2215</v>
      </c>
      <c r="B1402" s="2" t="s">
        <v>1595</v>
      </c>
      <c r="C1402" s="8" t="s">
        <v>2216</v>
      </c>
      <c r="D1402" s="2">
        <v>1</v>
      </c>
      <c r="E1402" s="8" t="s">
        <v>10156</v>
      </c>
      <c r="F1402" s="2">
        <v>4</v>
      </c>
      <c r="G1402" s="8" t="s">
        <v>8581</v>
      </c>
      <c r="H1402" s="8" t="s">
        <v>8581</v>
      </c>
      <c r="I1402" s="2">
        <v>38.5</v>
      </c>
      <c r="J1402" s="2">
        <v>437.49</v>
      </c>
      <c r="K1402" s="2">
        <v>374.43</v>
      </c>
      <c r="L1402" s="2">
        <v>520.9</v>
      </c>
      <c r="M1402" s="8"/>
      <c r="N1402" s="8" t="s">
        <v>10159</v>
      </c>
      <c r="O1402" s="8" t="s">
        <v>9259</v>
      </c>
      <c r="P1402" s="8" t="str">
        <f t="shared" si="79"/>
        <v>PDFを開く</v>
      </c>
      <c r="Q1402" s="8" t="s">
        <v>2221</v>
      </c>
    </row>
    <row r="1403" spans="1:17" ht="62.1" customHeight="1">
      <c r="A1403" s="5" t="s">
        <v>2215</v>
      </c>
      <c r="B1403" s="5" t="s">
        <v>1595</v>
      </c>
      <c r="C1403" s="9" t="s">
        <v>2216</v>
      </c>
      <c r="D1403" s="5">
        <v>2</v>
      </c>
      <c r="E1403" s="9" t="s">
        <v>10165</v>
      </c>
      <c r="F1403" s="5">
        <v>1</v>
      </c>
      <c r="G1403" s="9" t="s">
        <v>10157</v>
      </c>
      <c r="H1403" s="9" t="s">
        <v>10157</v>
      </c>
      <c r="I1403" s="5">
        <v>53.78</v>
      </c>
      <c r="J1403" s="5">
        <v>38.950000000000003</v>
      </c>
      <c r="K1403" s="5">
        <v>728.78</v>
      </c>
      <c r="L1403" s="5">
        <v>59.35</v>
      </c>
      <c r="M1403" s="9" t="s">
        <v>10158</v>
      </c>
      <c r="N1403" s="9" t="s">
        <v>10159</v>
      </c>
      <c r="O1403" s="9" t="s">
        <v>10749</v>
      </c>
      <c r="P1403" s="9" t="str">
        <f t="shared" si="79"/>
        <v>PDFを開く</v>
      </c>
      <c r="Q1403" s="9" t="s">
        <v>2221</v>
      </c>
    </row>
    <row r="1404" spans="1:17" ht="62.1" customHeight="1">
      <c r="A1404" s="2" t="s">
        <v>2215</v>
      </c>
      <c r="B1404" s="2" t="s">
        <v>1595</v>
      </c>
      <c r="C1404" s="8" t="s">
        <v>2216</v>
      </c>
      <c r="D1404" s="2">
        <v>2</v>
      </c>
      <c r="E1404" s="8" t="s">
        <v>10165</v>
      </c>
      <c r="F1404" s="2">
        <v>2</v>
      </c>
      <c r="G1404" s="8" t="s">
        <v>10157</v>
      </c>
      <c r="H1404" s="8" t="s">
        <v>10157</v>
      </c>
      <c r="I1404" s="2">
        <v>53.78</v>
      </c>
      <c r="J1404" s="2">
        <v>60.07</v>
      </c>
      <c r="K1404" s="2">
        <v>682.94</v>
      </c>
      <c r="L1404" s="2">
        <v>80.47</v>
      </c>
      <c r="M1404" s="8"/>
      <c r="N1404" s="8" t="s">
        <v>10159</v>
      </c>
      <c r="O1404" s="8" t="s">
        <v>10750</v>
      </c>
      <c r="P1404" s="8" t="str">
        <f t="shared" si="79"/>
        <v>PDFを開く</v>
      </c>
      <c r="Q1404" s="8" t="s">
        <v>2221</v>
      </c>
    </row>
    <row r="1405" spans="1:17" ht="62.1" customHeight="1">
      <c r="A1405" s="5" t="s">
        <v>2215</v>
      </c>
      <c r="B1405" s="5" t="s">
        <v>1595</v>
      </c>
      <c r="C1405" s="9" t="s">
        <v>2216</v>
      </c>
      <c r="D1405" s="5">
        <v>2</v>
      </c>
      <c r="E1405" s="9" t="s">
        <v>10165</v>
      </c>
      <c r="F1405" s="5">
        <v>3</v>
      </c>
      <c r="G1405" s="9" t="s">
        <v>10184</v>
      </c>
      <c r="H1405" s="9" t="s">
        <v>10184</v>
      </c>
      <c r="I1405" s="5">
        <v>127.58</v>
      </c>
      <c r="J1405" s="5">
        <v>148.28</v>
      </c>
      <c r="K1405" s="5">
        <v>401.7</v>
      </c>
      <c r="L1405" s="5">
        <v>343.68</v>
      </c>
      <c r="M1405" s="9"/>
      <c r="N1405" s="9" t="s">
        <v>10181</v>
      </c>
      <c r="O1405" s="9" t="s">
        <v>10751</v>
      </c>
      <c r="P1405" s="9" t="str">
        <f t="shared" si="79"/>
        <v>PDFを開く</v>
      </c>
      <c r="Q1405" s="9" t="s">
        <v>2221</v>
      </c>
    </row>
    <row r="1406" spans="1:17" ht="62.1" customHeight="1">
      <c r="A1406" s="2" t="s">
        <v>2222</v>
      </c>
      <c r="B1406" s="2" t="s">
        <v>1595</v>
      </c>
      <c r="C1406" s="8" t="s">
        <v>2223</v>
      </c>
      <c r="D1406" s="2">
        <v>1</v>
      </c>
      <c r="E1406" s="8" t="s">
        <v>10156</v>
      </c>
      <c r="F1406" s="2">
        <v>1</v>
      </c>
      <c r="G1406" s="8" t="s">
        <v>9578</v>
      </c>
      <c r="H1406" s="8" t="s">
        <v>9578</v>
      </c>
      <c r="I1406" s="2">
        <v>16.2</v>
      </c>
      <c r="J1406" s="2">
        <v>136.91999999999999</v>
      </c>
      <c r="K1406" s="2">
        <v>408.84</v>
      </c>
      <c r="L1406" s="2">
        <v>568.55999999999995</v>
      </c>
      <c r="M1406" s="8"/>
      <c r="N1406" s="8" t="s">
        <v>10159</v>
      </c>
      <c r="O1406" s="8" t="s">
        <v>9264</v>
      </c>
      <c r="P1406" s="8" t="str">
        <f t="shared" ref="P1406:P1416" si="80">HYPERLINK("https://seichotoushi-hojo.jp/assets/pdf/koufu_3_4ji/outline_73.pdf","PDFを開く")</f>
        <v>PDFを開く</v>
      </c>
      <c r="Q1406" s="8" t="s">
        <v>2227</v>
      </c>
    </row>
    <row r="1407" spans="1:17" ht="62.1" customHeight="1">
      <c r="A1407" s="5" t="s">
        <v>2222</v>
      </c>
      <c r="B1407" s="5" t="s">
        <v>1595</v>
      </c>
      <c r="C1407" s="9" t="s">
        <v>2223</v>
      </c>
      <c r="D1407" s="5">
        <v>1</v>
      </c>
      <c r="E1407" s="9" t="s">
        <v>10156</v>
      </c>
      <c r="F1407" s="5">
        <v>2</v>
      </c>
      <c r="G1407" s="9" t="s">
        <v>10162</v>
      </c>
      <c r="H1407" s="9" t="s">
        <v>10162</v>
      </c>
      <c r="I1407" s="5">
        <v>427.8</v>
      </c>
      <c r="J1407" s="5">
        <v>182.4</v>
      </c>
      <c r="K1407" s="5">
        <v>798.48</v>
      </c>
      <c r="L1407" s="5">
        <v>353.28</v>
      </c>
      <c r="M1407" s="9"/>
      <c r="N1407" s="9" t="s">
        <v>10159</v>
      </c>
      <c r="O1407" s="9" t="s">
        <v>9265</v>
      </c>
      <c r="P1407" s="9" t="str">
        <f t="shared" si="80"/>
        <v>PDFを開く</v>
      </c>
      <c r="Q1407" s="9" t="s">
        <v>2227</v>
      </c>
    </row>
    <row r="1408" spans="1:17" ht="62.1" customHeight="1">
      <c r="A1408" s="2" t="s">
        <v>2222</v>
      </c>
      <c r="B1408" s="2" t="s">
        <v>1595</v>
      </c>
      <c r="C1408" s="8" t="s">
        <v>2223</v>
      </c>
      <c r="D1408" s="2">
        <v>1</v>
      </c>
      <c r="E1408" s="8" t="s">
        <v>10156</v>
      </c>
      <c r="F1408" s="2">
        <v>3</v>
      </c>
      <c r="G1408" s="8" t="s">
        <v>10163</v>
      </c>
      <c r="H1408" s="8" t="s">
        <v>10163</v>
      </c>
      <c r="I1408" s="2">
        <v>430.8</v>
      </c>
      <c r="J1408" s="2">
        <v>402.12</v>
      </c>
      <c r="K1408" s="2">
        <v>801.48</v>
      </c>
      <c r="L1408" s="2">
        <v>505.32</v>
      </c>
      <c r="M1408" s="8"/>
      <c r="N1408" s="8" t="s">
        <v>10159</v>
      </c>
      <c r="O1408" s="8" t="s">
        <v>9266</v>
      </c>
      <c r="P1408" s="8" t="str">
        <f t="shared" si="80"/>
        <v>PDFを開く</v>
      </c>
      <c r="Q1408" s="8" t="s">
        <v>2227</v>
      </c>
    </row>
    <row r="1409" spans="1:17" ht="62.1" customHeight="1">
      <c r="A1409" s="5" t="s">
        <v>2222</v>
      </c>
      <c r="B1409" s="5" t="s">
        <v>1595</v>
      </c>
      <c r="C1409" s="9" t="s">
        <v>2223</v>
      </c>
      <c r="D1409" s="5">
        <v>1</v>
      </c>
      <c r="E1409" s="9" t="s">
        <v>10156</v>
      </c>
      <c r="F1409" s="5">
        <v>4</v>
      </c>
      <c r="G1409" s="9" t="s">
        <v>8581</v>
      </c>
      <c r="H1409" s="9" t="s">
        <v>8581</v>
      </c>
      <c r="I1409" s="5">
        <v>31.8</v>
      </c>
      <c r="J1409" s="5">
        <v>409.92</v>
      </c>
      <c r="K1409" s="5">
        <v>390</v>
      </c>
      <c r="L1409" s="5">
        <v>555.36</v>
      </c>
      <c r="M1409" s="9"/>
      <c r="N1409" s="9" t="s">
        <v>10159</v>
      </c>
      <c r="O1409" s="9" t="s">
        <v>9267</v>
      </c>
      <c r="P1409" s="9" t="str">
        <f t="shared" si="80"/>
        <v>PDFを開く</v>
      </c>
      <c r="Q1409" s="9" t="s">
        <v>2227</v>
      </c>
    </row>
    <row r="1410" spans="1:17" ht="62.1" customHeight="1">
      <c r="A1410" s="2" t="s">
        <v>2222</v>
      </c>
      <c r="B1410" s="2" t="s">
        <v>1595</v>
      </c>
      <c r="C1410" s="8" t="s">
        <v>2223</v>
      </c>
      <c r="D1410" s="2">
        <v>3</v>
      </c>
      <c r="E1410" s="8" t="s">
        <v>10165</v>
      </c>
      <c r="F1410" s="2">
        <v>1</v>
      </c>
      <c r="G1410" s="8" t="s">
        <v>10167</v>
      </c>
      <c r="H1410" s="8" t="s">
        <v>4518</v>
      </c>
      <c r="I1410" s="2">
        <v>138.84</v>
      </c>
      <c r="J1410" s="2">
        <v>424.68</v>
      </c>
      <c r="K1410" s="2">
        <v>568.67999999999995</v>
      </c>
      <c r="L1410" s="2">
        <v>455.16</v>
      </c>
      <c r="M1410" s="8"/>
      <c r="N1410" s="8" t="s">
        <v>10159</v>
      </c>
      <c r="O1410" s="8" t="s">
        <v>10752</v>
      </c>
      <c r="P1410" s="8" t="str">
        <f t="shared" si="80"/>
        <v>PDFを開く</v>
      </c>
      <c r="Q1410" s="8" t="s">
        <v>2227</v>
      </c>
    </row>
    <row r="1411" spans="1:17" ht="62.1" customHeight="1">
      <c r="A1411" s="5" t="s">
        <v>2222</v>
      </c>
      <c r="B1411" s="5" t="s">
        <v>1595</v>
      </c>
      <c r="C1411" s="9" t="s">
        <v>2223</v>
      </c>
      <c r="D1411" s="5">
        <v>4</v>
      </c>
      <c r="E1411" s="9" t="s">
        <v>10165</v>
      </c>
      <c r="F1411" s="5">
        <v>1</v>
      </c>
      <c r="G1411" s="9" t="s">
        <v>10167</v>
      </c>
      <c r="H1411" s="9" t="s">
        <v>10753</v>
      </c>
      <c r="I1411" s="5">
        <v>28.2</v>
      </c>
      <c r="J1411" s="5">
        <v>109.92</v>
      </c>
      <c r="K1411" s="5">
        <v>813.96</v>
      </c>
      <c r="L1411" s="5">
        <v>154.68</v>
      </c>
      <c r="M1411" s="9"/>
      <c r="N1411" s="9" t="s">
        <v>10159</v>
      </c>
      <c r="O1411" s="9" t="s">
        <v>10754</v>
      </c>
      <c r="P1411" s="9" t="str">
        <f t="shared" si="80"/>
        <v>PDFを開く</v>
      </c>
      <c r="Q1411" s="9" t="s">
        <v>2227</v>
      </c>
    </row>
    <row r="1412" spans="1:17" ht="62.1" customHeight="1">
      <c r="A1412" s="2" t="s">
        <v>2222</v>
      </c>
      <c r="B1412" s="2" t="s">
        <v>1595</v>
      </c>
      <c r="C1412" s="8" t="s">
        <v>2223</v>
      </c>
      <c r="D1412" s="2">
        <v>4</v>
      </c>
      <c r="E1412" s="8" t="s">
        <v>10165</v>
      </c>
      <c r="F1412" s="2">
        <v>2</v>
      </c>
      <c r="G1412" s="8" t="s">
        <v>10167</v>
      </c>
      <c r="H1412" s="8" t="s">
        <v>10755</v>
      </c>
      <c r="I1412" s="2">
        <v>27.96</v>
      </c>
      <c r="J1412" s="2">
        <v>154.56</v>
      </c>
      <c r="K1412" s="2">
        <v>813.96</v>
      </c>
      <c r="L1412" s="2">
        <v>311.52</v>
      </c>
      <c r="M1412" s="8"/>
      <c r="N1412" s="8" t="s">
        <v>10159</v>
      </c>
      <c r="O1412" s="8" t="s">
        <v>10756</v>
      </c>
      <c r="P1412" s="8" t="str">
        <f t="shared" si="80"/>
        <v>PDFを開く</v>
      </c>
      <c r="Q1412" s="8" t="s">
        <v>2227</v>
      </c>
    </row>
    <row r="1413" spans="1:17" ht="62.1" customHeight="1">
      <c r="A1413" s="5" t="s">
        <v>2222</v>
      </c>
      <c r="B1413" s="5" t="s">
        <v>1595</v>
      </c>
      <c r="C1413" s="9" t="s">
        <v>2223</v>
      </c>
      <c r="D1413" s="5">
        <v>4</v>
      </c>
      <c r="E1413" s="9" t="s">
        <v>10165</v>
      </c>
      <c r="F1413" s="5">
        <v>3</v>
      </c>
      <c r="G1413" s="9" t="s">
        <v>10167</v>
      </c>
      <c r="H1413" s="9" t="s">
        <v>10757</v>
      </c>
      <c r="I1413" s="5">
        <v>27.96</v>
      </c>
      <c r="J1413" s="5">
        <v>312</v>
      </c>
      <c r="K1413" s="5">
        <v>813.72</v>
      </c>
      <c r="L1413" s="5">
        <v>371.04</v>
      </c>
      <c r="M1413" s="9"/>
      <c r="N1413" s="9" t="s">
        <v>10159</v>
      </c>
      <c r="O1413" s="9" t="s">
        <v>10758</v>
      </c>
      <c r="P1413" s="9" t="str">
        <f t="shared" si="80"/>
        <v>PDFを開く</v>
      </c>
      <c r="Q1413" s="9" t="s">
        <v>2227</v>
      </c>
    </row>
    <row r="1414" spans="1:17" ht="62.1" customHeight="1">
      <c r="A1414" s="2" t="s">
        <v>2222</v>
      </c>
      <c r="B1414" s="2" t="s">
        <v>1595</v>
      </c>
      <c r="C1414" s="8" t="s">
        <v>2223</v>
      </c>
      <c r="D1414" s="2">
        <v>4</v>
      </c>
      <c r="E1414" s="8" t="s">
        <v>10165</v>
      </c>
      <c r="F1414" s="2">
        <v>4</v>
      </c>
      <c r="G1414" s="8" t="s">
        <v>10167</v>
      </c>
      <c r="H1414" s="8" t="s">
        <v>10759</v>
      </c>
      <c r="I1414" s="2">
        <v>27.96</v>
      </c>
      <c r="J1414" s="2">
        <v>371.04</v>
      </c>
      <c r="K1414" s="2">
        <v>813.72</v>
      </c>
      <c r="L1414" s="2">
        <v>420.96</v>
      </c>
      <c r="M1414" s="8"/>
      <c r="N1414" s="8" t="s">
        <v>10159</v>
      </c>
      <c r="O1414" s="8" t="s">
        <v>10760</v>
      </c>
      <c r="P1414" s="8" t="str">
        <f t="shared" si="80"/>
        <v>PDFを開く</v>
      </c>
      <c r="Q1414" s="8" t="s">
        <v>2227</v>
      </c>
    </row>
    <row r="1415" spans="1:17" ht="62.1" customHeight="1">
      <c r="A1415" s="5" t="s">
        <v>2222</v>
      </c>
      <c r="B1415" s="5" t="s">
        <v>1595</v>
      </c>
      <c r="C1415" s="9" t="s">
        <v>2223</v>
      </c>
      <c r="D1415" s="5">
        <v>4</v>
      </c>
      <c r="E1415" s="9" t="s">
        <v>10165</v>
      </c>
      <c r="F1415" s="5">
        <v>5</v>
      </c>
      <c r="G1415" s="9" t="s">
        <v>10167</v>
      </c>
      <c r="H1415" s="9" t="s">
        <v>10761</v>
      </c>
      <c r="I1415" s="5">
        <v>27.6</v>
      </c>
      <c r="J1415" s="5">
        <v>420.6</v>
      </c>
      <c r="K1415" s="5">
        <v>813.84</v>
      </c>
      <c r="L1415" s="5">
        <v>477.96</v>
      </c>
      <c r="M1415" s="9"/>
      <c r="N1415" s="9" t="s">
        <v>10159</v>
      </c>
      <c r="O1415" s="9" t="s">
        <v>10762</v>
      </c>
      <c r="P1415" s="9" t="str">
        <f t="shared" si="80"/>
        <v>PDFを開く</v>
      </c>
      <c r="Q1415" s="9" t="s">
        <v>2227</v>
      </c>
    </row>
    <row r="1416" spans="1:17" ht="62.1" customHeight="1">
      <c r="A1416" s="2" t="s">
        <v>2222</v>
      </c>
      <c r="B1416" s="2" t="s">
        <v>1595</v>
      </c>
      <c r="C1416" s="8" t="s">
        <v>2223</v>
      </c>
      <c r="D1416" s="2">
        <v>4</v>
      </c>
      <c r="E1416" s="8" t="s">
        <v>10165</v>
      </c>
      <c r="F1416" s="2">
        <v>6</v>
      </c>
      <c r="G1416" s="8" t="s">
        <v>10167</v>
      </c>
      <c r="H1416" s="8" t="s">
        <v>10763</v>
      </c>
      <c r="I1416" s="2">
        <v>27.48</v>
      </c>
      <c r="J1416" s="2">
        <v>477.96</v>
      </c>
      <c r="K1416" s="2">
        <v>813.72</v>
      </c>
      <c r="L1416" s="2">
        <v>549.48</v>
      </c>
      <c r="M1416" s="8"/>
      <c r="N1416" s="8" t="s">
        <v>10159</v>
      </c>
      <c r="O1416" s="8" t="s">
        <v>10764</v>
      </c>
      <c r="P1416" s="8" t="str">
        <f t="shared" si="80"/>
        <v>PDFを開く</v>
      </c>
      <c r="Q1416" s="8" t="s">
        <v>2227</v>
      </c>
    </row>
    <row r="1417" spans="1:17" ht="62.1" customHeight="1">
      <c r="A1417" s="5" t="s">
        <v>2228</v>
      </c>
      <c r="B1417" s="5" t="s">
        <v>1595</v>
      </c>
      <c r="C1417" s="9" t="s">
        <v>2229</v>
      </c>
      <c r="D1417" s="5">
        <v>1</v>
      </c>
      <c r="E1417" s="9" t="s">
        <v>10156</v>
      </c>
      <c r="F1417" s="5">
        <v>1</v>
      </c>
      <c r="G1417" s="9" t="s">
        <v>10171</v>
      </c>
      <c r="H1417" s="9" t="s">
        <v>10171</v>
      </c>
      <c r="I1417" s="5">
        <v>40.880000000000003</v>
      </c>
      <c r="J1417" s="5">
        <v>107.62</v>
      </c>
      <c r="K1417" s="5">
        <v>310.12</v>
      </c>
      <c r="L1417" s="5">
        <v>358.87</v>
      </c>
      <c r="M1417" s="9"/>
      <c r="N1417" s="9" t="s">
        <v>10159</v>
      </c>
      <c r="O1417" s="9" t="s">
        <v>9275</v>
      </c>
      <c r="P1417" s="9" t="str">
        <f t="shared" ref="P1417:P1422" si="81">HYPERLINK("https://seichotoushi-hojo.jp/assets/pdf/koufu_3_4ji/outline_74.pdf","PDFを開く")</f>
        <v>PDFを開く</v>
      </c>
      <c r="Q1417" s="9" t="s">
        <v>2236</v>
      </c>
    </row>
    <row r="1418" spans="1:17" ht="62.1" customHeight="1">
      <c r="A1418" s="2" t="s">
        <v>2228</v>
      </c>
      <c r="B1418" s="2" t="s">
        <v>1595</v>
      </c>
      <c r="C1418" s="8" t="s">
        <v>2229</v>
      </c>
      <c r="D1418" s="2">
        <v>1</v>
      </c>
      <c r="E1418" s="8" t="s">
        <v>10156</v>
      </c>
      <c r="F1418" s="2">
        <v>2</v>
      </c>
      <c r="G1418" s="8" t="s">
        <v>10167</v>
      </c>
      <c r="H1418" s="8" t="s">
        <v>10765</v>
      </c>
      <c r="I1418" s="2">
        <v>328.5</v>
      </c>
      <c r="J1418" s="2">
        <v>244.5</v>
      </c>
      <c r="K1418" s="2">
        <v>769.5</v>
      </c>
      <c r="L1418" s="2">
        <v>280.5</v>
      </c>
      <c r="M1418" s="8"/>
      <c r="N1418" s="8" t="s">
        <v>10159</v>
      </c>
      <c r="O1418" s="8" t="s">
        <v>10766</v>
      </c>
      <c r="P1418" s="8" t="str">
        <f t="shared" si="81"/>
        <v>PDFを開く</v>
      </c>
      <c r="Q1418" s="8" t="s">
        <v>2236</v>
      </c>
    </row>
    <row r="1419" spans="1:17" ht="62.1" customHeight="1">
      <c r="A1419" s="5" t="s">
        <v>2228</v>
      </c>
      <c r="B1419" s="5" t="s">
        <v>1595</v>
      </c>
      <c r="C1419" s="9" t="s">
        <v>2229</v>
      </c>
      <c r="D1419" s="5">
        <v>2</v>
      </c>
      <c r="E1419" s="9" t="s">
        <v>10156</v>
      </c>
      <c r="F1419" s="5">
        <v>1</v>
      </c>
      <c r="G1419" s="9" t="s">
        <v>9578</v>
      </c>
      <c r="H1419" s="9" t="s">
        <v>9578</v>
      </c>
      <c r="I1419" s="5">
        <v>35.25</v>
      </c>
      <c r="J1419" s="5">
        <v>113.25</v>
      </c>
      <c r="K1419" s="5">
        <v>378.75</v>
      </c>
      <c r="L1419" s="5">
        <v>499.5</v>
      </c>
      <c r="M1419" s="9"/>
      <c r="N1419" s="9" t="s">
        <v>10159</v>
      </c>
      <c r="O1419" s="9" t="s">
        <v>9272</v>
      </c>
      <c r="P1419" s="9" t="str">
        <f t="shared" si="81"/>
        <v>PDFを開く</v>
      </c>
      <c r="Q1419" s="9" t="s">
        <v>2236</v>
      </c>
    </row>
    <row r="1420" spans="1:17" ht="62.1" customHeight="1">
      <c r="A1420" s="2" t="s">
        <v>2228</v>
      </c>
      <c r="B1420" s="2" t="s">
        <v>1595</v>
      </c>
      <c r="C1420" s="8" t="s">
        <v>2229</v>
      </c>
      <c r="D1420" s="2">
        <v>2</v>
      </c>
      <c r="E1420" s="8" t="s">
        <v>10156</v>
      </c>
      <c r="F1420" s="2">
        <v>2</v>
      </c>
      <c r="G1420" s="8" t="s">
        <v>10162</v>
      </c>
      <c r="H1420" s="8" t="s">
        <v>10162</v>
      </c>
      <c r="I1420" s="2">
        <v>396.38</v>
      </c>
      <c r="J1420" s="2">
        <v>114.37</v>
      </c>
      <c r="K1420" s="2">
        <v>751.88</v>
      </c>
      <c r="L1420" s="2">
        <v>328.12</v>
      </c>
      <c r="M1420" s="8"/>
      <c r="N1420" s="8" t="s">
        <v>10159</v>
      </c>
      <c r="O1420" s="8" t="s">
        <v>9273</v>
      </c>
      <c r="P1420" s="8" t="str">
        <f t="shared" si="81"/>
        <v>PDFを開く</v>
      </c>
      <c r="Q1420" s="8" t="s">
        <v>2236</v>
      </c>
    </row>
    <row r="1421" spans="1:17" ht="62.1" customHeight="1">
      <c r="A1421" s="5" t="s">
        <v>2228</v>
      </c>
      <c r="B1421" s="5" t="s">
        <v>1595</v>
      </c>
      <c r="C1421" s="9" t="s">
        <v>2229</v>
      </c>
      <c r="D1421" s="5">
        <v>2</v>
      </c>
      <c r="E1421" s="9" t="s">
        <v>10156</v>
      </c>
      <c r="F1421" s="5">
        <v>3</v>
      </c>
      <c r="G1421" s="9" t="s">
        <v>10163</v>
      </c>
      <c r="H1421" s="9" t="s">
        <v>10163</v>
      </c>
      <c r="I1421" s="5">
        <v>396.38</v>
      </c>
      <c r="J1421" s="5">
        <v>341.62</v>
      </c>
      <c r="K1421" s="5">
        <v>751.88</v>
      </c>
      <c r="L1421" s="5">
        <v>499.88</v>
      </c>
      <c r="M1421" s="9"/>
      <c r="N1421" s="9" t="s">
        <v>10159</v>
      </c>
      <c r="O1421" s="9" t="s">
        <v>9274</v>
      </c>
      <c r="P1421" s="9" t="str">
        <f t="shared" si="81"/>
        <v>PDFを開く</v>
      </c>
      <c r="Q1421" s="9" t="s">
        <v>2236</v>
      </c>
    </row>
    <row r="1422" spans="1:17" ht="62.1" customHeight="1">
      <c r="A1422" s="2" t="s">
        <v>2228</v>
      </c>
      <c r="B1422" s="2" t="s">
        <v>1595</v>
      </c>
      <c r="C1422" s="8" t="s">
        <v>2229</v>
      </c>
      <c r="D1422" s="2">
        <v>2</v>
      </c>
      <c r="E1422" s="8" t="s">
        <v>10156</v>
      </c>
      <c r="F1422" s="2">
        <v>4</v>
      </c>
      <c r="G1422" s="8" t="s">
        <v>8581</v>
      </c>
      <c r="H1422" s="8" t="s">
        <v>8581</v>
      </c>
      <c r="I1422" s="2">
        <v>44.25</v>
      </c>
      <c r="J1422" s="2">
        <v>348.75</v>
      </c>
      <c r="K1422" s="2">
        <v>367.5</v>
      </c>
      <c r="L1422" s="2">
        <v>486.75</v>
      </c>
      <c r="M1422" s="8"/>
      <c r="N1422" s="8" t="s">
        <v>10159</v>
      </c>
      <c r="O1422" s="8" t="s">
        <v>2233</v>
      </c>
      <c r="P1422" s="8" t="str">
        <f t="shared" si="81"/>
        <v>PDFを開く</v>
      </c>
      <c r="Q1422" s="8" t="s">
        <v>2236</v>
      </c>
    </row>
    <row r="1423" spans="1:17" ht="62.1" customHeight="1">
      <c r="A1423" s="5" t="s">
        <v>2237</v>
      </c>
      <c r="B1423" s="5" t="s">
        <v>1595</v>
      </c>
      <c r="C1423" s="9" t="s">
        <v>2238</v>
      </c>
      <c r="D1423" s="5">
        <v>1</v>
      </c>
      <c r="E1423" s="9" t="s">
        <v>10156</v>
      </c>
      <c r="F1423" s="5">
        <v>1</v>
      </c>
      <c r="G1423" s="9" t="s">
        <v>10162</v>
      </c>
      <c r="H1423" s="9" t="s">
        <v>10162</v>
      </c>
      <c r="I1423" s="5">
        <v>396.3</v>
      </c>
      <c r="J1423" s="5">
        <v>116.47</v>
      </c>
      <c r="K1423" s="5">
        <v>739.78</v>
      </c>
      <c r="L1423" s="5">
        <v>331.76</v>
      </c>
      <c r="M1423" s="9"/>
      <c r="N1423" s="9" t="s">
        <v>10159</v>
      </c>
      <c r="O1423" s="9" t="s">
        <v>9281</v>
      </c>
      <c r="P1423" s="9" t="str">
        <f>HYPERLINK("https://seichotoushi-hojo.jp/assets/pdf/koufu_3_4ji/outline_77.pdf","PDFを開く")</f>
        <v>PDFを開く</v>
      </c>
      <c r="Q1423" s="9" t="s">
        <v>2244</v>
      </c>
    </row>
    <row r="1424" spans="1:17" ht="62.1" customHeight="1">
      <c r="A1424" s="2" t="s">
        <v>2237</v>
      </c>
      <c r="B1424" s="2" t="s">
        <v>1595</v>
      </c>
      <c r="C1424" s="8" t="s">
        <v>2238</v>
      </c>
      <c r="D1424" s="2">
        <v>1</v>
      </c>
      <c r="E1424" s="8" t="s">
        <v>10156</v>
      </c>
      <c r="F1424" s="2">
        <v>2</v>
      </c>
      <c r="G1424" s="8" t="s">
        <v>9578</v>
      </c>
      <c r="H1424" s="8" t="s">
        <v>9578</v>
      </c>
      <c r="I1424" s="2">
        <v>39.659999999999997</v>
      </c>
      <c r="J1424" s="2">
        <v>117.18</v>
      </c>
      <c r="K1424" s="2">
        <v>378.79</v>
      </c>
      <c r="L1424" s="2">
        <v>508.14</v>
      </c>
      <c r="M1424" s="8"/>
      <c r="N1424" s="8" t="s">
        <v>10159</v>
      </c>
      <c r="O1424" s="8" t="s">
        <v>9280</v>
      </c>
      <c r="P1424" s="8" t="str">
        <f>HYPERLINK("https://seichotoushi-hojo.jp/assets/pdf/koufu_3_4ji/outline_77.pdf","PDFを開く")</f>
        <v>PDFを開く</v>
      </c>
      <c r="Q1424" s="8" t="s">
        <v>2244</v>
      </c>
    </row>
    <row r="1425" spans="1:17" ht="62.1" customHeight="1">
      <c r="A1425" s="5" t="s">
        <v>2237</v>
      </c>
      <c r="B1425" s="5" t="s">
        <v>1595</v>
      </c>
      <c r="C1425" s="9" t="s">
        <v>2238</v>
      </c>
      <c r="D1425" s="5">
        <v>1</v>
      </c>
      <c r="E1425" s="9" t="s">
        <v>10156</v>
      </c>
      <c r="F1425" s="5">
        <v>3</v>
      </c>
      <c r="G1425" s="9" t="s">
        <v>10163</v>
      </c>
      <c r="H1425" s="9" t="s">
        <v>10163</v>
      </c>
      <c r="I1425" s="5">
        <v>396.3</v>
      </c>
      <c r="J1425" s="5">
        <v>341.43</v>
      </c>
      <c r="K1425" s="5">
        <v>739.78</v>
      </c>
      <c r="L1425" s="5">
        <v>508.14</v>
      </c>
      <c r="M1425" s="9"/>
      <c r="N1425" s="9" t="s">
        <v>10159</v>
      </c>
      <c r="O1425" s="9" t="s">
        <v>9282</v>
      </c>
      <c r="P1425" s="9" t="str">
        <f>HYPERLINK("https://seichotoushi-hojo.jp/assets/pdf/koufu_3_4ji/outline_77.pdf","PDFを開く")</f>
        <v>PDFを開く</v>
      </c>
      <c r="Q1425" s="9" t="s">
        <v>2244</v>
      </c>
    </row>
    <row r="1426" spans="1:17" ht="62.1" customHeight="1">
      <c r="A1426" s="2" t="s">
        <v>2237</v>
      </c>
      <c r="B1426" s="2" t="s">
        <v>1595</v>
      </c>
      <c r="C1426" s="8" t="s">
        <v>2238</v>
      </c>
      <c r="D1426" s="2">
        <v>1</v>
      </c>
      <c r="E1426" s="8" t="s">
        <v>10156</v>
      </c>
      <c r="F1426" s="2">
        <v>4</v>
      </c>
      <c r="G1426" s="8" t="s">
        <v>8581</v>
      </c>
      <c r="H1426" s="8" t="s">
        <v>8581</v>
      </c>
      <c r="I1426" s="2">
        <v>49.8</v>
      </c>
      <c r="J1426" s="2">
        <v>411.75</v>
      </c>
      <c r="K1426" s="2">
        <v>369.31</v>
      </c>
      <c r="L1426" s="2">
        <v>502.47</v>
      </c>
      <c r="M1426" s="8"/>
      <c r="N1426" s="8" t="s">
        <v>10159</v>
      </c>
      <c r="O1426" s="8" t="s">
        <v>9283</v>
      </c>
      <c r="P1426" s="8" t="str">
        <f>HYPERLINK("https://seichotoushi-hojo.jp/assets/pdf/koufu_3_4ji/outline_77.pdf","PDFを開く")</f>
        <v>PDFを開く</v>
      </c>
      <c r="Q1426" s="8" t="s">
        <v>2244</v>
      </c>
    </row>
    <row r="1427" spans="1:17" ht="62.1" customHeight="1">
      <c r="A1427" s="5" t="s">
        <v>2245</v>
      </c>
      <c r="B1427" s="5" t="s">
        <v>1595</v>
      </c>
      <c r="C1427" s="9" t="s">
        <v>2246</v>
      </c>
      <c r="D1427" s="5">
        <v>1</v>
      </c>
      <c r="E1427" s="9" t="s">
        <v>10156</v>
      </c>
      <c r="F1427" s="5">
        <v>1</v>
      </c>
      <c r="G1427" s="9" t="s">
        <v>9578</v>
      </c>
      <c r="H1427" s="9" t="s">
        <v>9578</v>
      </c>
      <c r="I1427" s="5">
        <v>28.36</v>
      </c>
      <c r="J1427" s="5">
        <v>101.81</v>
      </c>
      <c r="K1427" s="5">
        <v>367.49</v>
      </c>
      <c r="L1427" s="5">
        <v>520.9</v>
      </c>
      <c r="M1427" s="9"/>
      <c r="N1427" s="9" t="s">
        <v>10159</v>
      </c>
      <c r="O1427" s="9" t="s">
        <v>9288</v>
      </c>
      <c r="P1427" s="9" t="str">
        <f>HYPERLINK("https://seichotoushi-hojo.jp/assets/pdf/koufu_3_4ji/outline_78.pdf","PDFを開く")</f>
        <v>PDFを開く</v>
      </c>
      <c r="Q1427" s="9" t="s">
        <v>2251</v>
      </c>
    </row>
    <row r="1428" spans="1:17" ht="62.1" customHeight="1">
      <c r="A1428" s="2" t="s">
        <v>2245</v>
      </c>
      <c r="B1428" s="2" t="s">
        <v>1595</v>
      </c>
      <c r="C1428" s="8" t="s">
        <v>2246</v>
      </c>
      <c r="D1428" s="2">
        <v>1</v>
      </c>
      <c r="E1428" s="8" t="s">
        <v>10156</v>
      </c>
      <c r="F1428" s="2">
        <v>2</v>
      </c>
      <c r="G1428" s="8" t="s">
        <v>10162</v>
      </c>
      <c r="H1428" s="8" t="s">
        <v>10162</v>
      </c>
      <c r="I1428" s="2">
        <v>384.77</v>
      </c>
      <c r="J1428" s="2">
        <v>103.83</v>
      </c>
      <c r="K1428" s="2">
        <v>751.4</v>
      </c>
      <c r="L1428" s="2">
        <v>307.92</v>
      </c>
      <c r="M1428" s="8"/>
      <c r="N1428" s="8" t="s">
        <v>10159</v>
      </c>
      <c r="O1428" s="8" t="s">
        <v>9289</v>
      </c>
      <c r="P1428" s="8" t="str">
        <f>HYPERLINK("https://seichotoushi-hojo.jp/assets/pdf/koufu_3_4ji/outline_78.pdf","PDFを開く")</f>
        <v>PDFを開く</v>
      </c>
      <c r="Q1428" s="8" t="s">
        <v>2251</v>
      </c>
    </row>
    <row r="1429" spans="1:17" ht="62.1" customHeight="1">
      <c r="A1429" s="5" t="s">
        <v>2245</v>
      </c>
      <c r="B1429" s="5" t="s">
        <v>1595</v>
      </c>
      <c r="C1429" s="9" t="s">
        <v>2246</v>
      </c>
      <c r="D1429" s="5">
        <v>1</v>
      </c>
      <c r="E1429" s="9" t="s">
        <v>10156</v>
      </c>
      <c r="F1429" s="5">
        <v>3</v>
      </c>
      <c r="G1429" s="9" t="s">
        <v>10163</v>
      </c>
      <c r="H1429" s="9" t="s">
        <v>10163</v>
      </c>
      <c r="I1429" s="5">
        <v>385.01</v>
      </c>
      <c r="J1429" s="5">
        <v>316.81</v>
      </c>
      <c r="K1429" s="5">
        <v>751.64</v>
      </c>
      <c r="L1429" s="5">
        <v>520.9</v>
      </c>
      <c r="M1429" s="9"/>
      <c r="N1429" s="9" t="s">
        <v>10159</v>
      </c>
      <c r="O1429" s="9" t="s">
        <v>9290</v>
      </c>
      <c r="P1429" s="9" t="str">
        <f>HYPERLINK("https://seichotoushi-hojo.jp/assets/pdf/koufu_3_4ji/outline_78.pdf","PDFを開く")</f>
        <v>PDFを開く</v>
      </c>
      <c r="Q1429" s="9" t="s">
        <v>2251</v>
      </c>
    </row>
    <row r="1430" spans="1:17" ht="62.1" customHeight="1">
      <c r="A1430" s="2" t="s">
        <v>2245</v>
      </c>
      <c r="B1430" s="2" t="s">
        <v>1595</v>
      </c>
      <c r="C1430" s="8" t="s">
        <v>2246</v>
      </c>
      <c r="D1430" s="2">
        <v>1</v>
      </c>
      <c r="E1430" s="8" t="s">
        <v>10156</v>
      </c>
      <c r="F1430" s="2">
        <v>4</v>
      </c>
      <c r="G1430" s="8" t="s">
        <v>8581</v>
      </c>
      <c r="H1430" s="8" t="s">
        <v>8581</v>
      </c>
      <c r="I1430" s="2">
        <v>38.17</v>
      </c>
      <c r="J1430" s="2">
        <v>392.67</v>
      </c>
      <c r="K1430" s="2">
        <v>357.67</v>
      </c>
      <c r="L1430" s="2">
        <v>492.9</v>
      </c>
      <c r="M1430" s="8"/>
      <c r="N1430" s="8" t="s">
        <v>10159</v>
      </c>
      <c r="O1430" s="8" t="s">
        <v>9291</v>
      </c>
      <c r="P1430" s="8" t="str">
        <f>HYPERLINK("https://seichotoushi-hojo.jp/assets/pdf/koufu_3_4ji/outline_78.pdf","PDFを開く")</f>
        <v>PDFを開く</v>
      </c>
      <c r="Q1430" s="8" t="s">
        <v>2251</v>
      </c>
    </row>
    <row r="1431" spans="1:17" ht="62.1" customHeight="1">
      <c r="A1431" s="5" t="s">
        <v>2252</v>
      </c>
      <c r="B1431" s="5" t="s">
        <v>1595</v>
      </c>
      <c r="C1431" s="9" t="s">
        <v>2253</v>
      </c>
      <c r="D1431" s="5">
        <v>1</v>
      </c>
      <c r="E1431" s="9" t="s">
        <v>10156</v>
      </c>
      <c r="F1431" s="5">
        <v>1</v>
      </c>
      <c r="G1431" s="9" t="s">
        <v>10162</v>
      </c>
      <c r="H1431" s="9" t="s">
        <v>10162</v>
      </c>
      <c r="I1431" s="5">
        <v>397.24</v>
      </c>
      <c r="J1431" s="5">
        <v>100.3</v>
      </c>
      <c r="K1431" s="5">
        <v>756.34</v>
      </c>
      <c r="L1431" s="5">
        <v>304.10000000000002</v>
      </c>
      <c r="M1431" s="9"/>
      <c r="N1431" s="9" t="s">
        <v>10159</v>
      </c>
      <c r="O1431" s="9" t="s">
        <v>9297</v>
      </c>
      <c r="P1431" s="9" t="str">
        <f t="shared" ref="P1431:P1437" si="82">HYPERLINK("https://seichotoushi-hojo.jp/assets/pdf/koufu_3_4ji/outline_79.pdf","PDFを開く")</f>
        <v>PDFを開く</v>
      </c>
      <c r="Q1431" s="9" t="s">
        <v>2258</v>
      </c>
    </row>
    <row r="1432" spans="1:17" ht="62.1" customHeight="1">
      <c r="A1432" s="2" t="s">
        <v>2252</v>
      </c>
      <c r="B1432" s="2" t="s">
        <v>1595</v>
      </c>
      <c r="C1432" s="8" t="s">
        <v>2253</v>
      </c>
      <c r="D1432" s="2">
        <v>1</v>
      </c>
      <c r="E1432" s="8" t="s">
        <v>10156</v>
      </c>
      <c r="F1432" s="2">
        <v>2</v>
      </c>
      <c r="G1432" s="8" t="s">
        <v>9578</v>
      </c>
      <c r="H1432" s="8" t="s">
        <v>9578</v>
      </c>
      <c r="I1432" s="2">
        <v>21.66</v>
      </c>
      <c r="J1432" s="2">
        <v>101.81</v>
      </c>
      <c r="K1432" s="2">
        <v>369.34</v>
      </c>
      <c r="L1432" s="2">
        <v>530</v>
      </c>
      <c r="M1432" s="8"/>
      <c r="N1432" s="8" t="s">
        <v>10159</v>
      </c>
      <c r="O1432" s="8" t="s">
        <v>9296</v>
      </c>
      <c r="P1432" s="8" t="str">
        <f t="shared" si="82"/>
        <v>PDFを開く</v>
      </c>
      <c r="Q1432" s="8" t="s">
        <v>2258</v>
      </c>
    </row>
    <row r="1433" spans="1:17" ht="62.1" customHeight="1">
      <c r="A1433" s="5" t="s">
        <v>2252</v>
      </c>
      <c r="B1433" s="5" t="s">
        <v>1595</v>
      </c>
      <c r="C1433" s="9" t="s">
        <v>2253</v>
      </c>
      <c r="D1433" s="5">
        <v>1</v>
      </c>
      <c r="E1433" s="9" t="s">
        <v>10156</v>
      </c>
      <c r="F1433" s="5">
        <v>3</v>
      </c>
      <c r="G1433" s="9" t="s">
        <v>10163</v>
      </c>
      <c r="H1433" s="9" t="s">
        <v>10163</v>
      </c>
      <c r="I1433" s="5">
        <v>397.24</v>
      </c>
      <c r="J1433" s="5">
        <v>311.82</v>
      </c>
      <c r="K1433" s="5">
        <v>756.34</v>
      </c>
      <c r="L1433" s="5">
        <v>530</v>
      </c>
      <c r="M1433" s="9"/>
      <c r="N1433" s="9" t="s">
        <v>10159</v>
      </c>
      <c r="O1433" s="9" t="s">
        <v>9298</v>
      </c>
      <c r="P1433" s="9" t="str">
        <f t="shared" si="82"/>
        <v>PDFを開く</v>
      </c>
      <c r="Q1433" s="9" t="s">
        <v>2258</v>
      </c>
    </row>
    <row r="1434" spans="1:17" ht="62.1" customHeight="1">
      <c r="A1434" s="2" t="s">
        <v>2252</v>
      </c>
      <c r="B1434" s="2" t="s">
        <v>1595</v>
      </c>
      <c r="C1434" s="8" t="s">
        <v>2253</v>
      </c>
      <c r="D1434" s="2">
        <v>1</v>
      </c>
      <c r="E1434" s="8" t="s">
        <v>10156</v>
      </c>
      <c r="F1434" s="2">
        <v>4</v>
      </c>
      <c r="G1434" s="8" t="s">
        <v>8581</v>
      </c>
      <c r="H1434" s="8" t="s">
        <v>8581</v>
      </c>
      <c r="I1434" s="2">
        <v>30.17</v>
      </c>
      <c r="J1434" s="2">
        <v>415.33</v>
      </c>
      <c r="K1434" s="2">
        <v>358.82</v>
      </c>
      <c r="L1434" s="2">
        <v>520.9</v>
      </c>
      <c r="M1434" s="8"/>
      <c r="N1434" s="8" t="s">
        <v>10159</v>
      </c>
      <c r="O1434" s="8" t="s">
        <v>9299</v>
      </c>
      <c r="P1434" s="8" t="str">
        <f t="shared" si="82"/>
        <v>PDFを開く</v>
      </c>
      <c r="Q1434" s="8" t="s">
        <v>2258</v>
      </c>
    </row>
    <row r="1435" spans="1:17" ht="62.1" customHeight="1">
      <c r="A1435" s="5" t="s">
        <v>2252</v>
      </c>
      <c r="B1435" s="5" t="s">
        <v>1595</v>
      </c>
      <c r="C1435" s="9" t="s">
        <v>2253</v>
      </c>
      <c r="D1435" s="5">
        <v>2</v>
      </c>
      <c r="E1435" s="9" t="s">
        <v>10165</v>
      </c>
      <c r="F1435" s="5">
        <v>1</v>
      </c>
      <c r="G1435" s="9" t="s">
        <v>10167</v>
      </c>
      <c r="H1435" s="9" t="s">
        <v>10767</v>
      </c>
      <c r="I1435" s="5">
        <v>509.08</v>
      </c>
      <c r="J1435" s="5">
        <v>143.01</v>
      </c>
      <c r="K1435" s="5">
        <v>751.64</v>
      </c>
      <c r="L1435" s="5">
        <v>395.48</v>
      </c>
      <c r="M1435" s="9"/>
      <c r="N1435" s="9" t="s">
        <v>10159</v>
      </c>
      <c r="O1435" s="9" t="s">
        <v>10768</v>
      </c>
      <c r="P1435" s="9" t="str">
        <f t="shared" si="82"/>
        <v>PDFを開く</v>
      </c>
      <c r="Q1435" s="9" t="s">
        <v>2258</v>
      </c>
    </row>
    <row r="1436" spans="1:17" ht="62.1" customHeight="1">
      <c r="A1436" s="2" t="s">
        <v>2252</v>
      </c>
      <c r="B1436" s="2" t="s">
        <v>1595</v>
      </c>
      <c r="C1436" s="8" t="s">
        <v>2253</v>
      </c>
      <c r="D1436" s="2">
        <v>3</v>
      </c>
      <c r="E1436" s="8" t="s">
        <v>10165</v>
      </c>
      <c r="F1436" s="2">
        <v>1</v>
      </c>
      <c r="G1436" s="8" t="s">
        <v>10167</v>
      </c>
      <c r="H1436" s="8" t="s">
        <v>10769</v>
      </c>
      <c r="I1436" s="2">
        <v>331.37</v>
      </c>
      <c r="J1436" s="2">
        <v>122.74</v>
      </c>
      <c r="K1436" s="2">
        <v>763.66</v>
      </c>
      <c r="L1436" s="2">
        <v>194.8</v>
      </c>
      <c r="M1436" s="8"/>
      <c r="N1436" s="8" t="s">
        <v>10159</v>
      </c>
      <c r="O1436" s="8" t="s">
        <v>10770</v>
      </c>
      <c r="P1436" s="8" t="str">
        <f t="shared" si="82"/>
        <v>PDFを開く</v>
      </c>
      <c r="Q1436" s="8" t="s">
        <v>2258</v>
      </c>
    </row>
    <row r="1437" spans="1:17" ht="62.1" customHeight="1">
      <c r="A1437" s="5" t="s">
        <v>2252</v>
      </c>
      <c r="B1437" s="5" t="s">
        <v>1595</v>
      </c>
      <c r="C1437" s="9" t="s">
        <v>2253</v>
      </c>
      <c r="D1437" s="5">
        <v>3</v>
      </c>
      <c r="E1437" s="9" t="s">
        <v>10165</v>
      </c>
      <c r="F1437" s="5">
        <v>2</v>
      </c>
      <c r="G1437" s="9" t="s">
        <v>10167</v>
      </c>
      <c r="H1437" s="9" t="s">
        <v>10771</v>
      </c>
      <c r="I1437" s="5">
        <v>15.43</v>
      </c>
      <c r="J1437" s="5">
        <v>449.13</v>
      </c>
      <c r="K1437" s="5">
        <v>656.31</v>
      </c>
      <c r="L1437" s="5">
        <v>528.5</v>
      </c>
      <c r="M1437" s="9"/>
      <c r="N1437" s="9" t="s">
        <v>10159</v>
      </c>
      <c r="O1437" s="9" t="s">
        <v>10772</v>
      </c>
      <c r="P1437" s="9" t="str">
        <f t="shared" si="82"/>
        <v>PDFを開く</v>
      </c>
      <c r="Q1437" s="9" t="s">
        <v>2258</v>
      </c>
    </row>
    <row r="1438" spans="1:17" ht="62.1" customHeight="1">
      <c r="A1438" s="2" t="s">
        <v>2259</v>
      </c>
      <c r="B1438" s="2" t="s">
        <v>1595</v>
      </c>
      <c r="C1438" s="8" t="s">
        <v>2260</v>
      </c>
      <c r="D1438" s="2">
        <v>1</v>
      </c>
      <c r="E1438" s="8" t="s">
        <v>10156</v>
      </c>
      <c r="F1438" s="2">
        <v>1</v>
      </c>
      <c r="G1438" s="8" t="s">
        <v>10162</v>
      </c>
      <c r="H1438" s="8" t="s">
        <v>10162</v>
      </c>
      <c r="I1438" s="2">
        <v>396.3</v>
      </c>
      <c r="J1438" s="2">
        <v>100.02</v>
      </c>
      <c r="K1438" s="2">
        <v>739.78</v>
      </c>
      <c r="L1438" s="2">
        <v>295.61</v>
      </c>
      <c r="M1438" s="8"/>
      <c r="N1438" s="8" t="s">
        <v>10159</v>
      </c>
      <c r="O1438" s="8" t="s">
        <v>9305</v>
      </c>
      <c r="P1438" s="8" t="str">
        <f>HYPERLINK("https://seichotoushi-hojo.jp/assets/pdf/koufu_3_4ji/outline_8.pdf","PDFを開く")</f>
        <v>PDFを開く</v>
      </c>
      <c r="Q1438" s="8" t="s">
        <v>2265</v>
      </c>
    </row>
    <row r="1439" spans="1:17" ht="62.1" customHeight="1">
      <c r="A1439" s="5" t="s">
        <v>2259</v>
      </c>
      <c r="B1439" s="5" t="s">
        <v>1595</v>
      </c>
      <c r="C1439" s="9" t="s">
        <v>2260</v>
      </c>
      <c r="D1439" s="5">
        <v>1</v>
      </c>
      <c r="E1439" s="9" t="s">
        <v>10156</v>
      </c>
      <c r="F1439" s="5">
        <v>2</v>
      </c>
      <c r="G1439" s="9" t="s">
        <v>9578</v>
      </c>
      <c r="H1439" s="9" t="s">
        <v>9578</v>
      </c>
      <c r="I1439" s="5">
        <v>39.659999999999997</v>
      </c>
      <c r="J1439" s="5">
        <v>101.81</v>
      </c>
      <c r="K1439" s="5">
        <v>378.79</v>
      </c>
      <c r="L1439" s="5">
        <v>499.73</v>
      </c>
      <c r="M1439" s="9"/>
      <c r="N1439" s="9" t="s">
        <v>10159</v>
      </c>
      <c r="O1439" s="9" t="s">
        <v>9304</v>
      </c>
      <c r="P1439" s="9" t="str">
        <f>HYPERLINK("https://seichotoushi-hojo.jp/assets/pdf/koufu_3_4ji/outline_8.pdf","PDFを開く")</f>
        <v>PDFを開く</v>
      </c>
      <c r="Q1439" s="9" t="s">
        <v>2265</v>
      </c>
    </row>
    <row r="1440" spans="1:17" ht="62.1" customHeight="1">
      <c r="A1440" s="2" t="s">
        <v>2259</v>
      </c>
      <c r="B1440" s="2" t="s">
        <v>1595</v>
      </c>
      <c r="C1440" s="8" t="s">
        <v>2260</v>
      </c>
      <c r="D1440" s="2">
        <v>1</v>
      </c>
      <c r="E1440" s="8" t="s">
        <v>10156</v>
      </c>
      <c r="F1440" s="2">
        <v>3</v>
      </c>
      <c r="G1440" s="8" t="s">
        <v>10163</v>
      </c>
      <c r="H1440" s="8" t="s">
        <v>10163</v>
      </c>
      <c r="I1440" s="2">
        <v>396.3</v>
      </c>
      <c r="J1440" s="2">
        <v>304.48</v>
      </c>
      <c r="K1440" s="2">
        <v>739.78</v>
      </c>
      <c r="L1440" s="2">
        <v>500.07</v>
      </c>
      <c r="M1440" s="8"/>
      <c r="N1440" s="8" t="s">
        <v>10159</v>
      </c>
      <c r="O1440" s="8" t="s">
        <v>9306</v>
      </c>
      <c r="P1440" s="8" t="str">
        <f>HYPERLINK("https://seichotoushi-hojo.jp/assets/pdf/koufu_3_4ji/outline_8.pdf","PDFを開く")</f>
        <v>PDFを開く</v>
      </c>
      <c r="Q1440" s="8" t="s">
        <v>2265</v>
      </c>
    </row>
    <row r="1441" spans="1:17" ht="62.1" customHeight="1">
      <c r="A1441" s="5" t="s">
        <v>2259</v>
      </c>
      <c r="B1441" s="5" t="s">
        <v>1595</v>
      </c>
      <c r="C1441" s="9" t="s">
        <v>2260</v>
      </c>
      <c r="D1441" s="5">
        <v>1</v>
      </c>
      <c r="E1441" s="9" t="s">
        <v>10156</v>
      </c>
      <c r="F1441" s="5">
        <v>4</v>
      </c>
      <c r="G1441" s="9" t="s">
        <v>8581</v>
      </c>
      <c r="H1441" s="9" t="s">
        <v>8581</v>
      </c>
      <c r="I1441" s="5">
        <v>48</v>
      </c>
      <c r="J1441" s="5">
        <v>379.5</v>
      </c>
      <c r="K1441" s="5">
        <v>367.5</v>
      </c>
      <c r="L1441" s="5">
        <v>486.75</v>
      </c>
      <c r="M1441" s="9"/>
      <c r="N1441" s="9" t="s">
        <v>10159</v>
      </c>
      <c r="O1441" s="9" t="s">
        <v>9307</v>
      </c>
      <c r="P1441" s="9" t="str">
        <f>HYPERLINK("https://seichotoushi-hojo.jp/assets/pdf/koufu_3_4ji/outline_8.pdf","PDFを開く")</f>
        <v>PDFを開く</v>
      </c>
      <c r="Q1441" s="9" t="s">
        <v>2265</v>
      </c>
    </row>
    <row r="1442" spans="1:17" ht="62.1" customHeight="1">
      <c r="A1442" s="2" t="s">
        <v>2266</v>
      </c>
      <c r="B1442" s="2" t="s">
        <v>1595</v>
      </c>
      <c r="C1442" s="8" t="s">
        <v>2267</v>
      </c>
      <c r="D1442" s="2">
        <v>1</v>
      </c>
      <c r="E1442" s="8" t="s">
        <v>10156</v>
      </c>
      <c r="F1442" s="2">
        <v>1</v>
      </c>
      <c r="G1442" s="8" t="s">
        <v>10162</v>
      </c>
      <c r="H1442" s="8" t="s">
        <v>10162</v>
      </c>
      <c r="I1442" s="2">
        <v>384.9</v>
      </c>
      <c r="J1442" s="2">
        <v>93.76</v>
      </c>
      <c r="K1442" s="2">
        <v>779.52</v>
      </c>
      <c r="L1442" s="2">
        <v>317.08</v>
      </c>
      <c r="M1442" s="8"/>
      <c r="N1442" s="8" t="s">
        <v>10159</v>
      </c>
      <c r="O1442" s="8" t="s">
        <v>9313</v>
      </c>
      <c r="P1442" s="8" t="str">
        <f>HYPERLINK("https://seichotoushi-hojo.jp/assets/pdf/koufu_3_4ji/outline_80.pdf","PDFを開く")</f>
        <v>PDFを開く</v>
      </c>
      <c r="Q1442" s="8" t="s">
        <v>2273</v>
      </c>
    </row>
    <row r="1443" spans="1:17" ht="62.1" customHeight="1">
      <c r="A1443" s="5" t="s">
        <v>2266</v>
      </c>
      <c r="B1443" s="5" t="s">
        <v>1595</v>
      </c>
      <c r="C1443" s="9" t="s">
        <v>2267</v>
      </c>
      <c r="D1443" s="5">
        <v>1</v>
      </c>
      <c r="E1443" s="9" t="s">
        <v>10156</v>
      </c>
      <c r="F1443" s="5">
        <v>2</v>
      </c>
      <c r="G1443" s="9" t="s">
        <v>9578</v>
      </c>
      <c r="H1443" s="9" t="s">
        <v>9578</v>
      </c>
      <c r="I1443" s="5">
        <v>28.74</v>
      </c>
      <c r="J1443" s="5">
        <v>94.3</v>
      </c>
      <c r="K1443" s="5">
        <v>367.49</v>
      </c>
      <c r="L1443" s="5">
        <v>536.99</v>
      </c>
      <c r="M1443" s="9"/>
      <c r="N1443" s="9" t="s">
        <v>10159</v>
      </c>
      <c r="O1443" s="9" t="s">
        <v>9312</v>
      </c>
      <c r="P1443" s="9" t="str">
        <f>HYPERLINK("https://seichotoushi-hojo.jp/assets/pdf/koufu_3_4ji/outline_80.pdf","PDFを開く")</f>
        <v>PDFを開く</v>
      </c>
      <c r="Q1443" s="9" t="s">
        <v>2273</v>
      </c>
    </row>
    <row r="1444" spans="1:17" ht="62.1" customHeight="1">
      <c r="A1444" s="2" t="s">
        <v>2266</v>
      </c>
      <c r="B1444" s="2" t="s">
        <v>1595</v>
      </c>
      <c r="C1444" s="8" t="s">
        <v>2267</v>
      </c>
      <c r="D1444" s="2">
        <v>1</v>
      </c>
      <c r="E1444" s="8" t="s">
        <v>10156</v>
      </c>
      <c r="F1444" s="2">
        <v>3</v>
      </c>
      <c r="G1444" s="8" t="s">
        <v>10163</v>
      </c>
      <c r="H1444" s="8" t="s">
        <v>10163</v>
      </c>
      <c r="I1444" s="2">
        <v>384.86</v>
      </c>
      <c r="J1444" s="2">
        <v>317.22000000000003</v>
      </c>
      <c r="K1444" s="2">
        <v>779.85</v>
      </c>
      <c r="L1444" s="2">
        <v>538.33000000000004</v>
      </c>
      <c r="M1444" s="8"/>
      <c r="N1444" s="8" t="s">
        <v>10159</v>
      </c>
      <c r="O1444" s="8" t="s">
        <v>9314</v>
      </c>
      <c r="P1444" s="8" t="str">
        <f>HYPERLINK("https://seichotoushi-hojo.jp/assets/pdf/koufu_3_4ji/outline_80.pdf","PDFを開く")</f>
        <v>PDFを開く</v>
      </c>
      <c r="Q1444" s="8" t="s">
        <v>2273</v>
      </c>
    </row>
    <row r="1445" spans="1:17" ht="62.1" customHeight="1">
      <c r="A1445" s="5" t="s">
        <v>2266</v>
      </c>
      <c r="B1445" s="5" t="s">
        <v>1595</v>
      </c>
      <c r="C1445" s="9" t="s">
        <v>2267</v>
      </c>
      <c r="D1445" s="5">
        <v>1</v>
      </c>
      <c r="E1445" s="9" t="s">
        <v>10156</v>
      </c>
      <c r="F1445" s="5">
        <v>4</v>
      </c>
      <c r="G1445" s="9" t="s">
        <v>8581</v>
      </c>
      <c r="H1445" s="9" t="s">
        <v>8581</v>
      </c>
      <c r="I1445" s="5">
        <v>33.28</v>
      </c>
      <c r="J1445" s="5">
        <v>390.46</v>
      </c>
      <c r="K1445" s="5">
        <v>361.48</v>
      </c>
      <c r="L1445" s="5">
        <v>536.35</v>
      </c>
      <c r="M1445" s="9"/>
      <c r="N1445" s="9" t="s">
        <v>10159</v>
      </c>
      <c r="O1445" s="9" t="s">
        <v>9315</v>
      </c>
      <c r="P1445" s="9" t="str">
        <f>HYPERLINK("https://seichotoushi-hojo.jp/assets/pdf/koufu_3_4ji/outline_80.pdf","PDFを開く")</f>
        <v>PDFを開く</v>
      </c>
      <c r="Q1445" s="9" t="s">
        <v>2273</v>
      </c>
    </row>
    <row r="1446" spans="1:17" ht="62.1" customHeight="1">
      <c r="A1446" s="2" t="s">
        <v>2274</v>
      </c>
      <c r="B1446" s="2" t="s">
        <v>1595</v>
      </c>
      <c r="C1446" s="8" t="s">
        <v>2275</v>
      </c>
      <c r="D1446" s="2">
        <v>1</v>
      </c>
      <c r="E1446" s="8" t="s">
        <v>10156</v>
      </c>
      <c r="F1446" s="2">
        <v>1</v>
      </c>
      <c r="G1446" s="8" t="s">
        <v>9578</v>
      </c>
      <c r="H1446" s="8" t="s">
        <v>9578</v>
      </c>
      <c r="I1446" s="2">
        <v>15.12</v>
      </c>
      <c r="J1446" s="2">
        <v>114.84</v>
      </c>
      <c r="K1446" s="2">
        <v>421.8</v>
      </c>
      <c r="L1446" s="2">
        <v>578.52</v>
      </c>
      <c r="M1446" s="8"/>
      <c r="N1446" s="8" t="s">
        <v>10159</v>
      </c>
      <c r="O1446" s="8" t="s">
        <v>9320</v>
      </c>
      <c r="P1446" s="8" t="str">
        <f t="shared" ref="P1446:P1451" si="83">HYPERLINK("https://seichotoushi-hojo.jp/assets/pdf/koufu_3_4ji/outline_81.pdf","PDFを開く")</f>
        <v>PDFを開く</v>
      </c>
      <c r="Q1446" s="8" t="s">
        <v>2282</v>
      </c>
    </row>
    <row r="1447" spans="1:17" ht="62.1" customHeight="1">
      <c r="A1447" s="5" t="s">
        <v>2274</v>
      </c>
      <c r="B1447" s="5" t="s">
        <v>1595</v>
      </c>
      <c r="C1447" s="9" t="s">
        <v>2275</v>
      </c>
      <c r="D1447" s="5">
        <v>1</v>
      </c>
      <c r="E1447" s="9" t="s">
        <v>10156</v>
      </c>
      <c r="F1447" s="5">
        <v>2</v>
      </c>
      <c r="G1447" s="9" t="s">
        <v>10162</v>
      </c>
      <c r="H1447" s="9" t="s">
        <v>10162</v>
      </c>
      <c r="I1447" s="5">
        <v>440.76</v>
      </c>
      <c r="J1447" s="5">
        <v>114.84</v>
      </c>
      <c r="K1447" s="5">
        <v>830.88</v>
      </c>
      <c r="L1447" s="5">
        <v>346.44</v>
      </c>
      <c r="M1447" s="9"/>
      <c r="N1447" s="9" t="s">
        <v>10159</v>
      </c>
      <c r="O1447" s="9" t="s">
        <v>9321</v>
      </c>
      <c r="P1447" s="9" t="str">
        <f t="shared" si="83"/>
        <v>PDFを開く</v>
      </c>
      <c r="Q1447" s="9" t="s">
        <v>2282</v>
      </c>
    </row>
    <row r="1448" spans="1:17" ht="62.1" customHeight="1">
      <c r="A1448" s="2" t="s">
        <v>2274</v>
      </c>
      <c r="B1448" s="2" t="s">
        <v>1595</v>
      </c>
      <c r="C1448" s="8" t="s">
        <v>2275</v>
      </c>
      <c r="D1448" s="2">
        <v>1</v>
      </c>
      <c r="E1448" s="8" t="s">
        <v>10156</v>
      </c>
      <c r="F1448" s="2">
        <v>3</v>
      </c>
      <c r="G1448" s="8" t="s">
        <v>10163</v>
      </c>
      <c r="H1448" s="8" t="s">
        <v>10163</v>
      </c>
      <c r="I1448" s="2">
        <v>440.76</v>
      </c>
      <c r="J1448" s="2">
        <v>353.64</v>
      </c>
      <c r="K1448" s="2">
        <v>830.88</v>
      </c>
      <c r="L1448" s="2">
        <v>578.52</v>
      </c>
      <c r="M1448" s="8"/>
      <c r="N1448" s="8" t="s">
        <v>10159</v>
      </c>
      <c r="O1448" s="8" t="s">
        <v>9322</v>
      </c>
      <c r="P1448" s="8" t="str">
        <f t="shared" si="83"/>
        <v>PDFを開く</v>
      </c>
      <c r="Q1448" s="8" t="s">
        <v>2282</v>
      </c>
    </row>
    <row r="1449" spans="1:17" ht="62.1" customHeight="1">
      <c r="A1449" s="5" t="s">
        <v>2274</v>
      </c>
      <c r="B1449" s="5" t="s">
        <v>1595</v>
      </c>
      <c r="C1449" s="9" t="s">
        <v>2275</v>
      </c>
      <c r="D1449" s="5">
        <v>1</v>
      </c>
      <c r="E1449" s="9" t="s">
        <v>10156</v>
      </c>
      <c r="F1449" s="5">
        <v>4</v>
      </c>
      <c r="G1449" s="9" t="s">
        <v>8581</v>
      </c>
      <c r="H1449" s="9" t="s">
        <v>8581</v>
      </c>
      <c r="I1449" s="5">
        <v>35.520000000000003</v>
      </c>
      <c r="J1449" s="5">
        <v>406.08</v>
      </c>
      <c r="K1449" s="5">
        <v>399.6</v>
      </c>
      <c r="L1449" s="5">
        <v>569.4</v>
      </c>
      <c r="M1449" s="9"/>
      <c r="N1449" s="9" t="s">
        <v>10159</v>
      </c>
      <c r="O1449" s="9" t="s">
        <v>9323</v>
      </c>
      <c r="P1449" s="9" t="str">
        <f t="shared" si="83"/>
        <v>PDFを開く</v>
      </c>
      <c r="Q1449" s="9" t="s">
        <v>2282</v>
      </c>
    </row>
    <row r="1450" spans="1:17" ht="62.1" customHeight="1">
      <c r="A1450" s="2" t="s">
        <v>2274</v>
      </c>
      <c r="B1450" s="2" t="s">
        <v>1595</v>
      </c>
      <c r="C1450" s="8" t="s">
        <v>2275</v>
      </c>
      <c r="D1450" s="2">
        <v>2</v>
      </c>
      <c r="E1450" s="8" t="s">
        <v>10165</v>
      </c>
      <c r="F1450" s="2">
        <v>1</v>
      </c>
      <c r="G1450" s="8" t="s">
        <v>10167</v>
      </c>
      <c r="H1450" s="8" t="s">
        <v>10773</v>
      </c>
      <c r="I1450" s="2">
        <v>117.84</v>
      </c>
      <c r="J1450" s="2">
        <v>270</v>
      </c>
      <c r="K1450" s="2">
        <v>486.96</v>
      </c>
      <c r="L1450" s="2">
        <v>418.44</v>
      </c>
      <c r="M1450" s="8"/>
      <c r="N1450" s="8" t="s">
        <v>10159</v>
      </c>
      <c r="O1450" s="8" t="s">
        <v>10774</v>
      </c>
      <c r="P1450" s="8" t="str">
        <f t="shared" si="83"/>
        <v>PDFを開く</v>
      </c>
      <c r="Q1450" s="8" t="s">
        <v>2282</v>
      </c>
    </row>
    <row r="1451" spans="1:17" ht="62.1" customHeight="1">
      <c r="A1451" s="5" t="s">
        <v>2274</v>
      </c>
      <c r="B1451" s="5" t="s">
        <v>1595</v>
      </c>
      <c r="C1451" s="9" t="s">
        <v>2275</v>
      </c>
      <c r="D1451" s="5">
        <v>2</v>
      </c>
      <c r="E1451" s="9" t="s">
        <v>10165</v>
      </c>
      <c r="F1451" s="5">
        <v>2</v>
      </c>
      <c r="G1451" s="9" t="s">
        <v>10167</v>
      </c>
      <c r="H1451" s="9" t="s">
        <v>5265</v>
      </c>
      <c r="I1451" s="5">
        <v>118.56</v>
      </c>
      <c r="J1451" s="5">
        <v>428.16</v>
      </c>
      <c r="K1451" s="5">
        <v>571.08000000000004</v>
      </c>
      <c r="L1451" s="5">
        <v>458.64</v>
      </c>
      <c r="M1451" s="9"/>
      <c r="N1451" s="9" t="s">
        <v>10159</v>
      </c>
      <c r="O1451" s="9" t="s">
        <v>10187</v>
      </c>
      <c r="P1451" s="9" t="str">
        <f t="shared" si="83"/>
        <v>PDFを開く</v>
      </c>
      <c r="Q1451" s="9" t="s">
        <v>2282</v>
      </c>
    </row>
    <row r="1452" spans="1:17" ht="62.1" customHeight="1">
      <c r="A1452" s="2" t="s">
        <v>2283</v>
      </c>
      <c r="B1452" s="2" t="s">
        <v>1595</v>
      </c>
      <c r="C1452" s="8" t="s">
        <v>2284</v>
      </c>
      <c r="D1452" s="2">
        <v>1</v>
      </c>
      <c r="E1452" s="8" t="s">
        <v>10156</v>
      </c>
      <c r="F1452" s="2">
        <v>1</v>
      </c>
      <c r="G1452" s="8" t="s">
        <v>9578</v>
      </c>
      <c r="H1452" s="8" t="s">
        <v>9578</v>
      </c>
      <c r="I1452" s="2">
        <v>42.84</v>
      </c>
      <c r="J1452" s="2">
        <v>134.16</v>
      </c>
      <c r="K1452" s="2">
        <v>408.84</v>
      </c>
      <c r="L1452" s="2">
        <v>561.24</v>
      </c>
      <c r="M1452" s="8"/>
      <c r="N1452" s="8" t="s">
        <v>10159</v>
      </c>
      <c r="O1452" s="8" t="s">
        <v>9328</v>
      </c>
      <c r="P1452" s="8" t="str">
        <f>HYPERLINK("https://seichotoushi-hojo.jp/assets/pdf/koufu_3_4ji/outline_82.pdf","PDFを開く")</f>
        <v>PDFを開く</v>
      </c>
      <c r="Q1452" s="8" t="s">
        <v>2290</v>
      </c>
    </row>
    <row r="1453" spans="1:17" ht="62.1" customHeight="1">
      <c r="A1453" s="5" t="s">
        <v>2283</v>
      </c>
      <c r="B1453" s="5" t="s">
        <v>1595</v>
      </c>
      <c r="C1453" s="9" t="s">
        <v>2284</v>
      </c>
      <c r="D1453" s="5">
        <v>1</v>
      </c>
      <c r="E1453" s="9" t="s">
        <v>10156</v>
      </c>
      <c r="F1453" s="5">
        <v>2</v>
      </c>
      <c r="G1453" s="9" t="s">
        <v>10162</v>
      </c>
      <c r="H1453" s="9" t="s">
        <v>10162</v>
      </c>
      <c r="I1453" s="5">
        <v>427.8</v>
      </c>
      <c r="J1453" s="5">
        <v>134.16</v>
      </c>
      <c r="K1453" s="5">
        <v>798.48</v>
      </c>
      <c r="L1453" s="5">
        <v>353.28</v>
      </c>
      <c r="M1453" s="9"/>
      <c r="N1453" s="9" t="s">
        <v>10159</v>
      </c>
      <c r="O1453" s="9" t="s">
        <v>9329</v>
      </c>
      <c r="P1453" s="9" t="str">
        <f>HYPERLINK("https://seichotoushi-hojo.jp/assets/pdf/koufu_3_4ji/outline_82.pdf","PDFを開く")</f>
        <v>PDFを開く</v>
      </c>
      <c r="Q1453" s="9" t="s">
        <v>2290</v>
      </c>
    </row>
    <row r="1454" spans="1:17" ht="62.1" customHeight="1">
      <c r="A1454" s="2" t="s">
        <v>2283</v>
      </c>
      <c r="B1454" s="2" t="s">
        <v>1595</v>
      </c>
      <c r="C1454" s="8" t="s">
        <v>2284</v>
      </c>
      <c r="D1454" s="2">
        <v>1</v>
      </c>
      <c r="E1454" s="8" t="s">
        <v>10156</v>
      </c>
      <c r="F1454" s="2">
        <v>3</v>
      </c>
      <c r="G1454" s="8" t="s">
        <v>8581</v>
      </c>
      <c r="H1454" s="8" t="s">
        <v>8581</v>
      </c>
      <c r="I1454" s="2">
        <v>56.76</v>
      </c>
      <c r="J1454" s="2">
        <v>339.12</v>
      </c>
      <c r="K1454" s="2">
        <v>395.04</v>
      </c>
      <c r="L1454" s="2">
        <v>545.64</v>
      </c>
      <c r="M1454" s="8"/>
      <c r="N1454" s="8" t="s">
        <v>10159</v>
      </c>
      <c r="O1454" s="8" t="s">
        <v>9331</v>
      </c>
      <c r="P1454" s="8" t="str">
        <f>HYPERLINK("https://seichotoushi-hojo.jp/assets/pdf/koufu_3_4ji/outline_82.pdf","PDFを開く")</f>
        <v>PDFを開く</v>
      </c>
      <c r="Q1454" s="8" t="s">
        <v>2290</v>
      </c>
    </row>
    <row r="1455" spans="1:17" ht="62.1" customHeight="1">
      <c r="A1455" s="5" t="s">
        <v>2283</v>
      </c>
      <c r="B1455" s="5" t="s">
        <v>1595</v>
      </c>
      <c r="C1455" s="9" t="s">
        <v>2284</v>
      </c>
      <c r="D1455" s="5">
        <v>1</v>
      </c>
      <c r="E1455" s="9" t="s">
        <v>10156</v>
      </c>
      <c r="F1455" s="5">
        <v>4</v>
      </c>
      <c r="G1455" s="9" t="s">
        <v>10163</v>
      </c>
      <c r="H1455" s="9" t="s">
        <v>10163</v>
      </c>
      <c r="I1455" s="5">
        <v>427.8</v>
      </c>
      <c r="J1455" s="5">
        <v>364.08</v>
      </c>
      <c r="K1455" s="5">
        <v>798.48</v>
      </c>
      <c r="L1455" s="5">
        <v>561.24</v>
      </c>
      <c r="M1455" s="9"/>
      <c r="N1455" s="9" t="s">
        <v>10159</v>
      </c>
      <c r="O1455" s="9" t="s">
        <v>9330</v>
      </c>
      <c r="P1455" s="9" t="str">
        <f>HYPERLINK("https://seichotoushi-hojo.jp/assets/pdf/koufu_3_4ji/outline_82.pdf","PDFを開く")</f>
        <v>PDFを開く</v>
      </c>
      <c r="Q1455" s="9" t="s">
        <v>2290</v>
      </c>
    </row>
    <row r="1456" spans="1:17" ht="62.1" customHeight="1">
      <c r="A1456" s="2" t="s">
        <v>2291</v>
      </c>
      <c r="B1456" s="2" t="s">
        <v>1595</v>
      </c>
      <c r="C1456" s="8" t="s">
        <v>2292</v>
      </c>
      <c r="D1456" s="2">
        <v>1</v>
      </c>
      <c r="E1456" s="8" t="s">
        <v>10156</v>
      </c>
      <c r="F1456" s="2">
        <v>1</v>
      </c>
      <c r="G1456" s="8" t="s">
        <v>9578</v>
      </c>
      <c r="H1456" s="8" t="s">
        <v>9578</v>
      </c>
      <c r="I1456" s="2">
        <v>22.43</v>
      </c>
      <c r="J1456" s="2">
        <v>98.74</v>
      </c>
      <c r="K1456" s="2">
        <v>378.79</v>
      </c>
      <c r="L1456" s="2">
        <v>532.16999999999996</v>
      </c>
      <c r="M1456" s="8"/>
      <c r="N1456" s="8" t="s">
        <v>10159</v>
      </c>
      <c r="O1456" s="8" t="s">
        <v>9336</v>
      </c>
      <c r="P1456" s="8" t="str">
        <f>HYPERLINK("https://seichotoushi-hojo.jp/assets/pdf/koufu_3_4ji/outline_83.pdf","PDFを開く")</f>
        <v>PDFを開く</v>
      </c>
      <c r="Q1456" s="8" t="s">
        <v>2297</v>
      </c>
    </row>
    <row r="1457" spans="1:17" ht="62.1" customHeight="1">
      <c r="A1457" s="5" t="s">
        <v>2291</v>
      </c>
      <c r="B1457" s="5" t="s">
        <v>1595</v>
      </c>
      <c r="C1457" s="9" t="s">
        <v>2292</v>
      </c>
      <c r="D1457" s="5">
        <v>1</v>
      </c>
      <c r="E1457" s="9" t="s">
        <v>10156</v>
      </c>
      <c r="F1457" s="5">
        <v>2</v>
      </c>
      <c r="G1457" s="9" t="s">
        <v>10162</v>
      </c>
      <c r="H1457" s="9" t="s">
        <v>10162</v>
      </c>
      <c r="I1457" s="5">
        <v>396.3</v>
      </c>
      <c r="J1457" s="5">
        <v>98.75</v>
      </c>
      <c r="K1457" s="5">
        <v>763.82</v>
      </c>
      <c r="L1457" s="5">
        <v>328.45</v>
      </c>
      <c r="M1457" s="9"/>
      <c r="N1457" s="9" t="s">
        <v>10159</v>
      </c>
      <c r="O1457" s="9" t="s">
        <v>9337</v>
      </c>
      <c r="P1457" s="9" t="str">
        <f>HYPERLINK("https://seichotoushi-hojo.jp/assets/pdf/koufu_3_4ji/outline_83.pdf","PDFを開く")</f>
        <v>PDFを開く</v>
      </c>
      <c r="Q1457" s="9" t="s">
        <v>2297</v>
      </c>
    </row>
    <row r="1458" spans="1:17" ht="62.1" customHeight="1">
      <c r="A1458" s="2" t="s">
        <v>2291</v>
      </c>
      <c r="B1458" s="2" t="s">
        <v>1595</v>
      </c>
      <c r="C1458" s="8" t="s">
        <v>2292</v>
      </c>
      <c r="D1458" s="2">
        <v>1</v>
      </c>
      <c r="E1458" s="8" t="s">
        <v>10156</v>
      </c>
      <c r="F1458" s="2">
        <v>3</v>
      </c>
      <c r="G1458" s="8" t="s">
        <v>8581</v>
      </c>
      <c r="H1458" s="8" t="s">
        <v>8581</v>
      </c>
      <c r="I1458" s="2">
        <v>32.75</v>
      </c>
      <c r="J1458" s="2">
        <v>216.21</v>
      </c>
      <c r="K1458" s="2">
        <v>367.5</v>
      </c>
      <c r="L1458" s="2">
        <v>312.58999999999997</v>
      </c>
      <c r="M1458" s="8"/>
      <c r="N1458" s="8" t="s">
        <v>10159</v>
      </c>
      <c r="O1458" s="8" t="s">
        <v>9339</v>
      </c>
      <c r="P1458" s="8" t="str">
        <f>HYPERLINK("https://seichotoushi-hojo.jp/assets/pdf/koufu_3_4ji/outline_83.pdf","PDFを開く")</f>
        <v>PDFを開く</v>
      </c>
      <c r="Q1458" s="8" t="s">
        <v>2297</v>
      </c>
    </row>
    <row r="1459" spans="1:17" ht="62.1" customHeight="1">
      <c r="A1459" s="5" t="s">
        <v>2291</v>
      </c>
      <c r="B1459" s="5" t="s">
        <v>1595</v>
      </c>
      <c r="C1459" s="9" t="s">
        <v>2292</v>
      </c>
      <c r="D1459" s="5">
        <v>1</v>
      </c>
      <c r="E1459" s="9" t="s">
        <v>10156</v>
      </c>
      <c r="F1459" s="5">
        <v>4</v>
      </c>
      <c r="G1459" s="9" t="s">
        <v>10163</v>
      </c>
      <c r="H1459" s="9" t="s">
        <v>10163</v>
      </c>
      <c r="I1459" s="5">
        <v>396.3</v>
      </c>
      <c r="J1459" s="5">
        <v>332.98</v>
      </c>
      <c r="K1459" s="5">
        <v>763.82</v>
      </c>
      <c r="L1459" s="5">
        <v>520.9</v>
      </c>
      <c r="M1459" s="9"/>
      <c r="N1459" s="9" t="s">
        <v>10159</v>
      </c>
      <c r="O1459" s="9" t="s">
        <v>9338</v>
      </c>
      <c r="P1459" s="9" t="str">
        <f>HYPERLINK("https://seichotoushi-hojo.jp/assets/pdf/koufu_3_4ji/outline_83.pdf","PDFを開く")</f>
        <v>PDFを開く</v>
      </c>
      <c r="Q1459" s="9" t="s">
        <v>2297</v>
      </c>
    </row>
    <row r="1460" spans="1:17" ht="62.1" customHeight="1">
      <c r="A1460" s="2" t="s">
        <v>2298</v>
      </c>
      <c r="B1460" s="2" t="s">
        <v>1595</v>
      </c>
      <c r="C1460" s="8" t="s">
        <v>2299</v>
      </c>
      <c r="D1460" s="2">
        <v>1</v>
      </c>
      <c r="E1460" s="8" t="s">
        <v>10156</v>
      </c>
      <c r="F1460" s="2">
        <v>1</v>
      </c>
      <c r="G1460" s="8" t="s">
        <v>10162</v>
      </c>
      <c r="H1460" s="8" t="s">
        <v>10162</v>
      </c>
      <c r="I1460" s="2">
        <v>382.92</v>
      </c>
      <c r="J1460" s="2">
        <v>113.88</v>
      </c>
      <c r="K1460" s="2">
        <v>834.24</v>
      </c>
      <c r="L1460" s="2">
        <v>368.16</v>
      </c>
      <c r="M1460" s="8"/>
      <c r="N1460" s="8" t="s">
        <v>10159</v>
      </c>
      <c r="O1460" s="8" t="s">
        <v>9345</v>
      </c>
      <c r="P1460" s="8" t="str">
        <f>HYPERLINK("https://seichotoushi-hojo.jp/assets/pdf/koufu_3_4ji/outline_84.pdf","PDFを開く")</f>
        <v>PDFを開く</v>
      </c>
      <c r="Q1460" s="8" t="s">
        <v>2304</v>
      </c>
    </row>
    <row r="1461" spans="1:17" ht="62.1" customHeight="1">
      <c r="A1461" s="5" t="s">
        <v>2298</v>
      </c>
      <c r="B1461" s="5" t="s">
        <v>1595</v>
      </c>
      <c r="C1461" s="9" t="s">
        <v>2299</v>
      </c>
      <c r="D1461" s="5">
        <v>1</v>
      </c>
      <c r="E1461" s="9" t="s">
        <v>10156</v>
      </c>
      <c r="F1461" s="5">
        <v>2</v>
      </c>
      <c r="G1461" s="9" t="s">
        <v>9578</v>
      </c>
      <c r="H1461" s="9" t="s">
        <v>9578</v>
      </c>
      <c r="I1461" s="5">
        <v>3.12</v>
      </c>
      <c r="J1461" s="5">
        <v>114</v>
      </c>
      <c r="K1461" s="5">
        <v>369.24</v>
      </c>
      <c r="L1461" s="5">
        <v>576.24</v>
      </c>
      <c r="M1461" s="9"/>
      <c r="N1461" s="9" t="s">
        <v>10159</v>
      </c>
      <c r="O1461" s="9" t="s">
        <v>9344</v>
      </c>
      <c r="P1461" s="9" t="str">
        <f>HYPERLINK("https://seichotoushi-hojo.jp/assets/pdf/koufu_3_4ji/outline_84.pdf","PDFを開く")</f>
        <v>PDFを開く</v>
      </c>
      <c r="Q1461" s="9" t="s">
        <v>2304</v>
      </c>
    </row>
    <row r="1462" spans="1:17" ht="62.1" customHeight="1">
      <c r="A1462" s="2" t="s">
        <v>2298</v>
      </c>
      <c r="B1462" s="2" t="s">
        <v>1595</v>
      </c>
      <c r="C1462" s="8" t="s">
        <v>2299</v>
      </c>
      <c r="D1462" s="2">
        <v>1</v>
      </c>
      <c r="E1462" s="8" t="s">
        <v>10156</v>
      </c>
      <c r="F1462" s="2">
        <v>3</v>
      </c>
      <c r="G1462" s="8" t="s">
        <v>10163</v>
      </c>
      <c r="H1462" s="8" t="s">
        <v>10163</v>
      </c>
      <c r="I1462" s="2">
        <v>382.92</v>
      </c>
      <c r="J1462" s="2">
        <v>373.32</v>
      </c>
      <c r="K1462" s="2">
        <v>834.24</v>
      </c>
      <c r="L1462" s="2">
        <v>582.96</v>
      </c>
      <c r="M1462" s="8"/>
      <c r="N1462" s="8" t="s">
        <v>10159</v>
      </c>
      <c r="O1462" s="8" t="s">
        <v>9346</v>
      </c>
      <c r="P1462" s="8" t="str">
        <f>HYPERLINK("https://seichotoushi-hojo.jp/assets/pdf/koufu_3_4ji/outline_84.pdf","PDFを開く")</f>
        <v>PDFを開く</v>
      </c>
      <c r="Q1462" s="8" t="s">
        <v>2304</v>
      </c>
    </row>
    <row r="1463" spans="1:17" ht="62.1" customHeight="1">
      <c r="A1463" s="5" t="s">
        <v>2298</v>
      </c>
      <c r="B1463" s="5" t="s">
        <v>1595</v>
      </c>
      <c r="C1463" s="9" t="s">
        <v>2299</v>
      </c>
      <c r="D1463" s="5">
        <v>3</v>
      </c>
      <c r="E1463" s="9" t="s">
        <v>10165</v>
      </c>
      <c r="F1463" s="5">
        <v>1</v>
      </c>
      <c r="G1463" s="9" t="s">
        <v>10167</v>
      </c>
      <c r="H1463" s="9" t="s">
        <v>4518</v>
      </c>
      <c r="I1463" s="5">
        <v>129.12</v>
      </c>
      <c r="J1463" s="5">
        <v>297.72000000000003</v>
      </c>
      <c r="K1463" s="5">
        <v>558.96</v>
      </c>
      <c r="L1463" s="5">
        <v>328.2</v>
      </c>
      <c r="M1463" s="9"/>
      <c r="N1463" s="9" t="s">
        <v>10159</v>
      </c>
      <c r="O1463" s="9" t="s">
        <v>10752</v>
      </c>
      <c r="P1463" s="9" t="str">
        <f>HYPERLINK("https://seichotoushi-hojo.jp/assets/pdf/koufu_3_4ji/outline_84.pdf","PDFを開く")</f>
        <v>PDFを開く</v>
      </c>
      <c r="Q1463" s="9" t="s">
        <v>2304</v>
      </c>
    </row>
    <row r="1464" spans="1:17" ht="62.1" customHeight="1">
      <c r="A1464" s="2" t="s">
        <v>2305</v>
      </c>
      <c r="B1464" s="2" t="s">
        <v>1595</v>
      </c>
      <c r="C1464" s="8" t="s">
        <v>2306</v>
      </c>
      <c r="D1464" s="2">
        <v>1</v>
      </c>
      <c r="E1464" s="8" t="s">
        <v>10156</v>
      </c>
      <c r="F1464" s="2">
        <v>1</v>
      </c>
      <c r="G1464" s="8" t="s">
        <v>9578</v>
      </c>
      <c r="H1464" s="8" t="s">
        <v>9578</v>
      </c>
      <c r="I1464" s="2">
        <v>42.84</v>
      </c>
      <c r="J1464" s="2">
        <v>116.16</v>
      </c>
      <c r="K1464" s="2">
        <v>408.84</v>
      </c>
      <c r="L1464" s="2">
        <v>554.28</v>
      </c>
      <c r="M1464" s="8"/>
      <c r="N1464" s="8" t="s">
        <v>10159</v>
      </c>
      <c r="O1464" s="8" t="s">
        <v>9351</v>
      </c>
      <c r="P1464" s="8" t="str">
        <f>HYPERLINK("https://seichotoushi-hojo.jp/assets/pdf/koufu_3_4ji/outline_85.pdf","PDFを開く")</f>
        <v>PDFを開く</v>
      </c>
      <c r="Q1464" s="8" t="s">
        <v>2312</v>
      </c>
    </row>
    <row r="1465" spans="1:17" ht="62.1" customHeight="1">
      <c r="A1465" s="5" t="s">
        <v>2305</v>
      </c>
      <c r="B1465" s="5" t="s">
        <v>1595</v>
      </c>
      <c r="C1465" s="9" t="s">
        <v>2306</v>
      </c>
      <c r="D1465" s="5">
        <v>1</v>
      </c>
      <c r="E1465" s="9" t="s">
        <v>10156</v>
      </c>
      <c r="F1465" s="5">
        <v>2</v>
      </c>
      <c r="G1465" s="9" t="s">
        <v>10162</v>
      </c>
      <c r="H1465" s="9" t="s">
        <v>10162</v>
      </c>
      <c r="I1465" s="5">
        <v>427.68</v>
      </c>
      <c r="J1465" s="5">
        <v>116.16</v>
      </c>
      <c r="K1465" s="5">
        <v>798.36</v>
      </c>
      <c r="L1465" s="5">
        <v>330.72</v>
      </c>
      <c r="M1465" s="9"/>
      <c r="N1465" s="9" t="s">
        <v>10159</v>
      </c>
      <c r="O1465" s="9" t="s">
        <v>9352</v>
      </c>
      <c r="P1465" s="9" t="str">
        <f>HYPERLINK("https://seichotoushi-hojo.jp/assets/pdf/koufu_3_4ji/outline_85.pdf","PDFを開く")</f>
        <v>PDFを開く</v>
      </c>
      <c r="Q1465" s="9" t="s">
        <v>2312</v>
      </c>
    </row>
    <row r="1466" spans="1:17" ht="62.1" customHeight="1">
      <c r="A1466" s="2" t="s">
        <v>2305</v>
      </c>
      <c r="B1466" s="2" t="s">
        <v>1595</v>
      </c>
      <c r="C1466" s="8" t="s">
        <v>2306</v>
      </c>
      <c r="D1466" s="2">
        <v>1</v>
      </c>
      <c r="E1466" s="8" t="s">
        <v>10156</v>
      </c>
      <c r="F1466" s="2">
        <v>3</v>
      </c>
      <c r="G1466" s="8" t="s">
        <v>10163</v>
      </c>
      <c r="H1466" s="8" t="s">
        <v>10163</v>
      </c>
      <c r="I1466" s="2">
        <v>427.68</v>
      </c>
      <c r="J1466" s="2">
        <v>330.96</v>
      </c>
      <c r="K1466" s="2">
        <v>798.36</v>
      </c>
      <c r="L1466" s="2">
        <v>554.28</v>
      </c>
      <c r="M1466" s="8"/>
      <c r="N1466" s="8" t="s">
        <v>10159</v>
      </c>
      <c r="O1466" s="8" t="s">
        <v>9353</v>
      </c>
      <c r="P1466" s="8" t="str">
        <f>HYPERLINK("https://seichotoushi-hojo.jp/assets/pdf/koufu_3_4ji/outline_85.pdf","PDFを開く")</f>
        <v>PDFを開く</v>
      </c>
      <c r="Q1466" s="8" t="s">
        <v>2312</v>
      </c>
    </row>
    <row r="1467" spans="1:17" ht="62.1" customHeight="1">
      <c r="A1467" s="5" t="s">
        <v>2305</v>
      </c>
      <c r="B1467" s="5" t="s">
        <v>1595</v>
      </c>
      <c r="C1467" s="9" t="s">
        <v>2306</v>
      </c>
      <c r="D1467" s="5">
        <v>1</v>
      </c>
      <c r="E1467" s="9" t="s">
        <v>10156</v>
      </c>
      <c r="F1467" s="5">
        <v>4</v>
      </c>
      <c r="G1467" s="9" t="s">
        <v>8581</v>
      </c>
      <c r="H1467" s="9" t="s">
        <v>8581</v>
      </c>
      <c r="I1467" s="5">
        <v>68.400000000000006</v>
      </c>
      <c r="J1467" s="5">
        <v>421.68</v>
      </c>
      <c r="K1467" s="5">
        <v>385.68</v>
      </c>
      <c r="L1467" s="5">
        <v>536.64</v>
      </c>
      <c r="M1467" s="9"/>
      <c r="N1467" s="9" t="s">
        <v>10159</v>
      </c>
      <c r="O1467" s="9" t="s">
        <v>9354</v>
      </c>
      <c r="P1467" s="9" t="str">
        <f>HYPERLINK("https://seichotoushi-hojo.jp/assets/pdf/koufu_3_4ji/outline_85.pdf","PDFを開く")</f>
        <v>PDFを開く</v>
      </c>
      <c r="Q1467" s="9" t="s">
        <v>2312</v>
      </c>
    </row>
    <row r="1468" spans="1:17" ht="62.1" customHeight="1">
      <c r="A1468" s="2" t="s">
        <v>2313</v>
      </c>
      <c r="B1468" s="2" t="s">
        <v>1595</v>
      </c>
      <c r="C1468" s="8" t="s">
        <v>2314</v>
      </c>
      <c r="D1468" s="2">
        <v>1</v>
      </c>
      <c r="E1468" s="8" t="s">
        <v>10156</v>
      </c>
      <c r="F1468" s="2">
        <v>1</v>
      </c>
      <c r="G1468" s="8" t="s">
        <v>9578</v>
      </c>
      <c r="H1468" s="8" t="s">
        <v>9578</v>
      </c>
      <c r="I1468" s="2">
        <v>36.83</v>
      </c>
      <c r="J1468" s="2">
        <v>129.12</v>
      </c>
      <c r="K1468" s="2">
        <v>407.57</v>
      </c>
      <c r="L1468" s="2">
        <v>568.26</v>
      </c>
      <c r="M1468" s="8"/>
      <c r="N1468" s="8" t="s">
        <v>10159</v>
      </c>
      <c r="O1468" s="8" t="s">
        <v>9359</v>
      </c>
      <c r="P1468" s="8" t="str">
        <f>HYPERLINK("https://seichotoushi-hojo.jp/assets/pdf/koufu_3_4ji/outline_86.pdf","PDFを開く")</f>
        <v>PDFを開く</v>
      </c>
      <c r="Q1468" s="8" t="s">
        <v>2319</v>
      </c>
    </row>
    <row r="1469" spans="1:17" ht="62.1" customHeight="1">
      <c r="A1469" s="5" t="s">
        <v>2313</v>
      </c>
      <c r="B1469" s="5" t="s">
        <v>1595</v>
      </c>
      <c r="C1469" s="9" t="s">
        <v>2314</v>
      </c>
      <c r="D1469" s="5">
        <v>1</v>
      </c>
      <c r="E1469" s="9" t="s">
        <v>10156</v>
      </c>
      <c r="F1469" s="5">
        <v>2</v>
      </c>
      <c r="G1469" s="9" t="s">
        <v>10162</v>
      </c>
      <c r="H1469" s="9" t="s">
        <v>10162</v>
      </c>
      <c r="I1469" s="5">
        <v>427.85</v>
      </c>
      <c r="J1469" s="5">
        <v>211.2</v>
      </c>
      <c r="K1469" s="5">
        <v>798.59</v>
      </c>
      <c r="L1469" s="5">
        <v>393</v>
      </c>
      <c r="M1469" s="9"/>
      <c r="N1469" s="9" t="s">
        <v>10159</v>
      </c>
      <c r="O1469" s="9" t="s">
        <v>9360</v>
      </c>
      <c r="P1469" s="9" t="str">
        <f>HYPERLINK("https://seichotoushi-hojo.jp/assets/pdf/koufu_3_4ji/outline_86.pdf","PDFを開く")</f>
        <v>PDFを開く</v>
      </c>
      <c r="Q1469" s="9" t="s">
        <v>2319</v>
      </c>
    </row>
    <row r="1470" spans="1:17" ht="62.1" customHeight="1">
      <c r="A1470" s="2" t="s">
        <v>2313</v>
      </c>
      <c r="B1470" s="2" t="s">
        <v>1595</v>
      </c>
      <c r="C1470" s="8" t="s">
        <v>2314</v>
      </c>
      <c r="D1470" s="2">
        <v>1</v>
      </c>
      <c r="E1470" s="8" t="s">
        <v>10156</v>
      </c>
      <c r="F1470" s="2">
        <v>3</v>
      </c>
      <c r="G1470" s="8" t="s">
        <v>10163</v>
      </c>
      <c r="H1470" s="8" t="s">
        <v>10163</v>
      </c>
      <c r="I1470" s="2">
        <v>427.85</v>
      </c>
      <c r="J1470" s="2">
        <v>425.22</v>
      </c>
      <c r="K1470" s="2">
        <v>798.59</v>
      </c>
      <c r="L1470" s="2">
        <v>548.4</v>
      </c>
      <c r="M1470" s="8"/>
      <c r="N1470" s="8" t="s">
        <v>10159</v>
      </c>
      <c r="O1470" s="8" t="s">
        <v>9361</v>
      </c>
      <c r="P1470" s="8" t="str">
        <f>HYPERLINK("https://seichotoushi-hojo.jp/assets/pdf/koufu_3_4ji/outline_86.pdf","PDFを開く")</f>
        <v>PDFを開く</v>
      </c>
      <c r="Q1470" s="8" t="s">
        <v>2319</v>
      </c>
    </row>
    <row r="1471" spans="1:17" ht="62.1" customHeight="1">
      <c r="A1471" s="5" t="s">
        <v>2313</v>
      </c>
      <c r="B1471" s="5" t="s">
        <v>1595</v>
      </c>
      <c r="C1471" s="9" t="s">
        <v>2314</v>
      </c>
      <c r="D1471" s="5">
        <v>2</v>
      </c>
      <c r="E1471" s="9" t="s">
        <v>10165</v>
      </c>
      <c r="F1471" s="5">
        <v>1</v>
      </c>
      <c r="G1471" s="9" t="s">
        <v>10167</v>
      </c>
      <c r="H1471" s="9" t="s">
        <v>10775</v>
      </c>
      <c r="I1471" s="5">
        <v>137.03</v>
      </c>
      <c r="J1471" s="5">
        <v>436.5</v>
      </c>
      <c r="K1471" s="5">
        <v>798.35</v>
      </c>
      <c r="L1471" s="5">
        <v>466.92</v>
      </c>
      <c r="M1471" s="9"/>
      <c r="N1471" s="9" t="s">
        <v>10159</v>
      </c>
      <c r="O1471" s="9" t="s">
        <v>10776</v>
      </c>
      <c r="P1471" s="9" t="str">
        <f>HYPERLINK("https://seichotoushi-hojo.jp/assets/pdf/koufu_3_4ji/outline_86.pdf","PDFを開く")</f>
        <v>PDFを開く</v>
      </c>
      <c r="Q1471" s="9" t="s">
        <v>2319</v>
      </c>
    </row>
    <row r="1472" spans="1:17" ht="62.1" customHeight="1">
      <c r="A1472" s="2" t="s">
        <v>2320</v>
      </c>
      <c r="B1472" s="2" t="s">
        <v>1595</v>
      </c>
      <c r="C1472" s="8" t="s">
        <v>2321</v>
      </c>
      <c r="D1472" s="2">
        <v>1</v>
      </c>
      <c r="E1472" s="8" t="s">
        <v>10156</v>
      </c>
      <c r="F1472" s="2">
        <v>1</v>
      </c>
      <c r="G1472" s="8" t="s">
        <v>9578</v>
      </c>
      <c r="H1472" s="8" t="s">
        <v>9578</v>
      </c>
      <c r="I1472" s="2">
        <v>39.659999999999997</v>
      </c>
      <c r="J1472" s="2">
        <v>109.61</v>
      </c>
      <c r="K1472" s="2">
        <v>378.79</v>
      </c>
      <c r="L1472" s="2">
        <v>508.3</v>
      </c>
      <c r="M1472" s="8"/>
      <c r="N1472" s="8" t="s">
        <v>10159</v>
      </c>
      <c r="O1472" s="8" t="s">
        <v>9366</v>
      </c>
      <c r="P1472" s="8" t="str">
        <f>HYPERLINK("https://seichotoushi-hojo.jp/assets/pdf/koufu_3_4ji/outline_87.pdf","PDFを開く")</f>
        <v>PDFを開く</v>
      </c>
      <c r="Q1472" s="8" t="s">
        <v>2327</v>
      </c>
    </row>
    <row r="1473" spans="1:17" ht="62.1" customHeight="1">
      <c r="A1473" s="5" t="s">
        <v>2320</v>
      </c>
      <c r="B1473" s="5" t="s">
        <v>1595</v>
      </c>
      <c r="C1473" s="9" t="s">
        <v>2321</v>
      </c>
      <c r="D1473" s="5">
        <v>1</v>
      </c>
      <c r="E1473" s="9" t="s">
        <v>10156</v>
      </c>
      <c r="F1473" s="5">
        <v>2</v>
      </c>
      <c r="G1473" s="9" t="s">
        <v>10162</v>
      </c>
      <c r="H1473" s="9" t="s">
        <v>10162</v>
      </c>
      <c r="I1473" s="5">
        <v>400.41</v>
      </c>
      <c r="J1473" s="5">
        <v>110.28</v>
      </c>
      <c r="K1473" s="5">
        <v>743.89</v>
      </c>
      <c r="L1473" s="5">
        <v>308.42</v>
      </c>
      <c r="M1473" s="9"/>
      <c r="N1473" s="9" t="s">
        <v>10159</v>
      </c>
      <c r="O1473" s="9" t="s">
        <v>9367</v>
      </c>
      <c r="P1473" s="9" t="str">
        <f>HYPERLINK("https://seichotoushi-hojo.jp/assets/pdf/koufu_3_4ji/outline_87.pdf","PDFを開く")</f>
        <v>PDFを開く</v>
      </c>
      <c r="Q1473" s="9" t="s">
        <v>2327</v>
      </c>
    </row>
    <row r="1474" spans="1:17" ht="62.1" customHeight="1">
      <c r="A1474" s="2" t="s">
        <v>2320</v>
      </c>
      <c r="B1474" s="2" t="s">
        <v>1595</v>
      </c>
      <c r="C1474" s="8" t="s">
        <v>2321</v>
      </c>
      <c r="D1474" s="2">
        <v>1</v>
      </c>
      <c r="E1474" s="8" t="s">
        <v>10156</v>
      </c>
      <c r="F1474" s="2">
        <v>3</v>
      </c>
      <c r="G1474" s="8" t="s">
        <v>10163</v>
      </c>
      <c r="H1474" s="8" t="s">
        <v>10163</v>
      </c>
      <c r="I1474" s="2">
        <v>401.22</v>
      </c>
      <c r="J1474" s="2">
        <v>324.97000000000003</v>
      </c>
      <c r="K1474" s="2">
        <v>744.7</v>
      </c>
      <c r="L1474" s="2">
        <v>483.27</v>
      </c>
      <c r="M1474" s="8"/>
      <c r="N1474" s="8" t="s">
        <v>10159</v>
      </c>
      <c r="O1474" s="8" t="s">
        <v>9368</v>
      </c>
      <c r="P1474" s="8" t="str">
        <f>HYPERLINK("https://seichotoushi-hojo.jp/assets/pdf/koufu_3_4ji/outline_87.pdf","PDFを開く")</f>
        <v>PDFを開く</v>
      </c>
      <c r="Q1474" s="8" t="s">
        <v>2327</v>
      </c>
    </row>
    <row r="1475" spans="1:17" ht="62.1" customHeight="1">
      <c r="A1475" s="5" t="s">
        <v>2320</v>
      </c>
      <c r="B1475" s="5" t="s">
        <v>1595</v>
      </c>
      <c r="C1475" s="9" t="s">
        <v>2321</v>
      </c>
      <c r="D1475" s="5">
        <v>1</v>
      </c>
      <c r="E1475" s="9" t="s">
        <v>10156</v>
      </c>
      <c r="F1475" s="5">
        <v>4</v>
      </c>
      <c r="G1475" s="9" t="s">
        <v>8581</v>
      </c>
      <c r="H1475" s="9" t="s">
        <v>8581</v>
      </c>
      <c r="I1475" s="5">
        <v>49.47</v>
      </c>
      <c r="J1475" s="5">
        <v>367.51</v>
      </c>
      <c r="K1475" s="5">
        <v>368.97</v>
      </c>
      <c r="L1475" s="5">
        <v>499.73</v>
      </c>
      <c r="M1475" s="9"/>
      <c r="N1475" s="9" t="s">
        <v>10159</v>
      </c>
      <c r="O1475" s="9" t="s">
        <v>9369</v>
      </c>
      <c r="P1475" s="9" t="str">
        <f>HYPERLINK("https://seichotoushi-hojo.jp/assets/pdf/koufu_3_4ji/outline_87.pdf","PDFを開く")</f>
        <v>PDFを開く</v>
      </c>
      <c r="Q1475" s="9" t="s">
        <v>2327</v>
      </c>
    </row>
    <row r="1476" spans="1:17" ht="62.1" customHeight="1">
      <c r="A1476" s="2" t="s">
        <v>2328</v>
      </c>
      <c r="B1476" s="2" t="s">
        <v>1595</v>
      </c>
      <c r="C1476" s="8" t="s">
        <v>2329</v>
      </c>
      <c r="D1476" s="2">
        <v>1</v>
      </c>
      <c r="E1476" s="8" t="s">
        <v>10156</v>
      </c>
      <c r="F1476" s="2">
        <v>1</v>
      </c>
      <c r="G1476" s="8" t="s">
        <v>9578</v>
      </c>
      <c r="H1476" s="8" t="s">
        <v>9578</v>
      </c>
      <c r="I1476" s="2">
        <v>8.2799999999999994</v>
      </c>
      <c r="J1476" s="2">
        <v>97.58</v>
      </c>
      <c r="K1476" s="2">
        <v>388.97</v>
      </c>
      <c r="L1476" s="2">
        <v>520.55999999999995</v>
      </c>
      <c r="M1476" s="8"/>
      <c r="N1476" s="8" t="s">
        <v>10159</v>
      </c>
      <c r="O1476" s="8" t="s">
        <v>9374</v>
      </c>
      <c r="P1476" s="8" t="str">
        <f>HYPERLINK("https://seichotoushi-hojo.jp/assets/pdf/koufu_3_4ji/outline_88.pdf","PDFを開く")</f>
        <v>PDFを開く</v>
      </c>
      <c r="Q1476" s="8" t="s">
        <v>2335</v>
      </c>
    </row>
    <row r="1477" spans="1:17" ht="62.1" customHeight="1">
      <c r="A1477" s="5" t="s">
        <v>2328</v>
      </c>
      <c r="B1477" s="5" t="s">
        <v>1595</v>
      </c>
      <c r="C1477" s="9" t="s">
        <v>2329</v>
      </c>
      <c r="D1477" s="5">
        <v>1</v>
      </c>
      <c r="E1477" s="9" t="s">
        <v>10156</v>
      </c>
      <c r="F1477" s="5">
        <v>2</v>
      </c>
      <c r="G1477" s="9" t="s">
        <v>10162</v>
      </c>
      <c r="H1477" s="9" t="s">
        <v>10162</v>
      </c>
      <c r="I1477" s="5">
        <v>406.5</v>
      </c>
      <c r="J1477" s="5">
        <v>97.58</v>
      </c>
      <c r="K1477" s="5">
        <v>771.72</v>
      </c>
      <c r="L1477" s="5">
        <v>264.24</v>
      </c>
      <c r="M1477" s="9"/>
      <c r="N1477" s="9" t="s">
        <v>10159</v>
      </c>
      <c r="O1477" s="9" t="s">
        <v>9375</v>
      </c>
      <c r="P1477" s="9" t="str">
        <f>HYPERLINK("https://seichotoushi-hojo.jp/assets/pdf/koufu_3_4ji/outline_88.pdf","PDFを開く")</f>
        <v>PDFを開く</v>
      </c>
      <c r="Q1477" s="9" t="s">
        <v>2335</v>
      </c>
    </row>
    <row r="1478" spans="1:17" ht="62.1" customHeight="1">
      <c r="A1478" s="2" t="s">
        <v>2328</v>
      </c>
      <c r="B1478" s="2" t="s">
        <v>1595</v>
      </c>
      <c r="C1478" s="8" t="s">
        <v>2329</v>
      </c>
      <c r="D1478" s="2">
        <v>1</v>
      </c>
      <c r="E1478" s="8" t="s">
        <v>10156</v>
      </c>
      <c r="F1478" s="2">
        <v>3</v>
      </c>
      <c r="G1478" s="8" t="s">
        <v>10163</v>
      </c>
      <c r="H1478" s="8" t="s">
        <v>10163</v>
      </c>
      <c r="I1478" s="2">
        <v>406.5</v>
      </c>
      <c r="J1478" s="2">
        <v>268.04000000000002</v>
      </c>
      <c r="K1478" s="2">
        <v>771.72</v>
      </c>
      <c r="L1478" s="2">
        <v>520.55999999999995</v>
      </c>
      <c r="M1478" s="8"/>
      <c r="N1478" s="8" t="s">
        <v>10159</v>
      </c>
      <c r="O1478" s="8" t="s">
        <v>9376</v>
      </c>
      <c r="P1478" s="8" t="str">
        <f>HYPERLINK("https://seichotoushi-hojo.jp/assets/pdf/koufu_3_4ji/outline_88.pdf","PDFを開く")</f>
        <v>PDFを開く</v>
      </c>
      <c r="Q1478" s="8" t="s">
        <v>2335</v>
      </c>
    </row>
    <row r="1479" spans="1:17" ht="62.1" customHeight="1">
      <c r="A1479" s="5" t="s">
        <v>2328</v>
      </c>
      <c r="B1479" s="5" t="s">
        <v>1595</v>
      </c>
      <c r="C1479" s="9" t="s">
        <v>2329</v>
      </c>
      <c r="D1479" s="5">
        <v>1</v>
      </c>
      <c r="E1479" s="9" t="s">
        <v>10156</v>
      </c>
      <c r="F1479" s="5">
        <v>4</v>
      </c>
      <c r="G1479" s="9" t="s">
        <v>8581</v>
      </c>
      <c r="H1479" s="9" t="s">
        <v>8581</v>
      </c>
      <c r="I1479" s="5">
        <v>16.010000000000002</v>
      </c>
      <c r="J1479" s="5">
        <v>408.29</v>
      </c>
      <c r="K1479" s="5">
        <v>380.98</v>
      </c>
      <c r="L1479" s="5">
        <v>508.77</v>
      </c>
      <c r="M1479" s="9"/>
      <c r="N1479" s="9" t="s">
        <v>10159</v>
      </c>
      <c r="O1479" s="9" t="s">
        <v>9377</v>
      </c>
      <c r="P1479" s="9" t="str">
        <f>HYPERLINK("https://seichotoushi-hojo.jp/assets/pdf/koufu_3_4ji/outline_88.pdf","PDFを開く")</f>
        <v>PDFを開く</v>
      </c>
      <c r="Q1479" s="9" t="s">
        <v>2335</v>
      </c>
    </row>
    <row r="1480" spans="1:17" ht="62.1" customHeight="1">
      <c r="A1480" s="2" t="s">
        <v>2336</v>
      </c>
      <c r="B1480" s="2" t="s">
        <v>1595</v>
      </c>
      <c r="C1480" s="8" t="s">
        <v>2337</v>
      </c>
      <c r="D1480" s="2">
        <v>1</v>
      </c>
      <c r="E1480" s="8" t="s">
        <v>10156</v>
      </c>
      <c r="F1480" s="2">
        <v>1</v>
      </c>
      <c r="G1480" s="8" t="s">
        <v>9578</v>
      </c>
      <c r="H1480" s="8" t="s">
        <v>9578</v>
      </c>
      <c r="I1480" s="2">
        <v>17.75</v>
      </c>
      <c r="J1480" s="2">
        <v>104.01</v>
      </c>
      <c r="K1480" s="2">
        <v>764.88</v>
      </c>
      <c r="L1480" s="2">
        <v>406.75</v>
      </c>
      <c r="M1480" s="8"/>
      <c r="N1480" s="8" t="s">
        <v>10159</v>
      </c>
      <c r="O1480" s="8" t="s">
        <v>9382</v>
      </c>
      <c r="P1480" s="8" t="str">
        <f t="shared" ref="P1480:P1486" si="84">HYPERLINK("https://seichotoushi-hojo.jp/assets/pdf/koufu_3_4ji/outline_89.pdf","PDFを開く")</f>
        <v>PDFを開く</v>
      </c>
      <c r="Q1480" s="8" t="s">
        <v>2344</v>
      </c>
    </row>
    <row r="1481" spans="1:17" ht="62.1" customHeight="1">
      <c r="A1481" s="5" t="s">
        <v>2336</v>
      </c>
      <c r="B1481" s="5" t="s">
        <v>1595</v>
      </c>
      <c r="C1481" s="9" t="s">
        <v>2337</v>
      </c>
      <c r="D1481" s="5">
        <v>1</v>
      </c>
      <c r="E1481" s="9" t="s">
        <v>10156</v>
      </c>
      <c r="F1481" s="5">
        <v>2</v>
      </c>
      <c r="G1481" s="9" t="s">
        <v>8581</v>
      </c>
      <c r="H1481" s="9" t="s">
        <v>8581</v>
      </c>
      <c r="I1481" s="5">
        <v>18.96</v>
      </c>
      <c r="J1481" s="5">
        <v>342.95</v>
      </c>
      <c r="K1481" s="5">
        <v>401.7</v>
      </c>
      <c r="L1481" s="5">
        <v>421.59</v>
      </c>
      <c r="M1481" s="9"/>
      <c r="N1481" s="9" t="s">
        <v>10181</v>
      </c>
      <c r="O1481" s="9" t="s">
        <v>9385</v>
      </c>
      <c r="P1481" s="9" t="str">
        <f t="shared" si="84"/>
        <v>PDFを開く</v>
      </c>
      <c r="Q1481" s="9" t="s">
        <v>2344</v>
      </c>
    </row>
    <row r="1482" spans="1:17" ht="62.1" customHeight="1">
      <c r="A1482" s="2" t="s">
        <v>2336</v>
      </c>
      <c r="B1482" s="2" t="s">
        <v>1595</v>
      </c>
      <c r="C1482" s="8" t="s">
        <v>2337</v>
      </c>
      <c r="D1482" s="2">
        <v>1</v>
      </c>
      <c r="E1482" s="8" t="s">
        <v>10156</v>
      </c>
      <c r="F1482" s="2">
        <v>3</v>
      </c>
      <c r="G1482" s="8" t="s">
        <v>10163</v>
      </c>
      <c r="H1482" s="8" t="s">
        <v>10163</v>
      </c>
      <c r="I1482" s="2">
        <v>531.1</v>
      </c>
      <c r="J1482" s="2">
        <v>420.3</v>
      </c>
      <c r="K1482" s="2">
        <v>768.3</v>
      </c>
      <c r="L1482" s="2">
        <v>525.20000000000005</v>
      </c>
      <c r="M1482" s="8"/>
      <c r="N1482" s="8" t="s">
        <v>10181</v>
      </c>
      <c r="O1482" s="8" t="s">
        <v>9384</v>
      </c>
      <c r="P1482" s="8" t="str">
        <f t="shared" si="84"/>
        <v>PDFを開く</v>
      </c>
      <c r="Q1482" s="8" t="s">
        <v>2344</v>
      </c>
    </row>
    <row r="1483" spans="1:17" ht="62.1" customHeight="1">
      <c r="A1483" s="5" t="s">
        <v>2336</v>
      </c>
      <c r="B1483" s="5" t="s">
        <v>1595</v>
      </c>
      <c r="C1483" s="9" t="s">
        <v>2337</v>
      </c>
      <c r="D1483" s="5">
        <v>1</v>
      </c>
      <c r="E1483" s="9" t="s">
        <v>10156</v>
      </c>
      <c r="F1483" s="5">
        <v>4</v>
      </c>
      <c r="G1483" s="9" t="s">
        <v>10162</v>
      </c>
      <c r="H1483" s="9" t="s">
        <v>10162</v>
      </c>
      <c r="I1483" s="5">
        <v>147.96</v>
      </c>
      <c r="J1483" s="5">
        <v>420.59</v>
      </c>
      <c r="K1483" s="5">
        <v>401.7</v>
      </c>
      <c r="L1483" s="5">
        <v>525.20000000000005</v>
      </c>
      <c r="M1483" s="9"/>
      <c r="N1483" s="9" t="s">
        <v>10181</v>
      </c>
      <c r="O1483" s="9" t="s">
        <v>9383</v>
      </c>
      <c r="P1483" s="9" t="str">
        <f t="shared" si="84"/>
        <v>PDFを開く</v>
      </c>
      <c r="Q1483" s="9" t="s">
        <v>2344</v>
      </c>
    </row>
    <row r="1484" spans="1:17" ht="62.1" customHeight="1">
      <c r="A1484" s="2" t="s">
        <v>2336</v>
      </c>
      <c r="B1484" s="2" t="s">
        <v>1595</v>
      </c>
      <c r="C1484" s="8" t="s">
        <v>2337</v>
      </c>
      <c r="D1484" s="2">
        <v>1</v>
      </c>
      <c r="E1484" s="8" t="s">
        <v>10156</v>
      </c>
      <c r="F1484" s="2">
        <v>5</v>
      </c>
      <c r="G1484" s="8" t="s">
        <v>10167</v>
      </c>
      <c r="H1484" s="8" t="s">
        <v>10777</v>
      </c>
      <c r="I1484" s="2">
        <v>390.98</v>
      </c>
      <c r="J1484" s="2">
        <v>438.64</v>
      </c>
      <c r="K1484" s="2">
        <v>755.04</v>
      </c>
      <c r="L1484" s="2">
        <v>468.29</v>
      </c>
      <c r="M1484" s="8"/>
      <c r="N1484" s="8" t="s">
        <v>10159</v>
      </c>
      <c r="O1484" s="8" t="s">
        <v>10777</v>
      </c>
      <c r="P1484" s="8" t="str">
        <f t="shared" si="84"/>
        <v>PDFを開く</v>
      </c>
      <c r="Q1484" s="8" t="s">
        <v>2344</v>
      </c>
    </row>
    <row r="1485" spans="1:17" ht="62.1" customHeight="1">
      <c r="A1485" s="5" t="s">
        <v>2336</v>
      </c>
      <c r="B1485" s="5" t="s">
        <v>1595</v>
      </c>
      <c r="C1485" s="9" t="s">
        <v>2337</v>
      </c>
      <c r="D1485" s="5">
        <v>1</v>
      </c>
      <c r="E1485" s="9" t="s">
        <v>10156</v>
      </c>
      <c r="F1485" s="5">
        <v>6</v>
      </c>
      <c r="G1485" s="9" t="s">
        <v>10167</v>
      </c>
      <c r="H1485" s="9" t="s">
        <v>10778</v>
      </c>
      <c r="I1485" s="5">
        <v>390.98</v>
      </c>
      <c r="J1485" s="5">
        <v>468.29</v>
      </c>
      <c r="K1485" s="5">
        <v>755.04</v>
      </c>
      <c r="L1485" s="5">
        <v>498.9</v>
      </c>
      <c r="M1485" s="9"/>
      <c r="N1485" s="9" t="s">
        <v>10159</v>
      </c>
      <c r="O1485" s="9" t="s">
        <v>10778</v>
      </c>
      <c r="P1485" s="9" t="str">
        <f t="shared" si="84"/>
        <v>PDFを開く</v>
      </c>
      <c r="Q1485" s="9" t="s">
        <v>2344</v>
      </c>
    </row>
    <row r="1486" spans="1:17" ht="62.1" customHeight="1">
      <c r="A1486" s="2" t="s">
        <v>2336</v>
      </c>
      <c r="B1486" s="2" t="s">
        <v>1595</v>
      </c>
      <c r="C1486" s="8" t="s">
        <v>2337</v>
      </c>
      <c r="D1486" s="2">
        <v>1</v>
      </c>
      <c r="E1486" s="8" t="s">
        <v>10156</v>
      </c>
      <c r="F1486" s="2">
        <v>7</v>
      </c>
      <c r="G1486" s="8" t="s">
        <v>10167</v>
      </c>
      <c r="H1486" s="8" t="s">
        <v>10779</v>
      </c>
      <c r="I1486" s="2">
        <v>390.98</v>
      </c>
      <c r="J1486" s="2">
        <v>498.9</v>
      </c>
      <c r="K1486" s="2">
        <v>755.04</v>
      </c>
      <c r="L1486" s="2">
        <v>530.03</v>
      </c>
      <c r="M1486" s="8"/>
      <c r="N1486" s="8" t="s">
        <v>10159</v>
      </c>
      <c r="O1486" s="8" t="s">
        <v>10779</v>
      </c>
      <c r="P1486" s="8" t="str">
        <f t="shared" si="84"/>
        <v>PDFを開く</v>
      </c>
      <c r="Q1486" s="8" t="s">
        <v>2344</v>
      </c>
    </row>
    <row r="1487" spans="1:17" ht="62.1" customHeight="1">
      <c r="A1487" s="5" t="s">
        <v>2345</v>
      </c>
      <c r="B1487" s="5" t="s">
        <v>1595</v>
      </c>
      <c r="C1487" s="9" t="s">
        <v>2346</v>
      </c>
      <c r="D1487" s="5">
        <v>1</v>
      </c>
      <c r="E1487" s="9" t="s">
        <v>10156</v>
      </c>
      <c r="F1487" s="5">
        <v>1</v>
      </c>
      <c r="G1487" s="9" t="s">
        <v>9578</v>
      </c>
      <c r="H1487" s="9" t="s">
        <v>9578</v>
      </c>
      <c r="I1487" s="5">
        <v>39.659999999999997</v>
      </c>
      <c r="J1487" s="5">
        <v>95.93</v>
      </c>
      <c r="K1487" s="5">
        <v>378.78</v>
      </c>
      <c r="L1487" s="5">
        <v>532.46</v>
      </c>
      <c r="M1487" s="9"/>
      <c r="N1487" s="9" t="s">
        <v>10159</v>
      </c>
      <c r="O1487" s="9" t="s">
        <v>9390</v>
      </c>
      <c r="P1487" s="9" t="str">
        <f>HYPERLINK("https://seichotoushi-hojo.jp/assets/pdf/koufu_3_4ji/outline_9.pdf","PDFを開く")</f>
        <v>PDFを開く</v>
      </c>
      <c r="Q1487" s="9" t="s">
        <v>2352</v>
      </c>
    </row>
    <row r="1488" spans="1:17" ht="62.1" customHeight="1">
      <c r="A1488" s="2" t="s">
        <v>2345</v>
      </c>
      <c r="B1488" s="2" t="s">
        <v>1595</v>
      </c>
      <c r="C1488" s="8" t="s">
        <v>2346</v>
      </c>
      <c r="D1488" s="2">
        <v>1</v>
      </c>
      <c r="E1488" s="8" t="s">
        <v>10156</v>
      </c>
      <c r="F1488" s="2">
        <v>2</v>
      </c>
      <c r="G1488" s="8" t="s">
        <v>10162</v>
      </c>
      <c r="H1488" s="8" t="s">
        <v>10162</v>
      </c>
      <c r="I1488" s="2">
        <v>396.3</v>
      </c>
      <c r="J1488" s="2">
        <v>95.93</v>
      </c>
      <c r="K1488" s="2">
        <v>739.78</v>
      </c>
      <c r="L1488" s="2">
        <v>333.1</v>
      </c>
      <c r="M1488" s="8"/>
      <c r="N1488" s="8" t="s">
        <v>10159</v>
      </c>
      <c r="O1488" s="8" t="s">
        <v>9391</v>
      </c>
      <c r="P1488" s="8" t="str">
        <f>HYPERLINK("https://seichotoushi-hojo.jp/assets/pdf/koufu_3_4ji/outline_9.pdf","PDFを開く")</f>
        <v>PDFを開く</v>
      </c>
      <c r="Q1488" s="8" t="s">
        <v>2352</v>
      </c>
    </row>
    <row r="1489" spans="1:17" ht="62.1" customHeight="1">
      <c r="A1489" s="5" t="s">
        <v>2345</v>
      </c>
      <c r="B1489" s="5" t="s">
        <v>1595</v>
      </c>
      <c r="C1489" s="9" t="s">
        <v>2346</v>
      </c>
      <c r="D1489" s="5">
        <v>1</v>
      </c>
      <c r="E1489" s="9" t="s">
        <v>10156</v>
      </c>
      <c r="F1489" s="5">
        <v>3</v>
      </c>
      <c r="G1489" s="9" t="s">
        <v>10163</v>
      </c>
      <c r="H1489" s="9" t="s">
        <v>10163</v>
      </c>
      <c r="I1489" s="5">
        <v>396.3</v>
      </c>
      <c r="J1489" s="5">
        <v>341.19</v>
      </c>
      <c r="K1489" s="5">
        <v>739.78</v>
      </c>
      <c r="L1489" s="5">
        <v>532.46</v>
      </c>
      <c r="M1489" s="9"/>
      <c r="N1489" s="9" t="s">
        <v>10159</v>
      </c>
      <c r="O1489" s="9" t="s">
        <v>9392</v>
      </c>
      <c r="P1489" s="9" t="str">
        <f>HYPERLINK("https://seichotoushi-hojo.jp/assets/pdf/koufu_3_4ji/outline_9.pdf","PDFを開く")</f>
        <v>PDFを開く</v>
      </c>
      <c r="Q1489" s="9" t="s">
        <v>2352</v>
      </c>
    </row>
    <row r="1490" spans="1:17" ht="62.1" customHeight="1">
      <c r="A1490" s="2" t="s">
        <v>2345</v>
      </c>
      <c r="B1490" s="2" t="s">
        <v>1595</v>
      </c>
      <c r="C1490" s="8" t="s">
        <v>2346</v>
      </c>
      <c r="D1490" s="2">
        <v>1</v>
      </c>
      <c r="E1490" s="8" t="s">
        <v>10156</v>
      </c>
      <c r="F1490" s="2">
        <v>4</v>
      </c>
      <c r="G1490" s="8" t="s">
        <v>8581</v>
      </c>
      <c r="H1490" s="8" t="s">
        <v>8581</v>
      </c>
      <c r="I1490" s="2">
        <v>48</v>
      </c>
      <c r="J1490" s="2">
        <v>394.81</v>
      </c>
      <c r="K1490" s="2">
        <v>367.5</v>
      </c>
      <c r="L1490" s="2">
        <v>527.75</v>
      </c>
      <c r="M1490" s="8"/>
      <c r="N1490" s="8" t="s">
        <v>10159</v>
      </c>
      <c r="O1490" s="8" t="s">
        <v>9393</v>
      </c>
      <c r="P1490" s="8" t="str">
        <f>HYPERLINK("https://seichotoushi-hojo.jp/assets/pdf/koufu_3_4ji/outline_9.pdf","PDFを開く")</f>
        <v>PDFを開く</v>
      </c>
      <c r="Q1490" s="8" t="s">
        <v>2352</v>
      </c>
    </row>
    <row r="1491" spans="1:17" ht="62.1" customHeight="1">
      <c r="A1491" s="5" t="s">
        <v>2353</v>
      </c>
      <c r="B1491" s="5" t="s">
        <v>1595</v>
      </c>
      <c r="C1491" s="9" t="s">
        <v>2354</v>
      </c>
      <c r="D1491" s="5">
        <v>1</v>
      </c>
      <c r="E1491" s="9" t="s">
        <v>10156</v>
      </c>
      <c r="F1491" s="5">
        <v>1</v>
      </c>
      <c r="G1491" s="9" t="s">
        <v>10162</v>
      </c>
      <c r="H1491" s="9" t="s">
        <v>10162</v>
      </c>
      <c r="I1491" s="5">
        <v>414.72</v>
      </c>
      <c r="J1491" s="5">
        <v>95.28</v>
      </c>
      <c r="K1491" s="5">
        <v>774.72</v>
      </c>
      <c r="L1491" s="5">
        <v>380.76</v>
      </c>
      <c r="M1491" s="9"/>
      <c r="N1491" s="9" t="s">
        <v>10159</v>
      </c>
      <c r="O1491" s="9" t="s">
        <v>9399</v>
      </c>
      <c r="P1491" s="9" t="str">
        <f>HYPERLINK("https://seichotoushi-hojo.jp/assets/pdf/koufu_3_4ji/outline_90.pdf","PDFを開く")</f>
        <v>PDFを開く</v>
      </c>
      <c r="Q1491" s="9" t="s">
        <v>2361</v>
      </c>
    </row>
    <row r="1492" spans="1:17" ht="62.1" customHeight="1">
      <c r="A1492" s="2" t="s">
        <v>2353</v>
      </c>
      <c r="B1492" s="2" t="s">
        <v>1595</v>
      </c>
      <c r="C1492" s="8" t="s">
        <v>2354</v>
      </c>
      <c r="D1492" s="2">
        <v>1</v>
      </c>
      <c r="E1492" s="8" t="s">
        <v>10156</v>
      </c>
      <c r="F1492" s="2">
        <v>2</v>
      </c>
      <c r="G1492" s="8" t="s">
        <v>9578</v>
      </c>
      <c r="H1492" s="8" t="s">
        <v>9578</v>
      </c>
      <c r="I1492" s="2">
        <v>3.96</v>
      </c>
      <c r="J1492" s="2">
        <v>97.92</v>
      </c>
      <c r="K1492" s="2">
        <v>403.8</v>
      </c>
      <c r="L1492" s="2">
        <v>536.16</v>
      </c>
      <c r="M1492" s="8"/>
      <c r="N1492" s="8" t="s">
        <v>10159</v>
      </c>
      <c r="O1492" s="8" t="s">
        <v>9398</v>
      </c>
      <c r="P1492" s="8" t="str">
        <f>HYPERLINK("https://seichotoushi-hojo.jp/assets/pdf/koufu_3_4ji/outline_90.pdf","PDFを開く")</f>
        <v>PDFを開く</v>
      </c>
      <c r="Q1492" s="8" t="s">
        <v>2361</v>
      </c>
    </row>
    <row r="1493" spans="1:17" ht="62.1" customHeight="1">
      <c r="A1493" s="5" t="s">
        <v>2353</v>
      </c>
      <c r="B1493" s="5" t="s">
        <v>1595</v>
      </c>
      <c r="C1493" s="9" t="s">
        <v>2354</v>
      </c>
      <c r="D1493" s="5">
        <v>1</v>
      </c>
      <c r="E1493" s="9" t="s">
        <v>10156</v>
      </c>
      <c r="F1493" s="5">
        <v>3</v>
      </c>
      <c r="G1493" s="9" t="s">
        <v>8581</v>
      </c>
      <c r="H1493" s="9" t="s">
        <v>8581</v>
      </c>
      <c r="I1493" s="5">
        <v>12.12</v>
      </c>
      <c r="J1493" s="5">
        <v>176.64</v>
      </c>
      <c r="K1493" s="5">
        <v>395.16</v>
      </c>
      <c r="L1493" s="5">
        <v>532.79999999999995</v>
      </c>
      <c r="M1493" s="9"/>
      <c r="N1493" s="9" t="s">
        <v>10159</v>
      </c>
      <c r="O1493" s="9" t="s">
        <v>9401</v>
      </c>
      <c r="P1493" s="9" t="str">
        <f>HYPERLINK("https://seichotoushi-hojo.jp/assets/pdf/koufu_3_4ji/outline_90.pdf","PDFを開く")</f>
        <v>PDFを開く</v>
      </c>
      <c r="Q1493" s="9" t="s">
        <v>2361</v>
      </c>
    </row>
    <row r="1494" spans="1:17" ht="62.1" customHeight="1">
      <c r="A1494" s="2" t="s">
        <v>2353</v>
      </c>
      <c r="B1494" s="2" t="s">
        <v>1595</v>
      </c>
      <c r="C1494" s="8" t="s">
        <v>2354</v>
      </c>
      <c r="D1494" s="2">
        <v>1</v>
      </c>
      <c r="E1494" s="8" t="s">
        <v>10156</v>
      </c>
      <c r="F1494" s="2">
        <v>4</v>
      </c>
      <c r="G1494" s="8" t="s">
        <v>10163</v>
      </c>
      <c r="H1494" s="8" t="s">
        <v>10163</v>
      </c>
      <c r="I1494" s="2">
        <v>414.72</v>
      </c>
      <c r="J1494" s="2">
        <v>383.52</v>
      </c>
      <c r="K1494" s="2">
        <v>774.72</v>
      </c>
      <c r="L1494" s="2">
        <v>535.20000000000005</v>
      </c>
      <c r="M1494" s="8"/>
      <c r="N1494" s="8" t="s">
        <v>10159</v>
      </c>
      <c r="O1494" s="8" t="s">
        <v>9400</v>
      </c>
      <c r="P1494" s="8" t="str">
        <f>HYPERLINK("https://seichotoushi-hojo.jp/assets/pdf/koufu_3_4ji/outline_90.pdf","PDFを開く")</f>
        <v>PDFを開く</v>
      </c>
      <c r="Q1494" s="8" t="s">
        <v>2361</v>
      </c>
    </row>
    <row r="1495" spans="1:17" ht="62.1" customHeight="1">
      <c r="A1495" s="5" t="s">
        <v>2353</v>
      </c>
      <c r="B1495" s="5" t="s">
        <v>1595</v>
      </c>
      <c r="C1495" s="9" t="s">
        <v>2354</v>
      </c>
      <c r="D1495" s="5">
        <v>2</v>
      </c>
      <c r="E1495" s="9" t="s">
        <v>10165</v>
      </c>
      <c r="F1495" s="5">
        <v>1</v>
      </c>
      <c r="G1495" s="9" t="s">
        <v>10167</v>
      </c>
      <c r="H1495" s="9" t="s">
        <v>10780</v>
      </c>
      <c r="I1495" s="5">
        <v>360.36</v>
      </c>
      <c r="J1495" s="5">
        <v>290.52</v>
      </c>
      <c r="K1495" s="5">
        <v>769.68</v>
      </c>
      <c r="L1495" s="5">
        <v>431.76</v>
      </c>
      <c r="M1495" s="9"/>
      <c r="N1495" s="9" t="s">
        <v>10159</v>
      </c>
      <c r="O1495" s="9" t="s">
        <v>10781</v>
      </c>
      <c r="P1495" s="9" t="str">
        <f>HYPERLINK("https://seichotoushi-hojo.jp/assets/pdf/koufu_3_4ji/outline_90.pdf","PDFを開く")</f>
        <v>PDFを開く</v>
      </c>
      <c r="Q1495" s="9" t="s">
        <v>2361</v>
      </c>
    </row>
    <row r="1496" spans="1:17" ht="62.1" customHeight="1">
      <c r="A1496" s="2" t="s">
        <v>2362</v>
      </c>
      <c r="B1496" s="2" t="s">
        <v>1595</v>
      </c>
      <c r="C1496" s="8" t="s">
        <v>2363</v>
      </c>
      <c r="D1496" s="2">
        <v>1</v>
      </c>
      <c r="E1496" s="8" t="s">
        <v>10156</v>
      </c>
      <c r="F1496" s="2">
        <v>1</v>
      </c>
      <c r="G1496" s="8" t="s">
        <v>9578</v>
      </c>
      <c r="H1496" s="8" t="s">
        <v>9578</v>
      </c>
      <c r="I1496" s="2">
        <v>12.72</v>
      </c>
      <c r="J1496" s="2">
        <v>101.76</v>
      </c>
      <c r="K1496" s="2">
        <v>378.84</v>
      </c>
      <c r="L1496" s="2">
        <v>530.04</v>
      </c>
      <c r="M1496" s="8"/>
      <c r="N1496" s="8" t="s">
        <v>10159</v>
      </c>
      <c r="O1496" s="8" t="s">
        <v>9406</v>
      </c>
      <c r="P1496" s="8" t="str">
        <f t="shared" ref="P1496:P1501" si="85">HYPERLINK("https://seichotoushi-hojo.jp/assets/pdf/koufu_3_4ji/outline_91.pdf","PDFを開く")</f>
        <v>PDFを開く</v>
      </c>
      <c r="Q1496" s="8" t="s">
        <v>2371</v>
      </c>
    </row>
    <row r="1497" spans="1:17" ht="62.1" customHeight="1">
      <c r="A1497" s="5" t="s">
        <v>2362</v>
      </c>
      <c r="B1497" s="5" t="s">
        <v>1595</v>
      </c>
      <c r="C1497" s="9" t="s">
        <v>2363</v>
      </c>
      <c r="D1497" s="5">
        <v>1</v>
      </c>
      <c r="E1497" s="9" t="s">
        <v>10156</v>
      </c>
      <c r="F1497" s="5">
        <v>2</v>
      </c>
      <c r="G1497" s="9" t="s">
        <v>10162</v>
      </c>
      <c r="H1497" s="9" t="s">
        <v>10162</v>
      </c>
      <c r="I1497" s="5">
        <v>396.36</v>
      </c>
      <c r="J1497" s="5">
        <v>102.84</v>
      </c>
      <c r="K1497" s="5">
        <v>757.32</v>
      </c>
      <c r="L1497" s="5">
        <v>342.24</v>
      </c>
      <c r="M1497" s="9"/>
      <c r="N1497" s="9" t="s">
        <v>10159</v>
      </c>
      <c r="O1497" s="9" t="s">
        <v>9407</v>
      </c>
      <c r="P1497" s="9" t="str">
        <f t="shared" si="85"/>
        <v>PDFを開く</v>
      </c>
      <c r="Q1497" s="9" t="s">
        <v>2371</v>
      </c>
    </row>
    <row r="1498" spans="1:17" ht="62.1" customHeight="1">
      <c r="A1498" s="2" t="s">
        <v>2362</v>
      </c>
      <c r="B1498" s="2" t="s">
        <v>1595</v>
      </c>
      <c r="C1498" s="8" t="s">
        <v>2363</v>
      </c>
      <c r="D1498" s="2">
        <v>1</v>
      </c>
      <c r="E1498" s="8" t="s">
        <v>10156</v>
      </c>
      <c r="F1498" s="2">
        <v>3</v>
      </c>
      <c r="G1498" s="8" t="s">
        <v>10163</v>
      </c>
      <c r="H1498" s="8" t="s">
        <v>10163</v>
      </c>
      <c r="I1498" s="2">
        <v>396.36</v>
      </c>
      <c r="J1498" s="2">
        <v>351.96</v>
      </c>
      <c r="K1498" s="2">
        <v>757.32</v>
      </c>
      <c r="L1498" s="2">
        <v>530.04</v>
      </c>
      <c r="M1498" s="8"/>
      <c r="N1498" s="8" t="s">
        <v>10159</v>
      </c>
      <c r="O1498" s="8" t="s">
        <v>9408</v>
      </c>
      <c r="P1498" s="8" t="str">
        <f t="shared" si="85"/>
        <v>PDFを開く</v>
      </c>
      <c r="Q1498" s="8" t="s">
        <v>2371</v>
      </c>
    </row>
    <row r="1499" spans="1:17" ht="62.1" customHeight="1">
      <c r="A1499" s="5" t="s">
        <v>2362</v>
      </c>
      <c r="B1499" s="5" t="s">
        <v>1595</v>
      </c>
      <c r="C1499" s="9" t="s">
        <v>2363</v>
      </c>
      <c r="D1499" s="5">
        <v>1</v>
      </c>
      <c r="E1499" s="9" t="s">
        <v>10156</v>
      </c>
      <c r="F1499" s="5">
        <v>4</v>
      </c>
      <c r="G1499" s="9" t="s">
        <v>8581</v>
      </c>
      <c r="H1499" s="9" t="s">
        <v>8581</v>
      </c>
      <c r="I1499" s="5">
        <v>20.52</v>
      </c>
      <c r="J1499" s="5">
        <v>425.4</v>
      </c>
      <c r="K1499" s="5">
        <v>367.32</v>
      </c>
      <c r="L1499" s="5">
        <v>520.91999999999996</v>
      </c>
      <c r="M1499" s="9"/>
      <c r="N1499" s="9" t="s">
        <v>10159</v>
      </c>
      <c r="O1499" s="9" t="s">
        <v>9409</v>
      </c>
      <c r="P1499" s="9" t="str">
        <f t="shared" si="85"/>
        <v>PDFを開く</v>
      </c>
      <c r="Q1499" s="9" t="s">
        <v>2371</v>
      </c>
    </row>
    <row r="1500" spans="1:17" ht="62.1" customHeight="1">
      <c r="A1500" s="2" t="s">
        <v>2362</v>
      </c>
      <c r="B1500" s="2" t="s">
        <v>1595</v>
      </c>
      <c r="C1500" s="8" t="s">
        <v>2363</v>
      </c>
      <c r="D1500" s="2">
        <v>2</v>
      </c>
      <c r="E1500" s="8" t="s">
        <v>10165</v>
      </c>
      <c r="F1500" s="2">
        <v>1</v>
      </c>
      <c r="G1500" s="8" t="s">
        <v>10167</v>
      </c>
      <c r="H1500" s="8" t="s">
        <v>2364</v>
      </c>
      <c r="I1500" s="2">
        <v>237.87</v>
      </c>
      <c r="J1500" s="2">
        <v>379.48</v>
      </c>
      <c r="K1500" s="2">
        <v>489.51</v>
      </c>
      <c r="L1500" s="2">
        <v>407.71</v>
      </c>
      <c r="M1500" s="8"/>
      <c r="N1500" s="8" t="s">
        <v>10159</v>
      </c>
      <c r="O1500" s="8" t="s">
        <v>2364</v>
      </c>
      <c r="P1500" s="8" t="str">
        <f t="shared" si="85"/>
        <v>PDFを開く</v>
      </c>
      <c r="Q1500" s="8" t="s">
        <v>2371</v>
      </c>
    </row>
    <row r="1501" spans="1:17" ht="62.1" customHeight="1">
      <c r="A1501" s="5" t="s">
        <v>2362</v>
      </c>
      <c r="B1501" s="5" t="s">
        <v>1595</v>
      </c>
      <c r="C1501" s="9" t="s">
        <v>2363</v>
      </c>
      <c r="D1501" s="5">
        <v>2</v>
      </c>
      <c r="E1501" s="9" t="s">
        <v>10165</v>
      </c>
      <c r="F1501" s="5">
        <v>2</v>
      </c>
      <c r="G1501" s="9" t="s">
        <v>10167</v>
      </c>
      <c r="H1501" s="9" t="s">
        <v>2365</v>
      </c>
      <c r="I1501" s="5">
        <v>489.51</v>
      </c>
      <c r="J1501" s="5">
        <v>379.48</v>
      </c>
      <c r="K1501" s="5">
        <v>741.15</v>
      </c>
      <c r="L1501" s="5">
        <v>407.71</v>
      </c>
      <c r="M1501" s="9"/>
      <c r="N1501" s="9" t="s">
        <v>10159</v>
      </c>
      <c r="O1501" s="9" t="s">
        <v>2365</v>
      </c>
      <c r="P1501" s="9" t="str">
        <f t="shared" si="85"/>
        <v>PDFを開く</v>
      </c>
      <c r="Q1501" s="9" t="s">
        <v>2371</v>
      </c>
    </row>
    <row r="1502" spans="1:17" ht="62.1" customHeight="1">
      <c r="A1502" s="2" t="s">
        <v>2372</v>
      </c>
      <c r="B1502" s="2" t="s">
        <v>1595</v>
      </c>
      <c r="C1502" s="8" t="s">
        <v>2373</v>
      </c>
      <c r="D1502" s="2">
        <v>1</v>
      </c>
      <c r="E1502" s="8" t="s">
        <v>10156</v>
      </c>
      <c r="F1502" s="2">
        <v>1</v>
      </c>
      <c r="G1502" s="8" t="s">
        <v>10162</v>
      </c>
      <c r="H1502" s="8" t="s">
        <v>10162</v>
      </c>
      <c r="I1502" s="2">
        <v>396.3</v>
      </c>
      <c r="J1502" s="2">
        <v>95.92</v>
      </c>
      <c r="K1502" s="2">
        <v>747.75</v>
      </c>
      <c r="L1502" s="2">
        <v>286.64</v>
      </c>
      <c r="M1502" s="8"/>
      <c r="N1502" s="8" t="s">
        <v>10159</v>
      </c>
      <c r="O1502" s="8" t="s">
        <v>9415</v>
      </c>
      <c r="P1502" s="8" t="str">
        <f>HYPERLINK("https://seichotoushi-hojo.jp/assets/pdf/koufu_3_4ji/outline_93.pdf","PDFを開く")</f>
        <v>PDFを開く</v>
      </c>
      <c r="Q1502" s="8" t="s">
        <v>2379</v>
      </c>
    </row>
    <row r="1503" spans="1:17" ht="62.1" customHeight="1">
      <c r="A1503" s="5" t="s">
        <v>2372</v>
      </c>
      <c r="B1503" s="5" t="s">
        <v>1595</v>
      </c>
      <c r="C1503" s="9" t="s">
        <v>2373</v>
      </c>
      <c r="D1503" s="5">
        <v>1</v>
      </c>
      <c r="E1503" s="9" t="s">
        <v>10156</v>
      </c>
      <c r="F1503" s="5">
        <v>2</v>
      </c>
      <c r="G1503" s="9" t="s">
        <v>9578</v>
      </c>
      <c r="H1503" s="9" t="s">
        <v>9578</v>
      </c>
      <c r="I1503" s="5">
        <v>9.81</v>
      </c>
      <c r="J1503" s="5">
        <v>95.93</v>
      </c>
      <c r="K1503" s="5">
        <v>378.78</v>
      </c>
      <c r="L1503" s="5">
        <v>535.49</v>
      </c>
      <c r="M1503" s="9"/>
      <c r="N1503" s="9" t="s">
        <v>10159</v>
      </c>
      <c r="O1503" s="9" t="s">
        <v>9414</v>
      </c>
      <c r="P1503" s="9" t="str">
        <f>HYPERLINK("https://seichotoushi-hojo.jp/assets/pdf/koufu_3_4ji/outline_93.pdf","PDFを開く")</f>
        <v>PDFを開く</v>
      </c>
      <c r="Q1503" s="9" t="s">
        <v>2379</v>
      </c>
    </row>
    <row r="1504" spans="1:17" ht="62.1" customHeight="1">
      <c r="A1504" s="2" t="s">
        <v>2372</v>
      </c>
      <c r="B1504" s="2" t="s">
        <v>1595</v>
      </c>
      <c r="C1504" s="8" t="s">
        <v>2373</v>
      </c>
      <c r="D1504" s="2">
        <v>1</v>
      </c>
      <c r="E1504" s="8" t="s">
        <v>10156</v>
      </c>
      <c r="F1504" s="2">
        <v>3</v>
      </c>
      <c r="G1504" s="8" t="s">
        <v>10163</v>
      </c>
      <c r="H1504" s="8" t="s">
        <v>10163</v>
      </c>
      <c r="I1504" s="2">
        <v>124.63</v>
      </c>
      <c r="J1504" s="2">
        <v>177.4</v>
      </c>
      <c r="K1504" s="2">
        <v>401.7</v>
      </c>
      <c r="L1504" s="2">
        <v>406.02</v>
      </c>
      <c r="M1504" s="8"/>
      <c r="N1504" s="8" t="s">
        <v>10181</v>
      </c>
      <c r="O1504" s="8" t="s">
        <v>10782</v>
      </c>
      <c r="P1504" s="8" t="str">
        <f>HYPERLINK("https://seichotoushi-hojo.jp/assets/pdf/koufu_3_4ji/outline_93.pdf","PDFを開く")</f>
        <v>PDFを開く</v>
      </c>
      <c r="Q1504" s="8" t="s">
        <v>2379</v>
      </c>
    </row>
    <row r="1505" spans="1:17" ht="62.1" customHeight="1">
      <c r="A1505" s="5" t="s">
        <v>2372</v>
      </c>
      <c r="B1505" s="5" t="s">
        <v>1595</v>
      </c>
      <c r="C1505" s="9" t="s">
        <v>2373</v>
      </c>
      <c r="D1505" s="5">
        <v>1</v>
      </c>
      <c r="E1505" s="9" t="s">
        <v>10156</v>
      </c>
      <c r="F1505" s="5">
        <v>4</v>
      </c>
      <c r="G1505" s="9" t="s">
        <v>10163</v>
      </c>
      <c r="H1505" s="9" t="s">
        <v>10163</v>
      </c>
      <c r="I1505" s="5">
        <v>396.3</v>
      </c>
      <c r="J1505" s="5">
        <v>293.43</v>
      </c>
      <c r="K1505" s="5">
        <v>739.78</v>
      </c>
      <c r="L1505" s="5">
        <v>535.49</v>
      </c>
      <c r="M1505" s="9"/>
      <c r="N1505" s="9" t="s">
        <v>10159</v>
      </c>
      <c r="O1505" s="9" t="s">
        <v>10783</v>
      </c>
      <c r="P1505" s="9" t="str">
        <f>HYPERLINK("https://seichotoushi-hojo.jp/assets/pdf/koufu_3_4ji/outline_93.pdf","PDFを開く")</f>
        <v>PDFを開く</v>
      </c>
      <c r="Q1505" s="9" t="s">
        <v>2379</v>
      </c>
    </row>
    <row r="1506" spans="1:17" ht="62.1" customHeight="1">
      <c r="A1506" s="2" t="s">
        <v>2372</v>
      </c>
      <c r="B1506" s="2" t="s">
        <v>1595</v>
      </c>
      <c r="C1506" s="8" t="s">
        <v>2373</v>
      </c>
      <c r="D1506" s="2">
        <v>1</v>
      </c>
      <c r="E1506" s="8" t="s">
        <v>10156</v>
      </c>
      <c r="F1506" s="2">
        <v>5</v>
      </c>
      <c r="G1506" s="8" t="s">
        <v>8581</v>
      </c>
      <c r="H1506" s="8" t="s">
        <v>8581</v>
      </c>
      <c r="I1506" s="2">
        <v>17.7</v>
      </c>
      <c r="J1506" s="2">
        <v>404.61</v>
      </c>
      <c r="K1506" s="2">
        <v>344.12</v>
      </c>
      <c r="L1506" s="2">
        <v>509.69</v>
      </c>
      <c r="M1506" s="8"/>
      <c r="N1506" s="8" t="s">
        <v>10159</v>
      </c>
      <c r="O1506" s="8" t="s">
        <v>9417</v>
      </c>
      <c r="P1506" s="8" t="str">
        <f>HYPERLINK("https://seichotoushi-hojo.jp/assets/pdf/koufu_3_4ji/outline_93.pdf","PDFを開く")</f>
        <v>PDFを開く</v>
      </c>
      <c r="Q1506" s="8" t="s">
        <v>2379</v>
      </c>
    </row>
    <row r="1507" spans="1:17" ht="62.1" customHeight="1">
      <c r="A1507" s="5" t="s">
        <v>2380</v>
      </c>
      <c r="B1507" s="5" t="s">
        <v>1595</v>
      </c>
      <c r="C1507" s="9" t="s">
        <v>2381</v>
      </c>
      <c r="D1507" s="5">
        <v>1</v>
      </c>
      <c r="E1507" s="9" t="s">
        <v>10156</v>
      </c>
      <c r="F1507" s="5">
        <v>1</v>
      </c>
      <c r="G1507" s="9" t="s">
        <v>10162</v>
      </c>
      <c r="H1507" s="9" t="s">
        <v>10162</v>
      </c>
      <c r="I1507" s="5">
        <v>396.3</v>
      </c>
      <c r="J1507" s="5">
        <v>101.81</v>
      </c>
      <c r="K1507" s="5">
        <v>739.78</v>
      </c>
      <c r="L1507" s="5">
        <v>309.92</v>
      </c>
      <c r="M1507" s="9"/>
      <c r="N1507" s="9" t="s">
        <v>10159</v>
      </c>
      <c r="O1507" s="9" t="s">
        <v>9423</v>
      </c>
      <c r="P1507" s="9" t="str">
        <f>HYPERLINK("https://seichotoushi-hojo.jp/assets/pdf/koufu_3_4ji/outline_94.pdf","PDFを開く")</f>
        <v>PDFを開く</v>
      </c>
      <c r="Q1507" s="9" t="s">
        <v>2388</v>
      </c>
    </row>
    <row r="1508" spans="1:17" ht="62.1" customHeight="1">
      <c r="A1508" s="2" t="s">
        <v>2380</v>
      </c>
      <c r="B1508" s="2" t="s">
        <v>1595</v>
      </c>
      <c r="C1508" s="8" t="s">
        <v>2381</v>
      </c>
      <c r="D1508" s="2">
        <v>1</v>
      </c>
      <c r="E1508" s="8" t="s">
        <v>10156</v>
      </c>
      <c r="F1508" s="2">
        <v>2</v>
      </c>
      <c r="G1508" s="8" t="s">
        <v>9578</v>
      </c>
      <c r="H1508" s="8" t="s">
        <v>9578</v>
      </c>
      <c r="I1508" s="2">
        <v>39.83</v>
      </c>
      <c r="J1508" s="2">
        <v>102.78</v>
      </c>
      <c r="K1508" s="2">
        <v>378.96</v>
      </c>
      <c r="L1508" s="2">
        <v>522.91</v>
      </c>
      <c r="M1508" s="8"/>
      <c r="N1508" s="8" t="s">
        <v>10159</v>
      </c>
      <c r="O1508" s="8" t="s">
        <v>9422</v>
      </c>
      <c r="P1508" s="8" t="str">
        <f>HYPERLINK("https://seichotoushi-hojo.jp/assets/pdf/koufu_3_4ji/outline_94.pdf","PDFを開く")</f>
        <v>PDFを開く</v>
      </c>
      <c r="Q1508" s="8" t="s">
        <v>2388</v>
      </c>
    </row>
    <row r="1509" spans="1:17" ht="62.1" customHeight="1">
      <c r="A1509" s="5" t="s">
        <v>2380</v>
      </c>
      <c r="B1509" s="5" t="s">
        <v>1595</v>
      </c>
      <c r="C1509" s="9" t="s">
        <v>2381</v>
      </c>
      <c r="D1509" s="5">
        <v>1</v>
      </c>
      <c r="E1509" s="9" t="s">
        <v>10156</v>
      </c>
      <c r="F1509" s="5">
        <v>3</v>
      </c>
      <c r="G1509" s="9" t="s">
        <v>10163</v>
      </c>
      <c r="H1509" s="9" t="s">
        <v>10163</v>
      </c>
      <c r="I1509" s="5">
        <v>396.3</v>
      </c>
      <c r="J1509" s="5">
        <v>310.89</v>
      </c>
      <c r="K1509" s="5">
        <v>739.78</v>
      </c>
      <c r="L1509" s="5">
        <v>521.92999999999995</v>
      </c>
      <c r="M1509" s="9"/>
      <c r="N1509" s="9" t="s">
        <v>10159</v>
      </c>
      <c r="O1509" s="9" t="s">
        <v>9424</v>
      </c>
      <c r="P1509" s="9" t="str">
        <f>HYPERLINK("https://seichotoushi-hojo.jp/assets/pdf/koufu_3_4ji/outline_94.pdf","PDFを開く")</f>
        <v>PDFを開く</v>
      </c>
      <c r="Q1509" s="9" t="s">
        <v>2388</v>
      </c>
    </row>
    <row r="1510" spans="1:17" ht="62.1" customHeight="1">
      <c r="A1510" s="2" t="s">
        <v>2380</v>
      </c>
      <c r="B1510" s="2" t="s">
        <v>1595</v>
      </c>
      <c r="C1510" s="8" t="s">
        <v>2381</v>
      </c>
      <c r="D1510" s="2">
        <v>1</v>
      </c>
      <c r="E1510" s="8" t="s">
        <v>10156</v>
      </c>
      <c r="F1510" s="2">
        <v>4</v>
      </c>
      <c r="G1510" s="8" t="s">
        <v>8581</v>
      </c>
      <c r="H1510" s="8" t="s">
        <v>8581</v>
      </c>
      <c r="I1510" s="2">
        <v>101.4</v>
      </c>
      <c r="J1510" s="2">
        <v>346.44</v>
      </c>
      <c r="K1510" s="2">
        <v>401.7</v>
      </c>
      <c r="L1510" s="2">
        <v>525.20000000000005</v>
      </c>
      <c r="M1510" s="8"/>
      <c r="N1510" s="8" t="s">
        <v>10181</v>
      </c>
      <c r="O1510" s="8" t="s">
        <v>9425</v>
      </c>
      <c r="P1510" s="8" t="str">
        <f>HYPERLINK("https://seichotoushi-hojo.jp/assets/pdf/koufu_3_4ji/outline_94.pdf","PDFを開く")</f>
        <v>PDFを開く</v>
      </c>
      <c r="Q1510" s="8" t="s">
        <v>2388</v>
      </c>
    </row>
    <row r="1511" spans="1:17" ht="62.1" customHeight="1">
      <c r="A1511" s="5" t="s">
        <v>2389</v>
      </c>
      <c r="B1511" s="5" t="s">
        <v>1595</v>
      </c>
      <c r="C1511" s="9" t="s">
        <v>2390</v>
      </c>
      <c r="D1511" s="5">
        <v>1</v>
      </c>
      <c r="E1511" s="9" t="s">
        <v>10156</v>
      </c>
      <c r="F1511" s="5">
        <v>1</v>
      </c>
      <c r="G1511" s="9" t="s">
        <v>9578</v>
      </c>
      <c r="H1511" s="9" t="s">
        <v>9578</v>
      </c>
      <c r="I1511" s="5">
        <v>39.659999999999997</v>
      </c>
      <c r="J1511" s="5">
        <v>101.81</v>
      </c>
      <c r="K1511" s="5">
        <v>378.79</v>
      </c>
      <c r="L1511" s="5">
        <v>499.73</v>
      </c>
      <c r="M1511" s="9"/>
      <c r="N1511" s="9" t="s">
        <v>10159</v>
      </c>
      <c r="O1511" s="9" t="s">
        <v>9430</v>
      </c>
      <c r="P1511" s="9" t="str">
        <f>HYPERLINK("https://seichotoushi-hojo.jp/assets/pdf/koufu_3_4ji/outline_95.pdf","PDFを開く")</f>
        <v>PDFを開く</v>
      </c>
      <c r="Q1511" s="9" t="s">
        <v>2395</v>
      </c>
    </row>
    <row r="1512" spans="1:17" ht="62.1" customHeight="1">
      <c r="A1512" s="2" t="s">
        <v>2389</v>
      </c>
      <c r="B1512" s="2" t="s">
        <v>1595</v>
      </c>
      <c r="C1512" s="8" t="s">
        <v>2390</v>
      </c>
      <c r="D1512" s="2">
        <v>1</v>
      </c>
      <c r="E1512" s="8" t="s">
        <v>10156</v>
      </c>
      <c r="F1512" s="2">
        <v>2</v>
      </c>
      <c r="G1512" s="8" t="s">
        <v>10162</v>
      </c>
      <c r="H1512" s="8" t="s">
        <v>10162</v>
      </c>
      <c r="I1512" s="2">
        <v>396.3</v>
      </c>
      <c r="J1512" s="2">
        <v>104.54</v>
      </c>
      <c r="K1512" s="2">
        <v>739.78</v>
      </c>
      <c r="L1512" s="2">
        <v>333.47</v>
      </c>
      <c r="M1512" s="8"/>
      <c r="N1512" s="8" t="s">
        <v>10159</v>
      </c>
      <c r="O1512" s="8" t="s">
        <v>9431</v>
      </c>
      <c r="P1512" s="8" t="str">
        <f>HYPERLINK("https://seichotoushi-hojo.jp/assets/pdf/koufu_3_4ji/outline_95.pdf","PDFを開く")</f>
        <v>PDFを開く</v>
      </c>
      <c r="Q1512" s="8" t="s">
        <v>2395</v>
      </c>
    </row>
    <row r="1513" spans="1:17" ht="62.1" customHeight="1">
      <c r="A1513" s="5" t="s">
        <v>2389</v>
      </c>
      <c r="B1513" s="5" t="s">
        <v>1595</v>
      </c>
      <c r="C1513" s="9" t="s">
        <v>2390</v>
      </c>
      <c r="D1513" s="5">
        <v>1</v>
      </c>
      <c r="E1513" s="9" t="s">
        <v>10156</v>
      </c>
      <c r="F1513" s="5">
        <v>3</v>
      </c>
      <c r="G1513" s="9" t="s">
        <v>10163</v>
      </c>
      <c r="H1513" s="9" t="s">
        <v>10163</v>
      </c>
      <c r="I1513" s="5">
        <v>396.3</v>
      </c>
      <c r="J1513" s="5">
        <v>341.06</v>
      </c>
      <c r="K1513" s="5">
        <v>739.78</v>
      </c>
      <c r="L1513" s="5">
        <v>499.73</v>
      </c>
      <c r="M1513" s="9"/>
      <c r="N1513" s="9" t="s">
        <v>10159</v>
      </c>
      <c r="O1513" s="9" t="s">
        <v>9432</v>
      </c>
      <c r="P1513" s="9" t="str">
        <f>HYPERLINK("https://seichotoushi-hojo.jp/assets/pdf/koufu_3_4ji/outline_95.pdf","PDFを開く")</f>
        <v>PDFを開く</v>
      </c>
      <c r="Q1513" s="9" t="s">
        <v>2395</v>
      </c>
    </row>
    <row r="1514" spans="1:17" ht="62.1" customHeight="1">
      <c r="A1514" s="2" t="s">
        <v>2389</v>
      </c>
      <c r="B1514" s="2" t="s">
        <v>1595</v>
      </c>
      <c r="C1514" s="8" t="s">
        <v>2390</v>
      </c>
      <c r="D1514" s="2">
        <v>1</v>
      </c>
      <c r="E1514" s="8" t="s">
        <v>10156</v>
      </c>
      <c r="F1514" s="2">
        <v>4</v>
      </c>
      <c r="G1514" s="8" t="s">
        <v>8581</v>
      </c>
      <c r="H1514" s="8" t="s">
        <v>8581</v>
      </c>
      <c r="I1514" s="2">
        <v>112.29</v>
      </c>
      <c r="J1514" s="2">
        <v>371.37</v>
      </c>
      <c r="K1514" s="2">
        <v>401.7</v>
      </c>
      <c r="L1514" s="2">
        <v>525.20000000000005</v>
      </c>
      <c r="M1514" s="8"/>
      <c r="N1514" s="8" t="s">
        <v>10181</v>
      </c>
      <c r="O1514" s="8" t="s">
        <v>9433</v>
      </c>
      <c r="P1514" s="8" t="str">
        <f>HYPERLINK("https://seichotoushi-hojo.jp/assets/pdf/koufu_3_4ji/outline_95.pdf","PDFを開く")</f>
        <v>PDFを開く</v>
      </c>
      <c r="Q1514" s="8" t="s">
        <v>2395</v>
      </c>
    </row>
    <row r="1515" spans="1:17" ht="62.1" customHeight="1">
      <c r="A1515" s="5" t="s">
        <v>2396</v>
      </c>
      <c r="B1515" s="5" t="s">
        <v>1595</v>
      </c>
      <c r="C1515" s="9" t="s">
        <v>2397</v>
      </c>
      <c r="D1515" s="5">
        <v>1</v>
      </c>
      <c r="E1515" s="9" t="s">
        <v>10156</v>
      </c>
      <c r="F1515" s="5">
        <v>1</v>
      </c>
      <c r="G1515" s="9" t="s">
        <v>9578</v>
      </c>
      <c r="H1515" s="9" t="s">
        <v>9578</v>
      </c>
      <c r="I1515" s="5">
        <v>35.299999999999997</v>
      </c>
      <c r="J1515" s="5">
        <v>113.01</v>
      </c>
      <c r="K1515" s="5">
        <v>378.78</v>
      </c>
      <c r="L1515" s="5">
        <v>499.73</v>
      </c>
      <c r="M1515" s="9"/>
      <c r="N1515" s="9" t="s">
        <v>10159</v>
      </c>
      <c r="O1515" s="9" t="s">
        <v>10784</v>
      </c>
      <c r="P1515" s="9" t="str">
        <f t="shared" ref="P1515:P1522" si="86">HYPERLINK("https://seichotoushi-hojo.jp/assets/pdf/koufu_3_4ji/outline_96.pdf","PDFを開く")</f>
        <v>PDFを開く</v>
      </c>
      <c r="Q1515" s="9" t="s">
        <v>2403</v>
      </c>
    </row>
    <row r="1516" spans="1:17" ht="62.1" customHeight="1">
      <c r="A1516" s="2" t="s">
        <v>2396</v>
      </c>
      <c r="B1516" s="2" t="s">
        <v>1595</v>
      </c>
      <c r="C1516" s="8" t="s">
        <v>2397</v>
      </c>
      <c r="D1516" s="2">
        <v>1</v>
      </c>
      <c r="E1516" s="8" t="s">
        <v>10156</v>
      </c>
      <c r="F1516" s="2">
        <v>2</v>
      </c>
      <c r="G1516" s="8" t="s">
        <v>10162</v>
      </c>
      <c r="H1516" s="8" t="s">
        <v>10162</v>
      </c>
      <c r="I1516" s="2">
        <v>396.3</v>
      </c>
      <c r="J1516" s="2">
        <v>115.29</v>
      </c>
      <c r="K1516" s="2">
        <v>739.78</v>
      </c>
      <c r="L1516" s="2">
        <v>306.51</v>
      </c>
      <c r="M1516" s="8"/>
      <c r="N1516" s="8" t="s">
        <v>10159</v>
      </c>
      <c r="O1516" s="8" t="s">
        <v>10785</v>
      </c>
      <c r="P1516" s="8" t="str">
        <f t="shared" si="86"/>
        <v>PDFを開く</v>
      </c>
      <c r="Q1516" s="8" t="s">
        <v>2403</v>
      </c>
    </row>
    <row r="1517" spans="1:17" ht="62.1" customHeight="1">
      <c r="A1517" s="5" t="s">
        <v>2396</v>
      </c>
      <c r="B1517" s="5" t="s">
        <v>1595</v>
      </c>
      <c r="C1517" s="9" t="s">
        <v>2397</v>
      </c>
      <c r="D1517" s="5">
        <v>1</v>
      </c>
      <c r="E1517" s="9" t="s">
        <v>10156</v>
      </c>
      <c r="F1517" s="5">
        <v>3</v>
      </c>
      <c r="G1517" s="9" t="s">
        <v>10163</v>
      </c>
      <c r="H1517" s="9" t="s">
        <v>10163</v>
      </c>
      <c r="I1517" s="5">
        <v>214.94</v>
      </c>
      <c r="J1517" s="5">
        <v>139.69</v>
      </c>
      <c r="K1517" s="5">
        <v>401.7</v>
      </c>
      <c r="L1517" s="5">
        <v>327.89</v>
      </c>
      <c r="M1517" s="9"/>
      <c r="N1517" s="9" t="s">
        <v>10181</v>
      </c>
      <c r="O1517" s="9" t="s">
        <v>10786</v>
      </c>
      <c r="P1517" s="9" t="str">
        <f t="shared" si="86"/>
        <v>PDFを開く</v>
      </c>
      <c r="Q1517" s="9" t="s">
        <v>2403</v>
      </c>
    </row>
    <row r="1518" spans="1:17" ht="62.1" customHeight="1">
      <c r="A1518" s="2" t="s">
        <v>2396</v>
      </c>
      <c r="B1518" s="2" t="s">
        <v>1595</v>
      </c>
      <c r="C1518" s="8" t="s">
        <v>2397</v>
      </c>
      <c r="D1518" s="2">
        <v>1</v>
      </c>
      <c r="E1518" s="8" t="s">
        <v>10156</v>
      </c>
      <c r="F1518" s="2">
        <v>4</v>
      </c>
      <c r="G1518" s="8" t="s">
        <v>9578</v>
      </c>
      <c r="H1518" s="8" t="s">
        <v>9578</v>
      </c>
      <c r="I1518" s="2">
        <v>622.14</v>
      </c>
      <c r="J1518" s="2">
        <v>265.57</v>
      </c>
      <c r="K1518" s="2">
        <v>768.3</v>
      </c>
      <c r="L1518" s="2">
        <v>324.43</v>
      </c>
      <c r="M1518" s="8"/>
      <c r="N1518" s="8" t="s">
        <v>10181</v>
      </c>
      <c r="O1518" s="8" t="s">
        <v>10787</v>
      </c>
      <c r="P1518" s="8" t="str">
        <f t="shared" si="86"/>
        <v>PDFを開く</v>
      </c>
      <c r="Q1518" s="8" t="s">
        <v>2403</v>
      </c>
    </row>
    <row r="1519" spans="1:17" ht="62.1" customHeight="1">
      <c r="A1519" s="5" t="s">
        <v>2396</v>
      </c>
      <c r="B1519" s="5" t="s">
        <v>1595</v>
      </c>
      <c r="C1519" s="9" t="s">
        <v>2397</v>
      </c>
      <c r="D1519" s="5">
        <v>1</v>
      </c>
      <c r="E1519" s="9" t="s">
        <v>10156</v>
      </c>
      <c r="F1519" s="5">
        <v>5</v>
      </c>
      <c r="G1519" s="9" t="s">
        <v>10163</v>
      </c>
      <c r="H1519" s="9" t="s">
        <v>10163</v>
      </c>
      <c r="I1519" s="5">
        <v>396.3</v>
      </c>
      <c r="J1519" s="5">
        <v>318.66000000000003</v>
      </c>
      <c r="K1519" s="5">
        <v>739.78</v>
      </c>
      <c r="L1519" s="5">
        <v>492.69</v>
      </c>
      <c r="M1519" s="9"/>
      <c r="N1519" s="9" t="s">
        <v>10159</v>
      </c>
      <c r="O1519" s="9" t="s">
        <v>10788</v>
      </c>
      <c r="P1519" s="9" t="str">
        <f t="shared" si="86"/>
        <v>PDFを開く</v>
      </c>
      <c r="Q1519" s="9" t="s">
        <v>2403</v>
      </c>
    </row>
    <row r="1520" spans="1:17" ht="62.1" customHeight="1">
      <c r="A1520" s="2" t="s">
        <v>2396</v>
      </c>
      <c r="B1520" s="2" t="s">
        <v>1595</v>
      </c>
      <c r="C1520" s="8" t="s">
        <v>2397</v>
      </c>
      <c r="D1520" s="2">
        <v>1</v>
      </c>
      <c r="E1520" s="8" t="s">
        <v>10156</v>
      </c>
      <c r="F1520" s="2">
        <v>6</v>
      </c>
      <c r="G1520" s="8" t="s">
        <v>10162</v>
      </c>
      <c r="H1520" s="8" t="s">
        <v>10162</v>
      </c>
      <c r="I1520" s="2">
        <v>426.9</v>
      </c>
      <c r="J1520" s="2">
        <v>368.14</v>
      </c>
      <c r="K1520" s="2">
        <v>768.3</v>
      </c>
      <c r="L1520" s="2">
        <v>469.94</v>
      </c>
      <c r="M1520" s="8"/>
      <c r="N1520" s="8" t="s">
        <v>10181</v>
      </c>
      <c r="O1520" s="8" t="s">
        <v>10789</v>
      </c>
      <c r="P1520" s="8" t="str">
        <f t="shared" si="86"/>
        <v>PDFを開く</v>
      </c>
      <c r="Q1520" s="8" t="s">
        <v>2403</v>
      </c>
    </row>
    <row r="1521" spans="1:17" ht="62.1" customHeight="1">
      <c r="A1521" s="5" t="s">
        <v>2396</v>
      </c>
      <c r="B1521" s="5" t="s">
        <v>1595</v>
      </c>
      <c r="C1521" s="9" t="s">
        <v>2397</v>
      </c>
      <c r="D1521" s="5">
        <v>1</v>
      </c>
      <c r="E1521" s="9" t="s">
        <v>10156</v>
      </c>
      <c r="F1521" s="5">
        <v>7</v>
      </c>
      <c r="G1521" s="9" t="s">
        <v>8581</v>
      </c>
      <c r="H1521" s="9" t="s">
        <v>8581</v>
      </c>
      <c r="I1521" s="5">
        <v>50.52</v>
      </c>
      <c r="J1521" s="5">
        <v>376.92</v>
      </c>
      <c r="K1521" s="5">
        <v>370.02</v>
      </c>
      <c r="L1521" s="5">
        <v>492.69</v>
      </c>
      <c r="M1521" s="9"/>
      <c r="N1521" s="9" t="s">
        <v>10159</v>
      </c>
      <c r="O1521" s="9" t="s">
        <v>9441</v>
      </c>
      <c r="P1521" s="9" t="str">
        <f t="shared" si="86"/>
        <v>PDFを開く</v>
      </c>
      <c r="Q1521" s="9" t="s">
        <v>2403</v>
      </c>
    </row>
    <row r="1522" spans="1:17" ht="62.1" customHeight="1">
      <c r="A1522" s="2" t="s">
        <v>2396</v>
      </c>
      <c r="B1522" s="2" t="s">
        <v>1595</v>
      </c>
      <c r="C1522" s="8" t="s">
        <v>2397</v>
      </c>
      <c r="D1522" s="2">
        <v>1</v>
      </c>
      <c r="E1522" s="8" t="s">
        <v>10156</v>
      </c>
      <c r="F1522" s="2">
        <v>8</v>
      </c>
      <c r="G1522" s="8" t="s">
        <v>9578</v>
      </c>
      <c r="H1522" s="8" t="s">
        <v>9578</v>
      </c>
      <c r="I1522" s="2">
        <v>528.17999999999995</v>
      </c>
      <c r="J1522" s="2">
        <v>468.94</v>
      </c>
      <c r="K1522" s="2">
        <v>768.3</v>
      </c>
      <c r="L1522" s="2">
        <v>525.20000000000005</v>
      </c>
      <c r="M1522" s="8"/>
      <c r="N1522" s="8" t="s">
        <v>10181</v>
      </c>
      <c r="O1522" s="8" t="s">
        <v>10790</v>
      </c>
      <c r="P1522" s="8" t="str">
        <f t="shared" si="86"/>
        <v>PDFを開く</v>
      </c>
      <c r="Q1522" s="8" t="s">
        <v>2403</v>
      </c>
    </row>
    <row r="1523" spans="1:17" ht="62.1" customHeight="1">
      <c r="A1523" s="5" t="s">
        <v>2404</v>
      </c>
      <c r="B1523" s="5" t="s">
        <v>1595</v>
      </c>
      <c r="C1523" s="9" t="s">
        <v>2405</v>
      </c>
      <c r="D1523" s="5">
        <v>1</v>
      </c>
      <c r="E1523" s="9" t="s">
        <v>10156</v>
      </c>
      <c r="F1523" s="5">
        <v>1</v>
      </c>
      <c r="G1523" s="9" t="s">
        <v>9578</v>
      </c>
      <c r="H1523" s="9" t="s">
        <v>9578</v>
      </c>
      <c r="I1523" s="5">
        <v>14.16</v>
      </c>
      <c r="J1523" s="5">
        <v>109.8</v>
      </c>
      <c r="K1523" s="5">
        <v>402.72</v>
      </c>
      <c r="L1523" s="5">
        <v>585.72</v>
      </c>
      <c r="M1523" s="9"/>
      <c r="N1523" s="9" t="s">
        <v>10159</v>
      </c>
      <c r="O1523" s="9" t="s">
        <v>9446</v>
      </c>
      <c r="P1523" s="9" t="str">
        <f>HYPERLINK("https://seichotoushi-hojo.jp/assets/pdf/koufu_3_4ji/outline_97.pdf","PDFを開く")</f>
        <v>PDFを開く</v>
      </c>
      <c r="Q1523" s="9" t="s">
        <v>2411</v>
      </c>
    </row>
    <row r="1524" spans="1:17" ht="62.1" customHeight="1">
      <c r="A1524" s="2" t="s">
        <v>2404</v>
      </c>
      <c r="B1524" s="2" t="s">
        <v>1595</v>
      </c>
      <c r="C1524" s="8" t="s">
        <v>2405</v>
      </c>
      <c r="D1524" s="2">
        <v>1</v>
      </c>
      <c r="E1524" s="8" t="s">
        <v>10156</v>
      </c>
      <c r="F1524" s="2">
        <v>2</v>
      </c>
      <c r="G1524" s="8" t="s">
        <v>10162</v>
      </c>
      <c r="H1524" s="8" t="s">
        <v>10162</v>
      </c>
      <c r="I1524" s="2">
        <v>427.68</v>
      </c>
      <c r="J1524" s="2">
        <v>109.8</v>
      </c>
      <c r="K1524" s="2">
        <v>821.64</v>
      </c>
      <c r="L1524" s="2">
        <v>414.72</v>
      </c>
      <c r="M1524" s="8"/>
      <c r="N1524" s="8" t="s">
        <v>10159</v>
      </c>
      <c r="O1524" s="8" t="s">
        <v>9447</v>
      </c>
      <c r="P1524" s="8" t="str">
        <f>HYPERLINK("https://seichotoushi-hojo.jp/assets/pdf/koufu_3_4ji/outline_97.pdf","PDFを開く")</f>
        <v>PDFを開く</v>
      </c>
      <c r="Q1524" s="8" t="s">
        <v>2411</v>
      </c>
    </row>
    <row r="1525" spans="1:17" ht="62.1" customHeight="1">
      <c r="A1525" s="5" t="s">
        <v>2404</v>
      </c>
      <c r="B1525" s="5" t="s">
        <v>1595</v>
      </c>
      <c r="C1525" s="9" t="s">
        <v>2405</v>
      </c>
      <c r="D1525" s="5">
        <v>1</v>
      </c>
      <c r="E1525" s="9" t="s">
        <v>10156</v>
      </c>
      <c r="F1525" s="5">
        <v>3</v>
      </c>
      <c r="G1525" s="9" t="s">
        <v>10163</v>
      </c>
      <c r="H1525" s="9" t="s">
        <v>10163</v>
      </c>
      <c r="I1525" s="5">
        <v>427.68</v>
      </c>
      <c r="J1525" s="5">
        <v>417</v>
      </c>
      <c r="K1525" s="5">
        <v>821.64</v>
      </c>
      <c r="L1525" s="5">
        <v>585.72</v>
      </c>
      <c r="M1525" s="9"/>
      <c r="N1525" s="9" t="s">
        <v>10159</v>
      </c>
      <c r="O1525" s="9" t="s">
        <v>9448</v>
      </c>
      <c r="P1525" s="9" t="str">
        <f>HYPERLINK("https://seichotoushi-hojo.jp/assets/pdf/koufu_3_4ji/outline_97.pdf","PDFを開く")</f>
        <v>PDFを開く</v>
      </c>
      <c r="Q1525" s="9" t="s">
        <v>2411</v>
      </c>
    </row>
    <row r="1526" spans="1:17" ht="62.1" customHeight="1">
      <c r="A1526" s="2" t="s">
        <v>2404</v>
      </c>
      <c r="B1526" s="2" t="s">
        <v>1595</v>
      </c>
      <c r="C1526" s="8" t="s">
        <v>2405</v>
      </c>
      <c r="D1526" s="2">
        <v>1</v>
      </c>
      <c r="E1526" s="8" t="s">
        <v>10156</v>
      </c>
      <c r="F1526" s="2">
        <v>4</v>
      </c>
      <c r="G1526" s="8" t="s">
        <v>8581</v>
      </c>
      <c r="H1526" s="8" t="s">
        <v>8581</v>
      </c>
      <c r="I1526" s="2">
        <v>36</v>
      </c>
      <c r="J1526" s="2">
        <v>470.16</v>
      </c>
      <c r="K1526" s="2">
        <v>380.88</v>
      </c>
      <c r="L1526" s="2">
        <v>578.04</v>
      </c>
      <c r="M1526" s="8"/>
      <c r="N1526" s="8" t="s">
        <v>10159</v>
      </c>
      <c r="O1526" s="8" t="s">
        <v>9449</v>
      </c>
      <c r="P1526" s="8" t="str">
        <f>HYPERLINK("https://seichotoushi-hojo.jp/assets/pdf/koufu_3_4ji/outline_97.pdf","PDFを開く")</f>
        <v>PDFを開く</v>
      </c>
      <c r="Q1526" s="8" t="s">
        <v>2411</v>
      </c>
    </row>
    <row r="1527" spans="1:17" ht="62.1" customHeight="1">
      <c r="A1527" s="5" t="s">
        <v>2412</v>
      </c>
      <c r="B1527" s="5" t="s">
        <v>1595</v>
      </c>
      <c r="C1527" s="9" t="s">
        <v>2413</v>
      </c>
      <c r="D1527" s="5">
        <v>1</v>
      </c>
      <c r="E1527" s="9" t="s">
        <v>10156</v>
      </c>
      <c r="F1527" s="5">
        <v>1</v>
      </c>
      <c r="G1527" s="9" t="s">
        <v>10162</v>
      </c>
      <c r="H1527" s="9" t="s">
        <v>10162</v>
      </c>
      <c r="I1527" s="5">
        <v>425.76</v>
      </c>
      <c r="J1527" s="5">
        <v>124.29</v>
      </c>
      <c r="K1527" s="5">
        <v>820.44</v>
      </c>
      <c r="L1527" s="5">
        <v>357.33</v>
      </c>
      <c r="M1527" s="9"/>
      <c r="N1527" s="9" t="s">
        <v>10159</v>
      </c>
      <c r="O1527" s="9" t="s">
        <v>9454</v>
      </c>
      <c r="P1527" s="9" t="str">
        <f>HYPERLINK("https://seichotoushi-hojo.jp/assets/pdf/koufu_3_4ji/outline_98.pdf","PDFを開く")</f>
        <v>PDFを開く</v>
      </c>
      <c r="Q1527" s="9" t="s">
        <v>2419</v>
      </c>
    </row>
    <row r="1528" spans="1:17" ht="62.1" customHeight="1">
      <c r="A1528" s="2" t="s">
        <v>2412</v>
      </c>
      <c r="B1528" s="2" t="s">
        <v>1595</v>
      </c>
      <c r="C1528" s="8" t="s">
        <v>2413</v>
      </c>
      <c r="D1528" s="2">
        <v>1</v>
      </c>
      <c r="E1528" s="8" t="s">
        <v>10156</v>
      </c>
      <c r="F1528" s="2">
        <v>2</v>
      </c>
      <c r="G1528" s="8" t="s">
        <v>10163</v>
      </c>
      <c r="H1528" s="8" t="s">
        <v>10163</v>
      </c>
      <c r="I1528" s="2">
        <v>426.72</v>
      </c>
      <c r="J1528" s="2">
        <v>363.69</v>
      </c>
      <c r="K1528" s="2">
        <v>821.88</v>
      </c>
      <c r="L1528" s="2">
        <v>567.33000000000004</v>
      </c>
      <c r="M1528" s="8"/>
      <c r="N1528" s="8" t="s">
        <v>10159</v>
      </c>
      <c r="O1528" s="8" t="s">
        <v>9455</v>
      </c>
      <c r="P1528" s="8" t="str">
        <f>HYPERLINK("https://seichotoushi-hojo.jp/assets/pdf/koufu_3_4ji/outline_98.pdf","PDFを開く")</f>
        <v>PDFを開く</v>
      </c>
      <c r="Q1528" s="8" t="s">
        <v>2419</v>
      </c>
    </row>
    <row r="1529" spans="1:17" ht="62.1" customHeight="1">
      <c r="A1529" s="5" t="s">
        <v>2412</v>
      </c>
      <c r="B1529" s="5" t="s">
        <v>1595</v>
      </c>
      <c r="C1529" s="9" t="s">
        <v>2413</v>
      </c>
      <c r="D1529" s="5">
        <v>1</v>
      </c>
      <c r="E1529" s="9" t="s">
        <v>10156</v>
      </c>
      <c r="F1529" s="5">
        <v>3</v>
      </c>
      <c r="G1529" s="9" t="s">
        <v>10167</v>
      </c>
      <c r="H1529" s="9" t="s">
        <v>10791</v>
      </c>
      <c r="I1529" s="5">
        <v>35.880000000000003</v>
      </c>
      <c r="J1529" s="5">
        <v>401.49</v>
      </c>
      <c r="K1529" s="5">
        <v>396.72</v>
      </c>
      <c r="L1529" s="5">
        <v>461.61</v>
      </c>
      <c r="M1529" s="9"/>
      <c r="N1529" s="9" t="s">
        <v>10159</v>
      </c>
      <c r="O1529" s="9" t="s">
        <v>10792</v>
      </c>
      <c r="P1529" s="9" t="str">
        <f>HYPERLINK("https://seichotoushi-hojo.jp/assets/pdf/koufu_3_4ji/outline_98.pdf","PDFを開く")</f>
        <v>PDFを開く</v>
      </c>
      <c r="Q1529" s="9" t="s">
        <v>2419</v>
      </c>
    </row>
    <row r="1530" spans="1:17" ht="62.1" customHeight="1">
      <c r="A1530" s="2" t="s">
        <v>2412</v>
      </c>
      <c r="B1530" s="2" t="s">
        <v>1595</v>
      </c>
      <c r="C1530" s="8" t="s">
        <v>2413</v>
      </c>
      <c r="D1530" s="2">
        <v>1</v>
      </c>
      <c r="E1530" s="8" t="s">
        <v>10156</v>
      </c>
      <c r="F1530" s="2">
        <v>4</v>
      </c>
      <c r="G1530" s="8" t="s">
        <v>8581</v>
      </c>
      <c r="H1530" s="8" t="s">
        <v>8581</v>
      </c>
      <c r="I1530" s="2">
        <v>35.880000000000003</v>
      </c>
      <c r="J1530" s="2">
        <v>480.56</v>
      </c>
      <c r="K1530" s="2">
        <v>396.84</v>
      </c>
      <c r="L1530" s="2">
        <v>572.12</v>
      </c>
      <c r="M1530" s="8"/>
      <c r="N1530" s="8" t="s">
        <v>10159</v>
      </c>
      <c r="O1530" s="8" t="s">
        <v>9456</v>
      </c>
      <c r="P1530" s="8" t="str">
        <f>HYPERLINK("https://seichotoushi-hojo.jp/assets/pdf/koufu_3_4ji/outline_98.pdf","PDFを開く")</f>
        <v>PDFを開く</v>
      </c>
      <c r="Q1530" s="8" t="s">
        <v>2419</v>
      </c>
    </row>
    <row r="1531" spans="1:17" ht="62.1" customHeight="1">
      <c r="A1531" s="5" t="s">
        <v>2420</v>
      </c>
      <c r="B1531" s="5" t="s">
        <v>1595</v>
      </c>
      <c r="C1531" s="9" t="s">
        <v>2421</v>
      </c>
      <c r="D1531" s="5">
        <v>1</v>
      </c>
      <c r="E1531" s="9" t="s">
        <v>10156</v>
      </c>
      <c r="F1531" s="5">
        <v>1</v>
      </c>
      <c r="G1531" s="9" t="s">
        <v>10171</v>
      </c>
      <c r="H1531" s="9" t="s">
        <v>10171</v>
      </c>
      <c r="I1531" s="5">
        <v>145.08000000000001</v>
      </c>
      <c r="J1531" s="5">
        <v>23.16</v>
      </c>
      <c r="K1531" s="5">
        <v>433.57</v>
      </c>
      <c r="L1531" s="5">
        <v>238.46</v>
      </c>
      <c r="M1531" s="9"/>
      <c r="N1531" s="9" t="s">
        <v>10181</v>
      </c>
      <c r="O1531" s="9" t="s">
        <v>9464</v>
      </c>
      <c r="P1531" s="9" t="str">
        <f t="shared" ref="P1531:P1536" si="87">HYPERLINK("https://seichotoushi-hojo.jp/assets/pdf/koufu_3_4ji/outline_99.pdf","PDFを開く")</f>
        <v>PDFを開く</v>
      </c>
      <c r="Q1531" s="9" t="s">
        <v>2427</v>
      </c>
    </row>
    <row r="1532" spans="1:17" ht="62.1" customHeight="1">
      <c r="A1532" s="2" t="s">
        <v>2420</v>
      </c>
      <c r="B1532" s="2" t="s">
        <v>1595</v>
      </c>
      <c r="C1532" s="8" t="s">
        <v>2421</v>
      </c>
      <c r="D1532" s="2">
        <v>1</v>
      </c>
      <c r="E1532" s="8" t="s">
        <v>10156</v>
      </c>
      <c r="F1532" s="2">
        <v>2</v>
      </c>
      <c r="G1532" s="8" t="s">
        <v>10167</v>
      </c>
      <c r="H1532" s="8" t="s">
        <v>10433</v>
      </c>
      <c r="I1532" s="2">
        <v>121.2</v>
      </c>
      <c r="J1532" s="2">
        <v>374.76</v>
      </c>
      <c r="K1532" s="2">
        <v>824.04</v>
      </c>
      <c r="L1532" s="2">
        <v>408.24</v>
      </c>
      <c r="M1532" s="8"/>
      <c r="N1532" s="8" t="s">
        <v>10159</v>
      </c>
      <c r="O1532" s="8" t="s">
        <v>10793</v>
      </c>
      <c r="P1532" s="8" t="str">
        <f t="shared" si="87"/>
        <v>PDFを開く</v>
      </c>
      <c r="Q1532" s="8" t="s">
        <v>2427</v>
      </c>
    </row>
    <row r="1533" spans="1:17" ht="62.1" customHeight="1">
      <c r="A1533" s="5" t="s">
        <v>2420</v>
      </c>
      <c r="B1533" s="5" t="s">
        <v>1595</v>
      </c>
      <c r="C1533" s="9" t="s">
        <v>2421</v>
      </c>
      <c r="D1533" s="5">
        <v>2</v>
      </c>
      <c r="E1533" s="9" t="s">
        <v>10156</v>
      </c>
      <c r="F1533" s="5">
        <v>1</v>
      </c>
      <c r="G1533" s="9" t="s">
        <v>10162</v>
      </c>
      <c r="H1533" s="9" t="s">
        <v>10162</v>
      </c>
      <c r="I1533" s="5">
        <v>435.84</v>
      </c>
      <c r="J1533" s="5">
        <v>109.92</v>
      </c>
      <c r="K1533" s="5">
        <v>815.04</v>
      </c>
      <c r="L1533" s="5">
        <v>358.68</v>
      </c>
      <c r="M1533" s="9"/>
      <c r="N1533" s="9" t="s">
        <v>10159</v>
      </c>
      <c r="O1533" s="9" t="s">
        <v>9462</v>
      </c>
      <c r="P1533" s="9" t="str">
        <f t="shared" si="87"/>
        <v>PDFを開く</v>
      </c>
      <c r="Q1533" s="9" t="s">
        <v>2427</v>
      </c>
    </row>
    <row r="1534" spans="1:17" ht="62.1" customHeight="1">
      <c r="A1534" s="2" t="s">
        <v>2420</v>
      </c>
      <c r="B1534" s="2" t="s">
        <v>1595</v>
      </c>
      <c r="C1534" s="8" t="s">
        <v>2421</v>
      </c>
      <c r="D1534" s="2">
        <v>2</v>
      </c>
      <c r="E1534" s="8" t="s">
        <v>10156</v>
      </c>
      <c r="F1534" s="2">
        <v>2</v>
      </c>
      <c r="G1534" s="8" t="s">
        <v>9578</v>
      </c>
      <c r="H1534" s="8" t="s">
        <v>9578</v>
      </c>
      <c r="I1534" s="2">
        <v>32.64</v>
      </c>
      <c r="J1534" s="2">
        <v>110.04</v>
      </c>
      <c r="K1534" s="2">
        <v>414.36</v>
      </c>
      <c r="L1534" s="2">
        <v>564.72</v>
      </c>
      <c r="M1534" s="8"/>
      <c r="N1534" s="8" t="s">
        <v>10159</v>
      </c>
      <c r="O1534" s="8" t="s">
        <v>9461</v>
      </c>
      <c r="P1534" s="8" t="str">
        <f t="shared" si="87"/>
        <v>PDFを開く</v>
      </c>
      <c r="Q1534" s="8" t="s">
        <v>2427</v>
      </c>
    </row>
    <row r="1535" spans="1:17" ht="62.1" customHeight="1">
      <c r="A1535" s="5" t="s">
        <v>2420</v>
      </c>
      <c r="B1535" s="5" t="s">
        <v>1595</v>
      </c>
      <c r="C1535" s="9" t="s">
        <v>2421</v>
      </c>
      <c r="D1535" s="5">
        <v>2</v>
      </c>
      <c r="E1535" s="9" t="s">
        <v>10156</v>
      </c>
      <c r="F1535" s="5">
        <v>3</v>
      </c>
      <c r="G1535" s="9" t="s">
        <v>10163</v>
      </c>
      <c r="H1535" s="9" t="s">
        <v>10163</v>
      </c>
      <c r="I1535" s="5">
        <v>435.84</v>
      </c>
      <c r="J1535" s="5">
        <v>360.6</v>
      </c>
      <c r="K1535" s="5">
        <v>815.04</v>
      </c>
      <c r="L1535" s="5">
        <v>562.55999999999995</v>
      </c>
      <c r="M1535" s="9"/>
      <c r="N1535" s="9" t="s">
        <v>10159</v>
      </c>
      <c r="O1535" s="9" t="s">
        <v>9463</v>
      </c>
      <c r="P1535" s="9" t="str">
        <f t="shared" si="87"/>
        <v>PDFを開く</v>
      </c>
      <c r="Q1535" s="9" t="s">
        <v>2427</v>
      </c>
    </row>
    <row r="1536" spans="1:17" ht="62.1" customHeight="1">
      <c r="A1536" s="2" t="s">
        <v>2420</v>
      </c>
      <c r="B1536" s="2" t="s">
        <v>1595</v>
      </c>
      <c r="C1536" s="8" t="s">
        <v>2421</v>
      </c>
      <c r="D1536" s="2">
        <v>2</v>
      </c>
      <c r="E1536" s="8" t="s">
        <v>10156</v>
      </c>
      <c r="F1536" s="2">
        <v>4</v>
      </c>
      <c r="G1536" s="8" t="s">
        <v>8581</v>
      </c>
      <c r="H1536" s="8" t="s">
        <v>8581</v>
      </c>
      <c r="I1536" s="2">
        <v>40.56</v>
      </c>
      <c r="J1536" s="2">
        <v>465.12</v>
      </c>
      <c r="K1536" s="2">
        <v>406.32</v>
      </c>
      <c r="L1536" s="2">
        <v>558</v>
      </c>
      <c r="M1536" s="8"/>
      <c r="N1536" s="8" t="s">
        <v>10159</v>
      </c>
      <c r="O1536" s="8" t="s">
        <v>9465</v>
      </c>
      <c r="P1536" s="8" t="str">
        <f t="shared" si="87"/>
        <v>PDFを開く</v>
      </c>
      <c r="Q1536" s="8" t="s">
        <v>2427</v>
      </c>
    </row>
    <row r="1537" spans="1:17" ht="62.1" customHeight="1">
      <c r="A1537" s="5" t="s">
        <v>2429</v>
      </c>
      <c r="B1537" s="5" t="s">
        <v>2430</v>
      </c>
      <c r="C1537" s="9" t="s">
        <v>2431</v>
      </c>
      <c r="D1537" s="5">
        <v>1</v>
      </c>
      <c r="E1537" s="9" t="s">
        <v>10156</v>
      </c>
      <c r="F1537" s="5">
        <v>1</v>
      </c>
      <c r="G1537" s="9" t="s">
        <v>9578</v>
      </c>
      <c r="H1537" s="9" t="s">
        <v>9578</v>
      </c>
      <c r="I1537" s="5">
        <v>40.299999999999997</v>
      </c>
      <c r="J1537" s="5">
        <v>108.2</v>
      </c>
      <c r="K1537" s="5">
        <v>379.44</v>
      </c>
      <c r="L1537" s="5">
        <v>515.37</v>
      </c>
      <c r="M1537" s="9"/>
      <c r="N1537" s="9" t="s">
        <v>10159</v>
      </c>
      <c r="O1537" s="9" t="s">
        <v>9471</v>
      </c>
      <c r="P1537" s="9" t="str">
        <f t="shared" ref="P1537:P1542" si="88">HYPERLINK("https://seichotoushi-hojo.jp/assets/pdf/koufu_3_4ji/outline_113.pdf","PDFを開く")</f>
        <v>PDFを開く</v>
      </c>
      <c r="Q1537" s="9" t="s">
        <v>2436</v>
      </c>
    </row>
    <row r="1538" spans="1:17" ht="62.1" customHeight="1">
      <c r="A1538" s="2" t="s">
        <v>2429</v>
      </c>
      <c r="B1538" s="2" t="s">
        <v>2430</v>
      </c>
      <c r="C1538" s="8" t="s">
        <v>2431</v>
      </c>
      <c r="D1538" s="2">
        <v>1</v>
      </c>
      <c r="E1538" s="8" t="s">
        <v>10156</v>
      </c>
      <c r="F1538" s="2">
        <v>2</v>
      </c>
      <c r="G1538" s="8" t="s">
        <v>10162</v>
      </c>
      <c r="H1538" s="8" t="s">
        <v>10162</v>
      </c>
      <c r="I1538" s="2">
        <v>400.57</v>
      </c>
      <c r="J1538" s="2">
        <v>110.15</v>
      </c>
      <c r="K1538" s="2">
        <v>752.59</v>
      </c>
      <c r="L1538" s="2">
        <v>292.52</v>
      </c>
      <c r="M1538" s="8"/>
      <c r="N1538" s="8" t="s">
        <v>10159</v>
      </c>
      <c r="O1538" s="8" t="s">
        <v>9472</v>
      </c>
      <c r="P1538" s="8" t="str">
        <f t="shared" si="88"/>
        <v>PDFを開く</v>
      </c>
      <c r="Q1538" s="8" t="s">
        <v>2436</v>
      </c>
    </row>
    <row r="1539" spans="1:17" ht="62.1" customHeight="1">
      <c r="A1539" s="5" t="s">
        <v>2429</v>
      </c>
      <c r="B1539" s="5" t="s">
        <v>2430</v>
      </c>
      <c r="C1539" s="9" t="s">
        <v>2431</v>
      </c>
      <c r="D1539" s="5">
        <v>1</v>
      </c>
      <c r="E1539" s="9" t="s">
        <v>10156</v>
      </c>
      <c r="F1539" s="5">
        <v>3</v>
      </c>
      <c r="G1539" s="9" t="s">
        <v>10163</v>
      </c>
      <c r="H1539" s="9" t="s">
        <v>10163</v>
      </c>
      <c r="I1539" s="5">
        <v>400.57</v>
      </c>
      <c r="J1539" s="5">
        <v>316.14999999999998</v>
      </c>
      <c r="K1539" s="5">
        <v>752.59</v>
      </c>
      <c r="L1539" s="5">
        <v>515.37</v>
      </c>
      <c r="M1539" s="9"/>
      <c r="N1539" s="9" t="s">
        <v>10159</v>
      </c>
      <c r="O1539" s="9" t="s">
        <v>9473</v>
      </c>
      <c r="P1539" s="9" t="str">
        <f t="shared" si="88"/>
        <v>PDFを開く</v>
      </c>
      <c r="Q1539" s="9" t="s">
        <v>2436</v>
      </c>
    </row>
    <row r="1540" spans="1:17" ht="62.1" customHeight="1">
      <c r="A1540" s="2" t="s">
        <v>2429</v>
      </c>
      <c r="B1540" s="2" t="s">
        <v>2430</v>
      </c>
      <c r="C1540" s="8" t="s">
        <v>2431</v>
      </c>
      <c r="D1540" s="2">
        <v>1</v>
      </c>
      <c r="E1540" s="8" t="s">
        <v>10156</v>
      </c>
      <c r="F1540" s="2">
        <v>4</v>
      </c>
      <c r="G1540" s="8" t="s">
        <v>8581</v>
      </c>
      <c r="H1540" s="8" t="s">
        <v>8581</v>
      </c>
      <c r="I1540" s="2">
        <v>50.12</v>
      </c>
      <c r="J1540" s="2">
        <v>397.87</v>
      </c>
      <c r="K1540" s="2">
        <v>369.62</v>
      </c>
      <c r="L1540" s="2">
        <v>503.94</v>
      </c>
      <c r="M1540" s="8"/>
      <c r="N1540" s="8" t="s">
        <v>10159</v>
      </c>
      <c r="O1540" s="8" t="s">
        <v>9474</v>
      </c>
      <c r="P1540" s="8" t="str">
        <f t="shared" si="88"/>
        <v>PDFを開く</v>
      </c>
      <c r="Q1540" s="8" t="s">
        <v>2436</v>
      </c>
    </row>
    <row r="1541" spans="1:17" ht="62.1" customHeight="1">
      <c r="A1541" s="5" t="s">
        <v>2429</v>
      </c>
      <c r="B1541" s="5" t="s">
        <v>2430</v>
      </c>
      <c r="C1541" s="9" t="s">
        <v>2431</v>
      </c>
      <c r="D1541" s="5">
        <v>2</v>
      </c>
      <c r="E1541" s="9" t="s">
        <v>10165</v>
      </c>
      <c r="F1541" s="5">
        <v>1</v>
      </c>
      <c r="G1541" s="9" t="s">
        <v>10157</v>
      </c>
      <c r="H1541" s="9" t="s">
        <v>10157</v>
      </c>
      <c r="I1541" s="5">
        <v>40.22</v>
      </c>
      <c r="J1541" s="5">
        <v>35</v>
      </c>
      <c r="K1541" s="5">
        <v>707.91</v>
      </c>
      <c r="L1541" s="5">
        <v>84.74</v>
      </c>
      <c r="M1541" s="9" t="s">
        <v>10158</v>
      </c>
      <c r="N1541" s="9" t="s">
        <v>10159</v>
      </c>
      <c r="O1541" s="9" t="s">
        <v>9470</v>
      </c>
      <c r="P1541" s="9" t="str">
        <f t="shared" si="88"/>
        <v>PDFを開く</v>
      </c>
      <c r="Q1541" s="9" t="s">
        <v>2436</v>
      </c>
    </row>
    <row r="1542" spans="1:17" ht="62.1" customHeight="1">
      <c r="A1542" s="2" t="s">
        <v>2429</v>
      </c>
      <c r="B1542" s="2" t="s">
        <v>2430</v>
      </c>
      <c r="C1542" s="8" t="s">
        <v>2431</v>
      </c>
      <c r="D1542" s="2">
        <v>2</v>
      </c>
      <c r="E1542" s="8" t="s">
        <v>10165</v>
      </c>
      <c r="F1542" s="2">
        <v>2</v>
      </c>
      <c r="G1542" s="8" t="s">
        <v>10167</v>
      </c>
      <c r="H1542" s="8" t="s">
        <v>10794</v>
      </c>
      <c r="I1542" s="2">
        <v>98.92</v>
      </c>
      <c r="J1542" s="2">
        <v>104.11</v>
      </c>
      <c r="K1542" s="2">
        <v>545.67999999999995</v>
      </c>
      <c r="L1542" s="2">
        <v>153.33000000000001</v>
      </c>
      <c r="M1542" s="8"/>
      <c r="N1542" s="8" t="s">
        <v>10159</v>
      </c>
      <c r="O1542" s="8" t="s">
        <v>10795</v>
      </c>
      <c r="P1542" s="8" t="str">
        <f t="shared" si="88"/>
        <v>PDFを開く</v>
      </c>
      <c r="Q1542" s="8" t="s">
        <v>2436</v>
      </c>
    </row>
    <row r="1543" spans="1:17" ht="62.1" customHeight="1">
      <c r="A1543" s="5" t="s">
        <v>2437</v>
      </c>
      <c r="B1543" s="5" t="s">
        <v>2430</v>
      </c>
      <c r="C1543" s="9" t="s">
        <v>2438</v>
      </c>
      <c r="D1543" s="5">
        <v>1</v>
      </c>
      <c r="E1543" s="9" t="s">
        <v>10156</v>
      </c>
      <c r="F1543" s="5">
        <v>1</v>
      </c>
      <c r="G1543" s="9" t="s">
        <v>9578</v>
      </c>
      <c r="H1543" s="9" t="s">
        <v>9578</v>
      </c>
      <c r="I1543" s="5">
        <v>21</v>
      </c>
      <c r="J1543" s="5">
        <v>101.82</v>
      </c>
      <c r="K1543" s="5">
        <v>360.13</v>
      </c>
      <c r="L1543" s="5">
        <v>520.9</v>
      </c>
      <c r="M1543" s="9"/>
      <c r="N1543" s="9" t="s">
        <v>10159</v>
      </c>
      <c r="O1543" s="9" t="s">
        <v>9479</v>
      </c>
      <c r="P1543" s="9" t="str">
        <f t="shared" ref="P1543:P1548" si="89">HYPERLINK("https://seichotoushi-hojo.jp/assets/pdf/koufu_3_4ji/outline_115.pdf","PDFを開く")</f>
        <v>PDFを開く</v>
      </c>
      <c r="Q1543" s="9" t="s">
        <v>2443</v>
      </c>
    </row>
    <row r="1544" spans="1:17" ht="62.1" customHeight="1">
      <c r="A1544" s="2" t="s">
        <v>2437</v>
      </c>
      <c r="B1544" s="2" t="s">
        <v>2430</v>
      </c>
      <c r="C1544" s="8" t="s">
        <v>2438</v>
      </c>
      <c r="D1544" s="2">
        <v>1</v>
      </c>
      <c r="E1544" s="8" t="s">
        <v>10156</v>
      </c>
      <c r="F1544" s="2">
        <v>2</v>
      </c>
      <c r="G1544" s="8" t="s">
        <v>10162</v>
      </c>
      <c r="H1544" s="8" t="s">
        <v>10162</v>
      </c>
      <c r="I1544" s="2">
        <v>395.44</v>
      </c>
      <c r="J1544" s="2">
        <v>114.72</v>
      </c>
      <c r="K1544" s="2">
        <v>772.77</v>
      </c>
      <c r="L1544" s="2">
        <v>256.75</v>
      </c>
      <c r="M1544" s="8"/>
      <c r="N1544" s="8" t="s">
        <v>10159</v>
      </c>
      <c r="O1544" s="8" t="s">
        <v>9480</v>
      </c>
      <c r="P1544" s="8" t="str">
        <f t="shared" si="89"/>
        <v>PDFを開く</v>
      </c>
      <c r="Q1544" s="8" t="s">
        <v>2443</v>
      </c>
    </row>
    <row r="1545" spans="1:17" ht="62.1" customHeight="1">
      <c r="A1545" s="5" t="s">
        <v>2437</v>
      </c>
      <c r="B1545" s="5" t="s">
        <v>2430</v>
      </c>
      <c r="C1545" s="9" t="s">
        <v>2438</v>
      </c>
      <c r="D1545" s="5">
        <v>1</v>
      </c>
      <c r="E1545" s="9" t="s">
        <v>10156</v>
      </c>
      <c r="F1545" s="5">
        <v>3</v>
      </c>
      <c r="G1545" s="9" t="s">
        <v>10163</v>
      </c>
      <c r="H1545" s="9" t="s">
        <v>10163</v>
      </c>
      <c r="I1545" s="5">
        <v>395.44</v>
      </c>
      <c r="J1545" s="5">
        <v>271.85000000000002</v>
      </c>
      <c r="K1545" s="5">
        <v>772.77</v>
      </c>
      <c r="L1545" s="5">
        <v>435.01</v>
      </c>
      <c r="M1545" s="9"/>
      <c r="N1545" s="9" t="s">
        <v>10159</v>
      </c>
      <c r="O1545" s="9" t="s">
        <v>9481</v>
      </c>
      <c r="P1545" s="9" t="str">
        <f t="shared" si="89"/>
        <v>PDFを開く</v>
      </c>
      <c r="Q1545" s="9" t="s">
        <v>2443</v>
      </c>
    </row>
    <row r="1546" spans="1:17" ht="62.1" customHeight="1">
      <c r="A1546" s="2" t="s">
        <v>2437</v>
      </c>
      <c r="B1546" s="2" t="s">
        <v>2430</v>
      </c>
      <c r="C1546" s="8" t="s">
        <v>2438</v>
      </c>
      <c r="D1546" s="2">
        <v>1</v>
      </c>
      <c r="E1546" s="8" t="s">
        <v>10156</v>
      </c>
      <c r="F1546" s="2">
        <v>4</v>
      </c>
      <c r="G1546" s="8" t="s">
        <v>8581</v>
      </c>
      <c r="H1546" s="8" t="s">
        <v>8581</v>
      </c>
      <c r="I1546" s="2">
        <v>0</v>
      </c>
      <c r="J1546" s="2">
        <v>296.68</v>
      </c>
      <c r="K1546" s="2">
        <v>401.7</v>
      </c>
      <c r="L1546" s="2">
        <v>466.18</v>
      </c>
      <c r="M1546" s="8"/>
      <c r="N1546" s="8" t="s">
        <v>10181</v>
      </c>
      <c r="O1546" s="8" t="s">
        <v>10796</v>
      </c>
      <c r="P1546" s="8" t="str">
        <f t="shared" si="89"/>
        <v>PDFを開く</v>
      </c>
      <c r="Q1546" s="8" t="s">
        <v>2443</v>
      </c>
    </row>
    <row r="1547" spans="1:17" ht="62.1" customHeight="1">
      <c r="A1547" s="5" t="s">
        <v>2437</v>
      </c>
      <c r="B1547" s="5" t="s">
        <v>2430</v>
      </c>
      <c r="C1547" s="9" t="s">
        <v>2438</v>
      </c>
      <c r="D1547" s="5">
        <v>1</v>
      </c>
      <c r="E1547" s="9" t="s">
        <v>10156</v>
      </c>
      <c r="F1547" s="5">
        <v>5</v>
      </c>
      <c r="G1547" s="9" t="s">
        <v>10167</v>
      </c>
      <c r="H1547" s="9" t="s">
        <v>10797</v>
      </c>
      <c r="I1547" s="5">
        <v>395.44</v>
      </c>
      <c r="J1547" s="5">
        <v>450.58</v>
      </c>
      <c r="K1547" s="5">
        <v>767.75</v>
      </c>
      <c r="L1547" s="5">
        <v>505.42</v>
      </c>
      <c r="M1547" s="9"/>
      <c r="N1547" s="9" t="s">
        <v>10159</v>
      </c>
      <c r="O1547" s="9" t="s">
        <v>10798</v>
      </c>
      <c r="P1547" s="9" t="str">
        <f t="shared" si="89"/>
        <v>PDFを開く</v>
      </c>
      <c r="Q1547" s="9" t="s">
        <v>2443</v>
      </c>
    </row>
    <row r="1548" spans="1:17" ht="62.1" customHeight="1">
      <c r="A1548" s="2" t="s">
        <v>2437</v>
      </c>
      <c r="B1548" s="2" t="s">
        <v>2430</v>
      </c>
      <c r="C1548" s="8" t="s">
        <v>2438</v>
      </c>
      <c r="D1548" s="2">
        <v>1</v>
      </c>
      <c r="E1548" s="8" t="s">
        <v>10156</v>
      </c>
      <c r="F1548" s="2">
        <v>6</v>
      </c>
      <c r="G1548" s="8" t="s">
        <v>8581</v>
      </c>
      <c r="H1548" s="8" t="s">
        <v>8581</v>
      </c>
      <c r="I1548" s="2">
        <v>30.65</v>
      </c>
      <c r="J1548" s="2">
        <v>465.01</v>
      </c>
      <c r="K1548" s="2">
        <v>350.48</v>
      </c>
      <c r="L1548" s="2">
        <v>512.59</v>
      </c>
      <c r="M1548" s="8"/>
      <c r="N1548" s="8" t="s">
        <v>10159</v>
      </c>
      <c r="O1548" s="8" t="s">
        <v>2441</v>
      </c>
      <c r="P1548" s="8" t="str">
        <f t="shared" si="89"/>
        <v>PDFを開く</v>
      </c>
      <c r="Q1548" s="8" t="s">
        <v>2443</v>
      </c>
    </row>
    <row r="1549" spans="1:17" ht="62.1" customHeight="1">
      <c r="A1549" s="5" t="s">
        <v>2444</v>
      </c>
      <c r="B1549" s="5" t="s">
        <v>2430</v>
      </c>
      <c r="C1549" s="9" t="s">
        <v>2445</v>
      </c>
      <c r="D1549" s="5">
        <v>1</v>
      </c>
      <c r="E1549" s="9" t="s">
        <v>10156</v>
      </c>
      <c r="F1549" s="5">
        <v>1</v>
      </c>
      <c r="G1549" s="9" t="s">
        <v>9578</v>
      </c>
      <c r="H1549" s="9" t="s">
        <v>9578</v>
      </c>
      <c r="I1549" s="5">
        <v>39.6</v>
      </c>
      <c r="J1549" s="5">
        <v>101.76</v>
      </c>
      <c r="K1549" s="5">
        <v>378.84</v>
      </c>
      <c r="L1549" s="5">
        <v>499.68</v>
      </c>
      <c r="M1549" s="9"/>
      <c r="N1549" s="9" t="s">
        <v>10159</v>
      </c>
      <c r="O1549" s="9" t="s">
        <v>9487</v>
      </c>
      <c r="P1549" s="9" t="str">
        <f>HYPERLINK("https://seichotoushi-hojo.jp/assets/pdf/koufu_3_4ji/outline_116.pdf","PDFを開く")</f>
        <v>PDFを開く</v>
      </c>
      <c r="Q1549" s="9" t="s">
        <v>2450</v>
      </c>
    </row>
    <row r="1550" spans="1:17" ht="62.1" customHeight="1">
      <c r="A1550" s="2" t="s">
        <v>2444</v>
      </c>
      <c r="B1550" s="2" t="s">
        <v>2430</v>
      </c>
      <c r="C1550" s="8" t="s">
        <v>2445</v>
      </c>
      <c r="D1550" s="2">
        <v>1</v>
      </c>
      <c r="E1550" s="8" t="s">
        <v>10156</v>
      </c>
      <c r="F1550" s="2">
        <v>2</v>
      </c>
      <c r="G1550" s="8" t="s">
        <v>10162</v>
      </c>
      <c r="H1550" s="8" t="s">
        <v>10162</v>
      </c>
      <c r="I1550" s="2">
        <v>396.84</v>
      </c>
      <c r="J1550" s="2">
        <v>101.76</v>
      </c>
      <c r="K1550" s="2">
        <v>740.4</v>
      </c>
      <c r="L1550" s="2">
        <v>286.92</v>
      </c>
      <c r="M1550" s="8"/>
      <c r="N1550" s="8" t="s">
        <v>10159</v>
      </c>
      <c r="O1550" s="8" t="s">
        <v>9488</v>
      </c>
      <c r="P1550" s="8" t="str">
        <f>HYPERLINK("https://seichotoushi-hojo.jp/assets/pdf/koufu_3_4ji/outline_116.pdf","PDFを開く")</f>
        <v>PDFを開く</v>
      </c>
      <c r="Q1550" s="8" t="s">
        <v>2450</v>
      </c>
    </row>
    <row r="1551" spans="1:17" ht="62.1" customHeight="1">
      <c r="A1551" s="5" t="s">
        <v>2444</v>
      </c>
      <c r="B1551" s="5" t="s">
        <v>2430</v>
      </c>
      <c r="C1551" s="9" t="s">
        <v>2445</v>
      </c>
      <c r="D1551" s="5">
        <v>1</v>
      </c>
      <c r="E1551" s="9" t="s">
        <v>10156</v>
      </c>
      <c r="F1551" s="5">
        <v>3</v>
      </c>
      <c r="G1551" s="9" t="s">
        <v>10163</v>
      </c>
      <c r="H1551" s="9" t="s">
        <v>10163</v>
      </c>
      <c r="I1551" s="5">
        <v>396.36</v>
      </c>
      <c r="J1551" s="5">
        <v>314.64</v>
      </c>
      <c r="K1551" s="5">
        <v>739.8</v>
      </c>
      <c r="L1551" s="5">
        <v>499.68</v>
      </c>
      <c r="M1551" s="9"/>
      <c r="N1551" s="9" t="s">
        <v>10159</v>
      </c>
      <c r="O1551" s="9" t="s">
        <v>9489</v>
      </c>
      <c r="P1551" s="9" t="str">
        <f>HYPERLINK("https://seichotoushi-hojo.jp/assets/pdf/koufu_3_4ji/outline_116.pdf","PDFを開く")</f>
        <v>PDFを開く</v>
      </c>
      <c r="Q1551" s="9" t="s">
        <v>2450</v>
      </c>
    </row>
    <row r="1552" spans="1:17" ht="62.1" customHeight="1">
      <c r="A1552" s="2" t="s">
        <v>2444</v>
      </c>
      <c r="B1552" s="2" t="s">
        <v>2430</v>
      </c>
      <c r="C1552" s="8" t="s">
        <v>2445</v>
      </c>
      <c r="D1552" s="2">
        <v>1</v>
      </c>
      <c r="E1552" s="8" t="s">
        <v>10156</v>
      </c>
      <c r="F1552" s="2">
        <v>4</v>
      </c>
      <c r="G1552" s="8" t="s">
        <v>8581</v>
      </c>
      <c r="H1552" s="8" t="s">
        <v>8581</v>
      </c>
      <c r="I1552" s="2">
        <v>48</v>
      </c>
      <c r="J1552" s="2">
        <v>444.72</v>
      </c>
      <c r="K1552" s="2">
        <v>367.56</v>
      </c>
      <c r="L1552" s="2">
        <v>497.4</v>
      </c>
      <c r="M1552" s="8"/>
      <c r="N1552" s="8" t="s">
        <v>10159</v>
      </c>
      <c r="O1552" s="8" t="s">
        <v>2448</v>
      </c>
      <c r="P1552" s="8" t="str">
        <f>HYPERLINK("https://seichotoushi-hojo.jp/assets/pdf/koufu_3_4ji/outline_116.pdf","PDFを開く")</f>
        <v>PDFを開く</v>
      </c>
      <c r="Q1552" s="8" t="s">
        <v>2450</v>
      </c>
    </row>
    <row r="1553" spans="1:17" ht="62.1" customHeight="1">
      <c r="A1553" s="5" t="s">
        <v>2451</v>
      </c>
      <c r="B1553" s="5" t="s">
        <v>2430</v>
      </c>
      <c r="C1553" s="9" t="s">
        <v>2452</v>
      </c>
      <c r="D1553" s="5">
        <v>1</v>
      </c>
      <c r="E1553" s="9" t="s">
        <v>10156</v>
      </c>
      <c r="F1553" s="5">
        <v>1</v>
      </c>
      <c r="G1553" s="9" t="s">
        <v>10167</v>
      </c>
      <c r="H1553" s="9" t="s">
        <v>10799</v>
      </c>
      <c r="I1553" s="5">
        <v>13.68</v>
      </c>
      <c r="J1553" s="5">
        <v>105.48</v>
      </c>
      <c r="K1553" s="5">
        <v>394.32</v>
      </c>
      <c r="L1553" s="5">
        <v>193.32</v>
      </c>
      <c r="M1553" s="9"/>
      <c r="N1553" s="9" t="s">
        <v>10159</v>
      </c>
      <c r="O1553" s="9" t="s">
        <v>10800</v>
      </c>
      <c r="P1553" s="9" t="str">
        <f t="shared" ref="P1553:P1558" si="90">HYPERLINK("https://seichotoushi-hojo.jp/assets/pdf/koufu_3_4ji/outline_117.pdf","PDFを開く")</f>
        <v>PDFを開く</v>
      </c>
      <c r="Q1553" s="9" t="s">
        <v>2458</v>
      </c>
    </row>
    <row r="1554" spans="1:17" ht="62.1" customHeight="1">
      <c r="A1554" s="2" t="s">
        <v>2451</v>
      </c>
      <c r="B1554" s="2" t="s">
        <v>2430</v>
      </c>
      <c r="C1554" s="8" t="s">
        <v>2452</v>
      </c>
      <c r="D1554" s="2">
        <v>1</v>
      </c>
      <c r="E1554" s="8" t="s">
        <v>10156</v>
      </c>
      <c r="F1554" s="2">
        <v>2</v>
      </c>
      <c r="G1554" s="8" t="s">
        <v>10162</v>
      </c>
      <c r="H1554" s="8" t="s">
        <v>10162</v>
      </c>
      <c r="I1554" s="2">
        <v>420.84</v>
      </c>
      <c r="J1554" s="2">
        <v>105.48</v>
      </c>
      <c r="K1554" s="2">
        <v>767.52</v>
      </c>
      <c r="L1554" s="2">
        <v>312.36</v>
      </c>
      <c r="M1554" s="8"/>
      <c r="N1554" s="8" t="s">
        <v>10159</v>
      </c>
      <c r="O1554" s="8" t="s">
        <v>9494</v>
      </c>
      <c r="P1554" s="8" t="str">
        <f t="shared" si="90"/>
        <v>PDFを開く</v>
      </c>
      <c r="Q1554" s="8" t="s">
        <v>2458</v>
      </c>
    </row>
    <row r="1555" spans="1:17" ht="62.1" customHeight="1">
      <c r="A1555" s="5" t="s">
        <v>2451</v>
      </c>
      <c r="B1555" s="5" t="s">
        <v>2430</v>
      </c>
      <c r="C1555" s="9" t="s">
        <v>2452</v>
      </c>
      <c r="D1555" s="5">
        <v>1</v>
      </c>
      <c r="E1555" s="9" t="s">
        <v>10156</v>
      </c>
      <c r="F1555" s="5">
        <v>3</v>
      </c>
      <c r="G1555" s="9" t="s">
        <v>10167</v>
      </c>
      <c r="H1555" s="9" t="s">
        <v>10801</v>
      </c>
      <c r="I1555" s="5">
        <v>13.68</v>
      </c>
      <c r="J1555" s="5">
        <v>198.84</v>
      </c>
      <c r="K1555" s="5">
        <v>394.32</v>
      </c>
      <c r="L1555" s="5">
        <v>289.56</v>
      </c>
      <c r="M1555" s="9"/>
      <c r="N1555" s="9" t="s">
        <v>10159</v>
      </c>
      <c r="O1555" s="9" t="s">
        <v>10802</v>
      </c>
      <c r="P1555" s="9" t="str">
        <f t="shared" si="90"/>
        <v>PDFを開く</v>
      </c>
      <c r="Q1555" s="9" t="s">
        <v>2458</v>
      </c>
    </row>
    <row r="1556" spans="1:17" ht="62.1" customHeight="1">
      <c r="A1556" s="2" t="s">
        <v>2451</v>
      </c>
      <c r="B1556" s="2" t="s">
        <v>2430</v>
      </c>
      <c r="C1556" s="8" t="s">
        <v>2452</v>
      </c>
      <c r="D1556" s="2">
        <v>1</v>
      </c>
      <c r="E1556" s="8" t="s">
        <v>10156</v>
      </c>
      <c r="F1556" s="2">
        <v>4</v>
      </c>
      <c r="G1556" s="8" t="s">
        <v>10167</v>
      </c>
      <c r="H1556" s="8" t="s">
        <v>10803</v>
      </c>
      <c r="I1556" s="2">
        <v>13.68</v>
      </c>
      <c r="J1556" s="2">
        <v>295.44</v>
      </c>
      <c r="K1556" s="2">
        <v>394.32</v>
      </c>
      <c r="L1556" s="2">
        <v>397.8</v>
      </c>
      <c r="M1556" s="8"/>
      <c r="N1556" s="8" t="s">
        <v>10159</v>
      </c>
      <c r="O1556" s="8" t="s">
        <v>10804</v>
      </c>
      <c r="P1556" s="8" t="str">
        <f t="shared" si="90"/>
        <v>PDFを開く</v>
      </c>
      <c r="Q1556" s="8" t="s">
        <v>2458</v>
      </c>
    </row>
    <row r="1557" spans="1:17" ht="62.1" customHeight="1">
      <c r="A1557" s="5" t="s">
        <v>2451</v>
      </c>
      <c r="B1557" s="5" t="s">
        <v>2430</v>
      </c>
      <c r="C1557" s="9" t="s">
        <v>2452</v>
      </c>
      <c r="D1557" s="5">
        <v>1</v>
      </c>
      <c r="E1557" s="9" t="s">
        <v>10156</v>
      </c>
      <c r="F1557" s="5">
        <v>5</v>
      </c>
      <c r="G1557" s="9" t="s">
        <v>10163</v>
      </c>
      <c r="H1557" s="9" t="s">
        <v>10163</v>
      </c>
      <c r="I1557" s="5">
        <v>420.84</v>
      </c>
      <c r="J1557" s="5">
        <v>317.27999999999997</v>
      </c>
      <c r="K1557" s="5">
        <v>767.52</v>
      </c>
      <c r="L1557" s="5">
        <v>531.84</v>
      </c>
      <c r="M1557" s="9"/>
      <c r="N1557" s="9" t="s">
        <v>10159</v>
      </c>
      <c r="O1557" s="9" t="s">
        <v>9495</v>
      </c>
      <c r="P1557" s="9" t="str">
        <f t="shared" si="90"/>
        <v>PDFを開く</v>
      </c>
      <c r="Q1557" s="9" t="s">
        <v>2458</v>
      </c>
    </row>
    <row r="1558" spans="1:17" ht="62.1" customHeight="1">
      <c r="A1558" s="2" t="s">
        <v>2451</v>
      </c>
      <c r="B1558" s="2" t="s">
        <v>2430</v>
      </c>
      <c r="C1558" s="8" t="s">
        <v>2452</v>
      </c>
      <c r="D1558" s="2">
        <v>1</v>
      </c>
      <c r="E1558" s="8" t="s">
        <v>10156</v>
      </c>
      <c r="F1558" s="2">
        <v>6</v>
      </c>
      <c r="G1558" s="8" t="s">
        <v>8581</v>
      </c>
      <c r="H1558" s="8" t="s">
        <v>8581</v>
      </c>
      <c r="I1558" s="2">
        <v>13.68</v>
      </c>
      <c r="J1558" s="2">
        <v>411.72</v>
      </c>
      <c r="K1558" s="2">
        <v>395.64</v>
      </c>
      <c r="L1558" s="2">
        <v>531.96</v>
      </c>
      <c r="M1558" s="8"/>
      <c r="N1558" s="8" t="s">
        <v>10159</v>
      </c>
      <c r="O1558" s="8" t="s">
        <v>9496</v>
      </c>
      <c r="P1558" s="8" t="str">
        <f t="shared" si="90"/>
        <v>PDFを開く</v>
      </c>
      <c r="Q1558" s="8" t="s">
        <v>2458</v>
      </c>
    </row>
    <row r="1559" spans="1:17" ht="62.1" customHeight="1">
      <c r="A1559" s="5" t="s">
        <v>2459</v>
      </c>
      <c r="B1559" s="5" t="s">
        <v>2430</v>
      </c>
      <c r="C1559" s="9" t="s">
        <v>2460</v>
      </c>
      <c r="D1559" s="5">
        <v>1</v>
      </c>
      <c r="E1559" s="9" t="s">
        <v>10156</v>
      </c>
      <c r="F1559" s="5">
        <v>1</v>
      </c>
      <c r="G1559" s="9" t="s">
        <v>9578</v>
      </c>
      <c r="H1559" s="9" t="s">
        <v>9578</v>
      </c>
      <c r="I1559" s="5">
        <v>42.84</v>
      </c>
      <c r="J1559" s="5">
        <v>120.72</v>
      </c>
      <c r="K1559" s="5">
        <v>408.84</v>
      </c>
      <c r="L1559" s="5">
        <v>545.64</v>
      </c>
      <c r="M1559" s="9"/>
      <c r="N1559" s="9" t="s">
        <v>10159</v>
      </c>
      <c r="O1559" s="9" t="s">
        <v>9501</v>
      </c>
      <c r="P1559" s="9" t="str">
        <f>HYPERLINK("https://seichotoushi-hojo.jp/assets/pdf/koufu_3_4ji/outline_118.pdf","PDFを開く")</f>
        <v>PDFを開く</v>
      </c>
      <c r="Q1559" s="9" t="s">
        <v>2466</v>
      </c>
    </row>
    <row r="1560" spans="1:17" ht="62.1" customHeight="1">
      <c r="A1560" s="2" t="s">
        <v>2459</v>
      </c>
      <c r="B1560" s="2" t="s">
        <v>2430</v>
      </c>
      <c r="C1560" s="8" t="s">
        <v>2460</v>
      </c>
      <c r="D1560" s="2">
        <v>1</v>
      </c>
      <c r="E1560" s="8" t="s">
        <v>10156</v>
      </c>
      <c r="F1560" s="2">
        <v>2</v>
      </c>
      <c r="G1560" s="8" t="s">
        <v>10162</v>
      </c>
      <c r="H1560" s="8" t="s">
        <v>10162</v>
      </c>
      <c r="I1560" s="2">
        <v>427.8</v>
      </c>
      <c r="J1560" s="2">
        <v>120.72</v>
      </c>
      <c r="K1560" s="2">
        <v>798.48</v>
      </c>
      <c r="L1560" s="2">
        <v>328.92</v>
      </c>
      <c r="M1560" s="8"/>
      <c r="N1560" s="8" t="s">
        <v>10159</v>
      </c>
      <c r="O1560" s="8" t="s">
        <v>9502</v>
      </c>
      <c r="P1560" s="8" t="str">
        <f>HYPERLINK("https://seichotoushi-hojo.jp/assets/pdf/koufu_3_4ji/outline_118.pdf","PDFを開く")</f>
        <v>PDFを開く</v>
      </c>
      <c r="Q1560" s="8" t="s">
        <v>2466</v>
      </c>
    </row>
    <row r="1561" spans="1:17" ht="62.1" customHeight="1">
      <c r="A1561" s="5" t="s">
        <v>2459</v>
      </c>
      <c r="B1561" s="5" t="s">
        <v>2430</v>
      </c>
      <c r="C1561" s="9" t="s">
        <v>2460</v>
      </c>
      <c r="D1561" s="5">
        <v>1</v>
      </c>
      <c r="E1561" s="9" t="s">
        <v>10156</v>
      </c>
      <c r="F1561" s="5">
        <v>3</v>
      </c>
      <c r="G1561" s="9" t="s">
        <v>10163</v>
      </c>
      <c r="H1561" s="9" t="s">
        <v>10163</v>
      </c>
      <c r="I1561" s="5">
        <v>427.8</v>
      </c>
      <c r="J1561" s="5">
        <v>347.04</v>
      </c>
      <c r="K1561" s="5">
        <v>798.48</v>
      </c>
      <c r="L1561" s="5">
        <v>545.64</v>
      </c>
      <c r="M1561" s="9"/>
      <c r="N1561" s="9" t="s">
        <v>10159</v>
      </c>
      <c r="O1561" s="9" t="s">
        <v>9503</v>
      </c>
      <c r="P1561" s="9" t="str">
        <f>HYPERLINK("https://seichotoushi-hojo.jp/assets/pdf/koufu_3_4ji/outline_118.pdf","PDFを開く")</f>
        <v>PDFを開く</v>
      </c>
      <c r="Q1561" s="9" t="s">
        <v>2466</v>
      </c>
    </row>
    <row r="1562" spans="1:17" ht="62.1" customHeight="1">
      <c r="A1562" s="2" t="s">
        <v>2459</v>
      </c>
      <c r="B1562" s="2" t="s">
        <v>2430</v>
      </c>
      <c r="C1562" s="8" t="s">
        <v>2460</v>
      </c>
      <c r="D1562" s="2">
        <v>1</v>
      </c>
      <c r="E1562" s="8" t="s">
        <v>10156</v>
      </c>
      <c r="F1562" s="2">
        <v>4</v>
      </c>
      <c r="G1562" s="8" t="s">
        <v>8581</v>
      </c>
      <c r="H1562" s="8" t="s">
        <v>8581</v>
      </c>
      <c r="I1562" s="2">
        <v>51.84</v>
      </c>
      <c r="J1562" s="2">
        <v>406.68</v>
      </c>
      <c r="K1562" s="2">
        <v>396.72</v>
      </c>
      <c r="L1562" s="2">
        <v>531.6</v>
      </c>
      <c r="M1562" s="8"/>
      <c r="N1562" s="8" t="s">
        <v>10159</v>
      </c>
      <c r="O1562" s="8" t="s">
        <v>9504</v>
      </c>
      <c r="P1562" s="8" t="str">
        <f>HYPERLINK("https://seichotoushi-hojo.jp/assets/pdf/koufu_3_4ji/outline_118.pdf","PDFを開く")</f>
        <v>PDFを開く</v>
      </c>
      <c r="Q1562" s="8" t="s">
        <v>2466</v>
      </c>
    </row>
    <row r="1563" spans="1:17" ht="62.1" customHeight="1">
      <c r="A1563" s="5" t="s">
        <v>2467</v>
      </c>
      <c r="B1563" s="5" t="s">
        <v>2430</v>
      </c>
      <c r="C1563" s="9" t="s">
        <v>2468</v>
      </c>
      <c r="D1563" s="5">
        <v>1</v>
      </c>
      <c r="E1563" s="9" t="s">
        <v>10156</v>
      </c>
      <c r="F1563" s="5">
        <v>1</v>
      </c>
      <c r="G1563" s="9" t="s">
        <v>10157</v>
      </c>
      <c r="H1563" s="9" t="s">
        <v>10157</v>
      </c>
      <c r="I1563" s="5">
        <v>34.299999999999997</v>
      </c>
      <c r="J1563" s="5">
        <v>34.1</v>
      </c>
      <c r="K1563" s="5">
        <v>709.71</v>
      </c>
      <c r="L1563" s="5">
        <v>89.77</v>
      </c>
      <c r="M1563" s="9" t="s">
        <v>10158</v>
      </c>
      <c r="N1563" s="9" t="s">
        <v>10159</v>
      </c>
      <c r="O1563" s="9" t="s">
        <v>10805</v>
      </c>
      <c r="P1563" s="9" t="str">
        <f t="shared" ref="P1563:P1569" si="91">HYPERLINK("https://seichotoushi-hojo.jp/assets/pdf/koufu_3_4ji/outline_119.pdf","PDFを開く")</f>
        <v>PDFを開く</v>
      </c>
      <c r="Q1563" s="9" t="s">
        <v>2474</v>
      </c>
    </row>
    <row r="1564" spans="1:17" ht="62.1" customHeight="1">
      <c r="A1564" s="2" t="s">
        <v>2467</v>
      </c>
      <c r="B1564" s="2" t="s">
        <v>2430</v>
      </c>
      <c r="C1564" s="8" t="s">
        <v>2468</v>
      </c>
      <c r="D1564" s="2">
        <v>1</v>
      </c>
      <c r="E1564" s="8" t="s">
        <v>10156</v>
      </c>
      <c r="F1564" s="2">
        <v>2</v>
      </c>
      <c r="G1564" s="8" t="s">
        <v>9578</v>
      </c>
      <c r="H1564" s="8" t="s">
        <v>9578</v>
      </c>
      <c r="I1564" s="2">
        <v>39.659999999999997</v>
      </c>
      <c r="J1564" s="2">
        <v>107.76</v>
      </c>
      <c r="K1564" s="2">
        <v>378.79</v>
      </c>
      <c r="L1564" s="2">
        <v>514.61</v>
      </c>
      <c r="M1564" s="8"/>
      <c r="N1564" s="8" t="s">
        <v>10159</v>
      </c>
      <c r="O1564" s="8" t="s">
        <v>9510</v>
      </c>
      <c r="P1564" s="8" t="str">
        <f t="shared" si="91"/>
        <v>PDFを開く</v>
      </c>
      <c r="Q1564" s="8" t="s">
        <v>2474</v>
      </c>
    </row>
    <row r="1565" spans="1:17" ht="62.1" customHeight="1">
      <c r="A1565" s="5" t="s">
        <v>2467</v>
      </c>
      <c r="B1565" s="5" t="s">
        <v>2430</v>
      </c>
      <c r="C1565" s="9" t="s">
        <v>2468</v>
      </c>
      <c r="D1565" s="5">
        <v>1</v>
      </c>
      <c r="E1565" s="9" t="s">
        <v>10156</v>
      </c>
      <c r="F1565" s="5">
        <v>3</v>
      </c>
      <c r="G1565" s="9" t="s">
        <v>10162</v>
      </c>
      <c r="H1565" s="9" t="s">
        <v>10162</v>
      </c>
      <c r="I1565" s="5">
        <v>396.3</v>
      </c>
      <c r="J1565" s="5">
        <v>110.04</v>
      </c>
      <c r="K1565" s="5">
        <v>768</v>
      </c>
      <c r="L1565" s="5">
        <v>326.08999999999997</v>
      </c>
      <c r="M1565" s="9"/>
      <c r="N1565" s="9" t="s">
        <v>10159</v>
      </c>
      <c r="O1565" s="9" t="s">
        <v>9511</v>
      </c>
      <c r="P1565" s="9" t="str">
        <f t="shared" si="91"/>
        <v>PDFを開く</v>
      </c>
      <c r="Q1565" s="9" t="s">
        <v>2474</v>
      </c>
    </row>
    <row r="1566" spans="1:17" ht="62.1" customHeight="1">
      <c r="A1566" s="2" t="s">
        <v>2467</v>
      </c>
      <c r="B1566" s="2" t="s">
        <v>2430</v>
      </c>
      <c r="C1566" s="8" t="s">
        <v>2468</v>
      </c>
      <c r="D1566" s="2">
        <v>1</v>
      </c>
      <c r="E1566" s="8" t="s">
        <v>10156</v>
      </c>
      <c r="F1566" s="2">
        <v>4</v>
      </c>
      <c r="G1566" s="8" t="s">
        <v>10163</v>
      </c>
      <c r="H1566" s="8" t="s">
        <v>10163</v>
      </c>
      <c r="I1566" s="2">
        <v>396.86</v>
      </c>
      <c r="J1566" s="2">
        <v>332.19</v>
      </c>
      <c r="K1566" s="2">
        <v>768.56</v>
      </c>
      <c r="L1566" s="2">
        <v>505.52</v>
      </c>
      <c r="M1566" s="8"/>
      <c r="N1566" s="8" t="s">
        <v>10159</v>
      </c>
      <c r="O1566" s="8" t="s">
        <v>9512</v>
      </c>
      <c r="P1566" s="8" t="str">
        <f t="shared" si="91"/>
        <v>PDFを開く</v>
      </c>
      <c r="Q1566" s="8" t="s">
        <v>2474</v>
      </c>
    </row>
    <row r="1567" spans="1:17" ht="62.1" customHeight="1">
      <c r="A1567" s="5" t="s">
        <v>2467</v>
      </c>
      <c r="B1567" s="5" t="s">
        <v>2430</v>
      </c>
      <c r="C1567" s="9" t="s">
        <v>2468</v>
      </c>
      <c r="D1567" s="5">
        <v>1</v>
      </c>
      <c r="E1567" s="9" t="s">
        <v>10156</v>
      </c>
      <c r="F1567" s="5">
        <v>5</v>
      </c>
      <c r="G1567" s="9" t="s">
        <v>8581</v>
      </c>
      <c r="H1567" s="9" t="s">
        <v>8581</v>
      </c>
      <c r="I1567" s="5">
        <v>48</v>
      </c>
      <c r="J1567" s="5">
        <v>418.5</v>
      </c>
      <c r="K1567" s="5">
        <v>367.5</v>
      </c>
      <c r="L1567" s="5">
        <v>486.75</v>
      </c>
      <c r="M1567" s="9"/>
      <c r="N1567" s="9" t="s">
        <v>10159</v>
      </c>
      <c r="O1567" s="9" t="s">
        <v>2471</v>
      </c>
      <c r="P1567" s="9" t="str">
        <f t="shared" si="91"/>
        <v>PDFを開く</v>
      </c>
      <c r="Q1567" s="9" t="s">
        <v>2474</v>
      </c>
    </row>
    <row r="1568" spans="1:17" ht="62.1" customHeight="1">
      <c r="A1568" s="2" t="s">
        <v>2467</v>
      </c>
      <c r="B1568" s="2" t="s">
        <v>2430</v>
      </c>
      <c r="C1568" s="8" t="s">
        <v>2468</v>
      </c>
      <c r="D1568" s="2">
        <v>2</v>
      </c>
      <c r="E1568" s="8" t="s">
        <v>10165</v>
      </c>
      <c r="F1568" s="2">
        <v>1</v>
      </c>
      <c r="G1568" s="8" t="s">
        <v>10157</v>
      </c>
      <c r="H1568" s="8" t="s">
        <v>10157</v>
      </c>
      <c r="I1568" s="2">
        <v>40.340000000000003</v>
      </c>
      <c r="J1568" s="2">
        <v>40.270000000000003</v>
      </c>
      <c r="K1568" s="2">
        <v>740.46</v>
      </c>
      <c r="L1568" s="2">
        <v>87.84</v>
      </c>
      <c r="M1568" s="8" t="s">
        <v>10158</v>
      </c>
      <c r="N1568" s="8" t="s">
        <v>10159</v>
      </c>
      <c r="O1568" s="8" t="s">
        <v>10806</v>
      </c>
      <c r="P1568" s="8" t="str">
        <f t="shared" si="91"/>
        <v>PDFを開く</v>
      </c>
      <c r="Q1568" s="8" t="s">
        <v>2474</v>
      </c>
    </row>
    <row r="1569" spans="1:17" ht="62.1" customHeight="1">
      <c r="A1569" s="5" t="s">
        <v>2467</v>
      </c>
      <c r="B1569" s="5" t="s">
        <v>2430</v>
      </c>
      <c r="C1569" s="9" t="s">
        <v>2468</v>
      </c>
      <c r="D1569" s="5">
        <v>2</v>
      </c>
      <c r="E1569" s="9" t="s">
        <v>10165</v>
      </c>
      <c r="F1569" s="5">
        <v>2</v>
      </c>
      <c r="G1569" s="9" t="s">
        <v>10167</v>
      </c>
      <c r="H1569" s="9" t="s">
        <v>10807</v>
      </c>
      <c r="I1569" s="5">
        <v>486.59</v>
      </c>
      <c r="J1569" s="5">
        <v>169.17</v>
      </c>
      <c r="K1569" s="5">
        <v>739.81</v>
      </c>
      <c r="L1569" s="5">
        <v>361.32</v>
      </c>
      <c r="M1569" s="9"/>
      <c r="N1569" s="9" t="s">
        <v>10159</v>
      </c>
      <c r="O1569" s="9" t="s">
        <v>10807</v>
      </c>
      <c r="P1569" s="9" t="str">
        <f t="shared" si="91"/>
        <v>PDFを開く</v>
      </c>
      <c r="Q1569" s="9" t="s">
        <v>2474</v>
      </c>
    </row>
    <row r="1570" spans="1:17" ht="62.1" customHeight="1">
      <c r="A1570" s="2" t="s">
        <v>2475</v>
      </c>
      <c r="B1570" s="2" t="s">
        <v>2430</v>
      </c>
      <c r="C1570" s="8" t="s">
        <v>2476</v>
      </c>
      <c r="D1570" s="2">
        <v>1</v>
      </c>
      <c r="E1570" s="8" t="s">
        <v>10156</v>
      </c>
      <c r="F1570" s="2">
        <v>1</v>
      </c>
      <c r="G1570" s="8" t="s">
        <v>9578</v>
      </c>
      <c r="H1570" s="8" t="s">
        <v>9578</v>
      </c>
      <c r="I1570" s="2">
        <v>39.6</v>
      </c>
      <c r="J1570" s="2">
        <v>167.88</v>
      </c>
      <c r="K1570" s="2">
        <v>378.84</v>
      </c>
      <c r="L1570" s="2">
        <v>499.68</v>
      </c>
      <c r="M1570" s="8"/>
      <c r="N1570" s="8" t="s">
        <v>10159</v>
      </c>
      <c r="O1570" s="8" t="s">
        <v>9517</v>
      </c>
      <c r="P1570" s="8" t="str">
        <f>HYPERLINK("https://seichotoushi-hojo.jp/assets/pdf/koufu_3_4ji/outline_120.pdf","PDFを開く")</f>
        <v>PDFを開く</v>
      </c>
      <c r="Q1570" s="8" t="s">
        <v>2482</v>
      </c>
    </row>
    <row r="1571" spans="1:17" ht="62.1" customHeight="1">
      <c r="A1571" s="5" t="s">
        <v>2475</v>
      </c>
      <c r="B1571" s="5" t="s">
        <v>2430</v>
      </c>
      <c r="C1571" s="9" t="s">
        <v>2476</v>
      </c>
      <c r="D1571" s="5">
        <v>1</v>
      </c>
      <c r="E1571" s="9" t="s">
        <v>10156</v>
      </c>
      <c r="F1571" s="5">
        <v>2</v>
      </c>
      <c r="G1571" s="9" t="s">
        <v>10162</v>
      </c>
      <c r="H1571" s="9" t="s">
        <v>10162</v>
      </c>
      <c r="I1571" s="5">
        <v>396.36</v>
      </c>
      <c r="J1571" s="5">
        <v>170.16</v>
      </c>
      <c r="K1571" s="5">
        <v>739.8</v>
      </c>
      <c r="L1571" s="5">
        <v>328.44</v>
      </c>
      <c r="M1571" s="9"/>
      <c r="N1571" s="9" t="s">
        <v>10159</v>
      </c>
      <c r="O1571" s="9" t="s">
        <v>9518</v>
      </c>
      <c r="P1571" s="9" t="str">
        <f>HYPERLINK("https://seichotoushi-hojo.jp/assets/pdf/koufu_3_4ji/outline_120.pdf","PDFを開く")</f>
        <v>PDFを開く</v>
      </c>
      <c r="Q1571" s="9" t="s">
        <v>2482</v>
      </c>
    </row>
    <row r="1572" spans="1:17" ht="62.1" customHeight="1">
      <c r="A1572" s="2" t="s">
        <v>2475</v>
      </c>
      <c r="B1572" s="2" t="s">
        <v>2430</v>
      </c>
      <c r="C1572" s="8" t="s">
        <v>2476</v>
      </c>
      <c r="D1572" s="2">
        <v>1</v>
      </c>
      <c r="E1572" s="8" t="s">
        <v>10156</v>
      </c>
      <c r="F1572" s="2">
        <v>3</v>
      </c>
      <c r="G1572" s="8" t="s">
        <v>10163</v>
      </c>
      <c r="H1572" s="8" t="s">
        <v>10163</v>
      </c>
      <c r="I1572" s="2">
        <v>396.36</v>
      </c>
      <c r="J1572" s="2">
        <v>341.4</v>
      </c>
      <c r="K1572" s="2">
        <v>739.8</v>
      </c>
      <c r="L1572" s="2">
        <v>499.68</v>
      </c>
      <c r="M1572" s="8"/>
      <c r="N1572" s="8" t="s">
        <v>10159</v>
      </c>
      <c r="O1572" s="8" t="s">
        <v>9519</v>
      </c>
      <c r="P1572" s="8" t="str">
        <f>HYPERLINK("https://seichotoushi-hojo.jp/assets/pdf/koufu_3_4ji/outline_120.pdf","PDFを開く")</f>
        <v>PDFを開く</v>
      </c>
      <c r="Q1572" s="8" t="s">
        <v>2482</v>
      </c>
    </row>
    <row r="1573" spans="1:17" ht="62.1" customHeight="1">
      <c r="A1573" s="5" t="s">
        <v>2475</v>
      </c>
      <c r="B1573" s="5" t="s">
        <v>2430</v>
      </c>
      <c r="C1573" s="9" t="s">
        <v>2476</v>
      </c>
      <c r="D1573" s="5">
        <v>1</v>
      </c>
      <c r="E1573" s="9" t="s">
        <v>10156</v>
      </c>
      <c r="F1573" s="5">
        <v>4</v>
      </c>
      <c r="G1573" s="9" t="s">
        <v>8581</v>
      </c>
      <c r="H1573" s="9" t="s">
        <v>8581</v>
      </c>
      <c r="I1573" s="5">
        <v>48</v>
      </c>
      <c r="J1573" s="5">
        <v>418.44</v>
      </c>
      <c r="K1573" s="5">
        <v>367.56</v>
      </c>
      <c r="L1573" s="5">
        <v>486.72</v>
      </c>
      <c r="M1573" s="9"/>
      <c r="N1573" s="9" t="s">
        <v>10159</v>
      </c>
      <c r="O1573" s="9" t="s">
        <v>2480</v>
      </c>
      <c r="P1573" s="9" t="str">
        <f>HYPERLINK("https://seichotoushi-hojo.jp/assets/pdf/koufu_3_4ji/outline_120.pdf","PDFを開く")</f>
        <v>PDFを開く</v>
      </c>
      <c r="Q1573" s="9" t="s">
        <v>2482</v>
      </c>
    </row>
    <row r="1574" spans="1:17" ht="62.1" customHeight="1">
      <c r="A1574" s="2" t="s">
        <v>2483</v>
      </c>
      <c r="B1574" s="2" t="s">
        <v>2430</v>
      </c>
      <c r="C1574" s="8" t="s">
        <v>2484</v>
      </c>
      <c r="D1574" s="2">
        <v>1</v>
      </c>
      <c r="E1574" s="8" t="s">
        <v>10156</v>
      </c>
      <c r="F1574" s="2">
        <v>1</v>
      </c>
      <c r="G1574" s="8" t="s">
        <v>9578</v>
      </c>
      <c r="H1574" s="8" t="s">
        <v>9578</v>
      </c>
      <c r="I1574" s="2">
        <v>39.94</v>
      </c>
      <c r="J1574" s="2">
        <v>140.51</v>
      </c>
      <c r="K1574" s="2">
        <v>379.07</v>
      </c>
      <c r="L1574" s="2">
        <v>484.64</v>
      </c>
      <c r="M1574" s="8"/>
      <c r="N1574" s="8" t="s">
        <v>10159</v>
      </c>
      <c r="O1574" s="8" t="s">
        <v>10808</v>
      </c>
      <c r="P1574" s="8" t="str">
        <f t="shared" ref="P1574:P1579" si="92">HYPERLINK("https://seichotoushi-hojo.jp/assets/pdf/koufu_3_4ji/outline_121.pdf","PDFを開く")</f>
        <v>PDFを開く</v>
      </c>
      <c r="Q1574" s="8" t="s">
        <v>2490</v>
      </c>
    </row>
    <row r="1575" spans="1:17" ht="62.1" customHeight="1">
      <c r="A1575" s="5" t="s">
        <v>2483</v>
      </c>
      <c r="B1575" s="5" t="s">
        <v>2430</v>
      </c>
      <c r="C1575" s="9" t="s">
        <v>2484</v>
      </c>
      <c r="D1575" s="5">
        <v>1</v>
      </c>
      <c r="E1575" s="9" t="s">
        <v>10156</v>
      </c>
      <c r="F1575" s="5">
        <v>2</v>
      </c>
      <c r="G1575" s="9" t="s">
        <v>10162</v>
      </c>
      <c r="H1575" s="9" t="s">
        <v>10162</v>
      </c>
      <c r="I1575" s="5">
        <v>396.58</v>
      </c>
      <c r="J1575" s="5">
        <v>140.52000000000001</v>
      </c>
      <c r="K1575" s="5">
        <v>740.06</v>
      </c>
      <c r="L1575" s="5">
        <v>310.02999999999997</v>
      </c>
      <c r="M1575" s="9"/>
      <c r="N1575" s="9" t="s">
        <v>10159</v>
      </c>
      <c r="O1575" s="9" t="s">
        <v>9525</v>
      </c>
      <c r="P1575" s="9" t="str">
        <f t="shared" si="92"/>
        <v>PDFを開く</v>
      </c>
      <c r="Q1575" s="9" t="s">
        <v>2490</v>
      </c>
    </row>
    <row r="1576" spans="1:17" ht="62.1" customHeight="1">
      <c r="A1576" s="2" t="s">
        <v>2483</v>
      </c>
      <c r="B1576" s="2" t="s">
        <v>2430</v>
      </c>
      <c r="C1576" s="8" t="s">
        <v>2484</v>
      </c>
      <c r="D1576" s="2">
        <v>1</v>
      </c>
      <c r="E1576" s="8" t="s">
        <v>10156</v>
      </c>
      <c r="F1576" s="2">
        <v>3</v>
      </c>
      <c r="G1576" s="8" t="s">
        <v>10163</v>
      </c>
      <c r="H1576" s="8" t="s">
        <v>10163</v>
      </c>
      <c r="I1576" s="2">
        <v>396.58</v>
      </c>
      <c r="J1576" s="2">
        <v>338.5</v>
      </c>
      <c r="K1576" s="2">
        <v>740.06</v>
      </c>
      <c r="L1576" s="2">
        <v>484.64</v>
      </c>
      <c r="M1576" s="8"/>
      <c r="N1576" s="8" t="s">
        <v>10159</v>
      </c>
      <c r="O1576" s="8" t="s">
        <v>9526</v>
      </c>
      <c r="P1576" s="8" t="str">
        <f t="shared" si="92"/>
        <v>PDFを開く</v>
      </c>
      <c r="Q1576" s="8" t="s">
        <v>2490</v>
      </c>
    </row>
    <row r="1577" spans="1:17" ht="62.1" customHeight="1">
      <c r="A1577" s="5" t="s">
        <v>2483</v>
      </c>
      <c r="B1577" s="5" t="s">
        <v>2430</v>
      </c>
      <c r="C1577" s="9" t="s">
        <v>2484</v>
      </c>
      <c r="D1577" s="5">
        <v>1</v>
      </c>
      <c r="E1577" s="9" t="s">
        <v>10156</v>
      </c>
      <c r="F1577" s="5">
        <v>4</v>
      </c>
      <c r="G1577" s="9" t="s">
        <v>8581</v>
      </c>
      <c r="H1577" s="9" t="s">
        <v>8581</v>
      </c>
      <c r="I1577" s="5">
        <v>49.75</v>
      </c>
      <c r="J1577" s="5">
        <v>403.79</v>
      </c>
      <c r="K1577" s="5">
        <v>369.25</v>
      </c>
      <c r="L1577" s="5">
        <v>473.51</v>
      </c>
      <c r="M1577" s="9"/>
      <c r="N1577" s="9" t="s">
        <v>10159</v>
      </c>
      <c r="O1577" s="9" t="s">
        <v>2488</v>
      </c>
      <c r="P1577" s="9" t="str">
        <f t="shared" si="92"/>
        <v>PDFを開く</v>
      </c>
      <c r="Q1577" s="9" t="s">
        <v>2490</v>
      </c>
    </row>
    <row r="1578" spans="1:17" ht="62.1" customHeight="1">
      <c r="A1578" s="2" t="s">
        <v>2483</v>
      </c>
      <c r="B1578" s="2" t="s">
        <v>2430</v>
      </c>
      <c r="C1578" s="8" t="s">
        <v>2484</v>
      </c>
      <c r="D1578" s="2">
        <v>1</v>
      </c>
      <c r="E1578" s="8" t="s">
        <v>10156</v>
      </c>
      <c r="F1578" s="2">
        <v>5</v>
      </c>
      <c r="G1578" s="8" t="s">
        <v>9578</v>
      </c>
      <c r="H1578" s="8" t="s">
        <v>9578</v>
      </c>
      <c r="I1578" s="2">
        <v>580.57000000000005</v>
      </c>
      <c r="J1578" s="2">
        <v>456.28</v>
      </c>
      <c r="K1578" s="2">
        <v>768.3</v>
      </c>
      <c r="L1578" s="2">
        <v>525.20000000000005</v>
      </c>
      <c r="M1578" s="8"/>
      <c r="N1578" s="8" t="s">
        <v>10181</v>
      </c>
      <c r="O1578" s="8" t="s">
        <v>10809</v>
      </c>
      <c r="P1578" s="8" t="str">
        <f t="shared" si="92"/>
        <v>PDFを開く</v>
      </c>
      <c r="Q1578" s="8" t="s">
        <v>2490</v>
      </c>
    </row>
    <row r="1579" spans="1:17" ht="62.1" customHeight="1">
      <c r="A1579" s="5" t="s">
        <v>2483</v>
      </c>
      <c r="B1579" s="5" t="s">
        <v>2430</v>
      </c>
      <c r="C1579" s="9" t="s">
        <v>2484</v>
      </c>
      <c r="D1579" s="5">
        <v>2</v>
      </c>
      <c r="E1579" s="9" t="s">
        <v>10165</v>
      </c>
      <c r="F1579" s="5">
        <v>1</v>
      </c>
      <c r="G1579" s="9" t="s">
        <v>10184</v>
      </c>
      <c r="H1579" s="9" t="s">
        <v>10184</v>
      </c>
      <c r="I1579" s="5">
        <v>131.38</v>
      </c>
      <c r="J1579" s="5">
        <v>244.86</v>
      </c>
      <c r="K1579" s="5">
        <v>401.7</v>
      </c>
      <c r="L1579" s="5">
        <v>440.26</v>
      </c>
      <c r="M1579" s="9"/>
      <c r="N1579" s="9" t="s">
        <v>10181</v>
      </c>
      <c r="O1579" s="9" t="s">
        <v>10810</v>
      </c>
      <c r="P1579" s="9" t="str">
        <f t="shared" si="92"/>
        <v>PDFを開く</v>
      </c>
      <c r="Q1579" s="9" t="s">
        <v>2490</v>
      </c>
    </row>
    <row r="1580" spans="1:17" ht="62.1" customHeight="1">
      <c r="A1580" s="2" t="s">
        <v>2491</v>
      </c>
      <c r="B1580" s="2" t="s">
        <v>2430</v>
      </c>
      <c r="C1580" s="8" t="s">
        <v>2492</v>
      </c>
      <c r="D1580" s="2">
        <v>1</v>
      </c>
      <c r="E1580" s="8" t="s">
        <v>10156</v>
      </c>
      <c r="F1580" s="2">
        <v>1</v>
      </c>
      <c r="G1580" s="8" t="s">
        <v>9578</v>
      </c>
      <c r="H1580" s="8" t="s">
        <v>9578</v>
      </c>
      <c r="I1580" s="2">
        <v>11.04</v>
      </c>
      <c r="J1580" s="2">
        <v>104.04</v>
      </c>
      <c r="K1580" s="2">
        <v>768.6</v>
      </c>
      <c r="L1580" s="2">
        <v>391.32</v>
      </c>
      <c r="M1580" s="8"/>
      <c r="N1580" s="8" t="s">
        <v>10159</v>
      </c>
      <c r="O1580" s="8" t="s">
        <v>9531</v>
      </c>
      <c r="P1580" s="8" t="str">
        <f>HYPERLINK("https://seichotoushi-hojo.jp/assets/pdf/koufu_3_4ji/outline_122.pdf","PDFを開く")</f>
        <v>PDFを開く</v>
      </c>
      <c r="Q1580" s="8" t="s">
        <v>2498</v>
      </c>
    </row>
    <row r="1581" spans="1:17" ht="62.1" customHeight="1">
      <c r="A1581" s="5" t="s">
        <v>2491</v>
      </c>
      <c r="B1581" s="5" t="s">
        <v>2430</v>
      </c>
      <c r="C1581" s="9" t="s">
        <v>2492</v>
      </c>
      <c r="D1581" s="5">
        <v>1</v>
      </c>
      <c r="E1581" s="9" t="s">
        <v>10156</v>
      </c>
      <c r="F1581" s="5">
        <v>2</v>
      </c>
      <c r="G1581" s="9" t="s">
        <v>8581</v>
      </c>
      <c r="H1581" s="9" t="s">
        <v>8581</v>
      </c>
      <c r="I1581" s="5">
        <v>12.26</v>
      </c>
      <c r="J1581" s="5">
        <v>342.95</v>
      </c>
      <c r="K1581" s="5">
        <v>401.7</v>
      </c>
      <c r="L1581" s="5">
        <v>408.95</v>
      </c>
      <c r="M1581" s="9"/>
      <c r="N1581" s="9" t="s">
        <v>10181</v>
      </c>
      <c r="O1581" s="9" t="s">
        <v>9534</v>
      </c>
      <c r="P1581" s="9" t="str">
        <f>HYPERLINK("https://seichotoushi-hojo.jp/assets/pdf/koufu_3_4ji/outline_122.pdf","PDFを開く")</f>
        <v>PDFを開く</v>
      </c>
      <c r="Q1581" s="9" t="s">
        <v>2498</v>
      </c>
    </row>
    <row r="1582" spans="1:17" ht="62.1" customHeight="1">
      <c r="A1582" s="2" t="s">
        <v>2491</v>
      </c>
      <c r="B1582" s="2" t="s">
        <v>2430</v>
      </c>
      <c r="C1582" s="8" t="s">
        <v>2492</v>
      </c>
      <c r="D1582" s="2">
        <v>1</v>
      </c>
      <c r="E1582" s="8" t="s">
        <v>10156</v>
      </c>
      <c r="F1582" s="2">
        <v>3</v>
      </c>
      <c r="G1582" s="8" t="s">
        <v>10163</v>
      </c>
      <c r="H1582" s="8" t="s">
        <v>10163</v>
      </c>
      <c r="I1582" s="2">
        <v>533.86</v>
      </c>
      <c r="J1582" s="2">
        <v>407.11</v>
      </c>
      <c r="K1582" s="2">
        <v>768.3</v>
      </c>
      <c r="L1582" s="2">
        <v>525.20000000000005</v>
      </c>
      <c r="M1582" s="8"/>
      <c r="N1582" s="8" t="s">
        <v>10181</v>
      </c>
      <c r="O1582" s="8" t="s">
        <v>9533</v>
      </c>
      <c r="P1582" s="8" t="str">
        <f>HYPERLINK("https://seichotoushi-hojo.jp/assets/pdf/koufu_3_4ji/outline_122.pdf","PDFを開く")</f>
        <v>PDFを開く</v>
      </c>
      <c r="Q1582" s="8" t="s">
        <v>2498</v>
      </c>
    </row>
    <row r="1583" spans="1:17" ht="62.1" customHeight="1">
      <c r="A1583" s="5" t="s">
        <v>2491</v>
      </c>
      <c r="B1583" s="5" t="s">
        <v>2430</v>
      </c>
      <c r="C1583" s="9" t="s">
        <v>2492</v>
      </c>
      <c r="D1583" s="5">
        <v>1</v>
      </c>
      <c r="E1583" s="9" t="s">
        <v>10156</v>
      </c>
      <c r="F1583" s="5">
        <v>4</v>
      </c>
      <c r="G1583" s="9" t="s">
        <v>10162</v>
      </c>
      <c r="H1583" s="9" t="s">
        <v>10162</v>
      </c>
      <c r="I1583" s="5">
        <v>152.11000000000001</v>
      </c>
      <c r="J1583" s="5">
        <v>407.95</v>
      </c>
      <c r="K1583" s="5">
        <v>401.7</v>
      </c>
      <c r="L1583" s="5">
        <v>525.20000000000005</v>
      </c>
      <c r="M1583" s="9"/>
      <c r="N1583" s="9" t="s">
        <v>10181</v>
      </c>
      <c r="O1583" s="9" t="s">
        <v>9532</v>
      </c>
      <c r="P1583" s="9" t="str">
        <f>HYPERLINK("https://seichotoushi-hojo.jp/assets/pdf/koufu_3_4ji/outline_122.pdf","PDFを開く")</f>
        <v>PDFを開く</v>
      </c>
      <c r="Q1583" s="9" t="s">
        <v>2498</v>
      </c>
    </row>
    <row r="1584" spans="1:17" ht="62.1" customHeight="1">
      <c r="A1584" s="2" t="s">
        <v>2499</v>
      </c>
      <c r="B1584" s="2" t="s">
        <v>2430</v>
      </c>
      <c r="C1584" s="8" t="s">
        <v>2500</v>
      </c>
      <c r="D1584" s="2">
        <v>1</v>
      </c>
      <c r="E1584" s="8" t="s">
        <v>10156</v>
      </c>
      <c r="F1584" s="2">
        <v>1</v>
      </c>
      <c r="G1584" s="8" t="s">
        <v>10171</v>
      </c>
      <c r="H1584" s="8" t="s">
        <v>10171</v>
      </c>
      <c r="I1584" s="2">
        <v>25.26</v>
      </c>
      <c r="J1584" s="2">
        <v>101.7</v>
      </c>
      <c r="K1584" s="2">
        <v>364.39</v>
      </c>
      <c r="L1584" s="2">
        <v>520.9</v>
      </c>
      <c r="M1584" s="8"/>
      <c r="N1584" s="8" t="s">
        <v>10159</v>
      </c>
      <c r="O1584" s="8" t="s">
        <v>9542</v>
      </c>
      <c r="P1584" s="8" t="str">
        <f>HYPERLINK("https://seichotoushi-hojo.jp/assets/pdf/koufu_3_4ji/outline_125.pdf","PDFを開く")</f>
        <v>PDFを開く</v>
      </c>
      <c r="Q1584" s="8" t="s">
        <v>2506</v>
      </c>
    </row>
    <row r="1585" spans="1:17" ht="62.1" customHeight="1">
      <c r="A1585" s="5" t="s">
        <v>2499</v>
      </c>
      <c r="B1585" s="5" t="s">
        <v>2430</v>
      </c>
      <c r="C1585" s="9" t="s">
        <v>2500</v>
      </c>
      <c r="D1585" s="5">
        <v>1</v>
      </c>
      <c r="E1585" s="9" t="s">
        <v>10156</v>
      </c>
      <c r="F1585" s="5">
        <v>2</v>
      </c>
      <c r="G1585" s="9" t="s">
        <v>10162</v>
      </c>
      <c r="H1585" s="9" t="s">
        <v>10162</v>
      </c>
      <c r="I1585" s="5">
        <v>381.9</v>
      </c>
      <c r="J1585" s="5">
        <v>101.7</v>
      </c>
      <c r="K1585" s="5">
        <v>760.32</v>
      </c>
      <c r="L1585" s="5">
        <v>306.54000000000002</v>
      </c>
      <c r="M1585" s="9"/>
      <c r="N1585" s="9" t="s">
        <v>10159</v>
      </c>
      <c r="O1585" s="9" t="s">
        <v>9540</v>
      </c>
      <c r="P1585" s="9" t="str">
        <f>HYPERLINK("https://seichotoushi-hojo.jp/assets/pdf/koufu_3_4ji/outline_125.pdf","PDFを開く")</f>
        <v>PDFを開く</v>
      </c>
      <c r="Q1585" s="9" t="s">
        <v>2506</v>
      </c>
    </row>
    <row r="1586" spans="1:17" ht="62.1" customHeight="1">
      <c r="A1586" s="2" t="s">
        <v>2499</v>
      </c>
      <c r="B1586" s="2" t="s">
        <v>2430</v>
      </c>
      <c r="C1586" s="8" t="s">
        <v>2500</v>
      </c>
      <c r="D1586" s="2">
        <v>1</v>
      </c>
      <c r="E1586" s="8" t="s">
        <v>10156</v>
      </c>
      <c r="F1586" s="2">
        <v>3</v>
      </c>
      <c r="G1586" s="8" t="s">
        <v>9578</v>
      </c>
      <c r="H1586" s="8" t="s">
        <v>9578</v>
      </c>
      <c r="I1586" s="2">
        <v>20.47</v>
      </c>
      <c r="J1586" s="2">
        <v>207.67</v>
      </c>
      <c r="K1586" s="2">
        <v>401.7</v>
      </c>
      <c r="L1586" s="2">
        <v>431.97</v>
      </c>
      <c r="M1586" s="8"/>
      <c r="N1586" s="8" t="s">
        <v>10181</v>
      </c>
      <c r="O1586" s="8" t="s">
        <v>9539</v>
      </c>
      <c r="P1586" s="8" t="str">
        <f>HYPERLINK("https://seichotoushi-hojo.jp/assets/pdf/koufu_3_4ji/outline_125.pdf","PDFを開く")</f>
        <v>PDFを開く</v>
      </c>
      <c r="Q1586" s="8" t="s">
        <v>2506</v>
      </c>
    </row>
    <row r="1587" spans="1:17" ht="62.1" customHeight="1">
      <c r="A1587" s="5" t="s">
        <v>2499</v>
      </c>
      <c r="B1587" s="5" t="s">
        <v>2430</v>
      </c>
      <c r="C1587" s="9" t="s">
        <v>2500</v>
      </c>
      <c r="D1587" s="5">
        <v>1</v>
      </c>
      <c r="E1587" s="9" t="s">
        <v>10156</v>
      </c>
      <c r="F1587" s="5">
        <v>4</v>
      </c>
      <c r="G1587" s="9" t="s">
        <v>10163</v>
      </c>
      <c r="H1587" s="9" t="s">
        <v>10163</v>
      </c>
      <c r="I1587" s="5">
        <v>381.75</v>
      </c>
      <c r="J1587" s="5">
        <v>309.01</v>
      </c>
      <c r="K1587" s="5">
        <v>760.17</v>
      </c>
      <c r="L1587" s="5">
        <v>520.9</v>
      </c>
      <c r="M1587" s="9"/>
      <c r="N1587" s="9" t="s">
        <v>10159</v>
      </c>
      <c r="O1587" s="9" t="s">
        <v>9541</v>
      </c>
      <c r="P1587" s="9" t="str">
        <f>HYPERLINK("https://seichotoushi-hojo.jp/assets/pdf/koufu_3_4ji/outline_125.pdf","PDFを開く")</f>
        <v>PDFを開く</v>
      </c>
      <c r="Q1587" s="9" t="s">
        <v>2506</v>
      </c>
    </row>
    <row r="1588" spans="1:17" ht="62.1" customHeight="1">
      <c r="A1588" s="2" t="s">
        <v>2499</v>
      </c>
      <c r="B1588" s="2" t="s">
        <v>2430</v>
      </c>
      <c r="C1588" s="8" t="s">
        <v>2500</v>
      </c>
      <c r="D1588" s="2">
        <v>1</v>
      </c>
      <c r="E1588" s="8" t="s">
        <v>10156</v>
      </c>
      <c r="F1588" s="2">
        <v>5</v>
      </c>
      <c r="G1588" s="8" t="s">
        <v>8581</v>
      </c>
      <c r="H1588" s="8" t="s">
        <v>8581</v>
      </c>
      <c r="I1588" s="2">
        <v>27.34</v>
      </c>
      <c r="J1588" s="2">
        <v>430.56</v>
      </c>
      <c r="K1588" s="2">
        <v>363.16</v>
      </c>
      <c r="L1588" s="2">
        <v>495.39</v>
      </c>
      <c r="M1588" s="8"/>
      <c r="N1588" s="8" t="s">
        <v>10159</v>
      </c>
      <c r="O1588" s="8" t="s">
        <v>2504</v>
      </c>
      <c r="P1588" s="8" t="str">
        <f>HYPERLINK("https://seichotoushi-hojo.jp/assets/pdf/koufu_3_4ji/outline_125.pdf","PDFを開く")</f>
        <v>PDFを開く</v>
      </c>
      <c r="Q1588" s="8" t="s">
        <v>2506</v>
      </c>
    </row>
    <row r="1589" spans="1:17" ht="62.1" customHeight="1">
      <c r="A1589" s="5" t="s">
        <v>2507</v>
      </c>
      <c r="B1589" s="5" t="s">
        <v>2430</v>
      </c>
      <c r="C1589" s="9" t="s">
        <v>2508</v>
      </c>
      <c r="D1589" s="5">
        <v>1</v>
      </c>
      <c r="E1589" s="9" t="s">
        <v>10156</v>
      </c>
      <c r="F1589" s="5">
        <v>1</v>
      </c>
      <c r="G1589" s="9" t="s">
        <v>10157</v>
      </c>
      <c r="H1589" s="9" t="s">
        <v>10157</v>
      </c>
      <c r="I1589" s="5">
        <v>8.6999999999999993</v>
      </c>
      <c r="J1589" s="5">
        <v>96.66</v>
      </c>
      <c r="K1589" s="5">
        <v>771.66</v>
      </c>
      <c r="L1589" s="5">
        <v>153.41999999999999</v>
      </c>
      <c r="M1589" s="9"/>
      <c r="N1589" s="9" t="s">
        <v>10159</v>
      </c>
      <c r="O1589" s="9" t="s">
        <v>9547</v>
      </c>
      <c r="P1589" s="9" t="str">
        <f t="shared" ref="P1589:P1594" si="93">HYPERLINK("https://seichotoushi-hojo.jp/assets/pdf/koufu_3_4ji/outline_127.pdf","PDFを開く")</f>
        <v>PDFを開く</v>
      </c>
      <c r="Q1589" s="9" t="s">
        <v>2515</v>
      </c>
    </row>
    <row r="1590" spans="1:17" ht="62.1" customHeight="1">
      <c r="A1590" s="2" t="s">
        <v>2507</v>
      </c>
      <c r="B1590" s="2" t="s">
        <v>2430</v>
      </c>
      <c r="C1590" s="8" t="s">
        <v>2508</v>
      </c>
      <c r="D1590" s="2">
        <v>1</v>
      </c>
      <c r="E1590" s="8" t="s">
        <v>10156</v>
      </c>
      <c r="F1590" s="2">
        <v>2</v>
      </c>
      <c r="G1590" s="8" t="s">
        <v>9578</v>
      </c>
      <c r="H1590" s="8" t="s">
        <v>9578</v>
      </c>
      <c r="I1590" s="2">
        <v>8.6999999999999993</v>
      </c>
      <c r="J1590" s="2">
        <v>155.04</v>
      </c>
      <c r="K1590" s="2">
        <v>429.24</v>
      </c>
      <c r="L1590" s="2">
        <v>531.78</v>
      </c>
      <c r="M1590" s="8"/>
      <c r="N1590" s="8" t="s">
        <v>10159</v>
      </c>
      <c r="O1590" s="8" t="s">
        <v>9548</v>
      </c>
      <c r="P1590" s="8" t="str">
        <f t="shared" si="93"/>
        <v>PDFを開く</v>
      </c>
      <c r="Q1590" s="8" t="s">
        <v>2515</v>
      </c>
    </row>
    <row r="1591" spans="1:17" ht="62.1" customHeight="1">
      <c r="A1591" s="5" t="s">
        <v>2507</v>
      </c>
      <c r="B1591" s="5" t="s">
        <v>2430</v>
      </c>
      <c r="C1591" s="9" t="s">
        <v>2508</v>
      </c>
      <c r="D1591" s="5">
        <v>1</v>
      </c>
      <c r="E1591" s="9" t="s">
        <v>10156</v>
      </c>
      <c r="F1591" s="5">
        <v>3</v>
      </c>
      <c r="G1591" s="9" t="s">
        <v>10162</v>
      </c>
      <c r="H1591" s="9" t="s">
        <v>10162</v>
      </c>
      <c r="I1591" s="5">
        <v>452.61</v>
      </c>
      <c r="J1591" s="5">
        <v>155.19</v>
      </c>
      <c r="K1591" s="5">
        <v>771.03</v>
      </c>
      <c r="L1591" s="5">
        <v>367.59</v>
      </c>
      <c r="M1591" s="9"/>
      <c r="N1591" s="9" t="s">
        <v>10159</v>
      </c>
      <c r="O1591" s="9" t="s">
        <v>10811</v>
      </c>
      <c r="P1591" s="9" t="str">
        <f t="shared" si="93"/>
        <v>PDFを開く</v>
      </c>
      <c r="Q1591" s="9" t="s">
        <v>2515</v>
      </c>
    </row>
    <row r="1592" spans="1:17" ht="62.1" customHeight="1">
      <c r="A1592" s="2" t="s">
        <v>2507</v>
      </c>
      <c r="B1592" s="2" t="s">
        <v>2430</v>
      </c>
      <c r="C1592" s="8" t="s">
        <v>2508</v>
      </c>
      <c r="D1592" s="2">
        <v>1</v>
      </c>
      <c r="E1592" s="8" t="s">
        <v>10156</v>
      </c>
      <c r="F1592" s="2">
        <v>4</v>
      </c>
      <c r="G1592" s="8" t="s">
        <v>10163</v>
      </c>
      <c r="H1592" s="8" t="s">
        <v>10163</v>
      </c>
      <c r="I1592" s="2">
        <v>452.61</v>
      </c>
      <c r="J1592" s="2">
        <v>355.29</v>
      </c>
      <c r="K1592" s="2">
        <v>771.03</v>
      </c>
      <c r="L1592" s="2">
        <v>534.80999999999995</v>
      </c>
      <c r="M1592" s="8"/>
      <c r="N1592" s="8" t="s">
        <v>10159</v>
      </c>
      <c r="O1592" s="8" t="s">
        <v>9550</v>
      </c>
      <c r="P1592" s="8" t="str">
        <f t="shared" si="93"/>
        <v>PDFを開く</v>
      </c>
      <c r="Q1592" s="8" t="s">
        <v>2515</v>
      </c>
    </row>
    <row r="1593" spans="1:17" ht="62.1" customHeight="1">
      <c r="A1593" s="5" t="s">
        <v>2507</v>
      </c>
      <c r="B1593" s="5" t="s">
        <v>2430</v>
      </c>
      <c r="C1593" s="9" t="s">
        <v>2508</v>
      </c>
      <c r="D1593" s="5">
        <v>1</v>
      </c>
      <c r="E1593" s="9" t="s">
        <v>10156</v>
      </c>
      <c r="F1593" s="5">
        <v>5</v>
      </c>
      <c r="G1593" s="9" t="s">
        <v>8581</v>
      </c>
      <c r="H1593" s="9" t="s">
        <v>8581</v>
      </c>
      <c r="I1593" s="5">
        <v>10.17</v>
      </c>
      <c r="J1593" s="5">
        <v>367.59</v>
      </c>
      <c r="K1593" s="5">
        <v>426.87</v>
      </c>
      <c r="L1593" s="5">
        <v>534.80999999999995</v>
      </c>
      <c r="M1593" s="9"/>
      <c r="N1593" s="9" t="s">
        <v>10159</v>
      </c>
      <c r="O1593" s="9" t="s">
        <v>9551</v>
      </c>
      <c r="P1593" s="9" t="str">
        <f t="shared" si="93"/>
        <v>PDFを開く</v>
      </c>
      <c r="Q1593" s="9" t="s">
        <v>2515</v>
      </c>
    </row>
    <row r="1594" spans="1:17" ht="62.1" customHeight="1">
      <c r="A1594" s="2" t="s">
        <v>2507</v>
      </c>
      <c r="B1594" s="2" t="s">
        <v>2430</v>
      </c>
      <c r="C1594" s="8" t="s">
        <v>2508</v>
      </c>
      <c r="D1594" s="2">
        <v>2</v>
      </c>
      <c r="E1594" s="8" t="s">
        <v>10165</v>
      </c>
      <c r="F1594" s="2">
        <v>1</v>
      </c>
      <c r="G1594" s="8" t="s">
        <v>10184</v>
      </c>
      <c r="H1594" s="8" t="s">
        <v>10184</v>
      </c>
      <c r="I1594" s="2">
        <v>88.05</v>
      </c>
      <c r="J1594" s="2">
        <v>357.11</v>
      </c>
      <c r="K1594" s="2">
        <v>401.7</v>
      </c>
      <c r="L1594" s="2">
        <v>525.20000000000005</v>
      </c>
      <c r="M1594" s="8"/>
      <c r="N1594" s="8" t="s">
        <v>10181</v>
      </c>
      <c r="O1594" s="8" t="s">
        <v>10812</v>
      </c>
      <c r="P1594" s="8" t="str">
        <f t="shared" si="93"/>
        <v>PDFを開く</v>
      </c>
      <c r="Q1594" s="8" t="s">
        <v>2515</v>
      </c>
    </row>
    <row r="1595" spans="1:17" ht="62.1" customHeight="1">
      <c r="A1595" s="5" t="s">
        <v>2516</v>
      </c>
      <c r="B1595" s="5" t="s">
        <v>2430</v>
      </c>
      <c r="C1595" s="9" t="s">
        <v>2517</v>
      </c>
      <c r="D1595" s="5">
        <v>1</v>
      </c>
      <c r="E1595" s="9" t="s">
        <v>10156</v>
      </c>
      <c r="F1595" s="5">
        <v>1</v>
      </c>
      <c r="G1595" s="9" t="s">
        <v>9578</v>
      </c>
      <c r="H1595" s="9" t="s">
        <v>9578</v>
      </c>
      <c r="I1595" s="5">
        <v>33.049999999999997</v>
      </c>
      <c r="J1595" s="5">
        <v>101.81</v>
      </c>
      <c r="K1595" s="5">
        <v>380.97</v>
      </c>
      <c r="L1595" s="5">
        <v>531.33000000000004</v>
      </c>
      <c r="M1595" s="9"/>
      <c r="N1595" s="9" t="s">
        <v>10159</v>
      </c>
      <c r="O1595" s="9" t="s">
        <v>9556</v>
      </c>
      <c r="P1595" s="9" t="str">
        <f>HYPERLINK("https://seichotoushi-hojo.jp/assets/pdf/koufu_3_4ji/outline_130.pdf","PDFを開く")</f>
        <v>PDFを開く</v>
      </c>
      <c r="Q1595" s="9" t="s">
        <v>2523</v>
      </c>
    </row>
    <row r="1596" spans="1:17" ht="62.1" customHeight="1">
      <c r="A1596" s="2" t="s">
        <v>2516</v>
      </c>
      <c r="B1596" s="2" t="s">
        <v>2430</v>
      </c>
      <c r="C1596" s="8" t="s">
        <v>2517</v>
      </c>
      <c r="D1596" s="2">
        <v>1</v>
      </c>
      <c r="E1596" s="8" t="s">
        <v>10156</v>
      </c>
      <c r="F1596" s="2">
        <v>2</v>
      </c>
      <c r="G1596" s="8" t="s">
        <v>10162</v>
      </c>
      <c r="H1596" s="8" t="s">
        <v>10162</v>
      </c>
      <c r="I1596" s="2">
        <v>407.74</v>
      </c>
      <c r="J1596" s="2">
        <v>101.81</v>
      </c>
      <c r="K1596" s="2">
        <v>751.22</v>
      </c>
      <c r="L1596" s="2">
        <v>317.83999999999997</v>
      </c>
      <c r="M1596" s="8"/>
      <c r="N1596" s="8" t="s">
        <v>10159</v>
      </c>
      <c r="O1596" s="8" t="s">
        <v>9557</v>
      </c>
      <c r="P1596" s="8" t="str">
        <f>HYPERLINK("https://seichotoushi-hojo.jp/assets/pdf/koufu_3_4ji/outline_130.pdf","PDFを開く")</f>
        <v>PDFを開く</v>
      </c>
      <c r="Q1596" s="8" t="s">
        <v>2523</v>
      </c>
    </row>
    <row r="1597" spans="1:17" ht="62.1" customHeight="1">
      <c r="A1597" s="5" t="s">
        <v>2516</v>
      </c>
      <c r="B1597" s="5" t="s">
        <v>2430</v>
      </c>
      <c r="C1597" s="9" t="s">
        <v>2517</v>
      </c>
      <c r="D1597" s="5">
        <v>1</v>
      </c>
      <c r="E1597" s="9" t="s">
        <v>10156</v>
      </c>
      <c r="F1597" s="5">
        <v>3</v>
      </c>
      <c r="G1597" s="9" t="s">
        <v>10163</v>
      </c>
      <c r="H1597" s="9" t="s">
        <v>10163</v>
      </c>
      <c r="I1597" s="5">
        <v>407.74</v>
      </c>
      <c r="J1597" s="5">
        <v>329.14</v>
      </c>
      <c r="K1597" s="5">
        <v>751.22</v>
      </c>
      <c r="L1597" s="5">
        <v>531.33000000000004</v>
      </c>
      <c r="M1597" s="9"/>
      <c r="N1597" s="9" t="s">
        <v>10159</v>
      </c>
      <c r="O1597" s="9" t="s">
        <v>9558</v>
      </c>
      <c r="P1597" s="9" t="str">
        <f>HYPERLINK("https://seichotoushi-hojo.jp/assets/pdf/koufu_3_4ji/outline_130.pdf","PDFを開く")</f>
        <v>PDFを開く</v>
      </c>
      <c r="Q1597" s="9" t="s">
        <v>2523</v>
      </c>
    </row>
    <row r="1598" spans="1:17" ht="62.1" customHeight="1">
      <c r="A1598" s="2" t="s">
        <v>2516</v>
      </c>
      <c r="B1598" s="2" t="s">
        <v>2430</v>
      </c>
      <c r="C1598" s="8" t="s">
        <v>2517</v>
      </c>
      <c r="D1598" s="2">
        <v>1</v>
      </c>
      <c r="E1598" s="8" t="s">
        <v>10156</v>
      </c>
      <c r="F1598" s="2">
        <v>4</v>
      </c>
      <c r="G1598" s="8" t="s">
        <v>8581</v>
      </c>
      <c r="H1598" s="8" t="s">
        <v>8581</v>
      </c>
      <c r="I1598" s="2">
        <v>35.5</v>
      </c>
      <c r="J1598" s="2">
        <v>397.48</v>
      </c>
      <c r="K1598" s="2">
        <v>378.48</v>
      </c>
      <c r="L1598" s="2">
        <v>520.9</v>
      </c>
      <c r="M1598" s="8"/>
      <c r="N1598" s="8" t="s">
        <v>10159</v>
      </c>
      <c r="O1598" s="8" t="s">
        <v>2520</v>
      </c>
      <c r="P1598" s="8" t="str">
        <f>HYPERLINK("https://seichotoushi-hojo.jp/assets/pdf/koufu_3_4ji/outline_130.pdf","PDFを開く")</f>
        <v>PDFを開く</v>
      </c>
      <c r="Q1598" s="8" t="s">
        <v>2523</v>
      </c>
    </row>
    <row r="1599" spans="1:17" ht="62.1" customHeight="1">
      <c r="A1599" s="5" t="s">
        <v>2516</v>
      </c>
      <c r="B1599" s="5" t="s">
        <v>2430</v>
      </c>
      <c r="C1599" s="9" t="s">
        <v>2517</v>
      </c>
      <c r="D1599" s="5">
        <v>2</v>
      </c>
      <c r="E1599" s="9" t="s">
        <v>10165</v>
      </c>
      <c r="F1599" s="5">
        <v>1</v>
      </c>
      <c r="G1599" s="9" t="s">
        <v>10184</v>
      </c>
      <c r="H1599" s="9" t="s">
        <v>10184</v>
      </c>
      <c r="I1599" s="5">
        <v>123.86</v>
      </c>
      <c r="J1599" s="5">
        <v>187.37</v>
      </c>
      <c r="K1599" s="5">
        <v>401.7</v>
      </c>
      <c r="L1599" s="5">
        <v>382.77</v>
      </c>
      <c r="M1599" s="9"/>
      <c r="N1599" s="9" t="s">
        <v>10181</v>
      </c>
      <c r="O1599" s="9" t="s">
        <v>10813</v>
      </c>
      <c r="P1599" s="9" t="str">
        <f>HYPERLINK("https://seichotoushi-hojo.jp/assets/pdf/koufu_3_4ji/outline_130.pdf","PDFを開く")</f>
        <v>PDFを開く</v>
      </c>
      <c r="Q1599" s="9" t="s">
        <v>2523</v>
      </c>
    </row>
    <row r="1600" spans="1:17" ht="62.1" customHeight="1">
      <c r="A1600" s="2" t="s">
        <v>2524</v>
      </c>
      <c r="B1600" s="2" t="s">
        <v>2430</v>
      </c>
      <c r="C1600" s="8" t="s">
        <v>2525</v>
      </c>
      <c r="D1600" s="2">
        <v>1</v>
      </c>
      <c r="E1600" s="8" t="s">
        <v>10156</v>
      </c>
      <c r="F1600" s="2">
        <v>1</v>
      </c>
      <c r="G1600" s="8" t="s">
        <v>10162</v>
      </c>
      <c r="H1600" s="8" t="s">
        <v>10162</v>
      </c>
      <c r="I1600" s="2">
        <v>396.36</v>
      </c>
      <c r="J1600" s="2">
        <v>122.76</v>
      </c>
      <c r="K1600" s="2">
        <v>739.8</v>
      </c>
      <c r="L1600" s="2">
        <v>297.60000000000002</v>
      </c>
      <c r="M1600" s="8"/>
      <c r="N1600" s="8" t="s">
        <v>10159</v>
      </c>
      <c r="O1600" s="8" t="s">
        <v>9564</v>
      </c>
      <c r="P1600" s="8" t="str">
        <f>HYPERLINK("https://seichotoushi-hojo.jp/assets/pdf/koufu_3_4ji/outline_131.pdf","PDFを開く")</f>
        <v>PDFを開く</v>
      </c>
      <c r="Q1600" s="8" t="s">
        <v>2530</v>
      </c>
    </row>
    <row r="1601" spans="1:17" ht="62.1" customHeight="1">
      <c r="A1601" s="5" t="s">
        <v>2524</v>
      </c>
      <c r="B1601" s="5" t="s">
        <v>2430</v>
      </c>
      <c r="C1601" s="9" t="s">
        <v>2525</v>
      </c>
      <c r="D1601" s="5">
        <v>1</v>
      </c>
      <c r="E1601" s="9" t="s">
        <v>10156</v>
      </c>
      <c r="F1601" s="5">
        <v>2</v>
      </c>
      <c r="G1601" s="9" t="s">
        <v>9578</v>
      </c>
      <c r="H1601" s="9" t="s">
        <v>9578</v>
      </c>
      <c r="I1601" s="5">
        <v>39.6</v>
      </c>
      <c r="J1601" s="5">
        <v>142.08000000000001</v>
      </c>
      <c r="K1601" s="5">
        <v>378.84</v>
      </c>
      <c r="L1601" s="5">
        <v>473.88</v>
      </c>
      <c r="M1601" s="9"/>
      <c r="N1601" s="9" t="s">
        <v>10159</v>
      </c>
      <c r="O1601" s="9" t="s">
        <v>9563</v>
      </c>
      <c r="P1601" s="9" t="str">
        <f>HYPERLINK("https://seichotoushi-hojo.jp/assets/pdf/koufu_3_4ji/outline_131.pdf","PDFを開く")</f>
        <v>PDFを開く</v>
      </c>
      <c r="Q1601" s="9" t="s">
        <v>2530</v>
      </c>
    </row>
    <row r="1602" spans="1:17" ht="62.1" customHeight="1">
      <c r="A1602" s="2" t="s">
        <v>2524</v>
      </c>
      <c r="B1602" s="2" t="s">
        <v>2430</v>
      </c>
      <c r="C1602" s="8" t="s">
        <v>2525</v>
      </c>
      <c r="D1602" s="2">
        <v>1</v>
      </c>
      <c r="E1602" s="8" t="s">
        <v>10156</v>
      </c>
      <c r="F1602" s="2">
        <v>3</v>
      </c>
      <c r="G1602" s="8" t="s">
        <v>10163</v>
      </c>
      <c r="H1602" s="8" t="s">
        <v>10163</v>
      </c>
      <c r="I1602" s="2">
        <v>396.36</v>
      </c>
      <c r="J1602" s="2">
        <v>310.56</v>
      </c>
      <c r="K1602" s="2">
        <v>739.8</v>
      </c>
      <c r="L1602" s="2">
        <v>491.64</v>
      </c>
      <c r="M1602" s="8"/>
      <c r="N1602" s="8" t="s">
        <v>10159</v>
      </c>
      <c r="O1602" s="8" t="s">
        <v>9565</v>
      </c>
      <c r="P1602" s="8" t="str">
        <f>HYPERLINK("https://seichotoushi-hojo.jp/assets/pdf/koufu_3_4ji/outline_131.pdf","PDFを開く")</f>
        <v>PDFを開く</v>
      </c>
      <c r="Q1602" s="8" t="s">
        <v>2530</v>
      </c>
    </row>
    <row r="1603" spans="1:17" ht="62.1" customHeight="1">
      <c r="A1603" s="5" t="s">
        <v>2524</v>
      </c>
      <c r="B1603" s="5" t="s">
        <v>2430</v>
      </c>
      <c r="C1603" s="9" t="s">
        <v>2525</v>
      </c>
      <c r="D1603" s="5">
        <v>1</v>
      </c>
      <c r="E1603" s="9" t="s">
        <v>10156</v>
      </c>
      <c r="F1603" s="5">
        <v>4</v>
      </c>
      <c r="G1603" s="9" t="s">
        <v>8581</v>
      </c>
      <c r="H1603" s="9" t="s">
        <v>8581</v>
      </c>
      <c r="I1603" s="5">
        <v>50.52</v>
      </c>
      <c r="J1603" s="5">
        <v>377.76</v>
      </c>
      <c r="K1603" s="5">
        <v>370.08</v>
      </c>
      <c r="L1603" s="5">
        <v>457.32</v>
      </c>
      <c r="M1603" s="9"/>
      <c r="N1603" s="9" t="s">
        <v>10159</v>
      </c>
      <c r="O1603" s="9" t="s">
        <v>2528</v>
      </c>
      <c r="P1603" s="9" t="str">
        <f>HYPERLINK("https://seichotoushi-hojo.jp/assets/pdf/koufu_3_4ji/outline_131.pdf","PDFを開く")</f>
        <v>PDFを開く</v>
      </c>
      <c r="Q1603" s="9" t="s">
        <v>2530</v>
      </c>
    </row>
    <row r="1604" spans="1:17" ht="62.1" customHeight="1">
      <c r="A1604" s="2" t="s">
        <v>2531</v>
      </c>
      <c r="B1604" s="2" t="s">
        <v>2430</v>
      </c>
      <c r="C1604" s="8" t="s">
        <v>2532</v>
      </c>
      <c r="D1604" s="2">
        <v>1</v>
      </c>
      <c r="E1604" s="8" t="s">
        <v>10156</v>
      </c>
      <c r="F1604" s="2">
        <v>1</v>
      </c>
      <c r="G1604" s="8" t="s">
        <v>9578</v>
      </c>
      <c r="H1604" s="8" t="s">
        <v>9578</v>
      </c>
      <c r="I1604" s="2">
        <v>13.56</v>
      </c>
      <c r="J1604" s="2">
        <v>104.04</v>
      </c>
      <c r="K1604" s="2">
        <v>760.68</v>
      </c>
      <c r="L1604" s="2">
        <v>391.32</v>
      </c>
      <c r="M1604" s="8"/>
      <c r="N1604" s="8" t="s">
        <v>10159</v>
      </c>
      <c r="O1604" s="8" t="s">
        <v>9570</v>
      </c>
      <c r="P1604" s="8" t="str">
        <f>HYPERLINK("https://seichotoushi-hojo.jp/assets/pdf/koufu_3_4ji/outline_132.pdf","PDFを開く")</f>
        <v>PDFを開く</v>
      </c>
      <c r="Q1604" s="8" t="s">
        <v>2538</v>
      </c>
    </row>
    <row r="1605" spans="1:17" ht="62.1" customHeight="1">
      <c r="A1605" s="5" t="s">
        <v>2531</v>
      </c>
      <c r="B1605" s="5" t="s">
        <v>2430</v>
      </c>
      <c r="C1605" s="9" t="s">
        <v>2532</v>
      </c>
      <c r="D1605" s="5">
        <v>1</v>
      </c>
      <c r="E1605" s="9" t="s">
        <v>10156</v>
      </c>
      <c r="F1605" s="5">
        <v>2</v>
      </c>
      <c r="G1605" s="9" t="s">
        <v>8581</v>
      </c>
      <c r="H1605" s="9" t="s">
        <v>8581</v>
      </c>
      <c r="I1605" s="5">
        <v>14.76</v>
      </c>
      <c r="J1605" s="5">
        <v>342.95</v>
      </c>
      <c r="K1605" s="5">
        <v>401.7</v>
      </c>
      <c r="L1605" s="5">
        <v>405.36</v>
      </c>
      <c r="M1605" s="9"/>
      <c r="N1605" s="9" t="s">
        <v>10181</v>
      </c>
      <c r="O1605" s="9" t="s">
        <v>9573</v>
      </c>
      <c r="P1605" s="9" t="str">
        <f>HYPERLINK("https://seichotoushi-hojo.jp/assets/pdf/koufu_3_4ji/outline_132.pdf","PDFを開く")</f>
        <v>PDFを開く</v>
      </c>
      <c r="Q1605" s="9" t="s">
        <v>2538</v>
      </c>
    </row>
    <row r="1606" spans="1:17" ht="62.1" customHeight="1">
      <c r="A1606" s="2" t="s">
        <v>2531</v>
      </c>
      <c r="B1606" s="2" t="s">
        <v>2430</v>
      </c>
      <c r="C1606" s="8" t="s">
        <v>2532</v>
      </c>
      <c r="D1606" s="2">
        <v>1</v>
      </c>
      <c r="E1606" s="8" t="s">
        <v>10156</v>
      </c>
      <c r="F1606" s="2">
        <v>3</v>
      </c>
      <c r="G1606" s="8" t="s">
        <v>10163</v>
      </c>
      <c r="H1606" s="8" t="s">
        <v>10163</v>
      </c>
      <c r="I1606" s="2">
        <v>536.74</v>
      </c>
      <c r="J1606" s="2">
        <v>403.5</v>
      </c>
      <c r="K1606" s="2">
        <v>768.3</v>
      </c>
      <c r="L1606" s="2">
        <v>525.20000000000005</v>
      </c>
      <c r="M1606" s="8"/>
      <c r="N1606" s="8" t="s">
        <v>10181</v>
      </c>
      <c r="O1606" s="8" t="s">
        <v>9572</v>
      </c>
      <c r="P1606" s="8" t="str">
        <f>HYPERLINK("https://seichotoushi-hojo.jp/assets/pdf/koufu_3_4ji/outline_132.pdf","PDFを開く")</f>
        <v>PDFを開く</v>
      </c>
      <c r="Q1606" s="8" t="s">
        <v>2538</v>
      </c>
    </row>
    <row r="1607" spans="1:17" ht="62.1" customHeight="1">
      <c r="A1607" s="5" t="s">
        <v>2531</v>
      </c>
      <c r="B1607" s="5" t="s">
        <v>2430</v>
      </c>
      <c r="C1607" s="9" t="s">
        <v>2532</v>
      </c>
      <c r="D1607" s="5">
        <v>1</v>
      </c>
      <c r="E1607" s="9" t="s">
        <v>10156</v>
      </c>
      <c r="F1607" s="5">
        <v>4</v>
      </c>
      <c r="G1607" s="9" t="s">
        <v>10162</v>
      </c>
      <c r="H1607" s="9" t="s">
        <v>10162</v>
      </c>
      <c r="I1607" s="5">
        <v>153.6</v>
      </c>
      <c r="J1607" s="5">
        <v>404.36</v>
      </c>
      <c r="K1607" s="5">
        <v>401.7</v>
      </c>
      <c r="L1607" s="5">
        <v>525.20000000000005</v>
      </c>
      <c r="M1607" s="9"/>
      <c r="N1607" s="9" t="s">
        <v>10181</v>
      </c>
      <c r="O1607" s="9" t="s">
        <v>9571</v>
      </c>
      <c r="P1607" s="9" t="str">
        <f>HYPERLINK("https://seichotoushi-hojo.jp/assets/pdf/koufu_3_4ji/outline_132.pdf","PDFを開く")</f>
        <v>PDFを開く</v>
      </c>
      <c r="Q1607" s="9" t="s">
        <v>2538</v>
      </c>
    </row>
    <row r="1608" spans="1:17" ht="62.1" customHeight="1">
      <c r="A1608" s="2" t="s">
        <v>2539</v>
      </c>
      <c r="B1608" s="2" t="s">
        <v>2430</v>
      </c>
      <c r="C1608" s="8" t="s">
        <v>2540</v>
      </c>
      <c r="D1608" s="2">
        <v>1</v>
      </c>
      <c r="E1608" s="8" t="s">
        <v>10156</v>
      </c>
      <c r="F1608" s="2">
        <v>1</v>
      </c>
      <c r="G1608" s="8" t="s">
        <v>9578</v>
      </c>
      <c r="H1608" s="8" t="s">
        <v>9578</v>
      </c>
      <c r="I1608" s="2">
        <v>14.63</v>
      </c>
      <c r="J1608" s="2">
        <v>106.59</v>
      </c>
      <c r="K1608" s="2">
        <v>370.08</v>
      </c>
      <c r="L1608" s="2">
        <v>136.03</v>
      </c>
      <c r="M1608" s="8"/>
      <c r="N1608" s="8" t="s">
        <v>10159</v>
      </c>
      <c r="O1608" s="8" t="s">
        <v>9578</v>
      </c>
      <c r="P1608" s="8" t="str">
        <f>HYPERLINK("https://seichotoushi-hojo.jp/assets/pdf/koufu_3_4ji/outline_133.pdf","PDFを開く")</f>
        <v>PDFを開く</v>
      </c>
      <c r="Q1608" s="8" t="s">
        <v>2545</v>
      </c>
    </row>
    <row r="1609" spans="1:17" ht="62.1" customHeight="1">
      <c r="A1609" s="5" t="s">
        <v>2539</v>
      </c>
      <c r="B1609" s="5" t="s">
        <v>2430</v>
      </c>
      <c r="C1609" s="9" t="s">
        <v>2540</v>
      </c>
      <c r="D1609" s="5">
        <v>1</v>
      </c>
      <c r="E1609" s="9" t="s">
        <v>10156</v>
      </c>
      <c r="F1609" s="5">
        <v>2</v>
      </c>
      <c r="G1609" s="9" t="s">
        <v>10167</v>
      </c>
      <c r="H1609" s="9" t="s">
        <v>10814</v>
      </c>
      <c r="I1609" s="5">
        <v>422</v>
      </c>
      <c r="J1609" s="5">
        <v>106.84</v>
      </c>
      <c r="K1609" s="5">
        <v>770.48</v>
      </c>
      <c r="L1609" s="5">
        <v>317.08999999999997</v>
      </c>
      <c r="M1609" s="9"/>
      <c r="N1609" s="9" t="s">
        <v>10159</v>
      </c>
      <c r="O1609" s="9" t="s">
        <v>10815</v>
      </c>
      <c r="P1609" s="9" t="str">
        <f>HYPERLINK("https://seichotoushi-hojo.jp/assets/pdf/koufu_3_4ji/outline_133.pdf","PDFを開く")</f>
        <v>PDFを開く</v>
      </c>
      <c r="Q1609" s="9" t="s">
        <v>2545</v>
      </c>
    </row>
    <row r="1610" spans="1:17" ht="62.1" customHeight="1">
      <c r="A1610" s="2" t="s">
        <v>2539</v>
      </c>
      <c r="B1610" s="2" t="s">
        <v>2430</v>
      </c>
      <c r="C1610" s="8" t="s">
        <v>2540</v>
      </c>
      <c r="D1610" s="2">
        <v>1</v>
      </c>
      <c r="E1610" s="8" t="s">
        <v>10156</v>
      </c>
      <c r="F1610" s="2">
        <v>3</v>
      </c>
      <c r="G1610" s="8" t="s">
        <v>10167</v>
      </c>
      <c r="H1610" s="8" t="s">
        <v>10816</v>
      </c>
      <c r="I1610" s="2">
        <v>422</v>
      </c>
      <c r="J1610" s="2">
        <v>323.41000000000003</v>
      </c>
      <c r="K1610" s="2">
        <v>770.48</v>
      </c>
      <c r="L1610" s="2">
        <v>529.65</v>
      </c>
      <c r="M1610" s="8"/>
      <c r="N1610" s="8" t="s">
        <v>10159</v>
      </c>
      <c r="O1610" s="8" t="s">
        <v>10817</v>
      </c>
      <c r="P1610" s="8" t="str">
        <f>HYPERLINK("https://seichotoushi-hojo.jp/assets/pdf/koufu_3_4ji/outline_133.pdf","PDFを開く")</f>
        <v>PDFを開く</v>
      </c>
      <c r="Q1610" s="8" t="s">
        <v>2545</v>
      </c>
    </row>
    <row r="1611" spans="1:17" ht="62.1" customHeight="1">
      <c r="A1611" s="5" t="s">
        <v>2539</v>
      </c>
      <c r="B1611" s="5" t="s">
        <v>2430</v>
      </c>
      <c r="C1611" s="9" t="s">
        <v>2540</v>
      </c>
      <c r="D1611" s="5">
        <v>1</v>
      </c>
      <c r="E1611" s="9" t="s">
        <v>10156</v>
      </c>
      <c r="F1611" s="5">
        <v>4</v>
      </c>
      <c r="G1611" s="9" t="s">
        <v>8581</v>
      </c>
      <c r="H1611" s="9" t="s">
        <v>8581</v>
      </c>
      <c r="I1611" s="5">
        <v>22.11</v>
      </c>
      <c r="J1611" s="5">
        <v>450.22</v>
      </c>
      <c r="K1611" s="5">
        <v>362.33</v>
      </c>
      <c r="L1611" s="5">
        <v>518.25</v>
      </c>
      <c r="M1611" s="9"/>
      <c r="N1611" s="9" t="s">
        <v>10159</v>
      </c>
      <c r="O1611" s="9" t="s">
        <v>2543</v>
      </c>
      <c r="P1611" s="9" t="str">
        <f>HYPERLINK("https://seichotoushi-hojo.jp/assets/pdf/koufu_3_4ji/outline_133.pdf","PDFを開く")</f>
        <v>PDFを開く</v>
      </c>
      <c r="Q1611" s="9" t="s">
        <v>2545</v>
      </c>
    </row>
    <row r="1612" spans="1:17" ht="62.1" customHeight="1">
      <c r="A1612" s="2" t="s">
        <v>2546</v>
      </c>
      <c r="B1612" s="2" t="s">
        <v>2430</v>
      </c>
      <c r="C1612" s="8" t="s">
        <v>2547</v>
      </c>
      <c r="D1612" s="2">
        <v>1</v>
      </c>
      <c r="E1612" s="8" t="s">
        <v>10156</v>
      </c>
      <c r="F1612" s="2">
        <v>1</v>
      </c>
      <c r="G1612" s="8" t="s">
        <v>10157</v>
      </c>
      <c r="H1612" s="8" t="s">
        <v>10157</v>
      </c>
      <c r="I1612" s="2">
        <v>8.4</v>
      </c>
      <c r="J1612" s="2">
        <v>96</v>
      </c>
      <c r="K1612" s="2">
        <v>771.6</v>
      </c>
      <c r="L1612" s="2">
        <v>152.76</v>
      </c>
      <c r="M1612" s="8"/>
      <c r="N1612" s="8" t="s">
        <v>10159</v>
      </c>
      <c r="O1612" s="8" t="s">
        <v>9583</v>
      </c>
      <c r="P1612" s="8" t="str">
        <f t="shared" ref="P1612:P1617" si="94">HYPERLINK("https://seichotoushi-hojo.jp/assets/pdf/koufu_3_4ji/outline_134.pdf","PDFを開く")</f>
        <v>PDFを開く</v>
      </c>
      <c r="Q1612" s="8" t="s">
        <v>2554</v>
      </c>
    </row>
    <row r="1613" spans="1:17" ht="62.1" customHeight="1">
      <c r="A1613" s="5" t="s">
        <v>2546</v>
      </c>
      <c r="B1613" s="5" t="s">
        <v>2430</v>
      </c>
      <c r="C1613" s="9" t="s">
        <v>2547</v>
      </c>
      <c r="D1613" s="5">
        <v>1</v>
      </c>
      <c r="E1613" s="9" t="s">
        <v>10156</v>
      </c>
      <c r="F1613" s="5">
        <v>2</v>
      </c>
      <c r="G1613" s="9" t="s">
        <v>10162</v>
      </c>
      <c r="H1613" s="9" t="s">
        <v>10162</v>
      </c>
      <c r="I1613" s="5">
        <v>484.2</v>
      </c>
      <c r="J1613" s="5">
        <v>154.68</v>
      </c>
      <c r="K1613" s="5">
        <v>771.6</v>
      </c>
      <c r="L1613" s="5">
        <v>336.12</v>
      </c>
      <c r="M1613" s="9"/>
      <c r="N1613" s="9" t="s">
        <v>10159</v>
      </c>
      <c r="O1613" s="9" t="s">
        <v>9585</v>
      </c>
      <c r="P1613" s="9" t="str">
        <f t="shared" si="94"/>
        <v>PDFを開く</v>
      </c>
      <c r="Q1613" s="9" t="s">
        <v>2554</v>
      </c>
    </row>
    <row r="1614" spans="1:17" ht="62.1" customHeight="1">
      <c r="A1614" s="2" t="s">
        <v>2546</v>
      </c>
      <c r="B1614" s="2" t="s">
        <v>2430</v>
      </c>
      <c r="C1614" s="8" t="s">
        <v>2547</v>
      </c>
      <c r="D1614" s="2">
        <v>1</v>
      </c>
      <c r="E1614" s="8" t="s">
        <v>10156</v>
      </c>
      <c r="F1614" s="2">
        <v>3</v>
      </c>
      <c r="G1614" s="8" t="s">
        <v>9578</v>
      </c>
      <c r="H1614" s="8" t="s">
        <v>9578</v>
      </c>
      <c r="I1614" s="2">
        <v>8.4</v>
      </c>
      <c r="J1614" s="2">
        <v>155.4</v>
      </c>
      <c r="K1614" s="2">
        <v>467.88</v>
      </c>
      <c r="L1614" s="2">
        <v>538.08000000000004</v>
      </c>
      <c r="M1614" s="8"/>
      <c r="N1614" s="8" t="s">
        <v>10159</v>
      </c>
      <c r="O1614" s="8" t="s">
        <v>9584</v>
      </c>
      <c r="P1614" s="8" t="str">
        <f t="shared" si="94"/>
        <v>PDFを開く</v>
      </c>
      <c r="Q1614" s="8" t="s">
        <v>2554</v>
      </c>
    </row>
    <row r="1615" spans="1:17" ht="62.1" customHeight="1">
      <c r="A1615" s="5" t="s">
        <v>2546</v>
      </c>
      <c r="B1615" s="5" t="s">
        <v>2430</v>
      </c>
      <c r="C1615" s="9" t="s">
        <v>2547</v>
      </c>
      <c r="D1615" s="5">
        <v>1</v>
      </c>
      <c r="E1615" s="9" t="s">
        <v>10156</v>
      </c>
      <c r="F1615" s="5">
        <v>4</v>
      </c>
      <c r="G1615" s="9" t="s">
        <v>10163</v>
      </c>
      <c r="H1615" s="9" t="s">
        <v>10163</v>
      </c>
      <c r="I1615" s="5">
        <v>484.2</v>
      </c>
      <c r="J1615" s="5">
        <v>338.16</v>
      </c>
      <c r="K1615" s="5">
        <v>771.6</v>
      </c>
      <c r="L1615" s="5">
        <v>536.52</v>
      </c>
      <c r="M1615" s="9"/>
      <c r="N1615" s="9" t="s">
        <v>10159</v>
      </c>
      <c r="O1615" s="9" t="s">
        <v>9586</v>
      </c>
      <c r="P1615" s="9" t="str">
        <f t="shared" si="94"/>
        <v>PDFを開く</v>
      </c>
      <c r="Q1615" s="9" t="s">
        <v>2554</v>
      </c>
    </row>
    <row r="1616" spans="1:17" ht="62.1" customHeight="1">
      <c r="A1616" s="2" t="s">
        <v>2546</v>
      </c>
      <c r="B1616" s="2" t="s">
        <v>2430</v>
      </c>
      <c r="C1616" s="8" t="s">
        <v>2547</v>
      </c>
      <c r="D1616" s="2">
        <v>1</v>
      </c>
      <c r="E1616" s="8" t="s">
        <v>10156</v>
      </c>
      <c r="F1616" s="2">
        <v>5</v>
      </c>
      <c r="G1616" s="8" t="s">
        <v>8581</v>
      </c>
      <c r="H1616" s="8" t="s">
        <v>8581</v>
      </c>
      <c r="I1616" s="2">
        <v>13.92</v>
      </c>
      <c r="J1616" s="2">
        <v>397.32</v>
      </c>
      <c r="K1616" s="2">
        <v>464.64</v>
      </c>
      <c r="L1616" s="2">
        <v>535.08000000000004</v>
      </c>
      <c r="M1616" s="8"/>
      <c r="N1616" s="8" t="s">
        <v>10159</v>
      </c>
      <c r="O1616" s="8" t="s">
        <v>9587</v>
      </c>
      <c r="P1616" s="8" t="str">
        <f t="shared" si="94"/>
        <v>PDFを開く</v>
      </c>
      <c r="Q1616" s="8" t="s">
        <v>2554</v>
      </c>
    </row>
    <row r="1617" spans="1:17" ht="62.1" customHeight="1">
      <c r="A1617" s="5" t="s">
        <v>2546</v>
      </c>
      <c r="B1617" s="5" t="s">
        <v>2430</v>
      </c>
      <c r="C1617" s="9" t="s">
        <v>2547</v>
      </c>
      <c r="D1617" s="5">
        <v>2</v>
      </c>
      <c r="E1617" s="9" t="s">
        <v>10165</v>
      </c>
      <c r="F1617" s="5">
        <v>1</v>
      </c>
      <c r="G1617" s="9" t="s">
        <v>10184</v>
      </c>
      <c r="H1617" s="9" t="s">
        <v>10184</v>
      </c>
      <c r="I1617" s="5">
        <v>86.28</v>
      </c>
      <c r="J1617" s="5">
        <v>327.52999999999997</v>
      </c>
      <c r="K1617" s="5">
        <v>401.7</v>
      </c>
      <c r="L1617" s="5">
        <v>522.92999999999995</v>
      </c>
      <c r="M1617" s="9"/>
      <c r="N1617" s="9" t="s">
        <v>10181</v>
      </c>
      <c r="O1617" s="9" t="s">
        <v>10818</v>
      </c>
      <c r="P1617" s="9" t="str">
        <f t="shared" si="94"/>
        <v>PDFを開く</v>
      </c>
      <c r="Q1617" s="9" t="s">
        <v>2554</v>
      </c>
    </row>
    <row r="1618" spans="1:17" ht="62.1" customHeight="1">
      <c r="A1618" s="2" t="s">
        <v>2555</v>
      </c>
      <c r="B1618" s="2" t="s">
        <v>2430</v>
      </c>
      <c r="C1618" s="8" t="s">
        <v>2556</v>
      </c>
      <c r="D1618" s="2">
        <v>1</v>
      </c>
      <c r="E1618" s="8" t="s">
        <v>10156</v>
      </c>
      <c r="F1618" s="2">
        <v>1</v>
      </c>
      <c r="G1618" s="8" t="s">
        <v>10162</v>
      </c>
      <c r="H1618" s="8" t="s">
        <v>10162</v>
      </c>
      <c r="I1618" s="2">
        <v>484.72</v>
      </c>
      <c r="J1618" s="2">
        <v>95.17</v>
      </c>
      <c r="K1618" s="2">
        <v>761.25</v>
      </c>
      <c r="L1618" s="2">
        <v>314.77999999999997</v>
      </c>
      <c r="M1618" s="8"/>
      <c r="N1618" s="8" t="s">
        <v>10159</v>
      </c>
      <c r="O1618" s="8" t="s">
        <v>9593</v>
      </c>
      <c r="P1618" s="8" t="str">
        <f t="shared" ref="P1618:P1626" si="95">HYPERLINK("https://seichotoushi-hojo.jp/assets/pdf/koufu_3_4ji/outline_135.pdf","PDFを開く")</f>
        <v>PDFを開く</v>
      </c>
      <c r="Q1618" s="8" t="s">
        <v>2563</v>
      </c>
    </row>
    <row r="1619" spans="1:17" ht="62.1" customHeight="1">
      <c r="A1619" s="5" t="s">
        <v>2555</v>
      </c>
      <c r="B1619" s="5" t="s">
        <v>2430</v>
      </c>
      <c r="C1619" s="9" t="s">
        <v>2556</v>
      </c>
      <c r="D1619" s="5">
        <v>1</v>
      </c>
      <c r="E1619" s="9" t="s">
        <v>10156</v>
      </c>
      <c r="F1619" s="5">
        <v>2</v>
      </c>
      <c r="G1619" s="9" t="s">
        <v>10171</v>
      </c>
      <c r="H1619" s="9" t="s">
        <v>10171</v>
      </c>
      <c r="I1619" s="5">
        <v>18.75</v>
      </c>
      <c r="J1619" s="5">
        <v>96</v>
      </c>
      <c r="K1619" s="5">
        <v>458.12</v>
      </c>
      <c r="L1619" s="5">
        <v>226.39</v>
      </c>
      <c r="M1619" s="9"/>
      <c r="N1619" s="9" t="s">
        <v>10159</v>
      </c>
      <c r="O1619" s="9" t="s">
        <v>9595</v>
      </c>
      <c r="P1619" s="9" t="str">
        <f t="shared" si="95"/>
        <v>PDFを開く</v>
      </c>
      <c r="Q1619" s="9" t="s">
        <v>2563</v>
      </c>
    </row>
    <row r="1620" spans="1:17" ht="62.1" customHeight="1">
      <c r="A1620" s="2" t="s">
        <v>2555</v>
      </c>
      <c r="B1620" s="2" t="s">
        <v>2430</v>
      </c>
      <c r="C1620" s="8" t="s">
        <v>2556</v>
      </c>
      <c r="D1620" s="2">
        <v>1</v>
      </c>
      <c r="E1620" s="8" t="s">
        <v>10156</v>
      </c>
      <c r="F1620" s="2">
        <v>3</v>
      </c>
      <c r="G1620" s="8" t="s">
        <v>9578</v>
      </c>
      <c r="H1620" s="8" t="s">
        <v>9578</v>
      </c>
      <c r="I1620" s="2">
        <v>18.75</v>
      </c>
      <c r="J1620" s="2">
        <v>230.51</v>
      </c>
      <c r="K1620" s="2">
        <v>457.02</v>
      </c>
      <c r="L1620" s="2">
        <v>417.27</v>
      </c>
      <c r="M1620" s="8"/>
      <c r="N1620" s="8" t="s">
        <v>10159</v>
      </c>
      <c r="O1620" s="8" t="s">
        <v>9592</v>
      </c>
      <c r="P1620" s="8" t="str">
        <f t="shared" si="95"/>
        <v>PDFを開く</v>
      </c>
      <c r="Q1620" s="8" t="s">
        <v>2563</v>
      </c>
    </row>
    <row r="1621" spans="1:17" ht="62.1" customHeight="1">
      <c r="A1621" s="5" t="s">
        <v>2555</v>
      </c>
      <c r="B1621" s="5" t="s">
        <v>2430</v>
      </c>
      <c r="C1621" s="9" t="s">
        <v>2556</v>
      </c>
      <c r="D1621" s="5">
        <v>1</v>
      </c>
      <c r="E1621" s="9" t="s">
        <v>10156</v>
      </c>
      <c r="F1621" s="5">
        <v>4</v>
      </c>
      <c r="G1621" s="9" t="s">
        <v>10163</v>
      </c>
      <c r="H1621" s="9" t="s">
        <v>10163</v>
      </c>
      <c r="I1621" s="5">
        <v>484.72</v>
      </c>
      <c r="J1621" s="5">
        <v>315.95999999999998</v>
      </c>
      <c r="K1621" s="5">
        <v>761.25</v>
      </c>
      <c r="L1621" s="5">
        <v>483.57</v>
      </c>
      <c r="M1621" s="9"/>
      <c r="N1621" s="9" t="s">
        <v>10159</v>
      </c>
      <c r="O1621" s="9" t="s">
        <v>9594</v>
      </c>
      <c r="P1621" s="9" t="str">
        <f t="shared" si="95"/>
        <v>PDFを開く</v>
      </c>
      <c r="Q1621" s="9" t="s">
        <v>2563</v>
      </c>
    </row>
    <row r="1622" spans="1:17" ht="62.1" customHeight="1">
      <c r="A1622" s="2" t="s">
        <v>2555</v>
      </c>
      <c r="B1622" s="2" t="s">
        <v>2430</v>
      </c>
      <c r="C1622" s="8" t="s">
        <v>2556</v>
      </c>
      <c r="D1622" s="2">
        <v>1</v>
      </c>
      <c r="E1622" s="8" t="s">
        <v>10156</v>
      </c>
      <c r="F1622" s="2">
        <v>5</v>
      </c>
      <c r="G1622" s="8" t="s">
        <v>10167</v>
      </c>
      <c r="H1622" s="8" t="s">
        <v>10819</v>
      </c>
      <c r="I1622" s="2">
        <v>175.75</v>
      </c>
      <c r="J1622" s="2">
        <v>422.04</v>
      </c>
      <c r="K1622" s="2">
        <v>475.15</v>
      </c>
      <c r="L1622" s="2">
        <v>458.05</v>
      </c>
      <c r="M1622" s="8"/>
      <c r="N1622" s="8" t="s">
        <v>10159</v>
      </c>
      <c r="O1622" s="8" t="s">
        <v>10820</v>
      </c>
      <c r="P1622" s="8" t="str">
        <f t="shared" si="95"/>
        <v>PDFを開く</v>
      </c>
      <c r="Q1622" s="8" t="s">
        <v>2563</v>
      </c>
    </row>
    <row r="1623" spans="1:17" ht="62.1" customHeight="1">
      <c r="A1623" s="5" t="s">
        <v>2555</v>
      </c>
      <c r="B1623" s="5" t="s">
        <v>2430</v>
      </c>
      <c r="C1623" s="9" t="s">
        <v>2556</v>
      </c>
      <c r="D1623" s="5">
        <v>2</v>
      </c>
      <c r="E1623" s="9" t="s">
        <v>10165</v>
      </c>
      <c r="F1623" s="5">
        <v>1</v>
      </c>
      <c r="G1623" s="9" t="s">
        <v>10167</v>
      </c>
      <c r="H1623" s="9" t="s">
        <v>10821</v>
      </c>
      <c r="I1623" s="5">
        <v>146</v>
      </c>
      <c r="J1623" s="5">
        <v>244.58</v>
      </c>
      <c r="K1623" s="5">
        <v>504.55</v>
      </c>
      <c r="L1623" s="5">
        <v>279.38</v>
      </c>
      <c r="M1623" s="9"/>
      <c r="N1623" s="9" t="s">
        <v>10159</v>
      </c>
      <c r="O1623" s="9" t="s">
        <v>10822</v>
      </c>
      <c r="P1623" s="9" t="str">
        <f t="shared" si="95"/>
        <v>PDFを開く</v>
      </c>
      <c r="Q1623" s="9" t="s">
        <v>2563</v>
      </c>
    </row>
    <row r="1624" spans="1:17" ht="62.1" customHeight="1">
      <c r="A1624" s="2" t="s">
        <v>2555</v>
      </c>
      <c r="B1624" s="2" t="s">
        <v>2430</v>
      </c>
      <c r="C1624" s="8" t="s">
        <v>2556</v>
      </c>
      <c r="D1624" s="2">
        <v>2</v>
      </c>
      <c r="E1624" s="8" t="s">
        <v>10165</v>
      </c>
      <c r="F1624" s="2">
        <v>2</v>
      </c>
      <c r="G1624" s="8" t="s">
        <v>10167</v>
      </c>
      <c r="H1624" s="8" t="s">
        <v>10823</v>
      </c>
      <c r="I1624" s="2">
        <v>146</v>
      </c>
      <c r="J1624" s="2">
        <v>279.38</v>
      </c>
      <c r="K1624" s="2">
        <v>504.55</v>
      </c>
      <c r="L1624" s="2">
        <v>314.18</v>
      </c>
      <c r="M1624" s="8"/>
      <c r="N1624" s="8" t="s">
        <v>10159</v>
      </c>
      <c r="O1624" s="8" t="s">
        <v>10824</v>
      </c>
      <c r="P1624" s="8" t="str">
        <f t="shared" si="95"/>
        <v>PDFを開く</v>
      </c>
      <c r="Q1624" s="8" t="s">
        <v>2563</v>
      </c>
    </row>
    <row r="1625" spans="1:17" ht="62.1" customHeight="1">
      <c r="A1625" s="5" t="s">
        <v>2555</v>
      </c>
      <c r="B1625" s="5" t="s">
        <v>2430</v>
      </c>
      <c r="C1625" s="9" t="s">
        <v>2556</v>
      </c>
      <c r="D1625" s="5">
        <v>2</v>
      </c>
      <c r="E1625" s="9" t="s">
        <v>10165</v>
      </c>
      <c r="F1625" s="5">
        <v>3</v>
      </c>
      <c r="G1625" s="9" t="s">
        <v>10167</v>
      </c>
      <c r="H1625" s="9" t="s">
        <v>10825</v>
      </c>
      <c r="I1625" s="5">
        <v>58.12</v>
      </c>
      <c r="J1625" s="5">
        <v>410.85</v>
      </c>
      <c r="K1625" s="5">
        <v>398.93</v>
      </c>
      <c r="L1625" s="5">
        <v>446.85</v>
      </c>
      <c r="M1625" s="9"/>
      <c r="N1625" s="9" t="s">
        <v>10159</v>
      </c>
      <c r="O1625" s="9" t="s">
        <v>10826</v>
      </c>
      <c r="P1625" s="9" t="str">
        <f t="shared" si="95"/>
        <v>PDFを開く</v>
      </c>
      <c r="Q1625" s="9" t="s">
        <v>2563</v>
      </c>
    </row>
    <row r="1626" spans="1:17" ht="62.1" customHeight="1">
      <c r="A1626" s="2" t="s">
        <v>2555</v>
      </c>
      <c r="B1626" s="2" t="s">
        <v>2430</v>
      </c>
      <c r="C1626" s="8" t="s">
        <v>2556</v>
      </c>
      <c r="D1626" s="2">
        <v>2</v>
      </c>
      <c r="E1626" s="8" t="s">
        <v>10165</v>
      </c>
      <c r="F1626" s="2">
        <v>4</v>
      </c>
      <c r="G1626" s="8" t="s">
        <v>10167</v>
      </c>
      <c r="H1626" s="8" t="s">
        <v>10827</v>
      </c>
      <c r="I1626" s="2">
        <v>58.12</v>
      </c>
      <c r="J1626" s="2">
        <v>446.25</v>
      </c>
      <c r="K1626" s="2">
        <v>464.34</v>
      </c>
      <c r="L1626" s="2">
        <v>518.85</v>
      </c>
      <c r="M1626" s="8"/>
      <c r="N1626" s="8" t="s">
        <v>10159</v>
      </c>
      <c r="O1626" s="8" t="s">
        <v>10828</v>
      </c>
      <c r="P1626" s="8" t="str">
        <f t="shared" si="95"/>
        <v>PDFを開く</v>
      </c>
      <c r="Q1626" s="8" t="s">
        <v>2563</v>
      </c>
    </row>
    <row r="1627" spans="1:17" ht="62.1" customHeight="1">
      <c r="A1627" s="5" t="s">
        <v>2564</v>
      </c>
      <c r="B1627" s="5" t="s">
        <v>2430</v>
      </c>
      <c r="C1627" s="9" t="s">
        <v>2565</v>
      </c>
      <c r="D1627" s="5">
        <v>1</v>
      </c>
      <c r="E1627" s="9" t="s">
        <v>10156</v>
      </c>
      <c r="F1627" s="5">
        <v>1</v>
      </c>
      <c r="G1627" s="9" t="s">
        <v>10167</v>
      </c>
      <c r="H1627" s="9" t="s">
        <v>10212</v>
      </c>
      <c r="I1627" s="5">
        <v>4.46</v>
      </c>
      <c r="J1627" s="5">
        <v>99.38</v>
      </c>
      <c r="K1627" s="5">
        <v>395.76</v>
      </c>
      <c r="L1627" s="5">
        <v>440.61</v>
      </c>
      <c r="M1627" s="9"/>
      <c r="N1627" s="9" t="s">
        <v>10159</v>
      </c>
      <c r="O1627" s="9" t="s">
        <v>10829</v>
      </c>
      <c r="P1627" s="9" t="str">
        <f>HYPERLINK("https://seichotoushi-hojo.jp/assets/pdf/koufu_3_4ji/outline_136.pdf","PDFを開く")</f>
        <v>PDFを開く</v>
      </c>
      <c r="Q1627" s="9" t="s">
        <v>2571</v>
      </c>
    </row>
    <row r="1628" spans="1:17" ht="62.1" customHeight="1">
      <c r="A1628" s="2" t="s">
        <v>2564</v>
      </c>
      <c r="B1628" s="2" t="s">
        <v>2430</v>
      </c>
      <c r="C1628" s="8" t="s">
        <v>2565</v>
      </c>
      <c r="D1628" s="2">
        <v>1</v>
      </c>
      <c r="E1628" s="8" t="s">
        <v>10156</v>
      </c>
      <c r="F1628" s="2">
        <v>2</v>
      </c>
      <c r="G1628" s="8" t="s">
        <v>10167</v>
      </c>
      <c r="H1628" s="8" t="s">
        <v>10433</v>
      </c>
      <c r="I1628" s="2">
        <v>395.9</v>
      </c>
      <c r="J1628" s="2">
        <v>99.47</v>
      </c>
      <c r="K1628" s="2">
        <v>775.53</v>
      </c>
      <c r="L1628" s="2">
        <v>312.5</v>
      </c>
      <c r="M1628" s="8"/>
      <c r="N1628" s="8" t="s">
        <v>10159</v>
      </c>
      <c r="O1628" s="8" t="s">
        <v>10830</v>
      </c>
      <c r="P1628" s="8" t="str">
        <f>HYPERLINK("https://seichotoushi-hojo.jp/assets/pdf/koufu_3_4ji/outline_136.pdf","PDFを開く")</f>
        <v>PDFを開く</v>
      </c>
      <c r="Q1628" s="8" t="s">
        <v>2571</v>
      </c>
    </row>
    <row r="1629" spans="1:17" ht="62.1" customHeight="1">
      <c r="A1629" s="5" t="s">
        <v>2564</v>
      </c>
      <c r="B1629" s="5" t="s">
        <v>2430</v>
      </c>
      <c r="C1629" s="9" t="s">
        <v>2565</v>
      </c>
      <c r="D1629" s="5">
        <v>1</v>
      </c>
      <c r="E1629" s="9" t="s">
        <v>10156</v>
      </c>
      <c r="F1629" s="5">
        <v>3</v>
      </c>
      <c r="G1629" s="9" t="s">
        <v>10167</v>
      </c>
      <c r="H1629" s="9" t="s">
        <v>10435</v>
      </c>
      <c r="I1629" s="5">
        <v>394.44</v>
      </c>
      <c r="J1629" s="5">
        <v>299.70999999999998</v>
      </c>
      <c r="K1629" s="5">
        <v>775.54</v>
      </c>
      <c r="L1629" s="5">
        <v>534.92999999999995</v>
      </c>
      <c r="M1629" s="9"/>
      <c r="N1629" s="9" t="s">
        <v>10159</v>
      </c>
      <c r="O1629" s="9" t="s">
        <v>10831</v>
      </c>
      <c r="P1629" s="9" t="str">
        <f>HYPERLINK("https://seichotoushi-hojo.jp/assets/pdf/koufu_3_4ji/outline_136.pdf","PDFを開く")</f>
        <v>PDFを開く</v>
      </c>
      <c r="Q1629" s="9" t="s">
        <v>2571</v>
      </c>
    </row>
    <row r="1630" spans="1:17" ht="62.1" customHeight="1">
      <c r="A1630" s="2" t="s">
        <v>2564</v>
      </c>
      <c r="B1630" s="2" t="s">
        <v>2430</v>
      </c>
      <c r="C1630" s="8" t="s">
        <v>2565</v>
      </c>
      <c r="D1630" s="2">
        <v>1</v>
      </c>
      <c r="E1630" s="8" t="s">
        <v>10156</v>
      </c>
      <c r="F1630" s="2">
        <v>4</v>
      </c>
      <c r="G1630" s="8" t="s">
        <v>10167</v>
      </c>
      <c r="H1630" s="8" t="s">
        <v>10437</v>
      </c>
      <c r="I1630" s="2">
        <v>4.1100000000000003</v>
      </c>
      <c r="J1630" s="2">
        <v>440.61</v>
      </c>
      <c r="K1630" s="2">
        <v>393.81</v>
      </c>
      <c r="L1630" s="2">
        <v>534.92999999999995</v>
      </c>
      <c r="M1630" s="8"/>
      <c r="N1630" s="8" t="s">
        <v>10159</v>
      </c>
      <c r="O1630" s="8" t="s">
        <v>10832</v>
      </c>
      <c r="P1630" s="8" t="str">
        <f>HYPERLINK("https://seichotoushi-hojo.jp/assets/pdf/koufu_3_4ji/outline_136.pdf","PDFを開く")</f>
        <v>PDFを開く</v>
      </c>
      <c r="Q1630" s="8" t="s">
        <v>2571</v>
      </c>
    </row>
    <row r="1631" spans="1:17" ht="62.1" customHeight="1">
      <c r="A1631" s="5" t="s">
        <v>2572</v>
      </c>
      <c r="B1631" s="5" t="s">
        <v>2430</v>
      </c>
      <c r="C1631" s="9" t="s">
        <v>2573</v>
      </c>
      <c r="D1631" s="5">
        <v>1</v>
      </c>
      <c r="E1631" s="9" t="s">
        <v>10156</v>
      </c>
      <c r="F1631" s="5">
        <v>1</v>
      </c>
      <c r="G1631" s="9" t="s">
        <v>9578</v>
      </c>
      <c r="H1631" s="9" t="s">
        <v>9578</v>
      </c>
      <c r="I1631" s="5">
        <v>18.36</v>
      </c>
      <c r="J1631" s="5">
        <v>113.16</v>
      </c>
      <c r="K1631" s="5">
        <v>399.48</v>
      </c>
      <c r="L1631" s="5">
        <v>580.44000000000005</v>
      </c>
      <c r="M1631" s="9"/>
      <c r="N1631" s="9" t="s">
        <v>10159</v>
      </c>
      <c r="O1631" s="9" t="s">
        <v>9604</v>
      </c>
      <c r="P1631" s="9" t="str">
        <f>HYPERLINK("https://seichotoushi-hojo.jp/assets/pdf/koufu_3_4ji/outline_137.pdf","PDFを開く")</f>
        <v>PDFを開く</v>
      </c>
      <c r="Q1631" s="9" t="s">
        <v>2579</v>
      </c>
    </row>
    <row r="1632" spans="1:17" ht="62.1" customHeight="1">
      <c r="A1632" s="2" t="s">
        <v>2572</v>
      </c>
      <c r="B1632" s="2" t="s">
        <v>2430</v>
      </c>
      <c r="C1632" s="8" t="s">
        <v>2573</v>
      </c>
      <c r="D1632" s="2">
        <v>1</v>
      </c>
      <c r="E1632" s="8" t="s">
        <v>10156</v>
      </c>
      <c r="F1632" s="2">
        <v>2</v>
      </c>
      <c r="G1632" s="8" t="s">
        <v>10162</v>
      </c>
      <c r="H1632" s="8" t="s">
        <v>10162</v>
      </c>
      <c r="I1632" s="2">
        <v>427.8</v>
      </c>
      <c r="J1632" s="2">
        <v>113.16</v>
      </c>
      <c r="K1632" s="2">
        <v>834.84</v>
      </c>
      <c r="L1632" s="2">
        <v>280.44</v>
      </c>
      <c r="M1632" s="8"/>
      <c r="N1632" s="8" t="s">
        <v>10159</v>
      </c>
      <c r="O1632" s="8" t="s">
        <v>9605</v>
      </c>
      <c r="P1632" s="8" t="str">
        <f>HYPERLINK("https://seichotoushi-hojo.jp/assets/pdf/koufu_3_4ji/outline_137.pdf","PDFを開く")</f>
        <v>PDFを開く</v>
      </c>
      <c r="Q1632" s="8" t="s">
        <v>2579</v>
      </c>
    </row>
    <row r="1633" spans="1:17" ht="62.1" customHeight="1">
      <c r="A1633" s="5" t="s">
        <v>2572</v>
      </c>
      <c r="B1633" s="5" t="s">
        <v>2430</v>
      </c>
      <c r="C1633" s="9" t="s">
        <v>2573</v>
      </c>
      <c r="D1633" s="5">
        <v>1</v>
      </c>
      <c r="E1633" s="9" t="s">
        <v>10156</v>
      </c>
      <c r="F1633" s="5">
        <v>3</v>
      </c>
      <c r="G1633" s="9" t="s">
        <v>10163</v>
      </c>
      <c r="H1633" s="9" t="s">
        <v>10163</v>
      </c>
      <c r="I1633" s="5">
        <v>427.8</v>
      </c>
      <c r="J1633" s="5">
        <v>284.39999999999998</v>
      </c>
      <c r="K1633" s="5">
        <v>834.84</v>
      </c>
      <c r="L1633" s="5">
        <v>482.16</v>
      </c>
      <c r="M1633" s="9"/>
      <c r="N1633" s="9" t="s">
        <v>10159</v>
      </c>
      <c r="O1633" s="9" t="s">
        <v>9606</v>
      </c>
      <c r="P1633" s="9" t="str">
        <f>HYPERLINK("https://seichotoushi-hojo.jp/assets/pdf/koufu_3_4ji/outline_137.pdf","PDFを開く")</f>
        <v>PDFを開く</v>
      </c>
      <c r="Q1633" s="9" t="s">
        <v>2579</v>
      </c>
    </row>
    <row r="1634" spans="1:17" ht="62.1" customHeight="1">
      <c r="A1634" s="2" t="s">
        <v>2572</v>
      </c>
      <c r="B1634" s="2" t="s">
        <v>2430</v>
      </c>
      <c r="C1634" s="8" t="s">
        <v>2573</v>
      </c>
      <c r="D1634" s="2">
        <v>1</v>
      </c>
      <c r="E1634" s="8" t="s">
        <v>10156</v>
      </c>
      <c r="F1634" s="2">
        <v>4</v>
      </c>
      <c r="G1634" s="8" t="s">
        <v>8581</v>
      </c>
      <c r="H1634" s="8" t="s">
        <v>8581</v>
      </c>
      <c r="I1634" s="2">
        <v>30.48</v>
      </c>
      <c r="J1634" s="2">
        <v>413.16</v>
      </c>
      <c r="K1634" s="2">
        <v>387.24</v>
      </c>
      <c r="L1634" s="2">
        <v>580.44000000000005</v>
      </c>
      <c r="M1634" s="8"/>
      <c r="N1634" s="8" t="s">
        <v>10159</v>
      </c>
      <c r="O1634" s="8" t="s">
        <v>9607</v>
      </c>
      <c r="P1634" s="8" t="str">
        <f>HYPERLINK("https://seichotoushi-hojo.jp/assets/pdf/koufu_3_4ji/outline_137.pdf","PDFを開く")</f>
        <v>PDFを開く</v>
      </c>
      <c r="Q1634" s="8" t="s">
        <v>2579</v>
      </c>
    </row>
    <row r="1635" spans="1:17" ht="62.1" customHeight="1">
      <c r="A1635" s="5" t="s">
        <v>2572</v>
      </c>
      <c r="B1635" s="5" t="s">
        <v>2430</v>
      </c>
      <c r="C1635" s="9" t="s">
        <v>2573</v>
      </c>
      <c r="D1635" s="5">
        <v>2</v>
      </c>
      <c r="E1635" s="9" t="s">
        <v>10165</v>
      </c>
      <c r="F1635" s="5">
        <v>1</v>
      </c>
      <c r="G1635" s="9" t="s">
        <v>10167</v>
      </c>
      <c r="H1635" s="9" t="s">
        <v>4518</v>
      </c>
      <c r="I1635" s="5">
        <v>136.91999999999999</v>
      </c>
      <c r="J1635" s="5">
        <v>436.68</v>
      </c>
      <c r="K1635" s="5">
        <v>566.76</v>
      </c>
      <c r="L1635" s="5">
        <v>468.6</v>
      </c>
      <c r="M1635" s="9"/>
      <c r="N1635" s="9" t="s">
        <v>10159</v>
      </c>
      <c r="O1635" s="9" t="s">
        <v>10752</v>
      </c>
      <c r="P1635" s="9" t="str">
        <f>HYPERLINK("https://seichotoushi-hojo.jp/assets/pdf/koufu_3_4ji/outline_137.pdf","PDFを開く")</f>
        <v>PDFを開く</v>
      </c>
      <c r="Q1635" s="9" t="s">
        <v>2579</v>
      </c>
    </row>
    <row r="1636" spans="1:17" ht="62.1" customHeight="1">
      <c r="A1636" s="2" t="s">
        <v>2580</v>
      </c>
      <c r="B1636" s="2" t="s">
        <v>2430</v>
      </c>
      <c r="C1636" s="8" t="s">
        <v>2581</v>
      </c>
      <c r="D1636" s="2">
        <v>1</v>
      </c>
      <c r="E1636" s="8" t="s">
        <v>10156</v>
      </c>
      <c r="F1636" s="2">
        <v>1</v>
      </c>
      <c r="G1636" s="8" t="s">
        <v>9578</v>
      </c>
      <c r="H1636" s="8" t="s">
        <v>9578</v>
      </c>
      <c r="I1636" s="2">
        <v>18</v>
      </c>
      <c r="J1636" s="2">
        <v>101.76</v>
      </c>
      <c r="K1636" s="2">
        <v>370.32</v>
      </c>
      <c r="L1636" s="2">
        <v>519.72</v>
      </c>
      <c r="M1636" s="8"/>
      <c r="N1636" s="8" t="s">
        <v>10159</v>
      </c>
      <c r="O1636" s="8" t="s">
        <v>9612</v>
      </c>
      <c r="P1636" s="8" t="str">
        <f t="shared" ref="P1636:P1641" si="96">HYPERLINK("https://seichotoushi-hojo.jp/assets/pdf/koufu_3_4ji/outline_138.pdf","PDFを開く")</f>
        <v>PDFを開く</v>
      </c>
      <c r="Q1636" s="8" t="s">
        <v>2586</v>
      </c>
    </row>
    <row r="1637" spans="1:17" ht="62.1" customHeight="1">
      <c r="A1637" s="5" t="s">
        <v>2580</v>
      </c>
      <c r="B1637" s="5" t="s">
        <v>2430</v>
      </c>
      <c r="C1637" s="9" t="s">
        <v>2581</v>
      </c>
      <c r="D1637" s="5">
        <v>1</v>
      </c>
      <c r="E1637" s="9" t="s">
        <v>10156</v>
      </c>
      <c r="F1637" s="5">
        <v>2</v>
      </c>
      <c r="G1637" s="9" t="s">
        <v>10162</v>
      </c>
      <c r="H1637" s="9" t="s">
        <v>10162</v>
      </c>
      <c r="I1637" s="5">
        <v>396.36</v>
      </c>
      <c r="J1637" s="5">
        <v>104.16</v>
      </c>
      <c r="K1637" s="5">
        <v>762</v>
      </c>
      <c r="L1637" s="5">
        <v>244.32</v>
      </c>
      <c r="M1637" s="9"/>
      <c r="N1637" s="9" t="s">
        <v>10159</v>
      </c>
      <c r="O1637" s="9" t="s">
        <v>10833</v>
      </c>
      <c r="P1637" s="9" t="str">
        <f t="shared" si="96"/>
        <v>PDFを開く</v>
      </c>
      <c r="Q1637" s="9" t="s">
        <v>2586</v>
      </c>
    </row>
    <row r="1638" spans="1:17" ht="62.1" customHeight="1">
      <c r="A1638" s="2" t="s">
        <v>2580</v>
      </c>
      <c r="B1638" s="2" t="s">
        <v>2430</v>
      </c>
      <c r="C1638" s="8" t="s">
        <v>2581</v>
      </c>
      <c r="D1638" s="2">
        <v>1</v>
      </c>
      <c r="E1638" s="8" t="s">
        <v>10156</v>
      </c>
      <c r="F1638" s="2">
        <v>3</v>
      </c>
      <c r="G1638" s="8" t="s">
        <v>10163</v>
      </c>
      <c r="H1638" s="8" t="s">
        <v>10163</v>
      </c>
      <c r="I1638" s="2">
        <v>396.36</v>
      </c>
      <c r="J1638" s="2">
        <v>249.96</v>
      </c>
      <c r="K1638" s="2">
        <v>762</v>
      </c>
      <c r="L1638" s="2">
        <v>519.72</v>
      </c>
      <c r="M1638" s="8"/>
      <c r="N1638" s="8" t="s">
        <v>10159</v>
      </c>
      <c r="O1638" s="8" t="s">
        <v>10834</v>
      </c>
      <c r="P1638" s="8" t="str">
        <f t="shared" si="96"/>
        <v>PDFを開く</v>
      </c>
      <c r="Q1638" s="8" t="s">
        <v>2586</v>
      </c>
    </row>
    <row r="1639" spans="1:17" ht="62.1" customHeight="1">
      <c r="A1639" s="5" t="s">
        <v>2580</v>
      </c>
      <c r="B1639" s="5" t="s">
        <v>2430</v>
      </c>
      <c r="C1639" s="9" t="s">
        <v>2581</v>
      </c>
      <c r="D1639" s="5">
        <v>1</v>
      </c>
      <c r="E1639" s="9" t="s">
        <v>10156</v>
      </c>
      <c r="F1639" s="5">
        <v>4</v>
      </c>
      <c r="G1639" s="9" t="s">
        <v>8581</v>
      </c>
      <c r="H1639" s="9" t="s">
        <v>8581</v>
      </c>
      <c r="I1639" s="5">
        <v>21.12</v>
      </c>
      <c r="J1639" s="5">
        <v>462</v>
      </c>
      <c r="K1639" s="5">
        <v>364.2</v>
      </c>
      <c r="L1639" s="5">
        <v>518.04</v>
      </c>
      <c r="M1639" s="9"/>
      <c r="N1639" s="9" t="s">
        <v>10159</v>
      </c>
      <c r="O1639" s="9" t="s">
        <v>2584</v>
      </c>
      <c r="P1639" s="9" t="str">
        <f t="shared" si="96"/>
        <v>PDFを開く</v>
      </c>
      <c r="Q1639" s="9" t="s">
        <v>2586</v>
      </c>
    </row>
    <row r="1640" spans="1:17" ht="62.1" customHeight="1">
      <c r="A1640" s="2" t="s">
        <v>2580</v>
      </c>
      <c r="B1640" s="2" t="s">
        <v>2430</v>
      </c>
      <c r="C1640" s="8" t="s">
        <v>2581</v>
      </c>
      <c r="D1640" s="2">
        <v>2</v>
      </c>
      <c r="E1640" s="8" t="s">
        <v>10156</v>
      </c>
      <c r="F1640" s="2">
        <v>1</v>
      </c>
      <c r="G1640" s="8" t="s">
        <v>10162</v>
      </c>
      <c r="H1640" s="8" t="s">
        <v>10162</v>
      </c>
      <c r="I1640" s="2">
        <v>432.24</v>
      </c>
      <c r="J1640" s="2">
        <v>114.84</v>
      </c>
      <c r="K1640" s="2">
        <v>739.8</v>
      </c>
      <c r="L1640" s="2">
        <v>225.6</v>
      </c>
      <c r="M1640" s="8"/>
      <c r="N1640" s="8" t="s">
        <v>10159</v>
      </c>
      <c r="O1640" s="8" t="s">
        <v>10835</v>
      </c>
      <c r="P1640" s="8" t="str">
        <f t="shared" si="96"/>
        <v>PDFを開く</v>
      </c>
      <c r="Q1640" s="8" t="s">
        <v>2586</v>
      </c>
    </row>
    <row r="1641" spans="1:17" ht="62.1" customHeight="1">
      <c r="A1641" s="5" t="s">
        <v>2580</v>
      </c>
      <c r="B1641" s="5" t="s">
        <v>2430</v>
      </c>
      <c r="C1641" s="9" t="s">
        <v>2581</v>
      </c>
      <c r="D1641" s="5">
        <v>2</v>
      </c>
      <c r="E1641" s="9" t="s">
        <v>10156</v>
      </c>
      <c r="F1641" s="5">
        <v>2</v>
      </c>
      <c r="G1641" s="9" t="s">
        <v>10163</v>
      </c>
      <c r="H1641" s="9" t="s">
        <v>10163</v>
      </c>
      <c r="I1641" s="5">
        <v>77.16</v>
      </c>
      <c r="J1641" s="5">
        <v>243</v>
      </c>
      <c r="K1641" s="5">
        <v>740.52</v>
      </c>
      <c r="L1641" s="5">
        <v>520.44000000000005</v>
      </c>
      <c r="M1641" s="9"/>
      <c r="N1641" s="9" t="s">
        <v>10159</v>
      </c>
      <c r="O1641" s="9" t="s">
        <v>10836</v>
      </c>
      <c r="P1641" s="9" t="str">
        <f t="shared" si="96"/>
        <v>PDFを開く</v>
      </c>
      <c r="Q1641" s="9" t="s">
        <v>2586</v>
      </c>
    </row>
    <row r="1642" spans="1:17" ht="62.1" customHeight="1">
      <c r="A1642" s="2" t="s">
        <v>2587</v>
      </c>
      <c r="B1642" s="2" t="s">
        <v>2430</v>
      </c>
      <c r="C1642" s="8" t="s">
        <v>2588</v>
      </c>
      <c r="D1642" s="2">
        <v>1</v>
      </c>
      <c r="E1642" s="8" t="s">
        <v>10156</v>
      </c>
      <c r="F1642" s="2">
        <v>1</v>
      </c>
      <c r="G1642" s="8" t="s">
        <v>9578</v>
      </c>
      <c r="H1642" s="8" t="s">
        <v>9578</v>
      </c>
      <c r="I1642" s="2">
        <v>13.56</v>
      </c>
      <c r="J1642" s="2">
        <v>104.04</v>
      </c>
      <c r="K1642" s="2">
        <v>760.68</v>
      </c>
      <c r="L1642" s="2">
        <v>391.32</v>
      </c>
      <c r="M1642" s="8"/>
      <c r="N1642" s="8" t="s">
        <v>10159</v>
      </c>
      <c r="O1642" s="8" t="s">
        <v>9619</v>
      </c>
      <c r="P1642" s="8" t="str">
        <f>HYPERLINK("https://seichotoushi-hojo.jp/assets/pdf/koufu_3_4ji/outline_139.pdf","PDFを開く")</f>
        <v>PDFを開く</v>
      </c>
      <c r="Q1642" s="8" t="s">
        <v>2594</v>
      </c>
    </row>
    <row r="1643" spans="1:17" ht="62.1" customHeight="1">
      <c r="A1643" s="5" t="s">
        <v>2587</v>
      </c>
      <c r="B1643" s="5" t="s">
        <v>2430</v>
      </c>
      <c r="C1643" s="9" t="s">
        <v>2588</v>
      </c>
      <c r="D1643" s="5">
        <v>1</v>
      </c>
      <c r="E1643" s="9" t="s">
        <v>10156</v>
      </c>
      <c r="F1643" s="5">
        <v>2</v>
      </c>
      <c r="G1643" s="9" t="s">
        <v>8581</v>
      </c>
      <c r="H1643" s="9" t="s">
        <v>8581</v>
      </c>
      <c r="I1643" s="5">
        <v>14.76</v>
      </c>
      <c r="J1643" s="5">
        <v>342.95</v>
      </c>
      <c r="K1643" s="5">
        <v>401.7</v>
      </c>
      <c r="L1643" s="5">
        <v>410.25</v>
      </c>
      <c r="M1643" s="9"/>
      <c r="N1643" s="9" t="s">
        <v>10181</v>
      </c>
      <c r="O1643" s="9" t="s">
        <v>9622</v>
      </c>
      <c r="P1643" s="9" t="str">
        <f>HYPERLINK("https://seichotoushi-hojo.jp/assets/pdf/koufu_3_4ji/outline_139.pdf","PDFを開く")</f>
        <v>PDFを開く</v>
      </c>
      <c r="Q1643" s="9" t="s">
        <v>2594</v>
      </c>
    </row>
    <row r="1644" spans="1:17" ht="62.1" customHeight="1">
      <c r="A1644" s="2" t="s">
        <v>2587</v>
      </c>
      <c r="B1644" s="2" t="s">
        <v>2430</v>
      </c>
      <c r="C1644" s="8" t="s">
        <v>2588</v>
      </c>
      <c r="D1644" s="2">
        <v>1</v>
      </c>
      <c r="E1644" s="8" t="s">
        <v>10156</v>
      </c>
      <c r="F1644" s="2">
        <v>3</v>
      </c>
      <c r="G1644" s="8" t="s">
        <v>10162</v>
      </c>
      <c r="H1644" s="8" t="s">
        <v>10162</v>
      </c>
      <c r="I1644" s="2">
        <v>154.19999999999999</v>
      </c>
      <c r="J1644" s="2">
        <v>409.25</v>
      </c>
      <c r="K1644" s="2">
        <v>401.7</v>
      </c>
      <c r="L1644" s="2">
        <v>525.20000000000005</v>
      </c>
      <c r="M1644" s="8"/>
      <c r="N1644" s="8" t="s">
        <v>10181</v>
      </c>
      <c r="O1644" s="8" t="s">
        <v>9620</v>
      </c>
      <c r="P1644" s="8" t="str">
        <f>HYPERLINK("https://seichotoushi-hojo.jp/assets/pdf/koufu_3_4ji/outline_139.pdf","PDFを開く")</f>
        <v>PDFを開く</v>
      </c>
      <c r="Q1644" s="8" t="s">
        <v>2594</v>
      </c>
    </row>
    <row r="1645" spans="1:17" ht="62.1" customHeight="1">
      <c r="A1645" s="5" t="s">
        <v>2587</v>
      </c>
      <c r="B1645" s="5" t="s">
        <v>2430</v>
      </c>
      <c r="C1645" s="9" t="s">
        <v>2588</v>
      </c>
      <c r="D1645" s="5">
        <v>1</v>
      </c>
      <c r="E1645" s="9" t="s">
        <v>10156</v>
      </c>
      <c r="F1645" s="5">
        <v>4</v>
      </c>
      <c r="G1645" s="9" t="s">
        <v>10163</v>
      </c>
      <c r="H1645" s="9" t="s">
        <v>10163</v>
      </c>
      <c r="I1645" s="5">
        <v>520.97</v>
      </c>
      <c r="J1645" s="5">
        <v>409.25</v>
      </c>
      <c r="K1645" s="5">
        <v>768.3</v>
      </c>
      <c r="L1645" s="5">
        <v>525.20000000000005</v>
      </c>
      <c r="M1645" s="9"/>
      <c r="N1645" s="9" t="s">
        <v>10181</v>
      </c>
      <c r="O1645" s="9" t="s">
        <v>9621</v>
      </c>
      <c r="P1645" s="9" t="str">
        <f>HYPERLINK("https://seichotoushi-hojo.jp/assets/pdf/koufu_3_4ji/outline_139.pdf","PDFを開く")</f>
        <v>PDFを開く</v>
      </c>
      <c r="Q1645" s="9" t="s">
        <v>2594</v>
      </c>
    </row>
    <row r="1646" spans="1:17" ht="62.1" customHeight="1">
      <c r="A1646" s="2" t="s">
        <v>2595</v>
      </c>
      <c r="B1646" s="2" t="s">
        <v>2430</v>
      </c>
      <c r="C1646" s="8" t="s">
        <v>2596</v>
      </c>
      <c r="D1646" s="2">
        <v>1</v>
      </c>
      <c r="E1646" s="8" t="s">
        <v>10156</v>
      </c>
      <c r="F1646" s="2">
        <v>1</v>
      </c>
      <c r="G1646" s="8" t="s">
        <v>9578</v>
      </c>
      <c r="H1646" s="8" t="s">
        <v>9578</v>
      </c>
      <c r="I1646" s="2">
        <v>38.5</v>
      </c>
      <c r="J1646" s="2">
        <v>91.08</v>
      </c>
      <c r="K1646" s="2">
        <v>377.63</v>
      </c>
      <c r="L1646" s="2">
        <v>516.6</v>
      </c>
      <c r="M1646" s="8"/>
      <c r="N1646" s="8" t="s">
        <v>10159</v>
      </c>
      <c r="O1646" s="8" t="s">
        <v>9627</v>
      </c>
      <c r="P1646" s="8" t="str">
        <f t="shared" ref="P1646:P1651" si="97">HYPERLINK("https://seichotoushi-hojo.jp/assets/pdf/koufu_3_4ji/outline_141.pdf","PDFを開く")</f>
        <v>PDFを開く</v>
      </c>
      <c r="Q1646" s="8" t="s">
        <v>2604</v>
      </c>
    </row>
    <row r="1647" spans="1:17" ht="62.1" customHeight="1">
      <c r="A1647" s="5" t="s">
        <v>2595</v>
      </c>
      <c r="B1647" s="5" t="s">
        <v>2430</v>
      </c>
      <c r="C1647" s="9" t="s">
        <v>2596</v>
      </c>
      <c r="D1647" s="5">
        <v>1</v>
      </c>
      <c r="E1647" s="9" t="s">
        <v>10156</v>
      </c>
      <c r="F1647" s="5">
        <v>2</v>
      </c>
      <c r="G1647" s="9" t="s">
        <v>10162</v>
      </c>
      <c r="H1647" s="9" t="s">
        <v>10162</v>
      </c>
      <c r="I1647" s="5">
        <v>397.47</v>
      </c>
      <c r="J1647" s="5">
        <v>97.2</v>
      </c>
      <c r="K1647" s="5">
        <v>740.46</v>
      </c>
      <c r="L1647" s="5">
        <v>340.98</v>
      </c>
      <c r="M1647" s="9"/>
      <c r="N1647" s="9" t="s">
        <v>10159</v>
      </c>
      <c r="O1647" s="9" t="s">
        <v>9628</v>
      </c>
      <c r="P1647" s="9" t="str">
        <f t="shared" si="97"/>
        <v>PDFを開く</v>
      </c>
      <c r="Q1647" s="9" t="s">
        <v>2604</v>
      </c>
    </row>
    <row r="1648" spans="1:17" ht="62.1" customHeight="1">
      <c r="A1648" s="2" t="s">
        <v>2595</v>
      </c>
      <c r="B1648" s="2" t="s">
        <v>2430</v>
      </c>
      <c r="C1648" s="8" t="s">
        <v>2596</v>
      </c>
      <c r="D1648" s="2">
        <v>1</v>
      </c>
      <c r="E1648" s="8" t="s">
        <v>10156</v>
      </c>
      <c r="F1648" s="2">
        <v>3</v>
      </c>
      <c r="G1648" s="8" t="s">
        <v>10163</v>
      </c>
      <c r="H1648" s="8" t="s">
        <v>10163</v>
      </c>
      <c r="I1648" s="2">
        <v>397.47</v>
      </c>
      <c r="J1648" s="2">
        <v>346.51</v>
      </c>
      <c r="K1648" s="2">
        <v>740.46</v>
      </c>
      <c r="L1648" s="2">
        <v>516.6</v>
      </c>
      <c r="M1648" s="8"/>
      <c r="N1648" s="8" t="s">
        <v>10159</v>
      </c>
      <c r="O1648" s="8" t="s">
        <v>9629</v>
      </c>
      <c r="P1648" s="8" t="str">
        <f t="shared" si="97"/>
        <v>PDFを開く</v>
      </c>
      <c r="Q1648" s="8" t="s">
        <v>2604</v>
      </c>
    </row>
    <row r="1649" spans="1:17" ht="62.1" customHeight="1">
      <c r="A1649" s="5" t="s">
        <v>2595</v>
      </c>
      <c r="B1649" s="5" t="s">
        <v>2430</v>
      </c>
      <c r="C1649" s="9" t="s">
        <v>2596</v>
      </c>
      <c r="D1649" s="5">
        <v>1</v>
      </c>
      <c r="E1649" s="9" t="s">
        <v>10156</v>
      </c>
      <c r="F1649" s="5">
        <v>4</v>
      </c>
      <c r="G1649" s="9" t="s">
        <v>8581</v>
      </c>
      <c r="H1649" s="9" t="s">
        <v>8581</v>
      </c>
      <c r="I1649" s="5">
        <v>47.82</v>
      </c>
      <c r="J1649" s="5">
        <v>355.05</v>
      </c>
      <c r="K1649" s="5">
        <v>367.32</v>
      </c>
      <c r="L1649" s="5">
        <v>513.80999999999995</v>
      </c>
      <c r="M1649" s="9"/>
      <c r="N1649" s="9" t="s">
        <v>10159</v>
      </c>
      <c r="O1649" s="9" t="s">
        <v>2601</v>
      </c>
      <c r="P1649" s="9" t="str">
        <f t="shared" si="97"/>
        <v>PDFを開く</v>
      </c>
      <c r="Q1649" s="9" t="s">
        <v>2604</v>
      </c>
    </row>
    <row r="1650" spans="1:17" ht="62.1" customHeight="1">
      <c r="A1650" s="2" t="s">
        <v>2595</v>
      </c>
      <c r="B1650" s="2" t="s">
        <v>2430</v>
      </c>
      <c r="C1650" s="8" t="s">
        <v>2596</v>
      </c>
      <c r="D1650" s="2">
        <v>2</v>
      </c>
      <c r="E1650" s="8" t="s">
        <v>10165</v>
      </c>
      <c r="F1650" s="2">
        <v>1</v>
      </c>
      <c r="G1650" s="8" t="s">
        <v>10184</v>
      </c>
      <c r="H1650" s="8" t="s">
        <v>10184</v>
      </c>
      <c r="I1650" s="2">
        <v>87.29</v>
      </c>
      <c r="J1650" s="2">
        <v>164.53</v>
      </c>
      <c r="K1650" s="2">
        <v>401.7</v>
      </c>
      <c r="L1650" s="2">
        <v>359.93</v>
      </c>
      <c r="M1650" s="8"/>
      <c r="N1650" s="8" t="s">
        <v>10181</v>
      </c>
      <c r="O1650" s="8" t="s">
        <v>10837</v>
      </c>
      <c r="P1650" s="8" t="str">
        <f t="shared" si="97"/>
        <v>PDFを開く</v>
      </c>
      <c r="Q1650" s="8" t="s">
        <v>2604</v>
      </c>
    </row>
    <row r="1651" spans="1:17" ht="62.1" customHeight="1">
      <c r="A1651" s="5" t="s">
        <v>2595</v>
      </c>
      <c r="B1651" s="5" t="s">
        <v>2430</v>
      </c>
      <c r="C1651" s="9" t="s">
        <v>2596</v>
      </c>
      <c r="D1651" s="5">
        <v>3</v>
      </c>
      <c r="E1651" s="9" t="s">
        <v>10165</v>
      </c>
      <c r="F1651" s="5">
        <v>1</v>
      </c>
      <c r="G1651" s="9" t="s">
        <v>10184</v>
      </c>
      <c r="H1651" s="9" t="s">
        <v>10184</v>
      </c>
      <c r="I1651" s="5">
        <v>87.29</v>
      </c>
      <c r="J1651" s="5">
        <v>164.53</v>
      </c>
      <c r="K1651" s="5">
        <v>401.7</v>
      </c>
      <c r="L1651" s="5">
        <v>359.93</v>
      </c>
      <c r="M1651" s="9"/>
      <c r="N1651" s="9" t="s">
        <v>10181</v>
      </c>
      <c r="O1651" s="9" t="s">
        <v>10838</v>
      </c>
      <c r="P1651" s="9" t="str">
        <f t="shared" si="97"/>
        <v>PDFを開く</v>
      </c>
      <c r="Q1651" s="9" t="s">
        <v>2604</v>
      </c>
    </row>
    <row r="1652" spans="1:17" ht="62.1" customHeight="1">
      <c r="A1652" s="2" t="s">
        <v>2605</v>
      </c>
      <c r="B1652" s="2" t="s">
        <v>2430</v>
      </c>
      <c r="C1652" s="8" t="s">
        <v>2606</v>
      </c>
      <c r="D1652" s="2">
        <v>1</v>
      </c>
      <c r="E1652" s="8" t="s">
        <v>10156</v>
      </c>
      <c r="F1652" s="2">
        <v>1</v>
      </c>
      <c r="G1652" s="8" t="s">
        <v>10162</v>
      </c>
      <c r="H1652" s="8" t="s">
        <v>10162</v>
      </c>
      <c r="I1652" s="2">
        <v>396.36</v>
      </c>
      <c r="J1652" s="2">
        <v>100.32</v>
      </c>
      <c r="K1652" s="2">
        <v>739.8</v>
      </c>
      <c r="L1652" s="2">
        <v>285.95999999999998</v>
      </c>
      <c r="M1652" s="8"/>
      <c r="N1652" s="8" t="s">
        <v>10159</v>
      </c>
      <c r="O1652" s="8" t="s">
        <v>9635</v>
      </c>
      <c r="P1652" s="8" t="str">
        <f>HYPERLINK("https://seichotoushi-hojo.jp/assets/pdf/koufu_3_4ji/outline_143.pdf","PDFを開く")</f>
        <v>PDFを開く</v>
      </c>
      <c r="Q1652" s="8" t="s">
        <v>2611</v>
      </c>
    </row>
    <row r="1653" spans="1:17" ht="62.1" customHeight="1">
      <c r="A1653" s="5" t="s">
        <v>2605</v>
      </c>
      <c r="B1653" s="5" t="s">
        <v>2430</v>
      </c>
      <c r="C1653" s="9" t="s">
        <v>2606</v>
      </c>
      <c r="D1653" s="5">
        <v>1</v>
      </c>
      <c r="E1653" s="9" t="s">
        <v>10156</v>
      </c>
      <c r="F1653" s="5">
        <v>2</v>
      </c>
      <c r="G1653" s="9" t="s">
        <v>9578</v>
      </c>
      <c r="H1653" s="9" t="s">
        <v>9578</v>
      </c>
      <c r="I1653" s="5">
        <v>39.6</v>
      </c>
      <c r="J1653" s="5">
        <v>101.76</v>
      </c>
      <c r="K1653" s="5">
        <v>378.84</v>
      </c>
      <c r="L1653" s="5">
        <v>527.4</v>
      </c>
      <c r="M1653" s="9"/>
      <c r="N1653" s="9" t="s">
        <v>10159</v>
      </c>
      <c r="O1653" s="9" t="s">
        <v>9634</v>
      </c>
      <c r="P1653" s="9" t="str">
        <f>HYPERLINK("https://seichotoushi-hojo.jp/assets/pdf/koufu_3_4ji/outline_143.pdf","PDFを開く")</f>
        <v>PDFを開く</v>
      </c>
      <c r="Q1653" s="9" t="s">
        <v>2611</v>
      </c>
    </row>
    <row r="1654" spans="1:17" ht="62.1" customHeight="1">
      <c r="A1654" s="2" t="s">
        <v>2605</v>
      </c>
      <c r="B1654" s="2" t="s">
        <v>2430</v>
      </c>
      <c r="C1654" s="8" t="s">
        <v>2606</v>
      </c>
      <c r="D1654" s="2">
        <v>1</v>
      </c>
      <c r="E1654" s="8" t="s">
        <v>10156</v>
      </c>
      <c r="F1654" s="2">
        <v>3</v>
      </c>
      <c r="G1654" s="8" t="s">
        <v>10163</v>
      </c>
      <c r="H1654" s="8" t="s">
        <v>10163</v>
      </c>
      <c r="I1654" s="2">
        <v>396.36</v>
      </c>
      <c r="J1654" s="2">
        <v>298.44</v>
      </c>
      <c r="K1654" s="2">
        <v>739.8</v>
      </c>
      <c r="L1654" s="2">
        <v>526.20000000000005</v>
      </c>
      <c r="M1654" s="8"/>
      <c r="N1654" s="8" t="s">
        <v>10159</v>
      </c>
      <c r="O1654" s="8" t="s">
        <v>9636</v>
      </c>
      <c r="P1654" s="8" t="str">
        <f>HYPERLINK("https://seichotoushi-hojo.jp/assets/pdf/koufu_3_4ji/outline_143.pdf","PDFを開く")</f>
        <v>PDFを開く</v>
      </c>
      <c r="Q1654" s="8" t="s">
        <v>2611</v>
      </c>
    </row>
    <row r="1655" spans="1:17" ht="62.1" customHeight="1">
      <c r="A1655" s="5" t="s">
        <v>2605</v>
      </c>
      <c r="B1655" s="5" t="s">
        <v>2430</v>
      </c>
      <c r="C1655" s="9" t="s">
        <v>2606</v>
      </c>
      <c r="D1655" s="5">
        <v>1</v>
      </c>
      <c r="E1655" s="9" t="s">
        <v>10156</v>
      </c>
      <c r="F1655" s="5">
        <v>4</v>
      </c>
      <c r="G1655" s="9" t="s">
        <v>8581</v>
      </c>
      <c r="H1655" s="9" t="s">
        <v>8581</v>
      </c>
      <c r="I1655" s="5">
        <v>49.44</v>
      </c>
      <c r="J1655" s="5">
        <v>463.8</v>
      </c>
      <c r="K1655" s="5">
        <v>365.52</v>
      </c>
      <c r="L1655" s="5">
        <v>520.91999999999996</v>
      </c>
      <c r="M1655" s="9"/>
      <c r="N1655" s="9" t="s">
        <v>10159</v>
      </c>
      <c r="O1655" s="9" t="s">
        <v>2609</v>
      </c>
      <c r="P1655" s="9" t="str">
        <f>HYPERLINK("https://seichotoushi-hojo.jp/assets/pdf/koufu_3_4ji/outline_143.pdf","PDFを開く")</f>
        <v>PDFを開く</v>
      </c>
      <c r="Q1655" s="9" t="s">
        <v>2611</v>
      </c>
    </row>
    <row r="1656" spans="1:17" ht="62.1" customHeight="1">
      <c r="A1656" s="2" t="s">
        <v>2612</v>
      </c>
      <c r="B1656" s="2" t="s">
        <v>2430</v>
      </c>
      <c r="C1656" s="8" t="s">
        <v>2613</v>
      </c>
      <c r="D1656" s="2">
        <v>1</v>
      </c>
      <c r="E1656" s="8" t="s">
        <v>10156</v>
      </c>
      <c r="F1656" s="2">
        <v>1</v>
      </c>
      <c r="G1656" s="8" t="s">
        <v>10162</v>
      </c>
      <c r="H1656" s="8" t="s">
        <v>10162</v>
      </c>
      <c r="I1656" s="2">
        <v>439.13</v>
      </c>
      <c r="J1656" s="2">
        <v>103.87</v>
      </c>
      <c r="K1656" s="2">
        <v>769.88</v>
      </c>
      <c r="L1656" s="2">
        <v>256.87</v>
      </c>
      <c r="M1656" s="8"/>
      <c r="N1656" s="8" t="s">
        <v>10159</v>
      </c>
      <c r="O1656" s="8" t="s">
        <v>9642</v>
      </c>
      <c r="P1656" s="8" t="str">
        <f t="shared" ref="P1656:P1661" si="98">HYPERLINK("https://seichotoushi-hojo.jp/assets/pdf/koufu_3_4ji/outline_144.pdf","PDFを開く")</f>
        <v>PDFを開く</v>
      </c>
      <c r="Q1656" s="8" t="s">
        <v>2619</v>
      </c>
    </row>
    <row r="1657" spans="1:17" ht="62.1" customHeight="1">
      <c r="A1657" s="5" t="s">
        <v>2612</v>
      </c>
      <c r="B1657" s="5" t="s">
        <v>2430</v>
      </c>
      <c r="C1657" s="9" t="s">
        <v>2613</v>
      </c>
      <c r="D1657" s="5">
        <v>1</v>
      </c>
      <c r="E1657" s="9" t="s">
        <v>10156</v>
      </c>
      <c r="F1657" s="5">
        <v>2</v>
      </c>
      <c r="G1657" s="9" t="s">
        <v>9578</v>
      </c>
      <c r="H1657" s="9" t="s">
        <v>9578</v>
      </c>
      <c r="I1657" s="5">
        <v>9.75</v>
      </c>
      <c r="J1657" s="5">
        <v>107.25</v>
      </c>
      <c r="K1657" s="5">
        <v>296.25</v>
      </c>
      <c r="L1657" s="5">
        <v>222</v>
      </c>
      <c r="M1657" s="9"/>
      <c r="N1657" s="9" t="s">
        <v>10159</v>
      </c>
      <c r="O1657" s="9" t="s">
        <v>9641</v>
      </c>
      <c r="P1657" s="9" t="str">
        <f t="shared" si="98"/>
        <v>PDFを開く</v>
      </c>
      <c r="Q1657" s="9" t="s">
        <v>2619</v>
      </c>
    </row>
    <row r="1658" spans="1:17" ht="62.1" customHeight="1">
      <c r="A1658" s="2" t="s">
        <v>2612</v>
      </c>
      <c r="B1658" s="2" t="s">
        <v>2430</v>
      </c>
      <c r="C1658" s="8" t="s">
        <v>2613</v>
      </c>
      <c r="D1658" s="2">
        <v>1</v>
      </c>
      <c r="E1658" s="8" t="s">
        <v>10156</v>
      </c>
      <c r="F1658" s="2">
        <v>3</v>
      </c>
      <c r="G1658" s="8" t="s">
        <v>10167</v>
      </c>
      <c r="H1658" s="8" t="s">
        <v>10839</v>
      </c>
      <c r="I1658" s="2">
        <v>9.75</v>
      </c>
      <c r="J1658" s="2">
        <v>222</v>
      </c>
      <c r="K1658" s="2">
        <v>418.5</v>
      </c>
      <c r="L1658" s="2">
        <v>418.5</v>
      </c>
      <c r="M1658" s="8"/>
      <c r="N1658" s="8" t="s">
        <v>10159</v>
      </c>
      <c r="O1658" s="8" t="s">
        <v>10840</v>
      </c>
      <c r="P1658" s="8" t="str">
        <f t="shared" si="98"/>
        <v>PDFを開く</v>
      </c>
      <c r="Q1658" s="8" t="s">
        <v>2619</v>
      </c>
    </row>
    <row r="1659" spans="1:17" ht="62.1" customHeight="1">
      <c r="A1659" s="5" t="s">
        <v>2612</v>
      </c>
      <c r="B1659" s="5" t="s">
        <v>2430</v>
      </c>
      <c r="C1659" s="9" t="s">
        <v>2613</v>
      </c>
      <c r="D1659" s="5">
        <v>1</v>
      </c>
      <c r="E1659" s="9" t="s">
        <v>10156</v>
      </c>
      <c r="F1659" s="5">
        <v>4</v>
      </c>
      <c r="G1659" s="9" t="s">
        <v>10163</v>
      </c>
      <c r="H1659" s="9" t="s">
        <v>10163</v>
      </c>
      <c r="I1659" s="5">
        <v>439.13</v>
      </c>
      <c r="J1659" s="5">
        <v>268.88</v>
      </c>
      <c r="K1659" s="5">
        <v>769.88</v>
      </c>
      <c r="L1659" s="5">
        <v>444.38</v>
      </c>
      <c r="M1659" s="9"/>
      <c r="N1659" s="9" t="s">
        <v>10159</v>
      </c>
      <c r="O1659" s="9" t="s">
        <v>9643</v>
      </c>
      <c r="P1659" s="9" t="str">
        <f t="shared" si="98"/>
        <v>PDFを開く</v>
      </c>
      <c r="Q1659" s="9" t="s">
        <v>2619</v>
      </c>
    </row>
    <row r="1660" spans="1:17" ht="62.1" customHeight="1">
      <c r="A1660" s="2" t="s">
        <v>2612</v>
      </c>
      <c r="B1660" s="2" t="s">
        <v>2430</v>
      </c>
      <c r="C1660" s="8" t="s">
        <v>2613</v>
      </c>
      <c r="D1660" s="2">
        <v>1</v>
      </c>
      <c r="E1660" s="8" t="s">
        <v>10156</v>
      </c>
      <c r="F1660" s="2">
        <v>5</v>
      </c>
      <c r="G1660" s="8" t="s">
        <v>8581</v>
      </c>
      <c r="H1660" s="8" t="s">
        <v>8581</v>
      </c>
      <c r="I1660" s="2">
        <v>10.5</v>
      </c>
      <c r="J1660" s="2">
        <v>417</v>
      </c>
      <c r="K1660" s="2">
        <v>417</v>
      </c>
      <c r="L1660" s="2">
        <v>454.5</v>
      </c>
      <c r="M1660" s="8"/>
      <c r="N1660" s="8" t="s">
        <v>10159</v>
      </c>
      <c r="O1660" s="8" t="s">
        <v>2617</v>
      </c>
      <c r="P1660" s="8" t="str">
        <f t="shared" si="98"/>
        <v>PDFを開く</v>
      </c>
      <c r="Q1660" s="8" t="s">
        <v>2619</v>
      </c>
    </row>
    <row r="1661" spans="1:17" ht="62.1" customHeight="1">
      <c r="A1661" s="5" t="s">
        <v>2612</v>
      </c>
      <c r="B1661" s="5" t="s">
        <v>2430</v>
      </c>
      <c r="C1661" s="9" t="s">
        <v>2613</v>
      </c>
      <c r="D1661" s="5">
        <v>1</v>
      </c>
      <c r="E1661" s="9" t="s">
        <v>10156</v>
      </c>
      <c r="F1661" s="5">
        <v>6</v>
      </c>
      <c r="G1661" s="9" t="s">
        <v>10167</v>
      </c>
      <c r="H1661" s="9" t="s">
        <v>10841</v>
      </c>
      <c r="I1661" s="5">
        <v>19.12</v>
      </c>
      <c r="J1661" s="5">
        <v>473.62</v>
      </c>
      <c r="K1661" s="5">
        <v>760.88</v>
      </c>
      <c r="L1661" s="5">
        <v>532.88</v>
      </c>
      <c r="M1661" s="9"/>
      <c r="N1661" s="9" t="s">
        <v>10159</v>
      </c>
      <c r="O1661" s="9" t="s">
        <v>10842</v>
      </c>
      <c r="P1661" s="9" t="str">
        <f t="shared" si="98"/>
        <v>PDFを開く</v>
      </c>
      <c r="Q1661" s="9" t="s">
        <v>2619</v>
      </c>
    </row>
    <row r="1662" spans="1:17" ht="62.1" customHeight="1">
      <c r="A1662" s="2" t="s">
        <v>2620</v>
      </c>
      <c r="B1662" s="2" t="s">
        <v>2430</v>
      </c>
      <c r="C1662" s="8" t="s">
        <v>2621</v>
      </c>
      <c r="D1662" s="2">
        <v>1</v>
      </c>
      <c r="E1662" s="8" t="s">
        <v>10156</v>
      </c>
      <c r="F1662" s="2">
        <v>1</v>
      </c>
      <c r="G1662" s="8" t="s">
        <v>9578</v>
      </c>
      <c r="H1662" s="8" t="s">
        <v>9578</v>
      </c>
      <c r="I1662" s="2">
        <v>12</v>
      </c>
      <c r="J1662" s="2">
        <v>101.67</v>
      </c>
      <c r="K1662" s="2">
        <v>397.09</v>
      </c>
      <c r="L1662" s="2">
        <v>520.9</v>
      </c>
      <c r="M1662" s="8"/>
      <c r="N1662" s="8" t="s">
        <v>10159</v>
      </c>
      <c r="O1662" s="8" t="s">
        <v>9648</v>
      </c>
      <c r="P1662" s="8" t="str">
        <f t="shared" ref="P1662:P1670" si="99">HYPERLINK("https://seichotoushi-hojo.jp/assets/pdf/koufu_3_4ji/outline_145.pdf","PDFを開く")</f>
        <v>PDFを開く</v>
      </c>
      <c r="Q1662" s="8" t="s">
        <v>2628</v>
      </c>
    </row>
    <row r="1663" spans="1:17" ht="62.1" customHeight="1">
      <c r="A1663" s="5" t="s">
        <v>2620</v>
      </c>
      <c r="B1663" s="5" t="s">
        <v>2430</v>
      </c>
      <c r="C1663" s="9" t="s">
        <v>2621</v>
      </c>
      <c r="D1663" s="5">
        <v>1</v>
      </c>
      <c r="E1663" s="9" t="s">
        <v>10156</v>
      </c>
      <c r="F1663" s="5">
        <v>2</v>
      </c>
      <c r="G1663" s="9" t="s">
        <v>10162</v>
      </c>
      <c r="H1663" s="9" t="s">
        <v>10162</v>
      </c>
      <c r="I1663" s="5">
        <v>417.24</v>
      </c>
      <c r="J1663" s="5">
        <v>103.15</v>
      </c>
      <c r="K1663" s="5">
        <v>767.73</v>
      </c>
      <c r="L1663" s="5">
        <v>332.36</v>
      </c>
      <c r="M1663" s="9"/>
      <c r="N1663" s="9" t="s">
        <v>10159</v>
      </c>
      <c r="O1663" s="9" t="s">
        <v>9649</v>
      </c>
      <c r="P1663" s="9" t="str">
        <f t="shared" si="99"/>
        <v>PDFを開く</v>
      </c>
      <c r="Q1663" s="9" t="s">
        <v>2628</v>
      </c>
    </row>
    <row r="1664" spans="1:17" ht="62.1" customHeight="1">
      <c r="A1664" s="2" t="s">
        <v>2620</v>
      </c>
      <c r="B1664" s="2" t="s">
        <v>2430</v>
      </c>
      <c r="C1664" s="8" t="s">
        <v>2621</v>
      </c>
      <c r="D1664" s="2">
        <v>1</v>
      </c>
      <c r="E1664" s="8" t="s">
        <v>10156</v>
      </c>
      <c r="F1664" s="2">
        <v>3</v>
      </c>
      <c r="G1664" s="8" t="s">
        <v>10163</v>
      </c>
      <c r="H1664" s="8" t="s">
        <v>10163</v>
      </c>
      <c r="I1664" s="2">
        <v>417.24</v>
      </c>
      <c r="J1664" s="2">
        <v>338.91</v>
      </c>
      <c r="K1664" s="2">
        <v>767.73</v>
      </c>
      <c r="L1664" s="2">
        <v>520.9</v>
      </c>
      <c r="M1664" s="8"/>
      <c r="N1664" s="8" t="s">
        <v>10159</v>
      </c>
      <c r="O1664" s="8" t="s">
        <v>9650</v>
      </c>
      <c r="P1664" s="8" t="str">
        <f t="shared" si="99"/>
        <v>PDFを開く</v>
      </c>
      <c r="Q1664" s="8" t="s">
        <v>2628</v>
      </c>
    </row>
    <row r="1665" spans="1:17" ht="62.1" customHeight="1">
      <c r="A1665" s="5" t="s">
        <v>2620</v>
      </c>
      <c r="B1665" s="5" t="s">
        <v>2430</v>
      </c>
      <c r="C1665" s="9" t="s">
        <v>2621</v>
      </c>
      <c r="D1665" s="5">
        <v>1</v>
      </c>
      <c r="E1665" s="9" t="s">
        <v>10156</v>
      </c>
      <c r="F1665" s="5">
        <v>4</v>
      </c>
      <c r="G1665" s="9" t="s">
        <v>8581</v>
      </c>
      <c r="H1665" s="9" t="s">
        <v>8581</v>
      </c>
      <c r="I1665" s="5">
        <v>21.11</v>
      </c>
      <c r="J1665" s="5">
        <v>399.13</v>
      </c>
      <c r="K1665" s="5">
        <v>390</v>
      </c>
      <c r="L1665" s="5">
        <v>509.6</v>
      </c>
      <c r="M1665" s="9"/>
      <c r="N1665" s="9" t="s">
        <v>10159</v>
      </c>
      <c r="O1665" s="9" t="s">
        <v>2625</v>
      </c>
      <c r="P1665" s="9" t="str">
        <f t="shared" si="99"/>
        <v>PDFを開く</v>
      </c>
      <c r="Q1665" s="9" t="s">
        <v>2628</v>
      </c>
    </row>
    <row r="1666" spans="1:17" ht="62.1" customHeight="1">
      <c r="A1666" s="2" t="s">
        <v>2620</v>
      </c>
      <c r="B1666" s="2" t="s">
        <v>2430</v>
      </c>
      <c r="C1666" s="8" t="s">
        <v>2621</v>
      </c>
      <c r="D1666" s="2">
        <v>2</v>
      </c>
      <c r="E1666" s="8" t="s">
        <v>10165</v>
      </c>
      <c r="F1666" s="2">
        <v>1</v>
      </c>
      <c r="G1666" s="8" t="s">
        <v>10167</v>
      </c>
      <c r="H1666" s="8" t="s">
        <v>10843</v>
      </c>
      <c r="I1666" s="2">
        <v>93.38</v>
      </c>
      <c r="J1666" s="2">
        <v>98.81</v>
      </c>
      <c r="K1666" s="2">
        <v>622.34</v>
      </c>
      <c r="L1666" s="2">
        <v>195.68</v>
      </c>
      <c r="M1666" s="8"/>
      <c r="N1666" s="8" t="s">
        <v>10159</v>
      </c>
      <c r="O1666" s="8" t="s">
        <v>10844</v>
      </c>
      <c r="P1666" s="8" t="str">
        <f t="shared" si="99"/>
        <v>PDFを開く</v>
      </c>
      <c r="Q1666" s="8" t="s">
        <v>2628</v>
      </c>
    </row>
    <row r="1667" spans="1:17" ht="62.1" customHeight="1">
      <c r="A1667" s="5" t="s">
        <v>2620</v>
      </c>
      <c r="B1667" s="5" t="s">
        <v>2430</v>
      </c>
      <c r="C1667" s="9" t="s">
        <v>2621</v>
      </c>
      <c r="D1667" s="5">
        <v>2</v>
      </c>
      <c r="E1667" s="9" t="s">
        <v>10165</v>
      </c>
      <c r="F1667" s="5">
        <v>2</v>
      </c>
      <c r="G1667" s="9" t="s">
        <v>10167</v>
      </c>
      <c r="H1667" s="9" t="s">
        <v>10845</v>
      </c>
      <c r="I1667" s="5">
        <v>93.38</v>
      </c>
      <c r="J1667" s="5">
        <v>200.98</v>
      </c>
      <c r="K1667" s="5">
        <v>768</v>
      </c>
      <c r="L1667" s="5">
        <v>392.99</v>
      </c>
      <c r="M1667" s="9"/>
      <c r="N1667" s="9" t="s">
        <v>10159</v>
      </c>
      <c r="O1667" s="9" t="s">
        <v>10846</v>
      </c>
      <c r="P1667" s="9" t="str">
        <f t="shared" si="99"/>
        <v>PDFを開く</v>
      </c>
      <c r="Q1667" s="9" t="s">
        <v>2628</v>
      </c>
    </row>
    <row r="1668" spans="1:17" ht="62.1" customHeight="1">
      <c r="A1668" s="2" t="s">
        <v>2620</v>
      </c>
      <c r="B1668" s="2" t="s">
        <v>2430</v>
      </c>
      <c r="C1668" s="8" t="s">
        <v>2621</v>
      </c>
      <c r="D1668" s="2">
        <v>2</v>
      </c>
      <c r="E1668" s="8" t="s">
        <v>10165</v>
      </c>
      <c r="F1668" s="2">
        <v>3</v>
      </c>
      <c r="G1668" s="8" t="s">
        <v>10167</v>
      </c>
      <c r="H1668" s="8" t="s">
        <v>10847</v>
      </c>
      <c r="I1668" s="2">
        <v>99.52</v>
      </c>
      <c r="J1668" s="2">
        <v>207.54</v>
      </c>
      <c r="K1668" s="2">
        <v>584.52</v>
      </c>
      <c r="L1668" s="2">
        <v>235.79</v>
      </c>
      <c r="M1668" s="8"/>
      <c r="N1668" s="8" t="s">
        <v>10159</v>
      </c>
      <c r="O1668" s="8" t="s">
        <v>10847</v>
      </c>
      <c r="P1668" s="8" t="str">
        <f t="shared" si="99"/>
        <v>PDFを開く</v>
      </c>
      <c r="Q1668" s="8" t="s">
        <v>2628</v>
      </c>
    </row>
    <row r="1669" spans="1:17" ht="62.1" customHeight="1">
      <c r="A1669" s="5" t="s">
        <v>2620</v>
      </c>
      <c r="B1669" s="5" t="s">
        <v>2430</v>
      </c>
      <c r="C1669" s="9" t="s">
        <v>2621</v>
      </c>
      <c r="D1669" s="5">
        <v>2</v>
      </c>
      <c r="E1669" s="9" t="s">
        <v>10165</v>
      </c>
      <c r="F1669" s="5">
        <v>4</v>
      </c>
      <c r="G1669" s="9" t="s">
        <v>10167</v>
      </c>
      <c r="H1669" s="9" t="s">
        <v>10848</v>
      </c>
      <c r="I1669" s="5">
        <v>98.93</v>
      </c>
      <c r="J1669" s="5">
        <v>240.19</v>
      </c>
      <c r="K1669" s="5">
        <v>432.25</v>
      </c>
      <c r="L1669" s="5">
        <v>310.76</v>
      </c>
      <c r="M1669" s="9"/>
      <c r="N1669" s="9" t="s">
        <v>10159</v>
      </c>
      <c r="O1669" s="9" t="s">
        <v>10849</v>
      </c>
      <c r="P1669" s="9" t="str">
        <f t="shared" si="99"/>
        <v>PDFを開く</v>
      </c>
      <c r="Q1669" s="9" t="s">
        <v>2628</v>
      </c>
    </row>
    <row r="1670" spans="1:17" ht="62.1" customHeight="1">
      <c r="A1670" s="2" t="s">
        <v>2620</v>
      </c>
      <c r="B1670" s="2" t="s">
        <v>2430</v>
      </c>
      <c r="C1670" s="8" t="s">
        <v>2621</v>
      </c>
      <c r="D1670" s="2">
        <v>2</v>
      </c>
      <c r="E1670" s="8" t="s">
        <v>10165</v>
      </c>
      <c r="F1670" s="2">
        <v>5</v>
      </c>
      <c r="G1670" s="8" t="s">
        <v>10167</v>
      </c>
      <c r="H1670" s="8" t="s">
        <v>10850</v>
      </c>
      <c r="I1670" s="2">
        <v>98.93</v>
      </c>
      <c r="J1670" s="2">
        <v>315.08999999999997</v>
      </c>
      <c r="K1670" s="2">
        <v>432.25</v>
      </c>
      <c r="L1670" s="2">
        <v>385.66</v>
      </c>
      <c r="M1670" s="8"/>
      <c r="N1670" s="8" t="s">
        <v>10159</v>
      </c>
      <c r="O1670" s="8" t="s">
        <v>10851</v>
      </c>
      <c r="P1670" s="8" t="str">
        <f t="shared" si="99"/>
        <v>PDFを開く</v>
      </c>
      <c r="Q1670" s="8" t="s">
        <v>2628</v>
      </c>
    </row>
    <row r="1671" spans="1:17" ht="62.1" customHeight="1">
      <c r="A1671" s="5" t="s">
        <v>2629</v>
      </c>
      <c r="B1671" s="5" t="s">
        <v>2430</v>
      </c>
      <c r="C1671" s="9" t="s">
        <v>2630</v>
      </c>
      <c r="D1671" s="5">
        <v>1</v>
      </c>
      <c r="E1671" s="9" t="s">
        <v>10156</v>
      </c>
      <c r="F1671" s="5">
        <v>1</v>
      </c>
      <c r="G1671" s="9" t="s">
        <v>10162</v>
      </c>
      <c r="H1671" s="9" t="s">
        <v>10162</v>
      </c>
      <c r="I1671" s="5">
        <v>366.23</v>
      </c>
      <c r="J1671" s="5">
        <v>95.82</v>
      </c>
      <c r="K1671" s="5">
        <v>708.36</v>
      </c>
      <c r="L1671" s="5">
        <v>290.68</v>
      </c>
      <c r="M1671" s="9"/>
      <c r="N1671" s="9" t="s">
        <v>10159</v>
      </c>
      <c r="O1671" s="9" t="s">
        <v>9656</v>
      </c>
      <c r="P1671" s="9" t="str">
        <f>HYPERLINK("https://seichotoushi-hojo.jp/assets/pdf/koufu_3_4ji/outline_146.pdf","PDFを開く")</f>
        <v>PDFを開く</v>
      </c>
      <c r="Q1671" s="9" t="s">
        <v>2635</v>
      </c>
    </row>
    <row r="1672" spans="1:17" ht="62.1" customHeight="1">
      <c r="A1672" s="2" t="s">
        <v>2629</v>
      </c>
      <c r="B1672" s="2" t="s">
        <v>2430</v>
      </c>
      <c r="C1672" s="8" t="s">
        <v>2630</v>
      </c>
      <c r="D1672" s="2">
        <v>1</v>
      </c>
      <c r="E1672" s="8" t="s">
        <v>10156</v>
      </c>
      <c r="F1672" s="2">
        <v>2</v>
      </c>
      <c r="G1672" s="8" t="s">
        <v>9578</v>
      </c>
      <c r="H1672" s="8" t="s">
        <v>9578</v>
      </c>
      <c r="I1672" s="2">
        <v>21.86</v>
      </c>
      <c r="J1672" s="2">
        <v>101.65</v>
      </c>
      <c r="K1672" s="2">
        <v>350.04</v>
      </c>
      <c r="L1672" s="2">
        <v>536.11</v>
      </c>
      <c r="M1672" s="8"/>
      <c r="N1672" s="8" t="s">
        <v>10159</v>
      </c>
      <c r="O1672" s="8" t="s">
        <v>9655</v>
      </c>
      <c r="P1672" s="8" t="str">
        <f>HYPERLINK("https://seichotoushi-hojo.jp/assets/pdf/koufu_3_4ji/outline_146.pdf","PDFを開く")</f>
        <v>PDFを開く</v>
      </c>
      <c r="Q1672" s="8" t="s">
        <v>2635</v>
      </c>
    </row>
    <row r="1673" spans="1:17" ht="62.1" customHeight="1">
      <c r="A1673" s="5" t="s">
        <v>2629</v>
      </c>
      <c r="B1673" s="5" t="s">
        <v>2430</v>
      </c>
      <c r="C1673" s="9" t="s">
        <v>2630</v>
      </c>
      <c r="D1673" s="5">
        <v>1</v>
      </c>
      <c r="E1673" s="9" t="s">
        <v>10156</v>
      </c>
      <c r="F1673" s="5">
        <v>3</v>
      </c>
      <c r="G1673" s="9" t="s">
        <v>10163</v>
      </c>
      <c r="H1673" s="9" t="s">
        <v>10163</v>
      </c>
      <c r="I1673" s="5">
        <v>366.23</v>
      </c>
      <c r="J1673" s="5">
        <v>295.23</v>
      </c>
      <c r="K1673" s="5">
        <v>708.36</v>
      </c>
      <c r="L1673" s="5">
        <v>477.65</v>
      </c>
      <c r="M1673" s="9"/>
      <c r="N1673" s="9" t="s">
        <v>10159</v>
      </c>
      <c r="O1673" s="9" t="s">
        <v>9657</v>
      </c>
      <c r="P1673" s="9" t="str">
        <f>HYPERLINK("https://seichotoushi-hojo.jp/assets/pdf/koufu_3_4ji/outline_146.pdf","PDFを開く")</f>
        <v>PDFを開く</v>
      </c>
      <c r="Q1673" s="9" t="s">
        <v>2635</v>
      </c>
    </row>
    <row r="1674" spans="1:17" ht="62.1" customHeight="1">
      <c r="A1674" s="2" t="s">
        <v>2629</v>
      </c>
      <c r="B1674" s="2" t="s">
        <v>2430</v>
      </c>
      <c r="C1674" s="8" t="s">
        <v>2630</v>
      </c>
      <c r="D1674" s="2">
        <v>1</v>
      </c>
      <c r="E1674" s="8" t="s">
        <v>10156</v>
      </c>
      <c r="F1674" s="2">
        <v>4</v>
      </c>
      <c r="G1674" s="8" t="s">
        <v>8581</v>
      </c>
      <c r="H1674" s="8" t="s">
        <v>8581</v>
      </c>
      <c r="I1674" s="2">
        <v>30.41</v>
      </c>
      <c r="J1674" s="2">
        <v>483.9</v>
      </c>
      <c r="K1674" s="2">
        <v>339.31</v>
      </c>
      <c r="L1674" s="2">
        <v>533.82000000000005</v>
      </c>
      <c r="M1674" s="8"/>
      <c r="N1674" s="8" t="s">
        <v>10159</v>
      </c>
      <c r="O1674" s="8" t="s">
        <v>2633</v>
      </c>
      <c r="P1674" s="8" t="str">
        <f>HYPERLINK("https://seichotoushi-hojo.jp/assets/pdf/koufu_3_4ji/outline_146.pdf","PDFを開く")</f>
        <v>PDFを開く</v>
      </c>
      <c r="Q1674" s="8" t="s">
        <v>2635</v>
      </c>
    </row>
    <row r="1675" spans="1:17" ht="62.1" customHeight="1">
      <c r="A1675" s="5" t="s">
        <v>2636</v>
      </c>
      <c r="B1675" s="5" t="s">
        <v>2430</v>
      </c>
      <c r="C1675" s="9" t="s">
        <v>2637</v>
      </c>
      <c r="D1675" s="5">
        <v>1</v>
      </c>
      <c r="E1675" s="9" t="s">
        <v>10156</v>
      </c>
      <c r="F1675" s="5">
        <v>1</v>
      </c>
      <c r="G1675" s="9" t="s">
        <v>9578</v>
      </c>
      <c r="H1675" s="9" t="s">
        <v>9578</v>
      </c>
      <c r="I1675" s="5">
        <v>39.6</v>
      </c>
      <c r="J1675" s="5">
        <v>131.88</v>
      </c>
      <c r="K1675" s="5">
        <v>378.84</v>
      </c>
      <c r="L1675" s="5">
        <v>522.36</v>
      </c>
      <c r="M1675" s="9"/>
      <c r="N1675" s="9" t="s">
        <v>10159</v>
      </c>
      <c r="O1675" s="9" t="s">
        <v>9662</v>
      </c>
      <c r="P1675" s="9" t="str">
        <f>HYPERLINK("https://seichotoushi-hojo.jp/assets/pdf/koufu_3_4ji/outline_147.pdf","PDFを開く")</f>
        <v>PDFを開く</v>
      </c>
      <c r="Q1675" s="9" t="s">
        <v>2645</v>
      </c>
    </row>
    <row r="1676" spans="1:17" ht="62.1" customHeight="1">
      <c r="A1676" s="2" t="s">
        <v>2636</v>
      </c>
      <c r="B1676" s="2" t="s">
        <v>2430</v>
      </c>
      <c r="C1676" s="8" t="s">
        <v>2637</v>
      </c>
      <c r="D1676" s="2">
        <v>1</v>
      </c>
      <c r="E1676" s="8" t="s">
        <v>10156</v>
      </c>
      <c r="F1676" s="2">
        <v>2</v>
      </c>
      <c r="G1676" s="8" t="s">
        <v>10162</v>
      </c>
      <c r="H1676" s="8" t="s">
        <v>10162</v>
      </c>
      <c r="I1676" s="2">
        <v>396.36</v>
      </c>
      <c r="J1676" s="2">
        <v>134.16</v>
      </c>
      <c r="K1676" s="2">
        <v>739.8</v>
      </c>
      <c r="L1676" s="2">
        <v>342.48</v>
      </c>
      <c r="M1676" s="8"/>
      <c r="N1676" s="8" t="s">
        <v>10159</v>
      </c>
      <c r="O1676" s="8" t="s">
        <v>9663</v>
      </c>
      <c r="P1676" s="8" t="str">
        <f>HYPERLINK("https://seichotoushi-hojo.jp/assets/pdf/koufu_3_4ji/outline_147.pdf","PDFを開く")</f>
        <v>PDFを開く</v>
      </c>
      <c r="Q1676" s="8" t="s">
        <v>2645</v>
      </c>
    </row>
    <row r="1677" spans="1:17" ht="62.1" customHeight="1">
      <c r="A1677" s="5" t="s">
        <v>2636</v>
      </c>
      <c r="B1677" s="5" t="s">
        <v>2430</v>
      </c>
      <c r="C1677" s="9" t="s">
        <v>2637</v>
      </c>
      <c r="D1677" s="5">
        <v>1</v>
      </c>
      <c r="E1677" s="9" t="s">
        <v>10156</v>
      </c>
      <c r="F1677" s="5">
        <v>3</v>
      </c>
      <c r="G1677" s="9" t="s">
        <v>8581</v>
      </c>
      <c r="H1677" s="9" t="s">
        <v>8581</v>
      </c>
      <c r="I1677" s="5">
        <v>55.32</v>
      </c>
      <c r="J1677" s="5">
        <v>342.48</v>
      </c>
      <c r="K1677" s="5">
        <v>360.84</v>
      </c>
      <c r="L1677" s="5">
        <v>366.6</v>
      </c>
      <c r="M1677" s="9"/>
      <c r="N1677" s="9" t="s">
        <v>10159</v>
      </c>
      <c r="O1677" s="9" t="s">
        <v>9665</v>
      </c>
      <c r="P1677" s="9" t="str">
        <f>HYPERLINK("https://seichotoushi-hojo.jp/assets/pdf/koufu_3_4ji/outline_147.pdf","PDFを開く")</f>
        <v>PDFを開く</v>
      </c>
      <c r="Q1677" s="9" t="s">
        <v>2645</v>
      </c>
    </row>
    <row r="1678" spans="1:17" ht="62.1" customHeight="1">
      <c r="A1678" s="2" t="s">
        <v>2636</v>
      </c>
      <c r="B1678" s="2" t="s">
        <v>2430</v>
      </c>
      <c r="C1678" s="8" t="s">
        <v>2637</v>
      </c>
      <c r="D1678" s="2">
        <v>1</v>
      </c>
      <c r="E1678" s="8" t="s">
        <v>10156</v>
      </c>
      <c r="F1678" s="2">
        <v>4</v>
      </c>
      <c r="G1678" s="8" t="s">
        <v>10163</v>
      </c>
      <c r="H1678" s="8" t="s">
        <v>10163</v>
      </c>
      <c r="I1678" s="2">
        <v>396.36</v>
      </c>
      <c r="J1678" s="2">
        <v>355.32</v>
      </c>
      <c r="K1678" s="2">
        <v>739.8</v>
      </c>
      <c r="L1678" s="2">
        <v>513.6</v>
      </c>
      <c r="M1678" s="8"/>
      <c r="N1678" s="8" t="s">
        <v>10159</v>
      </c>
      <c r="O1678" s="8" t="s">
        <v>9664</v>
      </c>
      <c r="P1678" s="8" t="str">
        <f>HYPERLINK("https://seichotoushi-hojo.jp/assets/pdf/koufu_3_4ji/outline_147.pdf","PDFを開く")</f>
        <v>PDFを開く</v>
      </c>
      <c r="Q1678" s="8" t="s">
        <v>2645</v>
      </c>
    </row>
    <row r="1679" spans="1:17" ht="62.1" customHeight="1">
      <c r="A1679" s="5" t="s">
        <v>2646</v>
      </c>
      <c r="B1679" s="5" t="s">
        <v>2430</v>
      </c>
      <c r="C1679" s="9" t="s">
        <v>2647</v>
      </c>
      <c r="D1679" s="5">
        <v>1</v>
      </c>
      <c r="E1679" s="9" t="s">
        <v>10156</v>
      </c>
      <c r="F1679" s="5">
        <v>1</v>
      </c>
      <c r="G1679" s="9" t="s">
        <v>9578</v>
      </c>
      <c r="H1679" s="9" t="s">
        <v>9578</v>
      </c>
      <c r="I1679" s="5">
        <v>29.52</v>
      </c>
      <c r="J1679" s="5">
        <v>109.2</v>
      </c>
      <c r="K1679" s="5">
        <v>379.2</v>
      </c>
      <c r="L1679" s="5">
        <v>423.24</v>
      </c>
      <c r="M1679" s="9"/>
      <c r="N1679" s="9" t="s">
        <v>10159</v>
      </c>
      <c r="O1679" s="9" t="s">
        <v>9670</v>
      </c>
      <c r="P1679" s="9" t="str">
        <f t="shared" ref="P1679:P1684" si="100">HYPERLINK("https://seichotoushi-hojo.jp/assets/pdf/koufu_3_4ji/outline_148.pdf","PDFを開く")</f>
        <v>PDFを開く</v>
      </c>
      <c r="Q1679" s="9" t="s">
        <v>2653</v>
      </c>
    </row>
    <row r="1680" spans="1:17" ht="62.1" customHeight="1">
      <c r="A1680" s="2" t="s">
        <v>2646</v>
      </c>
      <c r="B1680" s="2" t="s">
        <v>2430</v>
      </c>
      <c r="C1680" s="8" t="s">
        <v>2647</v>
      </c>
      <c r="D1680" s="2">
        <v>1</v>
      </c>
      <c r="E1680" s="8" t="s">
        <v>10156</v>
      </c>
      <c r="F1680" s="2">
        <v>2</v>
      </c>
      <c r="G1680" s="8" t="s">
        <v>10162</v>
      </c>
      <c r="H1680" s="8" t="s">
        <v>10162</v>
      </c>
      <c r="I1680" s="2">
        <v>393.36</v>
      </c>
      <c r="J1680" s="2">
        <v>109.2</v>
      </c>
      <c r="K1680" s="2">
        <v>750.96</v>
      </c>
      <c r="L1680" s="2">
        <v>261.36</v>
      </c>
      <c r="M1680" s="8"/>
      <c r="N1680" s="8" t="s">
        <v>10159</v>
      </c>
      <c r="O1680" s="8" t="s">
        <v>9671</v>
      </c>
      <c r="P1680" s="8" t="str">
        <f t="shared" si="100"/>
        <v>PDFを開く</v>
      </c>
      <c r="Q1680" s="8" t="s">
        <v>2653</v>
      </c>
    </row>
    <row r="1681" spans="1:17" ht="62.1" customHeight="1">
      <c r="A1681" s="5" t="s">
        <v>2646</v>
      </c>
      <c r="B1681" s="5" t="s">
        <v>2430</v>
      </c>
      <c r="C1681" s="9" t="s">
        <v>2647</v>
      </c>
      <c r="D1681" s="5">
        <v>1</v>
      </c>
      <c r="E1681" s="9" t="s">
        <v>10156</v>
      </c>
      <c r="F1681" s="5">
        <v>3</v>
      </c>
      <c r="G1681" s="9" t="s">
        <v>10163</v>
      </c>
      <c r="H1681" s="9" t="s">
        <v>10163</v>
      </c>
      <c r="I1681" s="5">
        <v>395.04</v>
      </c>
      <c r="J1681" s="5">
        <v>266.52</v>
      </c>
      <c r="K1681" s="5">
        <v>750.96</v>
      </c>
      <c r="L1681" s="5">
        <v>422.16</v>
      </c>
      <c r="M1681" s="9"/>
      <c r="N1681" s="9" t="s">
        <v>10159</v>
      </c>
      <c r="O1681" s="9" t="s">
        <v>9672</v>
      </c>
      <c r="P1681" s="9" t="str">
        <f t="shared" si="100"/>
        <v>PDFを開く</v>
      </c>
      <c r="Q1681" s="9" t="s">
        <v>2653</v>
      </c>
    </row>
    <row r="1682" spans="1:17" ht="62.1" customHeight="1">
      <c r="A1682" s="2" t="s">
        <v>2646</v>
      </c>
      <c r="B1682" s="2" t="s">
        <v>2430</v>
      </c>
      <c r="C1682" s="8" t="s">
        <v>2647</v>
      </c>
      <c r="D1682" s="2">
        <v>1</v>
      </c>
      <c r="E1682" s="8" t="s">
        <v>10156</v>
      </c>
      <c r="F1682" s="2">
        <v>4</v>
      </c>
      <c r="G1682" s="8" t="s">
        <v>8581</v>
      </c>
      <c r="H1682" s="8" t="s">
        <v>8581</v>
      </c>
      <c r="I1682" s="2">
        <v>32.64</v>
      </c>
      <c r="J1682" s="2">
        <v>284.04000000000002</v>
      </c>
      <c r="K1682" s="2">
        <v>374.16</v>
      </c>
      <c r="L1682" s="2">
        <v>390.6</v>
      </c>
      <c r="M1682" s="8"/>
      <c r="N1682" s="8" t="s">
        <v>10159</v>
      </c>
      <c r="O1682" s="8" t="s">
        <v>9673</v>
      </c>
      <c r="P1682" s="8" t="str">
        <f t="shared" si="100"/>
        <v>PDFを開く</v>
      </c>
      <c r="Q1682" s="8" t="s">
        <v>2653</v>
      </c>
    </row>
    <row r="1683" spans="1:17" ht="62.1" customHeight="1">
      <c r="A1683" s="5" t="s">
        <v>2646</v>
      </c>
      <c r="B1683" s="5" t="s">
        <v>2430</v>
      </c>
      <c r="C1683" s="9" t="s">
        <v>2647</v>
      </c>
      <c r="D1683" s="5">
        <v>1</v>
      </c>
      <c r="E1683" s="9" t="s">
        <v>10156</v>
      </c>
      <c r="F1683" s="5">
        <v>5</v>
      </c>
      <c r="G1683" s="9" t="s">
        <v>10167</v>
      </c>
      <c r="H1683" s="9" t="s">
        <v>10439</v>
      </c>
      <c r="I1683" s="5">
        <v>39.1</v>
      </c>
      <c r="J1683" s="5">
        <v>438.35</v>
      </c>
      <c r="K1683" s="5">
        <v>739.34</v>
      </c>
      <c r="L1683" s="5">
        <v>508.45</v>
      </c>
      <c r="M1683" s="9"/>
      <c r="N1683" s="9" t="s">
        <v>10159</v>
      </c>
      <c r="O1683" s="9" t="s">
        <v>10852</v>
      </c>
      <c r="P1683" s="9" t="str">
        <f t="shared" si="100"/>
        <v>PDFを開く</v>
      </c>
      <c r="Q1683" s="9" t="s">
        <v>2653</v>
      </c>
    </row>
    <row r="1684" spans="1:17" ht="62.1" customHeight="1">
      <c r="A1684" s="2" t="s">
        <v>2646</v>
      </c>
      <c r="B1684" s="2" t="s">
        <v>2430</v>
      </c>
      <c r="C1684" s="8" t="s">
        <v>2647</v>
      </c>
      <c r="D1684" s="2">
        <v>2</v>
      </c>
      <c r="E1684" s="8" t="s">
        <v>10165</v>
      </c>
      <c r="F1684" s="2">
        <v>1</v>
      </c>
      <c r="G1684" s="8" t="s">
        <v>10167</v>
      </c>
      <c r="H1684" s="8" t="s">
        <v>10853</v>
      </c>
      <c r="I1684" s="2">
        <v>493.8</v>
      </c>
      <c r="J1684" s="2">
        <v>187.2</v>
      </c>
      <c r="K1684" s="2">
        <v>749.4</v>
      </c>
      <c r="L1684" s="2">
        <v>384.24</v>
      </c>
      <c r="M1684" s="8"/>
      <c r="N1684" s="8" t="s">
        <v>10159</v>
      </c>
      <c r="O1684" s="8" t="s">
        <v>10853</v>
      </c>
      <c r="P1684" s="8" t="str">
        <f t="shared" si="100"/>
        <v>PDFを開く</v>
      </c>
      <c r="Q1684" s="8" t="s">
        <v>2653</v>
      </c>
    </row>
    <row r="1685" spans="1:17" ht="62.1" customHeight="1">
      <c r="A1685" s="5" t="s">
        <v>2654</v>
      </c>
      <c r="B1685" s="5" t="s">
        <v>2430</v>
      </c>
      <c r="C1685" s="9" t="s">
        <v>2655</v>
      </c>
      <c r="D1685" s="5">
        <v>1</v>
      </c>
      <c r="E1685" s="9" t="s">
        <v>10156</v>
      </c>
      <c r="F1685" s="5">
        <v>1</v>
      </c>
      <c r="G1685" s="9" t="s">
        <v>9578</v>
      </c>
      <c r="H1685" s="9" t="s">
        <v>9578</v>
      </c>
      <c r="I1685" s="5">
        <v>39.659999999999997</v>
      </c>
      <c r="J1685" s="5">
        <v>112.41</v>
      </c>
      <c r="K1685" s="5">
        <v>378.78</v>
      </c>
      <c r="L1685" s="5">
        <v>499.73</v>
      </c>
      <c r="M1685" s="9"/>
      <c r="N1685" s="9" t="s">
        <v>10159</v>
      </c>
      <c r="O1685" s="9" t="s">
        <v>9678</v>
      </c>
      <c r="P1685" s="9" t="str">
        <f>HYPERLINK("https://seichotoushi-hojo.jp/assets/pdf/koufu_3_4ji/outline_149.pdf","PDFを開く")</f>
        <v>PDFを開く</v>
      </c>
      <c r="Q1685" s="9" t="s">
        <v>2661</v>
      </c>
    </row>
    <row r="1686" spans="1:17" ht="62.1" customHeight="1">
      <c r="A1686" s="2" t="s">
        <v>2654</v>
      </c>
      <c r="B1686" s="2" t="s">
        <v>2430</v>
      </c>
      <c r="C1686" s="8" t="s">
        <v>2655</v>
      </c>
      <c r="D1686" s="2">
        <v>1</v>
      </c>
      <c r="E1686" s="8" t="s">
        <v>10156</v>
      </c>
      <c r="F1686" s="2">
        <v>2</v>
      </c>
      <c r="G1686" s="8" t="s">
        <v>10162</v>
      </c>
      <c r="H1686" s="8" t="s">
        <v>10162</v>
      </c>
      <c r="I1686" s="2">
        <v>396.86</v>
      </c>
      <c r="J1686" s="2">
        <v>112.41</v>
      </c>
      <c r="K1686" s="2">
        <v>740.34</v>
      </c>
      <c r="L1686" s="2">
        <v>276.98</v>
      </c>
      <c r="M1686" s="8"/>
      <c r="N1686" s="8" t="s">
        <v>10159</v>
      </c>
      <c r="O1686" s="8" t="s">
        <v>9679</v>
      </c>
      <c r="P1686" s="8" t="str">
        <f>HYPERLINK("https://seichotoushi-hojo.jp/assets/pdf/koufu_3_4ji/outline_149.pdf","PDFを開く")</f>
        <v>PDFを開く</v>
      </c>
      <c r="Q1686" s="8" t="s">
        <v>2661</v>
      </c>
    </row>
    <row r="1687" spans="1:17" ht="62.1" customHeight="1">
      <c r="A1687" s="5" t="s">
        <v>2654</v>
      </c>
      <c r="B1687" s="5" t="s">
        <v>2430</v>
      </c>
      <c r="C1687" s="9" t="s">
        <v>2655</v>
      </c>
      <c r="D1687" s="5">
        <v>1</v>
      </c>
      <c r="E1687" s="9" t="s">
        <v>10156</v>
      </c>
      <c r="F1687" s="5">
        <v>3</v>
      </c>
      <c r="G1687" s="9" t="s">
        <v>10163</v>
      </c>
      <c r="H1687" s="9" t="s">
        <v>10163</v>
      </c>
      <c r="I1687" s="5">
        <v>396.3</v>
      </c>
      <c r="J1687" s="5">
        <v>301.55</v>
      </c>
      <c r="K1687" s="5">
        <v>739.78</v>
      </c>
      <c r="L1687" s="5">
        <v>499.73</v>
      </c>
      <c r="M1687" s="9"/>
      <c r="N1687" s="9" t="s">
        <v>10159</v>
      </c>
      <c r="O1687" s="9" t="s">
        <v>9680</v>
      </c>
      <c r="P1687" s="9" t="str">
        <f>HYPERLINK("https://seichotoushi-hojo.jp/assets/pdf/koufu_3_4ji/outline_149.pdf","PDFを開く")</f>
        <v>PDFを開く</v>
      </c>
      <c r="Q1687" s="9" t="s">
        <v>2661</v>
      </c>
    </row>
    <row r="1688" spans="1:17" ht="62.1" customHeight="1">
      <c r="A1688" s="2" t="s">
        <v>2654</v>
      </c>
      <c r="B1688" s="2" t="s">
        <v>2430</v>
      </c>
      <c r="C1688" s="8" t="s">
        <v>2655</v>
      </c>
      <c r="D1688" s="2">
        <v>1</v>
      </c>
      <c r="E1688" s="8" t="s">
        <v>10156</v>
      </c>
      <c r="F1688" s="2">
        <v>4</v>
      </c>
      <c r="G1688" s="8" t="s">
        <v>8581</v>
      </c>
      <c r="H1688" s="8" t="s">
        <v>8581</v>
      </c>
      <c r="I1688" s="2">
        <v>44.56</v>
      </c>
      <c r="J1688" s="2">
        <v>434.1</v>
      </c>
      <c r="K1688" s="2">
        <v>373.88</v>
      </c>
      <c r="L1688" s="2">
        <v>488.4</v>
      </c>
      <c r="M1688" s="8"/>
      <c r="N1688" s="8" t="s">
        <v>10159</v>
      </c>
      <c r="O1688" s="8" t="s">
        <v>2659</v>
      </c>
      <c r="P1688" s="8" t="str">
        <f>HYPERLINK("https://seichotoushi-hojo.jp/assets/pdf/koufu_3_4ji/outline_149.pdf","PDFを開く")</f>
        <v>PDFを開く</v>
      </c>
      <c r="Q1688" s="8" t="s">
        <v>2661</v>
      </c>
    </row>
    <row r="1689" spans="1:17" ht="62.1" customHeight="1">
      <c r="A1689" s="5" t="s">
        <v>2662</v>
      </c>
      <c r="B1689" s="5" t="s">
        <v>2430</v>
      </c>
      <c r="C1689" s="9" t="s">
        <v>2663</v>
      </c>
      <c r="D1689" s="5">
        <v>1</v>
      </c>
      <c r="E1689" s="9" t="s">
        <v>10156</v>
      </c>
      <c r="F1689" s="5">
        <v>1</v>
      </c>
      <c r="G1689" s="9" t="s">
        <v>9578</v>
      </c>
      <c r="H1689" s="9" t="s">
        <v>9578</v>
      </c>
      <c r="I1689" s="5">
        <v>39.659999999999997</v>
      </c>
      <c r="J1689" s="5">
        <v>103.76</v>
      </c>
      <c r="K1689" s="5">
        <v>378.78</v>
      </c>
      <c r="L1689" s="5">
        <v>526.59</v>
      </c>
      <c r="M1689" s="9"/>
      <c r="N1689" s="9" t="s">
        <v>10159</v>
      </c>
      <c r="O1689" s="9" t="s">
        <v>9685</v>
      </c>
      <c r="P1689" s="9" t="str">
        <f>HYPERLINK("https://seichotoushi-hojo.jp/assets/pdf/koufu_3_4ji/outline_150.pdf","PDFを開く")</f>
        <v>PDFを開く</v>
      </c>
      <c r="Q1689" s="9" t="s">
        <v>2667</v>
      </c>
    </row>
    <row r="1690" spans="1:17" ht="62.1" customHeight="1">
      <c r="A1690" s="2" t="s">
        <v>2662</v>
      </c>
      <c r="B1690" s="2" t="s">
        <v>2430</v>
      </c>
      <c r="C1690" s="8" t="s">
        <v>2663</v>
      </c>
      <c r="D1690" s="2">
        <v>1</v>
      </c>
      <c r="E1690" s="8" t="s">
        <v>10156</v>
      </c>
      <c r="F1690" s="2">
        <v>2</v>
      </c>
      <c r="G1690" s="8" t="s">
        <v>10162</v>
      </c>
      <c r="H1690" s="8" t="s">
        <v>10162</v>
      </c>
      <c r="I1690" s="2">
        <v>396.3</v>
      </c>
      <c r="J1690" s="2">
        <v>104.5</v>
      </c>
      <c r="K1690" s="2">
        <v>739.78</v>
      </c>
      <c r="L1690" s="2">
        <v>313.16000000000003</v>
      </c>
      <c r="M1690" s="8"/>
      <c r="N1690" s="8" t="s">
        <v>10159</v>
      </c>
      <c r="O1690" s="8" t="s">
        <v>9686</v>
      </c>
      <c r="P1690" s="8" t="str">
        <f>HYPERLINK("https://seichotoushi-hojo.jp/assets/pdf/koufu_3_4ji/outline_150.pdf","PDFを開く")</f>
        <v>PDFを開く</v>
      </c>
      <c r="Q1690" s="8" t="s">
        <v>2667</v>
      </c>
    </row>
    <row r="1691" spans="1:17" ht="62.1" customHeight="1">
      <c r="A1691" s="5" t="s">
        <v>2662</v>
      </c>
      <c r="B1691" s="5" t="s">
        <v>2430</v>
      </c>
      <c r="C1691" s="9" t="s">
        <v>2663</v>
      </c>
      <c r="D1691" s="5">
        <v>1</v>
      </c>
      <c r="E1691" s="9" t="s">
        <v>10156</v>
      </c>
      <c r="F1691" s="5">
        <v>3</v>
      </c>
      <c r="G1691" s="9" t="s">
        <v>10163</v>
      </c>
      <c r="H1691" s="9" t="s">
        <v>10163</v>
      </c>
      <c r="I1691" s="5">
        <v>396.3</v>
      </c>
      <c r="J1691" s="5">
        <v>327.93</v>
      </c>
      <c r="K1691" s="5">
        <v>739.78</v>
      </c>
      <c r="L1691" s="5">
        <v>527.61</v>
      </c>
      <c r="M1691" s="9"/>
      <c r="N1691" s="9" t="s">
        <v>10159</v>
      </c>
      <c r="O1691" s="9" t="s">
        <v>9687</v>
      </c>
      <c r="P1691" s="9" t="str">
        <f>HYPERLINK("https://seichotoushi-hojo.jp/assets/pdf/koufu_3_4ji/outline_150.pdf","PDFを開く")</f>
        <v>PDFを開く</v>
      </c>
      <c r="Q1691" s="9" t="s">
        <v>2667</v>
      </c>
    </row>
    <row r="1692" spans="1:17" ht="62.1" customHeight="1">
      <c r="A1692" s="2" t="s">
        <v>2662</v>
      </c>
      <c r="B1692" s="2" t="s">
        <v>2430</v>
      </c>
      <c r="C1692" s="8" t="s">
        <v>2663</v>
      </c>
      <c r="D1692" s="2">
        <v>1</v>
      </c>
      <c r="E1692" s="8" t="s">
        <v>10156</v>
      </c>
      <c r="F1692" s="2">
        <v>4</v>
      </c>
      <c r="G1692" s="8" t="s">
        <v>8581</v>
      </c>
      <c r="H1692" s="8" t="s">
        <v>8581</v>
      </c>
      <c r="I1692" s="2">
        <v>48</v>
      </c>
      <c r="J1692" s="2">
        <v>455.27</v>
      </c>
      <c r="K1692" s="2">
        <v>367.5</v>
      </c>
      <c r="L1692" s="2">
        <v>511.22</v>
      </c>
      <c r="M1692" s="8"/>
      <c r="N1692" s="8" t="s">
        <v>10159</v>
      </c>
      <c r="O1692" s="8" t="s">
        <v>2665</v>
      </c>
      <c r="P1692" s="8" t="str">
        <f>HYPERLINK("https://seichotoushi-hojo.jp/assets/pdf/koufu_3_4ji/outline_150.pdf","PDFを開く")</f>
        <v>PDFを開く</v>
      </c>
      <c r="Q1692" s="8" t="s">
        <v>2667</v>
      </c>
    </row>
    <row r="1693" spans="1:17" ht="62.1" customHeight="1">
      <c r="A1693" s="5" t="s">
        <v>2662</v>
      </c>
      <c r="B1693" s="5" t="s">
        <v>2430</v>
      </c>
      <c r="C1693" s="9" t="s">
        <v>2663</v>
      </c>
      <c r="D1693" s="5">
        <v>2</v>
      </c>
      <c r="E1693" s="9" t="s">
        <v>10165</v>
      </c>
      <c r="F1693" s="5">
        <v>1</v>
      </c>
      <c r="G1693" s="9" t="s">
        <v>10184</v>
      </c>
      <c r="H1693" s="9" t="s">
        <v>10184</v>
      </c>
      <c r="I1693" s="5">
        <v>126.7</v>
      </c>
      <c r="J1693" s="5">
        <v>172.69</v>
      </c>
      <c r="K1693" s="5">
        <v>401.7</v>
      </c>
      <c r="L1693" s="5">
        <v>368.09</v>
      </c>
      <c r="M1693" s="9"/>
      <c r="N1693" s="9" t="s">
        <v>10181</v>
      </c>
      <c r="O1693" s="9" t="s">
        <v>10854</v>
      </c>
      <c r="P1693" s="9" t="str">
        <f>HYPERLINK("https://seichotoushi-hojo.jp/assets/pdf/koufu_3_4ji/outline_150.pdf","PDFを開く")</f>
        <v>PDFを開く</v>
      </c>
      <c r="Q1693" s="9" t="s">
        <v>2667</v>
      </c>
    </row>
    <row r="1694" spans="1:17" ht="62.1" customHeight="1">
      <c r="A1694" s="2" t="s">
        <v>2668</v>
      </c>
      <c r="B1694" s="2" t="s">
        <v>2430</v>
      </c>
      <c r="C1694" s="8" t="s">
        <v>2669</v>
      </c>
      <c r="D1694" s="2">
        <v>1</v>
      </c>
      <c r="E1694" s="8" t="s">
        <v>10156</v>
      </c>
      <c r="F1694" s="2">
        <v>1</v>
      </c>
      <c r="G1694" s="8" t="s">
        <v>10162</v>
      </c>
      <c r="H1694" s="8" t="s">
        <v>10162</v>
      </c>
      <c r="I1694" s="2">
        <v>396.3</v>
      </c>
      <c r="J1694" s="2">
        <v>110.07</v>
      </c>
      <c r="K1694" s="2">
        <v>739.78</v>
      </c>
      <c r="L1694" s="2">
        <v>307.39999999999998</v>
      </c>
      <c r="M1694" s="8"/>
      <c r="N1694" s="8" t="s">
        <v>10159</v>
      </c>
      <c r="O1694" s="8" t="s">
        <v>9693</v>
      </c>
      <c r="P1694" s="8" t="str">
        <f>HYPERLINK("https://seichotoushi-hojo.jp/assets/pdf/koufu_3_4ji/outline_152.pdf","PDFを開く")</f>
        <v>PDFを開く</v>
      </c>
      <c r="Q1694" s="8" t="s">
        <v>2675</v>
      </c>
    </row>
    <row r="1695" spans="1:17" ht="62.1" customHeight="1">
      <c r="A1695" s="5" t="s">
        <v>2668</v>
      </c>
      <c r="B1695" s="5" t="s">
        <v>2430</v>
      </c>
      <c r="C1695" s="9" t="s">
        <v>2669</v>
      </c>
      <c r="D1695" s="5">
        <v>1</v>
      </c>
      <c r="E1695" s="9" t="s">
        <v>10156</v>
      </c>
      <c r="F1695" s="5">
        <v>2</v>
      </c>
      <c r="G1695" s="9" t="s">
        <v>9578</v>
      </c>
      <c r="H1695" s="9" t="s">
        <v>9578</v>
      </c>
      <c r="I1695" s="5">
        <v>18.399999999999999</v>
      </c>
      <c r="J1695" s="5">
        <v>110.08</v>
      </c>
      <c r="K1695" s="5">
        <v>378.78</v>
      </c>
      <c r="L1695" s="5">
        <v>520.9</v>
      </c>
      <c r="M1695" s="9"/>
      <c r="N1695" s="9" t="s">
        <v>10159</v>
      </c>
      <c r="O1695" s="9" t="s">
        <v>9692</v>
      </c>
      <c r="P1695" s="9" t="str">
        <f>HYPERLINK("https://seichotoushi-hojo.jp/assets/pdf/koufu_3_4ji/outline_152.pdf","PDFを開く")</f>
        <v>PDFを開く</v>
      </c>
      <c r="Q1695" s="9" t="s">
        <v>2675</v>
      </c>
    </row>
    <row r="1696" spans="1:17" ht="62.1" customHeight="1">
      <c r="A1696" s="2" t="s">
        <v>2668</v>
      </c>
      <c r="B1696" s="2" t="s">
        <v>2430</v>
      </c>
      <c r="C1696" s="8" t="s">
        <v>2669</v>
      </c>
      <c r="D1696" s="2">
        <v>1</v>
      </c>
      <c r="E1696" s="8" t="s">
        <v>10156</v>
      </c>
      <c r="F1696" s="2">
        <v>3</v>
      </c>
      <c r="G1696" s="8" t="s">
        <v>10163</v>
      </c>
      <c r="H1696" s="8" t="s">
        <v>10163</v>
      </c>
      <c r="I1696" s="2">
        <v>396.3</v>
      </c>
      <c r="J1696" s="2">
        <v>323.57</v>
      </c>
      <c r="K1696" s="2">
        <v>739.78</v>
      </c>
      <c r="L1696" s="2">
        <v>520.9</v>
      </c>
      <c r="M1696" s="8"/>
      <c r="N1696" s="8" t="s">
        <v>10159</v>
      </c>
      <c r="O1696" s="8" t="s">
        <v>9694</v>
      </c>
      <c r="P1696" s="8" t="str">
        <f>HYPERLINK("https://seichotoushi-hojo.jp/assets/pdf/koufu_3_4ji/outline_152.pdf","PDFを開く")</f>
        <v>PDFを開く</v>
      </c>
      <c r="Q1696" s="8" t="s">
        <v>2675</v>
      </c>
    </row>
    <row r="1697" spans="1:17" ht="62.1" customHeight="1">
      <c r="A1697" s="5" t="s">
        <v>2668</v>
      </c>
      <c r="B1697" s="5" t="s">
        <v>2430</v>
      </c>
      <c r="C1697" s="9" t="s">
        <v>2669</v>
      </c>
      <c r="D1697" s="5">
        <v>1</v>
      </c>
      <c r="E1697" s="9" t="s">
        <v>10156</v>
      </c>
      <c r="F1697" s="5">
        <v>4</v>
      </c>
      <c r="G1697" s="9" t="s">
        <v>8581</v>
      </c>
      <c r="H1697" s="9" t="s">
        <v>8581</v>
      </c>
      <c r="I1697" s="5">
        <v>32.49</v>
      </c>
      <c r="J1697" s="5">
        <v>453.22</v>
      </c>
      <c r="K1697" s="5">
        <v>364.69</v>
      </c>
      <c r="L1697" s="5">
        <v>511.77</v>
      </c>
      <c r="M1697" s="9"/>
      <c r="N1697" s="9" t="s">
        <v>10159</v>
      </c>
      <c r="O1697" s="9" t="s">
        <v>2673</v>
      </c>
      <c r="P1697" s="9" t="str">
        <f>HYPERLINK("https://seichotoushi-hojo.jp/assets/pdf/koufu_3_4ji/outline_152.pdf","PDFを開く")</f>
        <v>PDFを開く</v>
      </c>
      <c r="Q1697" s="9" t="s">
        <v>2675</v>
      </c>
    </row>
    <row r="1698" spans="1:17" ht="62.1" customHeight="1">
      <c r="A1698" s="2" t="s">
        <v>2676</v>
      </c>
      <c r="B1698" s="2" t="s">
        <v>2430</v>
      </c>
      <c r="C1698" s="8" t="s">
        <v>2677</v>
      </c>
      <c r="D1698" s="2">
        <v>1</v>
      </c>
      <c r="E1698" s="8" t="s">
        <v>10156</v>
      </c>
      <c r="F1698" s="2">
        <v>1</v>
      </c>
      <c r="G1698" s="8" t="s">
        <v>10162</v>
      </c>
      <c r="H1698" s="8" t="s">
        <v>10162</v>
      </c>
      <c r="I1698" s="2">
        <v>396.3</v>
      </c>
      <c r="J1698" s="2">
        <v>103.63</v>
      </c>
      <c r="K1698" s="2">
        <v>739.78</v>
      </c>
      <c r="L1698" s="2">
        <v>298.97000000000003</v>
      </c>
      <c r="M1698" s="8"/>
      <c r="N1698" s="8" t="s">
        <v>10159</v>
      </c>
      <c r="O1698" s="8" t="s">
        <v>9700</v>
      </c>
      <c r="P1698" s="8" t="str">
        <f>HYPERLINK("https://seichotoushi-hojo.jp/assets/pdf/koufu_3_4ji/outline_153.pdf","PDFを開く")</f>
        <v>PDFを開く</v>
      </c>
      <c r="Q1698" s="8" t="s">
        <v>2683</v>
      </c>
    </row>
    <row r="1699" spans="1:17" ht="62.1" customHeight="1">
      <c r="A1699" s="5" t="s">
        <v>2676</v>
      </c>
      <c r="B1699" s="5" t="s">
        <v>2430</v>
      </c>
      <c r="C1699" s="9" t="s">
        <v>2677</v>
      </c>
      <c r="D1699" s="5">
        <v>1</v>
      </c>
      <c r="E1699" s="9" t="s">
        <v>10156</v>
      </c>
      <c r="F1699" s="5">
        <v>2</v>
      </c>
      <c r="G1699" s="9" t="s">
        <v>9578</v>
      </c>
      <c r="H1699" s="9" t="s">
        <v>9578</v>
      </c>
      <c r="I1699" s="5">
        <v>28.68</v>
      </c>
      <c r="J1699" s="5">
        <v>109.02</v>
      </c>
      <c r="K1699" s="5">
        <v>367.81</v>
      </c>
      <c r="L1699" s="5">
        <v>510.1</v>
      </c>
      <c r="M1699" s="9"/>
      <c r="N1699" s="9" t="s">
        <v>10159</v>
      </c>
      <c r="O1699" s="9" t="s">
        <v>9699</v>
      </c>
      <c r="P1699" s="9" t="str">
        <f>HYPERLINK("https://seichotoushi-hojo.jp/assets/pdf/koufu_3_4ji/outline_153.pdf","PDFを開く")</f>
        <v>PDFを開く</v>
      </c>
      <c r="Q1699" s="9" t="s">
        <v>2683</v>
      </c>
    </row>
    <row r="1700" spans="1:17" ht="62.1" customHeight="1">
      <c r="A1700" s="2" t="s">
        <v>2676</v>
      </c>
      <c r="B1700" s="2" t="s">
        <v>2430</v>
      </c>
      <c r="C1700" s="8" t="s">
        <v>2677</v>
      </c>
      <c r="D1700" s="2">
        <v>1</v>
      </c>
      <c r="E1700" s="8" t="s">
        <v>10156</v>
      </c>
      <c r="F1700" s="2">
        <v>3</v>
      </c>
      <c r="G1700" s="8" t="s">
        <v>10163</v>
      </c>
      <c r="H1700" s="8" t="s">
        <v>10163</v>
      </c>
      <c r="I1700" s="2">
        <v>396.3</v>
      </c>
      <c r="J1700" s="2">
        <v>314.76</v>
      </c>
      <c r="K1700" s="2">
        <v>739.78</v>
      </c>
      <c r="L1700" s="2">
        <v>510.1</v>
      </c>
      <c r="M1700" s="8"/>
      <c r="N1700" s="8" t="s">
        <v>10159</v>
      </c>
      <c r="O1700" s="8" t="s">
        <v>9701</v>
      </c>
      <c r="P1700" s="8" t="str">
        <f>HYPERLINK("https://seichotoushi-hojo.jp/assets/pdf/koufu_3_4ji/outline_153.pdf","PDFを開く")</f>
        <v>PDFを開く</v>
      </c>
      <c r="Q1700" s="8" t="s">
        <v>2683</v>
      </c>
    </row>
    <row r="1701" spans="1:17" ht="62.1" customHeight="1">
      <c r="A1701" s="5" t="s">
        <v>2676</v>
      </c>
      <c r="B1701" s="5" t="s">
        <v>2430</v>
      </c>
      <c r="C1701" s="9" t="s">
        <v>2677</v>
      </c>
      <c r="D1701" s="5">
        <v>1</v>
      </c>
      <c r="E1701" s="9" t="s">
        <v>10156</v>
      </c>
      <c r="F1701" s="5">
        <v>4</v>
      </c>
      <c r="G1701" s="9" t="s">
        <v>8581</v>
      </c>
      <c r="H1701" s="9" t="s">
        <v>8581</v>
      </c>
      <c r="I1701" s="5">
        <v>39.549999999999997</v>
      </c>
      <c r="J1701" s="5">
        <v>430.97</v>
      </c>
      <c r="K1701" s="5">
        <v>359.05</v>
      </c>
      <c r="L1701" s="5">
        <v>499.22</v>
      </c>
      <c r="M1701" s="9"/>
      <c r="N1701" s="9" t="s">
        <v>10159</v>
      </c>
      <c r="O1701" s="9" t="s">
        <v>2681</v>
      </c>
      <c r="P1701" s="9" t="str">
        <f>HYPERLINK("https://seichotoushi-hojo.jp/assets/pdf/koufu_3_4ji/outline_153.pdf","PDFを開く")</f>
        <v>PDFを開く</v>
      </c>
      <c r="Q1701" s="9" t="s">
        <v>2683</v>
      </c>
    </row>
    <row r="1702" spans="1:17" ht="62.1" customHeight="1">
      <c r="A1702" s="2" t="s">
        <v>2684</v>
      </c>
      <c r="B1702" s="2" t="s">
        <v>2430</v>
      </c>
      <c r="C1702" s="8" t="s">
        <v>2685</v>
      </c>
      <c r="D1702" s="2">
        <v>1</v>
      </c>
      <c r="E1702" s="8" t="s">
        <v>10156</v>
      </c>
      <c r="F1702" s="2">
        <v>1</v>
      </c>
      <c r="G1702" s="8" t="s">
        <v>10167</v>
      </c>
      <c r="H1702" s="8" t="s">
        <v>10855</v>
      </c>
      <c r="I1702" s="2">
        <v>42.84</v>
      </c>
      <c r="J1702" s="2">
        <v>109.8</v>
      </c>
      <c r="K1702" s="2">
        <v>423.6</v>
      </c>
      <c r="L1702" s="2">
        <v>560.64</v>
      </c>
      <c r="M1702" s="8"/>
      <c r="N1702" s="8" t="s">
        <v>10159</v>
      </c>
      <c r="O1702" s="8" t="s">
        <v>10856</v>
      </c>
      <c r="P1702" s="8" t="str">
        <f t="shared" ref="P1702:P1708" si="101">HYPERLINK("https://seichotoushi-hojo.jp/assets/pdf/koufu_3_4ji/outline_154.pdf","PDFを開く")</f>
        <v>PDFを開く</v>
      </c>
      <c r="Q1702" s="8" t="s">
        <v>2692</v>
      </c>
    </row>
    <row r="1703" spans="1:17" ht="62.1" customHeight="1">
      <c r="A1703" s="5" t="s">
        <v>2684</v>
      </c>
      <c r="B1703" s="5" t="s">
        <v>2430</v>
      </c>
      <c r="C1703" s="9" t="s">
        <v>2685</v>
      </c>
      <c r="D1703" s="5">
        <v>2</v>
      </c>
      <c r="E1703" s="9" t="s">
        <v>10156</v>
      </c>
      <c r="F1703" s="5">
        <v>1</v>
      </c>
      <c r="G1703" s="9" t="s">
        <v>10167</v>
      </c>
      <c r="H1703" s="9" t="s">
        <v>10857</v>
      </c>
      <c r="I1703" s="5">
        <v>388.32</v>
      </c>
      <c r="J1703" s="5">
        <v>367.08</v>
      </c>
      <c r="K1703" s="5">
        <v>822.48</v>
      </c>
      <c r="L1703" s="5">
        <v>571.32000000000005</v>
      </c>
      <c r="M1703" s="9"/>
      <c r="N1703" s="9" t="s">
        <v>10159</v>
      </c>
      <c r="O1703" s="9" t="s">
        <v>10858</v>
      </c>
      <c r="P1703" s="9" t="str">
        <f t="shared" si="101"/>
        <v>PDFを開く</v>
      </c>
      <c r="Q1703" s="9" t="s">
        <v>2692</v>
      </c>
    </row>
    <row r="1704" spans="1:17" ht="62.1" customHeight="1">
      <c r="A1704" s="2" t="s">
        <v>2684</v>
      </c>
      <c r="B1704" s="2" t="s">
        <v>2430</v>
      </c>
      <c r="C1704" s="8" t="s">
        <v>2685</v>
      </c>
      <c r="D1704" s="2">
        <v>3</v>
      </c>
      <c r="E1704" s="8" t="s">
        <v>10156</v>
      </c>
      <c r="F1704" s="2">
        <v>1</v>
      </c>
      <c r="G1704" s="8" t="s">
        <v>9578</v>
      </c>
      <c r="H1704" s="8" t="s">
        <v>9578</v>
      </c>
      <c r="I1704" s="2">
        <v>42.84</v>
      </c>
      <c r="J1704" s="2">
        <v>109.8</v>
      </c>
      <c r="K1704" s="2">
        <v>408.84</v>
      </c>
      <c r="L1704" s="2">
        <v>560.64</v>
      </c>
      <c r="M1704" s="8"/>
      <c r="N1704" s="8" t="s">
        <v>10159</v>
      </c>
      <c r="O1704" s="8" t="s">
        <v>9706</v>
      </c>
      <c r="P1704" s="8" t="str">
        <f t="shared" si="101"/>
        <v>PDFを開く</v>
      </c>
      <c r="Q1704" s="8" t="s">
        <v>2692</v>
      </c>
    </row>
    <row r="1705" spans="1:17" ht="62.1" customHeight="1">
      <c r="A1705" s="5" t="s">
        <v>2684</v>
      </c>
      <c r="B1705" s="5" t="s">
        <v>2430</v>
      </c>
      <c r="C1705" s="9" t="s">
        <v>2685</v>
      </c>
      <c r="D1705" s="5">
        <v>3</v>
      </c>
      <c r="E1705" s="9" t="s">
        <v>10156</v>
      </c>
      <c r="F1705" s="5">
        <v>2</v>
      </c>
      <c r="G1705" s="9" t="s">
        <v>10162</v>
      </c>
      <c r="H1705" s="9" t="s">
        <v>10162</v>
      </c>
      <c r="I1705" s="5">
        <v>428.4</v>
      </c>
      <c r="J1705" s="5">
        <v>112.2</v>
      </c>
      <c r="K1705" s="5">
        <v>799.08</v>
      </c>
      <c r="L1705" s="5">
        <v>329.76</v>
      </c>
      <c r="M1705" s="9"/>
      <c r="N1705" s="9" t="s">
        <v>10159</v>
      </c>
      <c r="O1705" s="9" t="s">
        <v>9707</v>
      </c>
      <c r="P1705" s="9" t="str">
        <f t="shared" si="101"/>
        <v>PDFを開く</v>
      </c>
      <c r="Q1705" s="9" t="s">
        <v>2692</v>
      </c>
    </row>
    <row r="1706" spans="1:17" ht="62.1" customHeight="1">
      <c r="A1706" s="2" t="s">
        <v>2684</v>
      </c>
      <c r="B1706" s="2" t="s">
        <v>2430</v>
      </c>
      <c r="C1706" s="8" t="s">
        <v>2685</v>
      </c>
      <c r="D1706" s="2">
        <v>3</v>
      </c>
      <c r="E1706" s="8" t="s">
        <v>10156</v>
      </c>
      <c r="F1706" s="2">
        <v>3</v>
      </c>
      <c r="G1706" s="8" t="s">
        <v>10163</v>
      </c>
      <c r="H1706" s="8" t="s">
        <v>10163</v>
      </c>
      <c r="I1706" s="2">
        <v>427.8</v>
      </c>
      <c r="J1706" s="2">
        <v>345.24</v>
      </c>
      <c r="K1706" s="2">
        <v>798.48</v>
      </c>
      <c r="L1706" s="2">
        <v>534.72</v>
      </c>
      <c r="M1706" s="8"/>
      <c r="N1706" s="8" t="s">
        <v>10159</v>
      </c>
      <c r="O1706" s="8" t="s">
        <v>9708</v>
      </c>
      <c r="P1706" s="8" t="str">
        <f t="shared" si="101"/>
        <v>PDFを開く</v>
      </c>
      <c r="Q1706" s="8" t="s">
        <v>2692</v>
      </c>
    </row>
    <row r="1707" spans="1:17" ht="62.1" customHeight="1">
      <c r="A1707" s="5" t="s">
        <v>2684</v>
      </c>
      <c r="B1707" s="5" t="s">
        <v>2430</v>
      </c>
      <c r="C1707" s="9" t="s">
        <v>2685</v>
      </c>
      <c r="D1707" s="5">
        <v>3</v>
      </c>
      <c r="E1707" s="9" t="s">
        <v>10156</v>
      </c>
      <c r="F1707" s="5">
        <v>4</v>
      </c>
      <c r="G1707" s="9" t="s">
        <v>8581</v>
      </c>
      <c r="H1707" s="9" t="s">
        <v>8581</v>
      </c>
      <c r="I1707" s="5">
        <v>54.6</v>
      </c>
      <c r="J1707" s="5">
        <v>357.72</v>
      </c>
      <c r="K1707" s="5">
        <v>399.48</v>
      </c>
      <c r="L1707" s="5">
        <v>379.8</v>
      </c>
      <c r="M1707" s="9"/>
      <c r="N1707" s="9" t="s">
        <v>10159</v>
      </c>
      <c r="O1707" s="9" t="s">
        <v>9709</v>
      </c>
      <c r="P1707" s="9" t="str">
        <f t="shared" si="101"/>
        <v>PDFを開く</v>
      </c>
      <c r="Q1707" s="9" t="s">
        <v>2692</v>
      </c>
    </row>
    <row r="1708" spans="1:17" ht="62.1" customHeight="1">
      <c r="A1708" s="2" t="s">
        <v>2684</v>
      </c>
      <c r="B1708" s="2" t="s">
        <v>2430</v>
      </c>
      <c r="C1708" s="8" t="s">
        <v>2685</v>
      </c>
      <c r="D1708" s="2">
        <v>4</v>
      </c>
      <c r="E1708" s="8" t="s">
        <v>10165</v>
      </c>
      <c r="F1708" s="2">
        <v>1</v>
      </c>
      <c r="G1708" s="8" t="s">
        <v>10167</v>
      </c>
      <c r="H1708" s="8" t="s">
        <v>10859</v>
      </c>
      <c r="I1708" s="2">
        <v>136.91999999999999</v>
      </c>
      <c r="J1708" s="2">
        <v>436.68</v>
      </c>
      <c r="K1708" s="2">
        <v>566.76</v>
      </c>
      <c r="L1708" s="2">
        <v>467.16</v>
      </c>
      <c r="M1708" s="8"/>
      <c r="N1708" s="8" t="s">
        <v>10159</v>
      </c>
      <c r="O1708" s="8" t="s">
        <v>10859</v>
      </c>
      <c r="P1708" s="8" t="str">
        <f t="shared" si="101"/>
        <v>PDFを開く</v>
      </c>
      <c r="Q1708" s="8" t="s">
        <v>2692</v>
      </c>
    </row>
    <row r="1709" spans="1:17" ht="62.1" customHeight="1">
      <c r="A1709" s="5" t="s">
        <v>2693</v>
      </c>
      <c r="B1709" s="5" t="s">
        <v>2430</v>
      </c>
      <c r="C1709" s="9" t="s">
        <v>2694</v>
      </c>
      <c r="D1709" s="5">
        <v>1</v>
      </c>
      <c r="E1709" s="9" t="s">
        <v>10156</v>
      </c>
      <c r="F1709" s="5">
        <v>1</v>
      </c>
      <c r="G1709" s="9" t="s">
        <v>9578</v>
      </c>
      <c r="H1709" s="9" t="s">
        <v>9578</v>
      </c>
      <c r="I1709" s="5">
        <v>39.659999999999997</v>
      </c>
      <c r="J1709" s="5">
        <v>108.49</v>
      </c>
      <c r="K1709" s="5">
        <v>378.79</v>
      </c>
      <c r="L1709" s="5">
        <v>499.73</v>
      </c>
      <c r="M1709" s="9"/>
      <c r="N1709" s="9" t="s">
        <v>10159</v>
      </c>
      <c r="O1709" s="9" t="s">
        <v>9714</v>
      </c>
      <c r="P1709" s="9" t="str">
        <f>HYPERLINK("https://seichotoushi-hojo.jp/assets/pdf/koufu_3_4ji/outline_155.pdf","PDFを開く")</f>
        <v>PDFを開く</v>
      </c>
      <c r="Q1709" s="9" t="s">
        <v>2699</v>
      </c>
    </row>
    <row r="1710" spans="1:17" ht="62.1" customHeight="1">
      <c r="A1710" s="2" t="s">
        <v>2693</v>
      </c>
      <c r="B1710" s="2" t="s">
        <v>2430</v>
      </c>
      <c r="C1710" s="8" t="s">
        <v>2694</v>
      </c>
      <c r="D1710" s="2">
        <v>1</v>
      </c>
      <c r="E1710" s="8" t="s">
        <v>10156</v>
      </c>
      <c r="F1710" s="2">
        <v>2</v>
      </c>
      <c r="G1710" s="8" t="s">
        <v>10162</v>
      </c>
      <c r="H1710" s="8" t="s">
        <v>10162</v>
      </c>
      <c r="I1710" s="2">
        <v>396.3</v>
      </c>
      <c r="J1710" s="2">
        <v>111.44</v>
      </c>
      <c r="K1710" s="2">
        <v>739.78</v>
      </c>
      <c r="L1710" s="2">
        <v>293.98</v>
      </c>
      <c r="M1710" s="8"/>
      <c r="N1710" s="8" t="s">
        <v>10159</v>
      </c>
      <c r="O1710" s="8" t="s">
        <v>9715</v>
      </c>
      <c r="P1710" s="8" t="str">
        <f>HYPERLINK("https://seichotoushi-hojo.jp/assets/pdf/koufu_3_4ji/outline_155.pdf","PDFを開く")</f>
        <v>PDFを開く</v>
      </c>
      <c r="Q1710" s="8" t="s">
        <v>2699</v>
      </c>
    </row>
    <row r="1711" spans="1:17" ht="62.1" customHeight="1">
      <c r="A1711" s="5" t="s">
        <v>2693</v>
      </c>
      <c r="B1711" s="5" t="s">
        <v>2430</v>
      </c>
      <c r="C1711" s="9" t="s">
        <v>2694</v>
      </c>
      <c r="D1711" s="5">
        <v>1</v>
      </c>
      <c r="E1711" s="9" t="s">
        <v>10156</v>
      </c>
      <c r="F1711" s="5">
        <v>3</v>
      </c>
      <c r="G1711" s="9" t="s">
        <v>10163</v>
      </c>
      <c r="H1711" s="9" t="s">
        <v>10163</v>
      </c>
      <c r="I1711" s="5">
        <v>396.3</v>
      </c>
      <c r="J1711" s="5">
        <v>302.51</v>
      </c>
      <c r="K1711" s="5">
        <v>739.78</v>
      </c>
      <c r="L1711" s="5">
        <v>499.73</v>
      </c>
      <c r="M1711" s="9"/>
      <c r="N1711" s="9" t="s">
        <v>10159</v>
      </c>
      <c r="O1711" s="9" t="s">
        <v>9716</v>
      </c>
      <c r="P1711" s="9" t="str">
        <f>HYPERLINK("https://seichotoushi-hojo.jp/assets/pdf/koufu_3_4ji/outline_155.pdf","PDFを開く")</f>
        <v>PDFを開く</v>
      </c>
      <c r="Q1711" s="9" t="s">
        <v>2699</v>
      </c>
    </row>
    <row r="1712" spans="1:17" ht="62.1" customHeight="1">
      <c r="A1712" s="2" t="s">
        <v>2693</v>
      </c>
      <c r="B1712" s="2" t="s">
        <v>2430</v>
      </c>
      <c r="C1712" s="8" t="s">
        <v>2694</v>
      </c>
      <c r="D1712" s="2">
        <v>1</v>
      </c>
      <c r="E1712" s="8" t="s">
        <v>10156</v>
      </c>
      <c r="F1712" s="2">
        <v>4</v>
      </c>
      <c r="G1712" s="8" t="s">
        <v>8581</v>
      </c>
      <c r="H1712" s="8" t="s">
        <v>8581</v>
      </c>
      <c r="I1712" s="2">
        <v>48</v>
      </c>
      <c r="J1712" s="2">
        <v>418.5</v>
      </c>
      <c r="K1712" s="2">
        <v>367.5</v>
      </c>
      <c r="L1712" s="2">
        <v>486.75</v>
      </c>
      <c r="M1712" s="8"/>
      <c r="N1712" s="8" t="s">
        <v>10159</v>
      </c>
      <c r="O1712" s="8" t="s">
        <v>2697</v>
      </c>
      <c r="P1712" s="8" t="str">
        <f>HYPERLINK("https://seichotoushi-hojo.jp/assets/pdf/koufu_3_4ji/outline_155.pdf","PDFを開く")</f>
        <v>PDFを開く</v>
      </c>
      <c r="Q1712" s="8" t="s">
        <v>2699</v>
      </c>
    </row>
    <row r="1713" spans="1:17" ht="62.1" customHeight="1">
      <c r="A1713" s="5" t="s">
        <v>2700</v>
      </c>
      <c r="B1713" s="5" t="s">
        <v>2430</v>
      </c>
      <c r="C1713" s="9" t="s">
        <v>2701</v>
      </c>
      <c r="D1713" s="5">
        <v>1</v>
      </c>
      <c r="E1713" s="9" t="s">
        <v>10156</v>
      </c>
      <c r="F1713" s="5">
        <v>1</v>
      </c>
      <c r="G1713" s="9" t="s">
        <v>10162</v>
      </c>
      <c r="H1713" s="9" t="s">
        <v>10162</v>
      </c>
      <c r="I1713" s="5">
        <v>427.8</v>
      </c>
      <c r="J1713" s="5">
        <v>120.84</v>
      </c>
      <c r="K1713" s="5">
        <v>798.48</v>
      </c>
      <c r="L1713" s="5">
        <v>321.83999999999997</v>
      </c>
      <c r="M1713" s="9"/>
      <c r="N1713" s="9" t="s">
        <v>10159</v>
      </c>
      <c r="O1713" s="9" t="s">
        <v>9722</v>
      </c>
      <c r="P1713" s="9" t="str">
        <f t="shared" ref="P1713:P1719" si="102">HYPERLINK("https://seichotoushi-hojo.jp/assets/pdf/koufu_3_4ji/outline_156.pdf","PDFを開く")</f>
        <v>PDFを開く</v>
      </c>
      <c r="Q1713" s="9" t="s">
        <v>2708</v>
      </c>
    </row>
    <row r="1714" spans="1:17" ht="62.1" customHeight="1">
      <c r="A1714" s="2" t="s">
        <v>2700</v>
      </c>
      <c r="B1714" s="2" t="s">
        <v>2430</v>
      </c>
      <c r="C1714" s="8" t="s">
        <v>2701</v>
      </c>
      <c r="D1714" s="2">
        <v>1</v>
      </c>
      <c r="E1714" s="8" t="s">
        <v>10156</v>
      </c>
      <c r="F1714" s="2">
        <v>2</v>
      </c>
      <c r="G1714" s="8" t="s">
        <v>10167</v>
      </c>
      <c r="H1714" s="8" t="s">
        <v>10860</v>
      </c>
      <c r="I1714" s="2">
        <v>38.159999999999997</v>
      </c>
      <c r="J1714" s="2">
        <v>145.08000000000001</v>
      </c>
      <c r="K1714" s="2">
        <v>405.72</v>
      </c>
      <c r="L1714" s="2">
        <v>189.6</v>
      </c>
      <c r="M1714" s="8"/>
      <c r="N1714" s="8" t="s">
        <v>10159</v>
      </c>
      <c r="O1714" s="8" t="s">
        <v>10861</v>
      </c>
      <c r="P1714" s="8" t="str">
        <f t="shared" si="102"/>
        <v>PDFを開く</v>
      </c>
      <c r="Q1714" s="8" t="s">
        <v>2708</v>
      </c>
    </row>
    <row r="1715" spans="1:17" ht="62.1" customHeight="1">
      <c r="A1715" s="5" t="s">
        <v>2700</v>
      </c>
      <c r="B1715" s="5" t="s">
        <v>2430</v>
      </c>
      <c r="C1715" s="9" t="s">
        <v>2701</v>
      </c>
      <c r="D1715" s="5">
        <v>1</v>
      </c>
      <c r="E1715" s="9" t="s">
        <v>10156</v>
      </c>
      <c r="F1715" s="5">
        <v>3</v>
      </c>
      <c r="G1715" s="9" t="s">
        <v>10167</v>
      </c>
      <c r="H1715" s="9" t="s">
        <v>10862</v>
      </c>
      <c r="I1715" s="5">
        <v>38.159999999999997</v>
      </c>
      <c r="J1715" s="5">
        <v>230.88</v>
      </c>
      <c r="K1715" s="5">
        <v>405.72</v>
      </c>
      <c r="L1715" s="5">
        <v>275.27999999999997</v>
      </c>
      <c r="M1715" s="9"/>
      <c r="N1715" s="9" t="s">
        <v>10159</v>
      </c>
      <c r="O1715" s="9" t="s">
        <v>10863</v>
      </c>
      <c r="P1715" s="9" t="str">
        <f t="shared" si="102"/>
        <v>PDFを開く</v>
      </c>
      <c r="Q1715" s="9" t="s">
        <v>2708</v>
      </c>
    </row>
    <row r="1716" spans="1:17" ht="62.1" customHeight="1">
      <c r="A1716" s="2" t="s">
        <v>2700</v>
      </c>
      <c r="B1716" s="2" t="s">
        <v>2430</v>
      </c>
      <c r="C1716" s="8" t="s">
        <v>2701</v>
      </c>
      <c r="D1716" s="2">
        <v>1</v>
      </c>
      <c r="E1716" s="8" t="s">
        <v>10156</v>
      </c>
      <c r="F1716" s="2">
        <v>4</v>
      </c>
      <c r="G1716" s="8" t="s">
        <v>9578</v>
      </c>
      <c r="H1716" s="8" t="s">
        <v>9578</v>
      </c>
      <c r="I1716" s="2">
        <v>38.159999999999997</v>
      </c>
      <c r="J1716" s="2">
        <v>290.76</v>
      </c>
      <c r="K1716" s="2">
        <v>405.36</v>
      </c>
      <c r="L1716" s="2">
        <v>318.36</v>
      </c>
      <c r="M1716" s="8"/>
      <c r="N1716" s="8" t="s">
        <v>10159</v>
      </c>
      <c r="O1716" s="8" t="s">
        <v>9721</v>
      </c>
      <c r="P1716" s="8" t="str">
        <f t="shared" si="102"/>
        <v>PDFを開く</v>
      </c>
      <c r="Q1716" s="8" t="s">
        <v>2708</v>
      </c>
    </row>
    <row r="1717" spans="1:17" ht="62.1" customHeight="1">
      <c r="A1717" s="5" t="s">
        <v>2700</v>
      </c>
      <c r="B1717" s="5" t="s">
        <v>2430</v>
      </c>
      <c r="C1717" s="9" t="s">
        <v>2701</v>
      </c>
      <c r="D1717" s="5">
        <v>1</v>
      </c>
      <c r="E1717" s="9" t="s">
        <v>10156</v>
      </c>
      <c r="F1717" s="5">
        <v>5</v>
      </c>
      <c r="G1717" s="9" t="s">
        <v>10167</v>
      </c>
      <c r="H1717" s="9" t="s">
        <v>10864</v>
      </c>
      <c r="I1717" s="5">
        <v>38.520000000000003</v>
      </c>
      <c r="J1717" s="5">
        <v>318.36</v>
      </c>
      <c r="K1717" s="5">
        <v>405.72</v>
      </c>
      <c r="L1717" s="5">
        <v>569.16</v>
      </c>
      <c r="M1717" s="9"/>
      <c r="N1717" s="9" t="s">
        <v>10159</v>
      </c>
      <c r="O1717" s="9" t="s">
        <v>10865</v>
      </c>
      <c r="P1717" s="9" t="str">
        <f t="shared" si="102"/>
        <v>PDFを開く</v>
      </c>
      <c r="Q1717" s="9" t="s">
        <v>2708</v>
      </c>
    </row>
    <row r="1718" spans="1:17" ht="62.1" customHeight="1">
      <c r="A1718" s="2" t="s">
        <v>2700</v>
      </c>
      <c r="B1718" s="2" t="s">
        <v>2430</v>
      </c>
      <c r="C1718" s="8" t="s">
        <v>2701</v>
      </c>
      <c r="D1718" s="2">
        <v>1</v>
      </c>
      <c r="E1718" s="8" t="s">
        <v>10156</v>
      </c>
      <c r="F1718" s="2">
        <v>6</v>
      </c>
      <c r="G1718" s="8" t="s">
        <v>10163</v>
      </c>
      <c r="H1718" s="8" t="s">
        <v>10163</v>
      </c>
      <c r="I1718" s="2">
        <v>427.8</v>
      </c>
      <c r="J1718" s="2">
        <v>338.28</v>
      </c>
      <c r="K1718" s="2">
        <v>798.48</v>
      </c>
      <c r="L1718" s="2">
        <v>567.12</v>
      </c>
      <c r="M1718" s="8"/>
      <c r="N1718" s="8" t="s">
        <v>10159</v>
      </c>
      <c r="O1718" s="8" t="s">
        <v>9723</v>
      </c>
      <c r="P1718" s="8" t="str">
        <f t="shared" si="102"/>
        <v>PDFを開く</v>
      </c>
      <c r="Q1718" s="8" t="s">
        <v>2708</v>
      </c>
    </row>
    <row r="1719" spans="1:17" ht="62.1" customHeight="1">
      <c r="A1719" s="5" t="s">
        <v>2700</v>
      </c>
      <c r="B1719" s="5" t="s">
        <v>2430</v>
      </c>
      <c r="C1719" s="9" t="s">
        <v>2701</v>
      </c>
      <c r="D1719" s="5">
        <v>1</v>
      </c>
      <c r="E1719" s="9" t="s">
        <v>10156</v>
      </c>
      <c r="F1719" s="5">
        <v>7</v>
      </c>
      <c r="G1719" s="9" t="s">
        <v>10167</v>
      </c>
      <c r="H1719" s="9" t="s">
        <v>10866</v>
      </c>
      <c r="I1719" s="5">
        <v>45.84</v>
      </c>
      <c r="J1719" s="5">
        <v>482.64</v>
      </c>
      <c r="K1719" s="5">
        <v>398.64</v>
      </c>
      <c r="L1719" s="5">
        <v>558.96</v>
      </c>
      <c r="M1719" s="9"/>
      <c r="N1719" s="9" t="s">
        <v>10159</v>
      </c>
      <c r="O1719" s="9" t="s">
        <v>2705</v>
      </c>
      <c r="P1719" s="9" t="str">
        <f t="shared" si="102"/>
        <v>PDFを開く</v>
      </c>
      <c r="Q1719" s="9" t="s">
        <v>2708</v>
      </c>
    </row>
    <row r="1720" spans="1:17" ht="62.1" customHeight="1">
      <c r="A1720" s="2" t="s">
        <v>2709</v>
      </c>
      <c r="B1720" s="2" t="s">
        <v>2430</v>
      </c>
      <c r="C1720" s="8" t="s">
        <v>2710</v>
      </c>
      <c r="D1720" s="2">
        <v>1</v>
      </c>
      <c r="E1720" s="8" t="s">
        <v>10156</v>
      </c>
      <c r="F1720" s="2">
        <v>1</v>
      </c>
      <c r="G1720" s="8" t="s">
        <v>9578</v>
      </c>
      <c r="H1720" s="8" t="s">
        <v>9578</v>
      </c>
      <c r="I1720" s="2">
        <v>10.92</v>
      </c>
      <c r="J1720" s="2">
        <v>95.88</v>
      </c>
      <c r="K1720" s="2">
        <v>384.48</v>
      </c>
      <c r="L1720" s="2">
        <v>527.52</v>
      </c>
      <c r="M1720" s="8"/>
      <c r="N1720" s="8" t="s">
        <v>10159</v>
      </c>
      <c r="O1720" s="8" t="s">
        <v>9728</v>
      </c>
      <c r="P1720" s="8" t="str">
        <f>HYPERLINK("https://seichotoushi-hojo.jp/assets/pdf/koufu_3_4ji/outline_157.pdf","PDFを開く")</f>
        <v>PDFを開く</v>
      </c>
      <c r="Q1720" s="8" t="s">
        <v>2716</v>
      </c>
    </row>
    <row r="1721" spans="1:17" ht="62.1" customHeight="1">
      <c r="A1721" s="5" t="s">
        <v>2709</v>
      </c>
      <c r="B1721" s="5" t="s">
        <v>2430</v>
      </c>
      <c r="C1721" s="9" t="s">
        <v>2710</v>
      </c>
      <c r="D1721" s="5">
        <v>1</v>
      </c>
      <c r="E1721" s="9" t="s">
        <v>10156</v>
      </c>
      <c r="F1721" s="5">
        <v>2</v>
      </c>
      <c r="G1721" s="9" t="s">
        <v>10162</v>
      </c>
      <c r="H1721" s="9" t="s">
        <v>10162</v>
      </c>
      <c r="I1721" s="5">
        <v>402.24</v>
      </c>
      <c r="J1721" s="5">
        <v>98.52</v>
      </c>
      <c r="K1721" s="5">
        <v>745.68</v>
      </c>
      <c r="L1721" s="5">
        <v>265.56</v>
      </c>
      <c r="M1721" s="9"/>
      <c r="N1721" s="9" t="s">
        <v>10159</v>
      </c>
      <c r="O1721" s="9" t="s">
        <v>9729</v>
      </c>
      <c r="P1721" s="9" t="str">
        <f>HYPERLINK("https://seichotoushi-hojo.jp/assets/pdf/koufu_3_4ji/outline_157.pdf","PDFを開く")</f>
        <v>PDFを開く</v>
      </c>
      <c r="Q1721" s="9" t="s">
        <v>2716</v>
      </c>
    </row>
    <row r="1722" spans="1:17" ht="62.1" customHeight="1">
      <c r="A1722" s="2" t="s">
        <v>2709</v>
      </c>
      <c r="B1722" s="2" t="s">
        <v>2430</v>
      </c>
      <c r="C1722" s="8" t="s">
        <v>2710</v>
      </c>
      <c r="D1722" s="2">
        <v>1</v>
      </c>
      <c r="E1722" s="8" t="s">
        <v>10156</v>
      </c>
      <c r="F1722" s="2">
        <v>3</v>
      </c>
      <c r="G1722" s="8" t="s">
        <v>10163</v>
      </c>
      <c r="H1722" s="8" t="s">
        <v>10163</v>
      </c>
      <c r="I1722" s="2">
        <v>402.24</v>
      </c>
      <c r="J1722" s="2">
        <v>275.64</v>
      </c>
      <c r="K1722" s="2">
        <v>745.68</v>
      </c>
      <c r="L1722" s="2">
        <v>527.52</v>
      </c>
      <c r="M1722" s="8"/>
      <c r="N1722" s="8" t="s">
        <v>10159</v>
      </c>
      <c r="O1722" s="8" t="s">
        <v>9730</v>
      </c>
      <c r="P1722" s="8" t="str">
        <f>HYPERLINK("https://seichotoushi-hojo.jp/assets/pdf/koufu_3_4ji/outline_157.pdf","PDFを開く")</f>
        <v>PDFを開く</v>
      </c>
      <c r="Q1722" s="8" t="s">
        <v>2716</v>
      </c>
    </row>
    <row r="1723" spans="1:17" ht="62.1" customHeight="1">
      <c r="A1723" s="5" t="s">
        <v>2709</v>
      </c>
      <c r="B1723" s="5" t="s">
        <v>2430</v>
      </c>
      <c r="C1723" s="9" t="s">
        <v>2710</v>
      </c>
      <c r="D1723" s="5">
        <v>1</v>
      </c>
      <c r="E1723" s="9" t="s">
        <v>10156</v>
      </c>
      <c r="F1723" s="5">
        <v>4</v>
      </c>
      <c r="G1723" s="9" t="s">
        <v>8581</v>
      </c>
      <c r="H1723" s="9" t="s">
        <v>8581</v>
      </c>
      <c r="I1723" s="5">
        <v>18.239999999999998</v>
      </c>
      <c r="J1723" s="5">
        <v>411.36</v>
      </c>
      <c r="K1723" s="5">
        <v>374.04</v>
      </c>
      <c r="L1723" s="5">
        <v>504.96</v>
      </c>
      <c r="M1723" s="9"/>
      <c r="N1723" s="9" t="s">
        <v>10159</v>
      </c>
      <c r="O1723" s="9" t="s">
        <v>9731</v>
      </c>
      <c r="P1723" s="9" t="str">
        <f>HYPERLINK("https://seichotoushi-hojo.jp/assets/pdf/koufu_3_4ji/outline_157.pdf","PDFを開く")</f>
        <v>PDFを開く</v>
      </c>
      <c r="Q1723" s="9" t="s">
        <v>2716</v>
      </c>
    </row>
    <row r="1724" spans="1:17" ht="62.1" customHeight="1">
      <c r="A1724" s="2" t="s">
        <v>2717</v>
      </c>
      <c r="B1724" s="2" t="s">
        <v>2430</v>
      </c>
      <c r="C1724" s="8" t="s">
        <v>2718</v>
      </c>
      <c r="D1724" s="2">
        <v>1</v>
      </c>
      <c r="E1724" s="8" t="s">
        <v>10156</v>
      </c>
      <c r="F1724" s="2">
        <v>1</v>
      </c>
      <c r="G1724" s="8" t="s">
        <v>9578</v>
      </c>
      <c r="H1724" s="8" t="s">
        <v>9578</v>
      </c>
      <c r="I1724" s="2">
        <v>13.56</v>
      </c>
      <c r="J1724" s="2">
        <v>104.04</v>
      </c>
      <c r="K1724" s="2">
        <v>760.68</v>
      </c>
      <c r="L1724" s="2">
        <v>391.32</v>
      </c>
      <c r="M1724" s="8"/>
      <c r="N1724" s="8" t="s">
        <v>10159</v>
      </c>
      <c r="O1724" s="8" t="s">
        <v>9736</v>
      </c>
      <c r="P1724" s="8" t="str">
        <f t="shared" ref="P1724:P1732" si="103">HYPERLINK("https://seichotoushi-hojo.jp/assets/pdf/koufu_3_4ji/outline_158.pdf","PDFを開く")</f>
        <v>PDFを開く</v>
      </c>
      <c r="Q1724" s="8" t="s">
        <v>2724</v>
      </c>
    </row>
    <row r="1725" spans="1:17" ht="62.1" customHeight="1">
      <c r="A1725" s="5" t="s">
        <v>2717</v>
      </c>
      <c r="B1725" s="5" t="s">
        <v>2430</v>
      </c>
      <c r="C1725" s="9" t="s">
        <v>2718</v>
      </c>
      <c r="D1725" s="5">
        <v>1</v>
      </c>
      <c r="E1725" s="9" t="s">
        <v>10156</v>
      </c>
      <c r="F1725" s="5">
        <v>2</v>
      </c>
      <c r="G1725" s="9" t="s">
        <v>8581</v>
      </c>
      <c r="H1725" s="9" t="s">
        <v>8581</v>
      </c>
      <c r="I1725" s="5">
        <v>14.76</v>
      </c>
      <c r="J1725" s="5">
        <v>342.95</v>
      </c>
      <c r="K1725" s="5">
        <v>401.7</v>
      </c>
      <c r="L1725" s="5">
        <v>410.25</v>
      </c>
      <c r="M1725" s="9"/>
      <c r="N1725" s="9" t="s">
        <v>10181</v>
      </c>
      <c r="O1725" s="9" t="s">
        <v>9739</v>
      </c>
      <c r="P1725" s="9" t="str">
        <f t="shared" si="103"/>
        <v>PDFを開く</v>
      </c>
      <c r="Q1725" s="9" t="s">
        <v>2724</v>
      </c>
    </row>
    <row r="1726" spans="1:17" ht="62.1" customHeight="1">
      <c r="A1726" s="2" t="s">
        <v>2717</v>
      </c>
      <c r="B1726" s="2" t="s">
        <v>2430</v>
      </c>
      <c r="C1726" s="8" t="s">
        <v>2718</v>
      </c>
      <c r="D1726" s="2">
        <v>1</v>
      </c>
      <c r="E1726" s="8" t="s">
        <v>10156</v>
      </c>
      <c r="F1726" s="2">
        <v>3</v>
      </c>
      <c r="G1726" s="8" t="s">
        <v>10162</v>
      </c>
      <c r="H1726" s="8" t="s">
        <v>10162</v>
      </c>
      <c r="I1726" s="2">
        <v>154.19999999999999</v>
      </c>
      <c r="J1726" s="2">
        <v>409.25</v>
      </c>
      <c r="K1726" s="2">
        <v>401.7</v>
      </c>
      <c r="L1726" s="2">
        <v>525.20000000000005</v>
      </c>
      <c r="M1726" s="8"/>
      <c r="N1726" s="8" t="s">
        <v>10181</v>
      </c>
      <c r="O1726" s="8" t="s">
        <v>9737</v>
      </c>
      <c r="P1726" s="8" t="str">
        <f t="shared" si="103"/>
        <v>PDFを開く</v>
      </c>
      <c r="Q1726" s="8" t="s">
        <v>2724</v>
      </c>
    </row>
    <row r="1727" spans="1:17" ht="62.1" customHeight="1">
      <c r="A1727" s="5" t="s">
        <v>2717</v>
      </c>
      <c r="B1727" s="5" t="s">
        <v>2430</v>
      </c>
      <c r="C1727" s="9" t="s">
        <v>2718</v>
      </c>
      <c r="D1727" s="5">
        <v>1</v>
      </c>
      <c r="E1727" s="9" t="s">
        <v>10156</v>
      </c>
      <c r="F1727" s="5">
        <v>4</v>
      </c>
      <c r="G1727" s="9" t="s">
        <v>10163</v>
      </c>
      <c r="H1727" s="9" t="s">
        <v>10163</v>
      </c>
      <c r="I1727" s="5">
        <v>520.97</v>
      </c>
      <c r="J1727" s="5">
        <v>409.25</v>
      </c>
      <c r="K1727" s="5">
        <v>768.3</v>
      </c>
      <c r="L1727" s="5">
        <v>525.20000000000005</v>
      </c>
      <c r="M1727" s="9"/>
      <c r="N1727" s="9" t="s">
        <v>10181</v>
      </c>
      <c r="O1727" s="9" t="s">
        <v>9738</v>
      </c>
      <c r="P1727" s="9" t="str">
        <f t="shared" si="103"/>
        <v>PDFを開く</v>
      </c>
      <c r="Q1727" s="9" t="s">
        <v>2724</v>
      </c>
    </row>
    <row r="1728" spans="1:17" ht="62.1" customHeight="1">
      <c r="A1728" s="2" t="s">
        <v>2717</v>
      </c>
      <c r="B1728" s="2" t="s">
        <v>2430</v>
      </c>
      <c r="C1728" s="8" t="s">
        <v>2718</v>
      </c>
      <c r="D1728" s="2">
        <v>2</v>
      </c>
      <c r="E1728" s="8" t="s">
        <v>10165</v>
      </c>
      <c r="F1728" s="2">
        <v>1</v>
      </c>
      <c r="G1728" s="8" t="s">
        <v>10184</v>
      </c>
      <c r="H1728" s="8" t="s">
        <v>10184</v>
      </c>
      <c r="I1728" s="2">
        <v>126.24</v>
      </c>
      <c r="J1728" s="2">
        <v>288.64</v>
      </c>
      <c r="K1728" s="2">
        <v>401.7</v>
      </c>
      <c r="L1728" s="2">
        <v>484.04</v>
      </c>
      <c r="M1728" s="8"/>
      <c r="N1728" s="8" t="s">
        <v>10181</v>
      </c>
      <c r="O1728" s="8" t="s">
        <v>10867</v>
      </c>
      <c r="P1728" s="8" t="str">
        <f t="shared" si="103"/>
        <v>PDFを開く</v>
      </c>
      <c r="Q1728" s="8" t="s">
        <v>2724</v>
      </c>
    </row>
    <row r="1729" spans="1:17" ht="62.1" customHeight="1">
      <c r="A1729" s="5" t="s">
        <v>2717</v>
      </c>
      <c r="B1729" s="5" t="s">
        <v>2430</v>
      </c>
      <c r="C1729" s="9" t="s">
        <v>2718</v>
      </c>
      <c r="D1729" s="5">
        <v>3</v>
      </c>
      <c r="E1729" s="9" t="s">
        <v>10165</v>
      </c>
      <c r="F1729" s="5">
        <v>1</v>
      </c>
      <c r="G1729" s="9" t="s">
        <v>10184</v>
      </c>
      <c r="H1729" s="9" t="s">
        <v>10184</v>
      </c>
      <c r="I1729" s="5">
        <v>118.44</v>
      </c>
      <c r="J1729" s="5">
        <v>112.32</v>
      </c>
      <c r="K1729" s="5">
        <v>739.8</v>
      </c>
      <c r="L1729" s="5">
        <v>191.28</v>
      </c>
      <c r="M1729" s="9"/>
      <c r="N1729" s="9" t="s">
        <v>10159</v>
      </c>
      <c r="O1729" s="9" t="s">
        <v>10868</v>
      </c>
      <c r="P1729" s="9" t="str">
        <f t="shared" si="103"/>
        <v>PDFを開く</v>
      </c>
      <c r="Q1729" s="9" t="s">
        <v>2724</v>
      </c>
    </row>
    <row r="1730" spans="1:17" ht="62.1" customHeight="1">
      <c r="A1730" s="2" t="s">
        <v>2717</v>
      </c>
      <c r="B1730" s="2" t="s">
        <v>2430</v>
      </c>
      <c r="C1730" s="8" t="s">
        <v>2718</v>
      </c>
      <c r="D1730" s="2">
        <v>3</v>
      </c>
      <c r="E1730" s="8" t="s">
        <v>10165</v>
      </c>
      <c r="F1730" s="2">
        <v>2</v>
      </c>
      <c r="G1730" s="8" t="s">
        <v>10184</v>
      </c>
      <c r="H1730" s="8" t="s">
        <v>10184</v>
      </c>
      <c r="I1730" s="2">
        <v>117.36</v>
      </c>
      <c r="J1730" s="2">
        <v>388.08</v>
      </c>
      <c r="K1730" s="2">
        <v>730.2</v>
      </c>
      <c r="L1730" s="2">
        <v>513.12</v>
      </c>
      <c r="M1730" s="8"/>
      <c r="N1730" s="8" t="s">
        <v>10159</v>
      </c>
      <c r="O1730" s="8" t="s">
        <v>10869</v>
      </c>
      <c r="P1730" s="8" t="str">
        <f t="shared" si="103"/>
        <v>PDFを開く</v>
      </c>
      <c r="Q1730" s="8" t="s">
        <v>2724</v>
      </c>
    </row>
    <row r="1731" spans="1:17" ht="62.1" customHeight="1">
      <c r="A1731" s="5" t="s">
        <v>2717</v>
      </c>
      <c r="B1731" s="5" t="s">
        <v>2430</v>
      </c>
      <c r="C1731" s="9" t="s">
        <v>2718</v>
      </c>
      <c r="D1731" s="5">
        <v>4</v>
      </c>
      <c r="E1731" s="9" t="s">
        <v>10165</v>
      </c>
      <c r="F1731" s="5">
        <v>1</v>
      </c>
      <c r="G1731" s="9" t="s">
        <v>10167</v>
      </c>
      <c r="H1731" s="9" t="s">
        <v>10870</v>
      </c>
      <c r="I1731" s="5">
        <v>112.56</v>
      </c>
      <c r="J1731" s="5">
        <v>104.76</v>
      </c>
      <c r="K1731" s="5">
        <v>412.92</v>
      </c>
      <c r="L1731" s="5">
        <v>134.63999999999999</v>
      </c>
      <c r="M1731" s="9"/>
      <c r="N1731" s="9" t="s">
        <v>10159</v>
      </c>
      <c r="O1731" s="9" t="s">
        <v>10871</v>
      </c>
      <c r="P1731" s="9" t="str">
        <f t="shared" si="103"/>
        <v>PDFを開く</v>
      </c>
      <c r="Q1731" s="9" t="s">
        <v>2724</v>
      </c>
    </row>
    <row r="1732" spans="1:17" ht="62.1" customHeight="1">
      <c r="A1732" s="2" t="s">
        <v>2717</v>
      </c>
      <c r="B1732" s="2" t="s">
        <v>2430</v>
      </c>
      <c r="C1732" s="8" t="s">
        <v>2718</v>
      </c>
      <c r="D1732" s="2">
        <v>4</v>
      </c>
      <c r="E1732" s="8" t="s">
        <v>10165</v>
      </c>
      <c r="F1732" s="2">
        <v>2</v>
      </c>
      <c r="G1732" s="8" t="s">
        <v>10167</v>
      </c>
      <c r="H1732" s="8" t="s">
        <v>10872</v>
      </c>
      <c r="I1732" s="2">
        <v>434.04</v>
      </c>
      <c r="J1732" s="2">
        <v>105</v>
      </c>
      <c r="K1732" s="2">
        <v>739.8</v>
      </c>
      <c r="L1732" s="2">
        <v>135</v>
      </c>
      <c r="M1732" s="8"/>
      <c r="N1732" s="8" t="s">
        <v>10159</v>
      </c>
      <c r="O1732" s="8" t="s">
        <v>10873</v>
      </c>
      <c r="P1732" s="8" t="str">
        <f t="shared" si="103"/>
        <v>PDFを開く</v>
      </c>
      <c r="Q1732" s="8" t="s">
        <v>2724</v>
      </c>
    </row>
    <row r="1733" spans="1:17" ht="62.1" customHeight="1">
      <c r="A1733" s="5" t="s">
        <v>2725</v>
      </c>
      <c r="B1733" s="5" t="s">
        <v>2430</v>
      </c>
      <c r="C1733" s="9" t="s">
        <v>2726</v>
      </c>
      <c r="D1733" s="5">
        <v>1</v>
      </c>
      <c r="E1733" s="9" t="s">
        <v>10156</v>
      </c>
      <c r="F1733" s="5">
        <v>1</v>
      </c>
      <c r="G1733" s="9" t="s">
        <v>9578</v>
      </c>
      <c r="H1733" s="9" t="s">
        <v>9578</v>
      </c>
      <c r="I1733" s="5">
        <v>39.6</v>
      </c>
      <c r="J1733" s="5">
        <v>122.76</v>
      </c>
      <c r="K1733" s="5">
        <v>378.84</v>
      </c>
      <c r="L1733" s="5">
        <v>454.56</v>
      </c>
      <c r="M1733" s="9"/>
      <c r="N1733" s="9" t="s">
        <v>10159</v>
      </c>
      <c r="O1733" s="9" t="s">
        <v>9744</v>
      </c>
      <c r="P1733" s="9" t="str">
        <f t="shared" ref="P1733:P1741" si="104">HYPERLINK("https://seichotoushi-hojo.jp/assets/pdf/koufu_3_4ji/outline_159.pdf","PDFを開く")</f>
        <v>PDFを開く</v>
      </c>
      <c r="Q1733" s="9" t="s">
        <v>2733</v>
      </c>
    </row>
    <row r="1734" spans="1:17" ht="62.1" customHeight="1">
      <c r="A1734" s="2" t="s">
        <v>2725</v>
      </c>
      <c r="B1734" s="2" t="s">
        <v>2430</v>
      </c>
      <c r="C1734" s="8" t="s">
        <v>2726</v>
      </c>
      <c r="D1734" s="2">
        <v>1</v>
      </c>
      <c r="E1734" s="8" t="s">
        <v>10156</v>
      </c>
      <c r="F1734" s="2">
        <v>2</v>
      </c>
      <c r="G1734" s="8" t="s">
        <v>10162</v>
      </c>
      <c r="H1734" s="8" t="s">
        <v>10162</v>
      </c>
      <c r="I1734" s="2">
        <v>396.36</v>
      </c>
      <c r="J1734" s="2">
        <v>125.04</v>
      </c>
      <c r="K1734" s="2">
        <v>739.8</v>
      </c>
      <c r="L1734" s="2">
        <v>283.32</v>
      </c>
      <c r="M1734" s="8"/>
      <c r="N1734" s="8" t="s">
        <v>10159</v>
      </c>
      <c r="O1734" s="8" t="s">
        <v>9745</v>
      </c>
      <c r="P1734" s="8" t="str">
        <f t="shared" si="104"/>
        <v>PDFを開く</v>
      </c>
      <c r="Q1734" s="8" t="s">
        <v>2733</v>
      </c>
    </row>
    <row r="1735" spans="1:17" ht="62.1" customHeight="1">
      <c r="A1735" s="5" t="s">
        <v>2725</v>
      </c>
      <c r="B1735" s="5" t="s">
        <v>2430</v>
      </c>
      <c r="C1735" s="9" t="s">
        <v>2726</v>
      </c>
      <c r="D1735" s="5">
        <v>1</v>
      </c>
      <c r="E1735" s="9" t="s">
        <v>10156</v>
      </c>
      <c r="F1735" s="5">
        <v>3</v>
      </c>
      <c r="G1735" s="9" t="s">
        <v>10163</v>
      </c>
      <c r="H1735" s="9" t="s">
        <v>10163</v>
      </c>
      <c r="I1735" s="5">
        <v>396.36</v>
      </c>
      <c r="J1735" s="5">
        <v>296.27999999999997</v>
      </c>
      <c r="K1735" s="5">
        <v>739.8</v>
      </c>
      <c r="L1735" s="5">
        <v>454.56</v>
      </c>
      <c r="M1735" s="9"/>
      <c r="N1735" s="9" t="s">
        <v>10159</v>
      </c>
      <c r="O1735" s="9" t="s">
        <v>9746</v>
      </c>
      <c r="P1735" s="9" t="str">
        <f t="shared" si="104"/>
        <v>PDFを開く</v>
      </c>
      <c r="Q1735" s="9" t="s">
        <v>2733</v>
      </c>
    </row>
    <row r="1736" spans="1:17" ht="62.1" customHeight="1">
      <c r="A1736" s="2" t="s">
        <v>2725</v>
      </c>
      <c r="B1736" s="2" t="s">
        <v>2430</v>
      </c>
      <c r="C1736" s="8" t="s">
        <v>2726</v>
      </c>
      <c r="D1736" s="2">
        <v>1</v>
      </c>
      <c r="E1736" s="8" t="s">
        <v>10156</v>
      </c>
      <c r="F1736" s="2">
        <v>4</v>
      </c>
      <c r="G1736" s="8" t="s">
        <v>8581</v>
      </c>
      <c r="H1736" s="8" t="s">
        <v>8581</v>
      </c>
      <c r="I1736" s="2">
        <v>46.32</v>
      </c>
      <c r="J1736" s="2">
        <v>387.96</v>
      </c>
      <c r="K1736" s="2">
        <v>365.88</v>
      </c>
      <c r="L1736" s="2">
        <v>442.44</v>
      </c>
      <c r="M1736" s="8"/>
      <c r="N1736" s="8" t="s">
        <v>10159</v>
      </c>
      <c r="O1736" s="8" t="s">
        <v>2731</v>
      </c>
      <c r="P1736" s="8" t="str">
        <f t="shared" si="104"/>
        <v>PDFを開く</v>
      </c>
      <c r="Q1736" s="8" t="s">
        <v>2733</v>
      </c>
    </row>
    <row r="1737" spans="1:17" ht="62.1" customHeight="1">
      <c r="A1737" s="5" t="s">
        <v>2725</v>
      </c>
      <c r="B1737" s="5" t="s">
        <v>2430</v>
      </c>
      <c r="C1737" s="9" t="s">
        <v>2726</v>
      </c>
      <c r="D1737" s="5">
        <v>2</v>
      </c>
      <c r="E1737" s="9" t="s">
        <v>10165</v>
      </c>
      <c r="F1737" s="5">
        <v>1</v>
      </c>
      <c r="G1737" s="9" t="s">
        <v>10184</v>
      </c>
      <c r="H1737" s="9" t="s">
        <v>10184</v>
      </c>
      <c r="I1737" s="5">
        <v>125.16</v>
      </c>
      <c r="J1737" s="5">
        <v>162.47</v>
      </c>
      <c r="K1737" s="5">
        <v>401.7</v>
      </c>
      <c r="L1737" s="5">
        <v>357.87</v>
      </c>
      <c r="M1737" s="9"/>
      <c r="N1737" s="9" t="s">
        <v>10181</v>
      </c>
      <c r="O1737" s="9" t="s">
        <v>10874</v>
      </c>
      <c r="P1737" s="9" t="str">
        <f t="shared" si="104"/>
        <v>PDFを開く</v>
      </c>
      <c r="Q1737" s="9" t="s">
        <v>2733</v>
      </c>
    </row>
    <row r="1738" spans="1:17" ht="62.1" customHeight="1">
      <c r="A1738" s="2" t="s">
        <v>2725</v>
      </c>
      <c r="B1738" s="2" t="s">
        <v>2430</v>
      </c>
      <c r="C1738" s="8" t="s">
        <v>2726</v>
      </c>
      <c r="D1738" s="2">
        <v>3</v>
      </c>
      <c r="E1738" s="8" t="s">
        <v>10165</v>
      </c>
      <c r="F1738" s="2">
        <v>1</v>
      </c>
      <c r="G1738" s="8" t="s">
        <v>10167</v>
      </c>
      <c r="H1738" s="8" t="s">
        <v>10875</v>
      </c>
      <c r="I1738" s="2">
        <v>123.6</v>
      </c>
      <c r="J1738" s="2">
        <v>100.08</v>
      </c>
      <c r="K1738" s="2">
        <v>746.04</v>
      </c>
      <c r="L1738" s="2">
        <v>531.96</v>
      </c>
      <c r="M1738" s="8"/>
      <c r="N1738" s="8" t="s">
        <v>10159</v>
      </c>
      <c r="O1738" s="8" t="s">
        <v>10876</v>
      </c>
      <c r="P1738" s="8" t="str">
        <f t="shared" si="104"/>
        <v>PDFを開く</v>
      </c>
      <c r="Q1738" s="8" t="s">
        <v>2733</v>
      </c>
    </row>
    <row r="1739" spans="1:17" ht="62.1" customHeight="1">
      <c r="A1739" s="5" t="s">
        <v>2725</v>
      </c>
      <c r="B1739" s="5" t="s">
        <v>2430</v>
      </c>
      <c r="C1739" s="9" t="s">
        <v>2726</v>
      </c>
      <c r="D1739" s="5">
        <v>4</v>
      </c>
      <c r="E1739" s="9" t="s">
        <v>10165</v>
      </c>
      <c r="F1739" s="5">
        <v>1</v>
      </c>
      <c r="G1739" s="9" t="s">
        <v>10167</v>
      </c>
      <c r="H1739" s="9" t="s">
        <v>10875</v>
      </c>
      <c r="I1739" s="5">
        <v>109.44</v>
      </c>
      <c r="J1739" s="5">
        <v>100.08</v>
      </c>
      <c r="K1739" s="5">
        <v>732</v>
      </c>
      <c r="L1739" s="5">
        <v>526.67999999999995</v>
      </c>
      <c r="M1739" s="9"/>
      <c r="N1739" s="9" t="s">
        <v>10159</v>
      </c>
      <c r="O1739" s="9" t="s">
        <v>10877</v>
      </c>
      <c r="P1739" s="9" t="str">
        <f t="shared" si="104"/>
        <v>PDFを開く</v>
      </c>
      <c r="Q1739" s="9" t="s">
        <v>2733</v>
      </c>
    </row>
    <row r="1740" spans="1:17" ht="62.1" customHeight="1">
      <c r="A1740" s="2" t="s">
        <v>2725</v>
      </c>
      <c r="B1740" s="2" t="s">
        <v>2430</v>
      </c>
      <c r="C1740" s="8" t="s">
        <v>2726</v>
      </c>
      <c r="D1740" s="2">
        <v>4</v>
      </c>
      <c r="E1740" s="8" t="s">
        <v>10165</v>
      </c>
      <c r="F1740" s="2">
        <v>2</v>
      </c>
      <c r="G1740" s="8" t="s">
        <v>10167</v>
      </c>
      <c r="H1740" s="8" t="s">
        <v>10878</v>
      </c>
      <c r="I1740" s="2">
        <v>181.56</v>
      </c>
      <c r="J1740" s="2">
        <v>179.07</v>
      </c>
      <c r="K1740" s="2">
        <v>723.37</v>
      </c>
      <c r="L1740" s="2">
        <v>209.48</v>
      </c>
      <c r="M1740" s="8"/>
      <c r="N1740" s="8" t="s">
        <v>10159</v>
      </c>
      <c r="O1740" s="8" t="s">
        <v>10879</v>
      </c>
      <c r="P1740" s="8" t="str">
        <f t="shared" si="104"/>
        <v>PDFを開く</v>
      </c>
      <c r="Q1740" s="8" t="s">
        <v>2733</v>
      </c>
    </row>
    <row r="1741" spans="1:17" ht="62.1" customHeight="1">
      <c r="A1741" s="5" t="s">
        <v>2725</v>
      </c>
      <c r="B1741" s="5" t="s">
        <v>2430</v>
      </c>
      <c r="C1741" s="9" t="s">
        <v>2726</v>
      </c>
      <c r="D1741" s="5">
        <v>4</v>
      </c>
      <c r="E1741" s="9" t="s">
        <v>10165</v>
      </c>
      <c r="F1741" s="5">
        <v>3</v>
      </c>
      <c r="G1741" s="9" t="s">
        <v>10167</v>
      </c>
      <c r="H1741" s="9" t="s">
        <v>10880</v>
      </c>
      <c r="I1741" s="5">
        <v>181.56</v>
      </c>
      <c r="J1741" s="5">
        <v>209.48</v>
      </c>
      <c r="K1741" s="5">
        <v>723.37</v>
      </c>
      <c r="L1741" s="5">
        <v>260.37</v>
      </c>
      <c r="M1741" s="9"/>
      <c r="N1741" s="9" t="s">
        <v>10159</v>
      </c>
      <c r="O1741" s="9" t="s">
        <v>10881</v>
      </c>
      <c r="P1741" s="9" t="str">
        <f t="shared" si="104"/>
        <v>PDFを開く</v>
      </c>
      <c r="Q1741" s="9" t="s">
        <v>2733</v>
      </c>
    </row>
    <row r="1742" spans="1:17" ht="62.1" customHeight="1">
      <c r="A1742" s="2" t="s">
        <v>2734</v>
      </c>
      <c r="B1742" s="2" t="s">
        <v>2430</v>
      </c>
      <c r="C1742" s="8" t="s">
        <v>2735</v>
      </c>
      <c r="D1742" s="2">
        <v>1</v>
      </c>
      <c r="E1742" s="8" t="s">
        <v>10156</v>
      </c>
      <c r="F1742" s="2">
        <v>1</v>
      </c>
      <c r="G1742" s="8" t="s">
        <v>9578</v>
      </c>
      <c r="H1742" s="8" t="s">
        <v>9578</v>
      </c>
      <c r="I1742" s="2">
        <v>14.23</v>
      </c>
      <c r="J1742" s="2">
        <v>98.81</v>
      </c>
      <c r="K1742" s="2">
        <v>378.78</v>
      </c>
      <c r="L1742" s="2">
        <v>490.9</v>
      </c>
      <c r="M1742" s="8"/>
      <c r="N1742" s="8" t="s">
        <v>10159</v>
      </c>
      <c r="O1742" s="8" t="s">
        <v>9751</v>
      </c>
      <c r="P1742" s="8" t="str">
        <f t="shared" ref="P1742:P1747" si="105">HYPERLINK("https://seichotoushi-hojo.jp/assets/pdf/koufu_3_4ji/outline_160.pdf","PDFを開く")</f>
        <v>PDFを開く</v>
      </c>
      <c r="Q1742" s="8" t="s">
        <v>2740</v>
      </c>
    </row>
    <row r="1743" spans="1:17" ht="62.1" customHeight="1">
      <c r="A1743" s="5" t="s">
        <v>2734</v>
      </c>
      <c r="B1743" s="5" t="s">
        <v>2430</v>
      </c>
      <c r="C1743" s="9" t="s">
        <v>2735</v>
      </c>
      <c r="D1743" s="5">
        <v>1</v>
      </c>
      <c r="E1743" s="9" t="s">
        <v>10156</v>
      </c>
      <c r="F1743" s="5">
        <v>2</v>
      </c>
      <c r="G1743" s="9" t="s">
        <v>10162</v>
      </c>
      <c r="H1743" s="9" t="s">
        <v>10162</v>
      </c>
      <c r="I1743" s="5">
        <v>396.3</v>
      </c>
      <c r="J1743" s="5">
        <v>98.81</v>
      </c>
      <c r="K1743" s="5">
        <v>765.77</v>
      </c>
      <c r="L1743" s="5">
        <v>283.8</v>
      </c>
      <c r="M1743" s="9"/>
      <c r="N1743" s="9" t="s">
        <v>10159</v>
      </c>
      <c r="O1743" s="9" t="s">
        <v>9752</v>
      </c>
      <c r="P1743" s="9" t="str">
        <f t="shared" si="105"/>
        <v>PDFを開く</v>
      </c>
      <c r="Q1743" s="9" t="s">
        <v>2740</v>
      </c>
    </row>
    <row r="1744" spans="1:17" ht="62.1" customHeight="1">
      <c r="A1744" s="2" t="s">
        <v>2734</v>
      </c>
      <c r="B1744" s="2" t="s">
        <v>2430</v>
      </c>
      <c r="C1744" s="8" t="s">
        <v>2735</v>
      </c>
      <c r="D1744" s="2">
        <v>1</v>
      </c>
      <c r="E1744" s="8" t="s">
        <v>10156</v>
      </c>
      <c r="F1744" s="2">
        <v>3</v>
      </c>
      <c r="G1744" s="8" t="s">
        <v>10163</v>
      </c>
      <c r="H1744" s="8" t="s">
        <v>10163</v>
      </c>
      <c r="I1744" s="2">
        <v>396.3</v>
      </c>
      <c r="J1744" s="2">
        <v>286.22000000000003</v>
      </c>
      <c r="K1744" s="2">
        <v>765.77</v>
      </c>
      <c r="L1744" s="2">
        <v>495.38</v>
      </c>
      <c r="M1744" s="8"/>
      <c r="N1744" s="8" t="s">
        <v>10159</v>
      </c>
      <c r="O1744" s="8" t="s">
        <v>9753</v>
      </c>
      <c r="P1744" s="8" t="str">
        <f t="shared" si="105"/>
        <v>PDFを開く</v>
      </c>
      <c r="Q1744" s="8" t="s">
        <v>2740</v>
      </c>
    </row>
    <row r="1745" spans="1:17" ht="62.1" customHeight="1">
      <c r="A1745" s="5" t="s">
        <v>2734</v>
      </c>
      <c r="B1745" s="5" t="s">
        <v>2430</v>
      </c>
      <c r="C1745" s="9" t="s">
        <v>2735</v>
      </c>
      <c r="D1745" s="5">
        <v>1</v>
      </c>
      <c r="E1745" s="9" t="s">
        <v>10156</v>
      </c>
      <c r="F1745" s="5">
        <v>4</v>
      </c>
      <c r="G1745" s="9" t="s">
        <v>8581</v>
      </c>
      <c r="H1745" s="9" t="s">
        <v>8581</v>
      </c>
      <c r="I1745" s="5">
        <v>28.46</v>
      </c>
      <c r="J1745" s="5">
        <v>415.5</v>
      </c>
      <c r="K1745" s="5">
        <v>367.49</v>
      </c>
      <c r="L1745" s="5">
        <v>483.75</v>
      </c>
      <c r="M1745" s="9"/>
      <c r="N1745" s="9" t="s">
        <v>10159</v>
      </c>
      <c r="O1745" s="9" t="s">
        <v>2738</v>
      </c>
      <c r="P1745" s="9" t="str">
        <f t="shared" si="105"/>
        <v>PDFを開く</v>
      </c>
      <c r="Q1745" s="9" t="s">
        <v>2740</v>
      </c>
    </row>
    <row r="1746" spans="1:17" ht="62.1" customHeight="1">
      <c r="A1746" s="2" t="s">
        <v>2734</v>
      </c>
      <c r="B1746" s="2" t="s">
        <v>2430</v>
      </c>
      <c r="C1746" s="8" t="s">
        <v>2735</v>
      </c>
      <c r="D1746" s="2">
        <v>1</v>
      </c>
      <c r="E1746" s="8" t="s">
        <v>10156</v>
      </c>
      <c r="F1746" s="2">
        <v>5</v>
      </c>
      <c r="G1746" s="8" t="s">
        <v>10167</v>
      </c>
      <c r="H1746" s="8" t="s">
        <v>10882</v>
      </c>
      <c r="I1746" s="2">
        <v>14.23</v>
      </c>
      <c r="J1746" s="2">
        <v>499.3</v>
      </c>
      <c r="K1746" s="2">
        <v>750.73</v>
      </c>
      <c r="L1746" s="2">
        <v>534.11</v>
      </c>
      <c r="M1746" s="8"/>
      <c r="N1746" s="8" t="s">
        <v>10159</v>
      </c>
      <c r="O1746" s="8" t="s">
        <v>10883</v>
      </c>
      <c r="P1746" s="8" t="str">
        <f t="shared" si="105"/>
        <v>PDFを開く</v>
      </c>
      <c r="Q1746" s="8" t="s">
        <v>2740</v>
      </c>
    </row>
    <row r="1747" spans="1:17" ht="62.1" customHeight="1">
      <c r="A1747" s="5" t="s">
        <v>2734</v>
      </c>
      <c r="B1747" s="5" t="s">
        <v>2430</v>
      </c>
      <c r="C1747" s="9" t="s">
        <v>2735</v>
      </c>
      <c r="D1747" s="5">
        <v>2</v>
      </c>
      <c r="E1747" s="9" t="s">
        <v>10165</v>
      </c>
      <c r="F1747" s="5">
        <v>1</v>
      </c>
      <c r="G1747" s="9" t="s">
        <v>10184</v>
      </c>
      <c r="H1747" s="9" t="s">
        <v>10184</v>
      </c>
      <c r="I1747" s="5">
        <v>118.8</v>
      </c>
      <c r="J1747" s="5">
        <v>259.08999999999997</v>
      </c>
      <c r="K1747" s="5">
        <v>401.7</v>
      </c>
      <c r="L1747" s="5">
        <v>454.49</v>
      </c>
      <c r="M1747" s="9"/>
      <c r="N1747" s="9" t="s">
        <v>10181</v>
      </c>
      <c r="O1747" s="9" t="s">
        <v>10884</v>
      </c>
      <c r="P1747" s="9" t="str">
        <f t="shared" si="105"/>
        <v>PDFを開く</v>
      </c>
      <c r="Q1747" s="9" t="s">
        <v>2740</v>
      </c>
    </row>
    <row r="1748" spans="1:17" ht="62.1" customHeight="1">
      <c r="A1748" s="2" t="s">
        <v>2741</v>
      </c>
      <c r="B1748" s="2" t="s">
        <v>2430</v>
      </c>
      <c r="C1748" s="8" t="s">
        <v>2742</v>
      </c>
      <c r="D1748" s="2">
        <v>1</v>
      </c>
      <c r="E1748" s="8" t="s">
        <v>10156</v>
      </c>
      <c r="F1748" s="2">
        <v>1</v>
      </c>
      <c r="G1748" s="8" t="s">
        <v>9578</v>
      </c>
      <c r="H1748" s="8" t="s">
        <v>9578</v>
      </c>
      <c r="I1748" s="2">
        <v>26.31</v>
      </c>
      <c r="J1748" s="2">
        <v>104.07</v>
      </c>
      <c r="K1748" s="2">
        <v>383.5</v>
      </c>
      <c r="L1748" s="2">
        <v>535.5</v>
      </c>
      <c r="M1748" s="8"/>
      <c r="N1748" s="8" t="s">
        <v>10159</v>
      </c>
      <c r="O1748" s="8" t="s">
        <v>9758</v>
      </c>
      <c r="P1748" s="8" t="str">
        <f>HYPERLINK("https://seichotoushi-hojo.jp/assets/pdf/koufu_3_4ji/outline_161.pdf","PDFを開く")</f>
        <v>PDFを開く</v>
      </c>
      <c r="Q1748" s="8" t="s">
        <v>2749</v>
      </c>
    </row>
    <row r="1749" spans="1:17" ht="62.1" customHeight="1">
      <c r="A1749" s="5" t="s">
        <v>2741</v>
      </c>
      <c r="B1749" s="5" t="s">
        <v>2430</v>
      </c>
      <c r="C1749" s="9" t="s">
        <v>2742</v>
      </c>
      <c r="D1749" s="5">
        <v>1</v>
      </c>
      <c r="E1749" s="9" t="s">
        <v>10156</v>
      </c>
      <c r="F1749" s="5">
        <v>2</v>
      </c>
      <c r="G1749" s="9" t="s">
        <v>10162</v>
      </c>
      <c r="H1749" s="9" t="s">
        <v>10162</v>
      </c>
      <c r="I1749" s="5">
        <v>413.82</v>
      </c>
      <c r="J1749" s="5">
        <v>104.55</v>
      </c>
      <c r="K1749" s="5">
        <v>757.3</v>
      </c>
      <c r="L1749" s="5">
        <v>334.8</v>
      </c>
      <c r="M1749" s="9"/>
      <c r="N1749" s="9" t="s">
        <v>10159</v>
      </c>
      <c r="O1749" s="9" t="s">
        <v>9759</v>
      </c>
      <c r="P1749" s="9" t="str">
        <f>HYPERLINK("https://seichotoushi-hojo.jp/assets/pdf/koufu_3_4ji/outline_161.pdf","PDFを開く")</f>
        <v>PDFを開く</v>
      </c>
      <c r="Q1749" s="9" t="s">
        <v>2749</v>
      </c>
    </row>
    <row r="1750" spans="1:17" ht="62.1" customHeight="1">
      <c r="A1750" s="2" t="s">
        <v>2741</v>
      </c>
      <c r="B1750" s="2" t="s">
        <v>2430</v>
      </c>
      <c r="C1750" s="8" t="s">
        <v>2742</v>
      </c>
      <c r="D1750" s="2">
        <v>1</v>
      </c>
      <c r="E1750" s="8" t="s">
        <v>10156</v>
      </c>
      <c r="F1750" s="2">
        <v>3</v>
      </c>
      <c r="G1750" s="8" t="s">
        <v>10163</v>
      </c>
      <c r="H1750" s="8" t="s">
        <v>10163</v>
      </c>
      <c r="I1750" s="2">
        <v>413.82</v>
      </c>
      <c r="J1750" s="2">
        <v>346.98</v>
      </c>
      <c r="K1750" s="2">
        <v>757.3</v>
      </c>
      <c r="L1750" s="2">
        <v>535.5</v>
      </c>
      <c r="M1750" s="8"/>
      <c r="N1750" s="8" t="s">
        <v>10159</v>
      </c>
      <c r="O1750" s="8" t="s">
        <v>9760</v>
      </c>
      <c r="P1750" s="8" t="str">
        <f>HYPERLINK("https://seichotoushi-hojo.jp/assets/pdf/koufu_3_4ji/outline_161.pdf","PDFを開く")</f>
        <v>PDFを開く</v>
      </c>
      <c r="Q1750" s="8" t="s">
        <v>2749</v>
      </c>
    </row>
    <row r="1751" spans="1:17" ht="62.1" customHeight="1">
      <c r="A1751" s="5" t="s">
        <v>2741</v>
      </c>
      <c r="B1751" s="5" t="s">
        <v>2430</v>
      </c>
      <c r="C1751" s="9" t="s">
        <v>2742</v>
      </c>
      <c r="D1751" s="5">
        <v>1</v>
      </c>
      <c r="E1751" s="9" t="s">
        <v>10156</v>
      </c>
      <c r="F1751" s="5">
        <v>4</v>
      </c>
      <c r="G1751" s="9" t="s">
        <v>8581</v>
      </c>
      <c r="H1751" s="9" t="s">
        <v>8581</v>
      </c>
      <c r="I1751" s="5">
        <v>29.94</v>
      </c>
      <c r="J1751" s="5">
        <v>439.81</v>
      </c>
      <c r="K1751" s="5">
        <v>379.38</v>
      </c>
      <c r="L1751" s="5">
        <v>508.96</v>
      </c>
      <c r="M1751" s="9"/>
      <c r="N1751" s="9" t="s">
        <v>10159</v>
      </c>
      <c r="O1751" s="9" t="s">
        <v>2746</v>
      </c>
      <c r="P1751" s="9" t="str">
        <f>HYPERLINK("https://seichotoushi-hojo.jp/assets/pdf/koufu_3_4ji/outline_161.pdf","PDFを開く")</f>
        <v>PDFを開く</v>
      </c>
      <c r="Q1751" s="9" t="s">
        <v>2749</v>
      </c>
    </row>
    <row r="1752" spans="1:17" ht="62.1" customHeight="1">
      <c r="A1752" s="2" t="s">
        <v>2750</v>
      </c>
      <c r="B1752" s="2" t="s">
        <v>2430</v>
      </c>
      <c r="C1752" s="8" t="s">
        <v>2751</v>
      </c>
      <c r="D1752" s="2">
        <v>1</v>
      </c>
      <c r="E1752" s="8" t="s">
        <v>10156</v>
      </c>
      <c r="F1752" s="2">
        <v>1</v>
      </c>
      <c r="G1752" s="8" t="s">
        <v>9578</v>
      </c>
      <c r="H1752" s="8" t="s">
        <v>9578</v>
      </c>
      <c r="I1752" s="2">
        <v>52.62</v>
      </c>
      <c r="J1752" s="2">
        <v>124.68</v>
      </c>
      <c r="K1752" s="2">
        <v>409.2</v>
      </c>
      <c r="L1752" s="2">
        <v>538.79999999999995</v>
      </c>
      <c r="M1752" s="8"/>
      <c r="N1752" s="8" t="s">
        <v>10159</v>
      </c>
      <c r="O1752" s="8" t="s">
        <v>9765</v>
      </c>
      <c r="P1752" s="8" t="str">
        <f>HYPERLINK("https://seichotoushi-hojo.jp/assets/pdf/koufu_3_4ji/outline_162.pdf","PDFを開く")</f>
        <v>PDFを開く</v>
      </c>
      <c r="Q1752" s="8" t="s">
        <v>2757</v>
      </c>
    </row>
    <row r="1753" spans="1:17" ht="62.1" customHeight="1">
      <c r="A1753" s="5" t="s">
        <v>2750</v>
      </c>
      <c r="B1753" s="5" t="s">
        <v>2430</v>
      </c>
      <c r="C1753" s="9" t="s">
        <v>2751</v>
      </c>
      <c r="D1753" s="5">
        <v>1</v>
      </c>
      <c r="E1753" s="9" t="s">
        <v>10156</v>
      </c>
      <c r="F1753" s="5">
        <v>2</v>
      </c>
      <c r="G1753" s="9" t="s">
        <v>10162</v>
      </c>
      <c r="H1753" s="9" t="s">
        <v>10162</v>
      </c>
      <c r="I1753" s="5">
        <v>427.59</v>
      </c>
      <c r="J1753" s="5">
        <v>124.71</v>
      </c>
      <c r="K1753" s="5">
        <v>788.79</v>
      </c>
      <c r="L1753" s="5">
        <v>322.23</v>
      </c>
      <c r="M1753" s="9"/>
      <c r="N1753" s="9" t="s">
        <v>10159</v>
      </c>
      <c r="O1753" s="9" t="s">
        <v>9766</v>
      </c>
      <c r="P1753" s="9" t="str">
        <f>HYPERLINK("https://seichotoushi-hojo.jp/assets/pdf/koufu_3_4ji/outline_162.pdf","PDFを開く")</f>
        <v>PDFを開く</v>
      </c>
      <c r="Q1753" s="9" t="s">
        <v>2757</v>
      </c>
    </row>
    <row r="1754" spans="1:17" ht="62.1" customHeight="1">
      <c r="A1754" s="2" t="s">
        <v>2750</v>
      </c>
      <c r="B1754" s="2" t="s">
        <v>2430</v>
      </c>
      <c r="C1754" s="8" t="s">
        <v>2751</v>
      </c>
      <c r="D1754" s="2">
        <v>1</v>
      </c>
      <c r="E1754" s="8" t="s">
        <v>10156</v>
      </c>
      <c r="F1754" s="2">
        <v>3</v>
      </c>
      <c r="G1754" s="8" t="s">
        <v>10163</v>
      </c>
      <c r="H1754" s="8" t="s">
        <v>10163</v>
      </c>
      <c r="I1754" s="2">
        <v>427.59</v>
      </c>
      <c r="J1754" s="2">
        <v>332.01</v>
      </c>
      <c r="K1754" s="2">
        <v>788.79</v>
      </c>
      <c r="L1754" s="2">
        <v>538.77</v>
      </c>
      <c r="M1754" s="8"/>
      <c r="N1754" s="8" t="s">
        <v>10159</v>
      </c>
      <c r="O1754" s="8" t="s">
        <v>9767</v>
      </c>
      <c r="P1754" s="8" t="str">
        <f>HYPERLINK("https://seichotoushi-hojo.jp/assets/pdf/koufu_3_4ji/outline_162.pdf","PDFを開く")</f>
        <v>PDFを開く</v>
      </c>
      <c r="Q1754" s="8" t="s">
        <v>2757</v>
      </c>
    </row>
    <row r="1755" spans="1:17" ht="62.1" customHeight="1">
      <c r="A1755" s="5" t="s">
        <v>2758</v>
      </c>
      <c r="B1755" s="5" t="s">
        <v>2430</v>
      </c>
      <c r="C1755" s="9" t="s">
        <v>2759</v>
      </c>
      <c r="D1755" s="5">
        <v>1</v>
      </c>
      <c r="E1755" s="9" t="s">
        <v>10156</v>
      </c>
      <c r="F1755" s="5">
        <v>1</v>
      </c>
      <c r="G1755" s="9" t="s">
        <v>10162</v>
      </c>
      <c r="H1755" s="9" t="s">
        <v>10162</v>
      </c>
      <c r="I1755" s="5">
        <v>396.3</v>
      </c>
      <c r="J1755" s="5">
        <v>102.62</v>
      </c>
      <c r="K1755" s="5">
        <v>766.96</v>
      </c>
      <c r="L1755" s="5">
        <v>305.57</v>
      </c>
      <c r="M1755" s="9"/>
      <c r="N1755" s="9" t="s">
        <v>10159</v>
      </c>
      <c r="O1755" s="9" t="s">
        <v>9772</v>
      </c>
      <c r="P1755" s="9" t="str">
        <f>HYPERLINK("https://seichotoushi-hojo.jp/assets/pdf/koufu_3_4ji/outline_163.pdf","PDFを開く")</f>
        <v>PDFを開く</v>
      </c>
      <c r="Q1755" s="9" t="s">
        <v>2765</v>
      </c>
    </row>
    <row r="1756" spans="1:17" ht="62.1" customHeight="1">
      <c r="A1756" s="2" t="s">
        <v>2758</v>
      </c>
      <c r="B1756" s="2" t="s">
        <v>2430</v>
      </c>
      <c r="C1756" s="8" t="s">
        <v>2759</v>
      </c>
      <c r="D1756" s="2">
        <v>1</v>
      </c>
      <c r="E1756" s="8" t="s">
        <v>10156</v>
      </c>
      <c r="F1756" s="2">
        <v>2</v>
      </c>
      <c r="G1756" s="8" t="s">
        <v>9578</v>
      </c>
      <c r="H1756" s="8" t="s">
        <v>9578</v>
      </c>
      <c r="I1756" s="2">
        <v>13.96</v>
      </c>
      <c r="J1756" s="2">
        <v>107.72</v>
      </c>
      <c r="K1756" s="2">
        <v>368.41</v>
      </c>
      <c r="L1756" s="2">
        <v>520.9</v>
      </c>
      <c r="M1756" s="8"/>
      <c r="N1756" s="8" t="s">
        <v>10159</v>
      </c>
      <c r="O1756" s="8" t="s">
        <v>9771</v>
      </c>
      <c r="P1756" s="8" t="str">
        <f>HYPERLINK("https://seichotoushi-hojo.jp/assets/pdf/koufu_3_4ji/outline_163.pdf","PDFを開く")</f>
        <v>PDFを開く</v>
      </c>
      <c r="Q1756" s="8" t="s">
        <v>2765</v>
      </c>
    </row>
    <row r="1757" spans="1:17" ht="62.1" customHeight="1">
      <c r="A1757" s="5" t="s">
        <v>2758</v>
      </c>
      <c r="B1757" s="5" t="s">
        <v>2430</v>
      </c>
      <c r="C1757" s="9" t="s">
        <v>2759</v>
      </c>
      <c r="D1757" s="5">
        <v>1</v>
      </c>
      <c r="E1757" s="9" t="s">
        <v>10156</v>
      </c>
      <c r="F1757" s="5">
        <v>3</v>
      </c>
      <c r="G1757" s="9" t="s">
        <v>10163</v>
      </c>
      <c r="H1757" s="9" t="s">
        <v>10163</v>
      </c>
      <c r="I1757" s="5">
        <v>396.3</v>
      </c>
      <c r="J1757" s="5">
        <v>311.08999999999997</v>
      </c>
      <c r="K1757" s="5">
        <v>766.96</v>
      </c>
      <c r="L1757" s="5">
        <v>537.86</v>
      </c>
      <c r="M1757" s="9"/>
      <c r="N1757" s="9" t="s">
        <v>10159</v>
      </c>
      <c r="O1757" s="9" t="s">
        <v>9773</v>
      </c>
      <c r="P1757" s="9" t="str">
        <f>HYPERLINK("https://seichotoushi-hojo.jp/assets/pdf/koufu_3_4ji/outline_163.pdf","PDFを開く")</f>
        <v>PDFを開く</v>
      </c>
      <c r="Q1757" s="9" t="s">
        <v>2765</v>
      </c>
    </row>
    <row r="1758" spans="1:17" ht="62.1" customHeight="1">
      <c r="A1758" s="2" t="s">
        <v>2758</v>
      </c>
      <c r="B1758" s="2" t="s">
        <v>2430</v>
      </c>
      <c r="C1758" s="8" t="s">
        <v>2759</v>
      </c>
      <c r="D1758" s="2">
        <v>1</v>
      </c>
      <c r="E1758" s="8" t="s">
        <v>10156</v>
      </c>
      <c r="F1758" s="2">
        <v>4</v>
      </c>
      <c r="G1758" s="8" t="s">
        <v>8581</v>
      </c>
      <c r="H1758" s="8" t="s">
        <v>8581</v>
      </c>
      <c r="I1758" s="2">
        <v>21.39</v>
      </c>
      <c r="J1758" s="2">
        <v>381.74</v>
      </c>
      <c r="K1758" s="2">
        <v>360.98</v>
      </c>
      <c r="L1758" s="2">
        <v>506.38</v>
      </c>
      <c r="M1758" s="8"/>
      <c r="N1758" s="8" t="s">
        <v>10159</v>
      </c>
      <c r="O1758" s="8" t="s">
        <v>2762</v>
      </c>
      <c r="P1758" s="8" t="str">
        <f>HYPERLINK("https://seichotoushi-hojo.jp/assets/pdf/koufu_3_4ji/outline_163.pdf","PDFを開く")</f>
        <v>PDFを開く</v>
      </c>
      <c r="Q1758" s="8" t="s">
        <v>2765</v>
      </c>
    </row>
    <row r="1759" spans="1:17" ht="62.1" customHeight="1">
      <c r="A1759" s="5" t="s">
        <v>2766</v>
      </c>
      <c r="B1759" s="5" t="s">
        <v>2430</v>
      </c>
      <c r="C1759" s="9" t="s">
        <v>2767</v>
      </c>
      <c r="D1759" s="5">
        <v>1</v>
      </c>
      <c r="E1759" s="9" t="s">
        <v>10156</v>
      </c>
      <c r="F1759" s="5">
        <v>1</v>
      </c>
      <c r="G1759" s="9" t="s">
        <v>10162</v>
      </c>
      <c r="H1759" s="9" t="s">
        <v>10162</v>
      </c>
      <c r="I1759" s="5">
        <v>396.3</v>
      </c>
      <c r="J1759" s="5">
        <v>108.14</v>
      </c>
      <c r="K1759" s="5">
        <v>752.91</v>
      </c>
      <c r="L1759" s="5">
        <v>285.77</v>
      </c>
      <c r="M1759" s="9"/>
      <c r="N1759" s="9" t="s">
        <v>10159</v>
      </c>
      <c r="O1759" s="9" t="s">
        <v>9778</v>
      </c>
      <c r="P1759" s="9" t="str">
        <f>HYPERLINK("https://seichotoushi-hojo.jp/assets/pdf/koufu_3_4ji/outline_164.pdf","PDFを開く")</f>
        <v>PDFを開く</v>
      </c>
      <c r="Q1759" s="9" t="s">
        <v>2772</v>
      </c>
    </row>
    <row r="1760" spans="1:17" ht="62.1" customHeight="1">
      <c r="A1760" s="2" t="s">
        <v>2766</v>
      </c>
      <c r="B1760" s="2" t="s">
        <v>2430</v>
      </c>
      <c r="C1760" s="8" t="s">
        <v>2767</v>
      </c>
      <c r="D1760" s="2">
        <v>1</v>
      </c>
      <c r="E1760" s="8" t="s">
        <v>10156</v>
      </c>
      <c r="F1760" s="2">
        <v>2</v>
      </c>
      <c r="G1760" s="8" t="s">
        <v>10163</v>
      </c>
      <c r="H1760" s="8" t="s">
        <v>10163</v>
      </c>
      <c r="I1760" s="2">
        <v>396.3</v>
      </c>
      <c r="J1760" s="2">
        <v>296.23</v>
      </c>
      <c r="K1760" s="2">
        <v>752.91</v>
      </c>
      <c r="L1760" s="2">
        <v>499.73</v>
      </c>
      <c r="M1760" s="8"/>
      <c r="N1760" s="8" t="s">
        <v>10159</v>
      </c>
      <c r="O1760" s="8" t="s">
        <v>9779</v>
      </c>
      <c r="P1760" s="8" t="str">
        <f>HYPERLINK("https://seichotoushi-hojo.jp/assets/pdf/koufu_3_4ji/outline_164.pdf","PDFを開く")</f>
        <v>PDFを開く</v>
      </c>
      <c r="Q1760" s="8" t="s">
        <v>2772</v>
      </c>
    </row>
    <row r="1761" spans="1:17" ht="62.1" customHeight="1">
      <c r="A1761" s="5" t="s">
        <v>2766</v>
      </c>
      <c r="B1761" s="5" t="s">
        <v>2430</v>
      </c>
      <c r="C1761" s="9" t="s">
        <v>2767</v>
      </c>
      <c r="D1761" s="5">
        <v>1</v>
      </c>
      <c r="E1761" s="9" t="s">
        <v>10156</v>
      </c>
      <c r="F1761" s="5">
        <v>3</v>
      </c>
      <c r="G1761" s="9" t="s">
        <v>8581</v>
      </c>
      <c r="H1761" s="9" t="s">
        <v>8581</v>
      </c>
      <c r="I1761" s="5">
        <v>50.52</v>
      </c>
      <c r="J1761" s="5">
        <v>436.13</v>
      </c>
      <c r="K1761" s="5">
        <v>370.02</v>
      </c>
      <c r="L1761" s="5">
        <v>490.04</v>
      </c>
      <c r="M1761" s="9"/>
      <c r="N1761" s="9" t="s">
        <v>10159</v>
      </c>
      <c r="O1761" s="9" t="s">
        <v>2770</v>
      </c>
      <c r="P1761" s="9" t="str">
        <f>HYPERLINK("https://seichotoushi-hojo.jp/assets/pdf/koufu_3_4ji/outline_164.pdf","PDFを開く")</f>
        <v>PDFを開く</v>
      </c>
      <c r="Q1761" s="9" t="s">
        <v>2772</v>
      </c>
    </row>
    <row r="1762" spans="1:17" ht="62.1" customHeight="1">
      <c r="A1762" s="2" t="s">
        <v>2773</v>
      </c>
      <c r="B1762" s="2" t="s">
        <v>2430</v>
      </c>
      <c r="C1762" s="8" t="s">
        <v>2774</v>
      </c>
      <c r="D1762" s="2">
        <v>1</v>
      </c>
      <c r="E1762" s="8" t="s">
        <v>10156</v>
      </c>
      <c r="F1762" s="2">
        <v>1</v>
      </c>
      <c r="G1762" s="8" t="s">
        <v>9578</v>
      </c>
      <c r="H1762" s="8" t="s">
        <v>9578</v>
      </c>
      <c r="I1762" s="2">
        <v>39.659999999999997</v>
      </c>
      <c r="J1762" s="2">
        <v>104.53</v>
      </c>
      <c r="K1762" s="2">
        <v>378.79</v>
      </c>
      <c r="L1762" s="2">
        <v>528.63</v>
      </c>
      <c r="M1762" s="8"/>
      <c r="N1762" s="8" t="s">
        <v>10159</v>
      </c>
      <c r="O1762" s="8" t="s">
        <v>9784</v>
      </c>
      <c r="P1762" s="8" t="str">
        <f>HYPERLINK("https://seichotoushi-hojo.jp/assets/pdf/koufu_3_4ji/outline_165.pdf","PDFを開く")</f>
        <v>PDFを開く</v>
      </c>
      <c r="Q1762" s="8" t="s">
        <v>2780</v>
      </c>
    </row>
    <row r="1763" spans="1:17" ht="62.1" customHeight="1">
      <c r="A1763" s="5" t="s">
        <v>2773</v>
      </c>
      <c r="B1763" s="5" t="s">
        <v>2430</v>
      </c>
      <c r="C1763" s="9" t="s">
        <v>2774</v>
      </c>
      <c r="D1763" s="5">
        <v>1</v>
      </c>
      <c r="E1763" s="9" t="s">
        <v>10156</v>
      </c>
      <c r="F1763" s="5">
        <v>2</v>
      </c>
      <c r="G1763" s="9" t="s">
        <v>10162</v>
      </c>
      <c r="H1763" s="9" t="s">
        <v>10162</v>
      </c>
      <c r="I1763" s="5">
        <v>396.3</v>
      </c>
      <c r="J1763" s="5">
        <v>106.81</v>
      </c>
      <c r="K1763" s="5">
        <v>739.78</v>
      </c>
      <c r="L1763" s="5">
        <v>314.93</v>
      </c>
      <c r="M1763" s="9"/>
      <c r="N1763" s="9" t="s">
        <v>10159</v>
      </c>
      <c r="O1763" s="9" t="s">
        <v>9785</v>
      </c>
      <c r="P1763" s="9" t="str">
        <f>HYPERLINK("https://seichotoushi-hojo.jp/assets/pdf/koufu_3_4ji/outline_165.pdf","PDFを開く")</f>
        <v>PDFを開く</v>
      </c>
      <c r="Q1763" s="9" t="s">
        <v>2780</v>
      </c>
    </row>
    <row r="1764" spans="1:17" ht="62.1" customHeight="1">
      <c r="A1764" s="2" t="s">
        <v>2773</v>
      </c>
      <c r="B1764" s="2" t="s">
        <v>2430</v>
      </c>
      <c r="C1764" s="8" t="s">
        <v>2774</v>
      </c>
      <c r="D1764" s="2">
        <v>1</v>
      </c>
      <c r="E1764" s="8" t="s">
        <v>10156</v>
      </c>
      <c r="F1764" s="2">
        <v>3</v>
      </c>
      <c r="G1764" s="8" t="s">
        <v>10163</v>
      </c>
      <c r="H1764" s="8" t="s">
        <v>10163</v>
      </c>
      <c r="I1764" s="2">
        <v>396.3</v>
      </c>
      <c r="J1764" s="2">
        <v>320</v>
      </c>
      <c r="K1764" s="2">
        <v>739.78</v>
      </c>
      <c r="L1764" s="2">
        <v>524.69000000000005</v>
      </c>
      <c r="M1764" s="8"/>
      <c r="N1764" s="8" t="s">
        <v>10159</v>
      </c>
      <c r="O1764" s="8" t="s">
        <v>9786</v>
      </c>
      <c r="P1764" s="8" t="str">
        <f>HYPERLINK("https://seichotoushi-hojo.jp/assets/pdf/koufu_3_4ji/outline_165.pdf","PDFを開く")</f>
        <v>PDFを開く</v>
      </c>
      <c r="Q1764" s="8" t="s">
        <v>2780</v>
      </c>
    </row>
    <row r="1765" spans="1:17" ht="62.1" customHeight="1">
      <c r="A1765" s="5" t="s">
        <v>2773</v>
      </c>
      <c r="B1765" s="5" t="s">
        <v>2430</v>
      </c>
      <c r="C1765" s="9" t="s">
        <v>2774</v>
      </c>
      <c r="D1765" s="5">
        <v>1</v>
      </c>
      <c r="E1765" s="9" t="s">
        <v>10156</v>
      </c>
      <c r="F1765" s="5">
        <v>4</v>
      </c>
      <c r="G1765" s="9" t="s">
        <v>8581</v>
      </c>
      <c r="H1765" s="9" t="s">
        <v>8581</v>
      </c>
      <c r="I1765" s="5">
        <v>43.14</v>
      </c>
      <c r="J1765" s="5">
        <v>430.9</v>
      </c>
      <c r="K1765" s="5">
        <v>367.5</v>
      </c>
      <c r="L1765" s="5">
        <v>527.12</v>
      </c>
      <c r="M1765" s="9"/>
      <c r="N1765" s="9" t="s">
        <v>10159</v>
      </c>
      <c r="O1765" s="9" t="s">
        <v>2778</v>
      </c>
      <c r="P1765" s="9" t="str">
        <f>HYPERLINK("https://seichotoushi-hojo.jp/assets/pdf/koufu_3_4ji/outline_165.pdf","PDFを開く")</f>
        <v>PDFを開く</v>
      </c>
      <c r="Q1765" s="9" t="s">
        <v>2780</v>
      </c>
    </row>
    <row r="1766" spans="1:17" ht="62.1" customHeight="1">
      <c r="A1766" s="2" t="s">
        <v>2781</v>
      </c>
      <c r="B1766" s="2" t="s">
        <v>2430</v>
      </c>
      <c r="C1766" s="8" t="s">
        <v>2782</v>
      </c>
      <c r="D1766" s="2">
        <v>1</v>
      </c>
      <c r="E1766" s="8" t="s">
        <v>10156</v>
      </c>
      <c r="F1766" s="2">
        <v>1</v>
      </c>
      <c r="G1766" s="8" t="s">
        <v>9578</v>
      </c>
      <c r="H1766" s="8" t="s">
        <v>9578</v>
      </c>
      <c r="I1766" s="2">
        <v>39.659999999999997</v>
      </c>
      <c r="J1766" s="2">
        <v>101.81</v>
      </c>
      <c r="K1766" s="2">
        <v>378.79</v>
      </c>
      <c r="L1766" s="2">
        <v>509.32</v>
      </c>
      <c r="M1766" s="8"/>
      <c r="N1766" s="8" t="s">
        <v>10159</v>
      </c>
      <c r="O1766" s="8" t="s">
        <v>9791</v>
      </c>
      <c r="P1766" s="8" t="str">
        <f>HYPERLINK("https://seichotoushi-hojo.jp/assets/pdf/koufu_3_4ji/outline_166.pdf","PDFを開く")</f>
        <v>PDFを開く</v>
      </c>
      <c r="Q1766" s="8" t="s">
        <v>2789</v>
      </c>
    </row>
    <row r="1767" spans="1:17" ht="62.1" customHeight="1">
      <c r="A1767" s="5" t="s">
        <v>2781</v>
      </c>
      <c r="B1767" s="5" t="s">
        <v>2430</v>
      </c>
      <c r="C1767" s="9" t="s">
        <v>2782</v>
      </c>
      <c r="D1767" s="5">
        <v>1</v>
      </c>
      <c r="E1767" s="9" t="s">
        <v>10156</v>
      </c>
      <c r="F1767" s="5">
        <v>2</v>
      </c>
      <c r="G1767" s="9" t="s">
        <v>10162</v>
      </c>
      <c r="H1767" s="9" t="s">
        <v>10162</v>
      </c>
      <c r="I1767" s="5">
        <v>396.86</v>
      </c>
      <c r="J1767" s="5">
        <v>101.81</v>
      </c>
      <c r="K1767" s="5">
        <v>740.34</v>
      </c>
      <c r="L1767" s="5">
        <v>302.39999999999998</v>
      </c>
      <c r="M1767" s="9"/>
      <c r="N1767" s="9" t="s">
        <v>10159</v>
      </c>
      <c r="O1767" s="9" t="s">
        <v>9792</v>
      </c>
      <c r="P1767" s="9" t="str">
        <f>HYPERLINK("https://seichotoushi-hojo.jp/assets/pdf/koufu_3_4ji/outline_166.pdf","PDFを開く")</f>
        <v>PDFを開く</v>
      </c>
      <c r="Q1767" s="9" t="s">
        <v>2789</v>
      </c>
    </row>
    <row r="1768" spans="1:17" ht="62.1" customHeight="1">
      <c r="A1768" s="2" t="s">
        <v>2781</v>
      </c>
      <c r="B1768" s="2" t="s">
        <v>2430</v>
      </c>
      <c r="C1768" s="8" t="s">
        <v>2782</v>
      </c>
      <c r="D1768" s="2">
        <v>1</v>
      </c>
      <c r="E1768" s="8" t="s">
        <v>10156</v>
      </c>
      <c r="F1768" s="2">
        <v>3</v>
      </c>
      <c r="G1768" s="8" t="s">
        <v>10163</v>
      </c>
      <c r="H1768" s="8" t="s">
        <v>10163</v>
      </c>
      <c r="I1768" s="2">
        <v>396.3</v>
      </c>
      <c r="J1768" s="2">
        <v>308.73</v>
      </c>
      <c r="K1768" s="2">
        <v>739.78</v>
      </c>
      <c r="L1768" s="2">
        <v>509.32</v>
      </c>
      <c r="M1768" s="8"/>
      <c r="N1768" s="8" t="s">
        <v>10159</v>
      </c>
      <c r="O1768" s="8" t="s">
        <v>9793</v>
      </c>
      <c r="P1768" s="8" t="str">
        <f>HYPERLINK("https://seichotoushi-hojo.jp/assets/pdf/koufu_3_4ji/outline_166.pdf","PDFを開く")</f>
        <v>PDFを開く</v>
      </c>
      <c r="Q1768" s="8" t="s">
        <v>2789</v>
      </c>
    </row>
    <row r="1769" spans="1:17" ht="62.1" customHeight="1">
      <c r="A1769" s="5" t="s">
        <v>2781</v>
      </c>
      <c r="B1769" s="5" t="s">
        <v>2430</v>
      </c>
      <c r="C1769" s="9" t="s">
        <v>2782</v>
      </c>
      <c r="D1769" s="5">
        <v>1</v>
      </c>
      <c r="E1769" s="9" t="s">
        <v>10156</v>
      </c>
      <c r="F1769" s="5">
        <v>4</v>
      </c>
      <c r="G1769" s="9" t="s">
        <v>8581</v>
      </c>
      <c r="H1769" s="9" t="s">
        <v>8581</v>
      </c>
      <c r="I1769" s="5">
        <v>43.02</v>
      </c>
      <c r="J1769" s="5">
        <v>388.46</v>
      </c>
      <c r="K1769" s="5">
        <v>375.42</v>
      </c>
      <c r="L1769" s="5">
        <v>504.23</v>
      </c>
      <c r="M1769" s="9"/>
      <c r="N1769" s="9" t="s">
        <v>10159</v>
      </c>
      <c r="O1769" s="9" t="s">
        <v>9794</v>
      </c>
      <c r="P1769" s="9" t="str">
        <f>HYPERLINK("https://seichotoushi-hojo.jp/assets/pdf/koufu_3_4ji/outline_166.pdf","PDFを開く")</f>
        <v>PDFを開く</v>
      </c>
      <c r="Q1769" s="9" t="s">
        <v>2789</v>
      </c>
    </row>
    <row r="1770" spans="1:17" ht="62.1" customHeight="1">
      <c r="A1770" s="2" t="s">
        <v>2790</v>
      </c>
      <c r="B1770" s="2" t="s">
        <v>2430</v>
      </c>
      <c r="C1770" s="8" t="s">
        <v>2791</v>
      </c>
      <c r="D1770" s="2">
        <v>1</v>
      </c>
      <c r="E1770" s="8" t="s">
        <v>10156</v>
      </c>
      <c r="F1770" s="2">
        <v>1</v>
      </c>
      <c r="G1770" s="8" t="s">
        <v>10162</v>
      </c>
      <c r="H1770" s="8" t="s">
        <v>10162</v>
      </c>
      <c r="I1770" s="2">
        <v>396.36</v>
      </c>
      <c r="J1770" s="2">
        <v>99.72</v>
      </c>
      <c r="K1770" s="2">
        <v>750</v>
      </c>
      <c r="L1770" s="2">
        <v>368.64</v>
      </c>
      <c r="M1770" s="8"/>
      <c r="N1770" s="8" t="s">
        <v>10159</v>
      </c>
      <c r="O1770" s="8" t="s">
        <v>9800</v>
      </c>
      <c r="P1770" s="8" t="str">
        <f>HYPERLINK("https://seichotoushi-hojo.jp/assets/pdf/koufu_3_4ji/outline_167.pdf","PDFを開く")</f>
        <v>PDFを開く</v>
      </c>
      <c r="Q1770" s="8" t="s">
        <v>2797</v>
      </c>
    </row>
    <row r="1771" spans="1:17" ht="62.1" customHeight="1">
      <c r="A1771" s="5" t="s">
        <v>2790</v>
      </c>
      <c r="B1771" s="5" t="s">
        <v>2430</v>
      </c>
      <c r="C1771" s="9" t="s">
        <v>2791</v>
      </c>
      <c r="D1771" s="5">
        <v>1</v>
      </c>
      <c r="E1771" s="9" t="s">
        <v>10156</v>
      </c>
      <c r="F1771" s="5">
        <v>2</v>
      </c>
      <c r="G1771" s="9" t="s">
        <v>9578</v>
      </c>
      <c r="H1771" s="9" t="s">
        <v>9578</v>
      </c>
      <c r="I1771" s="5">
        <v>30</v>
      </c>
      <c r="J1771" s="5">
        <v>100.44</v>
      </c>
      <c r="K1771" s="5">
        <v>369.12</v>
      </c>
      <c r="L1771" s="5">
        <v>526.20000000000005</v>
      </c>
      <c r="M1771" s="9"/>
      <c r="N1771" s="9" t="s">
        <v>10159</v>
      </c>
      <c r="O1771" s="9" t="s">
        <v>9799</v>
      </c>
      <c r="P1771" s="9" t="str">
        <f>HYPERLINK("https://seichotoushi-hojo.jp/assets/pdf/koufu_3_4ji/outline_167.pdf","PDFを開く")</f>
        <v>PDFを開く</v>
      </c>
      <c r="Q1771" s="9" t="s">
        <v>2797</v>
      </c>
    </row>
    <row r="1772" spans="1:17" ht="62.1" customHeight="1">
      <c r="A1772" s="2" t="s">
        <v>2790</v>
      </c>
      <c r="B1772" s="2" t="s">
        <v>2430</v>
      </c>
      <c r="C1772" s="8" t="s">
        <v>2791</v>
      </c>
      <c r="D1772" s="2">
        <v>1</v>
      </c>
      <c r="E1772" s="8" t="s">
        <v>10156</v>
      </c>
      <c r="F1772" s="2">
        <v>3</v>
      </c>
      <c r="G1772" s="8" t="s">
        <v>10163</v>
      </c>
      <c r="H1772" s="8" t="s">
        <v>10163</v>
      </c>
      <c r="I1772" s="2">
        <v>395.28</v>
      </c>
      <c r="J1772" s="2">
        <v>370.68</v>
      </c>
      <c r="K1772" s="2">
        <v>749.04</v>
      </c>
      <c r="L1772" s="2">
        <v>531.84</v>
      </c>
      <c r="M1772" s="8"/>
      <c r="N1772" s="8" t="s">
        <v>10159</v>
      </c>
      <c r="O1772" s="8" t="s">
        <v>9801</v>
      </c>
      <c r="P1772" s="8" t="str">
        <f>HYPERLINK("https://seichotoushi-hojo.jp/assets/pdf/koufu_3_4ji/outline_167.pdf","PDFを開く")</f>
        <v>PDFを開く</v>
      </c>
      <c r="Q1772" s="8" t="s">
        <v>2797</v>
      </c>
    </row>
    <row r="1773" spans="1:17" ht="62.1" customHeight="1">
      <c r="A1773" s="5" t="s">
        <v>2790</v>
      </c>
      <c r="B1773" s="5" t="s">
        <v>2430</v>
      </c>
      <c r="C1773" s="9" t="s">
        <v>2791</v>
      </c>
      <c r="D1773" s="5">
        <v>1</v>
      </c>
      <c r="E1773" s="9" t="s">
        <v>10156</v>
      </c>
      <c r="F1773" s="5">
        <v>4</v>
      </c>
      <c r="G1773" s="9" t="s">
        <v>8581</v>
      </c>
      <c r="H1773" s="9" t="s">
        <v>8581</v>
      </c>
      <c r="I1773" s="5">
        <v>35.28</v>
      </c>
      <c r="J1773" s="5">
        <v>467.64</v>
      </c>
      <c r="K1773" s="5">
        <v>358.08</v>
      </c>
      <c r="L1773" s="5">
        <v>519.48</v>
      </c>
      <c r="M1773" s="9"/>
      <c r="N1773" s="9" t="s">
        <v>10159</v>
      </c>
      <c r="O1773" s="9" t="s">
        <v>2795</v>
      </c>
      <c r="P1773" s="9" t="str">
        <f>HYPERLINK("https://seichotoushi-hojo.jp/assets/pdf/koufu_3_4ji/outline_167.pdf","PDFを開く")</f>
        <v>PDFを開く</v>
      </c>
      <c r="Q1773" s="9" t="s">
        <v>2797</v>
      </c>
    </row>
    <row r="1774" spans="1:17" ht="62.1" customHeight="1">
      <c r="A1774" s="2" t="s">
        <v>2798</v>
      </c>
      <c r="B1774" s="2" t="s">
        <v>2430</v>
      </c>
      <c r="C1774" s="8" t="s">
        <v>2799</v>
      </c>
      <c r="D1774" s="2">
        <v>1</v>
      </c>
      <c r="E1774" s="8" t="s">
        <v>10156</v>
      </c>
      <c r="F1774" s="2">
        <v>1</v>
      </c>
      <c r="G1774" s="8" t="s">
        <v>10157</v>
      </c>
      <c r="H1774" s="8" t="s">
        <v>10157</v>
      </c>
      <c r="I1774" s="2">
        <v>15.84</v>
      </c>
      <c r="J1774" s="2">
        <v>95.88</v>
      </c>
      <c r="K1774" s="2">
        <v>772.56</v>
      </c>
      <c r="L1774" s="2">
        <v>152.52000000000001</v>
      </c>
      <c r="M1774" s="8"/>
      <c r="N1774" s="8" t="s">
        <v>10159</v>
      </c>
      <c r="O1774" s="8" t="s">
        <v>9806</v>
      </c>
      <c r="P1774" s="8" t="str">
        <f>HYPERLINK("https://seichotoushi-hojo.jp/assets/pdf/koufu_3_4ji/outline_168.pdf","PDFを開く")</f>
        <v>PDFを開く</v>
      </c>
      <c r="Q1774" s="8" t="s">
        <v>2808</v>
      </c>
    </row>
    <row r="1775" spans="1:17" ht="62.1" customHeight="1">
      <c r="A1775" s="5" t="s">
        <v>2798</v>
      </c>
      <c r="B1775" s="5" t="s">
        <v>2430</v>
      </c>
      <c r="C1775" s="9" t="s">
        <v>2799</v>
      </c>
      <c r="D1775" s="5">
        <v>1</v>
      </c>
      <c r="E1775" s="9" t="s">
        <v>10156</v>
      </c>
      <c r="F1775" s="5">
        <v>2</v>
      </c>
      <c r="G1775" s="9" t="s">
        <v>9578</v>
      </c>
      <c r="H1775" s="9" t="s">
        <v>9578</v>
      </c>
      <c r="I1775" s="5">
        <v>15.84</v>
      </c>
      <c r="J1775" s="5">
        <v>155.88</v>
      </c>
      <c r="K1775" s="5">
        <v>422.76</v>
      </c>
      <c r="L1775" s="5">
        <v>529.91999999999996</v>
      </c>
      <c r="M1775" s="9"/>
      <c r="N1775" s="9" t="s">
        <v>10159</v>
      </c>
      <c r="O1775" s="9" t="s">
        <v>9807</v>
      </c>
      <c r="P1775" s="9" t="str">
        <f>HYPERLINK("https://seichotoushi-hojo.jp/assets/pdf/koufu_3_4ji/outline_168.pdf","PDFを開く")</f>
        <v>PDFを開く</v>
      </c>
      <c r="Q1775" s="9" t="s">
        <v>2808</v>
      </c>
    </row>
    <row r="1776" spans="1:17" ht="62.1" customHeight="1">
      <c r="A1776" s="2" t="s">
        <v>2798</v>
      </c>
      <c r="B1776" s="2" t="s">
        <v>2430</v>
      </c>
      <c r="C1776" s="8" t="s">
        <v>2799</v>
      </c>
      <c r="D1776" s="2">
        <v>1</v>
      </c>
      <c r="E1776" s="8" t="s">
        <v>10156</v>
      </c>
      <c r="F1776" s="2">
        <v>3</v>
      </c>
      <c r="G1776" s="8" t="s">
        <v>10162</v>
      </c>
      <c r="H1776" s="8" t="s">
        <v>10162</v>
      </c>
      <c r="I1776" s="2">
        <v>444.96</v>
      </c>
      <c r="J1776" s="2">
        <v>164.04</v>
      </c>
      <c r="K1776" s="2">
        <v>770.88</v>
      </c>
      <c r="L1776" s="2">
        <v>324.36</v>
      </c>
      <c r="M1776" s="8"/>
      <c r="N1776" s="8" t="s">
        <v>10159</v>
      </c>
      <c r="O1776" s="8" t="s">
        <v>9808</v>
      </c>
      <c r="P1776" s="8" t="str">
        <f>HYPERLINK("https://seichotoushi-hojo.jp/assets/pdf/koufu_3_4ji/outline_168.pdf","PDFを開く")</f>
        <v>PDFを開く</v>
      </c>
      <c r="Q1776" s="8" t="s">
        <v>2808</v>
      </c>
    </row>
    <row r="1777" spans="1:17" ht="62.1" customHeight="1">
      <c r="A1777" s="5" t="s">
        <v>2798</v>
      </c>
      <c r="B1777" s="5" t="s">
        <v>2430</v>
      </c>
      <c r="C1777" s="9" t="s">
        <v>2799</v>
      </c>
      <c r="D1777" s="5">
        <v>1</v>
      </c>
      <c r="E1777" s="9" t="s">
        <v>10156</v>
      </c>
      <c r="F1777" s="5">
        <v>4</v>
      </c>
      <c r="G1777" s="9" t="s">
        <v>10163</v>
      </c>
      <c r="H1777" s="9" t="s">
        <v>10163</v>
      </c>
      <c r="I1777" s="5">
        <v>446.64</v>
      </c>
      <c r="J1777" s="5">
        <v>331.08</v>
      </c>
      <c r="K1777" s="5">
        <v>772.56</v>
      </c>
      <c r="L1777" s="5">
        <v>519.6</v>
      </c>
      <c r="M1777" s="9"/>
      <c r="N1777" s="9" t="s">
        <v>10159</v>
      </c>
      <c r="O1777" s="9" t="s">
        <v>9809</v>
      </c>
      <c r="P1777" s="9" t="str">
        <f>HYPERLINK("https://seichotoushi-hojo.jp/assets/pdf/koufu_3_4ji/outline_168.pdf","PDFを開く")</f>
        <v>PDFを開く</v>
      </c>
      <c r="Q1777" s="9" t="s">
        <v>2808</v>
      </c>
    </row>
    <row r="1778" spans="1:17" ht="62.1" customHeight="1">
      <c r="A1778" s="2" t="s">
        <v>2798</v>
      </c>
      <c r="B1778" s="2" t="s">
        <v>2430</v>
      </c>
      <c r="C1778" s="8" t="s">
        <v>2799</v>
      </c>
      <c r="D1778" s="2">
        <v>1</v>
      </c>
      <c r="E1778" s="8" t="s">
        <v>10156</v>
      </c>
      <c r="F1778" s="2">
        <v>5</v>
      </c>
      <c r="G1778" s="8" t="s">
        <v>8581</v>
      </c>
      <c r="H1778" s="8" t="s">
        <v>8581</v>
      </c>
      <c r="I1778" s="2">
        <v>18.72</v>
      </c>
      <c r="J1778" s="2">
        <v>410.52</v>
      </c>
      <c r="K1778" s="2">
        <v>390</v>
      </c>
      <c r="L1778" s="2">
        <v>521.16</v>
      </c>
      <c r="M1778" s="8"/>
      <c r="N1778" s="8" t="s">
        <v>10159</v>
      </c>
      <c r="O1778" s="8" t="s">
        <v>2804</v>
      </c>
      <c r="P1778" s="8" t="str">
        <f>HYPERLINK("https://seichotoushi-hojo.jp/assets/pdf/koufu_3_4ji/outline_168.pdf","PDFを開く")</f>
        <v>PDFを開く</v>
      </c>
      <c r="Q1778" s="8" t="s">
        <v>2808</v>
      </c>
    </row>
    <row r="1779" spans="1:17" ht="62.1" customHeight="1">
      <c r="A1779" s="5" t="s">
        <v>2809</v>
      </c>
      <c r="B1779" s="5" t="s">
        <v>2430</v>
      </c>
      <c r="C1779" s="9" t="s">
        <v>2810</v>
      </c>
      <c r="D1779" s="5">
        <v>1</v>
      </c>
      <c r="E1779" s="9" t="s">
        <v>10156</v>
      </c>
      <c r="F1779" s="5">
        <v>1</v>
      </c>
      <c r="G1779" s="9" t="s">
        <v>9578</v>
      </c>
      <c r="H1779" s="9" t="s">
        <v>9578</v>
      </c>
      <c r="I1779" s="5">
        <v>22.08</v>
      </c>
      <c r="J1779" s="5">
        <v>107.76</v>
      </c>
      <c r="K1779" s="5">
        <v>378.78</v>
      </c>
      <c r="L1779" s="5">
        <v>514.61</v>
      </c>
      <c r="M1779" s="9"/>
      <c r="N1779" s="9" t="s">
        <v>10159</v>
      </c>
      <c r="O1779" s="9" t="s">
        <v>9814</v>
      </c>
      <c r="P1779" s="9" t="str">
        <f>HYPERLINK("https://seichotoushi-hojo.jp/assets/pdf/koufu_3_4ji/outline_170.pdf","PDFを開く")</f>
        <v>PDFを開く</v>
      </c>
      <c r="Q1779" s="9" t="s">
        <v>2816</v>
      </c>
    </row>
    <row r="1780" spans="1:17" ht="62.1" customHeight="1">
      <c r="A1780" s="2" t="s">
        <v>2809</v>
      </c>
      <c r="B1780" s="2" t="s">
        <v>2430</v>
      </c>
      <c r="C1780" s="8" t="s">
        <v>2810</v>
      </c>
      <c r="D1780" s="2">
        <v>1</v>
      </c>
      <c r="E1780" s="8" t="s">
        <v>10156</v>
      </c>
      <c r="F1780" s="2">
        <v>2</v>
      </c>
      <c r="G1780" s="8" t="s">
        <v>10162</v>
      </c>
      <c r="H1780" s="8" t="s">
        <v>10162</v>
      </c>
      <c r="I1780" s="2">
        <v>396.3</v>
      </c>
      <c r="J1780" s="2">
        <v>110.51</v>
      </c>
      <c r="K1780" s="2">
        <v>739.78</v>
      </c>
      <c r="L1780" s="2">
        <v>322.29000000000002</v>
      </c>
      <c r="M1780" s="8"/>
      <c r="N1780" s="8" t="s">
        <v>10159</v>
      </c>
      <c r="O1780" s="8" t="s">
        <v>9815</v>
      </c>
      <c r="P1780" s="8" t="str">
        <f>HYPERLINK("https://seichotoushi-hojo.jp/assets/pdf/koufu_3_4ji/outline_170.pdf","PDFを開く")</f>
        <v>PDFを開く</v>
      </c>
      <c r="Q1780" s="8" t="s">
        <v>2816</v>
      </c>
    </row>
    <row r="1781" spans="1:17" ht="62.1" customHeight="1">
      <c r="A1781" s="5" t="s">
        <v>2809</v>
      </c>
      <c r="B1781" s="5" t="s">
        <v>2430</v>
      </c>
      <c r="C1781" s="9" t="s">
        <v>2810</v>
      </c>
      <c r="D1781" s="5">
        <v>1</v>
      </c>
      <c r="E1781" s="9" t="s">
        <v>10156</v>
      </c>
      <c r="F1781" s="5">
        <v>3</v>
      </c>
      <c r="G1781" s="9" t="s">
        <v>10163</v>
      </c>
      <c r="H1781" s="9" t="s">
        <v>10163</v>
      </c>
      <c r="I1781" s="5">
        <v>396.3</v>
      </c>
      <c r="J1781" s="5">
        <v>333.95</v>
      </c>
      <c r="K1781" s="5">
        <v>739.78</v>
      </c>
      <c r="L1781" s="5">
        <v>514.61</v>
      </c>
      <c r="M1781" s="9"/>
      <c r="N1781" s="9" t="s">
        <v>10159</v>
      </c>
      <c r="O1781" s="9" t="s">
        <v>9816</v>
      </c>
      <c r="P1781" s="9" t="str">
        <f>HYPERLINK("https://seichotoushi-hojo.jp/assets/pdf/koufu_3_4ji/outline_170.pdf","PDFを開く")</f>
        <v>PDFを開く</v>
      </c>
      <c r="Q1781" s="9" t="s">
        <v>2816</v>
      </c>
    </row>
    <row r="1782" spans="1:17" ht="62.1" customHeight="1">
      <c r="A1782" s="2" t="s">
        <v>2809</v>
      </c>
      <c r="B1782" s="2" t="s">
        <v>2430</v>
      </c>
      <c r="C1782" s="8" t="s">
        <v>2810</v>
      </c>
      <c r="D1782" s="2">
        <v>1</v>
      </c>
      <c r="E1782" s="8" t="s">
        <v>10156</v>
      </c>
      <c r="F1782" s="2">
        <v>4</v>
      </c>
      <c r="G1782" s="8" t="s">
        <v>8581</v>
      </c>
      <c r="H1782" s="8" t="s">
        <v>8581</v>
      </c>
      <c r="I1782" s="2">
        <v>39.200000000000003</v>
      </c>
      <c r="J1782" s="2">
        <v>445.29</v>
      </c>
      <c r="K1782" s="2">
        <v>358.7</v>
      </c>
      <c r="L1782" s="2">
        <v>504.73</v>
      </c>
      <c r="M1782" s="8"/>
      <c r="N1782" s="8" t="s">
        <v>10159</v>
      </c>
      <c r="O1782" s="8" t="s">
        <v>2814</v>
      </c>
      <c r="P1782" s="8" t="str">
        <f>HYPERLINK("https://seichotoushi-hojo.jp/assets/pdf/koufu_3_4ji/outline_170.pdf","PDFを開く")</f>
        <v>PDFを開く</v>
      </c>
      <c r="Q1782" s="8" t="s">
        <v>2816</v>
      </c>
    </row>
    <row r="1783" spans="1:17" ht="62.1" customHeight="1">
      <c r="A1783" s="5" t="s">
        <v>2817</v>
      </c>
      <c r="B1783" s="5" t="s">
        <v>2430</v>
      </c>
      <c r="C1783" s="9" t="s">
        <v>2818</v>
      </c>
      <c r="D1783" s="5">
        <v>1</v>
      </c>
      <c r="E1783" s="9" t="s">
        <v>10156</v>
      </c>
      <c r="F1783" s="5">
        <v>1</v>
      </c>
      <c r="G1783" s="9" t="s">
        <v>10162</v>
      </c>
      <c r="H1783" s="9" t="s">
        <v>10162</v>
      </c>
      <c r="I1783" s="5">
        <v>396.3</v>
      </c>
      <c r="J1783" s="5">
        <v>110.27</v>
      </c>
      <c r="K1783" s="5">
        <v>739.78</v>
      </c>
      <c r="L1783" s="5">
        <v>308.67</v>
      </c>
      <c r="M1783" s="9"/>
      <c r="N1783" s="9" t="s">
        <v>10159</v>
      </c>
      <c r="O1783" s="9" t="s">
        <v>9822</v>
      </c>
      <c r="P1783" s="9" t="str">
        <f>HYPERLINK("https://seichotoushi-hojo.jp/assets/pdf/koufu_3_4ji/outline_171.pdf","PDFを開く")</f>
        <v>PDFを開く</v>
      </c>
      <c r="Q1783" s="9" t="s">
        <v>2824</v>
      </c>
    </row>
    <row r="1784" spans="1:17" ht="62.1" customHeight="1">
      <c r="A1784" s="2" t="s">
        <v>2817</v>
      </c>
      <c r="B1784" s="2" t="s">
        <v>2430</v>
      </c>
      <c r="C1784" s="8" t="s">
        <v>2818</v>
      </c>
      <c r="D1784" s="2">
        <v>1</v>
      </c>
      <c r="E1784" s="8" t="s">
        <v>10156</v>
      </c>
      <c r="F1784" s="2">
        <v>2</v>
      </c>
      <c r="G1784" s="8" t="s">
        <v>9578</v>
      </c>
      <c r="H1784" s="8" t="s">
        <v>9578</v>
      </c>
      <c r="I1784" s="2">
        <v>36.21</v>
      </c>
      <c r="J1784" s="2">
        <v>127.54</v>
      </c>
      <c r="K1784" s="2">
        <v>375.33</v>
      </c>
      <c r="L1784" s="2">
        <v>482.11</v>
      </c>
      <c r="M1784" s="8"/>
      <c r="N1784" s="8" t="s">
        <v>10159</v>
      </c>
      <c r="O1784" s="8" t="s">
        <v>9821</v>
      </c>
      <c r="P1784" s="8" t="str">
        <f>HYPERLINK("https://seichotoushi-hojo.jp/assets/pdf/koufu_3_4ji/outline_171.pdf","PDFを開く")</f>
        <v>PDFを開く</v>
      </c>
      <c r="Q1784" s="8" t="s">
        <v>2824</v>
      </c>
    </row>
    <row r="1785" spans="1:17" ht="62.1" customHeight="1">
      <c r="A1785" s="5" t="s">
        <v>2817</v>
      </c>
      <c r="B1785" s="5" t="s">
        <v>2430</v>
      </c>
      <c r="C1785" s="9" t="s">
        <v>2818</v>
      </c>
      <c r="D1785" s="5">
        <v>1</v>
      </c>
      <c r="E1785" s="9" t="s">
        <v>10156</v>
      </c>
      <c r="F1785" s="5">
        <v>3</v>
      </c>
      <c r="G1785" s="9" t="s">
        <v>10163</v>
      </c>
      <c r="H1785" s="9" t="s">
        <v>10163</v>
      </c>
      <c r="I1785" s="5">
        <v>396.3</v>
      </c>
      <c r="J1785" s="5">
        <v>317.23</v>
      </c>
      <c r="K1785" s="5">
        <v>739.78</v>
      </c>
      <c r="L1785" s="5">
        <v>499.73</v>
      </c>
      <c r="M1785" s="9"/>
      <c r="N1785" s="9" t="s">
        <v>10159</v>
      </c>
      <c r="O1785" s="9" t="s">
        <v>9823</v>
      </c>
      <c r="P1785" s="9" t="str">
        <f>HYPERLINK("https://seichotoushi-hojo.jp/assets/pdf/koufu_3_4ji/outline_171.pdf","PDFを開く")</f>
        <v>PDFを開く</v>
      </c>
      <c r="Q1785" s="9" t="s">
        <v>2824</v>
      </c>
    </row>
    <row r="1786" spans="1:17" ht="62.1" customHeight="1">
      <c r="A1786" s="2" t="s">
        <v>2817</v>
      </c>
      <c r="B1786" s="2" t="s">
        <v>2430</v>
      </c>
      <c r="C1786" s="8" t="s">
        <v>2818</v>
      </c>
      <c r="D1786" s="2">
        <v>1</v>
      </c>
      <c r="E1786" s="8" t="s">
        <v>10156</v>
      </c>
      <c r="F1786" s="2">
        <v>4</v>
      </c>
      <c r="G1786" s="8" t="s">
        <v>8581</v>
      </c>
      <c r="H1786" s="8" t="s">
        <v>8581</v>
      </c>
      <c r="I1786" s="2">
        <v>42.96</v>
      </c>
      <c r="J1786" s="2">
        <v>394.63</v>
      </c>
      <c r="K1786" s="2">
        <v>367.64</v>
      </c>
      <c r="L1786" s="2">
        <v>462.88</v>
      </c>
      <c r="M1786" s="8"/>
      <c r="N1786" s="8" t="s">
        <v>10159</v>
      </c>
      <c r="O1786" s="8" t="s">
        <v>2822</v>
      </c>
      <c r="P1786" s="8" t="str">
        <f>HYPERLINK("https://seichotoushi-hojo.jp/assets/pdf/koufu_3_4ji/outline_171.pdf","PDFを開く")</f>
        <v>PDFを開く</v>
      </c>
      <c r="Q1786" s="8" t="s">
        <v>2824</v>
      </c>
    </row>
    <row r="1787" spans="1:17" ht="62.1" customHeight="1">
      <c r="A1787" s="5" t="s">
        <v>2825</v>
      </c>
      <c r="B1787" s="5" t="s">
        <v>2430</v>
      </c>
      <c r="C1787" s="9" t="s">
        <v>2826</v>
      </c>
      <c r="D1787" s="5">
        <v>1</v>
      </c>
      <c r="E1787" s="9" t="s">
        <v>10156</v>
      </c>
      <c r="F1787" s="5">
        <v>1</v>
      </c>
      <c r="G1787" s="9" t="s">
        <v>9578</v>
      </c>
      <c r="H1787" s="9" t="s">
        <v>9578</v>
      </c>
      <c r="I1787" s="5">
        <v>39.659999999999997</v>
      </c>
      <c r="J1787" s="5">
        <v>108.34</v>
      </c>
      <c r="K1787" s="5">
        <v>378.79</v>
      </c>
      <c r="L1787" s="5">
        <v>527.30999999999995</v>
      </c>
      <c r="M1787" s="9"/>
      <c r="N1787" s="9" t="s">
        <v>10159</v>
      </c>
      <c r="O1787" s="9" t="s">
        <v>9828</v>
      </c>
      <c r="P1787" s="9" t="str">
        <f t="shared" ref="P1787:P1793" si="106">HYPERLINK("https://seichotoushi-hojo.jp/assets/pdf/koufu_3_4ji/outline_172.pdf","PDFを開く")</f>
        <v>PDFを開く</v>
      </c>
      <c r="Q1787" s="9" t="s">
        <v>2832</v>
      </c>
    </row>
    <row r="1788" spans="1:17" ht="62.1" customHeight="1">
      <c r="A1788" s="2" t="s">
        <v>2825</v>
      </c>
      <c r="B1788" s="2" t="s">
        <v>2430</v>
      </c>
      <c r="C1788" s="8" t="s">
        <v>2826</v>
      </c>
      <c r="D1788" s="2">
        <v>1</v>
      </c>
      <c r="E1788" s="8" t="s">
        <v>10156</v>
      </c>
      <c r="F1788" s="2">
        <v>2</v>
      </c>
      <c r="G1788" s="8" t="s">
        <v>10162</v>
      </c>
      <c r="H1788" s="8" t="s">
        <v>10162</v>
      </c>
      <c r="I1788" s="2">
        <v>396.3</v>
      </c>
      <c r="J1788" s="2">
        <v>108.34</v>
      </c>
      <c r="K1788" s="2">
        <v>739.78</v>
      </c>
      <c r="L1788" s="2">
        <v>314.52</v>
      </c>
      <c r="M1788" s="8"/>
      <c r="N1788" s="8" t="s">
        <v>10159</v>
      </c>
      <c r="O1788" s="8" t="s">
        <v>9829</v>
      </c>
      <c r="P1788" s="8" t="str">
        <f t="shared" si="106"/>
        <v>PDFを開く</v>
      </c>
      <c r="Q1788" s="8" t="s">
        <v>2832</v>
      </c>
    </row>
    <row r="1789" spans="1:17" ht="62.1" customHeight="1">
      <c r="A1789" s="5" t="s">
        <v>2825</v>
      </c>
      <c r="B1789" s="5" t="s">
        <v>2430</v>
      </c>
      <c r="C1789" s="9" t="s">
        <v>2826</v>
      </c>
      <c r="D1789" s="5">
        <v>1</v>
      </c>
      <c r="E1789" s="9" t="s">
        <v>10156</v>
      </c>
      <c r="F1789" s="5">
        <v>3</v>
      </c>
      <c r="G1789" s="9" t="s">
        <v>10163</v>
      </c>
      <c r="H1789" s="9" t="s">
        <v>10163</v>
      </c>
      <c r="I1789" s="5">
        <v>396.3</v>
      </c>
      <c r="J1789" s="5">
        <v>321.29000000000002</v>
      </c>
      <c r="K1789" s="5">
        <v>739.78</v>
      </c>
      <c r="L1789" s="5">
        <v>527.30999999999995</v>
      </c>
      <c r="M1789" s="9"/>
      <c r="N1789" s="9" t="s">
        <v>10159</v>
      </c>
      <c r="O1789" s="9" t="s">
        <v>9830</v>
      </c>
      <c r="P1789" s="9" t="str">
        <f t="shared" si="106"/>
        <v>PDFを開く</v>
      </c>
      <c r="Q1789" s="9" t="s">
        <v>2832</v>
      </c>
    </row>
    <row r="1790" spans="1:17" ht="62.1" customHeight="1">
      <c r="A1790" s="2" t="s">
        <v>2825</v>
      </c>
      <c r="B1790" s="2" t="s">
        <v>2430</v>
      </c>
      <c r="C1790" s="8" t="s">
        <v>2826</v>
      </c>
      <c r="D1790" s="2">
        <v>1</v>
      </c>
      <c r="E1790" s="8" t="s">
        <v>10156</v>
      </c>
      <c r="F1790" s="2">
        <v>4</v>
      </c>
      <c r="G1790" s="8" t="s">
        <v>8581</v>
      </c>
      <c r="H1790" s="8" t="s">
        <v>8581</v>
      </c>
      <c r="I1790" s="2">
        <v>49.47</v>
      </c>
      <c r="J1790" s="2">
        <v>450.51</v>
      </c>
      <c r="K1790" s="2">
        <v>368.97</v>
      </c>
      <c r="L1790" s="2">
        <v>515.65</v>
      </c>
      <c r="M1790" s="8"/>
      <c r="N1790" s="8" t="s">
        <v>10159</v>
      </c>
      <c r="O1790" s="8" t="s">
        <v>2830</v>
      </c>
      <c r="P1790" s="8" t="str">
        <f t="shared" si="106"/>
        <v>PDFを開く</v>
      </c>
      <c r="Q1790" s="8" t="s">
        <v>2832</v>
      </c>
    </row>
    <row r="1791" spans="1:17" ht="62.1" customHeight="1">
      <c r="A1791" s="5" t="s">
        <v>2825</v>
      </c>
      <c r="B1791" s="5" t="s">
        <v>2430</v>
      </c>
      <c r="C1791" s="9" t="s">
        <v>2826</v>
      </c>
      <c r="D1791" s="5">
        <v>2</v>
      </c>
      <c r="E1791" s="9" t="s">
        <v>10165</v>
      </c>
      <c r="F1791" s="5">
        <v>1</v>
      </c>
      <c r="G1791" s="9" t="s">
        <v>10184</v>
      </c>
      <c r="H1791" s="9" t="s">
        <v>10184</v>
      </c>
      <c r="I1791" s="5">
        <v>120.36</v>
      </c>
      <c r="J1791" s="5">
        <v>178.36</v>
      </c>
      <c r="K1791" s="5">
        <v>401.7</v>
      </c>
      <c r="L1791" s="5">
        <v>373.76</v>
      </c>
      <c r="M1791" s="9"/>
      <c r="N1791" s="9" t="s">
        <v>10181</v>
      </c>
      <c r="O1791" s="9" t="s">
        <v>10885</v>
      </c>
      <c r="P1791" s="9" t="str">
        <f t="shared" si="106"/>
        <v>PDFを開く</v>
      </c>
      <c r="Q1791" s="9" t="s">
        <v>2832</v>
      </c>
    </row>
    <row r="1792" spans="1:17" ht="62.1" customHeight="1">
      <c r="A1792" s="2" t="s">
        <v>2825</v>
      </c>
      <c r="B1792" s="2" t="s">
        <v>2430</v>
      </c>
      <c r="C1792" s="8" t="s">
        <v>2826</v>
      </c>
      <c r="D1792" s="2">
        <v>2</v>
      </c>
      <c r="E1792" s="8" t="s">
        <v>10165</v>
      </c>
      <c r="F1792" s="2">
        <v>2</v>
      </c>
      <c r="G1792" s="8" t="s">
        <v>10167</v>
      </c>
      <c r="H1792" s="8" t="s">
        <v>10886</v>
      </c>
      <c r="I1792" s="2">
        <v>486.54</v>
      </c>
      <c r="J1792" s="2">
        <v>183.57</v>
      </c>
      <c r="K1792" s="2">
        <v>739.53</v>
      </c>
      <c r="L1792" s="2">
        <v>282.31</v>
      </c>
      <c r="M1792" s="8"/>
      <c r="N1792" s="8" t="s">
        <v>10159</v>
      </c>
      <c r="O1792" s="8" t="s">
        <v>10886</v>
      </c>
      <c r="P1792" s="8" t="str">
        <f t="shared" si="106"/>
        <v>PDFを開く</v>
      </c>
      <c r="Q1792" s="8" t="s">
        <v>2832</v>
      </c>
    </row>
    <row r="1793" spans="1:17" ht="62.1" customHeight="1">
      <c r="A1793" s="5" t="s">
        <v>2825</v>
      </c>
      <c r="B1793" s="5" t="s">
        <v>2430</v>
      </c>
      <c r="C1793" s="9" t="s">
        <v>2826</v>
      </c>
      <c r="D1793" s="5">
        <v>2</v>
      </c>
      <c r="E1793" s="9" t="s">
        <v>10165</v>
      </c>
      <c r="F1793" s="5">
        <v>3</v>
      </c>
      <c r="G1793" s="9" t="s">
        <v>10167</v>
      </c>
      <c r="H1793" s="9" t="s">
        <v>10887</v>
      </c>
      <c r="I1793" s="5">
        <v>486.54</v>
      </c>
      <c r="J1793" s="5">
        <v>285.76</v>
      </c>
      <c r="K1793" s="5">
        <v>739.53</v>
      </c>
      <c r="L1793" s="5">
        <v>384.5</v>
      </c>
      <c r="M1793" s="9"/>
      <c r="N1793" s="9" t="s">
        <v>10159</v>
      </c>
      <c r="O1793" s="9" t="s">
        <v>10887</v>
      </c>
      <c r="P1793" s="9" t="str">
        <f t="shared" si="106"/>
        <v>PDFを開く</v>
      </c>
      <c r="Q1793" s="9" t="s">
        <v>2832</v>
      </c>
    </row>
    <row r="1794" spans="1:17" ht="62.1" customHeight="1">
      <c r="A1794" s="2" t="s">
        <v>2833</v>
      </c>
      <c r="B1794" s="2" t="s">
        <v>2430</v>
      </c>
      <c r="C1794" s="8" t="s">
        <v>2834</v>
      </c>
      <c r="D1794" s="2">
        <v>1</v>
      </c>
      <c r="E1794" s="8" t="s">
        <v>10156</v>
      </c>
      <c r="F1794" s="2">
        <v>1</v>
      </c>
      <c r="G1794" s="8" t="s">
        <v>9578</v>
      </c>
      <c r="H1794" s="8" t="s">
        <v>9578</v>
      </c>
      <c r="I1794" s="2">
        <v>23.81</v>
      </c>
      <c r="J1794" s="2">
        <v>101.81</v>
      </c>
      <c r="K1794" s="2">
        <v>394.79</v>
      </c>
      <c r="L1794" s="2">
        <v>529.5</v>
      </c>
      <c r="M1794" s="8"/>
      <c r="N1794" s="8" t="s">
        <v>10159</v>
      </c>
      <c r="O1794" s="8" t="s">
        <v>9835</v>
      </c>
      <c r="P1794" s="8" t="str">
        <f>HYPERLINK("https://seichotoushi-hojo.jp/assets/pdf/koufu_3_4ji/outline_174.pdf","PDFを開く")</f>
        <v>PDFを開く</v>
      </c>
      <c r="Q1794" s="8" t="s">
        <v>2840</v>
      </c>
    </row>
    <row r="1795" spans="1:17" ht="62.1" customHeight="1">
      <c r="A1795" s="5" t="s">
        <v>2833</v>
      </c>
      <c r="B1795" s="5" t="s">
        <v>2430</v>
      </c>
      <c r="C1795" s="9" t="s">
        <v>2834</v>
      </c>
      <c r="D1795" s="5">
        <v>1</v>
      </c>
      <c r="E1795" s="9" t="s">
        <v>10156</v>
      </c>
      <c r="F1795" s="5">
        <v>2</v>
      </c>
      <c r="G1795" s="9" t="s">
        <v>10162</v>
      </c>
      <c r="H1795" s="9" t="s">
        <v>10162</v>
      </c>
      <c r="I1795" s="5">
        <v>412.31</v>
      </c>
      <c r="J1795" s="5">
        <v>101.81</v>
      </c>
      <c r="K1795" s="5">
        <v>755.79</v>
      </c>
      <c r="L1795" s="5">
        <v>310.18</v>
      </c>
      <c r="M1795" s="9"/>
      <c r="N1795" s="9" t="s">
        <v>10159</v>
      </c>
      <c r="O1795" s="9" t="s">
        <v>9836</v>
      </c>
      <c r="P1795" s="9" t="str">
        <f>HYPERLINK("https://seichotoushi-hojo.jp/assets/pdf/koufu_3_4ji/outline_174.pdf","PDFを開く")</f>
        <v>PDFを開く</v>
      </c>
      <c r="Q1795" s="9" t="s">
        <v>2840</v>
      </c>
    </row>
    <row r="1796" spans="1:17" ht="62.1" customHeight="1">
      <c r="A1796" s="2" t="s">
        <v>2833</v>
      </c>
      <c r="B1796" s="2" t="s">
        <v>2430</v>
      </c>
      <c r="C1796" s="8" t="s">
        <v>2834</v>
      </c>
      <c r="D1796" s="2">
        <v>1</v>
      </c>
      <c r="E1796" s="8" t="s">
        <v>10156</v>
      </c>
      <c r="F1796" s="2">
        <v>3</v>
      </c>
      <c r="G1796" s="8" t="s">
        <v>10163</v>
      </c>
      <c r="H1796" s="8" t="s">
        <v>10163</v>
      </c>
      <c r="I1796" s="2">
        <v>412.31</v>
      </c>
      <c r="J1796" s="2">
        <v>312.52999999999997</v>
      </c>
      <c r="K1796" s="2">
        <v>755.79</v>
      </c>
      <c r="L1796" s="2">
        <v>520.9</v>
      </c>
      <c r="M1796" s="8"/>
      <c r="N1796" s="8" t="s">
        <v>10159</v>
      </c>
      <c r="O1796" s="8" t="s">
        <v>9837</v>
      </c>
      <c r="P1796" s="8" t="str">
        <f>HYPERLINK("https://seichotoushi-hojo.jp/assets/pdf/koufu_3_4ji/outline_174.pdf","PDFを開く")</f>
        <v>PDFを開く</v>
      </c>
      <c r="Q1796" s="8" t="s">
        <v>2840</v>
      </c>
    </row>
    <row r="1797" spans="1:17" ht="62.1" customHeight="1">
      <c r="A1797" s="5" t="s">
        <v>2833</v>
      </c>
      <c r="B1797" s="5" t="s">
        <v>2430</v>
      </c>
      <c r="C1797" s="9" t="s">
        <v>2834</v>
      </c>
      <c r="D1797" s="5">
        <v>1</v>
      </c>
      <c r="E1797" s="9" t="s">
        <v>10156</v>
      </c>
      <c r="F1797" s="5">
        <v>4</v>
      </c>
      <c r="G1797" s="9" t="s">
        <v>8581</v>
      </c>
      <c r="H1797" s="9" t="s">
        <v>8581</v>
      </c>
      <c r="I1797" s="5">
        <v>42.41</v>
      </c>
      <c r="J1797" s="5">
        <v>449.81</v>
      </c>
      <c r="K1797" s="5">
        <v>383.51</v>
      </c>
      <c r="L1797" s="5">
        <v>518.05999999999995</v>
      </c>
      <c r="M1797" s="9"/>
      <c r="N1797" s="9" t="s">
        <v>10159</v>
      </c>
      <c r="O1797" s="9" t="s">
        <v>2837</v>
      </c>
      <c r="P1797" s="9" t="str">
        <f>HYPERLINK("https://seichotoushi-hojo.jp/assets/pdf/koufu_3_4ji/outline_174.pdf","PDFを開く")</f>
        <v>PDFを開く</v>
      </c>
      <c r="Q1797" s="9" t="s">
        <v>2840</v>
      </c>
    </row>
    <row r="1798" spans="1:17" ht="62.1" customHeight="1">
      <c r="A1798" s="2" t="s">
        <v>2841</v>
      </c>
      <c r="B1798" s="2" t="s">
        <v>2430</v>
      </c>
      <c r="C1798" s="8" t="s">
        <v>2842</v>
      </c>
      <c r="D1798" s="2">
        <v>1</v>
      </c>
      <c r="E1798" s="8" t="s">
        <v>10156</v>
      </c>
      <c r="F1798" s="2">
        <v>1</v>
      </c>
      <c r="G1798" s="8" t="s">
        <v>9578</v>
      </c>
      <c r="H1798" s="8" t="s">
        <v>9578</v>
      </c>
      <c r="I1798" s="2">
        <v>9.8000000000000007</v>
      </c>
      <c r="J1798" s="2">
        <v>101.5</v>
      </c>
      <c r="K1798" s="2">
        <v>403.68</v>
      </c>
      <c r="L1798" s="2">
        <v>528.25</v>
      </c>
      <c r="M1798" s="8"/>
      <c r="N1798" s="8" t="s">
        <v>10159</v>
      </c>
      <c r="O1798" s="8" t="s">
        <v>9842</v>
      </c>
      <c r="P1798" s="8" t="str">
        <f>HYPERLINK("https://seichotoushi-hojo.jp/assets/pdf/koufu_3_4ji/outline_175.pdf","PDFを開く")</f>
        <v>PDFを開く</v>
      </c>
      <c r="Q1798" s="8" t="s">
        <v>2848</v>
      </c>
    </row>
    <row r="1799" spans="1:17" ht="62.1" customHeight="1">
      <c r="A1799" s="5" t="s">
        <v>2841</v>
      </c>
      <c r="B1799" s="5" t="s">
        <v>2430</v>
      </c>
      <c r="C1799" s="9" t="s">
        <v>2842</v>
      </c>
      <c r="D1799" s="5">
        <v>1</v>
      </c>
      <c r="E1799" s="9" t="s">
        <v>10156</v>
      </c>
      <c r="F1799" s="5">
        <v>2</v>
      </c>
      <c r="G1799" s="9" t="s">
        <v>10162</v>
      </c>
      <c r="H1799" s="9" t="s">
        <v>10162</v>
      </c>
      <c r="I1799" s="5">
        <v>427.24</v>
      </c>
      <c r="J1799" s="5">
        <v>101.81</v>
      </c>
      <c r="K1799" s="5">
        <v>768.02</v>
      </c>
      <c r="L1799" s="5">
        <v>303.98</v>
      </c>
      <c r="M1799" s="9"/>
      <c r="N1799" s="9" t="s">
        <v>10159</v>
      </c>
      <c r="O1799" s="9" t="s">
        <v>9843</v>
      </c>
      <c r="P1799" s="9" t="str">
        <f>HYPERLINK("https://seichotoushi-hojo.jp/assets/pdf/koufu_3_4ji/outline_175.pdf","PDFを開く")</f>
        <v>PDFを開く</v>
      </c>
      <c r="Q1799" s="9" t="s">
        <v>2848</v>
      </c>
    </row>
    <row r="1800" spans="1:17" ht="62.1" customHeight="1">
      <c r="A1800" s="2" t="s">
        <v>2841</v>
      </c>
      <c r="B1800" s="2" t="s">
        <v>2430</v>
      </c>
      <c r="C1800" s="8" t="s">
        <v>2842</v>
      </c>
      <c r="D1800" s="2">
        <v>1</v>
      </c>
      <c r="E1800" s="8" t="s">
        <v>10156</v>
      </c>
      <c r="F1800" s="2">
        <v>3</v>
      </c>
      <c r="G1800" s="8" t="s">
        <v>10163</v>
      </c>
      <c r="H1800" s="8" t="s">
        <v>10163</v>
      </c>
      <c r="I1800" s="2">
        <v>427.24</v>
      </c>
      <c r="J1800" s="2">
        <v>315.27999999999997</v>
      </c>
      <c r="K1800" s="2">
        <v>768.02</v>
      </c>
      <c r="L1800" s="2">
        <v>528.25</v>
      </c>
      <c r="M1800" s="8"/>
      <c r="N1800" s="8" t="s">
        <v>10159</v>
      </c>
      <c r="O1800" s="8" t="s">
        <v>9844</v>
      </c>
      <c r="P1800" s="8" t="str">
        <f>HYPERLINK("https://seichotoushi-hojo.jp/assets/pdf/koufu_3_4ji/outline_175.pdf","PDFを開く")</f>
        <v>PDFを開く</v>
      </c>
      <c r="Q1800" s="8" t="s">
        <v>2848</v>
      </c>
    </row>
    <row r="1801" spans="1:17" ht="62.1" customHeight="1">
      <c r="A1801" s="5" t="s">
        <v>2849</v>
      </c>
      <c r="B1801" s="5" t="s">
        <v>2430</v>
      </c>
      <c r="C1801" s="9" t="s">
        <v>2850</v>
      </c>
      <c r="D1801" s="5">
        <v>1</v>
      </c>
      <c r="E1801" s="9" t="s">
        <v>10156</v>
      </c>
      <c r="F1801" s="5">
        <v>1</v>
      </c>
      <c r="G1801" s="9" t="s">
        <v>9578</v>
      </c>
      <c r="H1801" s="9" t="s">
        <v>9578</v>
      </c>
      <c r="I1801" s="5">
        <v>42.84</v>
      </c>
      <c r="J1801" s="5">
        <v>124.44</v>
      </c>
      <c r="K1801" s="5">
        <v>408.84</v>
      </c>
      <c r="L1801" s="5">
        <v>545.64</v>
      </c>
      <c r="M1801" s="9"/>
      <c r="N1801" s="9" t="s">
        <v>10159</v>
      </c>
      <c r="O1801" s="9" t="s">
        <v>9848</v>
      </c>
      <c r="P1801" s="9" t="str">
        <f t="shared" ref="P1801:P1806" si="107">HYPERLINK("https://seichotoushi-hojo.jp/assets/pdf/koufu_3_4ji/outline_176.pdf","PDFを開く")</f>
        <v>PDFを開く</v>
      </c>
      <c r="Q1801" s="9" t="s">
        <v>2856</v>
      </c>
    </row>
    <row r="1802" spans="1:17" ht="62.1" customHeight="1">
      <c r="A1802" s="2" t="s">
        <v>2849</v>
      </c>
      <c r="B1802" s="2" t="s">
        <v>2430</v>
      </c>
      <c r="C1802" s="8" t="s">
        <v>2850</v>
      </c>
      <c r="D1802" s="2">
        <v>1</v>
      </c>
      <c r="E1802" s="8" t="s">
        <v>10156</v>
      </c>
      <c r="F1802" s="2">
        <v>2</v>
      </c>
      <c r="G1802" s="8" t="s">
        <v>10162</v>
      </c>
      <c r="H1802" s="8" t="s">
        <v>10162</v>
      </c>
      <c r="I1802" s="2">
        <v>433.08</v>
      </c>
      <c r="J1802" s="2">
        <v>124.44</v>
      </c>
      <c r="K1802" s="2">
        <v>803.88</v>
      </c>
      <c r="L1802" s="2">
        <v>339.48</v>
      </c>
      <c r="M1802" s="8"/>
      <c r="N1802" s="8" t="s">
        <v>10159</v>
      </c>
      <c r="O1802" s="8" t="s">
        <v>9849</v>
      </c>
      <c r="P1802" s="8" t="str">
        <f t="shared" si="107"/>
        <v>PDFを開く</v>
      </c>
      <c r="Q1802" s="8" t="s">
        <v>2856</v>
      </c>
    </row>
    <row r="1803" spans="1:17" ht="62.1" customHeight="1">
      <c r="A1803" s="5" t="s">
        <v>2849</v>
      </c>
      <c r="B1803" s="5" t="s">
        <v>2430</v>
      </c>
      <c r="C1803" s="9" t="s">
        <v>2850</v>
      </c>
      <c r="D1803" s="5">
        <v>1</v>
      </c>
      <c r="E1803" s="9" t="s">
        <v>10156</v>
      </c>
      <c r="F1803" s="5">
        <v>3</v>
      </c>
      <c r="G1803" s="9" t="s">
        <v>10163</v>
      </c>
      <c r="H1803" s="9" t="s">
        <v>10163</v>
      </c>
      <c r="I1803" s="5">
        <v>427.8</v>
      </c>
      <c r="J1803" s="5">
        <v>354.12</v>
      </c>
      <c r="K1803" s="5">
        <v>798.48</v>
      </c>
      <c r="L1803" s="5">
        <v>545.64</v>
      </c>
      <c r="M1803" s="9"/>
      <c r="N1803" s="9" t="s">
        <v>10159</v>
      </c>
      <c r="O1803" s="9" t="s">
        <v>9850</v>
      </c>
      <c r="P1803" s="9" t="str">
        <f t="shared" si="107"/>
        <v>PDFを開く</v>
      </c>
      <c r="Q1803" s="9" t="s">
        <v>2856</v>
      </c>
    </row>
    <row r="1804" spans="1:17" ht="62.1" customHeight="1">
      <c r="A1804" s="2" t="s">
        <v>2849</v>
      </c>
      <c r="B1804" s="2" t="s">
        <v>2430</v>
      </c>
      <c r="C1804" s="8" t="s">
        <v>2850</v>
      </c>
      <c r="D1804" s="2">
        <v>1</v>
      </c>
      <c r="E1804" s="8" t="s">
        <v>10156</v>
      </c>
      <c r="F1804" s="2">
        <v>4</v>
      </c>
      <c r="G1804" s="8" t="s">
        <v>8581</v>
      </c>
      <c r="H1804" s="8" t="s">
        <v>8581</v>
      </c>
      <c r="I1804" s="2">
        <v>53.4</v>
      </c>
      <c r="J1804" s="2">
        <v>451.92</v>
      </c>
      <c r="K1804" s="2">
        <v>398.28</v>
      </c>
      <c r="L1804" s="2">
        <v>543.96</v>
      </c>
      <c r="M1804" s="8"/>
      <c r="N1804" s="8" t="s">
        <v>10159</v>
      </c>
      <c r="O1804" s="8" t="s">
        <v>9851</v>
      </c>
      <c r="P1804" s="8" t="str">
        <f t="shared" si="107"/>
        <v>PDFを開く</v>
      </c>
      <c r="Q1804" s="8" t="s">
        <v>2856</v>
      </c>
    </row>
    <row r="1805" spans="1:17" ht="62.1" customHeight="1">
      <c r="A1805" s="5" t="s">
        <v>2849</v>
      </c>
      <c r="B1805" s="5" t="s">
        <v>2430</v>
      </c>
      <c r="C1805" s="9" t="s">
        <v>2850</v>
      </c>
      <c r="D1805" s="5">
        <v>2</v>
      </c>
      <c r="E1805" s="9" t="s">
        <v>10165</v>
      </c>
      <c r="F1805" s="5">
        <v>1</v>
      </c>
      <c r="G1805" s="9" t="s">
        <v>10184</v>
      </c>
      <c r="H1805" s="9" t="s">
        <v>10184</v>
      </c>
      <c r="I1805" s="5">
        <v>137.30000000000001</v>
      </c>
      <c r="J1805" s="5">
        <v>313.63</v>
      </c>
      <c r="K1805" s="5">
        <v>433.59</v>
      </c>
      <c r="L1805" s="5">
        <v>528.95000000000005</v>
      </c>
      <c r="M1805" s="9"/>
      <c r="N1805" s="9" t="s">
        <v>10181</v>
      </c>
      <c r="O1805" s="9" t="s">
        <v>10888</v>
      </c>
      <c r="P1805" s="9" t="str">
        <f t="shared" si="107"/>
        <v>PDFを開く</v>
      </c>
      <c r="Q1805" s="9" t="s">
        <v>2856</v>
      </c>
    </row>
    <row r="1806" spans="1:17" ht="62.1" customHeight="1">
      <c r="A1806" s="2" t="s">
        <v>2849</v>
      </c>
      <c r="B1806" s="2" t="s">
        <v>2430</v>
      </c>
      <c r="C1806" s="8" t="s">
        <v>2850</v>
      </c>
      <c r="D1806" s="2">
        <v>2</v>
      </c>
      <c r="E1806" s="8" t="s">
        <v>10165</v>
      </c>
      <c r="F1806" s="2">
        <v>2</v>
      </c>
      <c r="G1806" s="8" t="s">
        <v>10167</v>
      </c>
      <c r="H1806" s="8" t="s">
        <v>10859</v>
      </c>
      <c r="I1806" s="2">
        <v>136.91999999999999</v>
      </c>
      <c r="J1806" s="2">
        <v>436.68</v>
      </c>
      <c r="K1806" s="2">
        <v>566.76</v>
      </c>
      <c r="L1806" s="2">
        <v>467.16</v>
      </c>
      <c r="M1806" s="8"/>
      <c r="N1806" s="8" t="s">
        <v>10159</v>
      </c>
      <c r="O1806" s="8" t="s">
        <v>10859</v>
      </c>
      <c r="P1806" s="8" t="str">
        <f t="shared" si="107"/>
        <v>PDFを開く</v>
      </c>
      <c r="Q1806" s="8" t="s">
        <v>2856</v>
      </c>
    </row>
    <row r="1807" spans="1:17" ht="62.1" customHeight="1">
      <c r="A1807" s="5" t="s">
        <v>2857</v>
      </c>
      <c r="B1807" s="5" t="s">
        <v>2430</v>
      </c>
      <c r="C1807" s="9" t="s">
        <v>2858</v>
      </c>
      <c r="D1807" s="5">
        <v>1</v>
      </c>
      <c r="E1807" s="9" t="s">
        <v>10156</v>
      </c>
      <c r="F1807" s="5">
        <v>1</v>
      </c>
      <c r="G1807" s="9" t="s">
        <v>10162</v>
      </c>
      <c r="H1807" s="9" t="s">
        <v>10162</v>
      </c>
      <c r="I1807" s="5">
        <v>396.3</v>
      </c>
      <c r="J1807" s="5">
        <v>101.8</v>
      </c>
      <c r="K1807" s="5">
        <v>768</v>
      </c>
      <c r="L1807" s="5">
        <v>310.97000000000003</v>
      </c>
      <c r="M1807" s="9"/>
      <c r="N1807" s="9" t="s">
        <v>10159</v>
      </c>
      <c r="O1807" s="9" t="s">
        <v>9857</v>
      </c>
      <c r="P1807" s="9" t="str">
        <f>HYPERLINK("https://seichotoushi-hojo.jp/assets/pdf/koufu_3_4ji/outline_177.pdf","PDFを開く")</f>
        <v>PDFを開く</v>
      </c>
      <c r="Q1807" s="9" t="s">
        <v>2864</v>
      </c>
    </row>
    <row r="1808" spans="1:17" ht="62.1" customHeight="1">
      <c r="A1808" s="2" t="s">
        <v>2857</v>
      </c>
      <c r="B1808" s="2" t="s">
        <v>2430</v>
      </c>
      <c r="C1808" s="8" t="s">
        <v>2858</v>
      </c>
      <c r="D1808" s="2">
        <v>1</v>
      </c>
      <c r="E1808" s="8" t="s">
        <v>10156</v>
      </c>
      <c r="F1808" s="2">
        <v>2</v>
      </c>
      <c r="G1808" s="8" t="s">
        <v>9578</v>
      </c>
      <c r="H1808" s="8" t="s">
        <v>9578</v>
      </c>
      <c r="I1808" s="2">
        <v>7.06</v>
      </c>
      <c r="J1808" s="2">
        <v>101.81</v>
      </c>
      <c r="K1808" s="2">
        <v>373.41</v>
      </c>
      <c r="L1808" s="2">
        <v>514.16</v>
      </c>
      <c r="M1808" s="8"/>
      <c r="N1808" s="8" t="s">
        <v>10159</v>
      </c>
      <c r="O1808" s="8" t="s">
        <v>10889</v>
      </c>
      <c r="P1808" s="8" t="str">
        <f>HYPERLINK("https://seichotoushi-hojo.jp/assets/pdf/koufu_3_4ji/outline_177.pdf","PDFを開く")</f>
        <v>PDFを開く</v>
      </c>
      <c r="Q1808" s="8" t="s">
        <v>2864</v>
      </c>
    </row>
    <row r="1809" spans="1:17" ht="62.1" customHeight="1">
      <c r="A1809" s="5" t="s">
        <v>2857</v>
      </c>
      <c r="B1809" s="5" t="s">
        <v>2430</v>
      </c>
      <c r="C1809" s="9" t="s">
        <v>2858</v>
      </c>
      <c r="D1809" s="5">
        <v>1</v>
      </c>
      <c r="E1809" s="9" t="s">
        <v>10156</v>
      </c>
      <c r="F1809" s="5">
        <v>3</v>
      </c>
      <c r="G1809" s="9" t="s">
        <v>10163</v>
      </c>
      <c r="H1809" s="9" t="s">
        <v>10163</v>
      </c>
      <c r="I1809" s="5">
        <v>396.3</v>
      </c>
      <c r="J1809" s="5">
        <v>313.14</v>
      </c>
      <c r="K1809" s="5">
        <v>768</v>
      </c>
      <c r="L1809" s="5">
        <v>514.16</v>
      </c>
      <c r="M1809" s="9"/>
      <c r="N1809" s="9" t="s">
        <v>10159</v>
      </c>
      <c r="O1809" s="9" t="s">
        <v>9858</v>
      </c>
      <c r="P1809" s="9" t="str">
        <f>HYPERLINK("https://seichotoushi-hojo.jp/assets/pdf/koufu_3_4ji/outline_177.pdf","PDFを開く")</f>
        <v>PDFを開く</v>
      </c>
      <c r="Q1809" s="9" t="s">
        <v>2864</v>
      </c>
    </row>
    <row r="1810" spans="1:17" ht="62.1" customHeight="1">
      <c r="A1810" s="2" t="s">
        <v>2857</v>
      </c>
      <c r="B1810" s="2" t="s">
        <v>2430</v>
      </c>
      <c r="C1810" s="8" t="s">
        <v>2858</v>
      </c>
      <c r="D1810" s="2">
        <v>1</v>
      </c>
      <c r="E1810" s="8" t="s">
        <v>10156</v>
      </c>
      <c r="F1810" s="2">
        <v>4</v>
      </c>
      <c r="G1810" s="8" t="s">
        <v>8581</v>
      </c>
      <c r="H1810" s="8" t="s">
        <v>8581</v>
      </c>
      <c r="I1810" s="2">
        <v>14.52</v>
      </c>
      <c r="J1810" s="2">
        <v>403.02</v>
      </c>
      <c r="K1810" s="2">
        <v>334.02</v>
      </c>
      <c r="L1810" s="2">
        <v>509.93</v>
      </c>
      <c r="M1810" s="8"/>
      <c r="N1810" s="8" t="s">
        <v>10159</v>
      </c>
      <c r="O1810" s="8" t="s">
        <v>9859</v>
      </c>
      <c r="P1810" s="8" t="str">
        <f>HYPERLINK("https://seichotoushi-hojo.jp/assets/pdf/koufu_3_4ji/outline_177.pdf","PDFを開く")</f>
        <v>PDFを開く</v>
      </c>
      <c r="Q1810" s="8" t="s">
        <v>2864</v>
      </c>
    </row>
    <row r="1811" spans="1:17" ht="62.1" customHeight="1">
      <c r="A1811" s="5" t="s">
        <v>2857</v>
      </c>
      <c r="B1811" s="5" t="s">
        <v>2430</v>
      </c>
      <c r="C1811" s="9" t="s">
        <v>2858</v>
      </c>
      <c r="D1811" s="5">
        <v>2</v>
      </c>
      <c r="E1811" s="9" t="s">
        <v>10165</v>
      </c>
      <c r="F1811" s="5">
        <v>1</v>
      </c>
      <c r="G1811" s="9" t="s">
        <v>9578</v>
      </c>
      <c r="H1811" s="9" t="s">
        <v>9578</v>
      </c>
      <c r="I1811" s="5">
        <v>145.84</v>
      </c>
      <c r="J1811" s="5">
        <v>96.52</v>
      </c>
      <c r="K1811" s="5">
        <v>401.7</v>
      </c>
      <c r="L1811" s="5">
        <v>291.92</v>
      </c>
      <c r="M1811" s="9"/>
      <c r="N1811" s="9" t="s">
        <v>10181</v>
      </c>
      <c r="O1811" s="9" t="s">
        <v>10890</v>
      </c>
      <c r="P1811" s="9" t="str">
        <f>HYPERLINK("https://seichotoushi-hojo.jp/assets/pdf/koufu_3_4ji/outline_177.pdf","PDFを開く")</f>
        <v>PDFを開く</v>
      </c>
      <c r="Q1811" s="9" t="s">
        <v>2864</v>
      </c>
    </row>
    <row r="1812" spans="1:17" ht="62.1" customHeight="1">
      <c r="A1812" s="2" t="s">
        <v>2865</v>
      </c>
      <c r="B1812" s="2" t="s">
        <v>2430</v>
      </c>
      <c r="C1812" s="8" t="s">
        <v>2866</v>
      </c>
      <c r="D1812" s="2">
        <v>1</v>
      </c>
      <c r="E1812" s="8" t="s">
        <v>10156</v>
      </c>
      <c r="F1812" s="2">
        <v>1</v>
      </c>
      <c r="G1812" s="8" t="s">
        <v>10162</v>
      </c>
      <c r="H1812" s="8" t="s">
        <v>10162</v>
      </c>
      <c r="I1812" s="2">
        <v>396.3</v>
      </c>
      <c r="J1812" s="2">
        <v>106.04</v>
      </c>
      <c r="K1812" s="2">
        <v>739.78</v>
      </c>
      <c r="L1812" s="2">
        <v>299.98</v>
      </c>
      <c r="M1812" s="8"/>
      <c r="N1812" s="8" t="s">
        <v>10159</v>
      </c>
      <c r="O1812" s="8" t="s">
        <v>9865</v>
      </c>
      <c r="P1812" s="8" t="str">
        <f t="shared" ref="P1812:P1819" si="108">HYPERLINK("https://seichotoushi-hojo.jp/assets/pdf/koufu_3_4ji/outline_178.pdf","PDFを開く")</f>
        <v>PDFを開く</v>
      </c>
      <c r="Q1812" s="8" t="s">
        <v>2872</v>
      </c>
    </row>
    <row r="1813" spans="1:17" ht="62.1" customHeight="1">
      <c r="A1813" s="5" t="s">
        <v>2865</v>
      </c>
      <c r="B1813" s="5" t="s">
        <v>2430</v>
      </c>
      <c r="C1813" s="9" t="s">
        <v>2866</v>
      </c>
      <c r="D1813" s="5">
        <v>1</v>
      </c>
      <c r="E1813" s="9" t="s">
        <v>10156</v>
      </c>
      <c r="F1813" s="5">
        <v>2</v>
      </c>
      <c r="G1813" s="9" t="s">
        <v>9578</v>
      </c>
      <c r="H1813" s="9" t="s">
        <v>9578</v>
      </c>
      <c r="I1813" s="5">
        <v>39.659999999999997</v>
      </c>
      <c r="J1813" s="5">
        <v>106.05</v>
      </c>
      <c r="K1813" s="5">
        <v>378.79</v>
      </c>
      <c r="L1813" s="5">
        <v>499.73</v>
      </c>
      <c r="M1813" s="9"/>
      <c r="N1813" s="9" t="s">
        <v>10159</v>
      </c>
      <c r="O1813" s="9" t="s">
        <v>9864</v>
      </c>
      <c r="P1813" s="9" t="str">
        <f t="shared" si="108"/>
        <v>PDFを開く</v>
      </c>
      <c r="Q1813" s="9" t="s">
        <v>2872</v>
      </c>
    </row>
    <row r="1814" spans="1:17" ht="62.1" customHeight="1">
      <c r="A1814" s="2" t="s">
        <v>2865</v>
      </c>
      <c r="B1814" s="2" t="s">
        <v>2430</v>
      </c>
      <c r="C1814" s="8" t="s">
        <v>2866</v>
      </c>
      <c r="D1814" s="2">
        <v>1</v>
      </c>
      <c r="E1814" s="8" t="s">
        <v>10156</v>
      </c>
      <c r="F1814" s="2">
        <v>3</v>
      </c>
      <c r="G1814" s="8" t="s">
        <v>10163</v>
      </c>
      <c r="H1814" s="8" t="s">
        <v>10163</v>
      </c>
      <c r="I1814" s="2">
        <v>396.3</v>
      </c>
      <c r="J1814" s="2">
        <v>305.79000000000002</v>
      </c>
      <c r="K1814" s="2">
        <v>739.78</v>
      </c>
      <c r="L1814" s="2">
        <v>499.73</v>
      </c>
      <c r="M1814" s="8"/>
      <c r="N1814" s="8" t="s">
        <v>10159</v>
      </c>
      <c r="O1814" s="8" t="s">
        <v>9866</v>
      </c>
      <c r="P1814" s="8" t="str">
        <f t="shared" si="108"/>
        <v>PDFを開く</v>
      </c>
      <c r="Q1814" s="8" t="s">
        <v>2872</v>
      </c>
    </row>
    <row r="1815" spans="1:17" ht="62.1" customHeight="1">
      <c r="A1815" s="5" t="s">
        <v>2865</v>
      </c>
      <c r="B1815" s="5" t="s">
        <v>2430</v>
      </c>
      <c r="C1815" s="9" t="s">
        <v>2866</v>
      </c>
      <c r="D1815" s="5">
        <v>1</v>
      </c>
      <c r="E1815" s="9" t="s">
        <v>10156</v>
      </c>
      <c r="F1815" s="5">
        <v>4</v>
      </c>
      <c r="G1815" s="9" t="s">
        <v>8581</v>
      </c>
      <c r="H1815" s="9" t="s">
        <v>8581</v>
      </c>
      <c r="I1815" s="5">
        <v>48</v>
      </c>
      <c r="J1815" s="5">
        <v>370.98</v>
      </c>
      <c r="K1815" s="5">
        <v>367.5</v>
      </c>
      <c r="L1815" s="5">
        <v>486.75</v>
      </c>
      <c r="M1815" s="9"/>
      <c r="N1815" s="9" t="s">
        <v>10159</v>
      </c>
      <c r="O1815" s="9" t="s">
        <v>9867</v>
      </c>
      <c r="P1815" s="9" t="str">
        <f t="shared" si="108"/>
        <v>PDFを開く</v>
      </c>
      <c r="Q1815" s="9" t="s">
        <v>2872</v>
      </c>
    </row>
    <row r="1816" spans="1:17" ht="62.1" customHeight="1">
      <c r="A1816" s="2" t="s">
        <v>2865</v>
      </c>
      <c r="B1816" s="2" t="s">
        <v>2430</v>
      </c>
      <c r="C1816" s="8" t="s">
        <v>2866</v>
      </c>
      <c r="D1816" s="2">
        <v>3</v>
      </c>
      <c r="E1816" s="8" t="s">
        <v>10165</v>
      </c>
      <c r="F1816" s="2">
        <v>1</v>
      </c>
      <c r="G1816" s="8" t="s">
        <v>10167</v>
      </c>
      <c r="H1816" s="8" t="s">
        <v>10891</v>
      </c>
      <c r="I1816" s="2">
        <v>405.31</v>
      </c>
      <c r="J1816" s="2">
        <v>130.77000000000001</v>
      </c>
      <c r="K1816" s="2">
        <v>740.46</v>
      </c>
      <c r="L1816" s="2">
        <v>299.25</v>
      </c>
      <c r="M1816" s="8"/>
      <c r="N1816" s="8" t="s">
        <v>10159</v>
      </c>
      <c r="O1816" s="8" t="s">
        <v>10892</v>
      </c>
      <c r="P1816" s="8" t="str">
        <f t="shared" si="108"/>
        <v>PDFを開く</v>
      </c>
      <c r="Q1816" s="8" t="s">
        <v>2872</v>
      </c>
    </row>
    <row r="1817" spans="1:17" ht="62.1" customHeight="1">
      <c r="A1817" s="5" t="s">
        <v>2865</v>
      </c>
      <c r="B1817" s="5" t="s">
        <v>2430</v>
      </c>
      <c r="C1817" s="9" t="s">
        <v>2866</v>
      </c>
      <c r="D1817" s="5">
        <v>3</v>
      </c>
      <c r="E1817" s="9" t="s">
        <v>10165</v>
      </c>
      <c r="F1817" s="5">
        <v>2</v>
      </c>
      <c r="G1817" s="9" t="s">
        <v>10167</v>
      </c>
      <c r="H1817" s="9" t="s">
        <v>10893</v>
      </c>
      <c r="I1817" s="5">
        <v>82.06</v>
      </c>
      <c r="J1817" s="5">
        <v>146.75</v>
      </c>
      <c r="K1817" s="5">
        <v>374.69</v>
      </c>
      <c r="L1817" s="5">
        <v>183.6</v>
      </c>
      <c r="M1817" s="9"/>
      <c r="N1817" s="9" t="s">
        <v>10159</v>
      </c>
      <c r="O1817" s="9" t="s">
        <v>10893</v>
      </c>
      <c r="P1817" s="9" t="str">
        <f t="shared" si="108"/>
        <v>PDFを開く</v>
      </c>
      <c r="Q1817" s="9" t="s">
        <v>2872</v>
      </c>
    </row>
    <row r="1818" spans="1:17" ht="62.1" customHeight="1">
      <c r="A1818" s="2" t="s">
        <v>2865</v>
      </c>
      <c r="B1818" s="2" t="s">
        <v>2430</v>
      </c>
      <c r="C1818" s="8" t="s">
        <v>2866</v>
      </c>
      <c r="D1818" s="2">
        <v>3</v>
      </c>
      <c r="E1818" s="8" t="s">
        <v>10165</v>
      </c>
      <c r="F1818" s="2">
        <v>3</v>
      </c>
      <c r="G1818" s="8" t="s">
        <v>10167</v>
      </c>
      <c r="H1818" s="8" t="s">
        <v>10894</v>
      </c>
      <c r="I1818" s="2">
        <v>82.06</v>
      </c>
      <c r="J1818" s="2">
        <v>193.9</v>
      </c>
      <c r="K1818" s="2">
        <v>374.69</v>
      </c>
      <c r="L1818" s="2">
        <v>230.75</v>
      </c>
      <c r="M1818" s="8"/>
      <c r="N1818" s="8" t="s">
        <v>10159</v>
      </c>
      <c r="O1818" s="8" t="s">
        <v>10894</v>
      </c>
      <c r="P1818" s="8" t="str">
        <f t="shared" si="108"/>
        <v>PDFを開く</v>
      </c>
      <c r="Q1818" s="8" t="s">
        <v>2872</v>
      </c>
    </row>
    <row r="1819" spans="1:17" ht="62.1" customHeight="1">
      <c r="A1819" s="5" t="s">
        <v>2865</v>
      </c>
      <c r="B1819" s="5" t="s">
        <v>2430</v>
      </c>
      <c r="C1819" s="9" t="s">
        <v>2866</v>
      </c>
      <c r="D1819" s="5">
        <v>3</v>
      </c>
      <c r="E1819" s="9" t="s">
        <v>10165</v>
      </c>
      <c r="F1819" s="5">
        <v>4</v>
      </c>
      <c r="G1819" s="9" t="s">
        <v>10167</v>
      </c>
      <c r="H1819" s="9" t="s">
        <v>10895</v>
      </c>
      <c r="I1819" s="5">
        <v>405.31</v>
      </c>
      <c r="J1819" s="5">
        <v>324.17</v>
      </c>
      <c r="K1819" s="5">
        <v>739.68</v>
      </c>
      <c r="L1819" s="5">
        <v>499.23</v>
      </c>
      <c r="M1819" s="9"/>
      <c r="N1819" s="9" t="s">
        <v>10159</v>
      </c>
      <c r="O1819" s="9" t="s">
        <v>10896</v>
      </c>
      <c r="P1819" s="9" t="str">
        <f t="shared" si="108"/>
        <v>PDFを開く</v>
      </c>
      <c r="Q1819" s="9" t="s">
        <v>2872</v>
      </c>
    </row>
    <row r="1820" spans="1:17" ht="62.1" customHeight="1">
      <c r="A1820" s="2" t="s">
        <v>2873</v>
      </c>
      <c r="B1820" s="2" t="s">
        <v>2430</v>
      </c>
      <c r="C1820" s="8" t="s">
        <v>2874</v>
      </c>
      <c r="D1820" s="2">
        <v>1</v>
      </c>
      <c r="E1820" s="8" t="s">
        <v>10156</v>
      </c>
      <c r="F1820" s="2">
        <v>1</v>
      </c>
      <c r="G1820" s="8" t="s">
        <v>9578</v>
      </c>
      <c r="H1820" s="8" t="s">
        <v>9578</v>
      </c>
      <c r="I1820" s="2">
        <v>39.659999999999997</v>
      </c>
      <c r="J1820" s="2">
        <v>101.81</v>
      </c>
      <c r="K1820" s="2">
        <v>378.79</v>
      </c>
      <c r="L1820" s="2">
        <v>530.91999999999996</v>
      </c>
      <c r="M1820" s="8"/>
      <c r="N1820" s="8" t="s">
        <v>10159</v>
      </c>
      <c r="O1820" s="8" t="s">
        <v>9872</v>
      </c>
      <c r="P1820" s="8" t="str">
        <f>HYPERLINK("https://seichotoushi-hojo.jp/assets/pdf/koufu_3_4ji/outline_179.pdf","PDFを開く")</f>
        <v>PDFを開く</v>
      </c>
      <c r="Q1820" s="8" t="s">
        <v>2880</v>
      </c>
    </row>
    <row r="1821" spans="1:17" ht="62.1" customHeight="1">
      <c r="A1821" s="5" t="s">
        <v>2873</v>
      </c>
      <c r="B1821" s="5" t="s">
        <v>2430</v>
      </c>
      <c r="C1821" s="9" t="s">
        <v>2874</v>
      </c>
      <c r="D1821" s="5">
        <v>1</v>
      </c>
      <c r="E1821" s="9" t="s">
        <v>10156</v>
      </c>
      <c r="F1821" s="5">
        <v>2</v>
      </c>
      <c r="G1821" s="9" t="s">
        <v>10162</v>
      </c>
      <c r="H1821" s="9" t="s">
        <v>10162</v>
      </c>
      <c r="I1821" s="5">
        <v>396.3</v>
      </c>
      <c r="J1821" s="5">
        <v>104.69</v>
      </c>
      <c r="K1821" s="5">
        <v>739.78</v>
      </c>
      <c r="L1821" s="5">
        <v>313.67</v>
      </c>
      <c r="M1821" s="9"/>
      <c r="N1821" s="9" t="s">
        <v>10159</v>
      </c>
      <c r="O1821" s="9" t="s">
        <v>9873</v>
      </c>
      <c r="P1821" s="9" t="str">
        <f>HYPERLINK("https://seichotoushi-hojo.jp/assets/pdf/koufu_3_4ji/outline_179.pdf","PDFを開く")</f>
        <v>PDFを開く</v>
      </c>
      <c r="Q1821" s="9" t="s">
        <v>2880</v>
      </c>
    </row>
    <row r="1822" spans="1:17" ht="62.1" customHeight="1">
      <c r="A1822" s="2" t="s">
        <v>2873</v>
      </c>
      <c r="B1822" s="2" t="s">
        <v>2430</v>
      </c>
      <c r="C1822" s="8" t="s">
        <v>2874</v>
      </c>
      <c r="D1822" s="2">
        <v>1</v>
      </c>
      <c r="E1822" s="8" t="s">
        <v>10156</v>
      </c>
      <c r="F1822" s="2">
        <v>3</v>
      </c>
      <c r="G1822" s="8" t="s">
        <v>10163</v>
      </c>
      <c r="H1822" s="8" t="s">
        <v>10163</v>
      </c>
      <c r="I1822" s="2">
        <v>396.3</v>
      </c>
      <c r="J1822" s="2">
        <v>320.99</v>
      </c>
      <c r="K1822" s="2">
        <v>739.78</v>
      </c>
      <c r="L1822" s="2">
        <v>529.97</v>
      </c>
      <c r="M1822" s="8"/>
      <c r="N1822" s="8" t="s">
        <v>10159</v>
      </c>
      <c r="O1822" s="8" t="s">
        <v>9874</v>
      </c>
      <c r="P1822" s="8" t="str">
        <f>HYPERLINK("https://seichotoushi-hojo.jp/assets/pdf/koufu_3_4ji/outline_179.pdf","PDFを開く")</f>
        <v>PDFを開く</v>
      </c>
      <c r="Q1822" s="8" t="s">
        <v>2880</v>
      </c>
    </row>
    <row r="1823" spans="1:17" ht="62.1" customHeight="1">
      <c r="A1823" s="5" t="s">
        <v>2873</v>
      </c>
      <c r="B1823" s="5" t="s">
        <v>2430</v>
      </c>
      <c r="C1823" s="9" t="s">
        <v>2874</v>
      </c>
      <c r="D1823" s="5">
        <v>1</v>
      </c>
      <c r="E1823" s="9" t="s">
        <v>10156</v>
      </c>
      <c r="F1823" s="5">
        <v>4</v>
      </c>
      <c r="G1823" s="9" t="s">
        <v>8581</v>
      </c>
      <c r="H1823" s="9" t="s">
        <v>8581</v>
      </c>
      <c r="I1823" s="5">
        <v>48</v>
      </c>
      <c r="J1823" s="5">
        <v>430.76</v>
      </c>
      <c r="K1823" s="5">
        <v>367.5</v>
      </c>
      <c r="L1823" s="5">
        <v>528.57000000000005</v>
      </c>
      <c r="M1823" s="9"/>
      <c r="N1823" s="9" t="s">
        <v>10159</v>
      </c>
      <c r="O1823" s="9" t="s">
        <v>9875</v>
      </c>
      <c r="P1823" s="9" t="str">
        <f>HYPERLINK("https://seichotoushi-hojo.jp/assets/pdf/koufu_3_4ji/outline_179.pdf","PDFを開く")</f>
        <v>PDFを開く</v>
      </c>
      <c r="Q1823" s="9" t="s">
        <v>2880</v>
      </c>
    </row>
    <row r="1824" spans="1:17" ht="62.1" customHeight="1">
      <c r="A1824" s="2" t="s">
        <v>2881</v>
      </c>
      <c r="B1824" s="2" t="s">
        <v>2430</v>
      </c>
      <c r="C1824" s="8" t="s">
        <v>2882</v>
      </c>
      <c r="D1824" s="2">
        <v>1</v>
      </c>
      <c r="E1824" s="8" t="s">
        <v>10156</v>
      </c>
      <c r="F1824" s="2">
        <v>1</v>
      </c>
      <c r="G1824" s="8" t="s">
        <v>9578</v>
      </c>
      <c r="H1824" s="8" t="s">
        <v>9578</v>
      </c>
      <c r="I1824" s="2">
        <v>15.64</v>
      </c>
      <c r="J1824" s="2">
        <v>98.21</v>
      </c>
      <c r="K1824" s="2">
        <v>381.81</v>
      </c>
      <c r="L1824" s="2">
        <v>526.92999999999995</v>
      </c>
      <c r="M1824" s="8"/>
      <c r="N1824" s="8" t="s">
        <v>10159</v>
      </c>
      <c r="O1824" s="8" t="s">
        <v>9880</v>
      </c>
      <c r="P1824" s="8" t="str">
        <f>HYPERLINK("https://seichotoushi-hojo.jp/assets/pdf/koufu_3_4ji/outline_180.pdf","PDFを開く")</f>
        <v>PDFを開く</v>
      </c>
      <c r="Q1824" s="8" t="s">
        <v>2888</v>
      </c>
    </row>
    <row r="1825" spans="1:17" ht="62.1" customHeight="1">
      <c r="A1825" s="5" t="s">
        <v>2881</v>
      </c>
      <c r="B1825" s="5" t="s">
        <v>2430</v>
      </c>
      <c r="C1825" s="9" t="s">
        <v>2882</v>
      </c>
      <c r="D1825" s="5">
        <v>1</v>
      </c>
      <c r="E1825" s="9" t="s">
        <v>10156</v>
      </c>
      <c r="F1825" s="5">
        <v>2</v>
      </c>
      <c r="G1825" s="9" t="s">
        <v>10162</v>
      </c>
      <c r="H1825" s="9" t="s">
        <v>10162</v>
      </c>
      <c r="I1825" s="5">
        <v>399.33</v>
      </c>
      <c r="J1825" s="5">
        <v>98.21</v>
      </c>
      <c r="K1825" s="5">
        <v>755.92</v>
      </c>
      <c r="L1825" s="5">
        <v>253.53</v>
      </c>
      <c r="M1825" s="9"/>
      <c r="N1825" s="9" t="s">
        <v>10159</v>
      </c>
      <c r="O1825" s="9" t="s">
        <v>9881</v>
      </c>
      <c r="P1825" s="9" t="str">
        <f>HYPERLINK("https://seichotoushi-hojo.jp/assets/pdf/koufu_3_4ji/outline_180.pdf","PDFを開く")</f>
        <v>PDFを開く</v>
      </c>
      <c r="Q1825" s="9" t="s">
        <v>2888</v>
      </c>
    </row>
    <row r="1826" spans="1:17" ht="62.1" customHeight="1">
      <c r="A1826" s="2" t="s">
        <v>2881</v>
      </c>
      <c r="B1826" s="2" t="s">
        <v>2430</v>
      </c>
      <c r="C1826" s="8" t="s">
        <v>2882</v>
      </c>
      <c r="D1826" s="2">
        <v>1</v>
      </c>
      <c r="E1826" s="8" t="s">
        <v>10156</v>
      </c>
      <c r="F1826" s="2">
        <v>3</v>
      </c>
      <c r="G1826" s="8" t="s">
        <v>10163</v>
      </c>
      <c r="H1826" s="8" t="s">
        <v>10163</v>
      </c>
      <c r="I1826" s="2">
        <v>399.33</v>
      </c>
      <c r="J1826" s="2">
        <v>260.51</v>
      </c>
      <c r="K1826" s="2">
        <v>755.92</v>
      </c>
      <c r="L1826" s="2">
        <v>533.52</v>
      </c>
      <c r="M1826" s="8"/>
      <c r="N1826" s="8" t="s">
        <v>10159</v>
      </c>
      <c r="O1826" s="8" t="s">
        <v>9882</v>
      </c>
      <c r="P1826" s="8" t="str">
        <f>HYPERLINK("https://seichotoushi-hojo.jp/assets/pdf/koufu_3_4ji/outline_180.pdf","PDFを開く")</f>
        <v>PDFを開く</v>
      </c>
      <c r="Q1826" s="8" t="s">
        <v>2888</v>
      </c>
    </row>
    <row r="1827" spans="1:17" ht="62.1" customHeight="1">
      <c r="A1827" s="5" t="s">
        <v>2881</v>
      </c>
      <c r="B1827" s="5" t="s">
        <v>2430</v>
      </c>
      <c r="C1827" s="9" t="s">
        <v>2882</v>
      </c>
      <c r="D1827" s="5">
        <v>1</v>
      </c>
      <c r="E1827" s="9" t="s">
        <v>10156</v>
      </c>
      <c r="F1827" s="5">
        <v>4</v>
      </c>
      <c r="G1827" s="9" t="s">
        <v>8581</v>
      </c>
      <c r="H1827" s="9" t="s">
        <v>8581</v>
      </c>
      <c r="I1827" s="5">
        <v>20.010000000000002</v>
      </c>
      <c r="J1827" s="5">
        <v>463.26</v>
      </c>
      <c r="K1827" s="5">
        <v>376.33</v>
      </c>
      <c r="L1827" s="5">
        <v>520.29</v>
      </c>
      <c r="M1827" s="9"/>
      <c r="N1827" s="9" t="s">
        <v>10159</v>
      </c>
      <c r="O1827" s="9" t="s">
        <v>2886</v>
      </c>
      <c r="P1827" s="9" t="str">
        <f>HYPERLINK("https://seichotoushi-hojo.jp/assets/pdf/koufu_3_4ji/outline_180.pdf","PDFを開く")</f>
        <v>PDFを開く</v>
      </c>
      <c r="Q1827" s="9" t="s">
        <v>2888</v>
      </c>
    </row>
    <row r="1828" spans="1:17" ht="62.1" customHeight="1">
      <c r="A1828" s="2" t="s">
        <v>2889</v>
      </c>
      <c r="B1828" s="2" t="s">
        <v>2430</v>
      </c>
      <c r="C1828" s="8" t="s">
        <v>2890</v>
      </c>
      <c r="D1828" s="2">
        <v>1</v>
      </c>
      <c r="E1828" s="8" t="s">
        <v>10156</v>
      </c>
      <c r="F1828" s="2">
        <v>1</v>
      </c>
      <c r="G1828" s="8" t="s">
        <v>9578</v>
      </c>
      <c r="H1828" s="8" t="s">
        <v>9578</v>
      </c>
      <c r="I1828" s="2">
        <v>39.659999999999997</v>
      </c>
      <c r="J1828" s="2">
        <v>167.87</v>
      </c>
      <c r="K1828" s="2">
        <v>378.79</v>
      </c>
      <c r="L1828" s="2">
        <v>499.73</v>
      </c>
      <c r="M1828" s="8"/>
      <c r="N1828" s="8" t="s">
        <v>10159</v>
      </c>
      <c r="O1828" s="8" t="s">
        <v>9887</v>
      </c>
      <c r="P1828" s="8" t="str">
        <f>HYPERLINK("https://seichotoushi-hojo.jp/assets/pdf/koufu_3_4ji/outline_181.pdf","PDFを開く")</f>
        <v>PDFを開く</v>
      </c>
      <c r="Q1828" s="8" t="s">
        <v>2896</v>
      </c>
    </row>
    <row r="1829" spans="1:17" ht="62.1" customHeight="1">
      <c r="A1829" s="5" t="s">
        <v>2889</v>
      </c>
      <c r="B1829" s="5" t="s">
        <v>2430</v>
      </c>
      <c r="C1829" s="9" t="s">
        <v>2890</v>
      </c>
      <c r="D1829" s="5">
        <v>1</v>
      </c>
      <c r="E1829" s="9" t="s">
        <v>10156</v>
      </c>
      <c r="F1829" s="5">
        <v>2</v>
      </c>
      <c r="G1829" s="9" t="s">
        <v>10162</v>
      </c>
      <c r="H1829" s="9" t="s">
        <v>10162</v>
      </c>
      <c r="I1829" s="5">
        <v>396.3</v>
      </c>
      <c r="J1829" s="5">
        <v>170.15</v>
      </c>
      <c r="K1829" s="5">
        <v>739.78</v>
      </c>
      <c r="L1829" s="5">
        <v>328.45</v>
      </c>
      <c r="M1829" s="9"/>
      <c r="N1829" s="9" t="s">
        <v>10159</v>
      </c>
      <c r="O1829" s="9" t="s">
        <v>9888</v>
      </c>
      <c r="P1829" s="9" t="str">
        <f>HYPERLINK("https://seichotoushi-hojo.jp/assets/pdf/koufu_3_4ji/outline_181.pdf","PDFを開く")</f>
        <v>PDFを開く</v>
      </c>
      <c r="Q1829" s="9" t="s">
        <v>2896</v>
      </c>
    </row>
    <row r="1830" spans="1:17" ht="62.1" customHeight="1">
      <c r="A1830" s="2" t="s">
        <v>2889</v>
      </c>
      <c r="B1830" s="2" t="s">
        <v>2430</v>
      </c>
      <c r="C1830" s="8" t="s">
        <v>2890</v>
      </c>
      <c r="D1830" s="2">
        <v>1</v>
      </c>
      <c r="E1830" s="8" t="s">
        <v>10156</v>
      </c>
      <c r="F1830" s="2">
        <v>3</v>
      </c>
      <c r="G1830" s="8" t="s">
        <v>10163</v>
      </c>
      <c r="H1830" s="8" t="s">
        <v>10163</v>
      </c>
      <c r="I1830" s="2">
        <v>396.3</v>
      </c>
      <c r="J1830" s="2">
        <v>341.43</v>
      </c>
      <c r="K1830" s="2">
        <v>739.78</v>
      </c>
      <c r="L1830" s="2">
        <v>499.73</v>
      </c>
      <c r="M1830" s="8"/>
      <c r="N1830" s="8" t="s">
        <v>10159</v>
      </c>
      <c r="O1830" s="8" t="s">
        <v>9889</v>
      </c>
      <c r="P1830" s="8" t="str">
        <f>HYPERLINK("https://seichotoushi-hojo.jp/assets/pdf/koufu_3_4ji/outline_181.pdf","PDFを開く")</f>
        <v>PDFを開く</v>
      </c>
      <c r="Q1830" s="8" t="s">
        <v>2896</v>
      </c>
    </row>
    <row r="1831" spans="1:17" ht="62.1" customHeight="1">
      <c r="A1831" s="5" t="s">
        <v>2889</v>
      </c>
      <c r="B1831" s="5" t="s">
        <v>2430</v>
      </c>
      <c r="C1831" s="9" t="s">
        <v>2890</v>
      </c>
      <c r="D1831" s="5">
        <v>1</v>
      </c>
      <c r="E1831" s="9" t="s">
        <v>10156</v>
      </c>
      <c r="F1831" s="5">
        <v>4</v>
      </c>
      <c r="G1831" s="9" t="s">
        <v>8581</v>
      </c>
      <c r="H1831" s="9" t="s">
        <v>8581</v>
      </c>
      <c r="I1831" s="5">
        <v>48</v>
      </c>
      <c r="J1831" s="5">
        <v>384.3</v>
      </c>
      <c r="K1831" s="5">
        <v>367.5</v>
      </c>
      <c r="L1831" s="5">
        <v>486.75</v>
      </c>
      <c r="M1831" s="9"/>
      <c r="N1831" s="9" t="s">
        <v>10159</v>
      </c>
      <c r="O1831" s="9" t="s">
        <v>2894</v>
      </c>
      <c r="P1831" s="9" t="str">
        <f>HYPERLINK("https://seichotoushi-hojo.jp/assets/pdf/koufu_3_4ji/outline_181.pdf","PDFを開く")</f>
        <v>PDFを開く</v>
      </c>
      <c r="Q1831" s="9" t="s">
        <v>2896</v>
      </c>
    </row>
    <row r="1832" spans="1:17" ht="62.1" customHeight="1">
      <c r="A1832" s="2" t="s">
        <v>2897</v>
      </c>
      <c r="B1832" s="2" t="s">
        <v>2430</v>
      </c>
      <c r="C1832" s="8" t="s">
        <v>2898</v>
      </c>
      <c r="D1832" s="2">
        <v>1</v>
      </c>
      <c r="E1832" s="8" t="s">
        <v>10156</v>
      </c>
      <c r="F1832" s="2">
        <v>1</v>
      </c>
      <c r="G1832" s="8" t="s">
        <v>9578</v>
      </c>
      <c r="H1832" s="8" t="s">
        <v>9578</v>
      </c>
      <c r="I1832" s="2">
        <v>8.08</v>
      </c>
      <c r="J1832" s="2">
        <v>104.07</v>
      </c>
      <c r="K1832" s="2">
        <v>373.14</v>
      </c>
      <c r="L1832" s="2">
        <v>451.1</v>
      </c>
      <c r="M1832" s="8"/>
      <c r="N1832" s="8" t="s">
        <v>10159</v>
      </c>
      <c r="O1832" s="8" t="s">
        <v>9894</v>
      </c>
      <c r="P1832" s="8" t="str">
        <f>HYPERLINK("https://seichotoushi-hojo.jp/assets/pdf/koufu_3_4ji/outline_182.pdf","PDFを開く")</f>
        <v>PDFを開く</v>
      </c>
      <c r="Q1832" s="8" t="s">
        <v>2902</v>
      </c>
    </row>
    <row r="1833" spans="1:17" ht="62.1" customHeight="1">
      <c r="A1833" s="5" t="s">
        <v>2897</v>
      </c>
      <c r="B1833" s="5" t="s">
        <v>2430</v>
      </c>
      <c r="C1833" s="9" t="s">
        <v>2898</v>
      </c>
      <c r="D1833" s="5">
        <v>1</v>
      </c>
      <c r="E1833" s="9" t="s">
        <v>10156</v>
      </c>
      <c r="F1833" s="5">
        <v>2</v>
      </c>
      <c r="G1833" s="9" t="s">
        <v>10162</v>
      </c>
      <c r="H1833" s="9" t="s">
        <v>10162</v>
      </c>
      <c r="I1833" s="5">
        <v>396.3</v>
      </c>
      <c r="J1833" s="5">
        <v>107.7</v>
      </c>
      <c r="K1833" s="5">
        <v>739.78</v>
      </c>
      <c r="L1833" s="5">
        <v>266</v>
      </c>
      <c r="M1833" s="9"/>
      <c r="N1833" s="9" t="s">
        <v>10159</v>
      </c>
      <c r="O1833" s="9" t="s">
        <v>9895</v>
      </c>
      <c r="P1833" s="9" t="str">
        <f>HYPERLINK("https://seichotoushi-hojo.jp/assets/pdf/koufu_3_4ji/outline_182.pdf","PDFを開く")</f>
        <v>PDFを開く</v>
      </c>
      <c r="Q1833" s="9" t="s">
        <v>2902</v>
      </c>
    </row>
    <row r="1834" spans="1:17" ht="62.1" customHeight="1">
      <c r="A1834" s="2" t="s">
        <v>2897</v>
      </c>
      <c r="B1834" s="2" t="s">
        <v>2430</v>
      </c>
      <c r="C1834" s="8" t="s">
        <v>2898</v>
      </c>
      <c r="D1834" s="2">
        <v>1</v>
      </c>
      <c r="E1834" s="8" t="s">
        <v>10156</v>
      </c>
      <c r="F1834" s="2">
        <v>3</v>
      </c>
      <c r="G1834" s="8" t="s">
        <v>10163</v>
      </c>
      <c r="H1834" s="8" t="s">
        <v>10163</v>
      </c>
      <c r="I1834" s="2">
        <v>396.3</v>
      </c>
      <c r="J1834" s="2">
        <v>278.98</v>
      </c>
      <c r="K1834" s="2">
        <v>739.78</v>
      </c>
      <c r="L1834" s="2">
        <v>437.28</v>
      </c>
      <c r="M1834" s="8"/>
      <c r="N1834" s="8" t="s">
        <v>10159</v>
      </c>
      <c r="O1834" s="8" t="s">
        <v>9896</v>
      </c>
      <c r="P1834" s="8" t="str">
        <f>HYPERLINK("https://seichotoushi-hojo.jp/assets/pdf/koufu_3_4ji/outline_182.pdf","PDFを開く")</f>
        <v>PDFを開く</v>
      </c>
      <c r="Q1834" s="8" t="s">
        <v>2902</v>
      </c>
    </row>
    <row r="1835" spans="1:17" ht="62.1" customHeight="1">
      <c r="A1835" s="5" t="s">
        <v>2897</v>
      </c>
      <c r="B1835" s="5" t="s">
        <v>2430</v>
      </c>
      <c r="C1835" s="9" t="s">
        <v>2898</v>
      </c>
      <c r="D1835" s="5">
        <v>1</v>
      </c>
      <c r="E1835" s="9" t="s">
        <v>10156</v>
      </c>
      <c r="F1835" s="5">
        <v>4</v>
      </c>
      <c r="G1835" s="9" t="s">
        <v>8581</v>
      </c>
      <c r="H1835" s="9" t="s">
        <v>8581</v>
      </c>
      <c r="I1835" s="5">
        <v>14.49</v>
      </c>
      <c r="J1835" s="5">
        <v>445.18</v>
      </c>
      <c r="K1835" s="5">
        <v>373.14</v>
      </c>
      <c r="L1835" s="5">
        <v>534.71</v>
      </c>
      <c r="M1835" s="9"/>
      <c r="N1835" s="9" t="s">
        <v>10159</v>
      </c>
      <c r="O1835" s="9" t="s">
        <v>2900</v>
      </c>
      <c r="P1835" s="9" t="str">
        <f>HYPERLINK("https://seichotoushi-hojo.jp/assets/pdf/koufu_3_4ji/outline_182.pdf","PDFを開く")</f>
        <v>PDFを開く</v>
      </c>
      <c r="Q1835" s="9" t="s">
        <v>2902</v>
      </c>
    </row>
    <row r="1836" spans="1:17" ht="62.1" customHeight="1">
      <c r="A1836" s="2" t="s">
        <v>2897</v>
      </c>
      <c r="B1836" s="2" t="s">
        <v>2430</v>
      </c>
      <c r="C1836" s="8" t="s">
        <v>2898</v>
      </c>
      <c r="D1836" s="2">
        <v>1</v>
      </c>
      <c r="E1836" s="8" t="s">
        <v>10156</v>
      </c>
      <c r="F1836" s="2">
        <v>5</v>
      </c>
      <c r="G1836" s="8" t="s">
        <v>10167</v>
      </c>
      <c r="H1836" s="8" t="s">
        <v>10564</v>
      </c>
      <c r="I1836" s="2">
        <v>408.29</v>
      </c>
      <c r="J1836" s="2">
        <v>445.18</v>
      </c>
      <c r="K1836" s="2">
        <v>727.79</v>
      </c>
      <c r="L1836" s="2">
        <v>528.04999999999995</v>
      </c>
      <c r="M1836" s="8"/>
      <c r="N1836" s="8" t="s">
        <v>10159</v>
      </c>
      <c r="O1836" s="8" t="s">
        <v>10897</v>
      </c>
      <c r="P1836" s="8" t="str">
        <f>HYPERLINK("https://seichotoushi-hojo.jp/assets/pdf/koufu_3_4ji/outline_182.pdf","PDFを開く")</f>
        <v>PDFを開く</v>
      </c>
      <c r="Q1836" s="8" t="s">
        <v>2902</v>
      </c>
    </row>
    <row r="1837" spans="1:17" ht="62.1" customHeight="1">
      <c r="A1837" s="5" t="s">
        <v>2903</v>
      </c>
      <c r="B1837" s="5" t="s">
        <v>2430</v>
      </c>
      <c r="C1837" s="9" t="s">
        <v>2904</v>
      </c>
      <c r="D1837" s="5">
        <v>1</v>
      </c>
      <c r="E1837" s="9" t="s">
        <v>10156</v>
      </c>
      <c r="F1837" s="5">
        <v>1</v>
      </c>
      <c r="G1837" s="9" t="s">
        <v>9578</v>
      </c>
      <c r="H1837" s="9" t="s">
        <v>9578</v>
      </c>
      <c r="I1837" s="5">
        <v>9.39</v>
      </c>
      <c r="J1837" s="5">
        <v>95.64</v>
      </c>
      <c r="K1837" s="5">
        <v>386.68</v>
      </c>
      <c r="L1837" s="5">
        <v>533.73</v>
      </c>
      <c r="M1837" s="9"/>
      <c r="N1837" s="9" t="s">
        <v>10159</v>
      </c>
      <c r="O1837" s="9" t="s">
        <v>9901</v>
      </c>
      <c r="P1837" s="9" t="str">
        <f t="shared" ref="P1837:P1845" si="109">HYPERLINK("https://seichotoushi-hojo.jp/assets/pdf/koufu_3_4ji/outline_183.pdf","PDFを開く")</f>
        <v>PDFを開く</v>
      </c>
      <c r="Q1837" s="9" t="s">
        <v>2909</v>
      </c>
    </row>
    <row r="1838" spans="1:17" ht="62.1" customHeight="1">
      <c r="A1838" s="2" t="s">
        <v>2903</v>
      </c>
      <c r="B1838" s="2" t="s">
        <v>2430</v>
      </c>
      <c r="C1838" s="8" t="s">
        <v>2904</v>
      </c>
      <c r="D1838" s="2">
        <v>1</v>
      </c>
      <c r="E1838" s="8" t="s">
        <v>10156</v>
      </c>
      <c r="F1838" s="2">
        <v>2</v>
      </c>
      <c r="G1838" s="8" t="s">
        <v>10162</v>
      </c>
      <c r="H1838" s="8" t="s">
        <v>10162</v>
      </c>
      <c r="I1838" s="2">
        <v>403.5</v>
      </c>
      <c r="J1838" s="2">
        <v>95.64</v>
      </c>
      <c r="K1838" s="2">
        <v>777.81</v>
      </c>
      <c r="L1838" s="2">
        <v>334.51</v>
      </c>
      <c r="M1838" s="8"/>
      <c r="N1838" s="8" t="s">
        <v>10159</v>
      </c>
      <c r="O1838" s="8" t="s">
        <v>10898</v>
      </c>
      <c r="P1838" s="8" t="str">
        <f t="shared" si="109"/>
        <v>PDFを開く</v>
      </c>
      <c r="Q1838" s="8" t="s">
        <v>2909</v>
      </c>
    </row>
    <row r="1839" spans="1:17" ht="62.1" customHeight="1">
      <c r="A1839" s="5" t="s">
        <v>2903</v>
      </c>
      <c r="B1839" s="5" t="s">
        <v>2430</v>
      </c>
      <c r="C1839" s="9" t="s">
        <v>2904</v>
      </c>
      <c r="D1839" s="5">
        <v>1</v>
      </c>
      <c r="E1839" s="9" t="s">
        <v>10156</v>
      </c>
      <c r="F1839" s="5">
        <v>3</v>
      </c>
      <c r="G1839" s="9" t="s">
        <v>10163</v>
      </c>
      <c r="H1839" s="9" t="s">
        <v>10163</v>
      </c>
      <c r="I1839" s="5">
        <v>403.5</v>
      </c>
      <c r="J1839" s="5">
        <v>337.58</v>
      </c>
      <c r="K1839" s="5">
        <v>777.81</v>
      </c>
      <c r="L1839" s="5">
        <v>506.5</v>
      </c>
      <c r="M1839" s="9"/>
      <c r="N1839" s="9" t="s">
        <v>10159</v>
      </c>
      <c r="O1839" s="9" t="s">
        <v>10899</v>
      </c>
      <c r="P1839" s="9" t="str">
        <f t="shared" si="109"/>
        <v>PDFを開く</v>
      </c>
      <c r="Q1839" s="9" t="s">
        <v>2909</v>
      </c>
    </row>
    <row r="1840" spans="1:17" ht="62.1" customHeight="1">
      <c r="A1840" s="2" t="s">
        <v>2903</v>
      </c>
      <c r="B1840" s="2" t="s">
        <v>2430</v>
      </c>
      <c r="C1840" s="8" t="s">
        <v>2904</v>
      </c>
      <c r="D1840" s="2">
        <v>1</v>
      </c>
      <c r="E1840" s="8" t="s">
        <v>10156</v>
      </c>
      <c r="F1840" s="2">
        <v>4</v>
      </c>
      <c r="G1840" s="8" t="s">
        <v>8581</v>
      </c>
      <c r="H1840" s="8" t="s">
        <v>8581</v>
      </c>
      <c r="I1840" s="2">
        <v>30.82</v>
      </c>
      <c r="J1840" s="2">
        <v>459.39</v>
      </c>
      <c r="K1840" s="2">
        <v>379.2</v>
      </c>
      <c r="L1840" s="2">
        <v>520.9</v>
      </c>
      <c r="M1840" s="8"/>
      <c r="N1840" s="8" t="s">
        <v>10159</v>
      </c>
      <c r="O1840" s="8" t="s">
        <v>2907</v>
      </c>
      <c r="P1840" s="8" t="str">
        <f t="shared" si="109"/>
        <v>PDFを開く</v>
      </c>
      <c r="Q1840" s="8" t="s">
        <v>2909</v>
      </c>
    </row>
    <row r="1841" spans="1:17" ht="62.1" customHeight="1">
      <c r="A1841" s="5" t="s">
        <v>2903</v>
      </c>
      <c r="B1841" s="5" t="s">
        <v>2430</v>
      </c>
      <c r="C1841" s="9" t="s">
        <v>2904</v>
      </c>
      <c r="D1841" s="5">
        <v>2</v>
      </c>
      <c r="E1841" s="9" t="s">
        <v>10165</v>
      </c>
      <c r="F1841" s="5">
        <v>1</v>
      </c>
      <c r="G1841" s="9" t="s">
        <v>10162</v>
      </c>
      <c r="H1841" s="9" t="s">
        <v>10162</v>
      </c>
      <c r="I1841" s="5">
        <v>461.59</v>
      </c>
      <c r="J1841" s="5">
        <v>95.49</v>
      </c>
      <c r="K1841" s="5">
        <v>768.3</v>
      </c>
      <c r="L1841" s="5">
        <v>190.11</v>
      </c>
      <c r="M1841" s="9"/>
      <c r="N1841" s="9" t="s">
        <v>10181</v>
      </c>
      <c r="O1841" s="9" t="s">
        <v>10900</v>
      </c>
      <c r="P1841" s="9" t="str">
        <f t="shared" si="109"/>
        <v>PDFを開く</v>
      </c>
      <c r="Q1841" s="9" t="s">
        <v>2909</v>
      </c>
    </row>
    <row r="1842" spans="1:17" ht="62.1" customHeight="1">
      <c r="A1842" s="2" t="s">
        <v>2903</v>
      </c>
      <c r="B1842" s="2" t="s">
        <v>2430</v>
      </c>
      <c r="C1842" s="8" t="s">
        <v>2904</v>
      </c>
      <c r="D1842" s="2">
        <v>2</v>
      </c>
      <c r="E1842" s="8" t="s">
        <v>10165</v>
      </c>
      <c r="F1842" s="2">
        <v>2</v>
      </c>
      <c r="G1842" s="8" t="s">
        <v>10163</v>
      </c>
      <c r="H1842" s="8" t="s">
        <v>10163</v>
      </c>
      <c r="I1842" s="2">
        <v>461.98</v>
      </c>
      <c r="J1842" s="2">
        <v>189.11</v>
      </c>
      <c r="K1842" s="2">
        <v>768.3</v>
      </c>
      <c r="L1842" s="2">
        <v>384.51</v>
      </c>
      <c r="M1842" s="8"/>
      <c r="N1842" s="8" t="s">
        <v>10181</v>
      </c>
      <c r="O1842" s="8" t="s">
        <v>10901</v>
      </c>
      <c r="P1842" s="8" t="str">
        <f t="shared" si="109"/>
        <v>PDFを開く</v>
      </c>
      <c r="Q1842" s="8" t="s">
        <v>2909</v>
      </c>
    </row>
    <row r="1843" spans="1:17" ht="62.1" customHeight="1">
      <c r="A1843" s="5" t="s">
        <v>2903</v>
      </c>
      <c r="B1843" s="5" t="s">
        <v>2430</v>
      </c>
      <c r="C1843" s="9" t="s">
        <v>2904</v>
      </c>
      <c r="D1843" s="5">
        <v>2</v>
      </c>
      <c r="E1843" s="9" t="s">
        <v>10165</v>
      </c>
      <c r="F1843" s="5">
        <v>3</v>
      </c>
      <c r="G1843" s="9" t="s">
        <v>10167</v>
      </c>
      <c r="H1843" s="9" t="s">
        <v>10902</v>
      </c>
      <c r="I1843" s="5">
        <v>394.61</v>
      </c>
      <c r="J1843" s="5">
        <v>209.2</v>
      </c>
      <c r="K1843" s="5">
        <v>613.29999999999995</v>
      </c>
      <c r="L1843" s="5">
        <v>326.94</v>
      </c>
      <c r="M1843" s="9"/>
      <c r="N1843" s="9" t="s">
        <v>10159</v>
      </c>
      <c r="O1843" s="9" t="s">
        <v>10903</v>
      </c>
      <c r="P1843" s="9" t="str">
        <f t="shared" si="109"/>
        <v>PDFを開く</v>
      </c>
      <c r="Q1843" s="9" t="s">
        <v>2909</v>
      </c>
    </row>
    <row r="1844" spans="1:17" ht="62.1" customHeight="1">
      <c r="A1844" s="2" t="s">
        <v>2903</v>
      </c>
      <c r="B1844" s="2" t="s">
        <v>2430</v>
      </c>
      <c r="C1844" s="8" t="s">
        <v>2904</v>
      </c>
      <c r="D1844" s="2">
        <v>4</v>
      </c>
      <c r="E1844" s="8" t="s">
        <v>10165</v>
      </c>
      <c r="F1844" s="2">
        <v>1</v>
      </c>
      <c r="G1844" s="8" t="s">
        <v>10167</v>
      </c>
      <c r="H1844" s="8" t="s">
        <v>10904</v>
      </c>
      <c r="I1844" s="2">
        <v>454.96</v>
      </c>
      <c r="J1844" s="2">
        <v>108.09</v>
      </c>
      <c r="K1844" s="2">
        <v>768</v>
      </c>
      <c r="L1844" s="2">
        <v>223.57</v>
      </c>
      <c r="M1844" s="8"/>
      <c r="N1844" s="8" t="s">
        <v>10159</v>
      </c>
      <c r="O1844" s="8" t="s">
        <v>10904</v>
      </c>
      <c r="P1844" s="8" t="str">
        <f t="shared" si="109"/>
        <v>PDFを開く</v>
      </c>
      <c r="Q1844" s="8" t="s">
        <v>2909</v>
      </c>
    </row>
    <row r="1845" spans="1:17" ht="62.1" customHeight="1">
      <c r="A1845" s="5" t="s">
        <v>2903</v>
      </c>
      <c r="B1845" s="5" t="s">
        <v>2430</v>
      </c>
      <c r="C1845" s="9" t="s">
        <v>2904</v>
      </c>
      <c r="D1845" s="5">
        <v>4</v>
      </c>
      <c r="E1845" s="9" t="s">
        <v>10165</v>
      </c>
      <c r="F1845" s="5">
        <v>2</v>
      </c>
      <c r="G1845" s="9" t="s">
        <v>10167</v>
      </c>
      <c r="H1845" s="9" t="s">
        <v>10905</v>
      </c>
      <c r="I1845" s="5">
        <v>454.09</v>
      </c>
      <c r="J1845" s="5">
        <v>349.39</v>
      </c>
      <c r="K1845" s="5">
        <v>767.13</v>
      </c>
      <c r="L1845" s="5">
        <v>387.61</v>
      </c>
      <c r="M1845" s="9"/>
      <c r="N1845" s="9" t="s">
        <v>10159</v>
      </c>
      <c r="O1845" s="9" t="s">
        <v>10906</v>
      </c>
      <c r="P1845" s="9" t="str">
        <f t="shared" si="109"/>
        <v>PDFを開く</v>
      </c>
      <c r="Q1845" s="9" t="s">
        <v>2909</v>
      </c>
    </row>
    <row r="1846" spans="1:17" ht="62.1" customHeight="1">
      <c r="A1846" s="2" t="s">
        <v>2910</v>
      </c>
      <c r="B1846" s="2" t="s">
        <v>2430</v>
      </c>
      <c r="C1846" s="8" t="s">
        <v>2911</v>
      </c>
      <c r="D1846" s="2">
        <v>1</v>
      </c>
      <c r="E1846" s="8" t="s">
        <v>10156</v>
      </c>
      <c r="F1846" s="2">
        <v>1</v>
      </c>
      <c r="G1846" s="8" t="s">
        <v>10162</v>
      </c>
      <c r="H1846" s="8" t="s">
        <v>10162</v>
      </c>
      <c r="I1846" s="2">
        <v>391.48</v>
      </c>
      <c r="J1846" s="2">
        <v>94.57</v>
      </c>
      <c r="K1846" s="2">
        <v>773.13</v>
      </c>
      <c r="L1846" s="2">
        <v>312.88</v>
      </c>
      <c r="M1846" s="8"/>
      <c r="N1846" s="8" t="s">
        <v>10159</v>
      </c>
      <c r="O1846" s="8" t="s">
        <v>9909</v>
      </c>
      <c r="P1846" s="8" t="str">
        <f>HYPERLINK("https://seichotoushi-hojo.jp/assets/pdf/koufu_3_4ji/outline_184.pdf","PDFを開く")</f>
        <v>PDFを開く</v>
      </c>
      <c r="Q1846" s="8" t="s">
        <v>2917</v>
      </c>
    </row>
    <row r="1847" spans="1:17" ht="62.1" customHeight="1">
      <c r="A1847" s="5" t="s">
        <v>2910</v>
      </c>
      <c r="B1847" s="5" t="s">
        <v>2430</v>
      </c>
      <c r="C1847" s="9" t="s">
        <v>2911</v>
      </c>
      <c r="D1847" s="5">
        <v>1</v>
      </c>
      <c r="E1847" s="9" t="s">
        <v>10156</v>
      </c>
      <c r="F1847" s="5">
        <v>2</v>
      </c>
      <c r="G1847" s="9" t="s">
        <v>9578</v>
      </c>
      <c r="H1847" s="9" t="s">
        <v>9578</v>
      </c>
      <c r="I1847" s="5">
        <v>1.23</v>
      </c>
      <c r="J1847" s="5">
        <v>95.71</v>
      </c>
      <c r="K1847" s="5">
        <v>375.3</v>
      </c>
      <c r="L1847" s="5">
        <v>537.91</v>
      </c>
      <c r="M1847" s="9"/>
      <c r="N1847" s="9" t="s">
        <v>10159</v>
      </c>
      <c r="O1847" s="9" t="s">
        <v>9908</v>
      </c>
      <c r="P1847" s="9" t="str">
        <f>HYPERLINK("https://seichotoushi-hojo.jp/assets/pdf/koufu_3_4ji/outline_184.pdf","PDFを開く")</f>
        <v>PDFを開く</v>
      </c>
      <c r="Q1847" s="9" t="s">
        <v>2917</v>
      </c>
    </row>
    <row r="1848" spans="1:17" ht="62.1" customHeight="1">
      <c r="A1848" s="2" t="s">
        <v>2910</v>
      </c>
      <c r="B1848" s="2" t="s">
        <v>2430</v>
      </c>
      <c r="C1848" s="8" t="s">
        <v>2911</v>
      </c>
      <c r="D1848" s="2">
        <v>1</v>
      </c>
      <c r="E1848" s="8" t="s">
        <v>10156</v>
      </c>
      <c r="F1848" s="2">
        <v>3</v>
      </c>
      <c r="G1848" s="8" t="s">
        <v>10163</v>
      </c>
      <c r="H1848" s="8" t="s">
        <v>10163</v>
      </c>
      <c r="I1848" s="2">
        <v>391.48</v>
      </c>
      <c r="J1848" s="2">
        <v>315.43</v>
      </c>
      <c r="K1848" s="2">
        <v>773.13</v>
      </c>
      <c r="L1848" s="2">
        <v>533.74</v>
      </c>
      <c r="M1848" s="8"/>
      <c r="N1848" s="8" t="s">
        <v>10159</v>
      </c>
      <c r="O1848" s="8" t="s">
        <v>9910</v>
      </c>
      <c r="P1848" s="8" t="str">
        <f>HYPERLINK("https://seichotoushi-hojo.jp/assets/pdf/koufu_3_4ji/outline_184.pdf","PDFを開く")</f>
        <v>PDFを開く</v>
      </c>
      <c r="Q1848" s="8" t="s">
        <v>2917</v>
      </c>
    </row>
    <row r="1849" spans="1:17" ht="62.1" customHeight="1">
      <c r="A1849" s="5" t="s">
        <v>2910</v>
      </c>
      <c r="B1849" s="5" t="s">
        <v>2430</v>
      </c>
      <c r="C1849" s="9" t="s">
        <v>2911</v>
      </c>
      <c r="D1849" s="5">
        <v>1</v>
      </c>
      <c r="E1849" s="9" t="s">
        <v>10156</v>
      </c>
      <c r="F1849" s="5">
        <v>4</v>
      </c>
      <c r="G1849" s="9" t="s">
        <v>8581</v>
      </c>
      <c r="H1849" s="9" t="s">
        <v>8581</v>
      </c>
      <c r="I1849" s="5">
        <v>13.71</v>
      </c>
      <c r="J1849" s="5">
        <v>433.64</v>
      </c>
      <c r="K1849" s="5">
        <v>366.13</v>
      </c>
      <c r="L1849" s="5">
        <v>532.53</v>
      </c>
      <c r="M1849" s="9"/>
      <c r="N1849" s="9" t="s">
        <v>10159</v>
      </c>
      <c r="O1849" s="9" t="s">
        <v>9911</v>
      </c>
      <c r="P1849" s="9" t="str">
        <f>HYPERLINK("https://seichotoushi-hojo.jp/assets/pdf/koufu_3_4ji/outline_184.pdf","PDFを開く")</f>
        <v>PDFを開く</v>
      </c>
      <c r="Q1849" s="9" t="s">
        <v>2917</v>
      </c>
    </row>
    <row r="1850" spans="1:17" ht="62.1" customHeight="1">
      <c r="A1850" s="2" t="s">
        <v>2918</v>
      </c>
      <c r="B1850" s="2" t="s">
        <v>2430</v>
      </c>
      <c r="C1850" s="8" t="s">
        <v>2919</v>
      </c>
      <c r="D1850" s="2">
        <v>1</v>
      </c>
      <c r="E1850" s="8" t="s">
        <v>10156</v>
      </c>
      <c r="F1850" s="2">
        <v>1</v>
      </c>
      <c r="G1850" s="8" t="s">
        <v>9578</v>
      </c>
      <c r="H1850" s="8" t="s">
        <v>9578</v>
      </c>
      <c r="I1850" s="2">
        <v>11.08</v>
      </c>
      <c r="J1850" s="2">
        <v>97.27</v>
      </c>
      <c r="K1850" s="2">
        <v>360.88</v>
      </c>
      <c r="L1850" s="2">
        <v>533.34</v>
      </c>
      <c r="M1850" s="8"/>
      <c r="N1850" s="8" t="s">
        <v>10159</v>
      </c>
      <c r="O1850" s="8" t="s">
        <v>9916</v>
      </c>
      <c r="P1850" s="8" t="str">
        <f>HYPERLINK("https://seichotoushi-hojo.jp/assets/pdf/koufu_3_4ji/outline_187.pdf","PDFを開く")</f>
        <v>PDFを開く</v>
      </c>
      <c r="Q1850" s="8" t="s">
        <v>2925</v>
      </c>
    </row>
    <row r="1851" spans="1:17" ht="62.1" customHeight="1">
      <c r="A1851" s="5" t="s">
        <v>2918</v>
      </c>
      <c r="B1851" s="5" t="s">
        <v>2430</v>
      </c>
      <c r="C1851" s="9" t="s">
        <v>2919</v>
      </c>
      <c r="D1851" s="5">
        <v>1</v>
      </c>
      <c r="E1851" s="9" t="s">
        <v>10156</v>
      </c>
      <c r="F1851" s="5">
        <v>2</v>
      </c>
      <c r="G1851" s="9" t="s">
        <v>10162</v>
      </c>
      <c r="H1851" s="9" t="s">
        <v>10162</v>
      </c>
      <c r="I1851" s="5">
        <v>376.08</v>
      </c>
      <c r="J1851" s="5">
        <v>97.28</v>
      </c>
      <c r="K1851" s="5">
        <v>776.87</v>
      </c>
      <c r="L1851" s="5">
        <v>332.97</v>
      </c>
      <c r="M1851" s="9"/>
      <c r="N1851" s="9" t="s">
        <v>10159</v>
      </c>
      <c r="O1851" s="9" t="s">
        <v>9917</v>
      </c>
      <c r="P1851" s="9" t="str">
        <f>HYPERLINK("https://seichotoushi-hojo.jp/assets/pdf/koufu_3_4ji/outline_187.pdf","PDFを開く")</f>
        <v>PDFを開く</v>
      </c>
      <c r="Q1851" s="9" t="s">
        <v>2925</v>
      </c>
    </row>
    <row r="1852" spans="1:17" ht="62.1" customHeight="1">
      <c r="A1852" s="2" t="s">
        <v>2918</v>
      </c>
      <c r="B1852" s="2" t="s">
        <v>2430</v>
      </c>
      <c r="C1852" s="8" t="s">
        <v>2919</v>
      </c>
      <c r="D1852" s="2">
        <v>1</v>
      </c>
      <c r="E1852" s="8" t="s">
        <v>10156</v>
      </c>
      <c r="F1852" s="2">
        <v>3</v>
      </c>
      <c r="G1852" s="8" t="s">
        <v>10163</v>
      </c>
      <c r="H1852" s="8" t="s">
        <v>10163</v>
      </c>
      <c r="I1852" s="2">
        <v>376.08</v>
      </c>
      <c r="J1852" s="2">
        <v>339.28</v>
      </c>
      <c r="K1852" s="2">
        <v>776.87</v>
      </c>
      <c r="L1852" s="2">
        <v>534.08000000000004</v>
      </c>
      <c r="M1852" s="8"/>
      <c r="N1852" s="8" t="s">
        <v>10159</v>
      </c>
      <c r="O1852" s="8" t="s">
        <v>9918</v>
      </c>
      <c r="P1852" s="8" t="str">
        <f>HYPERLINK("https://seichotoushi-hojo.jp/assets/pdf/koufu_3_4ji/outline_187.pdf","PDFを開く")</f>
        <v>PDFを開く</v>
      </c>
      <c r="Q1852" s="8" t="s">
        <v>2925</v>
      </c>
    </row>
    <row r="1853" spans="1:17" ht="62.1" customHeight="1">
      <c r="A1853" s="5" t="s">
        <v>2918</v>
      </c>
      <c r="B1853" s="5" t="s">
        <v>2430</v>
      </c>
      <c r="C1853" s="9" t="s">
        <v>2919</v>
      </c>
      <c r="D1853" s="5">
        <v>1</v>
      </c>
      <c r="E1853" s="9" t="s">
        <v>10156</v>
      </c>
      <c r="F1853" s="5">
        <v>4</v>
      </c>
      <c r="G1853" s="9" t="s">
        <v>8581</v>
      </c>
      <c r="H1853" s="9" t="s">
        <v>8581</v>
      </c>
      <c r="I1853" s="5">
        <v>20.91</v>
      </c>
      <c r="J1853" s="5">
        <v>487.07</v>
      </c>
      <c r="K1853" s="5">
        <v>340.41</v>
      </c>
      <c r="L1853" s="5">
        <v>530.78</v>
      </c>
      <c r="M1853" s="9"/>
      <c r="N1853" s="9" t="s">
        <v>10159</v>
      </c>
      <c r="O1853" s="9" t="s">
        <v>2923</v>
      </c>
      <c r="P1853" s="9" t="str">
        <f>HYPERLINK("https://seichotoushi-hojo.jp/assets/pdf/koufu_3_4ji/outline_187.pdf","PDFを開く")</f>
        <v>PDFを開く</v>
      </c>
      <c r="Q1853" s="9" t="s">
        <v>2925</v>
      </c>
    </row>
    <row r="1854" spans="1:17" ht="62.1" customHeight="1">
      <c r="A1854" s="2" t="s">
        <v>2926</v>
      </c>
      <c r="B1854" s="2" t="s">
        <v>2430</v>
      </c>
      <c r="C1854" s="8" t="s">
        <v>2927</v>
      </c>
      <c r="D1854" s="2">
        <v>1</v>
      </c>
      <c r="E1854" s="8" t="s">
        <v>10156</v>
      </c>
      <c r="F1854" s="2">
        <v>1</v>
      </c>
      <c r="G1854" s="8" t="s">
        <v>9578</v>
      </c>
      <c r="H1854" s="8" t="s">
        <v>9578</v>
      </c>
      <c r="I1854" s="2">
        <v>28.44</v>
      </c>
      <c r="J1854" s="2">
        <v>120.36</v>
      </c>
      <c r="K1854" s="2">
        <v>385.08</v>
      </c>
      <c r="L1854" s="2">
        <v>502.56</v>
      </c>
      <c r="M1854" s="8"/>
      <c r="N1854" s="8" t="s">
        <v>10159</v>
      </c>
      <c r="O1854" s="8" t="s">
        <v>9923</v>
      </c>
      <c r="P1854" s="8" t="str">
        <f>HYPERLINK("https://seichotoushi-hojo.jp/assets/pdf/koufu_3_4ji/outline_189.pdf","PDFを開く")</f>
        <v>PDFを開く</v>
      </c>
      <c r="Q1854" s="8" t="s">
        <v>2934</v>
      </c>
    </row>
    <row r="1855" spans="1:17" ht="62.1" customHeight="1">
      <c r="A1855" s="5" t="s">
        <v>2926</v>
      </c>
      <c r="B1855" s="5" t="s">
        <v>2430</v>
      </c>
      <c r="C1855" s="9" t="s">
        <v>2927</v>
      </c>
      <c r="D1855" s="5">
        <v>1</v>
      </c>
      <c r="E1855" s="9" t="s">
        <v>10156</v>
      </c>
      <c r="F1855" s="5">
        <v>2</v>
      </c>
      <c r="G1855" s="9" t="s">
        <v>10162</v>
      </c>
      <c r="H1855" s="9" t="s">
        <v>10162</v>
      </c>
      <c r="I1855" s="5">
        <v>408.36</v>
      </c>
      <c r="J1855" s="5">
        <v>120.36</v>
      </c>
      <c r="K1855" s="5">
        <v>751.8</v>
      </c>
      <c r="L1855" s="5">
        <v>303.24</v>
      </c>
      <c r="M1855" s="9"/>
      <c r="N1855" s="9" t="s">
        <v>10159</v>
      </c>
      <c r="O1855" s="9" t="s">
        <v>9924</v>
      </c>
      <c r="P1855" s="9" t="str">
        <f>HYPERLINK("https://seichotoushi-hojo.jp/assets/pdf/koufu_3_4ji/outline_189.pdf","PDFを開く")</f>
        <v>PDFを開く</v>
      </c>
      <c r="Q1855" s="9" t="s">
        <v>2934</v>
      </c>
    </row>
    <row r="1856" spans="1:17" ht="62.1" customHeight="1">
      <c r="A1856" s="2" t="s">
        <v>2926</v>
      </c>
      <c r="B1856" s="2" t="s">
        <v>2430</v>
      </c>
      <c r="C1856" s="8" t="s">
        <v>2927</v>
      </c>
      <c r="D1856" s="2">
        <v>1</v>
      </c>
      <c r="E1856" s="8" t="s">
        <v>10156</v>
      </c>
      <c r="F1856" s="2">
        <v>3</v>
      </c>
      <c r="G1856" s="8" t="s">
        <v>10163</v>
      </c>
      <c r="H1856" s="8" t="s">
        <v>10163</v>
      </c>
      <c r="I1856" s="2">
        <v>408.36</v>
      </c>
      <c r="J1856" s="2">
        <v>323.04000000000002</v>
      </c>
      <c r="K1856" s="2">
        <v>751.8</v>
      </c>
      <c r="L1856" s="2">
        <v>494.4</v>
      </c>
      <c r="M1856" s="8"/>
      <c r="N1856" s="8" t="s">
        <v>10159</v>
      </c>
      <c r="O1856" s="8" t="s">
        <v>9925</v>
      </c>
      <c r="P1856" s="8" t="str">
        <f>HYPERLINK("https://seichotoushi-hojo.jp/assets/pdf/koufu_3_4ji/outline_189.pdf","PDFを開く")</f>
        <v>PDFを開く</v>
      </c>
      <c r="Q1856" s="8" t="s">
        <v>2934</v>
      </c>
    </row>
    <row r="1857" spans="1:17" ht="62.1" customHeight="1">
      <c r="A1857" s="5" t="s">
        <v>2926</v>
      </c>
      <c r="B1857" s="5" t="s">
        <v>2430</v>
      </c>
      <c r="C1857" s="9" t="s">
        <v>2927</v>
      </c>
      <c r="D1857" s="5">
        <v>1</v>
      </c>
      <c r="E1857" s="9" t="s">
        <v>10156</v>
      </c>
      <c r="F1857" s="5">
        <v>4</v>
      </c>
      <c r="G1857" s="9" t="s">
        <v>8581</v>
      </c>
      <c r="H1857" s="9" t="s">
        <v>8581</v>
      </c>
      <c r="I1857" s="5">
        <v>35.4</v>
      </c>
      <c r="J1857" s="5">
        <v>420.96</v>
      </c>
      <c r="K1857" s="5">
        <v>378.6</v>
      </c>
      <c r="L1857" s="5">
        <v>490.8</v>
      </c>
      <c r="M1857" s="9"/>
      <c r="N1857" s="9" t="s">
        <v>10159</v>
      </c>
      <c r="O1857" s="9" t="s">
        <v>2931</v>
      </c>
      <c r="P1857" s="9" t="str">
        <f>HYPERLINK("https://seichotoushi-hojo.jp/assets/pdf/koufu_3_4ji/outline_189.pdf","PDFを開く")</f>
        <v>PDFを開く</v>
      </c>
      <c r="Q1857" s="9" t="s">
        <v>2934</v>
      </c>
    </row>
    <row r="1858" spans="1:17" ht="62.1" customHeight="1">
      <c r="A1858" s="2" t="s">
        <v>2935</v>
      </c>
      <c r="B1858" s="2" t="s">
        <v>2430</v>
      </c>
      <c r="C1858" s="8" t="s">
        <v>2936</v>
      </c>
      <c r="D1858" s="2">
        <v>1</v>
      </c>
      <c r="E1858" s="8" t="s">
        <v>10156</v>
      </c>
      <c r="F1858" s="2">
        <v>1</v>
      </c>
      <c r="G1858" s="8" t="s">
        <v>10162</v>
      </c>
      <c r="H1858" s="8" t="s">
        <v>10162</v>
      </c>
      <c r="I1858" s="2">
        <v>396.3</v>
      </c>
      <c r="J1858" s="2">
        <v>116.53</v>
      </c>
      <c r="K1858" s="2">
        <v>751.92</v>
      </c>
      <c r="L1858" s="2">
        <v>282.36</v>
      </c>
      <c r="M1858" s="8"/>
      <c r="N1858" s="8" t="s">
        <v>10159</v>
      </c>
      <c r="O1858" s="8" t="s">
        <v>9931</v>
      </c>
      <c r="P1858" s="8" t="str">
        <f>HYPERLINK("https://seichotoushi-hojo.jp/assets/pdf/koufu_3_4ji/outline_191.pdf","PDFを開く")</f>
        <v>PDFを開く</v>
      </c>
      <c r="Q1858" s="8" t="s">
        <v>2942</v>
      </c>
    </row>
    <row r="1859" spans="1:17" ht="62.1" customHeight="1">
      <c r="A1859" s="5" t="s">
        <v>2935</v>
      </c>
      <c r="B1859" s="5" t="s">
        <v>2430</v>
      </c>
      <c r="C1859" s="9" t="s">
        <v>2936</v>
      </c>
      <c r="D1859" s="5">
        <v>1</v>
      </c>
      <c r="E1859" s="9" t="s">
        <v>10156</v>
      </c>
      <c r="F1859" s="5">
        <v>2</v>
      </c>
      <c r="G1859" s="9" t="s">
        <v>9578</v>
      </c>
      <c r="H1859" s="9" t="s">
        <v>9578</v>
      </c>
      <c r="I1859" s="5">
        <v>23.17</v>
      </c>
      <c r="J1859" s="5">
        <v>116.54</v>
      </c>
      <c r="K1859" s="5">
        <v>378.79</v>
      </c>
      <c r="L1859" s="5">
        <v>520.9</v>
      </c>
      <c r="M1859" s="9"/>
      <c r="N1859" s="9" t="s">
        <v>10159</v>
      </c>
      <c r="O1859" s="9" t="s">
        <v>9930</v>
      </c>
      <c r="P1859" s="9" t="str">
        <f>HYPERLINK("https://seichotoushi-hojo.jp/assets/pdf/koufu_3_4ji/outline_191.pdf","PDFを開く")</f>
        <v>PDFを開く</v>
      </c>
      <c r="Q1859" s="9" t="s">
        <v>2942</v>
      </c>
    </row>
    <row r="1860" spans="1:17" ht="62.1" customHeight="1">
      <c r="A1860" s="2" t="s">
        <v>2935</v>
      </c>
      <c r="B1860" s="2" t="s">
        <v>2430</v>
      </c>
      <c r="C1860" s="8" t="s">
        <v>2936</v>
      </c>
      <c r="D1860" s="2">
        <v>1</v>
      </c>
      <c r="E1860" s="8" t="s">
        <v>10156</v>
      </c>
      <c r="F1860" s="2">
        <v>3</v>
      </c>
      <c r="G1860" s="8" t="s">
        <v>10163</v>
      </c>
      <c r="H1860" s="8" t="s">
        <v>10163</v>
      </c>
      <c r="I1860" s="2">
        <v>396.3</v>
      </c>
      <c r="J1860" s="2">
        <v>290.23</v>
      </c>
      <c r="K1860" s="2">
        <v>751.92</v>
      </c>
      <c r="L1860" s="2">
        <v>520.9</v>
      </c>
      <c r="M1860" s="8"/>
      <c r="N1860" s="8" t="s">
        <v>10159</v>
      </c>
      <c r="O1860" s="8" t="s">
        <v>9932</v>
      </c>
      <c r="P1860" s="8" t="str">
        <f>HYPERLINK("https://seichotoushi-hojo.jp/assets/pdf/koufu_3_4ji/outline_191.pdf","PDFを開く")</f>
        <v>PDFを開く</v>
      </c>
      <c r="Q1860" s="8" t="s">
        <v>2942</v>
      </c>
    </row>
    <row r="1861" spans="1:17" ht="62.1" customHeight="1">
      <c r="A1861" s="5" t="s">
        <v>2935</v>
      </c>
      <c r="B1861" s="5" t="s">
        <v>2430</v>
      </c>
      <c r="C1861" s="9" t="s">
        <v>2936</v>
      </c>
      <c r="D1861" s="5">
        <v>1</v>
      </c>
      <c r="E1861" s="9" t="s">
        <v>10156</v>
      </c>
      <c r="F1861" s="5">
        <v>4</v>
      </c>
      <c r="G1861" s="9" t="s">
        <v>8581</v>
      </c>
      <c r="H1861" s="9" t="s">
        <v>8581</v>
      </c>
      <c r="I1861" s="5">
        <v>50.52</v>
      </c>
      <c r="J1861" s="5">
        <v>433.15</v>
      </c>
      <c r="K1861" s="5">
        <v>370.02</v>
      </c>
      <c r="L1861" s="5">
        <v>513.86</v>
      </c>
      <c r="M1861" s="9"/>
      <c r="N1861" s="9" t="s">
        <v>10159</v>
      </c>
      <c r="O1861" s="9" t="s">
        <v>2940</v>
      </c>
      <c r="P1861" s="9" t="str">
        <f>HYPERLINK("https://seichotoushi-hojo.jp/assets/pdf/koufu_3_4ji/outline_191.pdf","PDFを開く")</f>
        <v>PDFを開く</v>
      </c>
      <c r="Q1861" s="9" t="s">
        <v>2942</v>
      </c>
    </row>
    <row r="1862" spans="1:17" ht="62.1" customHeight="1">
      <c r="A1862" s="2" t="s">
        <v>2943</v>
      </c>
      <c r="B1862" s="2" t="s">
        <v>2430</v>
      </c>
      <c r="C1862" s="8" t="s">
        <v>2944</v>
      </c>
      <c r="D1862" s="2">
        <v>1</v>
      </c>
      <c r="E1862" s="8" t="s">
        <v>10156</v>
      </c>
      <c r="F1862" s="2">
        <v>1</v>
      </c>
      <c r="G1862" s="8" t="s">
        <v>9578</v>
      </c>
      <c r="H1862" s="8" t="s">
        <v>9578</v>
      </c>
      <c r="I1862" s="2">
        <v>42.84</v>
      </c>
      <c r="J1862" s="2">
        <v>112.56</v>
      </c>
      <c r="K1862" s="2">
        <v>798.48</v>
      </c>
      <c r="L1862" s="2">
        <v>180.84</v>
      </c>
      <c r="M1862" s="8"/>
      <c r="N1862" s="8" t="s">
        <v>10159</v>
      </c>
      <c r="O1862" s="8" t="s">
        <v>10907</v>
      </c>
      <c r="P1862" s="8" t="str">
        <f t="shared" ref="P1862:P1867" si="110">HYPERLINK("https://seichotoushi-hojo.jp/assets/pdf/koufu_3_4ji/outline_192.pdf","PDFを開く")</f>
        <v>PDFを開く</v>
      </c>
      <c r="Q1862" s="8" t="s">
        <v>2949</v>
      </c>
    </row>
    <row r="1863" spans="1:17" ht="62.1" customHeight="1">
      <c r="A1863" s="5" t="s">
        <v>2943</v>
      </c>
      <c r="B1863" s="5" t="s">
        <v>2430</v>
      </c>
      <c r="C1863" s="9" t="s">
        <v>2944</v>
      </c>
      <c r="D1863" s="5">
        <v>1</v>
      </c>
      <c r="E1863" s="9" t="s">
        <v>10156</v>
      </c>
      <c r="F1863" s="5">
        <v>2</v>
      </c>
      <c r="G1863" s="9" t="s">
        <v>9578</v>
      </c>
      <c r="H1863" s="9" t="s">
        <v>9578</v>
      </c>
      <c r="I1863" s="5">
        <v>42.84</v>
      </c>
      <c r="J1863" s="5">
        <v>187.44</v>
      </c>
      <c r="K1863" s="5">
        <v>408.84</v>
      </c>
      <c r="L1863" s="5">
        <v>545.64</v>
      </c>
      <c r="M1863" s="9"/>
      <c r="N1863" s="9" t="s">
        <v>10159</v>
      </c>
      <c r="O1863" s="9" t="s">
        <v>10908</v>
      </c>
      <c r="P1863" s="9" t="str">
        <f t="shared" si="110"/>
        <v>PDFを開く</v>
      </c>
      <c r="Q1863" s="9" t="s">
        <v>2949</v>
      </c>
    </row>
    <row r="1864" spans="1:17" ht="62.1" customHeight="1">
      <c r="A1864" s="2" t="s">
        <v>2943</v>
      </c>
      <c r="B1864" s="2" t="s">
        <v>2430</v>
      </c>
      <c r="C1864" s="8" t="s">
        <v>2944</v>
      </c>
      <c r="D1864" s="2">
        <v>1</v>
      </c>
      <c r="E1864" s="8" t="s">
        <v>10156</v>
      </c>
      <c r="F1864" s="2">
        <v>3</v>
      </c>
      <c r="G1864" s="8" t="s">
        <v>10162</v>
      </c>
      <c r="H1864" s="8" t="s">
        <v>10162</v>
      </c>
      <c r="I1864" s="2">
        <v>427.8</v>
      </c>
      <c r="J1864" s="2">
        <v>189.96</v>
      </c>
      <c r="K1864" s="2">
        <v>798.48</v>
      </c>
      <c r="L1864" s="2">
        <v>372.36</v>
      </c>
      <c r="M1864" s="8"/>
      <c r="N1864" s="8" t="s">
        <v>10159</v>
      </c>
      <c r="O1864" s="8" t="s">
        <v>9938</v>
      </c>
      <c r="P1864" s="8" t="str">
        <f t="shared" si="110"/>
        <v>PDFを開く</v>
      </c>
      <c r="Q1864" s="8" t="s">
        <v>2949</v>
      </c>
    </row>
    <row r="1865" spans="1:17" ht="62.1" customHeight="1">
      <c r="A1865" s="5" t="s">
        <v>2943</v>
      </c>
      <c r="B1865" s="5" t="s">
        <v>2430</v>
      </c>
      <c r="C1865" s="9" t="s">
        <v>2944</v>
      </c>
      <c r="D1865" s="5">
        <v>1</v>
      </c>
      <c r="E1865" s="9" t="s">
        <v>10156</v>
      </c>
      <c r="F1865" s="5">
        <v>4</v>
      </c>
      <c r="G1865" s="9" t="s">
        <v>10163</v>
      </c>
      <c r="H1865" s="9" t="s">
        <v>10163</v>
      </c>
      <c r="I1865" s="5">
        <v>427.8</v>
      </c>
      <c r="J1865" s="5">
        <v>374.76</v>
      </c>
      <c r="K1865" s="5">
        <v>798.48</v>
      </c>
      <c r="L1865" s="5">
        <v>545.64</v>
      </c>
      <c r="M1865" s="9"/>
      <c r="N1865" s="9" t="s">
        <v>10159</v>
      </c>
      <c r="O1865" s="9" t="s">
        <v>9939</v>
      </c>
      <c r="P1865" s="9" t="str">
        <f t="shared" si="110"/>
        <v>PDFを開く</v>
      </c>
      <c r="Q1865" s="9" t="s">
        <v>2949</v>
      </c>
    </row>
    <row r="1866" spans="1:17" ht="62.1" customHeight="1">
      <c r="A1866" s="2" t="s">
        <v>2943</v>
      </c>
      <c r="B1866" s="2" t="s">
        <v>2430</v>
      </c>
      <c r="C1866" s="8" t="s">
        <v>2944</v>
      </c>
      <c r="D1866" s="2">
        <v>1</v>
      </c>
      <c r="E1866" s="8" t="s">
        <v>10156</v>
      </c>
      <c r="F1866" s="2">
        <v>5</v>
      </c>
      <c r="G1866" s="8" t="s">
        <v>8581</v>
      </c>
      <c r="H1866" s="8" t="s">
        <v>8581</v>
      </c>
      <c r="I1866" s="2">
        <v>51.84</v>
      </c>
      <c r="J1866" s="2">
        <v>416.64</v>
      </c>
      <c r="K1866" s="2">
        <v>396.72</v>
      </c>
      <c r="L1866" s="2">
        <v>541.55999999999995</v>
      </c>
      <c r="M1866" s="8"/>
      <c r="N1866" s="8" t="s">
        <v>10159</v>
      </c>
      <c r="O1866" s="8" t="s">
        <v>9940</v>
      </c>
      <c r="P1866" s="8" t="str">
        <f t="shared" si="110"/>
        <v>PDFを開く</v>
      </c>
      <c r="Q1866" s="8" t="s">
        <v>2949</v>
      </c>
    </row>
    <row r="1867" spans="1:17" ht="62.1" customHeight="1">
      <c r="A1867" s="5" t="s">
        <v>2943</v>
      </c>
      <c r="B1867" s="5" t="s">
        <v>2430</v>
      </c>
      <c r="C1867" s="9" t="s">
        <v>2944</v>
      </c>
      <c r="D1867" s="5">
        <v>2</v>
      </c>
      <c r="E1867" s="9" t="s">
        <v>10165</v>
      </c>
      <c r="F1867" s="5">
        <v>1</v>
      </c>
      <c r="G1867" s="9" t="s">
        <v>10167</v>
      </c>
      <c r="H1867" s="9" t="s">
        <v>10859</v>
      </c>
      <c r="I1867" s="5">
        <v>136.91999999999999</v>
      </c>
      <c r="J1867" s="5">
        <v>436.68</v>
      </c>
      <c r="K1867" s="5">
        <v>566.76</v>
      </c>
      <c r="L1867" s="5">
        <v>467.16</v>
      </c>
      <c r="M1867" s="9"/>
      <c r="N1867" s="9" t="s">
        <v>10159</v>
      </c>
      <c r="O1867" s="9" t="s">
        <v>10859</v>
      </c>
      <c r="P1867" s="9" t="str">
        <f t="shared" si="110"/>
        <v>PDFを開く</v>
      </c>
      <c r="Q1867" s="9" t="s">
        <v>2949</v>
      </c>
    </row>
    <row r="1868" spans="1:17" ht="62.1" customHeight="1">
      <c r="A1868" s="2" t="s">
        <v>2950</v>
      </c>
      <c r="B1868" s="2" t="s">
        <v>2430</v>
      </c>
      <c r="C1868" s="8" t="s">
        <v>2951</v>
      </c>
      <c r="D1868" s="2">
        <v>1</v>
      </c>
      <c r="E1868" s="8" t="s">
        <v>10156</v>
      </c>
      <c r="F1868" s="2">
        <v>1</v>
      </c>
      <c r="G1868" s="8" t="s">
        <v>9578</v>
      </c>
      <c r="H1868" s="8" t="s">
        <v>9578</v>
      </c>
      <c r="I1868" s="2">
        <v>39.659999999999997</v>
      </c>
      <c r="J1868" s="2">
        <v>106.05</v>
      </c>
      <c r="K1868" s="2">
        <v>378.79</v>
      </c>
      <c r="L1868" s="2">
        <v>499.73</v>
      </c>
      <c r="M1868" s="8"/>
      <c r="N1868" s="8" t="s">
        <v>10159</v>
      </c>
      <c r="O1868" s="8" t="s">
        <v>9945</v>
      </c>
      <c r="P1868" s="8" t="str">
        <f>HYPERLINK("https://seichotoushi-hojo.jp/assets/pdf/koufu_3_4ji/outline_193.pdf","PDFを開く")</f>
        <v>PDFを開く</v>
      </c>
      <c r="Q1868" s="8" t="s">
        <v>2957</v>
      </c>
    </row>
    <row r="1869" spans="1:17" ht="62.1" customHeight="1">
      <c r="A1869" s="5" t="s">
        <v>2950</v>
      </c>
      <c r="B1869" s="5" t="s">
        <v>2430</v>
      </c>
      <c r="C1869" s="9" t="s">
        <v>2951</v>
      </c>
      <c r="D1869" s="5">
        <v>1</v>
      </c>
      <c r="E1869" s="9" t="s">
        <v>10156</v>
      </c>
      <c r="F1869" s="5">
        <v>2</v>
      </c>
      <c r="G1869" s="9" t="s">
        <v>10162</v>
      </c>
      <c r="H1869" s="9" t="s">
        <v>10162</v>
      </c>
      <c r="I1869" s="5">
        <v>396.3</v>
      </c>
      <c r="J1869" s="5">
        <v>106.05</v>
      </c>
      <c r="K1869" s="5">
        <v>739.78</v>
      </c>
      <c r="L1869" s="5">
        <v>293.82</v>
      </c>
      <c r="M1869" s="9"/>
      <c r="N1869" s="9" t="s">
        <v>10159</v>
      </c>
      <c r="O1869" s="9" t="s">
        <v>9946</v>
      </c>
      <c r="P1869" s="9" t="str">
        <f>HYPERLINK("https://seichotoushi-hojo.jp/assets/pdf/koufu_3_4ji/outline_193.pdf","PDFを開く")</f>
        <v>PDFを開く</v>
      </c>
      <c r="Q1869" s="9" t="s">
        <v>2957</v>
      </c>
    </row>
    <row r="1870" spans="1:17" ht="62.1" customHeight="1">
      <c r="A1870" s="2" t="s">
        <v>2950</v>
      </c>
      <c r="B1870" s="2" t="s">
        <v>2430</v>
      </c>
      <c r="C1870" s="8" t="s">
        <v>2951</v>
      </c>
      <c r="D1870" s="2">
        <v>1</v>
      </c>
      <c r="E1870" s="8" t="s">
        <v>10156</v>
      </c>
      <c r="F1870" s="2">
        <v>3</v>
      </c>
      <c r="G1870" s="8" t="s">
        <v>10163</v>
      </c>
      <c r="H1870" s="8" t="s">
        <v>10163</v>
      </c>
      <c r="I1870" s="2">
        <v>396.3</v>
      </c>
      <c r="J1870" s="2">
        <v>303.11</v>
      </c>
      <c r="K1870" s="2">
        <v>739.78</v>
      </c>
      <c r="L1870" s="2">
        <v>499.73</v>
      </c>
      <c r="M1870" s="8"/>
      <c r="N1870" s="8" t="s">
        <v>10159</v>
      </c>
      <c r="O1870" s="8" t="s">
        <v>9947</v>
      </c>
      <c r="P1870" s="8" t="str">
        <f>HYPERLINK("https://seichotoushi-hojo.jp/assets/pdf/koufu_3_4ji/outline_193.pdf","PDFを開く")</f>
        <v>PDFを開く</v>
      </c>
      <c r="Q1870" s="8" t="s">
        <v>2957</v>
      </c>
    </row>
    <row r="1871" spans="1:17" ht="62.1" customHeight="1">
      <c r="A1871" s="5" t="s">
        <v>2950</v>
      </c>
      <c r="B1871" s="5" t="s">
        <v>2430</v>
      </c>
      <c r="C1871" s="9" t="s">
        <v>2951</v>
      </c>
      <c r="D1871" s="5">
        <v>1</v>
      </c>
      <c r="E1871" s="9" t="s">
        <v>10156</v>
      </c>
      <c r="F1871" s="5">
        <v>4</v>
      </c>
      <c r="G1871" s="9" t="s">
        <v>8581</v>
      </c>
      <c r="H1871" s="9" t="s">
        <v>8581</v>
      </c>
      <c r="I1871" s="5">
        <v>48</v>
      </c>
      <c r="J1871" s="5">
        <v>370.98</v>
      </c>
      <c r="K1871" s="5">
        <v>367.5</v>
      </c>
      <c r="L1871" s="5">
        <v>486.75</v>
      </c>
      <c r="M1871" s="9"/>
      <c r="N1871" s="9" t="s">
        <v>10159</v>
      </c>
      <c r="O1871" s="9" t="s">
        <v>9948</v>
      </c>
      <c r="P1871" s="9" t="str">
        <f>HYPERLINK("https://seichotoushi-hojo.jp/assets/pdf/koufu_3_4ji/outline_193.pdf","PDFを開く")</f>
        <v>PDFを開く</v>
      </c>
      <c r="Q1871" s="9" t="s">
        <v>2957</v>
      </c>
    </row>
    <row r="1872" spans="1:17" ht="62.1" customHeight="1">
      <c r="A1872" s="2" t="s">
        <v>2958</v>
      </c>
      <c r="B1872" s="2" t="s">
        <v>2430</v>
      </c>
      <c r="C1872" s="8" t="s">
        <v>2959</v>
      </c>
      <c r="D1872" s="2">
        <v>1</v>
      </c>
      <c r="E1872" s="8" t="s">
        <v>10156</v>
      </c>
      <c r="F1872" s="2">
        <v>1</v>
      </c>
      <c r="G1872" s="8" t="s">
        <v>9578</v>
      </c>
      <c r="H1872" s="8" t="s">
        <v>9578</v>
      </c>
      <c r="I1872" s="2">
        <v>42.84</v>
      </c>
      <c r="J1872" s="2">
        <v>155.63999999999999</v>
      </c>
      <c r="K1872" s="2">
        <v>408.84</v>
      </c>
      <c r="L1872" s="2">
        <v>576.72</v>
      </c>
      <c r="M1872" s="8"/>
      <c r="N1872" s="8" t="s">
        <v>10159</v>
      </c>
      <c r="O1872" s="8" t="s">
        <v>9953</v>
      </c>
      <c r="P1872" s="8" t="str">
        <f>HYPERLINK("https://seichotoushi-hojo.jp/assets/pdf/koufu_3_4ji/outline_194.pdf","PDFを開く")</f>
        <v>PDFを開く</v>
      </c>
      <c r="Q1872" s="8" t="s">
        <v>2964</v>
      </c>
    </row>
    <row r="1873" spans="1:17" ht="62.1" customHeight="1">
      <c r="A1873" s="5" t="s">
        <v>2958</v>
      </c>
      <c r="B1873" s="5" t="s">
        <v>2430</v>
      </c>
      <c r="C1873" s="9" t="s">
        <v>2959</v>
      </c>
      <c r="D1873" s="5">
        <v>1</v>
      </c>
      <c r="E1873" s="9" t="s">
        <v>10156</v>
      </c>
      <c r="F1873" s="5">
        <v>2</v>
      </c>
      <c r="G1873" s="9" t="s">
        <v>10162</v>
      </c>
      <c r="H1873" s="9" t="s">
        <v>10162</v>
      </c>
      <c r="I1873" s="5">
        <v>427.8</v>
      </c>
      <c r="J1873" s="5">
        <v>155.63999999999999</v>
      </c>
      <c r="K1873" s="5">
        <v>798.48</v>
      </c>
      <c r="L1873" s="5">
        <v>367.68</v>
      </c>
      <c r="M1873" s="9"/>
      <c r="N1873" s="9" t="s">
        <v>10159</v>
      </c>
      <c r="O1873" s="9" t="s">
        <v>9954</v>
      </c>
      <c r="P1873" s="9" t="str">
        <f>HYPERLINK("https://seichotoushi-hojo.jp/assets/pdf/koufu_3_4ji/outline_194.pdf","PDFを開く")</f>
        <v>PDFを開く</v>
      </c>
      <c r="Q1873" s="9" t="s">
        <v>2964</v>
      </c>
    </row>
    <row r="1874" spans="1:17" ht="62.1" customHeight="1">
      <c r="A1874" s="2" t="s">
        <v>2958</v>
      </c>
      <c r="B1874" s="2" t="s">
        <v>2430</v>
      </c>
      <c r="C1874" s="8" t="s">
        <v>2959</v>
      </c>
      <c r="D1874" s="2">
        <v>1</v>
      </c>
      <c r="E1874" s="8" t="s">
        <v>10156</v>
      </c>
      <c r="F1874" s="2">
        <v>3</v>
      </c>
      <c r="G1874" s="8" t="s">
        <v>10163</v>
      </c>
      <c r="H1874" s="8" t="s">
        <v>10163</v>
      </c>
      <c r="I1874" s="2">
        <v>427.8</v>
      </c>
      <c r="J1874" s="2">
        <v>378.72</v>
      </c>
      <c r="K1874" s="2">
        <v>798.48</v>
      </c>
      <c r="L1874" s="2">
        <v>576.72</v>
      </c>
      <c r="M1874" s="8"/>
      <c r="N1874" s="8" t="s">
        <v>10159</v>
      </c>
      <c r="O1874" s="8" t="s">
        <v>9955</v>
      </c>
      <c r="P1874" s="8" t="str">
        <f>HYPERLINK("https://seichotoushi-hojo.jp/assets/pdf/koufu_3_4ji/outline_194.pdf","PDFを開く")</f>
        <v>PDFを開く</v>
      </c>
      <c r="Q1874" s="8" t="s">
        <v>2964</v>
      </c>
    </row>
    <row r="1875" spans="1:17" ht="62.1" customHeight="1">
      <c r="A1875" s="5" t="s">
        <v>2958</v>
      </c>
      <c r="B1875" s="5" t="s">
        <v>2430</v>
      </c>
      <c r="C1875" s="9" t="s">
        <v>2959</v>
      </c>
      <c r="D1875" s="5">
        <v>1</v>
      </c>
      <c r="E1875" s="9" t="s">
        <v>10156</v>
      </c>
      <c r="F1875" s="5">
        <v>4</v>
      </c>
      <c r="G1875" s="9" t="s">
        <v>8581</v>
      </c>
      <c r="H1875" s="9" t="s">
        <v>8581</v>
      </c>
      <c r="I1875" s="5">
        <v>51.84</v>
      </c>
      <c r="J1875" s="5">
        <v>437.76</v>
      </c>
      <c r="K1875" s="5">
        <v>396.72</v>
      </c>
      <c r="L1875" s="5">
        <v>562.79999999999995</v>
      </c>
      <c r="M1875" s="9"/>
      <c r="N1875" s="9" t="s">
        <v>10159</v>
      </c>
      <c r="O1875" s="9" t="s">
        <v>9956</v>
      </c>
      <c r="P1875" s="9" t="str">
        <f>HYPERLINK("https://seichotoushi-hojo.jp/assets/pdf/koufu_3_4ji/outline_194.pdf","PDFを開く")</f>
        <v>PDFを開く</v>
      </c>
      <c r="Q1875" s="9" t="s">
        <v>2964</v>
      </c>
    </row>
    <row r="1876" spans="1:17" ht="62.1" customHeight="1">
      <c r="A1876" s="2" t="s">
        <v>2958</v>
      </c>
      <c r="B1876" s="2" t="s">
        <v>2430</v>
      </c>
      <c r="C1876" s="8" t="s">
        <v>2959</v>
      </c>
      <c r="D1876" s="2">
        <v>2</v>
      </c>
      <c r="E1876" s="8" t="s">
        <v>10165</v>
      </c>
      <c r="F1876" s="2">
        <v>1</v>
      </c>
      <c r="G1876" s="8" t="s">
        <v>10167</v>
      </c>
      <c r="H1876" s="8" t="s">
        <v>10859</v>
      </c>
      <c r="I1876" s="2">
        <v>136.91999999999999</v>
      </c>
      <c r="J1876" s="2">
        <v>436.68</v>
      </c>
      <c r="K1876" s="2">
        <v>566.76</v>
      </c>
      <c r="L1876" s="2">
        <v>467.16</v>
      </c>
      <c r="M1876" s="8"/>
      <c r="N1876" s="8" t="s">
        <v>10159</v>
      </c>
      <c r="O1876" s="8" t="s">
        <v>10859</v>
      </c>
      <c r="P1876" s="8" t="str">
        <f>HYPERLINK("https://seichotoushi-hojo.jp/assets/pdf/koufu_3_4ji/outline_194.pdf","PDFを開く")</f>
        <v>PDFを開く</v>
      </c>
      <c r="Q1876" s="8" t="s">
        <v>2964</v>
      </c>
    </row>
    <row r="1877" spans="1:17" ht="62.1" customHeight="1">
      <c r="A1877" s="5" t="s">
        <v>2965</v>
      </c>
      <c r="B1877" s="5" t="s">
        <v>2430</v>
      </c>
      <c r="C1877" s="9" t="s">
        <v>2966</v>
      </c>
      <c r="D1877" s="5">
        <v>1</v>
      </c>
      <c r="E1877" s="9" t="s">
        <v>10156</v>
      </c>
      <c r="F1877" s="5">
        <v>1</v>
      </c>
      <c r="G1877" s="9" t="s">
        <v>9578</v>
      </c>
      <c r="H1877" s="9" t="s">
        <v>9578</v>
      </c>
      <c r="I1877" s="5">
        <v>39.659999999999997</v>
      </c>
      <c r="J1877" s="5">
        <v>167.87</v>
      </c>
      <c r="K1877" s="5">
        <v>378.79</v>
      </c>
      <c r="L1877" s="5">
        <v>499.73</v>
      </c>
      <c r="M1877" s="9"/>
      <c r="N1877" s="9" t="s">
        <v>10159</v>
      </c>
      <c r="O1877" s="9" t="s">
        <v>9961</v>
      </c>
      <c r="P1877" s="9" t="str">
        <f>HYPERLINK("https://seichotoushi-hojo.jp/assets/pdf/koufu_3_4ji/outline_195.pdf","PDFを開く")</f>
        <v>PDFを開く</v>
      </c>
      <c r="Q1877" s="9" t="s">
        <v>2971</v>
      </c>
    </row>
    <row r="1878" spans="1:17" ht="62.1" customHeight="1">
      <c r="A1878" s="2" t="s">
        <v>2965</v>
      </c>
      <c r="B1878" s="2" t="s">
        <v>2430</v>
      </c>
      <c r="C1878" s="8" t="s">
        <v>2966</v>
      </c>
      <c r="D1878" s="2">
        <v>1</v>
      </c>
      <c r="E1878" s="8" t="s">
        <v>10156</v>
      </c>
      <c r="F1878" s="2">
        <v>2</v>
      </c>
      <c r="G1878" s="8" t="s">
        <v>10162</v>
      </c>
      <c r="H1878" s="8" t="s">
        <v>10162</v>
      </c>
      <c r="I1878" s="2">
        <v>396.3</v>
      </c>
      <c r="J1878" s="2">
        <v>170.15</v>
      </c>
      <c r="K1878" s="2">
        <v>739.78</v>
      </c>
      <c r="L1878" s="2">
        <v>328.45</v>
      </c>
      <c r="M1878" s="8"/>
      <c r="N1878" s="8" t="s">
        <v>10159</v>
      </c>
      <c r="O1878" s="8" t="s">
        <v>9962</v>
      </c>
      <c r="P1878" s="8" t="str">
        <f>HYPERLINK("https://seichotoushi-hojo.jp/assets/pdf/koufu_3_4ji/outline_195.pdf","PDFを開く")</f>
        <v>PDFを開く</v>
      </c>
      <c r="Q1878" s="8" t="s">
        <v>2971</v>
      </c>
    </row>
    <row r="1879" spans="1:17" ht="62.1" customHeight="1">
      <c r="A1879" s="5" t="s">
        <v>2965</v>
      </c>
      <c r="B1879" s="5" t="s">
        <v>2430</v>
      </c>
      <c r="C1879" s="9" t="s">
        <v>2966</v>
      </c>
      <c r="D1879" s="5">
        <v>1</v>
      </c>
      <c r="E1879" s="9" t="s">
        <v>10156</v>
      </c>
      <c r="F1879" s="5">
        <v>3</v>
      </c>
      <c r="G1879" s="9" t="s">
        <v>10163</v>
      </c>
      <c r="H1879" s="9" t="s">
        <v>10163</v>
      </c>
      <c r="I1879" s="5">
        <v>396.3</v>
      </c>
      <c r="J1879" s="5">
        <v>341.43</v>
      </c>
      <c r="K1879" s="5">
        <v>739.78</v>
      </c>
      <c r="L1879" s="5">
        <v>499.73</v>
      </c>
      <c r="M1879" s="9"/>
      <c r="N1879" s="9" t="s">
        <v>10159</v>
      </c>
      <c r="O1879" s="9" t="s">
        <v>9963</v>
      </c>
      <c r="P1879" s="9" t="str">
        <f>HYPERLINK("https://seichotoushi-hojo.jp/assets/pdf/koufu_3_4ji/outline_195.pdf","PDFを開く")</f>
        <v>PDFを開く</v>
      </c>
      <c r="Q1879" s="9" t="s">
        <v>2971</v>
      </c>
    </row>
    <row r="1880" spans="1:17" ht="62.1" customHeight="1">
      <c r="A1880" s="2" t="s">
        <v>2965</v>
      </c>
      <c r="B1880" s="2" t="s">
        <v>2430</v>
      </c>
      <c r="C1880" s="8" t="s">
        <v>2966</v>
      </c>
      <c r="D1880" s="2">
        <v>1</v>
      </c>
      <c r="E1880" s="8" t="s">
        <v>10156</v>
      </c>
      <c r="F1880" s="2">
        <v>4</v>
      </c>
      <c r="G1880" s="8" t="s">
        <v>8581</v>
      </c>
      <c r="H1880" s="8" t="s">
        <v>8581</v>
      </c>
      <c r="I1880" s="2">
        <v>48</v>
      </c>
      <c r="J1880" s="2">
        <v>379.57</v>
      </c>
      <c r="K1880" s="2">
        <v>367.5</v>
      </c>
      <c r="L1880" s="2">
        <v>486.75</v>
      </c>
      <c r="M1880" s="8"/>
      <c r="N1880" s="8" t="s">
        <v>10159</v>
      </c>
      <c r="O1880" s="8" t="s">
        <v>9964</v>
      </c>
      <c r="P1880" s="8" t="str">
        <f>HYPERLINK("https://seichotoushi-hojo.jp/assets/pdf/koufu_3_4ji/outline_195.pdf","PDFを開く")</f>
        <v>PDFを開く</v>
      </c>
      <c r="Q1880" s="8" t="s">
        <v>2971</v>
      </c>
    </row>
    <row r="1881" spans="1:17" ht="62.1" customHeight="1">
      <c r="A1881" s="5" t="s">
        <v>2972</v>
      </c>
      <c r="B1881" s="5" t="s">
        <v>2430</v>
      </c>
      <c r="C1881" s="9" t="s">
        <v>2973</v>
      </c>
      <c r="D1881" s="5">
        <v>1</v>
      </c>
      <c r="E1881" s="9" t="s">
        <v>10156</v>
      </c>
      <c r="F1881" s="5">
        <v>1</v>
      </c>
      <c r="G1881" s="9" t="s">
        <v>9578</v>
      </c>
      <c r="H1881" s="9" t="s">
        <v>9578</v>
      </c>
      <c r="I1881" s="5">
        <v>13.04</v>
      </c>
      <c r="J1881" s="5">
        <v>95.93</v>
      </c>
      <c r="K1881" s="5">
        <v>373.56</v>
      </c>
      <c r="L1881" s="5">
        <v>528.20000000000005</v>
      </c>
      <c r="M1881" s="9"/>
      <c r="N1881" s="9" t="s">
        <v>10159</v>
      </c>
      <c r="O1881" s="9" t="s">
        <v>9969</v>
      </c>
      <c r="P1881" s="9" t="str">
        <f>HYPERLINK("https://seichotoushi-hojo.jp/assets/pdf/koufu_3_4ji/outline_196.pdf","PDFを開く")</f>
        <v>PDFを開く</v>
      </c>
      <c r="Q1881" s="9" t="s">
        <v>2979</v>
      </c>
    </row>
    <row r="1882" spans="1:17" ht="62.1" customHeight="1">
      <c r="A1882" s="2" t="s">
        <v>2972</v>
      </c>
      <c r="B1882" s="2" t="s">
        <v>2430</v>
      </c>
      <c r="C1882" s="8" t="s">
        <v>2973</v>
      </c>
      <c r="D1882" s="2">
        <v>1</v>
      </c>
      <c r="E1882" s="8" t="s">
        <v>10156</v>
      </c>
      <c r="F1882" s="2">
        <v>2</v>
      </c>
      <c r="G1882" s="8" t="s">
        <v>10162</v>
      </c>
      <c r="H1882" s="8" t="s">
        <v>10162</v>
      </c>
      <c r="I1882" s="2">
        <v>401.32</v>
      </c>
      <c r="J1882" s="2">
        <v>95.93</v>
      </c>
      <c r="K1882" s="2">
        <v>757.96</v>
      </c>
      <c r="L1882" s="2">
        <v>349.8</v>
      </c>
      <c r="M1882" s="8"/>
      <c r="N1882" s="8" t="s">
        <v>10159</v>
      </c>
      <c r="O1882" s="8" t="s">
        <v>9970</v>
      </c>
      <c r="P1882" s="8" t="str">
        <f>HYPERLINK("https://seichotoushi-hojo.jp/assets/pdf/koufu_3_4ji/outline_196.pdf","PDFを開く")</f>
        <v>PDFを開く</v>
      </c>
      <c r="Q1882" s="8" t="s">
        <v>2979</v>
      </c>
    </row>
    <row r="1883" spans="1:17" ht="62.1" customHeight="1">
      <c r="A1883" s="5" t="s">
        <v>2972</v>
      </c>
      <c r="B1883" s="5" t="s">
        <v>2430</v>
      </c>
      <c r="C1883" s="9" t="s">
        <v>2973</v>
      </c>
      <c r="D1883" s="5">
        <v>1</v>
      </c>
      <c r="E1883" s="9" t="s">
        <v>10156</v>
      </c>
      <c r="F1883" s="5">
        <v>3</v>
      </c>
      <c r="G1883" s="9" t="s">
        <v>10163</v>
      </c>
      <c r="H1883" s="9" t="s">
        <v>10163</v>
      </c>
      <c r="I1883" s="5">
        <v>401.32</v>
      </c>
      <c r="J1883" s="5">
        <v>349.8</v>
      </c>
      <c r="K1883" s="5">
        <v>757.96</v>
      </c>
      <c r="L1883" s="5">
        <v>528.20000000000005</v>
      </c>
      <c r="M1883" s="9"/>
      <c r="N1883" s="9" t="s">
        <v>10159</v>
      </c>
      <c r="O1883" s="9" t="s">
        <v>9971</v>
      </c>
      <c r="P1883" s="9" t="str">
        <f>HYPERLINK("https://seichotoushi-hojo.jp/assets/pdf/koufu_3_4ji/outline_196.pdf","PDFを開く")</f>
        <v>PDFを開く</v>
      </c>
      <c r="Q1883" s="9" t="s">
        <v>2979</v>
      </c>
    </row>
    <row r="1884" spans="1:17" ht="62.1" customHeight="1">
      <c r="A1884" s="2" t="s">
        <v>2972</v>
      </c>
      <c r="B1884" s="2" t="s">
        <v>2430</v>
      </c>
      <c r="C1884" s="8" t="s">
        <v>2973</v>
      </c>
      <c r="D1884" s="2">
        <v>1</v>
      </c>
      <c r="E1884" s="8" t="s">
        <v>10156</v>
      </c>
      <c r="F1884" s="2">
        <v>4</v>
      </c>
      <c r="G1884" s="8" t="s">
        <v>8581</v>
      </c>
      <c r="H1884" s="8" t="s">
        <v>8581</v>
      </c>
      <c r="I1884" s="2">
        <v>25.14</v>
      </c>
      <c r="J1884" s="2">
        <v>458.61</v>
      </c>
      <c r="K1884" s="2">
        <v>356.87</v>
      </c>
      <c r="L1884" s="2">
        <v>525.44000000000005</v>
      </c>
      <c r="M1884" s="8"/>
      <c r="N1884" s="8" t="s">
        <v>10159</v>
      </c>
      <c r="O1884" s="8" t="s">
        <v>2977</v>
      </c>
      <c r="P1884" s="8" t="str">
        <f>HYPERLINK("https://seichotoushi-hojo.jp/assets/pdf/koufu_3_4ji/outline_196.pdf","PDFを開く")</f>
        <v>PDFを開く</v>
      </c>
      <c r="Q1884" s="8" t="s">
        <v>2979</v>
      </c>
    </row>
    <row r="1885" spans="1:17" ht="62.1" customHeight="1">
      <c r="A1885" s="5" t="s">
        <v>2972</v>
      </c>
      <c r="B1885" s="5" t="s">
        <v>2430</v>
      </c>
      <c r="C1885" s="9" t="s">
        <v>2973</v>
      </c>
      <c r="D1885" s="5">
        <v>2</v>
      </c>
      <c r="E1885" s="9" t="s">
        <v>10165</v>
      </c>
      <c r="F1885" s="5">
        <v>1</v>
      </c>
      <c r="G1885" s="9" t="s">
        <v>10184</v>
      </c>
      <c r="H1885" s="9" t="s">
        <v>10184</v>
      </c>
      <c r="I1885" s="5">
        <v>125.16</v>
      </c>
      <c r="J1885" s="5">
        <v>190.28</v>
      </c>
      <c r="K1885" s="5">
        <v>401.7</v>
      </c>
      <c r="L1885" s="5">
        <v>385.68</v>
      </c>
      <c r="M1885" s="9"/>
      <c r="N1885" s="9" t="s">
        <v>10181</v>
      </c>
      <c r="O1885" s="9" t="s">
        <v>10909</v>
      </c>
      <c r="P1885" s="9" t="str">
        <f>HYPERLINK("https://seichotoushi-hojo.jp/assets/pdf/koufu_3_4ji/outline_196.pdf","PDFを開く")</f>
        <v>PDFを開く</v>
      </c>
      <c r="Q1885" s="9" t="s">
        <v>2979</v>
      </c>
    </row>
    <row r="1886" spans="1:17" ht="62.1" customHeight="1">
      <c r="A1886" s="2" t="s">
        <v>2980</v>
      </c>
      <c r="B1886" s="2" t="s">
        <v>2430</v>
      </c>
      <c r="C1886" s="8" t="s">
        <v>2981</v>
      </c>
      <c r="D1886" s="2">
        <v>1</v>
      </c>
      <c r="E1886" s="8" t="s">
        <v>10156</v>
      </c>
      <c r="F1886" s="2">
        <v>1</v>
      </c>
      <c r="G1886" s="8" t="s">
        <v>10162</v>
      </c>
      <c r="H1886" s="8" t="s">
        <v>10162</v>
      </c>
      <c r="I1886" s="2">
        <v>401.49</v>
      </c>
      <c r="J1886" s="2">
        <v>102.77</v>
      </c>
      <c r="K1886" s="2">
        <v>744.97</v>
      </c>
      <c r="L1886" s="2">
        <v>331.29</v>
      </c>
      <c r="M1886" s="8"/>
      <c r="N1886" s="8" t="s">
        <v>10159</v>
      </c>
      <c r="O1886" s="8" t="s">
        <v>9977</v>
      </c>
      <c r="P1886" s="8" t="str">
        <f>HYPERLINK("https://seichotoushi-hojo.jp/assets/pdf/koufu_3_4ji/outline_199.pdf","PDFを開く")</f>
        <v>PDFを開く</v>
      </c>
      <c r="Q1886" s="8" t="s">
        <v>2986</v>
      </c>
    </row>
    <row r="1887" spans="1:17" ht="62.1" customHeight="1">
      <c r="A1887" s="5" t="s">
        <v>2980</v>
      </c>
      <c r="B1887" s="5" t="s">
        <v>2430</v>
      </c>
      <c r="C1887" s="9" t="s">
        <v>2981</v>
      </c>
      <c r="D1887" s="5">
        <v>1</v>
      </c>
      <c r="E1887" s="9" t="s">
        <v>10156</v>
      </c>
      <c r="F1887" s="5">
        <v>2</v>
      </c>
      <c r="G1887" s="9" t="s">
        <v>9578</v>
      </c>
      <c r="H1887" s="9" t="s">
        <v>9578</v>
      </c>
      <c r="I1887" s="5">
        <v>44.85</v>
      </c>
      <c r="J1887" s="5">
        <v>105.73</v>
      </c>
      <c r="K1887" s="5">
        <v>383.98</v>
      </c>
      <c r="L1887" s="5">
        <v>522.59</v>
      </c>
      <c r="M1887" s="9"/>
      <c r="N1887" s="9" t="s">
        <v>10159</v>
      </c>
      <c r="O1887" s="9" t="s">
        <v>9976</v>
      </c>
      <c r="P1887" s="9" t="str">
        <f>HYPERLINK("https://seichotoushi-hojo.jp/assets/pdf/koufu_3_4ji/outline_199.pdf","PDFを開く")</f>
        <v>PDFを開く</v>
      </c>
      <c r="Q1887" s="9" t="s">
        <v>2986</v>
      </c>
    </row>
    <row r="1888" spans="1:17" ht="62.1" customHeight="1">
      <c r="A1888" s="2" t="s">
        <v>2980</v>
      </c>
      <c r="B1888" s="2" t="s">
        <v>2430</v>
      </c>
      <c r="C1888" s="8" t="s">
        <v>2981</v>
      </c>
      <c r="D1888" s="2">
        <v>1</v>
      </c>
      <c r="E1888" s="8" t="s">
        <v>10156</v>
      </c>
      <c r="F1888" s="2">
        <v>3</v>
      </c>
      <c r="G1888" s="8" t="s">
        <v>10163</v>
      </c>
      <c r="H1888" s="8" t="s">
        <v>10163</v>
      </c>
      <c r="I1888" s="2">
        <v>401.49</v>
      </c>
      <c r="J1888" s="2">
        <v>339.24</v>
      </c>
      <c r="K1888" s="2">
        <v>744.97</v>
      </c>
      <c r="L1888" s="2">
        <v>522.59</v>
      </c>
      <c r="M1888" s="8"/>
      <c r="N1888" s="8" t="s">
        <v>10159</v>
      </c>
      <c r="O1888" s="8" t="s">
        <v>9978</v>
      </c>
      <c r="P1888" s="8" t="str">
        <f>HYPERLINK("https://seichotoushi-hojo.jp/assets/pdf/koufu_3_4ji/outline_199.pdf","PDFを開く")</f>
        <v>PDFを開く</v>
      </c>
      <c r="Q1888" s="8" t="s">
        <v>2986</v>
      </c>
    </row>
    <row r="1889" spans="1:17" ht="62.1" customHeight="1">
      <c r="A1889" s="5" t="s">
        <v>2980</v>
      </c>
      <c r="B1889" s="5" t="s">
        <v>2430</v>
      </c>
      <c r="C1889" s="9" t="s">
        <v>2981</v>
      </c>
      <c r="D1889" s="5">
        <v>1</v>
      </c>
      <c r="E1889" s="9" t="s">
        <v>10156</v>
      </c>
      <c r="F1889" s="5">
        <v>4</v>
      </c>
      <c r="G1889" s="9" t="s">
        <v>8581</v>
      </c>
      <c r="H1889" s="9" t="s">
        <v>8581</v>
      </c>
      <c r="I1889" s="5">
        <v>54.66</v>
      </c>
      <c r="J1889" s="5">
        <v>406.73</v>
      </c>
      <c r="K1889" s="5">
        <v>374.16</v>
      </c>
      <c r="L1889" s="5">
        <v>507.31</v>
      </c>
      <c r="M1889" s="9"/>
      <c r="N1889" s="9" t="s">
        <v>10159</v>
      </c>
      <c r="O1889" s="9" t="s">
        <v>9979</v>
      </c>
      <c r="P1889" s="9" t="str">
        <f>HYPERLINK("https://seichotoushi-hojo.jp/assets/pdf/koufu_3_4ji/outline_199.pdf","PDFを開く")</f>
        <v>PDFを開く</v>
      </c>
      <c r="Q1889" s="9" t="s">
        <v>2986</v>
      </c>
    </row>
    <row r="1890" spans="1:17" ht="62.1" customHeight="1">
      <c r="A1890" s="2" t="s">
        <v>2987</v>
      </c>
      <c r="B1890" s="2" t="s">
        <v>2430</v>
      </c>
      <c r="C1890" s="8" t="s">
        <v>2988</v>
      </c>
      <c r="D1890" s="2">
        <v>1</v>
      </c>
      <c r="E1890" s="8" t="s">
        <v>10156</v>
      </c>
      <c r="F1890" s="2">
        <v>1</v>
      </c>
      <c r="G1890" s="8" t="s">
        <v>9578</v>
      </c>
      <c r="H1890" s="8" t="s">
        <v>9578</v>
      </c>
      <c r="I1890" s="2">
        <v>17.27</v>
      </c>
      <c r="J1890" s="2">
        <v>101.8</v>
      </c>
      <c r="K1890" s="2">
        <v>378.78</v>
      </c>
      <c r="L1890" s="2">
        <v>532.11</v>
      </c>
      <c r="M1890" s="8"/>
      <c r="N1890" s="8" t="s">
        <v>10159</v>
      </c>
      <c r="O1890" s="8" t="s">
        <v>9984</v>
      </c>
      <c r="P1890" s="8" t="str">
        <f>HYPERLINK("https://seichotoushi-hojo.jp/assets/pdf/koufu_3_4ji/outline_200.pdf","PDFを開く")</f>
        <v>PDFを開く</v>
      </c>
      <c r="Q1890" s="8" t="s">
        <v>2994</v>
      </c>
    </row>
    <row r="1891" spans="1:17" ht="62.1" customHeight="1">
      <c r="A1891" s="5" t="s">
        <v>2987</v>
      </c>
      <c r="B1891" s="5" t="s">
        <v>2430</v>
      </c>
      <c r="C1891" s="9" t="s">
        <v>2988</v>
      </c>
      <c r="D1891" s="5">
        <v>1</v>
      </c>
      <c r="E1891" s="9" t="s">
        <v>10156</v>
      </c>
      <c r="F1891" s="5">
        <v>2</v>
      </c>
      <c r="G1891" s="9" t="s">
        <v>10162</v>
      </c>
      <c r="H1891" s="9" t="s">
        <v>10162</v>
      </c>
      <c r="I1891" s="5">
        <v>396.3</v>
      </c>
      <c r="J1891" s="5">
        <v>106.97</v>
      </c>
      <c r="K1891" s="5">
        <v>765</v>
      </c>
      <c r="L1891" s="5">
        <v>308.66000000000003</v>
      </c>
      <c r="M1891" s="9"/>
      <c r="N1891" s="9" t="s">
        <v>10159</v>
      </c>
      <c r="O1891" s="9" t="s">
        <v>9985</v>
      </c>
      <c r="P1891" s="9" t="str">
        <f>HYPERLINK("https://seichotoushi-hojo.jp/assets/pdf/koufu_3_4ji/outline_200.pdf","PDFを開く")</f>
        <v>PDFを開く</v>
      </c>
      <c r="Q1891" s="9" t="s">
        <v>2994</v>
      </c>
    </row>
    <row r="1892" spans="1:17" ht="62.1" customHeight="1">
      <c r="A1892" s="2" t="s">
        <v>2987</v>
      </c>
      <c r="B1892" s="2" t="s">
        <v>2430</v>
      </c>
      <c r="C1892" s="8" t="s">
        <v>2988</v>
      </c>
      <c r="D1892" s="2">
        <v>1</v>
      </c>
      <c r="E1892" s="8" t="s">
        <v>10156</v>
      </c>
      <c r="F1892" s="2">
        <v>3</v>
      </c>
      <c r="G1892" s="8" t="s">
        <v>10163</v>
      </c>
      <c r="H1892" s="8" t="s">
        <v>10163</v>
      </c>
      <c r="I1892" s="2">
        <v>396.3</v>
      </c>
      <c r="J1892" s="2">
        <v>317.06</v>
      </c>
      <c r="K1892" s="2">
        <v>765</v>
      </c>
      <c r="L1892" s="2">
        <v>532.11</v>
      </c>
      <c r="M1892" s="8"/>
      <c r="N1892" s="8" t="s">
        <v>10159</v>
      </c>
      <c r="O1892" s="8" t="s">
        <v>9986</v>
      </c>
      <c r="P1892" s="8" t="str">
        <f>HYPERLINK("https://seichotoushi-hojo.jp/assets/pdf/koufu_3_4ji/outline_200.pdf","PDFを開く")</f>
        <v>PDFを開く</v>
      </c>
      <c r="Q1892" s="8" t="s">
        <v>2994</v>
      </c>
    </row>
    <row r="1893" spans="1:17" ht="62.1" customHeight="1">
      <c r="A1893" s="5" t="s">
        <v>2987</v>
      </c>
      <c r="B1893" s="5" t="s">
        <v>2430</v>
      </c>
      <c r="C1893" s="9" t="s">
        <v>2988</v>
      </c>
      <c r="D1893" s="5">
        <v>1</v>
      </c>
      <c r="E1893" s="9" t="s">
        <v>10156</v>
      </c>
      <c r="F1893" s="5">
        <v>4</v>
      </c>
      <c r="G1893" s="9" t="s">
        <v>8581</v>
      </c>
      <c r="H1893" s="9" t="s">
        <v>8581</v>
      </c>
      <c r="I1893" s="5">
        <v>26.09</v>
      </c>
      <c r="J1893" s="5">
        <v>422.74</v>
      </c>
      <c r="K1893" s="5">
        <v>355.04</v>
      </c>
      <c r="L1893" s="5">
        <v>520.9</v>
      </c>
      <c r="M1893" s="9"/>
      <c r="N1893" s="9" t="s">
        <v>10159</v>
      </c>
      <c r="O1893" s="9" t="s">
        <v>2992</v>
      </c>
      <c r="P1893" s="9" t="str">
        <f>HYPERLINK("https://seichotoushi-hojo.jp/assets/pdf/koufu_3_4ji/outline_200.pdf","PDFを開く")</f>
        <v>PDFを開く</v>
      </c>
      <c r="Q1893" s="9" t="s">
        <v>2994</v>
      </c>
    </row>
    <row r="1894" spans="1:17" ht="62.1" customHeight="1">
      <c r="A1894" s="2" t="s">
        <v>2995</v>
      </c>
      <c r="B1894" s="2" t="s">
        <v>2430</v>
      </c>
      <c r="C1894" s="8" t="s">
        <v>2996</v>
      </c>
      <c r="D1894" s="2">
        <v>1</v>
      </c>
      <c r="E1894" s="8" t="s">
        <v>10156</v>
      </c>
      <c r="F1894" s="2">
        <v>1</v>
      </c>
      <c r="G1894" s="8" t="s">
        <v>10163</v>
      </c>
      <c r="H1894" s="8" t="s">
        <v>10163</v>
      </c>
      <c r="I1894" s="2">
        <v>349.56</v>
      </c>
      <c r="J1894" s="2">
        <v>70.72</v>
      </c>
      <c r="K1894" s="2">
        <v>433.63</v>
      </c>
      <c r="L1894" s="2">
        <v>286</v>
      </c>
      <c r="M1894" s="8"/>
      <c r="N1894" s="8" t="s">
        <v>10181</v>
      </c>
      <c r="O1894" s="8" t="s">
        <v>10910</v>
      </c>
      <c r="P1894" s="8" t="str">
        <f t="shared" ref="P1894:P1902" si="111">HYPERLINK("https://seichotoushi-hojo.jp/assets/pdf/koufu_3_4ji/outline_201.pdf","PDFを開く")</f>
        <v>PDFを開く</v>
      </c>
      <c r="Q1894" s="8" t="s">
        <v>3001</v>
      </c>
    </row>
    <row r="1895" spans="1:17" ht="62.1" customHeight="1">
      <c r="A1895" s="5" t="s">
        <v>2995</v>
      </c>
      <c r="B1895" s="5" t="s">
        <v>2430</v>
      </c>
      <c r="C1895" s="9" t="s">
        <v>2996</v>
      </c>
      <c r="D1895" s="5">
        <v>1</v>
      </c>
      <c r="E1895" s="9" t="s">
        <v>10156</v>
      </c>
      <c r="F1895" s="5">
        <v>2</v>
      </c>
      <c r="G1895" s="9" t="s">
        <v>9578</v>
      </c>
      <c r="H1895" s="9" t="s">
        <v>9578</v>
      </c>
      <c r="I1895" s="5">
        <v>20.75</v>
      </c>
      <c r="J1895" s="5">
        <v>115.92</v>
      </c>
      <c r="K1895" s="5">
        <v>408.95</v>
      </c>
      <c r="L1895" s="5">
        <v>583.74</v>
      </c>
      <c r="M1895" s="9"/>
      <c r="N1895" s="9" t="s">
        <v>10159</v>
      </c>
      <c r="O1895" s="9" t="s">
        <v>9991</v>
      </c>
      <c r="P1895" s="9" t="str">
        <f t="shared" si="111"/>
        <v>PDFを開く</v>
      </c>
      <c r="Q1895" s="9" t="s">
        <v>3001</v>
      </c>
    </row>
    <row r="1896" spans="1:17" ht="62.1" customHeight="1">
      <c r="A1896" s="2" t="s">
        <v>2995</v>
      </c>
      <c r="B1896" s="2" t="s">
        <v>2430</v>
      </c>
      <c r="C1896" s="8" t="s">
        <v>2996</v>
      </c>
      <c r="D1896" s="2">
        <v>1</v>
      </c>
      <c r="E1896" s="8" t="s">
        <v>10156</v>
      </c>
      <c r="F1896" s="2">
        <v>3</v>
      </c>
      <c r="G1896" s="8" t="s">
        <v>10162</v>
      </c>
      <c r="H1896" s="8" t="s">
        <v>10162</v>
      </c>
      <c r="I1896" s="2">
        <v>427.85</v>
      </c>
      <c r="J1896" s="2">
        <v>118.14</v>
      </c>
      <c r="K1896" s="2">
        <v>830.87</v>
      </c>
      <c r="L1896" s="2">
        <v>337.14</v>
      </c>
      <c r="M1896" s="8"/>
      <c r="N1896" s="8" t="s">
        <v>10159</v>
      </c>
      <c r="O1896" s="8" t="s">
        <v>10911</v>
      </c>
      <c r="P1896" s="8" t="str">
        <f t="shared" si="111"/>
        <v>PDFを開く</v>
      </c>
      <c r="Q1896" s="8" t="s">
        <v>3001</v>
      </c>
    </row>
    <row r="1897" spans="1:17" ht="62.1" customHeight="1">
      <c r="A1897" s="5" t="s">
        <v>2995</v>
      </c>
      <c r="B1897" s="5" t="s">
        <v>2430</v>
      </c>
      <c r="C1897" s="9" t="s">
        <v>2996</v>
      </c>
      <c r="D1897" s="5">
        <v>1</v>
      </c>
      <c r="E1897" s="9" t="s">
        <v>10156</v>
      </c>
      <c r="F1897" s="5">
        <v>4</v>
      </c>
      <c r="G1897" s="9" t="s">
        <v>10163</v>
      </c>
      <c r="H1897" s="9" t="s">
        <v>10163</v>
      </c>
      <c r="I1897" s="5">
        <v>427.85</v>
      </c>
      <c r="J1897" s="5">
        <v>348.48</v>
      </c>
      <c r="K1897" s="5">
        <v>830.87</v>
      </c>
      <c r="L1897" s="5">
        <v>583.74</v>
      </c>
      <c r="M1897" s="9"/>
      <c r="N1897" s="9" t="s">
        <v>10159</v>
      </c>
      <c r="O1897" s="9" t="s">
        <v>10912</v>
      </c>
      <c r="P1897" s="9" t="str">
        <f t="shared" si="111"/>
        <v>PDFを開く</v>
      </c>
      <c r="Q1897" s="9" t="s">
        <v>3001</v>
      </c>
    </row>
    <row r="1898" spans="1:17" ht="62.1" customHeight="1">
      <c r="A1898" s="2" t="s">
        <v>2995</v>
      </c>
      <c r="B1898" s="2" t="s">
        <v>2430</v>
      </c>
      <c r="C1898" s="8" t="s">
        <v>2996</v>
      </c>
      <c r="D1898" s="2">
        <v>2</v>
      </c>
      <c r="E1898" s="8" t="s">
        <v>10156</v>
      </c>
      <c r="F1898" s="2">
        <v>1</v>
      </c>
      <c r="G1898" s="8" t="s">
        <v>10162</v>
      </c>
      <c r="H1898" s="8" t="s">
        <v>10162</v>
      </c>
      <c r="I1898" s="2">
        <v>251.64</v>
      </c>
      <c r="J1898" s="2">
        <v>70.72</v>
      </c>
      <c r="K1898" s="2">
        <v>433.63</v>
      </c>
      <c r="L1898" s="2">
        <v>286</v>
      </c>
      <c r="M1898" s="8"/>
      <c r="N1898" s="8" t="s">
        <v>10181</v>
      </c>
      <c r="O1898" s="8" t="s">
        <v>10913</v>
      </c>
      <c r="P1898" s="8" t="str">
        <f t="shared" si="111"/>
        <v>PDFを開く</v>
      </c>
      <c r="Q1898" s="8" t="s">
        <v>3001</v>
      </c>
    </row>
    <row r="1899" spans="1:17" ht="62.1" customHeight="1">
      <c r="A1899" s="5" t="s">
        <v>2995</v>
      </c>
      <c r="B1899" s="5" t="s">
        <v>2430</v>
      </c>
      <c r="C1899" s="9" t="s">
        <v>2996</v>
      </c>
      <c r="D1899" s="5">
        <v>2</v>
      </c>
      <c r="E1899" s="9" t="s">
        <v>10156</v>
      </c>
      <c r="F1899" s="5">
        <v>2</v>
      </c>
      <c r="G1899" s="9" t="s">
        <v>10163</v>
      </c>
      <c r="H1899" s="9" t="s">
        <v>10163</v>
      </c>
      <c r="I1899" s="5">
        <v>349.56</v>
      </c>
      <c r="J1899" s="5">
        <v>70.72</v>
      </c>
      <c r="K1899" s="5">
        <v>433.63</v>
      </c>
      <c r="L1899" s="5">
        <v>286</v>
      </c>
      <c r="M1899" s="9"/>
      <c r="N1899" s="9" t="s">
        <v>10181</v>
      </c>
      <c r="O1899" s="9" t="s">
        <v>10914</v>
      </c>
      <c r="P1899" s="9" t="str">
        <f t="shared" si="111"/>
        <v>PDFを開く</v>
      </c>
      <c r="Q1899" s="9" t="s">
        <v>3001</v>
      </c>
    </row>
    <row r="1900" spans="1:17" ht="62.1" customHeight="1">
      <c r="A1900" s="2" t="s">
        <v>2995</v>
      </c>
      <c r="B1900" s="2" t="s">
        <v>2430</v>
      </c>
      <c r="C1900" s="8" t="s">
        <v>2996</v>
      </c>
      <c r="D1900" s="2">
        <v>2</v>
      </c>
      <c r="E1900" s="8" t="s">
        <v>10156</v>
      </c>
      <c r="F1900" s="2">
        <v>3</v>
      </c>
      <c r="G1900" s="8" t="s">
        <v>10167</v>
      </c>
      <c r="H1900" s="8" t="s">
        <v>10915</v>
      </c>
      <c r="I1900" s="2">
        <v>6.83</v>
      </c>
      <c r="J1900" s="2">
        <v>114.96</v>
      </c>
      <c r="K1900" s="2">
        <v>377.45</v>
      </c>
      <c r="L1900" s="2">
        <v>541.91999999999996</v>
      </c>
      <c r="M1900" s="8"/>
      <c r="N1900" s="8" t="s">
        <v>10159</v>
      </c>
      <c r="O1900" s="8" t="s">
        <v>10916</v>
      </c>
      <c r="P1900" s="8" t="str">
        <f t="shared" si="111"/>
        <v>PDFを開く</v>
      </c>
      <c r="Q1900" s="8" t="s">
        <v>3001</v>
      </c>
    </row>
    <row r="1901" spans="1:17" ht="62.1" customHeight="1">
      <c r="A1901" s="5" t="s">
        <v>2995</v>
      </c>
      <c r="B1901" s="5" t="s">
        <v>2430</v>
      </c>
      <c r="C1901" s="9" t="s">
        <v>2996</v>
      </c>
      <c r="D1901" s="5">
        <v>2</v>
      </c>
      <c r="E1901" s="9" t="s">
        <v>10156</v>
      </c>
      <c r="F1901" s="5">
        <v>4</v>
      </c>
      <c r="G1901" s="9" t="s">
        <v>10167</v>
      </c>
      <c r="H1901" s="9" t="s">
        <v>10917</v>
      </c>
      <c r="I1901" s="5">
        <v>390.95</v>
      </c>
      <c r="J1901" s="5">
        <v>490.32</v>
      </c>
      <c r="K1901" s="5">
        <v>826.73</v>
      </c>
      <c r="L1901" s="5">
        <v>568.02</v>
      </c>
      <c r="M1901" s="9"/>
      <c r="N1901" s="9" t="s">
        <v>10159</v>
      </c>
      <c r="O1901" s="9" t="s">
        <v>10918</v>
      </c>
      <c r="P1901" s="9" t="str">
        <f t="shared" si="111"/>
        <v>PDFを開く</v>
      </c>
      <c r="Q1901" s="9" t="s">
        <v>3001</v>
      </c>
    </row>
    <row r="1902" spans="1:17" ht="62.1" customHeight="1">
      <c r="A1902" s="2" t="s">
        <v>2995</v>
      </c>
      <c r="B1902" s="2" t="s">
        <v>2430</v>
      </c>
      <c r="C1902" s="8" t="s">
        <v>2996</v>
      </c>
      <c r="D1902" s="2">
        <v>3</v>
      </c>
      <c r="E1902" s="8" t="s">
        <v>10165</v>
      </c>
      <c r="F1902" s="2">
        <v>1</v>
      </c>
      <c r="G1902" s="8" t="s">
        <v>10167</v>
      </c>
      <c r="H1902" s="8" t="s">
        <v>10775</v>
      </c>
      <c r="I1902" s="2">
        <v>137.03</v>
      </c>
      <c r="J1902" s="2">
        <v>436.5</v>
      </c>
      <c r="K1902" s="2">
        <v>798.35</v>
      </c>
      <c r="L1902" s="2">
        <v>466.92</v>
      </c>
      <c r="M1902" s="8"/>
      <c r="N1902" s="8" t="s">
        <v>10159</v>
      </c>
      <c r="O1902" s="8" t="s">
        <v>10776</v>
      </c>
      <c r="P1902" s="8" t="str">
        <f t="shared" si="111"/>
        <v>PDFを開く</v>
      </c>
      <c r="Q1902" s="8" t="s">
        <v>3001</v>
      </c>
    </row>
    <row r="1903" spans="1:17" ht="62.1" customHeight="1">
      <c r="A1903" s="5" t="s">
        <v>3002</v>
      </c>
      <c r="B1903" s="5" t="s">
        <v>2430</v>
      </c>
      <c r="C1903" s="9" t="s">
        <v>3003</v>
      </c>
      <c r="D1903" s="5">
        <v>1</v>
      </c>
      <c r="E1903" s="9" t="s">
        <v>10156</v>
      </c>
      <c r="F1903" s="5">
        <v>1</v>
      </c>
      <c r="G1903" s="9" t="s">
        <v>9578</v>
      </c>
      <c r="H1903" s="9" t="s">
        <v>9578</v>
      </c>
      <c r="I1903" s="5">
        <v>39.659999999999997</v>
      </c>
      <c r="J1903" s="5">
        <v>111.05</v>
      </c>
      <c r="K1903" s="5">
        <v>378.79</v>
      </c>
      <c r="L1903" s="5">
        <v>520.9</v>
      </c>
      <c r="M1903" s="9"/>
      <c r="N1903" s="9" t="s">
        <v>10159</v>
      </c>
      <c r="O1903" s="9" t="s">
        <v>9998</v>
      </c>
      <c r="P1903" s="9" t="str">
        <f>HYPERLINK("https://seichotoushi-hojo.jp/assets/pdf/koufu_3_4ji/outline_202.pdf","PDFを開く")</f>
        <v>PDFを開く</v>
      </c>
      <c r="Q1903" s="9" t="s">
        <v>3009</v>
      </c>
    </row>
    <row r="1904" spans="1:17" ht="62.1" customHeight="1">
      <c r="A1904" s="2" t="s">
        <v>3002</v>
      </c>
      <c r="B1904" s="2" t="s">
        <v>2430</v>
      </c>
      <c r="C1904" s="8" t="s">
        <v>3003</v>
      </c>
      <c r="D1904" s="2">
        <v>1</v>
      </c>
      <c r="E1904" s="8" t="s">
        <v>10156</v>
      </c>
      <c r="F1904" s="2">
        <v>2</v>
      </c>
      <c r="G1904" s="8" t="s">
        <v>10162</v>
      </c>
      <c r="H1904" s="8" t="s">
        <v>10162</v>
      </c>
      <c r="I1904" s="2">
        <v>396.3</v>
      </c>
      <c r="J1904" s="2">
        <v>111.05</v>
      </c>
      <c r="K1904" s="2">
        <v>739.78</v>
      </c>
      <c r="L1904" s="2">
        <v>293.42</v>
      </c>
      <c r="M1904" s="8"/>
      <c r="N1904" s="8" t="s">
        <v>10159</v>
      </c>
      <c r="O1904" s="8" t="s">
        <v>9999</v>
      </c>
      <c r="P1904" s="8" t="str">
        <f>HYPERLINK("https://seichotoushi-hojo.jp/assets/pdf/koufu_3_4ji/outline_202.pdf","PDFを開く")</f>
        <v>PDFを開く</v>
      </c>
      <c r="Q1904" s="8" t="s">
        <v>3009</v>
      </c>
    </row>
    <row r="1905" spans="1:17" ht="62.1" customHeight="1">
      <c r="A1905" s="5" t="s">
        <v>3002</v>
      </c>
      <c r="B1905" s="5" t="s">
        <v>2430</v>
      </c>
      <c r="C1905" s="9" t="s">
        <v>3003</v>
      </c>
      <c r="D1905" s="5">
        <v>1</v>
      </c>
      <c r="E1905" s="9" t="s">
        <v>10156</v>
      </c>
      <c r="F1905" s="5">
        <v>3</v>
      </c>
      <c r="G1905" s="9" t="s">
        <v>10163</v>
      </c>
      <c r="H1905" s="9" t="s">
        <v>10163</v>
      </c>
      <c r="I1905" s="5">
        <v>396.3</v>
      </c>
      <c r="J1905" s="5">
        <v>306.27999999999997</v>
      </c>
      <c r="K1905" s="5">
        <v>739.78</v>
      </c>
      <c r="L1905" s="5">
        <v>520.9</v>
      </c>
      <c r="M1905" s="9"/>
      <c r="N1905" s="9" t="s">
        <v>10159</v>
      </c>
      <c r="O1905" s="9" t="s">
        <v>10000</v>
      </c>
      <c r="P1905" s="9" t="str">
        <f>HYPERLINK("https://seichotoushi-hojo.jp/assets/pdf/koufu_3_4ji/outline_202.pdf","PDFを開く")</f>
        <v>PDFを開く</v>
      </c>
      <c r="Q1905" s="9" t="s">
        <v>3009</v>
      </c>
    </row>
    <row r="1906" spans="1:17" ht="62.1" customHeight="1">
      <c r="A1906" s="2" t="s">
        <v>3002</v>
      </c>
      <c r="B1906" s="2" t="s">
        <v>2430</v>
      </c>
      <c r="C1906" s="8" t="s">
        <v>3003</v>
      </c>
      <c r="D1906" s="2">
        <v>1</v>
      </c>
      <c r="E1906" s="8" t="s">
        <v>10156</v>
      </c>
      <c r="F1906" s="2">
        <v>4</v>
      </c>
      <c r="G1906" s="8" t="s">
        <v>8581</v>
      </c>
      <c r="H1906" s="8" t="s">
        <v>8581</v>
      </c>
      <c r="I1906" s="2">
        <v>48</v>
      </c>
      <c r="J1906" s="2">
        <v>443.05</v>
      </c>
      <c r="K1906" s="2">
        <v>367.5</v>
      </c>
      <c r="L1906" s="2">
        <v>504</v>
      </c>
      <c r="M1906" s="8"/>
      <c r="N1906" s="8" t="s">
        <v>10159</v>
      </c>
      <c r="O1906" s="8" t="s">
        <v>3007</v>
      </c>
      <c r="P1906" s="8" t="str">
        <f>HYPERLINK("https://seichotoushi-hojo.jp/assets/pdf/koufu_3_4ji/outline_202.pdf","PDFを開く")</f>
        <v>PDFを開く</v>
      </c>
      <c r="Q1906" s="8" t="s">
        <v>3009</v>
      </c>
    </row>
    <row r="1907" spans="1:17" ht="62.1" customHeight="1">
      <c r="A1907" s="5" t="s">
        <v>3010</v>
      </c>
      <c r="B1907" s="5" t="s">
        <v>2430</v>
      </c>
      <c r="C1907" s="9" t="s">
        <v>3011</v>
      </c>
      <c r="D1907" s="5">
        <v>1</v>
      </c>
      <c r="E1907" s="9" t="s">
        <v>10156</v>
      </c>
      <c r="F1907" s="5">
        <v>1</v>
      </c>
      <c r="G1907" s="9" t="s">
        <v>9578</v>
      </c>
      <c r="H1907" s="9" t="s">
        <v>9578</v>
      </c>
      <c r="I1907" s="5">
        <v>39.659999999999997</v>
      </c>
      <c r="J1907" s="5">
        <v>149.75</v>
      </c>
      <c r="K1907" s="5">
        <v>378.78</v>
      </c>
      <c r="L1907" s="5">
        <v>530.78</v>
      </c>
      <c r="M1907" s="9"/>
      <c r="N1907" s="9" t="s">
        <v>10159</v>
      </c>
      <c r="O1907" s="9" t="s">
        <v>10006</v>
      </c>
      <c r="P1907" s="9" t="str">
        <f>HYPERLINK("https://seichotoushi-hojo.jp/assets/pdf/koufu_3_4ji/outline_204.pdf","PDFを開く")</f>
        <v>PDFを開く</v>
      </c>
      <c r="Q1907" s="9" t="s">
        <v>3018</v>
      </c>
    </row>
    <row r="1908" spans="1:17" ht="62.1" customHeight="1">
      <c r="A1908" s="2" t="s">
        <v>3010</v>
      </c>
      <c r="B1908" s="2" t="s">
        <v>2430</v>
      </c>
      <c r="C1908" s="8" t="s">
        <v>3011</v>
      </c>
      <c r="D1908" s="2">
        <v>1</v>
      </c>
      <c r="E1908" s="8" t="s">
        <v>10156</v>
      </c>
      <c r="F1908" s="2">
        <v>2</v>
      </c>
      <c r="G1908" s="8" t="s">
        <v>10162</v>
      </c>
      <c r="H1908" s="8" t="s">
        <v>10162</v>
      </c>
      <c r="I1908" s="2">
        <v>396.3</v>
      </c>
      <c r="J1908" s="2">
        <v>149.75</v>
      </c>
      <c r="K1908" s="2">
        <v>739.61</v>
      </c>
      <c r="L1908" s="2">
        <v>336.41</v>
      </c>
      <c r="M1908" s="8"/>
      <c r="N1908" s="8" t="s">
        <v>10159</v>
      </c>
      <c r="O1908" s="8" t="s">
        <v>10007</v>
      </c>
      <c r="P1908" s="8" t="str">
        <f>HYPERLINK("https://seichotoushi-hojo.jp/assets/pdf/koufu_3_4ji/outline_204.pdf","PDFを開く")</f>
        <v>PDFを開く</v>
      </c>
      <c r="Q1908" s="8" t="s">
        <v>3018</v>
      </c>
    </row>
    <row r="1909" spans="1:17" ht="62.1" customHeight="1">
      <c r="A1909" s="5" t="s">
        <v>3010</v>
      </c>
      <c r="B1909" s="5" t="s">
        <v>2430</v>
      </c>
      <c r="C1909" s="9" t="s">
        <v>3011</v>
      </c>
      <c r="D1909" s="5">
        <v>1</v>
      </c>
      <c r="E1909" s="9" t="s">
        <v>10156</v>
      </c>
      <c r="F1909" s="5">
        <v>3</v>
      </c>
      <c r="G1909" s="9" t="s">
        <v>10163</v>
      </c>
      <c r="H1909" s="9" t="s">
        <v>10163</v>
      </c>
      <c r="I1909" s="5">
        <v>396.3</v>
      </c>
      <c r="J1909" s="5">
        <v>344.02</v>
      </c>
      <c r="K1909" s="5">
        <v>739.61</v>
      </c>
      <c r="L1909" s="5">
        <v>530.67999999999995</v>
      </c>
      <c r="M1909" s="9"/>
      <c r="N1909" s="9" t="s">
        <v>10159</v>
      </c>
      <c r="O1909" s="9" t="s">
        <v>10008</v>
      </c>
      <c r="P1909" s="9" t="str">
        <f>HYPERLINK("https://seichotoushi-hojo.jp/assets/pdf/koufu_3_4ji/outline_204.pdf","PDFを開く")</f>
        <v>PDFを開く</v>
      </c>
      <c r="Q1909" s="9" t="s">
        <v>3018</v>
      </c>
    </row>
    <row r="1910" spans="1:17" ht="62.1" customHeight="1">
      <c r="A1910" s="2" t="s">
        <v>3010</v>
      </c>
      <c r="B1910" s="2" t="s">
        <v>2430</v>
      </c>
      <c r="C1910" s="8" t="s">
        <v>3011</v>
      </c>
      <c r="D1910" s="2">
        <v>2</v>
      </c>
      <c r="E1910" s="8" t="s">
        <v>10165</v>
      </c>
      <c r="F1910" s="2">
        <v>1</v>
      </c>
      <c r="G1910" s="8" t="s">
        <v>10157</v>
      </c>
      <c r="H1910" s="8" t="s">
        <v>10157</v>
      </c>
      <c r="I1910" s="2">
        <v>74.3</v>
      </c>
      <c r="J1910" s="2">
        <v>91.58</v>
      </c>
      <c r="K1910" s="2">
        <v>623.16</v>
      </c>
      <c r="L1910" s="2">
        <v>155.41</v>
      </c>
      <c r="M1910" s="8"/>
      <c r="N1910" s="8" t="s">
        <v>10159</v>
      </c>
      <c r="O1910" s="8" t="s">
        <v>10005</v>
      </c>
      <c r="P1910" s="8" t="str">
        <f>HYPERLINK("https://seichotoushi-hojo.jp/assets/pdf/koufu_3_4ji/outline_204.pdf","PDFを開く")</f>
        <v>PDFを開く</v>
      </c>
      <c r="Q1910" s="8" t="s">
        <v>3018</v>
      </c>
    </row>
    <row r="1911" spans="1:17" ht="62.1" customHeight="1">
      <c r="A1911" s="5" t="s">
        <v>3010</v>
      </c>
      <c r="B1911" s="5" t="s">
        <v>2430</v>
      </c>
      <c r="C1911" s="9" t="s">
        <v>3011</v>
      </c>
      <c r="D1911" s="5">
        <v>2</v>
      </c>
      <c r="E1911" s="9" t="s">
        <v>10165</v>
      </c>
      <c r="F1911" s="5">
        <v>2</v>
      </c>
      <c r="G1911" s="9" t="s">
        <v>10167</v>
      </c>
      <c r="H1911" s="9" t="s">
        <v>10919</v>
      </c>
      <c r="I1911" s="5">
        <v>74.3</v>
      </c>
      <c r="J1911" s="5">
        <v>160.29</v>
      </c>
      <c r="K1911" s="5">
        <v>462.6</v>
      </c>
      <c r="L1911" s="5">
        <v>448.92</v>
      </c>
      <c r="M1911" s="9"/>
      <c r="N1911" s="9" t="s">
        <v>10159</v>
      </c>
      <c r="O1911" s="9" t="s">
        <v>10920</v>
      </c>
      <c r="P1911" s="9" t="str">
        <f>HYPERLINK("https://seichotoushi-hojo.jp/assets/pdf/koufu_3_4ji/outline_204.pdf","PDFを開く")</f>
        <v>PDFを開く</v>
      </c>
      <c r="Q1911" s="9" t="s">
        <v>3018</v>
      </c>
    </row>
    <row r="1912" spans="1:17" ht="62.1" customHeight="1">
      <c r="A1912" s="2" t="s">
        <v>3019</v>
      </c>
      <c r="B1912" s="2" t="s">
        <v>2430</v>
      </c>
      <c r="C1912" s="8" t="s">
        <v>3020</v>
      </c>
      <c r="D1912" s="2">
        <v>1</v>
      </c>
      <c r="E1912" s="8" t="s">
        <v>10156</v>
      </c>
      <c r="F1912" s="2">
        <v>1</v>
      </c>
      <c r="G1912" s="8" t="s">
        <v>10162</v>
      </c>
      <c r="H1912" s="8" t="s">
        <v>10162</v>
      </c>
      <c r="I1912" s="2">
        <v>383.63</v>
      </c>
      <c r="J1912" s="2">
        <v>112.12</v>
      </c>
      <c r="K1912" s="2">
        <v>754.88</v>
      </c>
      <c r="L1912" s="2">
        <v>321.37</v>
      </c>
      <c r="M1912" s="8"/>
      <c r="N1912" s="8" t="s">
        <v>10159</v>
      </c>
      <c r="O1912" s="8" t="s">
        <v>10014</v>
      </c>
      <c r="P1912" s="8" t="str">
        <f>HYPERLINK("https://seichotoushi-hojo.jp/assets/pdf/koufu_3_4ji/outline_206.pdf","PDFを開く")</f>
        <v>PDFを開く</v>
      </c>
      <c r="Q1912" s="8" t="s">
        <v>3025</v>
      </c>
    </row>
    <row r="1913" spans="1:17" ht="62.1" customHeight="1">
      <c r="A1913" s="5" t="s">
        <v>3019</v>
      </c>
      <c r="B1913" s="5" t="s">
        <v>2430</v>
      </c>
      <c r="C1913" s="9" t="s">
        <v>3020</v>
      </c>
      <c r="D1913" s="5">
        <v>1</v>
      </c>
      <c r="E1913" s="9" t="s">
        <v>10156</v>
      </c>
      <c r="F1913" s="5">
        <v>2</v>
      </c>
      <c r="G1913" s="9" t="s">
        <v>9578</v>
      </c>
      <c r="H1913" s="9" t="s">
        <v>9578</v>
      </c>
      <c r="I1913" s="5">
        <v>24.75</v>
      </c>
      <c r="J1913" s="5">
        <v>131.25</v>
      </c>
      <c r="K1913" s="5">
        <v>363.75</v>
      </c>
      <c r="L1913" s="5">
        <v>499.5</v>
      </c>
      <c r="M1913" s="9"/>
      <c r="N1913" s="9" t="s">
        <v>10159</v>
      </c>
      <c r="O1913" s="9" t="s">
        <v>10013</v>
      </c>
      <c r="P1913" s="9" t="str">
        <f>HYPERLINK("https://seichotoushi-hojo.jp/assets/pdf/koufu_3_4ji/outline_206.pdf","PDFを開く")</f>
        <v>PDFを開く</v>
      </c>
      <c r="Q1913" s="9" t="s">
        <v>3025</v>
      </c>
    </row>
    <row r="1914" spans="1:17" ht="62.1" customHeight="1">
      <c r="A1914" s="2" t="s">
        <v>3019</v>
      </c>
      <c r="B1914" s="2" t="s">
        <v>2430</v>
      </c>
      <c r="C1914" s="8" t="s">
        <v>3020</v>
      </c>
      <c r="D1914" s="2">
        <v>1</v>
      </c>
      <c r="E1914" s="8" t="s">
        <v>10156</v>
      </c>
      <c r="F1914" s="2">
        <v>3</v>
      </c>
      <c r="G1914" s="8" t="s">
        <v>10163</v>
      </c>
      <c r="H1914" s="8" t="s">
        <v>10163</v>
      </c>
      <c r="I1914" s="2">
        <v>382.88</v>
      </c>
      <c r="J1914" s="2">
        <v>324.38</v>
      </c>
      <c r="K1914" s="2">
        <v>753.38</v>
      </c>
      <c r="L1914" s="2">
        <v>534.38</v>
      </c>
      <c r="M1914" s="8"/>
      <c r="N1914" s="8" t="s">
        <v>10159</v>
      </c>
      <c r="O1914" s="8" t="s">
        <v>10015</v>
      </c>
      <c r="P1914" s="8" t="str">
        <f>HYPERLINK("https://seichotoushi-hojo.jp/assets/pdf/koufu_3_4ji/outline_206.pdf","PDFを開く")</f>
        <v>PDFを開く</v>
      </c>
      <c r="Q1914" s="8" t="s">
        <v>3025</v>
      </c>
    </row>
    <row r="1915" spans="1:17" ht="62.1" customHeight="1">
      <c r="A1915" s="5" t="s">
        <v>3019</v>
      </c>
      <c r="B1915" s="5" t="s">
        <v>2430</v>
      </c>
      <c r="C1915" s="9" t="s">
        <v>3020</v>
      </c>
      <c r="D1915" s="5">
        <v>1</v>
      </c>
      <c r="E1915" s="9" t="s">
        <v>10156</v>
      </c>
      <c r="F1915" s="5">
        <v>4</v>
      </c>
      <c r="G1915" s="9" t="s">
        <v>8581</v>
      </c>
      <c r="H1915" s="9" t="s">
        <v>8581</v>
      </c>
      <c r="I1915" s="5">
        <v>33</v>
      </c>
      <c r="J1915" s="5">
        <v>371.25</v>
      </c>
      <c r="K1915" s="5">
        <v>352.5</v>
      </c>
      <c r="L1915" s="5">
        <v>486.75</v>
      </c>
      <c r="M1915" s="9"/>
      <c r="N1915" s="9" t="s">
        <v>10159</v>
      </c>
      <c r="O1915" s="9" t="s">
        <v>10016</v>
      </c>
      <c r="P1915" s="9" t="str">
        <f>HYPERLINK("https://seichotoushi-hojo.jp/assets/pdf/koufu_3_4ji/outline_206.pdf","PDFを開く")</f>
        <v>PDFを開く</v>
      </c>
      <c r="Q1915" s="9" t="s">
        <v>3025</v>
      </c>
    </row>
    <row r="1916" spans="1:17" ht="62.1" customHeight="1">
      <c r="A1916" s="2" t="s">
        <v>3026</v>
      </c>
      <c r="B1916" s="2" t="s">
        <v>2430</v>
      </c>
      <c r="C1916" s="8" t="s">
        <v>3027</v>
      </c>
      <c r="D1916" s="2">
        <v>1</v>
      </c>
      <c r="E1916" s="8" t="s">
        <v>10156</v>
      </c>
      <c r="F1916" s="2">
        <v>1</v>
      </c>
      <c r="G1916" s="8" t="s">
        <v>9578</v>
      </c>
      <c r="H1916" s="8" t="s">
        <v>9578</v>
      </c>
      <c r="I1916" s="2">
        <v>39.659999999999997</v>
      </c>
      <c r="J1916" s="2">
        <v>106.02</v>
      </c>
      <c r="K1916" s="2">
        <v>372.9</v>
      </c>
      <c r="L1916" s="2">
        <v>499.74</v>
      </c>
      <c r="M1916" s="8"/>
      <c r="N1916" s="8" t="s">
        <v>10159</v>
      </c>
      <c r="O1916" s="8" t="s">
        <v>10021</v>
      </c>
      <c r="P1916" s="8" t="str">
        <f>HYPERLINK("https://seichotoushi-hojo.jp/assets/pdf/koufu_3_4ji/outline_207.pdf","PDFを開く")</f>
        <v>PDFを開く</v>
      </c>
      <c r="Q1916" s="8" t="s">
        <v>3033</v>
      </c>
    </row>
    <row r="1917" spans="1:17" ht="62.1" customHeight="1">
      <c r="A1917" s="5" t="s">
        <v>3026</v>
      </c>
      <c r="B1917" s="5" t="s">
        <v>2430</v>
      </c>
      <c r="C1917" s="9" t="s">
        <v>3027</v>
      </c>
      <c r="D1917" s="5">
        <v>1</v>
      </c>
      <c r="E1917" s="9" t="s">
        <v>10156</v>
      </c>
      <c r="F1917" s="5">
        <v>2</v>
      </c>
      <c r="G1917" s="9" t="s">
        <v>10162</v>
      </c>
      <c r="H1917" s="9" t="s">
        <v>10162</v>
      </c>
      <c r="I1917" s="5">
        <v>391.05</v>
      </c>
      <c r="J1917" s="5">
        <v>106.05</v>
      </c>
      <c r="K1917" s="5">
        <v>739.83</v>
      </c>
      <c r="L1917" s="5">
        <v>304.70999999999998</v>
      </c>
      <c r="M1917" s="9"/>
      <c r="N1917" s="9" t="s">
        <v>10159</v>
      </c>
      <c r="O1917" s="9" t="s">
        <v>10022</v>
      </c>
      <c r="P1917" s="9" t="str">
        <f>HYPERLINK("https://seichotoushi-hojo.jp/assets/pdf/koufu_3_4ji/outline_207.pdf","PDFを開く")</f>
        <v>PDFを開く</v>
      </c>
      <c r="Q1917" s="9" t="s">
        <v>3033</v>
      </c>
    </row>
    <row r="1918" spans="1:17" ht="62.1" customHeight="1">
      <c r="A1918" s="2" t="s">
        <v>3026</v>
      </c>
      <c r="B1918" s="2" t="s">
        <v>2430</v>
      </c>
      <c r="C1918" s="8" t="s">
        <v>3027</v>
      </c>
      <c r="D1918" s="2">
        <v>1</v>
      </c>
      <c r="E1918" s="8" t="s">
        <v>10156</v>
      </c>
      <c r="F1918" s="2">
        <v>3</v>
      </c>
      <c r="G1918" s="8" t="s">
        <v>10163</v>
      </c>
      <c r="H1918" s="8" t="s">
        <v>10163</v>
      </c>
      <c r="I1918" s="2">
        <v>391.05</v>
      </c>
      <c r="J1918" s="2">
        <v>311.97000000000003</v>
      </c>
      <c r="K1918" s="2">
        <v>739.83</v>
      </c>
      <c r="L1918" s="2">
        <v>499.77</v>
      </c>
      <c r="M1918" s="8"/>
      <c r="N1918" s="8" t="s">
        <v>10159</v>
      </c>
      <c r="O1918" s="8" t="s">
        <v>10023</v>
      </c>
      <c r="P1918" s="8" t="str">
        <f>HYPERLINK("https://seichotoushi-hojo.jp/assets/pdf/koufu_3_4ji/outline_207.pdf","PDFを開く")</f>
        <v>PDFを開く</v>
      </c>
      <c r="Q1918" s="8" t="s">
        <v>3033</v>
      </c>
    </row>
    <row r="1919" spans="1:17" ht="62.1" customHeight="1">
      <c r="A1919" s="5" t="s">
        <v>3026</v>
      </c>
      <c r="B1919" s="5" t="s">
        <v>2430</v>
      </c>
      <c r="C1919" s="9" t="s">
        <v>3027</v>
      </c>
      <c r="D1919" s="5">
        <v>1</v>
      </c>
      <c r="E1919" s="9" t="s">
        <v>10156</v>
      </c>
      <c r="F1919" s="5">
        <v>4</v>
      </c>
      <c r="G1919" s="9" t="s">
        <v>8581</v>
      </c>
      <c r="H1919" s="9" t="s">
        <v>8581</v>
      </c>
      <c r="I1919" s="5">
        <v>48</v>
      </c>
      <c r="J1919" s="5">
        <v>380.22</v>
      </c>
      <c r="K1919" s="5">
        <v>363.78</v>
      </c>
      <c r="L1919" s="5">
        <v>486.72</v>
      </c>
      <c r="M1919" s="9"/>
      <c r="N1919" s="9" t="s">
        <v>10159</v>
      </c>
      <c r="O1919" s="9" t="s">
        <v>10024</v>
      </c>
      <c r="P1919" s="9" t="str">
        <f>HYPERLINK("https://seichotoushi-hojo.jp/assets/pdf/koufu_3_4ji/outline_207.pdf","PDFを開く")</f>
        <v>PDFを開く</v>
      </c>
      <c r="Q1919" s="9" t="s">
        <v>3033</v>
      </c>
    </row>
    <row r="1920" spans="1:17" ht="62.1" customHeight="1">
      <c r="A1920" s="2" t="s">
        <v>3034</v>
      </c>
      <c r="B1920" s="2" t="s">
        <v>2430</v>
      </c>
      <c r="C1920" s="8" t="s">
        <v>3035</v>
      </c>
      <c r="D1920" s="2">
        <v>1</v>
      </c>
      <c r="E1920" s="8" t="s">
        <v>10156</v>
      </c>
      <c r="F1920" s="2">
        <v>1</v>
      </c>
      <c r="G1920" s="8" t="s">
        <v>9578</v>
      </c>
      <c r="H1920" s="8" t="s">
        <v>9578</v>
      </c>
      <c r="I1920" s="2">
        <v>35.299999999999997</v>
      </c>
      <c r="J1920" s="2">
        <v>108.73</v>
      </c>
      <c r="K1920" s="2">
        <v>374.43</v>
      </c>
      <c r="L1920" s="2">
        <v>509.14</v>
      </c>
      <c r="M1920" s="8"/>
      <c r="N1920" s="8" t="s">
        <v>10159</v>
      </c>
      <c r="O1920" s="8" t="s">
        <v>10029</v>
      </c>
      <c r="P1920" s="8" t="str">
        <f>HYPERLINK("https://seichotoushi-hojo.jp/assets/pdf/koufu_3_4ji/outline_208.pdf","PDFを開く")</f>
        <v>PDFを開く</v>
      </c>
      <c r="Q1920" s="8" t="s">
        <v>3040</v>
      </c>
    </row>
    <row r="1921" spans="1:17" ht="62.1" customHeight="1">
      <c r="A1921" s="5" t="s">
        <v>3034</v>
      </c>
      <c r="B1921" s="5" t="s">
        <v>2430</v>
      </c>
      <c r="C1921" s="9" t="s">
        <v>3035</v>
      </c>
      <c r="D1921" s="5">
        <v>1</v>
      </c>
      <c r="E1921" s="9" t="s">
        <v>10156</v>
      </c>
      <c r="F1921" s="5">
        <v>2</v>
      </c>
      <c r="G1921" s="9" t="s">
        <v>10162</v>
      </c>
      <c r="H1921" s="9" t="s">
        <v>10162</v>
      </c>
      <c r="I1921" s="5">
        <v>396.98</v>
      </c>
      <c r="J1921" s="5">
        <v>108.73</v>
      </c>
      <c r="K1921" s="5">
        <v>739.78</v>
      </c>
      <c r="L1921" s="5">
        <v>305.02999999999997</v>
      </c>
      <c r="M1921" s="9"/>
      <c r="N1921" s="9" t="s">
        <v>10159</v>
      </c>
      <c r="O1921" s="9" t="s">
        <v>10030</v>
      </c>
      <c r="P1921" s="9" t="str">
        <f>HYPERLINK("https://seichotoushi-hojo.jp/assets/pdf/koufu_3_4ji/outline_208.pdf","PDFを開く")</f>
        <v>PDFを開く</v>
      </c>
      <c r="Q1921" s="9" t="s">
        <v>3040</v>
      </c>
    </row>
    <row r="1922" spans="1:17" ht="62.1" customHeight="1">
      <c r="A1922" s="2" t="s">
        <v>3034</v>
      </c>
      <c r="B1922" s="2" t="s">
        <v>2430</v>
      </c>
      <c r="C1922" s="8" t="s">
        <v>3035</v>
      </c>
      <c r="D1922" s="2">
        <v>1</v>
      </c>
      <c r="E1922" s="8" t="s">
        <v>10156</v>
      </c>
      <c r="F1922" s="2">
        <v>3</v>
      </c>
      <c r="G1922" s="8" t="s">
        <v>10163</v>
      </c>
      <c r="H1922" s="8" t="s">
        <v>10163</v>
      </c>
      <c r="I1922" s="2">
        <v>396.98</v>
      </c>
      <c r="J1922" s="2">
        <v>310.88</v>
      </c>
      <c r="K1922" s="2">
        <v>740.46</v>
      </c>
      <c r="L1922" s="2">
        <v>512.92999999999995</v>
      </c>
      <c r="M1922" s="8"/>
      <c r="N1922" s="8" t="s">
        <v>10159</v>
      </c>
      <c r="O1922" s="8" t="s">
        <v>10031</v>
      </c>
      <c r="P1922" s="8" t="str">
        <f>HYPERLINK("https://seichotoushi-hojo.jp/assets/pdf/koufu_3_4ji/outline_208.pdf","PDFを開く")</f>
        <v>PDFを開く</v>
      </c>
      <c r="Q1922" s="8" t="s">
        <v>3040</v>
      </c>
    </row>
    <row r="1923" spans="1:17" ht="62.1" customHeight="1">
      <c r="A1923" s="5" t="s">
        <v>3034</v>
      </c>
      <c r="B1923" s="5" t="s">
        <v>2430</v>
      </c>
      <c r="C1923" s="9" t="s">
        <v>3035</v>
      </c>
      <c r="D1923" s="5">
        <v>1</v>
      </c>
      <c r="E1923" s="9" t="s">
        <v>10156</v>
      </c>
      <c r="F1923" s="5">
        <v>4</v>
      </c>
      <c r="G1923" s="9" t="s">
        <v>8581</v>
      </c>
      <c r="H1923" s="9" t="s">
        <v>8581</v>
      </c>
      <c r="I1923" s="5">
        <v>44.99</v>
      </c>
      <c r="J1923" s="5">
        <v>446.44</v>
      </c>
      <c r="K1923" s="5">
        <v>364.49</v>
      </c>
      <c r="L1923" s="5">
        <v>503.56</v>
      </c>
      <c r="M1923" s="9"/>
      <c r="N1923" s="9" t="s">
        <v>10159</v>
      </c>
      <c r="O1923" s="9" t="s">
        <v>3038</v>
      </c>
      <c r="P1923" s="9" t="str">
        <f>HYPERLINK("https://seichotoushi-hojo.jp/assets/pdf/koufu_3_4ji/outline_208.pdf","PDFを開く")</f>
        <v>PDFを開く</v>
      </c>
      <c r="Q1923" s="9" t="s">
        <v>3040</v>
      </c>
    </row>
    <row r="1924" spans="1:17" ht="62.1" customHeight="1">
      <c r="A1924" s="2" t="s">
        <v>3034</v>
      </c>
      <c r="B1924" s="2" t="s">
        <v>2430</v>
      </c>
      <c r="C1924" s="8" t="s">
        <v>3035</v>
      </c>
      <c r="D1924" s="2">
        <v>2</v>
      </c>
      <c r="E1924" s="8" t="s">
        <v>10165</v>
      </c>
      <c r="F1924" s="2">
        <v>1</v>
      </c>
      <c r="G1924" s="8" t="s">
        <v>10167</v>
      </c>
      <c r="H1924" s="8" t="s">
        <v>10921</v>
      </c>
      <c r="I1924" s="2">
        <v>126.83</v>
      </c>
      <c r="J1924" s="2">
        <v>214.84</v>
      </c>
      <c r="K1924" s="2">
        <v>438.93</v>
      </c>
      <c r="L1924" s="2">
        <v>249.61</v>
      </c>
      <c r="M1924" s="8"/>
      <c r="N1924" s="8" t="s">
        <v>10159</v>
      </c>
      <c r="O1924" s="8" t="s">
        <v>10921</v>
      </c>
      <c r="P1924" s="8" t="str">
        <f>HYPERLINK("https://seichotoushi-hojo.jp/assets/pdf/koufu_3_4ji/outline_208.pdf","PDFを開く")</f>
        <v>PDFを開く</v>
      </c>
      <c r="Q1924" s="8" t="s">
        <v>3040</v>
      </c>
    </row>
    <row r="1925" spans="1:17" ht="62.1" customHeight="1">
      <c r="A1925" s="5" t="s">
        <v>3041</v>
      </c>
      <c r="B1925" s="5" t="s">
        <v>2430</v>
      </c>
      <c r="C1925" s="9" t="s">
        <v>3042</v>
      </c>
      <c r="D1925" s="5">
        <v>1</v>
      </c>
      <c r="E1925" s="9" t="s">
        <v>10156</v>
      </c>
      <c r="F1925" s="5">
        <v>1</v>
      </c>
      <c r="G1925" s="9" t="s">
        <v>9578</v>
      </c>
      <c r="H1925" s="9" t="s">
        <v>9578</v>
      </c>
      <c r="I1925" s="5">
        <v>39.659999999999997</v>
      </c>
      <c r="J1925" s="5">
        <v>106.05</v>
      </c>
      <c r="K1925" s="5">
        <v>378.79</v>
      </c>
      <c r="L1925" s="5">
        <v>499.73</v>
      </c>
      <c r="M1925" s="9"/>
      <c r="N1925" s="9" t="s">
        <v>10159</v>
      </c>
      <c r="O1925" s="9" t="s">
        <v>10036</v>
      </c>
      <c r="P1925" s="9" t="str">
        <f>HYPERLINK("https://seichotoushi-hojo.jp/assets/pdf/koufu_3_4ji/outline_210.pdf","PDFを開く")</f>
        <v>PDFを開く</v>
      </c>
      <c r="Q1925" s="9" t="s">
        <v>3048</v>
      </c>
    </row>
    <row r="1926" spans="1:17" ht="62.1" customHeight="1">
      <c r="A1926" s="2" t="s">
        <v>3041</v>
      </c>
      <c r="B1926" s="2" t="s">
        <v>2430</v>
      </c>
      <c r="C1926" s="8" t="s">
        <v>3042</v>
      </c>
      <c r="D1926" s="2">
        <v>1</v>
      </c>
      <c r="E1926" s="8" t="s">
        <v>10156</v>
      </c>
      <c r="F1926" s="2">
        <v>2</v>
      </c>
      <c r="G1926" s="8" t="s">
        <v>10162</v>
      </c>
      <c r="H1926" s="8" t="s">
        <v>10162</v>
      </c>
      <c r="I1926" s="2">
        <v>396.3</v>
      </c>
      <c r="J1926" s="2">
        <v>106.05</v>
      </c>
      <c r="K1926" s="2">
        <v>739.78</v>
      </c>
      <c r="L1926" s="2">
        <v>293.82</v>
      </c>
      <c r="M1926" s="8"/>
      <c r="N1926" s="8" t="s">
        <v>10159</v>
      </c>
      <c r="O1926" s="8" t="s">
        <v>10037</v>
      </c>
      <c r="P1926" s="8" t="str">
        <f>HYPERLINK("https://seichotoushi-hojo.jp/assets/pdf/koufu_3_4ji/outline_210.pdf","PDFを開く")</f>
        <v>PDFを開く</v>
      </c>
      <c r="Q1926" s="8" t="s">
        <v>3048</v>
      </c>
    </row>
    <row r="1927" spans="1:17" ht="62.1" customHeight="1">
      <c r="A1927" s="5" t="s">
        <v>3041</v>
      </c>
      <c r="B1927" s="5" t="s">
        <v>2430</v>
      </c>
      <c r="C1927" s="9" t="s">
        <v>3042</v>
      </c>
      <c r="D1927" s="5">
        <v>1</v>
      </c>
      <c r="E1927" s="9" t="s">
        <v>10156</v>
      </c>
      <c r="F1927" s="5">
        <v>3</v>
      </c>
      <c r="G1927" s="9" t="s">
        <v>10163</v>
      </c>
      <c r="H1927" s="9" t="s">
        <v>10163</v>
      </c>
      <c r="I1927" s="5">
        <v>396.3</v>
      </c>
      <c r="J1927" s="5">
        <v>301.31</v>
      </c>
      <c r="K1927" s="5">
        <v>739.78</v>
      </c>
      <c r="L1927" s="5">
        <v>499.73</v>
      </c>
      <c r="M1927" s="9"/>
      <c r="N1927" s="9" t="s">
        <v>10159</v>
      </c>
      <c r="O1927" s="9" t="s">
        <v>10038</v>
      </c>
      <c r="P1927" s="9" t="str">
        <f>HYPERLINK("https://seichotoushi-hojo.jp/assets/pdf/koufu_3_4ji/outline_210.pdf","PDFを開く")</f>
        <v>PDFを開く</v>
      </c>
      <c r="Q1927" s="9" t="s">
        <v>3048</v>
      </c>
    </row>
    <row r="1928" spans="1:17" ht="62.1" customHeight="1">
      <c r="A1928" s="2" t="s">
        <v>3041</v>
      </c>
      <c r="B1928" s="2" t="s">
        <v>2430</v>
      </c>
      <c r="C1928" s="8" t="s">
        <v>3042</v>
      </c>
      <c r="D1928" s="2">
        <v>1</v>
      </c>
      <c r="E1928" s="8" t="s">
        <v>10156</v>
      </c>
      <c r="F1928" s="2">
        <v>4</v>
      </c>
      <c r="G1928" s="8" t="s">
        <v>8581</v>
      </c>
      <c r="H1928" s="8" t="s">
        <v>8581</v>
      </c>
      <c r="I1928" s="2">
        <v>48</v>
      </c>
      <c r="J1928" s="2">
        <v>370.98</v>
      </c>
      <c r="K1928" s="2">
        <v>367.5</v>
      </c>
      <c r="L1928" s="2">
        <v>486.75</v>
      </c>
      <c r="M1928" s="8"/>
      <c r="N1928" s="8" t="s">
        <v>10159</v>
      </c>
      <c r="O1928" s="8" t="s">
        <v>10039</v>
      </c>
      <c r="P1928" s="8" t="str">
        <f>HYPERLINK("https://seichotoushi-hojo.jp/assets/pdf/koufu_3_4ji/outline_210.pdf","PDFを開く")</f>
        <v>PDFを開く</v>
      </c>
      <c r="Q1928" s="8" t="s">
        <v>3048</v>
      </c>
    </row>
    <row r="1929" spans="1:17" ht="62.1" customHeight="1">
      <c r="A1929" s="5" t="s">
        <v>3049</v>
      </c>
      <c r="B1929" s="5" t="s">
        <v>2430</v>
      </c>
      <c r="C1929" s="9" t="s">
        <v>3050</v>
      </c>
      <c r="D1929" s="5">
        <v>1</v>
      </c>
      <c r="E1929" s="9" t="s">
        <v>10156</v>
      </c>
      <c r="F1929" s="5">
        <v>1</v>
      </c>
      <c r="G1929" s="9" t="s">
        <v>9578</v>
      </c>
      <c r="H1929" s="9" t="s">
        <v>9578</v>
      </c>
      <c r="I1929" s="5">
        <v>39.659999999999997</v>
      </c>
      <c r="J1929" s="5">
        <v>104.1</v>
      </c>
      <c r="K1929" s="5">
        <v>378.78</v>
      </c>
      <c r="L1929" s="5">
        <v>527.4</v>
      </c>
      <c r="M1929" s="9"/>
      <c r="N1929" s="9" t="s">
        <v>10159</v>
      </c>
      <c r="O1929" s="9" t="s">
        <v>10044</v>
      </c>
      <c r="P1929" s="9" t="str">
        <f>HYPERLINK("https://seichotoushi-hojo.jp/assets/pdf/koufu_3_4ji/outline_211.pdf","PDFを開く")</f>
        <v>PDFを開く</v>
      </c>
      <c r="Q1929" s="9" t="s">
        <v>3056</v>
      </c>
    </row>
    <row r="1930" spans="1:17" ht="62.1" customHeight="1">
      <c r="A1930" s="2" t="s">
        <v>3049</v>
      </c>
      <c r="B1930" s="2" t="s">
        <v>2430</v>
      </c>
      <c r="C1930" s="8" t="s">
        <v>3050</v>
      </c>
      <c r="D1930" s="2">
        <v>1</v>
      </c>
      <c r="E1930" s="8" t="s">
        <v>10156</v>
      </c>
      <c r="F1930" s="2">
        <v>2</v>
      </c>
      <c r="G1930" s="8" t="s">
        <v>10162</v>
      </c>
      <c r="H1930" s="8" t="s">
        <v>10162</v>
      </c>
      <c r="I1930" s="2">
        <v>396.3</v>
      </c>
      <c r="J1930" s="2">
        <v>104.1</v>
      </c>
      <c r="K1930" s="2">
        <v>739.78</v>
      </c>
      <c r="L1930" s="2">
        <v>345.6</v>
      </c>
      <c r="M1930" s="8"/>
      <c r="N1930" s="8" t="s">
        <v>10159</v>
      </c>
      <c r="O1930" s="8" t="s">
        <v>10045</v>
      </c>
      <c r="P1930" s="8" t="str">
        <f>HYPERLINK("https://seichotoushi-hojo.jp/assets/pdf/koufu_3_4ji/outline_211.pdf","PDFを開く")</f>
        <v>PDFを開く</v>
      </c>
      <c r="Q1930" s="8" t="s">
        <v>3056</v>
      </c>
    </row>
    <row r="1931" spans="1:17" ht="62.1" customHeight="1">
      <c r="A1931" s="5" t="s">
        <v>3049</v>
      </c>
      <c r="B1931" s="5" t="s">
        <v>2430</v>
      </c>
      <c r="C1931" s="9" t="s">
        <v>3050</v>
      </c>
      <c r="D1931" s="5">
        <v>1</v>
      </c>
      <c r="E1931" s="9" t="s">
        <v>10156</v>
      </c>
      <c r="F1931" s="5">
        <v>3</v>
      </c>
      <c r="G1931" s="9" t="s">
        <v>10163</v>
      </c>
      <c r="H1931" s="9" t="s">
        <v>10163</v>
      </c>
      <c r="I1931" s="5">
        <v>396.3</v>
      </c>
      <c r="J1931" s="5">
        <v>359.57</v>
      </c>
      <c r="K1931" s="5">
        <v>739.78</v>
      </c>
      <c r="L1931" s="5">
        <v>527.4</v>
      </c>
      <c r="M1931" s="9"/>
      <c r="N1931" s="9" t="s">
        <v>10159</v>
      </c>
      <c r="O1931" s="9" t="s">
        <v>10046</v>
      </c>
      <c r="P1931" s="9" t="str">
        <f>HYPERLINK("https://seichotoushi-hojo.jp/assets/pdf/koufu_3_4ji/outline_211.pdf","PDFを開く")</f>
        <v>PDFを開く</v>
      </c>
      <c r="Q1931" s="9" t="s">
        <v>3056</v>
      </c>
    </row>
    <row r="1932" spans="1:17" ht="62.1" customHeight="1">
      <c r="A1932" s="2" t="s">
        <v>3049</v>
      </c>
      <c r="B1932" s="2" t="s">
        <v>2430</v>
      </c>
      <c r="C1932" s="8" t="s">
        <v>3050</v>
      </c>
      <c r="D1932" s="2">
        <v>1</v>
      </c>
      <c r="E1932" s="8" t="s">
        <v>10156</v>
      </c>
      <c r="F1932" s="2">
        <v>4</v>
      </c>
      <c r="G1932" s="8" t="s">
        <v>8581</v>
      </c>
      <c r="H1932" s="8" t="s">
        <v>8581</v>
      </c>
      <c r="I1932" s="2">
        <v>49.47</v>
      </c>
      <c r="J1932" s="2">
        <v>447.82</v>
      </c>
      <c r="K1932" s="2">
        <v>368.97</v>
      </c>
      <c r="L1932" s="2">
        <v>516.79999999999995</v>
      </c>
      <c r="M1932" s="8"/>
      <c r="N1932" s="8" t="s">
        <v>10159</v>
      </c>
      <c r="O1932" s="8" t="s">
        <v>3054</v>
      </c>
      <c r="P1932" s="8" t="str">
        <f>HYPERLINK("https://seichotoushi-hojo.jp/assets/pdf/koufu_3_4ji/outline_211.pdf","PDFを開く")</f>
        <v>PDFを開く</v>
      </c>
      <c r="Q1932" s="8" t="s">
        <v>3056</v>
      </c>
    </row>
    <row r="1933" spans="1:17" ht="62.1" customHeight="1">
      <c r="A1933" s="5" t="s">
        <v>3057</v>
      </c>
      <c r="B1933" s="5" t="s">
        <v>2430</v>
      </c>
      <c r="C1933" s="9" t="s">
        <v>3058</v>
      </c>
      <c r="D1933" s="5">
        <v>1</v>
      </c>
      <c r="E1933" s="9" t="s">
        <v>10156</v>
      </c>
      <c r="F1933" s="5">
        <v>1</v>
      </c>
      <c r="G1933" s="9" t="s">
        <v>10162</v>
      </c>
      <c r="H1933" s="9" t="s">
        <v>10162</v>
      </c>
      <c r="I1933" s="5">
        <v>400.85</v>
      </c>
      <c r="J1933" s="5">
        <v>99.04</v>
      </c>
      <c r="K1933" s="5">
        <v>756.16</v>
      </c>
      <c r="L1933" s="5">
        <v>310.39999999999998</v>
      </c>
      <c r="M1933" s="9"/>
      <c r="N1933" s="9" t="s">
        <v>10159</v>
      </c>
      <c r="O1933" s="9" t="s">
        <v>10052</v>
      </c>
      <c r="P1933" s="9" t="str">
        <f>HYPERLINK("https://seichotoushi-hojo.jp/assets/pdf/koufu_3_4ji/outline_213.pdf","PDFを開く")</f>
        <v>PDFを開く</v>
      </c>
      <c r="Q1933" s="9" t="s">
        <v>3064</v>
      </c>
    </row>
    <row r="1934" spans="1:17" ht="62.1" customHeight="1">
      <c r="A1934" s="2" t="s">
        <v>3057</v>
      </c>
      <c r="B1934" s="2" t="s">
        <v>2430</v>
      </c>
      <c r="C1934" s="8" t="s">
        <v>3058</v>
      </c>
      <c r="D1934" s="2">
        <v>1</v>
      </c>
      <c r="E1934" s="8" t="s">
        <v>10156</v>
      </c>
      <c r="F1934" s="2">
        <v>2</v>
      </c>
      <c r="G1934" s="8" t="s">
        <v>9578</v>
      </c>
      <c r="H1934" s="8" t="s">
        <v>9578</v>
      </c>
      <c r="I1934" s="2">
        <v>15.62</v>
      </c>
      <c r="J1934" s="2">
        <v>101.65</v>
      </c>
      <c r="K1934" s="2">
        <v>378.78</v>
      </c>
      <c r="L1934" s="2">
        <v>528.79999999999995</v>
      </c>
      <c r="M1934" s="8"/>
      <c r="N1934" s="8" t="s">
        <v>10159</v>
      </c>
      <c r="O1934" s="8" t="s">
        <v>10051</v>
      </c>
      <c r="P1934" s="8" t="str">
        <f>HYPERLINK("https://seichotoushi-hojo.jp/assets/pdf/koufu_3_4ji/outline_213.pdf","PDFを開く")</f>
        <v>PDFを開く</v>
      </c>
      <c r="Q1934" s="8" t="s">
        <v>3064</v>
      </c>
    </row>
    <row r="1935" spans="1:17" ht="62.1" customHeight="1">
      <c r="A1935" s="5" t="s">
        <v>3057</v>
      </c>
      <c r="B1935" s="5" t="s">
        <v>2430</v>
      </c>
      <c r="C1935" s="9" t="s">
        <v>3058</v>
      </c>
      <c r="D1935" s="5">
        <v>1</v>
      </c>
      <c r="E1935" s="9" t="s">
        <v>10156</v>
      </c>
      <c r="F1935" s="5">
        <v>3</v>
      </c>
      <c r="G1935" s="9" t="s">
        <v>10163</v>
      </c>
      <c r="H1935" s="9" t="s">
        <v>10163</v>
      </c>
      <c r="I1935" s="5">
        <v>400.85</v>
      </c>
      <c r="J1935" s="5">
        <v>319.60000000000002</v>
      </c>
      <c r="K1935" s="5">
        <v>756.9</v>
      </c>
      <c r="L1935" s="5">
        <v>506.93</v>
      </c>
      <c r="M1935" s="9"/>
      <c r="N1935" s="9" t="s">
        <v>10159</v>
      </c>
      <c r="O1935" s="9" t="s">
        <v>10053</v>
      </c>
      <c r="P1935" s="9" t="str">
        <f>HYPERLINK("https://seichotoushi-hojo.jp/assets/pdf/koufu_3_4ji/outline_213.pdf","PDFを開く")</f>
        <v>PDFを開く</v>
      </c>
      <c r="Q1935" s="9" t="s">
        <v>3064</v>
      </c>
    </row>
    <row r="1936" spans="1:17" ht="62.1" customHeight="1">
      <c r="A1936" s="2" t="s">
        <v>3057</v>
      </c>
      <c r="B1936" s="2" t="s">
        <v>2430</v>
      </c>
      <c r="C1936" s="8" t="s">
        <v>3058</v>
      </c>
      <c r="D1936" s="2">
        <v>1</v>
      </c>
      <c r="E1936" s="8" t="s">
        <v>10156</v>
      </c>
      <c r="F1936" s="2">
        <v>4</v>
      </c>
      <c r="G1936" s="8" t="s">
        <v>8581</v>
      </c>
      <c r="H1936" s="8" t="s">
        <v>8581</v>
      </c>
      <c r="I1936" s="2">
        <v>23.84</v>
      </c>
      <c r="J1936" s="2">
        <v>465.42</v>
      </c>
      <c r="K1936" s="2">
        <v>367.34</v>
      </c>
      <c r="L1936" s="2">
        <v>520.45000000000005</v>
      </c>
      <c r="M1936" s="8"/>
      <c r="N1936" s="8" t="s">
        <v>10159</v>
      </c>
      <c r="O1936" s="8" t="s">
        <v>3062</v>
      </c>
      <c r="P1936" s="8" t="str">
        <f>HYPERLINK("https://seichotoushi-hojo.jp/assets/pdf/koufu_3_4ji/outline_213.pdf","PDFを開く")</f>
        <v>PDFを開く</v>
      </c>
      <c r="Q1936" s="8" t="s">
        <v>3064</v>
      </c>
    </row>
    <row r="1937" spans="1:17" ht="62.1" customHeight="1">
      <c r="A1937" s="5" t="s">
        <v>3057</v>
      </c>
      <c r="B1937" s="5" t="s">
        <v>2430</v>
      </c>
      <c r="C1937" s="9" t="s">
        <v>3058</v>
      </c>
      <c r="D1937" s="5">
        <v>2</v>
      </c>
      <c r="E1937" s="9" t="s">
        <v>10165</v>
      </c>
      <c r="F1937" s="5">
        <v>1</v>
      </c>
      <c r="G1937" s="9" t="s">
        <v>10167</v>
      </c>
      <c r="H1937" s="9" t="s">
        <v>10922</v>
      </c>
      <c r="I1937" s="5">
        <v>481.93</v>
      </c>
      <c r="J1937" s="5">
        <v>312.92</v>
      </c>
      <c r="K1937" s="5">
        <v>764.57</v>
      </c>
      <c r="L1937" s="5">
        <v>386.84</v>
      </c>
      <c r="M1937" s="9"/>
      <c r="N1937" s="9" t="s">
        <v>10159</v>
      </c>
      <c r="O1937" s="9" t="s">
        <v>10923</v>
      </c>
      <c r="P1937" s="9" t="str">
        <f>HYPERLINK("https://seichotoushi-hojo.jp/assets/pdf/koufu_3_4ji/outline_213.pdf","PDFを開く")</f>
        <v>PDFを開く</v>
      </c>
      <c r="Q1937" s="9" t="s">
        <v>3064</v>
      </c>
    </row>
    <row r="1938" spans="1:17" ht="62.1" customHeight="1">
      <c r="A1938" s="2" t="s">
        <v>3065</v>
      </c>
      <c r="B1938" s="2" t="s">
        <v>2430</v>
      </c>
      <c r="C1938" s="8" t="s">
        <v>3066</v>
      </c>
      <c r="D1938" s="2">
        <v>1</v>
      </c>
      <c r="E1938" s="8" t="s">
        <v>10156</v>
      </c>
      <c r="F1938" s="2">
        <v>1</v>
      </c>
      <c r="G1938" s="8" t="s">
        <v>9578</v>
      </c>
      <c r="H1938" s="8" t="s">
        <v>9578</v>
      </c>
      <c r="I1938" s="2">
        <v>39.659999999999997</v>
      </c>
      <c r="J1938" s="2">
        <v>124.22</v>
      </c>
      <c r="K1938" s="2">
        <v>378.78</v>
      </c>
      <c r="L1938" s="2">
        <v>499.73</v>
      </c>
      <c r="M1938" s="8"/>
      <c r="N1938" s="8" t="s">
        <v>10159</v>
      </c>
      <c r="O1938" s="8" t="s">
        <v>10058</v>
      </c>
      <c r="P1938" s="8" t="str">
        <f>HYPERLINK("https://seichotoushi-hojo.jp/assets/pdf/koufu_3_4ji/outline_217.pdf","PDFを開く")</f>
        <v>PDFを開く</v>
      </c>
      <c r="Q1938" s="8" t="s">
        <v>3071</v>
      </c>
    </row>
    <row r="1939" spans="1:17" ht="62.1" customHeight="1">
      <c r="A1939" s="5" t="s">
        <v>3065</v>
      </c>
      <c r="B1939" s="5" t="s">
        <v>2430</v>
      </c>
      <c r="C1939" s="9" t="s">
        <v>3066</v>
      </c>
      <c r="D1939" s="5">
        <v>1</v>
      </c>
      <c r="E1939" s="9" t="s">
        <v>10156</v>
      </c>
      <c r="F1939" s="5">
        <v>2</v>
      </c>
      <c r="G1939" s="9" t="s">
        <v>10162</v>
      </c>
      <c r="H1939" s="9" t="s">
        <v>10162</v>
      </c>
      <c r="I1939" s="5">
        <v>396.3</v>
      </c>
      <c r="J1939" s="5">
        <v>124.22</v>
      </c>
      <c r="K1939" s="5">
        <v>739.78</v>
      </c>
      <c r="L1939" s="5">
        <v>326.77</v>
      </c>
      <c r="M1939" s="9"/>
      <c r="N1939" s="9" t="s">
        <v>10159</v>
      </c>
      <c r="O1939" s="9" t="s">
        <v>10059</v>
      </c>
      <c r="P1939" s="9" t="str">
        <f>HYPERLINK("https://seichotoushi-hojo.jp/assets/pdf/koufu_3_4ji/outline_217.pdf","PDFを開く")</f>
        <v>PDFを開く</v>
      </c>
      <c r="Q1939" s="9" t="s">
        <v>3071</v>
      </c>
    </row>
    <row r="1940" spans="1:17" ht="62.1" customHeight="1">
      <c r="A1940" s="2" t="s">
        <v>3065</v>
      </c>
      <c r="B1940" s="2" t="s">
        <v>2430</v>
      </c>
      <c r="C1940" s="8" t="s">
        <v>3066</v>
      </c>
      <c r="D1940" s="2">
        <v>1</v>
      </c>
      <c r="E1940" s="8" t="s">
        <v>10156</v>
      </c>
      <c r="F1940" s="2">
        <v>3</v>
      </c>
      <c r="G1940" s="8" t="s">
        <v>10163</v>
      </c>
      <c r="H1940" s="8" t="s">
        <v>10163</v>
      </c>
      <c r="I1940" s="2">
        <v>396.3</v>
      </c>
      <c r="J1940" s="2">
        <v>341.42</v>
      </c>
      <c r="K1940" s="2">
        <v>739.78</v>
      </c>
      <c r="L1940" s="2">
        <v>499.73</v>
      </c>
      <c r="M1940" s="8"/>
      <c r="N1940" s="8" t="s">
        <v>10159</v>
      </c>
      <c r="O1940" s="8" t="s">
        <v>10060</v>
      </c>
      <c r="P1940" s="8" t="str">
        <f>HYPERLINK("https://seichotoushi-hojo.jp/assets/pdf/koufu_3_4ji/outline_217.pdf","PDFを開く")</f>
        <v>PDFを開く</v>
      </c>
      <c r="Q1940" s="8" t="s">
        <v>3071</v>
      </c>
    </row>
    <row r="1941" spans="1:17" ht="62.1" customHeight="1">
      <c r="A1941" s="5" t="s">
        <v>3065</v>
      </c>
      <c r="B1941" s="5" t="s">
        <v>2430</v>
      </c>
      <c r="C1941" s="9" t="s">
        <v>3066</v>
      </c>
      <c r="D1941" s="5">
        <v>1</v>
      </c>
      <c r="E1941" s="9" t="s">
        <v>10156</v>
      </c>
      <c r="F1941" s="5">
        <v>4</v>
      </c>
      <c r="G1941" s="9" t="s">
        <v>8581</v>
      </c>
      <c r="H1941" s="9" t="s">
        <v>8581</v>
      </c>
      <c r="I1941" s="5">
        <v>49.47</v>
      </c>
      <c r="J1941" s="5">
        <v>409.31</v>
      </c>
      <c r="K1941" s="5">
        <v>368.97</v>
      </c>
      <c r="L1941" s="5">
        <v>477.56</v>
      </c>
      <c r="M1941" s="9"/>
      <c r="N1941" s="9" t="s">
        <v>10159</v>
      </c>
      <c r="O1941" s="9" t="s">
        <v>3069</v>
      </c>
      <c r="P1941" s="9" t="str">
        <f>HYPERLINK("https://seichotoushi-hojo.jp/assets/pdf/koufu_3_4ji/outline_217.pdf","PDFを開く")</f>
        <v>PDFを開く</v>
      </c>
      <c r="Q1941" s="9" t="s">
        <v>3071</v>
      </c>
    </row>
    <row r="1942" spans="1:17" ht="62.1" customHeight="1">
      <c r="A1942" s="2" t="s">
        <v>3072</v>
      </c>
      <c r="B1942" s="2" t="s">
        <v>2430</v>
      </c>
      <c r="C1942" s="8" t="s">
        <v>3073</v>
      </c>
      <c r="D1942" s="2">
        <v>1</v>
      </c>
      <c r="E1942" s="8" t="s">
        <v>10156</v>
      </c>
      <c r="F1942" s="2">
        <v>1</v>
      </c>
      <c r="G1942" s="8" t="s">
        <v>9578</v>
      </c>
      <c r="H1942" s="8" t="s">
        <v>9578</v>
      </c>
      <c r="I1942" s="2">
        <v>0</v>
      </c>
      <c r="J1942" s="2">
        <v>6.24</v>
      </c>
      <c r="K1942" s="2">
        <v>841.92</v>
      </c>
      <c r="L1942" s="2">
        <v>297.60000000000002</v>
      </c>
      <c r="M1942" s="8" t="s">
        <v>10158</v>
      </c>
      <c r="N1942" s="8" t="s">
        <v>10159</v>
      </c>
      <c r="O1942" s="8" t="s">
        <v>10924</v>
      </c>
      <c r="P1942" s="8" t="str">
        <f t="shared" ref="P1942:P1954" si="112">HYPERLINK("https://seichotoushi-hojo.jp/assets/pdf/koufu_3_4ji/outline_218.pdf","PDFを開く")</f>
        <v>PDFを開く</v>
      </c>
      <c r="Q1942" s="8" t="s">
        <v>3078</v>
      </c>
    </row>
    <row r="1943" spans="1:17" ht="62.1" customHeight="1">
      <c r="A1943" s="5" t="s">
        <v>3072</v>
      </c>
      <c r="B1943" s="5" t="s">
        <v>2430</v>
      </c>
      <c r="C1943" s="9" t="s">
        <v>3073</v>
      </c>
      <c r="D1943" s="5">
        <v>1</v>
      </c>
      <c r="E1943" s="9" t="s">
        <v>10156</v>
      </c>
      <c r="F1943" s="5">
        <v>2</v>
      </c>
      <c r="G1943" s="9" t="s">
        <v>10162</v>
      </c>
      <c r="H1943" s="9" t="s">
        <v>10162</v>
      </c>
      <c r="I1943" s="5">
        <v>441.72</v>
      </c>
      <c r="J1943" s="5">
        <v>116.16</v>
      </c>
      <c r="K1943" s="5">
        <v>822.6</v>
      </c>
      <c r="L1943" s="5">
        <v>297.60000000000002</v>
      </c>
      <c r="M1943" s="9"/>
      <c r="N1943" s="9" t="s">
        <v>10159</v>
      </c>
      <c r="O1943" s="9" t="s">
        <v>10066</v>
      </c>
      <c r="P1943" s="9" t="str">
        <f t="shared" si="112"/>
        <v>PDFを開く</v>
      </c>
      <c r="Q1943" s="9" t="s">
        <v>3078</v>
      </c>
    </row>
    <row r="1944" spans="1:17" ht="62.1" customHeight="1">
      <c r="A1944" s="2" t="s">
        <v>3072</v>
      </c>
      <c r="B1944" s="2" t="s">
        <v>2430</v>
      </c>
      <c r="C1944" s="8" t="s">
        <v>3073</v>
      </c>
      <c r="D1944" s="2">
        <v>1</v>
      </c>
      <c r="E1944" s="8" t="s">
        <v>10156</v>
      </c>
      <c r="F1944" s="2">
        <v>3</v>
      </c>
      <c r="G1944" s="8" t="s">
        <v>9578</v>
      </c>
      <c r="H1944" s="8" t="s">
        <v>9578</v>
      </c>
      <c r="I1944" s="2">
        <v>0</v>
      </c>
      <c r="J1944" s="2">
        <v>297.60000000000002</v>
      </c>
      <c r="K1944" s="2">
        <v>841.92</v>
      </c>
      <c r="L1944" s="2">
        <v>589.08000000000004</v>
      </c>
      <c r="M1944" s="8"/>
      <c r="N1944" s="8" t="s">
        <v>10159</v>
      </c>
      <c r="O1944" s="8" t="s">
        <v>10925</v>
      </c>
      <c r="P1944" s="8" t="str">
        <f t="shared" si="112"/>
        <v>PDFを開く</v>
      </c>
      <c r="Q1944" s="8" t="s">
        <v>3078</v>
      </c>
    </row>
    <row r="1945" spans="1:17" ht="62.1" customHeight="1">
      <c r="A1945" s="5" t="s">
        <v>3072</v>
      </c>
      <c r="B1945" s="5" t="s">
        <v>2430</v>
      </c>
      <c r="C1945" s="9" t="s">
        <v>3073</v>
      </c>
      <c r="D1945" s="5">
        <v>1</v>
      </c>
      <c r="E1945" s="9" t="s">
        <v>10156</v>
      </c>
      <c r="F1945" s="5">
        <v>4</v>
      </c>
      <c r="G1945" s="9" t="s">
        <v>10163</v>
      </c>
      <c r="H1945" s="9" t="s">
        <v>10163</v>
      </c>
      <c r="I1945" s="5">
        <v>441.72</v>
      </c>
      <c r="J1945" s="5">
        <v>353.64</v>
      </c>
      <c r="K1945" s="5">
        <v>823.56</v>
      </c>
      <c r="L1945" s="5">
        <v>564.6</v>
      </c>
      <c r="M1945" s="9"/>
      <c r="N1945" s="9" t="s">
        <v>10159</v>
      </c>
      <c r="O1945" s="9" t="s">
        <v>10067</v>
      </c>
      <c r="P1945" s="9" t="str">
        <f t="shared" si="112"/>
        <v>PDFを開く</v>
      </c>
      <c r="Q1945" s="9" t="s">
        <v>3078</v>
      </c>
    </row>
    <row r="1946" spans="1:17" ht="62.1" customHeight="1">
      <c r="A1946" s="2" t="s">
        <v>3072</v>
      </c>
      <c r="B1946" s="2" t="s">
        <v>2430</v>
      </c>
      <c r="C1946" s="8" t="s">
        <v>3073</v>
      </c>
      <c r="D1946" s="2">
        <v>1</v>
      </c>
      <c r="E1946" s="8" t="s">
        <v>10156</v>
      </c>
      <c r="F1946" s="2">
        <v>5</v>
      </c>
      <c r="G1946" s="8" t="s">
        <v>8581</v>
      </c>
      <c r="H1946" s="8" t="s">
        <v>8581</v>
      </c>
      <c r="I1946" s="2">
        <v>8.2799999999999994</v>
      </c>
      <c r="J1946" s="2">
        <v>524.64</v>
      </c>
      <c r="K1946" s="2">
        <v>416.52</v>
      </c>
      <c r="L1946" s="2">
        <v>576.12</v>
      </c>
      <c r="M1946" s="8"/>
      <c r="N1946" s="8" t="s">
        <v>10159</v>
      </c>
      <c r="O1946" s="8" t="s">
        <v>3076</v>
      </c>
      <c r="P1946" s="8" t="str">
        <f t="shared" si="112"/>
        <v>PDFを開く</v>
      </c>
      <c r="Q1946" s="8" t="s">
        <v>3078</v>
      </c>
    </row>
    <row r="1947" spans="1:17" ht="62.1" customHeight="1">
      <c r="A1947" s="5" t="s">
        <v>3072</v>
      </c>
      <c r="B1947" s="5" t="s">
        <v>2430</v>
      </c>
      <c r="C1947" s="9" t="s">
        <v>3073</v>
      </c>
      <c r="D1947" s="5">
        <v>2</v>
      </c>
      <c r="E1947" s="9" t="s">
        <v>10156</v>
      </c>
      <c r="F1947" s="5">
        <v>1</v>
      </c>
      <c r="G1947" s="9" t="s">
        <v>10167</v>
      </c>
      <c r="H1947" s="9" t="s">
        <v>10926</v>
      </c>
      <c r="I1947" s="5">
        <v>0</v>
      </c>
      <c r="J1947" s="5">
        <v>297.60000000000002</v>
      </c>
      <c r="K1947" s="5">
        <v>841.92</v>
      </c>
      <c r="L1947" s="5">
        <v>589.08000000000004</v>
      </c>
      <c r="M1947" s="9"/>
      <c r="N1947" s="9" t="s">
        <v>10159</v>
      </c>
      <c r="O1947" s="9" t="s">
        <v>10927</v>
      </c>
      <c r="P1947" s="9" t="str">
        <f t="shared" si="112"/>
        <v>PDFを開く</v>
      </c>
      <c r="Q1947" s="9" t="s">
        <v>3078</v>
      </c>
    </row>
    <row r="1948" spans="1:17" ht="62.1" customHeight="1">
      <c r="A1948" s="2" t="s">
        <v>3072</v>
      </c>
      <c r="B1948" s="2" t="s">
        <v>2430</v>
      </c>
      <c r="C1948" s="8" t="s">
        <v>3073</v>
      </c>
      <c r="D1948" s="2">
        <v>3</v>
      </c>
      <c r="E1948" s="8" t="s">
        <v>10165</v>
      </c>
      <c r="F1948" s="2">
        <v>1</v>
      </c>
      <c r="G1948" s="8" t="s">
        <v>10167</v>
      </c>
      <c r="H1948" s="8" t="s">
        <v>10928</v>
      </c>
      <c r="I1948" s="2">
        <v>0</v>
      </c>
      <c r="J1948" s="2">
        <v>6.24</v>
      </c>
      <c r="K1948" s="2">
        <v>841.92</v>
      </c>
      <c r="L1948" s="2">
        <v>297.60000000000002</v>
      </c>
      <c r="M1948" s="8" t="s">
        <v>10158</v>
      </c>
      <c r="N1948" s="8" t="s">
        <v>10159</v>
      </c>
      <c r="O1948" s="8" t="s">
        <v>10929</v>
      </c>
      <c r="P1948" s="8" t="str">
        <f t="shared" si="112"/>
        <v>PDFを開く</v>
      </c>
      <c r="Q1948" s="8" t="s">
        <v>3078</v>
      </c>
    </row>
    <row r="1949" spans="1:17" ht="62.1" customHeight="1">
      <c r="A1949" s="5" t="s">
        <v>3072</v>
      </c>
      <c r="B1949" s="5" t="s">
        <v>2430</v>
      </c>
      <c r="C1949" s="9" t="s">
        <v>3073</v>
      </c>
      <c r="D1949" s="5">
        <v>3</v>
      </c>
      <c r="E1949" s="9" t="s">
        <v>10165</v>
      </c>
      <c r="F1949" s="5">
        <v>2</v>
      </c>
      <c r="G1949" s="9" t="s">
        <v>10167</v>
      </c>
      <c r="H1949" s="9" t="s">
        <v>10930</v>
      </c>
      <c r="I1949" s="5">
        <v>0</v>
      </c>
      <c r="J1949" s="5">
        <v>297.60000000000002</v>
      </c>
      <c r="K1949" s="5">
        <v>841.92</v>
      </c>
      <c r="L1949" s="5">
        <v>589.08000000000004</v>
      </c>
      <c r="M1949" s="9"/>
      <c r="N1949" s="9" t="s">
        <v>10159</v>
      </c>
      <c r="O1949" s="9" t="s">
        <v>10931</v>
      </c>
      <c r="P1949" s="9" t="str">
        <f t="shared" si="112"/>
        <v>PDFを開く</v>
      </c>
      <c r="Q1949" s="9" t="s">
        <v>3078</v>
      </c>
    </row>
    <row r="1950" spans="1:17" ht="62.1" customHeight="1">
      <c r="A1950" s="2" t="s">
        <v>3072</v>
      </c>
      <c r="B1950" s="2" t="s">
        <v>2430</v>
      </c>
      <c r="C1950" s="8" t="s">
        <v>3073</v>
      </c>
      <c r="D1950" s="2">
        <v>3</v>
      </c>
      <c r="E1950" s="8" t="s">
        <v>10165</v>
      </c>
      <c r="F1950" s="2">
        <v>3</v>
      </c>
      <c r="G1950" s="8" t="s">
        <v>10167</v>
      </c>
      <c r="H1950" s="8" t="s">
        <v>10859</v>
      </c>
      <c r="I1950" s="2">
        <v>136.91999999999999</v>
      </c>
      <c r="J1950" s="2">
        <v>436.68</v>
      </c>
      <c r="K1950" s="2">
        <v>566.76</v>
      </c>
      <c r="L1950" s="2">
        <v>467.16</v>
      </c>
      <c r="M1950" s="8"/>
      <c r="N1950" s="8" t="s">
        <v>10159</v>
      </c>
      <c r="O1950" s="8" t="s">
        <v>10859</v>
      </c>
      <c r="P1950" s="8" t="str">
        <f t="shared" si="112"/>
        <v>PDFを開く</v>
      </c>
      <c r="Q1950" s="8" t="s">
        <v>3078</v>
      </c>
    </row>
    <row r="1951" spans="1:17" ht="62.1" customHeight="1">
      <c r="A1951" s="5" t="s">
        <v>3072</v>
      </c>
      <c r="B1951" s="5" t="s">
        <v>2430</v>
      </c>
      <c r="C1951" s="9" t="s">
        <v>3073</v>
      </c>
      <c r="D1951" s="5">
        <v>4</v>
      </c>
      <c r="E1951" s="9" t="s">
        <v>10165</v>
      </c>
      <c r="F1951" s="5">
        <v>1</v>
      </c>
      <c r="G1951" s="9" t="s">
        <v>10167</v>
      </c>
      <c r="H1951" s="9" t="s">
        <v>10932</v>
      </c>
      <c r="I1951" s="5">
        <v>0</v>
      </c>
      <c r="J1951" s="5">
        <v>6.24</v>
      </c>
      <c r="K1951" s="5">
        <v>841.92</v>
      </c>
      <c r="L1951" s="5">
        <v>297.60000000000002</v>
      </c>
      <c r="M1951" s="9" t="s">
        <v>10158</v>
      </c>
      <c r="N1951" s="9" t="s">
        <v>10159</v>
      </c>
      <c r="O1951" s="9" t="s">
        <v>10933</v>
      </c>
      <c r="P1951" s="9" t="str">
        <f t="shared" si="112"/>
        <v>PDFを開く</v>
      </c>
      <c r="Q1951" s="9" t="s">
        <v>3078</v>
      </c>
    </row>
    <row r="1952" spans="1:17" ht="62.1" customHeight="1">
      <c r="A1952" s="2" t="s">
        <v>3072</v>
      </c>
      <c r="B1952" s="2" t="s">
        <v>2430</v>
      </c>
      <c r="C1952" s="8" t="s">
        <v>3073</v>
      </c>
      <c r="D1952" s="2">
        <v>4</v>
      </c>
      <c r="E1952" s="8" t="s">
        <v>10165</v>
      </c>
      <c r="F1952" s="2">
        <v>2</v>
      </c>
      <c r="G1952" s="8" t="s">
        <v>10167</v>
      </c>
      <c r="H1952" s="8" t="s">
        <v>10934</v>
      </c>
      <c r="I1952" s="2">
        <v>10.08</v>
      </c>
      <c r="J1952" s="2">
        <v>115.8</v>
      </c>
      <c r="K1952" s="2">
        <v>832.08</v>
      </c>
      <c r="L1952" s="2">
        <v>297.60000000000002</v>
      </c>
      <c r="M1952" s="8"/>
      <c r="N1952" s="8" t="s">
        <v>10159</v>
      </c>
      <c r="O1952" s="8" t="s">
        <v>10935</v>
      </c>
      <c r="P1952" s="8" t="str">
        <f t="shared" si="112"/>
        <v>PDFを開く</v>
      </c>
      <c r="Q1952" s="8" t="s">
        <v>3078</v>
      </c>
    </row>
    <row r="1953" spans="1:17" ht="62.1" customHeight="1">
      <c r="A1953" s="5" t="s">
        <v>3072</v>
      </c>
      <c r="B1953" s="5" t="s">
        <v>2430</v>
      </c>
      <c r="C1953" s="9" t="s">
        <v>3073</v>
      </c>
      <c r="D1953" s="5">
        <v>4</v>
      </c>
      <c r="E1953" s="9" t="s">
        <v>10165</v>
      </c>
      <c r="F1953" s="5">
        <v>3</v>
      </c>
      <c r="G1953" s="9" t="s">
        <v>10167</v>
      </c>
      <c r="H1953" s="9" t="s">
        <v>10936</v>
      </c>
      <c r="I1953" s="5">
        <v>0</v>
      </c>
      <c r="J1953" s="5">
        <v>297.60000000000002</v>
      </c>
      <c r="K1953" s="5">
        <v>841.92</v>
      </c>
      <c r="L1953" s="5">
        <v>589.08000000000004</v>
      </c>
      <c r="M1953" s="9"/>
      <c r="N1953" s="9" t="s">
        <v>10159</v>
      </c>
      <c r="O1953" s="9" t="s">
        <v>10937</v>
      </c>
      <c r="P1953" s="9" t="str">
        <f t="shared" si="112"/>
        <v>PDFを開く</v>
      </c>
      <c r="Q1953" s="9" t="s">
        <v>3078</v>
      </c>
    </row>
    <row r="1954" spans="1:17" ht="62.1" customHeight="1">
      <c r="A1954" s="2" t="s">
        <v>3072</v>
      </c>
      <c r="B1954" s="2" t="s">
        <v>2430</v>
      </c>
      <c r="C1954" s="8" t="s">
        <v>3073</v>
      </c>
      <c r="D1954" s="2">
        <v>4</v>
      </c>
      <c r="E1954" s="8" t="s">
        <v>10165</v>
      </c>
      <c r="F1954" s="2">
        <v>4</v>
      </c>
      <c r="G1954" s="8" t="s">
        <v>10167</v>
      </c>
      <c r="H1954" s="8" t="s">
        <v>10936</v>
      </c>
      <c r="I1954" s="2">
        <v>10.08</v>
      </c>
      <c r="J1954" s="2">
        <v>297.60000000000002</v>
      </c>
      <c r="K1954" s="2">
        <v>832.08</v>
      </c>
      <c r="L1954" s="2">
        <v>382.68</v>
      </c>
      <c r="M1954" s="8"/>
      <c r="N1954" s="8" t="s">
        <v>10159</v>
      </c>
      <c r="O1954" s="8" t="s">
        <v>10938</v>
      </c>
      <c r="P1954" s="8" t="str">
        <f t="shared" si="112"/>
        <v>PDFを開く</v>
      </c>
      <c r="Q1954" s="8" t="s">
        <v>3078</v>
      </c>
    </row>
    <row r="1955" spans="1:17" ht="62.1" customHeight="1">
      <c r="A1955" s="5" t="s">
        <v>3079</v>
      </c>
      <c r="B1955" s="5" t="s">
        <v>2430</v>
      </c>
      <c r="C1955" s="9" t="s">
        <v>3080</v>
      </c>
      <c r="D1955" s="5">
        <v>1</v>
      </c>
      <c r="E1955" s="9" t="s">
        <v>10156</v>
      </c>
      <c r="F1955" s="5">
        <v>1</v>
      </c>
      <c r="G1955" s="9" t="s">
        <v>10162</v>
      </c>
      <c r="H1955" s="9" t="s">
        <v>10162</v>
      </c>
      <c r="I1955" s="5">
        <v>396.3</v>
      </c>
      <c r="J1955" s="5">
        <v>102</v>
      </c>
      <c r="K1955" s="5">
        <v>739.78</v>
      </c>
      <c r="L1955" s="5">
        <v>278.3</v>
      </c>
      <c r="M1955" s="9"/>
      <c r="N1955" s="9" t="s">
        <v>10159</v>
      </c>
      <c r="O1955" s="9" t="s">
        <v>10073</v>
      </c>
      <c r="P1955" s="9" t="str">
        <f>HYPERLINK("https://seichotoushi-hojo.jp/assets/pdf/koufu_3_4ji/outline_219.pdf","PDFを開く")</f>
        <v>PDFを開く</v>
      </c>
      <c r="Q1955" s="9" t="s">
        <v>3086</v>
      </c>
    </row>
    <row r="1956" spans="1:17" ht="62.1" customHeight="1">
      <c r="A1956" s="2" t="s">
        <v>3079</v>
      </c>
      <c r="B1956" s="2" t="s">
        <v>2430</v>
      </c>
      <c r="C1956" s="8" t="s">
        <v>3080</v>
      </c>
      <c r="D1956" s="2">
        <v>1</v>
      </c>
      <c r="E1956" s="8" t="s">
        <v>10156</v>
      </c>
      <c r="F1956" s="2">
        <v>2</v>
      </c>
      <c r="G1956" s="8" t="s">
        <v>9578</v>
      </c>
      <c r="H1956" s="8" t="s">
        <v>9578</v>
      </c>
      <c r="I1956" s="2">
        <v>40.409999999999997</v>
      </c>
      <c r="J1956" s="2">
        <v>102.75</v>
      </c>
      <c r="K1956" s="2">
        <v>379.54</v>
      </c>
      <c r="L1956" s="2">
        <v>501.18</v>
      </c>
      <c r="M1956" s="8"/>
      <c r="N1956" s="8" t="s">
        <v>10159</v>
      </c>
      <c r="O1956" s="8" t="s">
        <v>10072</v>
      </c>
      <c r="P1956" s="8" t="str">
        <f>HYPERLINK("https://seichotoushi-hojo.jp/assets/pdf/koufu_3_4ji/outline_219.pdf","PDFを開く")</f>
        <v>PDFを開く</v>
      </c>
      <c r="Q1956" s="8" t="s">
        <v>3086</v>
      </c>
    </row>
    <row r="1957" spans="1:17" ht="62.1" customHeight="1">
      <c r="A1957" s="5" t="s">
        <v>3079</v>
      </c>
      <c r="B1957" s="5" t="s">
        <v>2430</v>
      </c>
      <c r="C1957" s="9" t="s">
        <v>3080</v>
      </c>
      <c r="D1957" s="5">
        <v>1</v>
      </c>
      <c r="E1957" s="9" t="s">
        <v>10156</v>
      </c>
      <c r="F1957" s="5">
        <v>3</v>
      </c>
      <c r="G1957" s="9" t="s">
        <v>10163</v>
      </c>
      <c r="H1957" s="9" t="s">
        <v>10163</v>
      </c>
      <c r="I1957" s="5">
        <v>396.3</v>
      </c>
      <c r="J1957" s="5">
        <v>282.37</v>
      </c>
      <c r="K1957" s="5">
        <v>739.78</v>
      </c>
      <c r="L1957" s="5">
        <v>534</v>
      </c>
      <c r="M1957" s="9"/>
      <c r="N1957" s="9" t="s">
        <v>10159</v>
      </c>
      <c r="O1957" s="9" t="s">
        <v>10074</v>
      </c>
      <c r="P1957" s="9" t="str">
        <f>HYPERLINK("https://seichotoushi-hojo.jp/assets/pdf/koufu_3_4ji/outline_219.pdf","PDFを開く")</f>
        <v>PDFを開く</v>
      </c>
      <c r="Q1957" s="9" t="s">
        <v>3086</v>
      </c>
    </row>
    <row r="1958" spans="1:17" ht="62.1" customHeight="1">
      <c r="A1958" s="2" t="s">
        <v>3079</v>
      </c>
      <c r="B1958" s="2" t="s">
        <v>2430</v>
      </c>
      <c r="C1958" s="8" t="s">
        <v>3080</v>
      </c>
      <c r="D1958" s="2">
        <v>1</v>
      </c>
      <c r="E1958" s="8" t="s">
        <v>10156</v>
      </c>
      <c r="F1958" s="2">
        <v>4</v>
      </c>
      <c r="G1958" s="8" t="s">
        <v>8581</v>
      </c>
      <c r="H1958" s="8" t="s">
        <v>8581</v>
      </c>
      <c r="I1958" s="2">
        <v>48</v>
      </c>
      <c r="J1958" s="2">
        <v>432</v>
      </c>
      <c r="K1958" s="2">
        <v>367.5</v>
      </c>
      <c r="L1958" s="2">
        <v>492.81</v>
      </c>
      <c r="M1958" s="8"/>
      <c r="N1958" s="8" t="s">
        <v>10159</v>
      </c>
      <c r="O1958" s="8" t="s">
        <v>3084</v>
      </c>
      <c r="P1958" s="8" t="str">
        <f>HYPERLINK("https://seichotoushi-hojo.jp/assets/pdf/koufu_3_4ji/outline_219.pdf","PDFを開く")</f>
        <v>PDFを開く</v>
      </c>
      <c r="Q1958" s="8" t="s">
        <v>3086</v>
      </c>
    </row>
    <row r="1959" spans="1:17" ht="62.1" customHeight="1">
      <c r="A1959" s="5" t="s">
        <v>3087</v>
      </c>
      <c r="B1959" s="5" t="s">
        <v>2430</v>
      </c>
      <c r="C1959" s="9" t="s">
        <v>3088</v>
      </c>
      <c r="D1959" s="5">
        <v>1</v>
      </c>
      <c r="E1959" s="9" t="s">
        <v>10156</v>
      </c>
      <c r="F1959" s="5">
        <v>1</v>
      </c>
      <c r="G1959" s="9" t="s">
        <v>9578</v>
      </c>
      <c r="H1959" s="9" t="s">
        <v>9578</v>
      </c>
      <c r="I1959" s="5">
        <v>39.659999999999997</v>
      </c>
      <c r="J1959" s="5">
        <v>110.25</v>
      </c>
      <c r="K1959" s="5">
        <v>378.79</v>
      </c>
      <c r="L1959" s="5">
        <v>520.9</v>
      </c>
      <c r="M1959" s="9"/>
      <c r="N1959" s="9" t="s">
        <v>10159</v>
      </c>
      <c r="O1959" s="9" t="s">
        <v>10079</v>
      </c>
      <c r="P1959" s="9" t="str">
        <f>HYPERLINK("https://seichotoushi-hojo.jp/assets/pdf/koufu_3_4ji/outline_220.pdf","PDFを開く")</f>
        <v>PDFを開く</v>
      </c>
      <c r="Q1959" s="9" t="s">
        <v>3093</v>
      </c>
    </row>
    <row r="1960" spans="1:17" ht="62.1" customHeight="1">
      <c r="A1960" s="2" t="s">
        <v>3087</v>
      </c>
      <c r="B1960" s="2" t="s">
        <v>2430</v>
      </c>
      <c r="C1960" s="8" t="s">
        <v>3088</v>
      </c>
      <c r="D1960" s="2">
        <v>1</v>
      </c>
      <c r="E1960" s="8" t="s">
        <v>10156</v>
      </c>
      <c r="F1960" s="2">
        <v>2</v>
      </c>
      <c r="G1960" s="8" t="s">
        <v>10162</v>
      </c>
      <c r="H1960" s="8" t="s">
        <v>10162</v>
      </c>
      <c r="I1960" s="2">
        <v>396.3</v>
      </c>
      <c r="J1960" s="2">
        <v>113.07</v>
      </c>
      <c r="K1960" s="2">
        <v>739.78</v>
      </c>
      <c r="L1960" s="2">
        <v>308.95999999999998</v>
      </c>
      <c r="M1960" s="8"/>
      <c r="N1960" s="8" t="s">
        <v>10159</v>
      </c>
      <c r="O1960" s="8" t="s">
        <v>10080</v>
      </c>
      <c r="P1960" s="8" t="str">
        <f>HYPERLINK("https://seichotoushi-hojo.jp/assets/pdf/koufu_3_4ji/outline_220.pdf","PDFを開く")</f>
        <v>PDFを開く</v>
      </c>
      <c r="Q1960" s="8" t="s">
        <v>3093</v>
      </c>
    </row>
    <row r="1961" spans="1:17" ht="62.1" customHeight="1">
      <c r="A1961" s="5" t="s">
        <v>3087</v>
      </c>
      <c r="B1961" s="5" t="s">
        <v>2430</v>
      </c>
      <c r="C1961" s="9" t="s">
        <v>3088</v>
      </c>
      <c r="D1961" s="5">
        <v>1</v>
      </c>
      <c r="E1961" s="9" t="s">
        <v>10156</v>
      </c>
      <c r="F1961" s="5">
        <v>3</v>
      </c>
      <c r="G1961" s="9" t="s">
        <v>10163</v>
      </c>
      <c r="H1961" s="9" t="s">
        <v>10163</v>
      </c>
      <c r="I1961" s="5">
        <v>396.3</v>
      </c>
      <c r="J1961" s="5">
        <v>325.01</v>
      </c>
      <c r="K1961" s="5">
        <v>739.78</v>
      </c>
      <c r="L1961" s="5">
        <v>520.9</v>
      </c>
      <c r="M1961" s="9"/>
      <c r="N1961" s="9" t="s">
        <v>10159</v>
      </c>
      <c r="O1961" s="9" t="s">
        <v>10081</v>
      </c>
      <c r="P1961" s="9" t="str">
        <f>HYPERLINK("https://seichotoushi-hojo.jp/assets/pdf/koufu_3_4ji/outline_220.pdf","PDFを開く")</f>
        <v>PDFを開く</v>
      </c>
      <c r="Q1961" s="9" t="s">
        <v>3093</v>
      </c>
    </row>
    <row r="1962" spans="1:17" ht="62.1" customHeight="1">
      <c r="A1962" s="2" t="s">
        <v>3087</v>
      </c>
      <c r="B1962" s="2" t="s">
        <v>2430</v>
      </c>
      <c r="C1962" s="8" t="s">
        <v>3088</v>
      </c>
      <c r="D1962" s="2">
        <v>1</v>
      </c>
      <c r="E1962" s="8" t="s">
        <v>10156</v>
      </c>
      <c r="F1962" s="2">
        <v>4</v>
      </c>
      <c r="G1962" s="8" t="s">
        <v>8581</v>
      </c>
      <c r="H1962" s="8" t="s">
        <v>8581</v>
      </c>
      <c r="I1962" s="2">
        <v>48</v>
      </c>
      <c r="J1962" s="2">
        <v>416.42</v>
      </c>
      <c r="K1962" s="2">
        <v>367.5</v>
      </c>
      <c r="L1962" s="2">
        <v>515.86</v>
      </c>
      <c r="M1962" s="8"/>
      <c r="N1962" s="8" t="s">
        <v>10159</v>
      </c>
      <c r="O1962" s="8" t="s">
        <v>10082</v>
      </c>
      <c r="P1962" s="8" t="str">
        <f>HYPERLINK("https://seichotoushi-hojo.jp/assets/pdf/koufu_3_4ji/outline_220.pdf","PDFを開く")</f>
        <v>PDFを開く</v>
      </c>
      <c r="Q1962" s="8" t="s">
        <v>3093</v>
      </c>
    </row>
    <row r="1963" spans="1:17" ht="62.1" customHeight="1">
      <c r="A1963" s="5" t="s">
        <v>3094</v>
      </c>
      <c r="B1963" s="5" t="s">
        <v>2430</v>
      </c>
      <c r="C1963" s="9" t="s">
        <v>3095</v>
      </c>
      <c r="D1963" s="5">
        <v>1</v>
      </c>
      <c r="E1963" s="9" t="s">
        <v>10156</v>
      </c>
      <c r="F1963" s="5">
        <v>1</v>
      </c>
      <c r="G1963" s="9" t="s">
        <v>9578</v>
      </c>
      <c r="H1963" s="9" t="s">
        <v>9578</v>
      </c>
      <c r="I1963" s="5">
        <v>35.299999999999997</v>
      </c>
      <c r="J1963" s="5">
        <v>144.12</v>
      </c>
      <c r="K1963" s="5">
        <v>374.43</v>
      </c>
      <c r="L1963" s="5">
        <v>475.98</v>
      </c>
      <c r="M1963" s="9"/>
      <c r="N1963" s="9" t="s">
        <v>10159</v>
      </c>
      <c r="O1963" s="9" t="s">
        <v>10087</v>
      </c>
      <c r="P1963" s="9" t="str">
        <f>HYPERLINK("https://seichotoushi-hojo.jp/assets/pdf/koufu_3_4ji/outline_221.pdf","PDFを開く")</f>
        <v>PDFを開く</v>
      </c>
      <c r="Q1963" s="9" t="s">
        <v>3101</v>
      </c>
    </row>
    <row r="1964" spans="1:17" ht="62.1" customHeight="1">
      <c r="A1964" s="2" t="s">
        <v>3094</v>
      </c>
      <c r="B1964" s="2" t="s">
        <v>2430</v>
      </c>
      <c r="C1964" s="8" t="s">
        <v>3095</v>
      </c>
      <c r="D1964" s="2">
        <v>1</v>
      </c>
      <c r="E1964" s="8" t="s">
        <v>10156</v>
      </c>
      <c r="F1964" s="2">
        <v>2</v>
      </c>
      <c r="G1964" s="8" t="s">
        <v>10162</v>
      </c>
      <c r="H1964" s="8" t="s">
        <v>10162</v>
      </c>
      <c r="I1964" s="2">
        <v>396.3</v>
      </c>
      <c r="J1964" s="2">
        <v>170.15</v>
      </c>
      <c r="K1964" s="2">
        <v>739.78</v>
      </c>
      <c r="L1964" s="2">
        <v>328.45</v>
      </c>
      <c r="M1964" s="8"/>
      <c r="N1964" s="8" t="s">
        <v>10159</v>
      </c>
      <c r="O1964" s="8" t="s">
        <v>10088</v>
      </c>
      <c r="P1964" s="8" t="str">
        <f>HYPERLINK("https://seichotoushi-hojo.jp/assets/pdf/koufu_3_4ji/outline_221.pdf","PDFを開く")</f>
        <v>PDFを開く</v>
      </c>
      <c r="Q1964" s="8" t="s">
        <v>3101</v>
      </c>
    </row>
    <row r="1965" spans="1:17" ht="62.1" customHeight="1">
      <c r="A1965" s="5" t="s">
        <v>3094</v>
      </c>
      <c r="B1965" s="5" t="s">
        <v>2430</v>
      </c>
      <c r="C1965" s="9" t="s">
        <v>3095</v>
      </c>
      <c r="D1965" s="5">
        <v>1</v>
      </c>
      <c r="E1965" s="9" t="s">
        <v>10156</v>
      </c>
      <c r="F1965" s="5">
        <v>3</v>
      </c>
      <c r="G1965" s="9" t="s">
        <v>10163</v>
      </c>
      <c r="H1965" s="9" t="s">
        <v>10163</v>
      </c>
      <c r="I1965" s="5">
        <v>396.3</v>
      </c>
      <c r="J1965" s="5">
        <v>341.43</v>
      </c>
      <c r="K1965" s="5">
        <v>739.78</v>
      </c>
      <c r="L1965" s="5">
        <v>499.73</v>
      </c>
      <c r="M1965" s="9"/>
      <c r="N1965" s="9" t="s">
        <v>10159</v>
      </c>
      <c r="O1965" s="9" t="s">
        <v>10089</v>
      </c>
      <c r="P1965" s="9" t="str">
        <f>HYPERLINK("https://seichotoushi-hojo.jp/assets/pdf/koufu_3_4ji/outline_221.pdf","PDFを開く")</f>
        <v>PDFを開く</v>
      </c>
      <c r="Q1965" s="9" t="s">
        <v>3101</v>
      </c>
    </row>
    <row r="1966" spans="1:17" ht="62.1" customHeight="1">
      <c r="A1966" s="2" t="s">
        <v>3094</v>
      </c>
      <c r="B1966" s="2" t="s">
        <v>2430</v>
      </c>
      <c r="C1966" s="8" t="s">
        <v>3095</v>
      </c>
      <c r="D1966" s="2">
        <v>1</v>
      </c>
      <c r="E1966" s="8" t="s">
        <v>10156</v>
      </c>
      <c r="F1966" s="2">
        <v>4</v>
      </c>
      <c r="G1966" s="8" t="s">
        <v>8581</v>
      </c>
      <c r="H1966" s="8" t="s">
        <v>8581</v>
      </c>
      <c r="I1966" s="2">
        <v>48</v>
      </c>
      <c r="J1966" s="2">
        <v>418.5</v>
      </c>
      <c r="K1966" s="2">
        <v>367.5</v>
      </c>
      <c r="L1966" s="2">
        <v>486.75</v>
      </c>
      <c r="M1966" s="8"/>
      <c r="N1966" s="8" t="s">
        <v>10159</v>
      </c>
      <c r="O1966" s="8" t="s">
        <v>3099</v>
      </c>
      <c r="P1966" s="8" t="str">
        <f>HYPERLINK("https://seichotoushi-hojo.jp/assets/pdf/koufu_3_4ji/outline_221.pdf","PDFを開く")</f>
        <v>PDFを開く</v>
      </c>
      <c r="Q1966" s="8" t="s">
        <v>3101</v>
      </c>
    </row>
    <row r="1967" spans="1:17" ht="62.1" customHeight="1">
      <c r="A1967" s="5" t="s">
        <v>3102</v>
      </c>
      <c r="B1967" s="5" t="s">
        <v>2430</v>
      </c>
      <c r="C1967" s="9" t="s">
        <v>3103</v>
      </c>
      <c r="D1967" s="5">
        <v>1</v>
      </c>
      <c r="E1967" s="9" t="s">
        <v>10156</v>
      </c>
      <c r="F1967" s="5">
        <v>1</v>
      </c>
      <c r="G1967" s="9" t="s">
        <v>9578</v>
      </c>
      <c r="H1967" s="9" t="s">
        <v>9578</v>
      </c>
      <c r="I1967" s="5">
        <v>26.82</v>
      </c>
      <c r="J1967" s="5">
        <v>111.66</v>
      </c>
      <c r="K1967" s="5">
        <v>378.78</v>
      </c>
      <c r="L1967" s="5">
        <v>437.46</v>
      </c>
      <c r="M1967" s="9"/>
      <c r="N1967" s="9" t="s">
        <v>10159</v>
      </c>
      <c r="O1967" s="9" t="s">
        <v>10094</v>
      </c>
      <c r="P1967" s="9" t="str">
        <f>HYPERLINK("https://seichotoushi-hojo.jp/assets/pdf/koufu_3_4ji/outline_222.pdf","PDFを開く")</f>
        <v>PDFを開く</v>
      </c>
      <c r="Q1967" s="9" t="s">
        <v>3108</v>
      </c>
    </row>
    <row r="1968" spans="1:17" ht="62.1" customHeight="1">
      <c r="A1968" s="2" t="s">
        <v>3102</v>
      </c>
      <c r="B1968" s="2" t="s">
        <v>2430</v>
      </c>
      <c r="C1968" s="8" t="s">
        <v>3103</v>
      </c>
      <c r="D1968" s="2">
        <v>1</v>
      </c>
      <c r="E1968" s="8" t="s">
        <v>10156</v>
      </c>
      <c r="F1968" s="2">
        <v>2</v>
      </c>
      <c r="G1968" s="8" t="s">
        <v>10162</v>
      </c>
      <c r="H1968" s="8" t="s">
        <v>10162</v>
      </c>
      <c r="I1968" s="2">
        <v>396.33</v>
      </c>
      <c r="J1968" s="2">
        <v>111.69</v>
      </c>
      <c r="K1968" s="2">
        <v>753.21</v>
      </c>
      <c r="L1968" s="2">
        <v>296.13</v>
      </c>
      <c r="M1968" s="8"/>
      <c r="N1968" s="8" t="s">
        <v>10159</v>
      </c>
      <c r="O1968" s="8" t="s">
        <v>10095</v>
      </c>
      <c r="P1968" s="8" t="str">
        <f>HYPERLINK("https://seichotoushi-hojo.jp/assets/pdf/koufu_3_4ji/outline_222.pdf","PDFを開く")</f>
        <v>PDFを開く</v>
      </c>
      <c r="Q1968" s="8" t="s">
        <v>3108</v>
      </c>
    </row>
    <row r="1969" spans="1:17" ht="62.1" customHeight="1">
      <c r="A1969" s="5" t="s">
        <v>3102</v>
      </c>
      <c r="B1969" s="5" t="s">
        <v>2430</v>
      </c>
      <c r="C1969" s="9" t="s">
        <v>3103</v>
      </c>
      <c r="D1969" s="5">
        <v>1</v>
      </c>
      <c r="E1969" s="9" t="s">
        <v>10156</v>
      </c>
      <c r="F1969" s="5">
        <v>3</v>
      </c>
      <c r="G1969" s="9" t="s">
        <v>10163</v>
      </c>
      <c r="H1969" s="9" t="s">
        <v>10163</v>
      </c>
      <c r="I1969" s="5">
        <v>396.33</v>
      </c>
      <c r="J1969" s="5">
        <v>305.73</v>
      </c>
      <c r="K1969" s="5">
        <v>753.21</v>
      </c>
      <c r="L1969" s="5">
        <v>484.95</v>
      </c>
      <c r="M1969" s="9"/>
      <c r="N1969" s="9" t="s">
        <v>10159</v>
      </c>
      <c r="O1969" s="9" t="s">
        <v>10096</v>
      </c>
      <c r="P1969" s="9" t="str">
        <f>HYPERLINK("https://seichotoushi-hojo.jp/assets/pdf/koufu_3_4ji/outline_222.pdf","PDFを開く")</f>
        <v>PDFを開く</v>
      </c>
      <c r="Q1969" s="9" t="s">
        <v>3108</v>
      </c>
    </row>
    <row r="1970" spans="1:17" ht="62.1" customHeight="1">
      <c r="A1970" s="2" t="s">
        <v>3102</v>
      </c>
      <c r="B1970" s="2" t="s">
        <v>2430</v>
      </c>
      <c r="C1970" s="8" t="s">
        <v>3103</v>
      </c>
      <c r="D1970" s="2">
        <v>1</v>
      </c>
      <c r="E1970" s="8" t="s">
        <v>10156</v>
      </c>
      <c r="F1970" s="2">
        <v>4</v>
      </c>
      <c r="G1970" s="8" t="s">
        <v>8581</v>
      </c>
      <c r="H1970" s="8" t="s">
        <v>8581</v>
      </c>
      <c r="I1970" s="2">
        <v>43.02</v>
      </c>
      <c r="J1970" s="2">
        <v>356.22</v>
      </c>
      <c r="K1970" s="2">
        <v>362.52</v>
      </c>
      <c r="L1970" s="2">
        <v>425.22</v>
      </c>
      <c r="M1970" s="8"/>
      <c r="N1970" s="8" t="s">
        <v>10159</v>
      </c>
      <c r="O1970" s="8" t="s">
        <v>3106</v>
      </c>
      <c r="P1970" s="8" t="str">
        <f>HYPERLINK("https://seichotoushi-hojo.jp/assets/pdf/koufu_3_4ji/outline_222.pdf","PDFを開く")</f>
        <v>PDFを開く</v>
      </c>
      <c r="Q1970" s="8" t="s">
        <v>3108</v>
      </c>
    </row>
    <row r="1971" spans="1:17" ht="62.1" customHeight="1">
      <c r="A1971" s="5" t="s">
        <v>3102</v>
      </c>
      <c r="B1971" s="5" t="s">
        <v>2430</v>
      </c>
      <c r="C1971" s="9" t="s">
        <v>3103</v>
      </c>
      <c r="D1971" s="5">
        <v>2</v>
      </c>
      <c r="E1971" s="9" t="s">
        <v>10165</v>
      </c>
      <c r="F1971" s="5">
        <v>1</v>
      </c>
      <c r="G1971" s="9" t="s">
        <v>10167</v>
      </c>
      <c r="H1971" s="9" t="s">
        <v>10599</v>
      </c>
      <c r="I1971" s="5">
        <v>478.38</v>
      </c>
      <c r="J1971" s="5">
        <v>192.36</v>
      </c>
      <c r="K1971" s="5">
        <v>759.96</v>
      </c>
      <c r="L1971" s="5">
        <v>384.54</v>
      </c>
      <c r="M1971" s="9"/>
      <c r="N1971" s="9" t="s">
        <v>10159</v>
      </c>
      <c r="O1971" s="9" t="s">
        <v>10939</v>
      </c>
      <c r="P1971" s="9" t="str">
        <f>HYPERLINK("https://seichotoushi-hojo.jp/assets/pdf/koufu_3_4ji/outline_222.pdf","PDFを開く")</f>
        <v>PDFを開く</v>
      </c>
      <c r="Q1971" s="9" t="s">
        <v>3108</v>
      </c>
    </row>
    <row r="1972" spans="1:17" ht="62.1" customHeight="1">
      <c r="A1972" s="2" t="s">
        <v>3109</v>
      </c>
      <c r="B1972" s="2" t="s">
        <v>2430</v>
      </c>
      <c r="C1972" s="8" t="s">
        <v>3110</v>
      </c>
      <c r="D1972" s="2">
        <v>1</v>
      </c>
      <c r="E1972" s="8" t="s">
        <v>10156</v>
      </c>
      <c r="F1972" s="2">
        <v>1</v>
      </c>
      <c r="G1972" s="8" t="s">
        <v>9578</v>
      </c>
      <c r="H1972" s="8" t="s">
        <v>9578</v>
      </c>
      <c r="I1972" s="2">
        <v>25.7</v>
      </c>
      <c r="J1972" s="2">
        <v>104.2</v>
      </c>
      <c r="K1972" s="2">
        <v>364.83</v>
      </c>
      <c r="L1972" s="2">
        <v>522.19000000000005</v>
      </c>
      <c r="M1972" s="8"/>
      <c r="N1972" s="8" t="s">
        <v>10159</v>
      </c>
      <c r="O1972" s="8" t="s">
        <v>10101</v>
      </c>
      <c r="P1972" s="8" t="str">
        <f>HYPERLINK("https://seichotoushi-hojo.jp/assets/pdf/koufu_3_4ji/outline_223.pdf","PDFを開く")</f>
        <v>PDFを開く</v>
      </c>
      <c r="Q1972" s="8" t="s">
        <v>3116</v>
      </c>
    </row>
    <row r="1973" spans="1:17" ht="62.1" customHeight="1">
      <c r="A1973" s="5" t="s">
        <v>3109</v>
      </c>
      <c r="B1973" s="5" t="s">
        <v>2430</v>
      </c>
      <c r="C1973" s="9" t="s">
        <v>3110</v>
      </c>
      <c r="D1973" s="5">
        <v>1</v>
      </c>
      <c r="E1973" s="9" t="s">
        <v>10156</v>
      </c>
      <c r="F1973" s="5">
        <v>2</v>
      </c>
      <c r="G1973" s="9" t="s">
        <v>10162</v>
      </c>
      <c r="H1973" s="9" t="s">
        <v>10162</v>
      </c>
      <c r="I1973" s="5">
        <v>382.34</v>
      </c>
      <c r="J1973" s="5">
        <v>106.49</v>
      </c>
      <c r="K1973" s="5">
        <v>755.72</v>
      </c>
      <c r="L1973" s="5">
        <v>305.85000000000002</v>
      </c>
      <c r="M1973" s="9"/>
      <c r="N1973" s="9" t="s">
        <v>10159</v>
      </c>
      <c r="O1973" s="9" t="s">
        <v>10102</v>
      </c>
      <c r="P1973" s="9" t="str">
        <f>HYPERLINK("https://seichotoushi-hojo.jp/assets/pdf/koufu_3_4ji/outline_223.pdf","PDFを開く")</f>
        <v>PDFを開く</v>
      </c>
      <c r="Q1973" s="9" t="s">
        <v>3116</v>
      </c>
    </row>
    <row r="1974" spans="1:17" ht="62.1" customHeight="1">
      <c r="A1974" s="2" t="s">
        <v>3109</v>
      </c>
      <c r="B1974" s="2" t="s">
        <v>2430</v>
      </c>
      <c r="C1974" s="8" t="s">
        <v>3110</v>
      </c>
      <c r="D1974" s="2">
        <v>1</v>
      </c>
      <c r="E1974" s="8" t="s">
        <v>10156</v>
      </c>
      <c r="F1974" s="2">
        <v>3</v>
      </c>
      <c r="G1974" s="8" t="s">
        <v>10163</v>
      </c>
      <c r="H1974" s="8" t="s">
        <v>10163</v>
      </c>
      <c r="I1974" s="2">
        <v>382.34</v>
      </c>
      <c r="J1974" s="2">
        <v>309.5</v>
      </c>
      <c r="K1974" s="2">
        <v>755.72</v>
      </c>
      <c r="L1974" s="2">
        <v>522.19000000000005</v>
      </c>
      <c r="M1974" s="8"/>
      <c r="N1974" s="8" t="s">
        <v>10159</v>
      </c>
      <c r="O1974" s="8" t="s">
        <v>10103</v>
      </c>
      <c r="P1974" s="8" t="str">
        <f>HYPERLINK("https://seichotoushi-hojo.jp/assets/pdf/koufu_3_4ji/outline_223.pdf","PDFを開く")</f>
        <v>PDFを開く</v>
      </c>
      <c r="Q1974" s="8" t="s">
        <v>3116</v>
      </c>
    </row>
    <row r="1975" spans="1:17" ht="62.1" customHeight="1">
      <c r="A1975" s="5" t="s">
        <v>3109</v>
      </c>
      <c r="B1975" s="5" t="s">
        <v>2430</v>
      </c>
      <c r="C1975" s="9" t="s">
        <v>3110</v>
      </c>
      <c r="D1975" s="5">
        <v>1</v>
      </c>
      <c r="E1975" s="9" t="s">
        <v>10156</v>
      </c>
      <c r="F1975" s="5">
        <v>4</v>
      </c>
      <c r="G1975" s="9" t="s">
        <v>8581</v>
      </c>
      <c r="H1975" s="9" t="s">
        <v>8581</v>
      </c>
      <c r="I1975" s="5">
        <v>34.04</v>
      </c>
      <c r="J1975" s="5">
        <v>413.52</v>
      </c>
      <c r="K1975" s="5">
        <v>353.54</v>
      </c>
      <c r="L1975" s="5">
        <v>511</v>
      </c>
      <c r="M1975" s="9"/>
      <c r="N1975" s="9" t="s">
        <v>10159</v>
      </c>
      <c r="O1975" s="9" t="s">
        <v>3113</v>
      </c>
      <c r="P1975" s="9" t="str">
        <f>HYPERLINK("https://seichotoushi-hojo.jp/assets/pdf/koufu_3_4ji/outline_223.pdf","PDFを開く")</f>
        <v>PDFを開く</v>
      </c>
      <c r="Q1975" s="9" t="s">
        <v>3116</v>
      </c>
    </row>
    <row r="1976" spans="1:17" ht="62.1" customHeight="1">
      <c r="A1976" s="2" t="s">
        <v>3117</v>
      </c>
      <c r="B1976" s="2" t="s">
        <v>2430</v>
      </c>
      <c r="C1976" s="8" t="s">
        <v>3118</v>
      </c>
      <c r="D1976" s="2">
        <v>1</v>
      </c>
      <c r="E1976" s="8" t="s">
        <v>10156</v>
      </c>
      <c r="F1976" s="2">
        <v>1</v>
      </c>
      <c r="G1976" s="8" t="s">
        <v>10162</v>
      </c>
      <c r="H1976" s="8" t="s">
        <v>10162</v>
      </c>
      <c r="I1976" s="2">
        <v>414</v>
      </c>
      <c r="J1976" s="2">
        <v>103.92</v>
      </c>
      <c r="K1976" s="2">
        <v>757.44</v>
      </c>
      <c r="L1976" s="2">
        <v>308.04000000000002</v>
      </c>
      <c r="M1976" s="8"/>
      <c r="N1976" s="8" t="s">
        <v>10159</v>
      </c>
      <c r="O1976" s="8" t="s">
        <v>10108</v>
      </c>
      <c r="P1976" s="8" t="str">
        <f>HYPERLINK("https://seichotoushi-hojo.jp/assets/pdf/koufu_3_4ji/outline_225.pdf","PDFを開く")</f>
        <v>PDFを開く</v>
      </c>
      <c r="Q1976" s="8" t="s">
        <v>3124</v>
      </c>
    </row>
    <row r="1977" spans="1:17" ht="62.1" customHeight="1">
      <c r="A1977" s="5" t="s">
        <v>3117</v>
      </c>
      <c r="B1977" s="5" t="s">
        <v>2430</v>
      </c>
      <c r="C1977" s="9" t="s">
        <v>3118</v>
      </c>
      <c r="D1977" s="5">
        <v>1</v>
      </c>
      <c r="E1977" s="9" t="s">
        <v>10156</v>
      </c>
      <c r="F1977" s="5">
        <v>2</v>
      </c>
      <c r="G1977" s="9" t="s">
        <v>9578</v>
      </c>
      <c r="H1977" s="9" t="s">
        <v>9578</v>
      </c>
      <c r="I1977" s="5">
        <v>20.04</v>
      </c>
      <c r="J1977" s="5">
        <v>104.04</v>
      </c>
      <c r="K1977" s="5">
        <v>394.32</v>
      </c>
      <c r="L1977" s="5">
        <v>129.6</v>
      </c>
      <c r="M1977" s="9"/>
      <c r="N1977" s="9" t="s">
        <v>10159</v>
      </c>
      <c r="O1977" s="9" t="s">
        <v>9578</v>
      </c>
      <c r="P1977" s="9" t="str">
        <f>HYPERLINK("https://seichotoushi-hojo.jp/assets/pdf/koufu_3_4ji/outline_225.pdf","PDFを開く")</f>
        <v>PDFを開く</v>
      </c>
      <c r="Q1977" s="9" t="s">
        <v>3124</v>
      </c>
    </row>
    <row r="1978" spans="1:17" ht="62.1" customHeight="1">
      <c r="A1978" s="2" t="s">
        <v>3117</v>
      </c>
      <c r="B1978" s="2" t="s">
        <v>2430</v>
      </c>
      <c r="C1978" s="8" t="s">
        <v>3118</v>
      </c>
      <c r="D1978" s="2">
        <v>1</v>
      </c>
      <c r="E1978" s="8" t="s">
        <v>10156</v>
      </c>
      <c r="F1978" s="2">
        <v>3</v>
      </c>
      <c r="G1978" s="8" t="s">
        <v>10163</v>
      </c>
      <c r="H1978" s="8" t="s">
        <v>10163</v>
      </c>
      <c r="I1978" s="2">
        <v>414</v>
      </c>
      <c r="J1978" s="2">
        <v>311.27999999999997</v>
      </c>
      <c r="K1978" s="2">
        <v>757.44</v>
      </c>
      <c r="L1978" s="2">
        <v>526.44000000000005</v>
      </c>
      <c r="M1978" s="8"/>
      <c r="N1978" s="8" t="s">
        <v>10159</v>
      </c>
      <c r="O1978" s="8" t="s">
        <v>10109</v>
      </c>
      <c r="P1978" s="8" t="str">
        <f>HYPERLINK("https://seichotoushi-hojo.jp/assets/pdf/koufu_3_4ji/outline_225.pdf","PDFを開く")</f>
        <v>PDFを開く</v>
      </c>
      <c r="Q1978" s="8" t="s">
        <v>3124</v>
      </c>
    </row>
    <row r="1979" spans="1:17" ht="62.1" customHeight="1">
      <c r="A1979" s="5" t="s">
        <v>3117</v>
      </c>
      <c r="B1979" s="5" t="s">
        <v>2430</v>
      </c>
      <c r="C1979" s="9" t="s">
        <v>3118</v>
      </c>
      <c r="D1979" s="5">
        <v>1</v>
      </c>
      <c r="E1979" s="9" t="s">
        <v>10156</v>
      </c>
      <c r="F1979" s="5">
        <v>4</v>
      </c>
      <c r="G1979" s="9" t="s">
        <v>8581</v>
      </c>
      <c r="H1979" s="9" t="s">
        <v>8581</v>
      </c>
      <c r="I1979" s="5">
        <v>36.479999999999997</v>
      </c>
      <c r="J1979" s="5">
        <v>453.72</v>
      </c>
      <c r="K1979" s="5">
        <v>377.76</v>
      </c>
      <c r="L1979" s="5">
        <v>519</v>
      </c>
      <c r="M1979" s="9"/>
      <c r="N1979" s="9" t="s">
        <v>10159</v>
      </c>
      <c r="O1979" s="9" t="s">
        <v>3122</v>
      </c>
      <c r="P1979" s="9" t="str">
        <f>HYPERLINK("https://seichotoushi-hojo.jp/assets/pdf/koufu_3_4ji/outline_225.pdf","PDFを開く")</f>
        <v>PDFを開く</v>
      </c>
      <c r="Q1979" s="9" t="s">
        <v>3124</v>
      </c>
    </row>
    <row r="1980" spans="1:17" ht="62.1" customHeight="1">
      <c r="A1980" s="2" t="s">
        <v>3125</v>
      </c>
      <c r="B1980" s="2" t="s">
        <v>2430</v>
      </c>
      <c r="C1980" s="8" t="s">
        <v>3126</v>
      </c>
      <c r="D1980" s="2">
        <v>1</v>
      </c>
      <c r="E1980" s="8" t="s">
        <v>10156</v>
      </c>
      <c r="F1980" s="2">
        <v>1</v>
      </c>
      <c r="G1980" s="8" t="s">
        <v>9578</v>
      </c>
      <c r="H1980" s="8" t="s">
        <v>9578</v>
      </c>
      <c r="I1980" s="2">
        <v>11.29</v>
      </c>
      <c r="J1980" s="2">
        <v>101.81</v>
      </c>
      <c r="K1980" s="2">
        <v>378.78</v>
      </c>
      <c r="L1980" s="2">
        <v>530.47</v>
      </c>
      <c r="M1980" s="8"/>
      <c r="N1980" s="8" t="s">
        <v>10159</v>
      </c>
      <c r="O1980" s="8" t="s">
        <v>10114</v>
      </c>
      <c r="P1980" s="8" t="str">
        <f>HYPERLINK("https://seichotoushi-hojo.jp/assets/pdf/koufu_3_4ji/outline_226.pdf","PDFを開く")</f>
        <v>PDFを開く</v>
      </c>
      <c r="Q1980" s="8" t="s">
        <v>3132</v>
      </c>
    </row>
    <row r="1981" spans="1:17" ht="62.1" customHeight="1">
      <c r="A1981" s="5" t="s">
        <v>3125</v>
      </c>
      <c r="B1981" s="5" t="s">
        <v>2430</v>
      </c>
      <c r="C1981" s="9" t="s">
        <v>3126</v>
      </c>
      <c r="D1981" s="5">
        <v>1</v>
      </c>
      <c r="E1981" s="9" t="s">
        <v>10156</v>
      </c>
      <c r="F1981" s="5">
        <v>2</v>
      </c>
      <c r="G1981" s="9" t="s">
        <v>10162</v>
      </c>
      <c r="H1981" s="9" t="s">
        <v>10162</v>
      </c>
      <c r="I1981" s="5">
        <v>408.38</v>
      </c>
      <c r="J1981" s="5">
        <v>122.52</v>
      </c>
      <c r="K1981" s="5">
        <v>774.86</v>
      </c>
      <c r="L1981" s="5">
        <v>306.66000000000003</v>
      </c>
      <c r="M1981" s="9"/>
      <c r="N1981" s="9" t="s">
        <v>10159</v>
      </c>
      <c r="O1981" s="9" t="s">
        <v>10115</v>
      </c>
      <c r="P1981" s="9" t="str">
        <f>HYPERLINK("https://seichotoushi-hojo.jp/assets/pdf/koufu_3_4ji/outline_226.pdf","PDFを開く")</f>
        <v>PDFを開く</v>
      </c>
      <c r="Q1981" s="9" t="s">
        <v>3132</v>
      </c>
    </row>
    <row r="1982" spans="1:17" ht="62.1" customHeight="1">
      <c r="A1982" s="2" t="s">
        <v>3125</v>
      </c>
      <c r="B1982" s="2" t="s">
        <v>2430</v>
      </c>
      <c r="C1982" s="8" t="s">
        <v>3126</v>
      </c>
      <c r="D1982" s="2">
        <v>1</v>
      </c>
      <c r="E1982" s="8" t="s">
        <v>10156</v>
      </c>
      <c r="F1982" s="2">
        <v>3</v>
      </c>
      <c r="G1982" s="8" t="s">
        <v>10163</v>
      </c>
      <c r="H1982" s="8" t="s">
        <v>10163</v>
      </c>
      <c r="I1982" s="2">
        <v>408.38</v>
      </c>
      <c r="J1982" s="2">
        <v>339.95</v>
      </c>
      <c r="K1982" s="2">
        <v>774.86</v>
      </c>
      <c r="L1982" s="2">
        <v>524.09</v>
      </c>
      <c r="M1982" s="8"/>
      <c r="N1982" s="8" t="s">
        <v>10159</v>
      </c>
      <c r="O1982" s="8" t="s">
        <v>10116</v>
      </c>
      <c r="P1982" s="8" t="str">
        <f>HYPERLINK("https://seichotoushi-hojo.jp/assets/pdf/koufu_3_4ji/outline_226.pdf","PDFを開く")</f>
        <v>PDFを開く</v>
      </c>
      <c r="Q1982" s="8" t="s">
        <v>3132</v>
      </c>
    </row>
    <row r="1983" spans="1:17" ht="62.1" customHeight="1">
      <c r="A1983" s="5" t="s">
        <v>3125</v>
      </c>
      <c r="B1983" s="5" t="s">
        <v>2430</v>
      </c>
      <c r="C1983" s="9" t="s">
        <v>3126</v>
      </c>
      <c r="D1983" s="5">
        <v>1</v>
      </c>
      <c r="E1983" s="9" t="s">
        <v>10156</v>
      </c>
      <c r="F1983" s="5">
        <v>4</v>
      </c>
      <c r="G1983" s="9" t="s">
        <v>8581</v>
      </c>
      <c r="H1983" s="9" t="s">
        <v>8581</v>
      </c>
      <c r="I1983" s="5">
        <v>20.86</v>
      </c>
      <c r="J1983" s="5">
        <v>473.22</v>
      </c>
      <c r="K1983" s="5">
        <v>369.21</v>
      </c>
      <c r="L1983" s="5">
        <v>527.72</v>
      </c>
      <c r="M1983" s="9"/>
      <c r="N1983" s="9" t="s">
        <v>10159</v>
      </c>
      <c r="O1983" s="9" t="s">
        <v>3130</v>
      </c>
      <c r="P1983" s="9" t="str">
        <f>HYPERLINK("https://seichotoushi-hojo.jp/assets/pdf/koufu_3_4ji/outline_226.pdf","PDFを開く")</f>
        <v>PDFを開く</v>
      </c>
      <c r="Q1983" s="9" t="s">
        <v>3132</v>
      </c>
    </row>
    <row r="1984" spans="1:17" ht="62.1" customHeight="1">
      <c r="A1984" s="2" t="s">
        <v>3133</v>
      </c>
      <c r="B1984" s="2" t="s">
        <v>2430</v>
      </c>
      <c r="C1984" s="8" t="s">
        <v>3134</v>
      </c>
      <c r="D1984" s="2">
        <v>1</v>
      </c>
      <c r="E1984" s="8" t="s">
        <v>10156</v>
      </c>
      <c r="F1984" s="2">
        <v>1</v>
      </c>
      <c r="G1984" s="8" t="s">
        <v>9578</v>
      </c>
      <c r="H1984" s="8" t="s">
        <v>9578</v>
      </c>
      <c r="I1984" s="2">
        <v>40.22</v>
      </c>
      <c r="J1984" s="2">
        <v>165.93</v>
      </c>
      <c r="K1984" s="2">
        <v>379.35</v>
      </c>
      <c r="L1984" s="2">
        <v>497.79</v>
      </c>
      <c r="M1984" s="8"/>
      <c r="N1984" s="8" t="s">
        <v>10159</v>
      </c>
      <c r="O1984" s="8" t="s">
        <v>10121</v>
      </c>
      <c r="P1984" s="8" t="str">
        <f>HYPERLINK("https://seichotoushi-hojo.jp/assets/pdf/koufu_3_4ji/outline_227.pdf","PDFを開く")</f>
        <v>PDFを開く</v>
      </c>
      <c r="Q1984" s="8" t="s">
        <v>3140</v>
      </c>
    </row>
    <row r="1985" spans="1:17" ht="62.1" customHeight="1">
      <c r="A1985" s="5" t="s">
        <v>3133</v>
      </c>
      <c r="B1985" s="5" t="s">
        <v>2430</v>
      </c>
      <c r="C1985" s="9" t="s">
        <v>3134</v>
      </c>
      <c r="D1985" s="5">
        <v>1</v>
      </c>
      <c r="E1985" s="9" t="s">
        <v>10156</v>
      </c>
      <c r="F1985" s="5">
        <v>2</v>
      </c>
      <c r="G1985" s="9" t="s">
        <v>10162</v>
      </c>
      <c r="H1985" s="9" t="s">
        <v>10162</v>
      </c>
      <c r="I1985" s="5">
        <v>396.3</v>
      </c>
      <c r="J1985" s="5">
        <v>170.15</v>
      </c>
      <c r="K1985" s="5">
        <v>739.78</v>
      </c>
      <c r="L1985" s="5">
        <v>328.45</v>
      </c>
      <c r="M1985" s="9"/>
      <c r="N1985" s="9" t="s">
        <v>10159</v>
      </c>
      <c r="O1985" s="9" t="s">
        <v>10122</v>
      </c>
      <c r="P1985" s="9" t="str">
        <f>HYPERLINK("https://seichotoushi-hojo.jp/assets/pdf/koufu_3_4ji/outline_227.pdf","PDFを開く")</f>
        <v>PDFを開く</v>
      </c>
      <c r="Q1985" s="9" t="s">
        <v>3140</v>
      </c>
    </row>
    <row r="1986" spans="1:17" ht="62.1" customHeight="1">
      <c r="A1986" s="2" t="s">
        <v>3133</v>
      </c>
      <c r="B1986" s="2" t="s">
        <v>2430</v>
      </c>
      <c r="C1986" s="8" t="s">
        <v>3134</v>
      </c>
      <c r="D1986" s="2">
        <v>1</v>
      </c>
      <c r="E1986" s="8" t="s">
        <v>10156</v>
      </c>
      <c r="F1986" s="2">
        <v>3</v>
      </c>
      <c r="G1986" s="8" t="s">
        <v>10163</v>
      </c>
      <c r="H1986" s="8" t="s">
        <v>10163</v>
      </c>
      <c r="I1986" s="2">
        <v>396.3</v>
      </c>
      <c r="J1986" s="2">
        <v>341.43</v>
      </c>
      <c r="K1986" s="2">
        <v>739.78</v>
      </c>
      <c r="L1986" s="2">
        <v>499.73</v>
      </c>
      <c r="M1986" s="8"/>
      <c r="N1986" s="8" t="s">
        <v>10159</v>
      </c>
      <c r="O1986" s="8" t="s">
        <v>10123</v>
      </c>
      <c r="P1986" s="8" t="str">
        <f>HYPERLINK("https://seichotoushi-hojo.jp/assets/pdf/koufu_3_4ji/outline_227.pdf","PDFを開く")</f>
        <v>PDFを開く</v>
      </c>
      <c r="Q1986" s="8" t="s">
        <v>3140</v>
      </c>
    </row>
    <row r="1987" spans="1:17" ht="62.1" customHeight="1">
      <c r="A1987" s="5" t="s">
        <v>3133</v>
      </c>
      <c r="B1987" s="5" t="s">
        <v>2430</v>
      </c>
      <c r="C1987" s="9" t="s">
        <v>3134</v>
      </c>
      <c r="D1987" s="5">
        <v>1</v>
      </c>
      <c r="E1987" s="9" t="s">
        <v>10156</v>
      </c>
      <c r="F1987" s="5">
        <v>4</v>
      </c>
      <c r="G1987" s="9" t="s">
        <v>8581</v>
      </c>
      <c r="H1987" s="9" t="s">
        <v>8581</v>
      </c>
      <c r="I1987" s="5">
        <v>48</v>
      </c>
      <c r="J1987" s="5">
        <v>418.5</v>
      </c>
      <c r="K1987" s="5">
        <v>367.5</v>
      </c>
      <c r="L1987" s="5">
        <v>486.75</v>
      </c>
      <c r="M1987" s="9"/>
      <c r="N1987" s="9" t="s">
        <v>10159</v>
      </c>
      <c r="O1987" s="9" t="s">
        <v>3138</v>
      </c>
      <c r="P1987" s="9" t="str">
        <f>HYPERLINK("https://seichotoushi-hojo.jp/assets/pdf/koufu_3_4ji/outline_227.pdf","PDFを開く")</f>
        <v>PDFを開く</v>
      </c>
      <c r="Q1987" s="9" t="s">
        <v>3140</v>
      </c>
    </row>
    <row r="1988" spans="1:17" ht="62.1" customHeight="1">
      <c r="A1988" s="2" t="s">
        <v>3133</v>
      </c>
      <c r="B1988" s="2" t="s">
        <v>2430</v>
      </c>
      <c r="C1988" s="8" t="s">
        <v>3134</v>
      </c>
      <c r="D1988" s="2">
        <v>2</v>
      </c>
      <c r="E1988" s="8" t="s">
        <v>10165</v>
      </c>
      <c r="F1988" s="2">
        <v>1</v>
      </c>
      <c r="G1988" s="8" t="s">
        <v>10167</v>
      </c>
      <c r="H1988" s="8" t="s">
        <v>10940</v>
      </c>
      <c r="I1988" s="2">
        <v>129.31</v>
      </c>
      <c r="J1988" s="2">
        <v>398.49</v>
      </c>
      <c r="K1988" s="2">
        <v>744.3</v>
      </c>
      <c r="L1988" s="2">
        <v>425.62</v>
      </c>
      <c r="M1988" s="8"/>
      <c r="N1988" s="8" t="s">
        <v>10159</v>
      </c>
      <c r="O1988" s="8" t="s">
        <v>10940</v>
      </c>
      <c r="P1988" s="8" t="str">
        <f>HYPERLINK("https://seichotoushi-hojo.jp/assets/pdf/koufu_3_4ji/outline_227.pdf","PDFを開く")</f>
        <v>PDFを開く</v>
      </c>
      <c r="Q1988" s="8" t="s">
        <v>3140</v>
      </c>
    </row>
    <row r="1989" spans="1:17" ht="62.1" customHeight="1">
      <c r="A1989" s="5" t="s">
        <v>3141</v>
      </c>
      <c r="B1989" s="5" t="s">
        <v>2430</v>
      </c>
      <c r="C1989" s="9" t="s">
        <v>3142</v>
      </c>
      <c r="D1989" s="5">
        <v>1</v>
      </c>
      <c r="E1989" s="9" t="s">
        <v>10156</v>
      </c>
      <c r="F1989" s="5">
        <v>1</v>
      </c>
      <c r="G1989" s="9" t="s">
        <v>9578</v>
      </c>
      <c r="H1989" s="9" t="s">
        <v>9578</v>
      </c>
      <c r="I1989" s="5">
        <v>24.61</v>
      </c>
      <c r="J1989" s="5">
        <v>121.56</v>
      </c>
      <c r="K1989" s="5">
        <v>378.78</v>
      </c>
      <c r="L1989" s="5">
        <v>499.73</v>
      </c>
      <c r="M1989" s="9"/>
      <c r="N1989" s="9" t="s">
        <v>10159</v>
      </c>
      <c r="O1989" s="9" t="s">
        <v>10128</v>
      </c>
      <c r="P1989" s="9" t="str">
        <f>HYPERLINK("https://seichotoushi-hojo.jp/assets/pdf/koufu_3_4ji/outline_228.pdf","PDFを開く")</f>
        <v>PDFを開く</v>
      </c>
      <c r="Q1989" s="9" t="s">
        <v>3148</v>
      </c>
    </row>
    <row r="1990" spans="1:17" ht="62.1" customHeight="1">
      <c r="A1990" s="2" t="s">
        <v>3141</v>
      </c>
      <c r="B1990" s="2" t="s">
        <v>2430</v>
      </c>
      <c r="C1990" s="8" t="s">
        <v>3142</v>
      </c>
      <c r="D1990" s="2">
        <v>1</v>
      </c>
      <c r="E1990" s="8" t="s">
        <v>10156</v>
      </c>
      <c r="F1990" s="2">
        <v>2</v>
      </c>
      <c r="G1990" s="8" t="s">
        <v>8581</v>
      </c>
      <c r="H1990" s="8" t="s">
        <v>8581</v>
      </c>
      <c r="I1990" s="2">
        <v>49.47</v>
      </c>
      <c r="J1990" s="2">
        <v>420.39</v>
      </c>
      <c r="K1990" s="2">
        <v>368.97</v>
      </c>
      <c r="L1990" s="2">
        <v>477.35</v>
      </c>
      <c r="M1990" s="8"/>
      <c r="N1990" s="8" t="s">
        <v>10159</v>
      </c>
      <c r="O1990" s="8" t="s">
        <v>3145</v>
      </c>
      <c r="P1990" s="8" t="str">
        <f>HYPERLINK("https://seichotoushi-hojo.jp/assets/pdf/koufu_3_4ji/outline_228.pdf","PDFを開く")</f>
        <v>PDFを開く</v>
      </c>
      <c r="Q1990" s="8" t="s">
        <v>3148</v>
      </c>
    </row>
    <row r="1991" spans="1:17" ht="62.1" customHeight="1">
      <c r="A1991" s="5" t="s">
        <v>3149</v>
      </c>
      <c r="B1991" s="5" t="s">
        <v>2430</v>
      </c>
      <c r="C1991" s="9" t="s">
        <v>3150</v>
      </c>
      <c r="D1991" s="5">
        <v>1</v>
      </c>
      <c r="E1991" s="9" t="s">
        <v>10156</v>
      </c>
      <c r="F1991" s="5">
        <v>1</v>
      </c>
      <c r="G1991" s="9" t="s">
        <v>9578</v>
      </c>
      <c r="H1991" s="9" t="s">
        <v>9578</v>
      </c>
      <c r="I1991" s="5">
        <v>8.7799999999999994</v>
      </c>
      <c r="J1991" s="5">
        <v>99.69</v>
      </c>
      <c r="K1991" s="5">
        <v>401.7</v>
      </c>
      <c r="L1991" s="5">
        <v>459.65</v>
      </c>
      <c r="M1991" s="9"/>
      <c r="N1991" s="9" t="s">
        <v>10181</v>
      </c>
      <c r="O1991" s="9" t="s">
        <v>10133</v>
      </c>
      <c r="P1991" s="9" t="str">
        <f>HYPERLINK("https://seichotoushi-hojo.jp/assets/pdf/koufu_3_4ji/outline_230.pdf","PDFを開く")</f>
        <v>PDFを開く</v>
      </c>
      <c r="Q1991" s="9" t="s">
        <v>3154</v>
      </c>
    </row>
    <row r="1992" spans="1:17" ht="62.1" customHeight="1">
      <c r="A1992" s="2" t="s">
        <v>3149</v>
      </c>
      <c r="B1992" s="2" t="s">
        <v>2430</v>
      </c>
      <c r="C1992" s="8" t="s">
        <v>3150</v>
      </c>
      <c r="D1992" s="2">
        <v>1</v>
      </c>
      <c r="E1992" s="8" t="s">
        <v>10156</v>
      </c>
      <c r="F1992" s="2">
        <v>2</v>
      </c>
      <c r="G1992" s="8" t="s">
        <v>10162</v>
      </c>
      <c r="H1992" s="8" t="s">
        <v>10162</v>
      </c>
      <c r="I1992" s="2">
        <v>429.38</v>
      </c>
      <c r="J1992" s="2">
        <v>110.68</v>
      </c>
      <c r="K1992" s="2">
        <v>754.43</v>
      </c>
      <c r="L1992" s="2">
        <v>347.67</v>
      </c>
      <c r="M1992" s="8"/>
      <c r="N1992" s="8" t="s">
        <v>10159</v>
      </c>
      <c r="O1992" s="8" t="s">
        <v>10134</v>
      </c>
      <c r="P1992" s="8" t="str">
        <f>HYPERLINK("https://seichotoushi-hojo.jp/assets/pdf/koufu_3_4ji/outline_230.pdf","PDFを開く")</f>
        <v>PDFを開く</v>
      </c>
      <c r="Q1992" s="8" t="s">
        <v>3154</v>
      </c>
    </row>
    <row r="1993" spans="1:17" ht="62.1" customHeight="1">
      <c r="A1993" s="5" t="s">
        <v>3149</v>
      </c>
      <c r="B1993" s="5" t="s">
        <v>2430</v>
      </c>
      <c r="C1993" s="9" t="s">
        <v>3150</v>
      </c>
      <c r="D1993" s="5">
        <v>1</v>
      </c>
      <c r="E1993" s="9" t="s">
        <v>10156</v>
      </c>
      <c r="F1993" s="5">
        <v>3</v>
      </c>
      <c r="G1993" s="9" t="s">
        <v>10163</v>
      </c>
      <c r="H1993" s="9" t="s">
        <v>10163</v>
      </c>
      <c r="I1993" s="5">
        <v>429.38</v>
      </c>
      <c r="J1993" s="5">
        <v>358.97</v>
      </c>
      <c r="K1993" s="5">
        <v>754.43</v>
      </c>
      <c r="L1993" s="5">
        <v>528.46</v>
      </c>
      <c r="M1993" s="9"/>
      <c r="N1993" s="9" t="s">
        <v>10159</v>
      </c>
      <c r="O1993" s="9" t="s">
        <v>10135</v>
      </c>
      <c r="P1993" s="9" t="str">
        <f>HYPERLINK("https://seichotoushi-hojo.jp/assets/pdf/koufu_3_4ji/outline_230.pdf","PDFを開く")</f>
        <v>PDFを開く</v>
      </c>
      <c r="Q1993" s="9" t="s">
        <v>3154</v>
      </c>
    </row>
    <row r="1994" spans="1:17" ht="62.1" customHeight="1">
      <c r="A1994" s="2" t="s">
        <v>3149</v>
      </c>
      <c r="B1994" s="2" t="s">
        <v>2430</v>
      </c>
      <c r="C1994" s="8" t="s">
        <v>3150</v>
      </c>
      <c r="D1994" s="2">
        <v>1</v>
      </c>
      <c r="E1994" s="8" t="s">
        <v>10156</v>
      </c>
      <c r="F1994" s="2">
        <v>4</v>
      </c>
      <c r="G1994" s="8" t="s">
        <v>8581</v>
      </c>
      <c r="H1994" s="8" t="s">
        <v>8581</v>
      </c>
      <c r="I1994" s="2">
        <v>40.299999999999997</v>
      </c>
      <c r="J1994" s="2">
        <v>458.84</v>
      </c>
      <c r="K1994" s="2">
        <v>401</v>
      </c>
      <c r="L1994" s="2">
        <v>528.46</v>
      </c>
      <c r="M1994" s="8"/>
      <c r="N1994" s="8" t="s">
        <v>10159</v>
      </c>
      <c r="O1994" s="8" t="s">
        <v>10136</v>
      </c>
      <c r="P1994" s="8" t="str">
        <f>HYPERLINK("https://seichotoushi-hojo.jp/assets/pdf/koufu_3_4ji/outline_230.pdf","PDFを開く")</f>
        <v>PDFを開く</v>
      </c>
      <c r="Q1994" s="8" t="s">
        <v>3154</v>
      </c>
    </row>
    <row r="1995" spans="1:17" ht="62.1" customHeight="1">
      <c r="A1995" s="5" t="s">
        <v>3155</v>
      </c>
      <c r="B1995" s="5" t="s">
        <v>2430</v>
      </c>
      <c r="C1995" s="9" t="s">
        <v>3156</v>
      </c>
      <c r="D1995" s="5">
        <v>1</v>
      </c>
      <c r="E1995" s="9" t="s">
        <v>10156</v>
      </c>
      <c r="F1995" s="5">
        <v>1</v>
      </c>
      <c r="G1995" s="9" t="s">
        <v>10167</v>
      </c>
      <c r="H1995" s="9" t="s">
        <v>10941</v>
      </c>
      <c r="I1995" s="5">
        <v>452.04</v>
      </c>
      <c r="J1995" s="5">
        <v>99.6</v>
      </c>
      <c r="K1995" s="5">
        <v>769.2</v>
      </c>
      <c r="L1995" s="5">
        <v>312.12</v>
      </c>
      <c r="M1995" s="9"/>
      <c r="N1995" s="9" t="s">
        <v>10159</v>
      </c>
      <c r="O1995" s="9" t="s">
        <v>10942</v>
      </c>
      <c r="P1995" s="9" t="str">
        <f>HYPERLINK("https://seichotoushi-hojo.jp/assets/pdf/koufu_3_4ji/outline_231.pdf","PDFを開く")</f>
        <v>PDFを開く</v>
      </c>
      <c r="Q1995" s="9" t="s">
        <v>3162</v>
      </c>
    </row>
    <row r="1996" spans="1:17" ht="62.1" customHeight="1">
      <c r="A1996" s="2" t="s">
        <v>3155</v>
      </c>
      <c r="B1996" s="2" t="s">
        <v>2430</v>
      </c>
      <c r="C1996" s="8" t="s">
        <v>3156</v>
      </c>
      <c r="D1996" s="2">
        <v>1</v>
      </c>
      <c r="E1996" s="8" t="s">
        <v>10156</v>
      </c>
      <c r="F1996" s="2">
        <v>2</v>
      </c>
      <c r="G1996" s="8" t="s">
        <v>9578</v>
      </c>
      <c r="H1996" s="8" t="s">
        <v>9578</v>
      </c>
      <c r="I1996" s="2">
        <v>13.08</v>
      </c>
      <c r="J1996" s="2">
        <v>100.92</v>
      </c>
      <c r="K1996" s="2">
        <v>401.52</v>
      </c>
      <c r="L1996" s="2">
        <v>126</v>
      </c>
      <c r="M1996" s="8"/>
      <c r="N1996" s="8" t="s">
        <v>10159</v>
      </c>
      <c r="O1996" s="8" t="s">
        <v>9578</v>
      </c>
      <c r="P1996" s="8" t="str">
        <f>HYPERLINK("https://seichotoushi-hojo.jp/assets/pdf/koufu_3_4ji/outline_231.pdf","PDFを開く")</f>
        <v>PDFを開く</v>
      </c>
      <c r="Q1996" s="8" t="s">
        <v>3162</v>
      </c>
    </row>
    <row r="1997" spans="1:17" ht="62.1" customHeight="1">
      <c r="A1997" s="5" t="s">
        <v>3155</v>
      </c>
      <c r="B1997" s="5" t="s">
        <v>2430</v>
      </c>
      <c r="C1997" s="9" t="s">
        <v>3156</v>
      </c>
      <c r="D1997" s="5">
        <v>1</v>
      </c>
      <c r="E1997" s="9" t="s">
        <v>10156</v>
      </c>
      <c r="F1997" s="5">
        <v>3</v>
      </c>
      <c r="G1997" s="9" t="s">
        <v>10167</v>
      </c>
      <c r="H1997" s="9" t="s">
        <v>10943</v>
      </c>
      <c r="I1997" s="5">
        <v>452.04</v>
      </c>
      <c r="J1997" s="5">
        <v>321.95999999999998</v>
      </c>
      <c r="K1997" s="5">
        <v>769.2</v>
      </c>
      <c r="L1997" s="5">
        <v>531.72</v>
      </c>
      <c r="M1997" s="9"/>
      <c r="N1997" s="9" t="s">
        <v>10159</v>
      </c>
      <c r="O1997" s="9" t="s">
        <v>10944</v>
      </c>
      <c r="P1997" s="9" t="str">
        <f>HYPERLINK("https://seichotoushi-hojo.jp/assets/pdf/koufu_3_4ji/outline_231.pdf","PDFを開く")</f>
        <v>PDFを開く</v>
      </c>
      <c r="Q1997" s="9" t="s">
        <v>3162</v>
      </c>
    </row>
    <row r="1998" spans="1:17" ht="62.1" customHeight="1">
      <c r="A1998" s="2" t="s">
        <v>3155</v>
      </c>
      <c r="B1998" s="2" t="s">
        <v>2430</v>
      </c>
      <c r="C1998" s="8" t="s">
        <v>3156</v>
      </c>
      <c r="D1998" s="2">
        <v>1</v>
      </c>
      <c r="E1998" s="8" t="s">
        <v>10156</v>
      </c>
      <c r="F1998" s="2">
        <v>4</v>
      </c>
      <c r="G1998" s="8" t="s">
        <v>8581</v>
      </c>
      <c r="H1998" s="8" t="s">
        <v>8581</v>
      </c>
      <c r="I1998" s="2">
        <v>19.2</v>
      </c>
      <c r="J1998" s="2">
        <v>467.64</v>
      </c>
      <c r="K1998" s="2">
        <v>393.36</v>
      </c>
      <c r="L1998" s="2">
        <v>527.28</v>
      </c>
      <c r="M1998" s="8"/>
      <c r="N1998" s="8" t="s">
        <v>10159</v>
      </c>
      <c r="O1998" s="8" t="s">
        <v>3160</v>
      </c>
      <c r="P1998" s="8" t="str">
        <f>HYPERLINK("https://seichotoushi-hojo.jp/assets/pdf/koufu_3_4ji/outline_231.pdf","PDFを開く")</f>
        <v>PDFを開く</v>
      </c>
      <c r="Q1998" s="8" t="s">
        <v>3162</v>
      </c>
    </row>
    <row r="1999" spans="1:17" ht="62.1" customHeight="1">
      <c r="A1999" s="6" t="s">
        <v>3155</v>
      </c>
      <c r="B1999" s="6" t="s">
        <v>2430</v>
      </c>
      <c r="C1999" s="10" t="s">
        <v>3156</v>
      </c>
      <c r="D1999" s="6">
        <v>2</v>
      </c>
      <c r="E1999" s="10" t="s">
        <v>10165</v>
      </c>
      <c r="F1999" s="6">
        <v>1</v>
      </c>
      <c r="G1999" s="10" t="s">
        <v>10157</v>
      </c>
      <c r="H1999" s="10" t="s">
        <v>10157</v>
      </c>
      <c r="I1999" s="6">
        <v>34.08</v>
      </c>
      <c r="J1999" s="6">
        <v>42.48</v>
      </c>
      <c r="K1999" s="6">
        <v>748.32</v>
      </c>
      <c r="L1999" s="6">
        <v>90.72</v>
      </c>
      <c r="M1999" s="10"/>
      <c r="N1999" s="10" t="s">
        <v>10159</v>
      </c>
      <c r="O1999" s="10" t="s">
        <v>10141</v>
      </c>
      <c r="P1999" s="10" t="str">
        <f>HYPERLINK("https://seichotoushi-hojo.jp/assets/pdf/koufu_3_4ji/outline_231.pdf","PDFを開く")</f>
        <v>PDFを開く</v>
      </c>
      <c r="Q1999" s="10" t="s">
        <v>3162</v>
      </c>
    </row>
  </sheetData>
  <mergeCells count="2">
    <mergeCell ref="A1:Q1"/>
    <mergeCell ref="A2:Q2"/>
  </mergeCells>
  <phoneticPr fontId="8"/>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35"/>
  <sheetViews>
    <sheetView showGridLines="0" workbookViewId="0"/>
  </sheetViews>
  <sheetFormatPr defaultRowHeight="14.25"/>
  <cols>
    <col min="1" max="1" width="19" customWidth="1"/>
    <col min="2" max="2" width="7" customWidth="1"/>
    <col min="3" max="3" width="25" customWidth="1"/>
    <col min="4" max="4" width="8" customWidth="1"/>
    <col min="5" max="5" width="24" customWidth="1"/>
    <col min="6" max="6" width="9" customWidth="1"/>
    <col min="7" max="7" width="27" customWidth="1"/>
    <col min="8" max="8" width="38" customWidth="1"/>
    <col min="9" max="9" width="18" customWidth="1"/>
    <col min="10" max="10" width="25" customWidth="1"/>
    <col min="11" max="11" width="100" customWidth="1"/>
    <col min="12" max="12" width="48" customWidth="1"/>
    <col min="13" max="13" width="65" customWidth="1"/>
  </cols>
  <sheetData>
    <row r="1" spans="1:13" ht="30" customHeight="1">
      <c r="A1" s="24" t="s">
        <v>10945</v>
      </c>
      <c r="B1" s="24"/>
      <c r="C1" s="24"/>
      <c r="D1" s="24"/>
      <c r="E1" s="24"/>
      <c r="F1" s="24"/>
      <c r="G1" s="24"/>
      <c r="H1" s="24"/>
      <c r="I1" s="24"/>
      <c r="J1" s="24"/>
      <c r="K1" s="24"/>
      <c r="L1" s="24"/>
      <c r="M1" s="24"/>
    </row>
    <row r="2" spans="1:13" ht="38.1" customHeight="1">
      <c r="A2" s="25" t="s">
        <v>10946</v>
      </c>
      <c r="B2" s="25"/>
      <c r="C2" s="25"/>
      <c r="D2" s="25"/>
      <c r="E2" s="25"/>
      <c r="F2" s="25"/>
      <c r="G2" s="25"/>
      <c r="H2" s="25"/>
      <c r="I2" s="25"/>
      <c r="J2" s="25"/>
      <c r="K2" s="25"/>
      <c r="L2" s="25"/>
      <c r="M2" s="25"/>
    </row>
    <row r="4" spans="1:13" ht="45.95" customHeight="1">
      <c r="A4" s="1" t="s">
        <v>2</v>
      </c>
      <c r="B4" s="1" t="s">
        <v>3</v>
      </c>
      <c r="C4" s="1" t="s">
        <v>4</v>
      </c>
      <c r="D4" s="1" t="s">
        <v>3165</v>
      </c>
      <c r="E4" s="1" t="s">
        <v>10147</v>
      </c>
      <c r="F4" s="1" t="s">
        <v>10148</v>
      </c>
      <c r="G4" s="1" t="s">
        <v>10149</v>
      </c>
      <c r="H4" s="1" t="s">
        <v>10150</v>
      </c>
      <c r="I4" s="1" t="s">
        <v>10155</v>
      </c>
      <c r="J4" s="1" t="s">
        <v>7324</v>
      </c>
      <c r="K4" s="1" t="s">
        <v>7326</v>
      </c>
      <c r="L4" s="1" t="s">
        <v>65</v>
      </c>
      <c r="M4" s="1" t="s">
        <v>67</v>
      </c>
    </row>
    <row r="5" spans="1:13" ht="66" customHeight="1">
      <c r="A5" s="4" t="s">
        <v>72</v>
      </c>
      <c r="B5" s="4" t="s">
        <v>73</v>
      </c>
      <c r="C5" s="7" t="s">
        <v>74</v>
      </c>
      <c r="D5" s="4">
        <v>1</v>
      </c>
      <c r="E5" s="7" t="s">
        <v>10156</v>
      </c>
      <c r="F5" s="4">
        <v>1</v>
      </c>
      <c r="G5" s="7" t="s">
        <v>10157</v>
      </c>
      <c r="H5" s="7" t="s">
        <v>10157</v>
      </c>
      <c r="I5" s="7" t="s">
        <v>10158</v>
      </c>
      <c r="J5" s="7" t="s">
        <v>10159</v>
      </c>
      <c r="K5" s="7" t="s">
        <v>10160</v>
      </c>
      <c r="L5" s="7" t="str">
        <f>HYPERLINK("https://seichotoushi-hojo.jp/assets/pdf/koufu/outline_1.pdf","PDFを開く")</f>
        <v>PDFを開く</v>
      </c>
      <c r="M5" s="7" t="s">
        <v>89</v>
      </c>
    </row>
    <row r="6" spans="1:13" ht="66" customHeight="1">
      <c r="A6" s="2" t="s">
        <v>72</v>
      </c>
      <c r="B6" s="2" t="s">
        <v>73</v>
      </c>
      <c r="C6" s="8" t="s">
        <v>74</v>
      </c>
      <c r="D6" s="2">
        <v>1</v>
      </c>
      <c r="E6" s="8" t="s">
        <v>10156</v>
      </c>
      <c r="F6" s="2">
        <v>5</v>
      </c>
      <c r="G6" s="8" t="s">
        <v>8581</v>
      </c>
      <c r="H6" s="8" t="s">
        <v>8581</v>
      </c>
      <c r="I6" s="8"/>
      <c r="J6" s="8" t="s">
        <v>10159</v>
      </c>
      <c r="K6" s="8" t="s">
        <v>85</v>
      </c>
      <c r="L6" s="8" t="str">
        <f>HYPERLINK("https://seichotoushi-hojo.jp/assets/pdf/koufu/outline_1.pdf","PDFを開く")</f>
        <v>PDFを開く</v>
      </c>
      <c r="M6" s="8" t="s">
        <v>89</v>
      </c>
    </row>
    <row r="7" spans="1:13" ht="66" customHeight="1">
      <c r="A7" s="5" t="s">
        <v>72</v>
      </c>
      <c r="B7" s="5" t="s">
        <v>73</v>
      </c>
      <c r="C7" s="9" t="s">
        <v>74</v>
      </c>
      <c r="D7" s="5">
        <v>2</v>
      </c>
      <c r="E7" s="9" t="s">
        <v>10165</v>
      </c>
      <c r="F7" s="5">
        <v>1</v>
      </c>
      <c r="G7" s="9" t="s">
        <v>10157</v>
      </c>
      <c r="H7" s="9" t="s">
        <v>10157</v>
      </c>
      <c r="I7" s="9" t="s">
        <v>10158</v>
      </c>
      <c r="J7" s="9" t="s">
        <v>10159</v>
      </c>
      <c r="K7" s="9" t="s">
        <v>10166</v>
      </c>
      <c r="L7" s="9" t="str">
        <f>HYPERLINK("https://seichotoushi-hojo.jp/assets/pdf/koufu/outline_1.pdf","PDFを開く")</f>
        <v>PDFを開く</v>
      </c>
      <c r="M7" s="9" t="s">
        <v>89</v>
      </c>
    </row>
    <row r="8" spans="1:13" ht="66" customHeight="1">
      <c r="A8" s="2" t="s">
        <v>72</v>
      </c>
      <c r="B8" s="2" t="s">
        <v>73</v>
      </c>
      <c r="C8" s="8" t="s">
        <v>74</v>
      </c>
      <c r="D8" s="2">
        <v>2</v>
      </c>
      <c r="E8" s="8" t="s">
        <v>10165</v>
      </c>
      <c r="F8" s="2">
        <v>2</v>
      </c>
      <c r="G8" s="8" t="s">
        <v>10167</v>
      </c>
      <c r="H8" s="8" t="s">
        <v>10168</v>
      </c>
      <c r="I8" s="8"/>
      <c r="J8" s="8" t="s">
        <v>10159</v>
      </c>
      <c r="K8" s="8" t="s">
        <v>10169</v>
      </c>
      <c r="L8" s="8" t="str">
        <f>HYPERLINK("https://seichotoushi-hojo.jp/assets/pdf/koufu/outline_1.pdf","PDFを開く")</f>
        <v>PDFを開く</v>
      </c>
      <c r="M8" s="8" t="s">
        <v>89</v>
      </c>
    </row>
    <row r="9" spans="1:13" ht="66" customHeight="1">
      <c r="A9" s="5" t="s">
        <v>93</v>
      </c>
      <c r="B9" s="5" t="s">
        <v>73</v>
      </c>
      <c r="C9" s="9" t="s">
        <v>94</v>
      </c>
      <c r="D9" s="5">
        <v>1</v>
      </c>
      <c r="E9" s="9" t="s">
        <v>10156</v>
      </c>
      <c r="F9" s="5">
        <v>1</v>
      </c>
      <c r="G9" s="9" t="s">
        <v>10157</v>
      </c>
      <c r="H9" s="9" t="s">
        <v>10157</v>
      </c>
      <c r="I9" s="9"/>
      <c r="J9" s="9" t="s">
        <v>10159</v>
      </c>
      <c r="K9" s="9" t="s">
        <v>10170</v>
      </c>
      <c r="L9" s="9" t="str">
        <f t="shared" ref="L9:L16" si="0">HYPERLINK("https://seichotoushi-hojo.jp/assets/pdf/koufu/outline_10.pdf","PDFを開く")</f>
        <v>PDFを開く</v>
      </c>
      <c r="M9" s="9" t="s">
        <v>104</v>
      </c>
    </row>
    <row r="10" spans="1:13" ht="66" customHeight="1">
      <c r="A10" s="2" t="s">
        <v>93</v>
      </c>
      <c r="B10" s="2" t="s">
        <v>73</v>
      </c>
      <c r="C10" s="8" t="s">
        <v>94</v>
      </c>
      <c r="D10" s="2">
        <v>1</v>
      </c>
      <c r="E10" s="8" t="s">
        <v>10156</v>
      </c>
      <c r="F10" s="2">
        <v>5</v>
      </c>
      <c r="G10" s="8" t="s">
        <v>8581</v>
      </c>
      <c r="H10" s="8" t="s">
        <v>8581</v>
      </c>
      <c r="I10" s="8"/>
      <c r="J10" s="8" t="s">
        <v>10159</v>
      </c>
      <c r="K10" s="8" t="s">
        <v>101</v>
      </c>
      <c r="L10" s="8" t="str">
        <f t="shared" si="0"/>
        <v>PDFを開く</v>
      </c>
      <c r="M10" s="8" t="s">
        <v>104</v>
      </c>
    </row>
    <row r="11" spans="1:13" ht="66" customHeight="1">
      <c r="A11" s="5" t="s">
        <v>93</v>
      </c>
      <c r="B11" s="5" t="s">
        <v>73</v>
      </c>
      <c r="C11" s="9" t="s">
        <v>94</v>
      </c>
      <c r="D11" s="5">
        <v>1</v>
      </c>
      <c r="E11" s="9" t="s">
        <v>10156</v>
      </c>
      <c r="F11" s="5">
        <v>6</v>
      </c>
      <c r="G11" s="9" t="s">
        <v>10171</v>
      </c>
      <c r="H11" s="9" t="s">
        <v>10171</v>
      </c>
      <c r="I11" s="9"/>
      <c r="J11" s="9" t="s">
        <v>10159</v>
      </c>
      <c r="K11" s="9" t="s">
        <v>7364</v>
      </c>
      <c r="L11" s="9" t="str">
        <f t="shared" si="0"/>
        <v>PDFを開く</v>
      </c>
      <c r="M11" s="9" t="s">
        <v>104</v>
      </c>
    </row>
    <row r="12" spans="1:13" ht="66" customHeight="1">
      <c r="A12" s="2" t="s">
        <v>93</v>
      </c>
      <c r="B12" s="2" t="s">
        <v>73</v>
      </c>
      <c r="C12" s="8" t="s">
        <v>94</v>
      </c>
      <c r="D12" s="2">
        <v>2</v>
      </c>
      <c r="E12" s="8" t="s">
        <v>10165</v>
      </c>
      <c r="F12" s="2">
        <v>1</v>
      </c>
      <c r="G12" s="8" t="s">
        <v>10157</v>
      </c>
      <c r="H12" s="8" t="s">
        <v>10157</v>
      </c>
      <c r="I12" s="8" t="s">
        <v>10158</v>
      </c>
      <c r="J12" s="8" t="s">
        <v>10159</v>
      </c>
      <c r="K12" s="8" t="s">
        <v>10172</v>
      </c>
      <c r="L12" s="8" t="str">
        <f t="shared" si="0"/>
        <v>PDFを開く</v>
      </c>
      <c r="M12" s="8" t="s">
        <v>104</v>
      </c>
    </row>
    <row r="13" spans="1:13" ht="66" customHeight="1">
      <c r="A13" s="5" t="s">
        <v>93</v>
      </c>
      <c r="B13" s="5" t="s">
        <v>73</v>
      </c>
      <c r="C13" s="9" t="s">
        <v>94</v>
      </c>
      <c r="D13" s="5">
        <v>2</v>
      </c>
      <c r="E13" s="9" t="s">
        <v>10165</v>
      </c>
      <c r="F13" s="5">
        <v>2</v>
      </c>
      <c r="G13" s="9" t="s">
        <v>10157</v>
      </c>
      <c r="H13" s="9" t="s">
        <v>10157</v>
      </c>
      <c r="I13" s="9"/>
      <c r="J13" s="9" t="s">
        <v>10159</v>
      </c>
      <c r="K13" s="9" t="s">
        <v>10173</v>
      </c>
      <c r="L13" s="9" t="str">
        <f t="shared" si="0"/>
        <v>PDFを開く</v>
      </c>
      <c r="M13" s="9" t="s">
        <v>104</v>
      </c>
    </row>
    <row r="14" spans="1:13" ht="66" customHeight="1">
      <c r="A14" s="2" t="s">
        <v>93</v>
      </c>
      <c r="B14" s="2" t="s">
        <v>73</v>
      </c>
      <c r="C14" s="8" t="s">
        <v>94</v>
      </c>
      <c r="D14" s="2">
        <v>2</v>
      </c>
      <c r="E14" s="8" t="s">
        <v>10165</v>
      </c>
      <c r="F14" s="2">
        <v>3</v>
      </c>
      <c r="G14" s="8" t="s">
        <v>10167</v>
      </c>
      <c r="H14" s="8" t="s">
        <v>10174</v>
      </c>
      <c r="I14" s="8"/>
      <c r="J14" s="8" t="s">
        <v>10159</v>
      </c>
      <c r="K14" s="8" t="s">
        <v>10175</v>
      </c>
      <c r="L14" s="8" t="str">
        <f t="shared" si="0"/>
        <v>PDFを開く</v>
      </c>
      <c r="M14" s="8" t="s">
        <v>104</v>
      </c>
    </row>
    <row r="15" spans="1:13" ht="66" customHeight="1">
      <c r="A15" s="5" t="s">
        <v>93</v>
      </c>
      <c r="B15" s="5" t="s">
        <v>73</v>
      </c>
      <c r="C15" s="9" t="s">
        <v>94</v>
      </c>
      <c r="D15" s="5">
        <v>2</v>
      </c>
      <c r="E15" s="9" t="s">
        <v>10165</v>
      </c>
      <c r="F15" s="5">
        <v>4</v>
      </c>
      <c r="G15" s="9" t="s">
        <v>10167</v>
      </c>
      <c r="H15" s="9" t="s">
        <v>10176</v>
      </c>
      <c r="I15" s="9"/>
      <c r="J15" s="9" t="s">
        <v>10159</v>
      </c>
      <c r="K15" s="9" t="s">
        <v>10177</v>
      </c>
      <c r="L15" s="9" t="str">
        <f t="shared" si="0"/>
        <v>PDFを開く</v>
      </c>
      <c r="M15" s="9" t="s">
        <v>104</v>
      </c>
    </row>
    <row r="16" spans="1:13" ht="66" customHeight="1">
      <c r="A16" s="2" t="s">
        <v>93</v>
      </c>
      <c r="B16" s="2" t="s">
        <v>73</v>
      </c>
      <c r="C16" s="8" t="s">
        <v>94</v>
      </c>
      <c r="D16" s="2">
        <v>2</v>
      </c>
      <c r="E16" s="8" t="s">
        <v>10165</v>
      </c>
      <c r="F16" s="2">
        <v>5</v>
      </c>
      <c r="G16" s="8" t="s">
        <v>10167</v>
      </c>
      <c r="H16" s="8" t="s">
        <v>10178</v>
      </c>
      <c r="I16" s="8"/>
      <c r="J16" s="8" t="s">
        <v>10159</v>
      </c>
      <c r="K16" s="8" t="s">
        <v>10179</v>
      </c>
      <c r="L16" s="8" t="str">
        <f t="shared" si="0"/>
        <v>PDFを開く</v>
      </c>
      <c r="M16" s="8" t="s">
        <v>104</v>
      </c>
    </row>
    <row r="17" spans="1:13" ht="66" customHeight="1">
      <c r="A17" s="5" t="s">
        <v>105</v>
      </c>
      <c r="B17" s="5" t="s">
        <v>73</v>
      </c>
      <c r="C17" s="9" t="s">
        <v>106</v>
      </c>
      <c r="D17" s="5">
        <v>1</v>
      </c>
      <c r="E17" s="9" t="s">
        <v>10156</v>
      </c>
      <c r="F17" s="5">
        <v>4</v>
      </c>
      <c r="G17" s="9" t="s">
        <v>8581</v>
      </c>
      <c r="H17" s="9" t="s">
        <v>8581</v>
      </c>
      <c r="I17" s="9"/>
      <c r="J17" s="9" t="s">
        <v>10159</v>
      </c>
      <c r="K17" s="9" t="s">
        <v>110</v>
      </c>
      <c r="L17" s="9" t="str">
        <f>HYPERLINK("https://seichotoushi-hojo.jp/assets/pdf/koufu/outline_100.pdf","PDFを開く")</f>
        <v>PDFを開く</v>
      </c>
      <c r="M17" s="9" t="s">
        <v>112</v>
      </c>
    </row>
    <row r="18" spans="1:13" ht="66" customHeight="1">
      <c r="A18" s="2" t="s">
        <v>114</v>
      </c>
      <c r="B18" s="2" t="s">
        <v>73</v>
      </c>
      <c r="C18" s="8" t="s">
        <v>115</v>
      </c>
      <c r="D18" s="2">
        <v>1</v>
      </c>
      <c r="E18" s="8" t="s">
        <v>10156</v>
      </c>
      <c r="F18" s="2">
        <v>2</v>
      </c>
      <c r="G18" s="8" t="s">
        <v>10167</v>
      </c>
      <c r="H18" s="8" t="s">
        <v>10183</v>
      </c>
      <c r="I18" s="8"/>
      <c r="J18" s="8" t="s">
        <v>10159</v>
      </c>
      <c r="K18" s="8" t="s">
        <v>121</v>
      </c>
      <c r="L18" s="8" t="str">
        <f>HYPERLINK("https://seichotoushi-hojo.jp/assets/pdf/koufu/outline_101.pdf","PDFを開く")</f>
        <v>PDFを開く</v>
      </c>
      <c r="M18" s="8" t="s">
        <v>124</v>
      </c>
    </row>
    <row r="19" spans="1:13" ht="66" customHeight="1">
      <c r="A19" s="5" t="s">
        <v>125</v>
      </c>
      <c r="B19" s="5" t="s">
        <v>73</v>
      </c>
      <c r="C19" s="9" t="s">
        <v>126</v>
      </c>
      <c r="D19" s="5">
        <v>1</v>
      </c>
      <c r="E19" s="9" t="s">
        <v>10156</v>
      </c>
      <c r="F19" s="5">
        <v>4</v>
      </c>
      <c r="G19" s="9" t="s">
        <v>8581</v>
      </c>
      <c r="H19" s="9" t="s">
        <v>8581</v>
      </c>
      <c r="I19" s="9"/>
      <c r="J19" s="9" t="s">
        <v>10159</v>
      </c>
      <c r="K19" s="9" t="s">
        <v>129</v>
      </c>
      <c r="L19" s="9" t="str">
        <f>HYPERLINK("https://seichotoushi-hojo.jp/assets/pdf/koufu/outline_102.pdf","PDFを開く")</f>
        <v>PDFを開く</v>
      </c>
      <c r="M19" s="9" t="s">
        <v>131</v>
      </c>
    </row>
    <row r="20" spans="1:13" ht="66" customHeight="1">
      <c r="A20" s="2" t="s">
        <v>125</v>
      </c>
      <c r="B20" s="2" t="s">
        <v>73</v>
      </c>
      <c r="C20" s="8" t="s">
        <v>126</v>
      </c>
      <c r="D20" s="2">
        <v>2</v>
      </c>
      <c r="E20" s="8" t="s">
        <v>10165</v>
      </c>
      <c r="F20" s="2">
        <v>1</v>
      </c>
      <c r="G20" s="8" t="s">
        <v>10184</v>
      </c>
      <c r="H20" s="8" t="s">
        <v>10184</v>
      </c>
      <c r="I20" s="8"/>
      <c r="J20" s="8" t="s">
        <v>10181</v>
      </c>
      <c r="K20" s="8" t="s">
        <v>10185</v>
      </c>
      <c r="L20" s="8" t="str">
        <f>HYPERLINK("https://seichotoushi-hojo.jp/assets/pdf/koufu/outline_102.pdf","PDFを開く")</f>
        <v>PDFを開く</v>
      </c>
      <c r="M20" s="8" t="s">
        <v>131</v>
      </c>
    </row>
    <row r="21" spans="1:13" ht="66" customHeight="1">
      <c r="A21" s="5" t="s">
        <v>125</v>
      </c>
      <c r="B21" s="5" t="s">
        <v>73</v>
      </c>
      <c r="C21" s="9" t="s">
        <v>126</v>
      </c>
      <c r="D21" s="5">
        <v>2</v>
      </c>
      <c r="E21" s="9" t="s">
        <v>10165</v>
      </c>
      <c r="F21" s="5">
        <v>2</v>
      </c>
      <c r="G21" s="9" t="s">
        <v>10167</v>
      </c>
      <c r="H21" s="9" t="s">
        <v>3504</v>
      </c>
      <c r="I21" s="9"/>
      <c r="J21" s="9" t="s">
        <v>10159</v>
      </c>
      <c r="K21" s="9" t="s">
        <v>10186</v>
      </c>
      <c r="L21" s="9" t="str">
        <f>HYPERLINK("https://seichotoushi-hojo.jp/assets/pdf/koufu/outline_102.pdf","PDFを開く")</f>
        <v>PDFを開く</v>
      </c>
      <c r="M21" s="9" t="s">
        <v>131</v>
      </c>
    </row>
    <row r="22" spans="1:13" ht="66" customHeight="1">
      <c r="A22" s="2" t="s">
        <v>132</v>
      </c>
      <c r="B22" s="2" t="s">
        <v>73</v>
      </c>
      <c r="C22" s="8" t="s">
        <v>133</v>
      </c>
      <c r="D22" s="2">
        <v>1</v>
      </c>
      <c r="E22" s="8" t="s">
        <v>10156</v>
      </c>
      <c r="F22" s="2">
        <v>4</v>
      </c>
      <c r="G22" s="8" t="s">
        <v>8581</v>
      </c>
      <c r="H22" s="8" t="s">
        <v>8581</v>
      </c>
      <c r="I22" s="8"/>
      <c r="J22" s="8" t="s">
        <v>10159</v>
      </c>
      <c r="K22" s="8" t="s">
        <v>136</v>
      </c>
      <c r="L22" s="8" t="str">
        <f>HYPERLINK("https://seichotoushi-hojo.jp/assets/pdf/koufu/outline_103.pdf","PDFを開く")</f>
        <v>PDFを開く</v>
      </c>
      <c r="M22" s="8" t="s">
        <v>138</v>
      </c>
    </row>
    <row r="23" spans="1:13" ht="66" customHeight="1">
      <c r="A23" s="5" t="s">
        <v>132</v>
      </c>
      <c r="B23" s="5" t="s">
        <v>73</v>
      </c>
      <c r="C23" s="9" t="s">
        <v>133</v>
      </c>
      <c r="D23" s="5">
        <v>2</v>
      </c>
      <c r="E23" s="9" t="s">
        <v>10165</v>
      </c>
      <c r="F23" s="5">
        <v>1</v>
      </c>
      <c r="G23" s="9" t="s">
        <v>10167</v>
      </c>
      <c r="H23" s="9" t="s">
        <v>5265</v>
      </c>
      <c r="I23" s="9"/>
      <c r="J23" s="9" t="s">
        <v>10159</v>
      </c>
      <c r="K23" s="9" t="s">
        <v>10187</v>
      </c>
      <c r="L23" s="9" t="str">
        <f>HYPERLINK("https://seichotoushi-hojo.jp/assets/pdf/koufu/outline_103.pdf","PDFを開く")</f>
        <v>PDFを開く</v>
      </c>
      <c r="M23" s="9" t="s">
        <v>138</v>
      </c>
    </row>
    <row r="24" spans="1:13" ht="66" customHeight="1">
      <c r="A24" s="2" t="s">
        <v>139</v>
      </c>
      <c r="B24" s="2" t="s">
        <v>73</v>
      </c>
      <c r="C24" s="8" t="s">
        <v>140</v>
      </c>
      <c r="D24" s="2">
        <v>1</v>
      </c>
      <c r="E24" s="8" t="s">
        <v>10156</v>
      </c>
      <c r="F24" s="2">
        <v>4</v>
      </c>
      <c r="G24" s="8" t="s">
        <v>8581</v>
      </c>
      <c r="H24" s="8" t="s">
        <v>8581</v>
      </c>
      <c r="I24" s="8"/>
      <c r="J24" s="8" t="s">
        <v>10159</v>
      </c>
      <c r="K24" s="8" t="s">
        <v>143</v>
      </c>
      <c r="L24" s="8" t="str">
        <f>HYPERLINK("https://seichotoushi-hojo.jp/assets/pdf/koufu/outline_104.pdf","PDFを開く")</f>
        <v>PDFを開く</v>
      </c>
      <c r="M24" s="8" t="s">
        <v>145</v>
      </c>
    </row>
    <row r="25" spans="1:13" ht="66" customHeight="1">
      <c r="A25" s="5" t="s">
        <v>146</v>
      </c>
      <c r="B25" s="5" t="s">
        <v>73</v>
      </c>
      <c r="C25" s="9" t="s">
        <v>147</v>
      </c>
      <c r="D25" s="5">
        <v>1</v>
      </c>
      <c r="E25" s="9" t="s">
        <v>10156</v>
      </c>
      <c r="F25" s="5">
        <v>4</v>
      </c>
      <c r="G25" s="9" t="s">
        <v>8581</v>
      </c>
      <c r="H25" s="9" t="s">
        <v>8581</v>
      </c>
      <c r="I25" s="9"/>
      <c r="J25" s="9" t="s">
        <v>10159</v>
      </c>
      <c r="K25" s="9" t="s">
        <v>150</v>
      </c>
      <c r="L25" s="9" t="str">
        <f>HYPERLINK("https://seichotoushi-hojo.jp/assets/pdf/koufu/outline_105.pdf","PDFを開く")</f>
        <v>PDFを開く</v>
      </c>
      <c r="M25" s="9" t="s">
        <v>155</v>
      </c>
    </row>
    <row r="26" spans="1:13" ht="66" customHeight="1">
      <c r="A26" s="2" t="s">
        <v>146</v>
      </c>
      <c r="B26" s="2" t="s">
        <v>73</v>
      </c>
      <c r="C26" s="8" t="s">
        <v>147</v>
      </c>
      <c r="D26" s="2">
        <v>2</v>
      </c>
      <c r="E26" s="8" t="s">
        <v>10165</v>
      </c>
      <c r="F26" s="2">
        <v>1</v>
      </c>
      <c r="G26" s="8" t="s">
        <v>10167</v>
      </c>
      <c r="H26" s="8" t="s">
        <v>5261</v>
      </c>
      <c r="I26" s="8"/>
      <c r="J26" s="8" t="s">
        <v>10159</v>
      </c>
      <c r="K26" s="8" t="s">
        <v>10188</v>
      </c>
      <c r="L26" s="8" t="str">
        <f>HYPERLINK("https://seichotoushi-hojo.jp/assets/pdf/koufu/outline_105.pdf","PDFを開く")</f>
        <v>PDFを開く</v>
      </c>
      <c r="M26" s="8" t="s">
        <v>155</v>
      </c>
    </row>
    <row r="27" spans="1:13" ht="66" customHeight="1">
      <c r="A27" s="5" t="s">
        <v>158</v>
      </c>
      <c r="B27" s="5" t="s">
        <v>73</v>
      </c>
      <c r="C27" s="9" t="s">
        <v>159</v>
      </c>
      <c r="D27" s="5">
        <v>1</v>
      </c>
      <c r="E27" s="9" t="s">
        <v>10156</v>
      </c>
      <c r="F27" s="5">
        <v>4</v>
      </c>
      <c r="G27" s="9" t="s">
        <v>8581</v>
      </c>
      <c r="H27" s="9" t="s">
        <v>8581</v>
      </c>
      <c r="I27" s="9"/>
      <c r="J27" s="9" t="s">
        <v>10159</v>
      </c>
      <c r="K27" s="9" t="s">
        <v>163</v>
      </c>
      <c r="L27" s="9" t="str">
        <f>HYPERLINK("https://seichotoushi-hojo.jp/assets/pdf/koufu/outline_106.pdf","PDFを開く")</f>
        <v>PDFを開く</v>
      </c>
      <c r="M27" s="9" t="s">
        <v>165</v>
      </c>
    </row>
    <row r="28" spans="1:13" ht="66" customHeight="1">
      <c r="A28" s="2" t="s">
        <v>167</v>
      </c>
      <c r="B28" s="2" t="s">
        <v>73</v>
      </c>
      <c r="C28" s="8" t="s">
        <v>168</v>
      </c>
      <c r="D28" s="2">
        <v>1</v>
      </c>
      <c r="E28" s="8" t="s">
        <v>10156</v>
      </c>
      <c r="F28" s="2">
        <v>4</v>
      </c>
      <c r="G28" s="8" t="s">
        <v>8581</v>
      </c>
      <c r="H28" s="8" t="s">
        <v>8581</v>
      </c>
      <c r="I28" s="8"/>
      <c r="J28" s="8" t="s">
        <v>10159</v>
      </c>
      <c r="K28" s="8" t="s">
        <v>172</v>
      </c>
      <c r="L28" s="8" t="str">
        <f>HYPERLINK("https://seichotoushi-hojo.jp/assets/pdf/koufu/outline_107.pdf","PDFを開く")</f>
        <v>PDFを開く</v>
      </c>
      <c r="M28" s="8" t="s">
        <v>174</v>
      </c>
    </row>
    <row r="29" spans="1:13" ht="66" customHeight="1">
      <c r="A29" s="5" t="s">
        <v>175</v>
      </c>
      <c r="B29" s="5" t="s">
        <v>73</v>
      </c>
      <c r="C29" s="9" t="s">
        <v>176</v>
      </c>
      <c r="D29" s="5">
        <v>1</v>
      </c>
      <c r="E29" s="9" t="s">
        <v>10156</v>
      </c>
      <c r="F29" s="5">
        <v>1</v>
      </c>
      <c r="G29" s="9" t="s">
        <v>10171</v>
      </c>
      <c r="H29" s="9" t="s">
        <v>10171</v>
      </c>
      <c r="I29" s="9"/>
      <c r="J29" s="9" t="s">
        <v>10181</v>
      </c>
      <c r="K29" s="9" t="s">
        <v>10189</v>
      </c>
      <c r="L29" s="9" t="str">
        <f t="shared" ref="L29:L37" si="1">HYPERLINK("https://seichotoushi-hojo.jp/assets/pdf/koufu/outline_108.pdf","PDFを開く")</f>
        <v>PDFを開く</v>
      </c>
      <c r="M29" s="9" t="s">
        <v>183</v>
      </c>
    </row>
    <row r="30" spans="1:13" ht="66" customHeight="1">
      <c r="A30" s="2" t="s">
        <v>175</v>
      </c>
      <c r="B30" s="2" t="s">
        <v>73</v>
      </c>
      <c r="C30" s="8" t="s">
        <v>176</v>
      </c>
      <c r="D30" s="2">
        <v>1</v>
      </c>
      <c r="E30" s="8" t="s">
        <v>10156</v>
      </c>
      <c r="F30" s="2">
        <v>2</v>
      </c>
      <c r="G30" s="8" t="s">
        <v>10167</v>
      </c>
      <c r="H30" s="8" t="s">
        <v>10190</v>
      </c>
      <c r="I30" s="8"/>
      <c r="J30" s="8" t="s">
        <v>10159</v>
      </c>
      <c r="K30" s="8" t="s">
        <v>10191</v>
      </c>
      <c r="L30" s="8" t="str">
        <f t="shared" si="1"/>
        <v>PDFを開く</v>
      </c>
      <c r="M30" s="8" t="s">
        <v>183</v>
      </c>
    </row>
    <row r="31" spans="1:13" ht="66" customHeight="1">
      <c r="A31" s="5" t="s">
        <v>175</v>
      </c>
      <c r="B31" s="5" t="s">
        <v>73</v>
      </c>
      <c r="C31" s="9" t="s">
        <v>176</v>
      </c>
      <c r="D31" s="5">
        <v>1</v>
      </c>
      <c r="E31" s="9" t="s">
        <v>10156</v>
      </c>
      <c r="F31" s="5">
        <v>3</v>
      </c>
      <c r="G31" s="9" t="s">
        <v>10167</v>
      </c>
      <c r="H31" s="9" t="s">
        <v>10192</v>
      </c>
      <c r="I31" s="9"/>
      <c r="J31" s="9" t="s">
        <v>10159</v>
      </c>
      <c r="K31" s="9" t="s">
        <v>10193</v>
      </c>
      <c r="L31" s="9" t="str">
        <f t="shared" si="1"/>
        <v>PDFを開く</v>
      </c>
      <c r="M31" s="9" t="s">
        <v>183</v>
      </c>
    </row>
    <row r="32" spans="1:13" ht="66" customHeight="1">
      <c r="A32" s="2" t="s">
        <v>175</v>
      </c>
      <c r="B32" s="2" t="s">
        <v>73</v>
      </c>
      <c r="C32" s="8" t="s">
        <v>176</v>
      </c>
      <c r="D32" s="2">
        <v>1</v>
      </c>
      <c r="E32" s="8" t="s">
        <v>10156</v>
      </c>
      <c r="F32" s="2">
        <v>4</v>
      </c>
      <c r="G32" s="8" t="s">
        <v>10171</v>
      </c>
      <c r="H32" s="8" t="s">
        <v>10171</v>
      </c>
      <c r="I32" s="8"/>
      <c r="J32" s="8" t="s">
        <v>10181</v>
      </c>
      <c r="K32" s="8" t="s">
        <v>10194</v>
      </c>
      <c r="L32" s="8" t="str">
        <f t="shared" si="1"/>
        <v>PDFを開く</v>
      </c>
      <c r="M32" s="8" t="s">
        <v>183</v>
      </c>
    </row>
    <row r="33" spans="1:13" ht="66" customHeight="1">
      <c r="A33" s="5" t="s">
        <v>175</v>
      </c>
      <c r="B33" s="5" t="s">
        <v>73</v>
      </c>
      <c r="C33" s="9" t="s">
        <v>176</v>
      </c>
      <c r="D33" s="5">
        <v>2</v>
      </c>
      <c r="E33" s="9" t="s">
        <v>10156</v>
      </c>
      <c r="F33" s="5">
        <v>4</v>
      </c>
      <c r="G33" s="9" t="s">
        <v>10167</v>
      </c>
      <c r="H33" s="9" t="s">
        <v>10197</v>
      </c>
      <c r="I33" s="9"/>
      <c r="J33" s="9" t="s">
        <v>10159</v>
      </c>
      <c r="K33" s="9" t="s">
        <v>10197</v>
      </c>
      <c r="L33" s="9" t="str">
        <f t="shared" si="1"/>
        <v>PDFを開く</v>
      </c>
      <c r="M33" s="9" t="s">
        <v>183</v>
      </c>
    </row>
    <row r="34" spans="1:13" ht="66" customHeight="1">
      <c r="A34" s="2" t="s">
        <v>175</v>
      </c>
      <c r="B34" s="2" t="s">
        <v>73</v>
      </c>
      <c r="C34" s="8" t="s">
        <v>176</v>
      </c>
      <c r="D34" s="2">
        <v>2</v>
      </c>
      <c r="E34" s="8" t="s">
        <v>10156</v>
      </c>
      <c r="F34" s="2">
        <v>5</v>
      </c>
      <c r="G34" s="8" t="s">
        <v>10167</v>
      </c>
      <c r="H34" s="8" t="s">
        <v>10198</v>
      </c>
      <c r="I34" s="8"/>
      <c r="J34" s="8" t="s">
        <v>10159</v>
      </c>
      <c r="K34" s="8" t="s">
        <v>10198</v>
      </c>
      <c r="L34" s="8" t="str">
        <f t="shared" si="1"/>
        <v>PDFを開く</v>
      </c>
      <c r="M34" s="8" t="s">
        <v>183</v>
      </c>
    </row>
    <row r="35" spans="1:13" ht="66" customHeight="1">
      <c r="A35" s="5" t="s">
        <v>175</v>
      </c>
      <c r="B35" s="5" t="s">
        <v>73</v>
      </c>
      <c r="C35" s="9" t="s">
        <v>176</v>
      </c>
      <c r="D35" s="5">
        <v>2</v>
      </c>
      <c r="E35" s="9" t="s">
        <v>10156</v>
      </c>
      <c r="F35" s="5">
        <v>6</v>
      </c>
      <c r="G35" s="9" t="s">
        <v>10167</v>
      </c>
      <c r="H35" s="9" t="s">
        <v>10199</v>
      </c>
      <c r="I35" s="9"/>
      <c r="J35" s="9" t="s">
        <v>10159</v>
      </c>
      <c r="K35" s="9" t="s">
        <v>10199</v>
      </c>
      <c r="L35" s="9" t="str">
        <f t="shared" si="1"/>
        <v>PDFを開く</v>
      </c>
      <c r="M35" s="9" t="s">
        <v>183</v>
      </c>
    </row>
    <row r="36" spans="1:13" ht="66" customHeight="1">
      <c r="A36" s="2" t="s">
        <v>175</v>
      </c>
      <c r="B36" s="2" t="s">
        <v>73</v>
      </c>
      <c r="C36" s="8" t="s">
        <v>176</v>
      </c>
      <c r="D36" s="2">
        <v>3</v>
      </c>
      <c r="E36" s="8" t="s">
        <v>10156</v>
      </c>
      <c r="F36" s="2">
        <v>1</v>
      </c>
      <c r="G36" s="8" t="s">
        <v>10167</v>
      </c>
      <c r="H36" s="8" t="s">
        <v>10200</v>
      </c>
      <c r="I36" s="8"/>
      <c r="J36" s="8" t="s">
        <v>10159</v>
      </c>
      <c r="K36" s="8" t="s">
        <v>10201</v>
      </c>
      <c r="L36" s="8" t="str">
        <f t="shared" si="1"/>
        <v>PDFを開く</v>
      </c>
      <c r="M36" s="8" t="s">
        <v>183</v>
      </c>
    </row>
    <row r="37" spans="1:13" ht="66" customHeight="1">
      <c r="A37" s="5" t="s">
        <v>175</v>
      </c>
      <c r="B37" s="5" t="s">
        <v>73</v>
      </c>
      <c r="C37" s="9" t="s">
        <v>176</v>
      </c>
      <c r="D37" s="5">
        <v>3</v>
      </c>
      <c r="E37" s="9" t="s">
        <v>10156</v>
      </c>
      <c r="F37" s="5">
        <v>3</v>
      </c>
      <c r="G37" s="9" t="s">
        <v>10167</v>
      </c>
      <c r="H37" s="9" t="s">
        <v>10203</v>
      </c>
      <c r="I37" s="9"/>
      <c r="J37" s="9" t="s">
        <v>10159</v>
      </c>
      <c r="K37" s="9" t="s">
        <v>10204</v>
      </c>
      <c r="L37" s="9" t="str">
        <f t="shared" si="1"/>
        <v>PDFを開く</v>
      </c>
      <c r="M37" s="9" t="s">
        <v>183</v>
      </c>
    </row>
    <row r="38" spans="1:13" ht="66" customHeight="1">
      <c r="A38" s="2" t="s">
        <v>184</v>
      </c>
      <c r="B38" s="2" t="s">
        <v>73</v>
      </c>
      <c r="C38" s="8" t="s">
        <v>185</v>
      </c>
      <c r="D38" s="2">
        <v>1</v>
      </c>
      <c r="E38" s="8" t="s">
        <v>10156</v>
      </c>
      <c r="F38" s="2">
        <v>4</v>
      </c>
      <c r="G38" s="8" t="s">
        <v>8581</v>
      </c>
      <c r="H38" s="8" t="s">
        <v>8581</v>
      </c>
      <c r="I38" s="8"/>
      <c r="J38" s="8" t="s">
        <v>10159</v>
      </c>
      <c r="K38" s="8" t="s">
        <v>190</v>
      </c>
      <c r="L38" s="8" t="str">
        <f>HYPERLINK("https://seichotoushi-hojo.jp/assets/pdf/koufu/outline_109.pdf","PDFを開く")</f>
        <v>PDFを開く</v>
      </c>
      <c r="M38" s="8" t="s">
        <v>194</v>
      </c>
    </row>
    <row r="39" spans="1:13" ht="66" customHeight="1">
      <c r="A39" s="5" t="s">
        <v>184</v>
      </c>
      <c r="B39" s="5" t="s">
        <v>73</v>
      </c>
      <c r="C39" s="9" t="s">
        <v>185</v>
      </c>
      <c r="D39" s="5">
        <v>2</v>
      </c>
      <c r="E39" s="9" t="s">
        <v>10165</v>
      </c>
      <c r="F39" s="5">
        <v>1</v>
      </c>
      <c r="G39" s="9" t="s">
        <v>10167</v>
      </c>
      <c r="H39" s="9" t="s">
        <v>10206</v>
      </c>
      <c r="I39" s="9"/>
      <c r="J39" s="9" t="s">
        <v>10159</v>
      </c>
      <c r="K39" s="9" t="s">
        <v>10207</v>
      </c>
      <c r="L39" s="9" t="str">
        <f>HYPERLINK("https://seichotoushi-hojo.jp/assets/pdf/koufu/outline_109.pdf","PDFを開く")</f>
        <v>PDFを開く</v>
      </c>
      <c r="M39" s="9" t="s">
        <v>194</v>
      </c>
    </row>
    <row r="40" spans="1:13" ht="66" customHeight="1">
      <c r="A40" s="2" t="s">
        <v>195</v>
      </c>
      <c r="B40" s="2" t="s">
        <v>73</v>
      </c>
      <c r="C40" s="8" t="s">
        <v>196</v>
      </c>
      <c r="D40" s="2">
        <v>1</v>
      </c>
      <c r="E40" s="8" t="s">
        <v>10156</v>
      </c>
      <c r="F40" s="2">
        <v>4</v>
      </c>
      <c r="G40" s="8" t="s">
        <v>8581</v>
      </c>
      <c r="H40" s="8" t="s">
        <v>8581</v>
      </c>
      <c r="I40" s="8"/>
      <c r="J40" s="8" t="s">
        <v>10159</v>
      </c>
      <c r="K40" s="8" t="s">
        <v>201</v>
      </c>
      <c r="L40" s="8" t="str">
        <f>HYPERLINK("https://seichotoushi-hojo.jp/assets/pdf/koufu/outline_11.pdf","PDFを開く")</f>
        <v>PDFを開く</v>
      </c>
      <c r="M40" s="8" t="s">
        <v>204</v>
      </c>
    </row>
    <row r="41" spans="1:13" ht="66" customHeight="1">
      <c r="A41" s="5" t="s">
        <v>205</v>
      </c>
      <c r="B41" s="5" t="s">
        <v>73</v>
      </c>
      <c r="C41" s="9" t="s">
        <v>206</v>
      </c>
      <c r="D41" s="5">
        <v>1</v>
      </c>
      <c r="E41" s="9" t="s">
        <v>10156</v>
      </c>
      <c r="F41" s="5">
        <v>1</v>
      </c>
      <c r="G41" s="9" t="s">
        <v>10167</v>
      </c>
      <c r="H41" s="9" t="s">
        <v>10208</v>
      </c>
      <c r="I41" s="9"/>
      <c r="J41" s="9" t="s">
        <v>10159</v>
      </c>
      <c r="K41" s="9" t="s">
        <v>10209</v>
      </c>
      <c r="L41" s="9" t="str">
        <f>HYPERLINK("https://seichotoushi-hojo.jp/assets/pdf/koufu/outline_110.pdf","PDFを開く")</f>
        <v>PDFを開く</v>
      </c>
      <c r="M41" s="9" t="s">
        <v>214</v>
      </c>
    </row>
    <row r="42" spans="1:13" ht="66" customHeight="1">
      <c r="A42" s="2" t="s">
        <v>205</v>
      </c>
      <c r="B42" s="2" t="s">
        <v>73</v>
      </c>
      <c r="C42" s="8" t="s">
        <v>206</v>
      </c>
      <c r="D42" s="2">
        <v>1</v>
      </c>
      <c r="E42" s="8" t="s">
        <v>10156</v>
      </c>
      <c r="F42" s="2">
        <v>5</v>
      </c>
      <c r="G42" s="8" t="s">
        <v>8581</v>
      </c>
      <c r="H42" s="8" t="s">
        <v>8581</v>
      </c>
      <c r="I42" s="8"/>
      <c r="J42" s="8" t="s">
        <v>10159</v>
      </c>
      <c r="K42" s="8" t="s">
        <v>211</v>
      </c>
      <c r="L42" s="8" t="str">
        <f>HYPERLINK("https://seichotoushi-hojo.jp/assets/pdf/koufu/outline_110.pdf","PDFを開く")</f>
        <v>PDFを開く</v>
      </c>
      <c r="M42" s="8" t="s">
        <v>214</v>
      </c>
    </row>
    <row r="43" spans="1:13" ht="66" customHeight="1">
      <c r="A43" s="5" t="s">
        <v>205</v>
      </c>
      <c r="B43" s="5" t="s">
        <v>73</v>
      </c>
      <c r="C43" s="9" t="s">
        <v>206</v>
      </c>
      <c r="D43" s="5">
        <v>2</v>
      </c>
      <c r="E43" s="9" t="s">
        <v>10165</v>
      </c>
      <c r="F43" s="5">
        <v>1</v>
      </c>
      <c r="G43" s="9" t="s">
        <v>10167</v>
      </c>
      <c r="H43" s="9" t="s">
        <v>10210</v>
      </c>
      <c r="I43" s="9"/>
      <c r="J43" s="9" t="s">
        <v>10159</v>
      </c>
      <c r="K43" s="9" t="s">
        <v>10211</v>
      </c>
      <c r="L43" s="9" t="str">
        <f>HYPERLINK("https://seichotoushi-hojo.jp/assets/pdf/koufu/outline_110.pdf","PDFを開く")</f>
        <v>PDFを開く</v>
      </c>
      <c r="M43" s="9" t="s">
        <v>214</v>
      </c>
    </row>
    <row r="44" spans="1:13" ht="66" customHeight="1">
      <c r="A44" s="2" t="s">
        <v>215</v>
      </c>
      <c r="B44" s="2" t="s">
        <v>73</v>
      </c>
      <c r="C44" s="8" t="s">
        <v>216</v>
      </c>
      <c r="D44" s="2">
        <v>1</v>
      </c>
      <c r="E44" s="8" t="s">
        <v>10156</v>
      </c>
      <c r="F44" s="2">
        <v>1</v>
      </c>
      <c r="G44" s="8" t="s">
        <v>10157</v>
      </c>
      <c r="H44" s="8" t="s">
        <v>10157</v>
      </c>
      <c r="I44" s="8"/>
      <c r="J44" s="8" t="s">
        <v>10159</v>
      </c>
      <c r="K44" s="8" t="s">
        <v>7453</v>
      </c>
      <c r="L44" s="8" t="str">
        <f>HYPERLINK("https://seichotoushi-hojo.jp/assets/pdf/koufu/outline_111.pdf","PDFを開く")</f>
        <v>PDFを開く</v>
      </c>
      <c r="M44" s="8" t="s">
        <v>222</v>
      </c>
    </row>
    <row r="45" spans="1:13" ht="66" customHeight="1">
      <c r="A45" s="5" t="s">
        <v>215</v>
      </c>
      <c r="B45" s="5" t="s">
        <v>73</v>
      </c>
      <c r="C45" s="9" t="s">
        <v>216</v>
      </c>
      <c r="D45" s="5">
        <v>1</v>
      </c>
      <c r="E45" s="9" t="s">
        <v>10156</v>
      </c>
      <c r="F45" s="5">
        <v>5</v>
      </c>
      <c r="G45" s="9" t="s">
        <v>8581</v>
      </c>
      <c r="H45" s="9" t="s">
        <v>8581</v>
      </c>
      <c r="I45" s="9"/>
      <c r="J45" s="9" t="s">
        <v>10159</v>
      </c>
      <c r="K45" s="9" t="s">
        <v>220</v>
      </c>
      <c r="L45" s="9" t="str">
        <f>HYPERLINK("https://seichotoushi-hojo.jp/assets/pdf/koufu/outline_111.pdf","PDFを開く")</f>
        <v>PDFを開く</v>
      </c>
      <c r="M45" s="9" t="s">
        <v>222</v>
      </c>
    </row>
    <row r="46" spans="1:13" ht="66" customHeight="1">
      <c r="A46" s="2" t="s">
        <v>215</v>
      </c>
      <c r="B46" s="2" t="s">
        <v>73</v>
      </c>
      <c r="C46" s="8" t="s">
        <v>216</v>
      </c>
      <c r="D46" s="2">
        <v>2</v>
      </c>
      <c r="E46" s="8" t="s">
        <v>10165</v>
      </c>
      <c r="F46" s="2">
        <v>1</v>
      </c>
      <c r="G46" s="8" t="s">
        <v>10167</v>
      </c>
      <c r="H46" s="8" t="s">
        <v>10212</v>
      </c>
      <c r="I46" s="8"/>
      <c r="J46" s="8" t="s">
        <v>10159</v>
      </c>
      <c r="K46" s="8" t="s">
        <v>10213</v>
      </c>
      <c r="L46" s="8" t="str">
        <f>HYPERLINK("https://seichotoushi-hojo.jp/assets/pdf/koufu/outline_111.pdf","PDFを開く")</f>
        <v>PDFを開く</v>
      </c>
      <c r="M46" s="8" t="s">
        <v>222</v>
      </c>
    </row>
    <row r="47" spans="1:13" ht="66" customHeight="1">
      <c r="A47" s="5" t="s">
        <v>223</v>
      </c>
      <c r="B47" s="5" t="s">
        <v>73</v>
      </c>
      <c r="C47" s="9" t="s">
        <v>224</v>
      </c>
      <c r="D47" s="5">
        <v>1</v>
      </c>
      <c r="E47" s="9" t="s">
        <v>10156</v>
      </c>
      <c r="F47" s="5">
        <v>4</v>
      </c>
      <c r="G47" s="9" t="s">
        <v>8581</v>
      </c>
      <c r="H47" s="9" t="s">
        <v>8581</v>
      </c>
      <c r="I47" s="9"/>
      <c r="J47" s="9" t="s">
        <v>10159</v>
      </c>
      <c r="K47" s="9" t="s">
        <v>229</v>
      </c>
      <c r="L47" s="9" t="str">
        <f>HYPERLINK("https://seichotoushi-hojo.jp/assets/pdf/koufu/outline_112.pdf","PDFを開く")</f>
        <v>PDFを開く</v>
      </c>
      <c r="M47" s="9" t="s">
        <v>232</v>
      </c>
    </row>
    <row r="48" spans="1:13" ht="66" customHeight="1">
      <c r="A48" s="2" t="s">
        <v>233</v>
      </c>
      <c r="B48" s="2" t="s">
        <v>73</v>
      </c>
      <c r="C48" s="8" t="s">
        <v>234</v>
      </c>
      <c r="D48" s="2">
        <v>1</v>
      </c>
      <c r="E48" s="8" t="s">
        <v>10156</v>
      </c>
      <c r="F48" s="2">
        <v>4</v>
      </c>
      <c r="G48" s="8" t="s">
        <v>8581</v>
      </c>
      <c r="H48" s="8" t="s">
        <v>8581</v>
      </c>
      <c r="I48" s="8"/>
      <c r="J48" s="8" t="s">
        <v>10159</v>
      </c>
      <c r="K48" s="8" t="s">
        <v>237</v>
      </c>
      <c r="L48" s="8" t="str">
        <f>HYPERLINK("https://seichotoushi-hojo.jp/assets/pdf/koufu/outline_113.pdf","PDFを開く")</f>
        <v>PDFを開く</v>
      </c>
      <c r="M48" s="8" t="s">
        <v>239</v>
      </c>
    </row>
    <row r="49" spans="1:13" ht="66" customHeight="1">
      <c r="A49" s="5" t="s">
        <v>240</v>
      </c>
      <c r="B49" s="5" t="s">
        <v>73</v>
      </c>
      <c r="C49" s="9" t="s">
        <v>241</v>
      </c>
      <c r="D49" s="5">
        <v>1</v>
      </c>
      <c r="E49" s="9" t="s">
        <v>10156</v>
      </c>
      <c r="F49" s="5">
        <v>4</v>
      </c>
      <c r="G49" s="9" t="s">
        <v>8581</v>
      </c>
      <c r="H49" s="9" t="s">
        <v>8581</v>
      </c>
      <c r="I49" s="9"/>
      <c r="J49" s="9" t="s">
        <v>10159</v>
      </c>
      <c r="K49" s="9" t="s">
        <v>244</v>
      </c>
      <c r="L49" s="9" t="str">
        <f>HYPERLINK("https://seichotoushi-hojo.jp/assets/pdf/koufu/outline_114.pdf","PDFを開く")</f>
        <v>PDFを開く</v>
      </c>
      <c r="M49" s="9" t="s">
        <v>247</v>
      </c>
    </row>
    <row r="50" spans="1:13" ht="66" customHeight="1">
      <c r="A50" s="2" t="s">
        <v>248</v>
      </c>
      <c r="B50" s="2" t="s">
        <v>73</v>
      </c>
      <c r="C50" s="8" t="s">
        <v>249</v>
      </c>
      <c r="D50" s="2">
        <v>1</v>
      </c>
      <c r="E50" s="8" t="s">
        <v>10156</v>
      </c>
      <c r="F50" s="2">
        <v>4</v>
      </c>
      <c r="G50" s="8" t="s">
        <v>8581</v>
      </c>
      <c r="H50" s="8" t="s">
        <v>8581</v>
      </c>
      <c r="I50" s="8"/>
      <c r="J50" s="8" t="s">
        <v>10159</v>
      </c>
      <c r="K50" s="8" t="s">
        <v>253</v>
      </c>
      <c r="L50" s="8" t="str">
        <f t="shared" ref="L50:L59" si="2">HYPERLINK("https://seichotoushi-hojo.jp/assets/pdf/koufu/outline_115.pdf","PDFを開く")</f>
        <v>PDFを開く</v>
      </c>
      <c r="M50" s="8" t="s">
        <v>256</v>
      </c>
    </row>
    <row r="51" spans="1:13" ht="66" customHeight="1">
      <c r="A51" s="5" t="s">
        <v>248</v>
      </c>
      <c r="B51" s="5" t="s">
        <v>73</v>
      </c>
      <c r="C51" s="9" t="s">
        <v>249</v>
      </c>
      <c r="D51" s="5">
        <v>1</v>
      </c>
      <c r="E51" s="9" t="s">
        <v>10156</v>
      </c>
      <c r="F51" s="5">
        <v>5</v>
      </c>
      <c r="G51" s="9" t="s">
        <v>10167</v>
      </c>
      <c r="H51" s="9" t="s">
        <v>10214</v>
      </c>
      <c r="I51" s="9"/>
      <c r="J51" s="9" t="s">
        <v>10159</v>
      </c>
      <c r="K51" s="9" t="s">
        <v>10215</v>
      </c>
      <c r="L51" s="9" t="str">
        <f t="shared" si="2"/>
        <v>PDFを開く</v>
      </c>
      <c r="M51" s="9" t="s">
        <v>256</v>
      </c>
    </row>
    <row r="52" spans="1:13" ht="66" customHeight="1">
      <c r="A52" s="2" t="s">
        <v>248</v>
      </c>
      <c r="B52" s="2" t="s">
        <v>73</v>
      </c>
      <c r="C52" s="8" t="s">
        <v>249</v>
      </c>
      <c r="D52" s="2">
        <v>3</v>
      </c>
      <c r="E52" s="8" t="s">
        <v>10165</v>
      </c>
      <c r="F52" s="2">
        <v>1</v>
      </c>
      <c r="G52" s="8" t="s">
        <v>10167</v>
      </c>
      <c r="H52" s="8" t="s">
        <v>10216</v>
      </c>
      <c r="I52" s="8"/>
      <c r="J52" s="8" t="s">
        <v>10159</v>
      </c>
      <c r="K52" s="8" t="s">
        <v>10217</v>
      </c>
      <c r="L52" s="8" t="str">
        <f t="shared" si="2"/>
        <v>PDFを開く</v>
      </c>
      <c r="M52" s="8" t="s">
        <v>256</v>
      </c>
    </row>
    <row r="53" spans="1:13" ht="66" customHeight="1">
      <c r="A53" s="5" t="s">
        <v>248</v>
      </c>
      <c r="B53" s="5" t="s">
        <v>73</v>
      </c>
      <c r="C53" s="9" t="s">
        <v>249</v>
      </c>
      <c r="D53" s="5">
        <v>3</v>
      </c>
      <c r="E53" s="9" t="s">
        <v>10165</v>
      </c>
      <c r="F53" s="5">
        <v>2</v>
      </c>
      <c r="G53" s="9" t="s">
        <v>10167</v>
      </c>
      <c r="H53" s="9" t="s">
        <v>10218</v>
      </c>
      <c r="I53" s="9"/>
      <c r="J53" s="9" t="s">
        <v>10159</v>
      </c>
      <c r="K53" s="9" t="s">
        <v>10219</v>
      </c>
      <c r="L53" s="9" t="str">
        <f t="shared" si="2"/>
        <v>PDFを開く</v>
      </c>
      <c r="M53" s="9" t="s">
        <v>256</v>
      </c>
    </row>
    <row r="54" spans="1:13" ht="66" customHeight="1">
      <c r="A54" s="2" t="s">
        <v>248</v>
      </c>
      <c r="B54" s="2" t="s">
        <v>73</v>
      </c>
      <c r="C54" s="8" t="s">
        <v>249</v>
      </c>
      <c r="D54" s="2">
        <v>3</v>
      </c>
      <c r="E54" s="8" t="s">
        <v>10165</v>
      </c>
      <c r="F54" s="2">
        <v>3</v>
      </c>
      <c r="G54" s="8" t="s">
        <v>10167</v>
      </c>
      <c r="H54" s="8" t="s">
        <v>10220</v>
      </c>
      <c r="I54" s="8"/>
      <c r="J54" s="8" t="s">
        <v>10159</v>
      </c>
      <c r="K54" s="8" t="s">
        <v>10221</v>
      </c>
      <c r="L54" s="8" t="str">
        <f t="shared" si="2"/>
        <v>PDFを開く</v>
      </c>
      <c r="M54" s="8" t="s">
        <v>256</v>
      </c>
    </row>
    <row r="55" spans="1:13" ht="66" customHeight="1">
      <c r="A55" s="5" t="s">
        <v>248</v>
      </c>
      <c r="B55" s="5" t="s">
        <v>73</v>
      </c>
      <c r="C55" s="9" t="s">
        <v>249</v>
      </c>
      <c r="D55" s="5">
        <v>3</v>
      </c>
      <c r="E55" s="9" t="s">
        <v>10165</v>
      </c>
      <c r="F55" s="5">
        <v>4</v>
      </c>
      <c r="G55" s="9" t="s">
        <v>10167</v>
      </c>
      <c r="H55" s="9" t="s">
        <v>10222</v>
      </c>
      <c r="I55" s="9"/>
      <c r="J55" s="9" t="s">
        <v>10159</v>
      </c>
      <c r="K55" s="9" t="s">
        <v>10223</v>
      </c>
      <c r="L55" s="9" t="str">
        <f t="shared" si="2"/>
        <v>PDFを開く</v>
      </c>
      <c r="M55" s="9" t="s">
        <v>256</v>
      </c>
    </row>
    <row r="56" spans="1:13" ht="66" customHeight="1">
      <c r="A56" s="2" t="s">
        <v>248</v>
      </c>
      <c r="B56" s="2" t="s">
        <v>73</v>
      </c>
      <c r="C56" s="8" t="s">
        <v>249</v>
      </c>
      <c r="D56" s="2">
        <v>3</v>
      </c>
      <c r="E56" s="8" t="s">
        <v>10165</v>
      </c>
      <c r="F56" s="2">
        <v>5</v>
      </c>
      <c r="G56" s="8" t="s">
        <v>10167</v>
      </c>
      <c r="H56" s="8" t="s">
        <v>10224</v>
      </c>
      <c r="I56" s="8"/>
      <c r="J56" s="8" t="s">
        <v>10159</v>
      </c>
      <c r="K56" s="8" t="s">
        <v>10225</v>
      </c>
      <c r="L56" s="8" t="str">
        <f t="shared" si="2"/>
        <v>PDFを開く</v>
      </c>
      <c r="M56" s="8" t="s">
        <v>256</v>
      </c>
    </row>
    <row r="57" spans="1:13" ht="66" customHeight="1">
      <c r="A57" s="5" t="s">
        <v>248</v>
      </c>
      <c r="B57" s="5" t="s">
        <v>73</v>
      </c>
      <c r="C57" s="9" t="s">
        <v>249</v>
      </c>
      <c r="D57" s="5">
        <v>4</v>
      </c>
      <c r="E57" s="9" t="s">
        <v>10165</v>
      </c>
      <c r="F57" s="5">
        <v>1</v>
      </c>
      <c r="G57" s="9" t="s">
        <v>10167</v>
      </c>
      <c r="H57" s="9" t="s">
        <v>10212</v>
      </c>
      <c r="I57" s="9"/>
      <c r="J57" s="9" t="s">
        <v>10159</v>
      </c>
      <c r="K57" s="9" t="s">
        <v>10226</v>
      </c>
      <c r="L57" s="9" t="str">
        <f t="shared" si="2"/>
        <v>PDFを開く</v>
      </c>
      <c r="M57" s="9" t="s">
        <v>256</v>
      </c>
    </row>
    <row r="58" spans="1:13" ht="66" customHeight="1">
      <c r="A58" s="2" t="s">
        <v>248</v>
      </c>
      <c r="B58" s="2" t="s">
        <v>73</v>
      </c>
      <c r="C58" s="8" t="s">
        <v>249</v>
      </c>
      <c r="D58" s="2">
        <v>4</v>
      </c>
      <c r="E58" s="8" t="s">
        <v>10165</v>
      </c>
      <c r="F58" s="2">
        <v>2</v>
      </c>
      <c r="G58" s="8" t="s">
        <v>10167</v>
      </c>
      <c r="H58" s="8" t="s">
        <v>10227</v>
      </c>
      <c r="I58" s="8"/>
      <c r="J58" s="8" t="s">
        <v>10159</v>
      </c>
      <c r="K58" s="8" t="s">
        <v>10228</v>
      </c>
      <c r="L58" s="8" t="str">
        <f t="shared" si="2"/>
        <v>PDFを開く</v>
      </c>
      <c r="M58" s="8" t="s">
        <v>256</v>
      </c>
    </row>
    <row r="59" spans="1:13" ht="66" customHeight="1">
      <c r="A59" s="5" t="s">
        <v>248</v>
      </c>
      <c r="B59" s="5" t="s">
        <v>73</v>
      </c>
      <c r="C59" s="9" t="s">
        <v>249</v>
      </c>
      <c r="D59" s="5">
        <v>4</v>
      </c>
      <c r="E59" s="9" t="s">
        <v>10165</v>
      </c>
      <c r="F59" s="5">
        <v>3</v>
      </c>
      <c r="G59" s="9" t="s">
        <v>10167</v>
      </c>
      <c r="H59" s="9" t="s">
        <v>10229</v>
      </c>
      <c r="I59" s="9"/>
      <c r="J59" s="9" t="s">
        <v>10159</v>
      </c>
      <c r="K59" s="9" t="s">
        <v>10230</v>
      </c>
      <c r="L59" s="9" t="str">
        <f t="shared" si="2"/>
        <v>PDFを開く</v>
      </c>
      <c r="M59" s="9" t="s">
        <v>256</v>
      </c>
    </row>
    <row r="60" spans="1:13" ht="66" customHeight="1">
      <c r="A60" s="2" t="s">
        <v>257</v>
      </c>
      <c r="B60" s="2" t="s">
        <v>73</v>
      </c>
      <c r="C60" s="8" t="s">
        <v>258</v>
      </c>
      <c r="D60" s="2">
        <v>1</v>
      </c>
      <c r="E60" s="8" t="s">
        <v>10156</v>
      </c>
      <c r="F60" s="2">
        <v>4</v>
      </c>
      <c r="G60" s="8" t="s">
        <v>8581</v>
      </c>
      <c r="H60" s="8" t="s">
        <v>8581</v>
      </c>
      <c r="I60" s="8"/>
      <c r="J60" s="8" t="s">
        <v>10159</v>
      </c>
      <c r="K60" s="8" t="s">
        <v>262</v>
      </c>
      <c r="L60" s="8" t="str">
        <f>HYPERLINK("https://seichotoushi-hojo.jp/assets/pdf/koufu/outline_116.pdf","PDFを開く")</f>
        <v>PDFを開く</v>
      </c>
      <c r="M60" s="8" t="s">
        <v>264</v>
      </c>
    </row>
    <row r="61" spans="1:13" ht="66" customHeight="1">
      <c r="A61" s="5" t="s">
        <v>257</v>
      </c>
      <c r="B61" s="5" t="s">
        <v>73</v>
      </c>
      <c r="C61" s="9" t="s">
        <v>258</v>
      </c>
      <c r="D61" s="5">
        <v>2</v>
      </c>
      <c r="E61" s="9" t="s">
        <v>10165</v>
      </c>
      <c r="F61" s="5">
        <v>1</v>
      </c>
      <c r="G61" s="9" t="s">
        <v>10184</v>
      </c>
      <c r="H61" s="9" t="s">
        <v>10184</v>
      </c>
      <c r="I61" s="9"/>
      <c r="J61" s="9" t="s">
        <v>10181</v>
      </c>
      <c r="K61" s="9" t="s">
        <v>10231</v>
      </c>
      <c r="L61" s="9" t="str">
        <f>HYPERLINK("https://seichotoushi-hojo.jp/assets/pdf/koufu/outline_116.pdf","PDFを開く")</f>
        <v>PDFを開く</v>
      </c>
      <c r="M61" s="9" t="s">
        <v>264</v>
      </c>
    </row>
    <row r="62" spans="1:13" ht="66" customHeight="1">
      <c r="A62" s="2" t="s">
        <v>265</v>
      </c>
      <c r="B62" s="2" t="s">
        <v>73</v>
      </c>
      <c r="C62" s="8" t="s">
        <v>266</v>
      </c>
      <c r="D62" s="2">
        <v>1</v>
      </c>
      <c r="E62" s="8" t="s">
        <v>10156</v>
      </c>
      <c r="F62" s="2">
        <v>4</v>
      </c>
      <c r="G62" s="8" t="s">
        <v>8581</v>
      </c>
      <c r="H62" s="8" t="s">
        <v>8581</v>
      </c>
      <c r="I62" s="8"/>
      <c r="J62" s="8" t="s">
        <v>10159</v>
      </c>
      <c r="K62" s="8" t="s">
        <v>270</v>
      </c>
      <c r="L62" s="8" t="str">
        <f>HYPERLINK("https://seichotoushi-hojo.jp/assets/pdf/koufu/outline_117.pdf","PDFを開く")</f>
        <v>PDFを開く</v>
      </c>
      <c r="M62" s="8" t="s">
        <v>273</v>
      </c>
    </row>
    <row r="63" spans="1:13" ht="66" customHeight="1">
      <c r="A63" s="5" t="s">
        <v>274</v>
      </c>
      <c r="B63" s="5" t="s">
        <v>73</v>
      </c>
      <c r="C63" s="9" t="s">
        <v>275</v>
      </c>
      <c r="D63" s="5">
        <v>1</v>
      </c>
      <c r="E63" s="9" t="s">
        <v>10156</v>
      </c>
      <c r="F63" s="5">
        <v>4</v>
      </c>
      <c r="G63" s="9" t="s">
        <v>8581</v>
      </c>
      <c r="H63" s="9" t="s">
        <v>8581</v>
      </c>
      <c r="I63" s="9"/>
      <c r="J63" s="9" t="s">
        <v>10159</v>
      </c>
      <c r="K63" s="9" t="s">
        <v>277</v>
      </c>
      <c r="L63" s="9" t="str">
        <f>HYPERLINK("https://seichotoushi-hojo.jp/assets/pdf/koufu/outline_118.pdf","PDFを開く")</f>
        <v>PDFを開く</v>
      </c>
      <c r="M63" s="9" t="s">
        <v>279</v>
      </c>
    </row>
    <row r="64" spans="1:13" ht="66" customHeight="1">
      <c r="A64" s="2" t="s">
        <v>274</v>
      </c>
      <c r="B64" s="2" t="s">
        <v>73</v>
      </c>
      <c r="C64" s="8" t="s">
        <v>275</v>
      </c>
      <c r="D64" s="2">
        <v>4</v>
      </c>
      <c r="E64" s="8" t="s">
        <v>10165</v>
      </c>
      <c r="F64" s="2">
        <v>1</v>
      </c>
      <c r="G64" s="8" t="s">
        <v>10167</v>
      </c>
      <c r="H64" s="8" t="s">
        <v>10234</v>
      </c>
      <c r="I64" s="8"/>
      <c r="J64" s="8" t="s">
        <v>10159</v>
      </c>
      <c r="K64" s="8" t="s">
        <v>10235</v>
      </c>
      <c r="L64" s="8" t="str">
        <f>HYPERLINK("https://seichotoushi-hojo.jp/assets/pdf/koufu/outline_118.pdf","PDFを開く")</f>
        <v>PDFを開く</v>
      </c>
      <c r="M64" s="8" t="s">
        <v>279</v>
      </c>
    </row>
    <row r="65" spans="1:13" ht="66" customHeight="1">
      <c r="A65" s="5" t="s">
        <v>280</v>
      </c>
      <c r="B65" s="5" t="s">
        <v>73</v>
      </c>
      <c r="C65" s="9" t="s">
        <v>281</v>
      </c>
      <c r="D65" s="5">
        <v>1</v>
      </c>
      <c r="E65" s="9" t="s">
        <v>10156</v>
      </c>
      <c r="F65" s="5">
        <v>4</v>
      </c>
      <c r="G65" s="9" t="s">
        <v>8581</v>
      </c>
      <c r="H65" s="9" t="s">
        <v>8581</v>
      </c>
      <c r="I65" s="9"/>
      <c r="J65" s="9" t="s">
        <v>10159</v>
      </c>
      <c r="K65" s="9" t="s">
        <v>285</v>
      </c>
      <c r="L65" s="9" t="str">
        <f>HYPERLINK("https://seichotoushi-hojo.jp/assets/pdf/koufu/outline_119.pdf","PDFを開く")</f>
        <v>PDFを開く</v>
      </c>
      <c r="M65" s="9" t="s">
        <v>287</v>
      </c>
    </row>
    <row r="66" spans="1:13" ht="66" customHeight="1">
      <c r="A66" s="2" t="s">
        <v>288</v>
      </c>
      <c r="B66" s="2" t="s">
        <v>73</v>
      </c>
      <c r="C66" s="8" t="s">
        <v>289</v>
      </c>
      <c r="D66" s="2">
        <v>1</v>
      </c>
      <c r="E66" s="8" t="s">
        <v>10156</v>
      </c>
      <c r="F66" s="2">
        <v>4</v>
      </c>
      <c r="G66" s="8" t="s">
        <v>8581</v>
      </c>
      <c r="H66" s="8" t="s">
        <v>8581</v>
      </c>
      <c r="I66" s="8"/>
      <c r="J66" s="8" t="s">
        <v>10159</v>
      </c>
      <c r="K66" s="8" t="s">
        <v>7520</v>
      </c>
      <c r="L66" s="8" t="str">
        <f>HYPERLINK("https://seichotoushi-hojo.jp/assets/pdf/koufu/outline_12.pdf","PDFを開く")</f>
        <v>PDFを開く</v>
      </c>
      <c r="M66" s="8" t="s">
        <v>296</v>
      </c>
    </row>
    <row r="67" spans="1:13" ht="66" customHeight="1">
      <c r="A67" s="5" t="s">
        <v>288</v>
      </c>
      <c r="B67" s="5" t="s">
        <v>73</v>
      </c>
      <c r="C67" s="9" t="s">
        <v>289</v>
      </c>
      <c r="D67" s="5">
        <v>2</v>
      </c>
      <c r="E67" s="9" t="s">
        <v>10165</v>
      </c>
      <c r="F67" s="5">
        <v>1</v>
      </c>
      <c r="G67" s="9" t="s">
        <v>10167</v>
      </c>
      <c r="H67" s="9" t="s">
        <v>10236</v>
      </c>
      <c r="I67" s="9"/>
      <c r="J67" s="9" t="s">
        <v>10159</v>
      </c>
      <c r="K67" s="9" t="s">
        <v>10237</v>
      </c>
      <c r="L67" s="9" t="str">
        <f>HYPERLINK("https://seichotoushi-hojo.jp/assets/pdf/koufu/outline_12.pdf","PDFを開く")</f>
        <v>PDFを開く</v>
      </c>
      <c r="M67" s="9" t="s">
        <v>296</v>
      </c>
    </row>
    <row r="68" spans="1:13" ht="66" customHeight="1">
      <c r="A68" s="2" t="s">
        <v>297</v>
      </c>
      <c r="B68" s="2" t="s">
        <v>73</v>
      </c>
      <c r="C68" s="8" t="s">
        <v>298</v>
      </c>
      <c r="D68" s="2">
        <v>1</v>
      </c>
      <c r="E68" s="8" t="s">
        <v>10156</v>
      </c>
      <c r="F68" s="2">
        <v>4</v>
      </c>
      <c r="G68" s="8" t="s">
        <v>8581</v>
      </c>
      <c r="H68" s="8" t="s">
        <v>8581</v>
      </c>
      <c r="I68" s="8"/>
      <c r="J68" s="8" t="s">
        <v>10159</v>
      </c>
      <c r="K68" s="8" t="s">
        <v>301</v>
      </c>
      <c r="L68" s="8" t="str">
        <f>HYPERLINK("https://seichotoushi-hojo.jp/assets/pdf/koufu/outline_120.pdf","PDFを開く")</f>
        <v>PDFを開く</v>
      </c>
      <c r="M68" s="8" t="s">
        <v>304</v>
      </c>
    </row>
    <row r="69" spans="1:13" ht="66" customHeight="1">
      <c r="A69" s="5" t="s">
        <v>305</v>
      </c>
      <c r="B69" s="5" t="s">
        <v>73</v>
      </c>
      <c r="C69" s="9" t="s">
        <v>306</v>
      </c>
      <c r="D69" s="5">
        <v>1</v>
      </c>
      <c r="E69" s="9" t="s">
        <v>10156</v>
      </c>
      <c r="F69" s="5">
        <v>4</v>
      </c>
      <c r="G69" s="9" t="s">
        <v>8581</v>
      </c>
      <c r="H69" s="9" t="s">
        <v>8581</v>
      </c>
      <c r="I69" s="9"/>
      <c r="J69" s="9" t="s">
        <v>10159</v>
      </c>
      <c r="K69" s="9" t="s">
        <v>311</v>
      </c>
      <c r="L69" s="9" t="str">
        <f>HYPERLINK("https://seichotoushi-hojo.jp/assets/pdf/koufu/outline_121.pdf","PDFを開く")</f>
        <v>PDFを開く</v>
      </c>
      <c r="M69" s="9" t="s">
        <v>313</v>
      </c>
    </row>
    <row r="70" spans="1:13" ht="66" customHeight="1">
      <c r="A70" s="2" t="s">
        <v>314</v>
      </c>
      <c r="B70" s="2" t="s">
        <v>73</v>
      </c>
      <c r="C70" s="8" t="s">
        <v>315</v>
      </c>
      <c r="D70" s="2">
        <v>1</v>
      </c>
      <c r="E70" s="8" t="s">
        <v>10156</v>
      </c>
      <c r="F70" s="2">
        <v>3</v>
      </c>
      <c r="G70" s="8" t="s">
        <v>8581</v>
      </c>
      <c r="H70" s="8" t="s">
        <v>8581</v>
      </c>
      <c r="I70" s="8"/>
      <c r="J70" s="8" t="s">
        <v>10159</v>
      </c>
      <c r="K70" s="8" t="s">
        <v>319</v>
      </c>
      <c r="L70" s="8" t="str">
        <f>HYPERLINK("https://seichotoushi-hojo.jp/assets/pdf/koufu/outline_122.pdf","PDFを開く")</f>
        <v>PDFを開く</v>
      </c>
      <c r="M70" s="8" t="s">
        <v>322</v>
      </c>
    </row>
    <row r="71" spans="1:13" ht="66" customHeight="1">
      <c r="A71" s="5" t="s">
        <v>314</v>
      </c>
      <c r="B71" s="5" t="s">
        <v>73</v>
      </c>
      <c r="C71" s="9" t="s">
        <v>315</v>
      </c>
      <c r="D71" s="5">
        <v>1</v>
      </c>
      <c r="E71" s="9" t="s">
        <v>10156</v>
      </c>
      <c r="F71" s="5">
        <v>5</v>
      </c>
      <c r="G71" s="9" t="s">
        <v>10167</v>
      </c>
      <c r="H71" s="9" t="s">
        <v>10238</v>
      </c>
      <c r="I71" s="9"/>
      <c r="J71" s="9" t="s">
        <v>10159</v>
      </c>
      <c r="K71" s="9" t="s">
        <v>10239</v>
      </c>
      <c r="L71" s="9" t="str">
        <f>HYPERLINK("https://seichotoushi-hojo.jp/assets/pdf/koufu/outline_122.pdf","PDFを開く")</f>
        <v>PDFを開く</v>
      </c>
      <c r="M71" s="9" t="s">
        <v>322</v>
      </c>
    </row>
    <row r="72" spans="1:13" ht="66" customHeight="1">
      <c r="A72" s="2" t="s">
        <v>323</v>
      </c>
      <c r="B72" s="2" t="s">
        <v>73</v>
      </c>
      <c r="C72" s="8" t="s">
        <v>324</v>
      </c>
      <c r="D72" s="2">
        <v>1</v>
      </c>
      <c r="E72" s="8" t="s">
        <v>10156</v>
      </c>
      <c r="F72" s="2">
        <v>4</v>
      </c>
      <c r="G72" s="8" t="s">
        <v>8581</v>
      </c>
      <c r="H72" s="8" t="s">
        <v>8581</v>
      </c>
      <c r="I72" s="8"/>
      <c r="J72" s="8" t="s">
        <v>10159</v>
      </c>
      <c r="K72" s="8" t="s">
        <v>328</v>
      </c>
      <c r="L72" s="8" t="str">
        <f>HYPERLINK("https://seichotoushi-hojo.jp/assets/pdf/koufu/outline_123.pdf","PDFを開く")</f>
        <v>PDFを開く</v>
      </c>
      <c r="M72" s="8" t="s">
        <v>330</v>
      </c>
    </row>
    <row r="73" spans="1:13" ht="66" customHeight="1">
      <c r="A73" s="5" t="s">
        <v>323</v>
      </c>
      <c r="B73" s="5" t="s">
        <v>73</v>
      </c>
      <c r="C73" s="9" t="s">
        <v>324</v>
      </c>
      <c r="D73" s="5">
        <v>2</v>
      </c>
      <c r="E73" s="9" t="s">
        <v>10165</v>
      </c>
      <c r="F73" s="5">
        <v>1</v>
      </c>
      <c r="G73" s="9" t="s">
        <v>10167</v>
      </c>
      <c r="H73" s="9" t="s">
        <v>10240</v>
      </c>
      <c r="I73" s="9"/>
      <c r="J73" s="9" t="s">
        <v>10159</v>
      </c>
      <c r="K73" s="9" t="s">
        <v>10241</v>
      </c>
      <c r="L73" s="9" t="str">
        <f>HYPERLINK("https://seichotoushi-hojo.jp/assets/pdf/koufu/outline_123.pdf","PDFを開く")</f>
        <v>PDFを開く</v>
      </c>
      <c r="M73" s="9" t="s">
        <v>330</v>
      </c>
    </row>
    <row r="74" spans="1:13" ht="66" customHeight="1">
      <c r="A74" s="2" t="s">
        <v>323</v>
      </c>
      <c r="B74" s="2" t="s">
        <v>73</v>
      </c>
      <c r="C74" s="8" t="s">
        <v>324</v>
      </c>
      <c r="D74" s="2">
        <v>2</v>
      </c>
      <c r="E74" s="8" t="s">
        <v>10165</v>
      </c>
      <c r="F74" s="2">
        <v>2</v>
      </c>
      <c r="G74" s="8" t="s">
        <v>10167</v>
      </c>
      <c r="H74" s="8" t="s">
        <v>3504</v>
      </c>
      <c r="I74" s="8"/>
      <c r="J74" s="8" t="s">
        <v>10159</v>
      </c>
      <c r="K74" s="8" t="s">
        <v>10186</v>
      </c>
      <c r="L74" s="8" t="str">
        <f>HYPERLINK("https://seichotoushi-hojo.jp/assets/pdf/koufu/outline_123.pdf","PDFを開く")</f>
        <v>PDFを開く</v>
      </c>
      <c r="M74" s="8" t="s">
        <v>330</v>
      </c>
    </row>
    <row r="75" spans="1:13" ht="66" customHeight="1">
      <c r="A75" s="5" t="s">
        <v>331</v>
      </c>
      <c r="B75" s="5" t="s">
        <v>73</v>
      </c>
      <c r="C75" s="9" t="s">
        <v>332</v>
      </c>
      <c r="D75" s="5">
        <v>1</v>
      </c>
      <c r="E75" s="9" t="s">
        <v>10156</v>
      </c>
      <c r="F75" s="5">
        <v>4</v>
      </c>
      <c r="G75" s="9" t="s">
        <v>8581</v>
      </c>
      <c r="H75" s="9" t="s">
        <v>8581</v>
      </c>
      <c r="I75" s="9"/>
      <c r="J75" s="9" t="s">
        <v>10159</v>
      </c>
      <c r="K75" s="9" t="s">
        <v>335</v>
      </c>
      <c r="L75" s="9" t="str">
        <f>HYPERLINK("https://seichotoushi-hojo.jp/assets/pdf/koufu/outline_124.pdf","PDFを開く")</f>
        <v>PDFを開く</v>
      </c>
      <c r="M75" s="9" t="s">
        <v>337</v>
      </c>
    </row>
    <row r="76" spans="1:13" ht="66" customHeight="1">
      <c r="A76" s="2" t="s">
        <v>338</v>
      </c>
      <c r="B76" s="2" t="s">
        <v>73</v>
      </c>
      <c r="C76" s="8" t="s">
        <v>339</v>
      </c>
      <c r="D76" s="2">
        <v>1</v>
      </c>
      <c r="E76" s="8" t="s">
        <v>10156</v>
      </c>
      <c r="F76" s="2">
        <v>1</v>
      </c>
      <c r="G76" s="8" t="s">
        <v>8581</v>
      </c>
      <c r="H76" s="8" t="s">
        <v>8581</v>
      </c>
      <c r="I76" s="8"/>
      <c r="J76" s="8" t="s">
        <v>10181</v>
      </c>
      <c r="K76" s="8" t="s">
        <v>10242</v>
      </c>
      <c r="L76" s="8" t="str">
        <f>HYPERLINK("https://seichotoushi-hojo.jp/assets/pdf/koufu/outline_125.pdf","PDFを開く")</f>
        <v>PDFを開く</v>
      </c>
      <c r="M76" s="8" t="s">
        <v>346</v>
      </c>
    </row>
    <row r="77" spans="1:13" ht="66" customHeight="1">
      <c r="A77" s="5" t="s">
        <v>338</v>
      </c>
      <c r="B77" s="5" t="s">
        <v>73</v>
      </c>
      <c r="C77" s="9" t="s">
        <v>339</v>
      </c>
      <c r="D77" s="5">
        <v>1</v>
      </c>
      <c r="E77" s="9" t="s">
        <v>10156</v>
      </c>
      <c r="F77" s="5">
        <v>2</v>
      </c>
      <c r="G77" s="9" t="s">
        <v>8581</v>
      </c>
      <c r="H77" s="9" t="s">
        <v>8581</v>
      </c>
      <c r="I77" s="9"/>
      <c r="J77" s="9" t="s">
        <v>10181</v>
      </c>
      <c r="K77" s="9" t="s">
        <v>10243</v>
      </c>
      <c r="L77" s="9" t="str">
        <f>HYPERLINK("https://seichotoushi-hojo.jp/assets/pdf/koufu/outline_125.pdf","PDFを開く")</f>
        <v>PDFを開く</v>
      </c>
      <c r="M77" s="9" t="s">
        <v>346</v>
      </c>
    </row>
    <row r="78" spans="1:13" ht="66" customHeight="1">
      <c r="A78" s="2" t="s">
        <v>338</v>
      </c>
      <c r="B78" s="2" t="s">
        <v>73</v>
      </c>
      <c r="C78" s="8" t="s">
        <v>339</v>
      </c>
      <c r="D78" s="2">
        <v>2</v>
      </c>
      <c r="E78" s="8" t="s">
        <v>10165</v>
      </c>
      <c r="F78" s="2">
        <v>1</v>
      </c>
      <c r="G78" s="8" t="s">
        <v>10167</v>
      </c>
      <c r="H78" s="8" t="s">
        <v>10244</v>
      </c>
      <c r="I78" s="8"/>
      <c r="J78" s="8" t="s">
        <v>10159</v>
      </c>
      <c r="K78" s="8" t="s">
        <v>10245</v>
      </c>
      <c r="L78" s="8" t="str">
        <f>HYPERLINK("https://seichotoushi-hojo.jp/assets/pdf/koufu/outline_125.pdf","PDFを開く")</f>
        <v>PDFを開く</v>
      </c>
      <c r="M78" s="8" t="s">
        <v>346</v>
      </c>
    </row>
    <row r="79" spans="1:13" ht="66" customHeight="1">
      <c r="A79" s="5" t="s">
        <v>338</v>
      </c>
      <c r="B79" s="5" t="s">
        <v>73</v>
      </c>
      <c r="C79" s="9" t="s">
        <v>339</v>
      </c>
      <c r="D79" s="5">
        <v>2</v>
      </c>
      <c r="E79" s="9" t="s">
        <v>10165</v>
      </c>
      <c r="F79" s="5">
        <v>2</v>
      </c>
      <c r="G79" s="9" t="s">
        <v>10167</v>
      </c>
      <c r="H79" s="9" t="s">
        <v>10246</v>
      </c>
      <c r="I79" s="9"/>
      <c r="J79" s="9" t="s">
        <v>10159</v>
      </c>
      <c r="K79" s="9" t="s">
        <v>10246</v>
      </c>
      <c r="L79" s="9" t="str">
        <f>HYPERLINK("https://seichotoushi-hojo.jp/assets/pdf/koufu/outline_125.pdf","PDFを開く")</f>
        <v>PDFを開く</v>
      </c>
      <c r="M79" s="9" t="s">
        <v>346</v>
      </c>
    </row>
    <row r="80" spans="1:13" ht="66" customHeight="1">
      <c r="A80" s="2" t="s">
        <v>338</v>
      </c>
      <c r="B80" s="2" t="s">
        <v>73</v>
      </c>
      <c r="C80" s="8" t="s">
        <v>339</v>
      </c>
      <c r="D80" s="2">
        <v>2</v>
      </c>
      <c r="E80" s="8" t="s">
        <v>10165</v>
      </c>
      <c r="F80" s="2">
        <v>3</v>
      </c>
      <c r="G80" s="8" t="s">
        <v>10184</v>
      </c>
      <c r="H80" s="8" t="s">
        <v>10184</v>
      </c>
      <c r="I80" s="8"/>
      <c r="J80" s="8" t="s">
        <v>10181</v>
      </c>
      <c r="K80" s="8" t="s">
        <v>10247</v>
      </c>
      <c r="L80" s="8" t="str">
        <f>HYPERLINK("https://seichotoushi-hojo.jp/assets/pdf/koufu/outline_125.pdf","PDFを開く")</f>
        <v>PDFを開く</v>
      </c>
      <c r="M80" s="8" t="s">
        <v>346</v>
      </c>
    </row>
    <row r="81" spans="1:13" ht="66" customHeight="1">
      <c r="A81" s="5" t="s">
        <v>347</v>
      </c>
      <c r="B81" s="5" t="s">
        <v>73</v>
      </c>
      <c r="C81" s="9" t="s">
        <v>348</v>
      </c>
      <c r="D81" s="5">
        <v>1</v>
      </c>
      <c r="E81" s="9" t="s">
        <v>10156</v>
      </c>
      <c r="F81" s="5">
        <v>4</v>
      </c>
      <c r="G81" s="9" t="s">
        <v>8581</v>
      </c>
      <c r="H81" s="9" t="s">
        <v>8581</v>
      </c>
      <c r="I81" s="9"/>
      <c r="J81" s="9" t="s">
        <v>10159</v>
      </c>
      <c r="K81" s="9" t="s">
        <v>351</v>
      </c>
      <c r="L81" s="9" t="str">
        <f>HYPERLINK("https://seichotoushi-hojo.jp/assets/pdf/koufu/outline_126.pdf","PDFを開く")</f>
        <v>PDFを開く</v>
      </c>
      <c r="M81" s="9" t="s">
        <v>353</v>
      </c>
    </row>
    <row r="82" spans="1:13" ht="66" customHeight="1">
      <c r="A82" s="2" t="s">
        <v>354</v>
      </c>
      <c r="B82" s="2" t="s">
        <v>73</v>
      </c>
      <c r="C82" s="8" t="s">
        <v>355</v>
      </c>
      <c r="D82" s="2">
        <v>1</v>
      </c>
      <c r="E82" s="8" t="s">
        <v>10156</v>
      </c>
      <c r="F82" s="2">
        <v>3</v>
      </c>
      <c r="G82" s="8" t="s">
        <v>8581</v>
      </c>
      <c r="H82" s="8" t="s">
        <v>8581</v>
      </c>
      <c r="I82" s="8"/>
      <c r="J82" s="8" t="s">
        <v>10159</v>
      </c>
      <c r="K82" s="8" t="s">
        <v>358</v>
      </c>
      <c r="L82" s="8" t="str">
        <f>HYPERLINK("https://seichotoushi-hojo.jp/assets/pdf/koufu/outline_127.pdf","PDFを開く")</f>
        <v>PDFを開く</v>
      </c>
      <c r="M82" s="8" t="s">
        <v>361</v>
      </c>
    </row>
    <row r="83" spans="1:13" ht="66" customHeight="1">
      <c r="A83" s="5" t="s">
        <v>362</v>
      </c>
      <c r="B83" s="5" t="s">
        <v>73</v>
      </c>
      <c r="C83" s="9" t="s">
        <v>363</v>
      </c>
      <c r="D83" s="5">
        <v>1</v>
      </c>
      <c r="E83" s="9" t="s">
        <v>10156</v>
      </c>
      <c r="F83" s="5">
        <v>4</v>
      </c>
      <c r="G83" s="9" t="s">
        <v>8581</v>
      </c>
      <c r="H83" s="9" t="s">
        <v>8581</v>
      </c>
      <c r="I83" s="9"/>
      <c r="J83" s="9" t="s">
        <v>10159</v>
      </c>
      <c r="K83" s="9" t="s">
        <v>366</v>
      </c>
      <c r="L83" s="9" t="str">
        <f>HYPERLINK("https://seichotoushi-hojo.jp/assets/pdf/koufu/outline_128.pdf","PDFを開く")</f>
        <v>PDFを開く</v>
      </c>
      <c r="M83" s="9" t="s">
        <v>368</v>
      </c>
    </row>
    <row r="84" spans="1:13" ht="66" customHeight="1">
      <c r="A84" s="2" t="s">
        <v>369</v>
      </c>
      <c r="B84" s="2" t="s">
        <v>73</v>
      </c>
      <c r="C84" s="8" t="s">
        <v>370</v>
      </c>
      <c r="D84" s="2">
        <v>1</v>
      </c>
      <c r="E84" s="8" t="s">
        <v>10156</v>
      </c>
      <c r="F84" s="2">
        <v>1</v>
      </c>
      <c r="G84" s="8" t="s">
        <v>10157</v>
      </c>
      <c r="H84" s="8" t="s">
        <v>10157</v>
      </c>
      <c r="I84" s="8"/>
      <c r="J84" s="8" t="s">
        <v>10159</v>
      </c>
      <c r="K84" s="8" t="s">
        <v>7589</v>
      </c>
      <c r="L84" s="8" t="str">
        <f>HYPERLINK("https://seichotoushi-hojo.jp/assets/pdf/koufu/outline_129.pdf","PDFを開く")</f>
        <v>PDFを開く</v>
      </c>
      <c r="M84" s="8" t="s">
        <v>377</v>
      </c>
    </row>
    <row r="85" spans="1:13" ht="66" customHeight="1">
      <c r="A85" s="5" t="s">
        <v>369</v>
      </c>
      <c r="B85" s="5" t="s">
        <v>73</v>
      </c>
      <c r="C85" s="9" t="s">
        <v>370</v>
      </c>
      <c r="D85" s="5">
        <v>1</v>
      </c>
      <c r="E85" s="9" t="s">
        <v>10156</v>
      </c>
      <c r="F85" s="5">
        <v>5</v>
      </c>
      <c r="G85" s="9" t="s">
        <v>8581</v>
      </c>
      <c r="H85" s="9" t="s">
        <v>8581</v>
      </c>
      <c r="I85" s="9"/>
      <c r="J85" s="9" t="s">
        <v>10159</v>
      </c>
      <c r="K85" s="9" t="s">
        <v>374</v>
      </c>
      <c r="L85" s="9" t="str">
        <f>HYPERLINK("https://seichotoushi-hojo.jp/assets/pdf/koufu/outline_129.pdf","PDFを開く")</f>
        <v>PDFを開く</v>
      </c>
      <c r="M85" s="9" t="s">
        <v>377</v>
      </c>
    </row>
    <row r="86" spans="1:13" ht="66" customHeight="1">
      <c r="A86" s="2" t="s">
        <v>369</v>
      </c>
      <c r="B86" s="2" t="s">
        <v>73</v>
      </c>
      <c r="C86" s="8" t="s">
        <v>370</v>
      </c>
      <c r="D86" s="2">
        <v>2</v>
      </c>
      <c r="E86" s="8" t="s">
        <v>10165</v>
      </c>
      <c r="F86" s="2">
        <v>1</v>
      </c>
      <c r="G86" s="8" t="s">
        <v>10167</v>
      </c>
      <c r="H86" s="8" t="s">
        <v>10248</v>
      </c>
      <c r="I86" s="8"/>
      <c r="J86" s="8" t="s">
        <v>10159</v>
      </c>
      <c r="K86" s="8" t="s">
        <v>10249</v>
      </c>
      <c r="L86" s="8" t="str">
        <f>HYPERLINK("https://seichotoushi-hojo.jp/assets/pdf/koufu/outline_129.pdf","PDFを開く")</f>
        <v>PDFを開く</v>
      </c>
      <c r="M86" s="8" t="s">
        <v>377</v>
      </c>
    </row>
    <row r="87" spans="1:13" ht="66" customHeight="1">
      <c r="A87" s="5" t="s">
        <v>369</v>
      </c>
      <c r="B87" s="5" t="s">
        <v>73</v>
      </c>
      <c r="C87" s="9" t="s">
        <v>370</v>
      </c>
      <c r="D87" s="5">
        <v>2</v>
      </c>
      <c r="E87" s="9" t="s">
        <v>10165</v>
      </c>
      <c r="F87" s="5">
        <v>2</v>
      </c>
      <c r="G87" s="9" t="s">
        <v>10167</v>
      </c>
      <c r="H87" s="9" t="s">
        <v>10250</v>
      </c>
      <c r="I87" s="9"/>
      <c r="J87" s="9" t="s">
        <v>10159</v>
      </c>
      <c r="K87" s="9" t="s">
        <v>10251</v>
      </c>
      <c r="L87" s="9" t="str">
        <f>HYPERLINK("https://seichotoushi-hojo.jp/assets/pdf/koufu/outline_129.pdf","PDFを開く")</f>
        <v>PDFを開く</v>
      </c>
      <c r="M87" s="9" t="s">
        <v>377</v>
      </c>
    </row>
    <row r="88" spans="1:13" ht="66" customHeight="1">
      <c r="A88" s="2" t="s">
        <v>378</v>
      </c>
      <c r="B88" s="2" t="s">
        <v>73</v>
      </c>
      <c r="C88" s="8" t="s">
        <v>379</v>
      </c>
      <c r="D88" s="2">
        <v>1</v>
      </c>
      <c r="E88" s="8" t="s">
        <v>10156</v>
      </c>
      <c r="F88" s="2">
        <v>1</v>
      </c>
      <c r="G88" s="8" t="s">
        <v>8581</v>
      </c>
      <c r="H88" s="8" t="s">
        <v>8581</v>
      </c>
      <c r="I88" s="8"/>
      <c r="J88" s="8" t="s">
        <v>10159</v>
      </c>
      <c r="K88" s="8" t="s">
        <v>7600</v>
      </c>
      <c r="L88" s="8" t="str">
        <f>HYPERLINK("https://seichotoushi-hojo.jp/assets/pdf/koufu/outline_13.pdf","PDFを開く")</f>
        <v>PDFを開く</v>
      </c>
      <c r="M88" s="8" t="s">
        <v>385</v>
      </c>
    </row>
    <row r="89" spans="1:13" ht="66" customHeight="1">
      <c r="A89" s="5" t="s">
        <v>378</v>
      </c>
      <c r="B89" s="5" t="s">
        <v>73</v>
      </c>
      <c r="C89" s="9" t="s">
        <v>379</v>
      </c>
      <c r="D89" s="5">
        <v>2</v>
      </c>
      <c r="E89" s="9" t="s">
        <v>10165</v>
      </c>
      <c r="F89" s="5">
        <v>1</v>
      </c>
      <c r="G89" s="9" t="s">
        <v>10167</v>
      </c>
      <c r="H89" s="9" t="s">
        <v>10252</v>
      </c>
      <c r="I89" s="9"/>
      <c r="J89" s="9" t="s">
        <v>10159</v>
      </c>
      <c r="K89" s="9" t="s">
        <v>10253</v>
      </c>
      <c r="L89" s="9" t="str">
        <f>HYPERLINK("https://seichotoushi-hojo.jp/assets/pdf/koufu/outline_13.pdf","PDFを開く")</f>
        <v>PDFを開く</v>
      </c>
      <c r="M89" s="9" t="s">
        <v>385</v>
      </c>
    </row>
    <row r="90" spans="1:13" ht="66" customHeight="1">
      <c r="A90" s="2" t="s">
        <v>386</v>
      </c>
      <c r="B90" s="2" t="s">
        <v>73</v>
      </c>
      <c r="C90" s="8" t="s">
        <v>387</v>
      </c>
      <c r="D90" s="2">
        <v>1</v>
      </c>
      <c r="E90" s="8" t="s">
        <v>10156</v>
      </c>
      <c r="F90" s="2">
        <v>4</v>
      </c>
      <c r="G90" s="8" t="s">
        <v>8581</v>
      </c>
      <c r="H90" s="8" t="s">
        <v>8581</v>
      </c>
      <c r="I90" s="8"/>
      <c r="J90" s="8" t="s">
        <v>10159</v>
      </c>
      <c r="K90" s="8" t="s">
        <v>391</v>
      </c>
      <c r="L90" s="8" t="str">
        <f>HYPERLINK("https://seichotoushi-hojo.jp/assets/pdf/koufu/outline_130.pdf","PDFを開く")</f>
        <v>PDFを開く</v>
      </c>
      <c r="M90" s="8" t="s">
        <v>394</v>
      </c>
    </row>
    <row r="91" spans="1:13" ht="66" customHeight="1">
      <c r="A91" s="5" t="s">
        <v>395</v>
      </c>
      <c r="B91" s="5" t="s">
        <v>73</v>
      </c>
      <c r="C91" s="9" t="s">
        <v>396</v>
      </c>
      <c r="D91" s="5">
        <v>1</v>
      </c>
      <c r="E91" s="9" t="s">
        <v>10156</v>
      </c>
      <c r="F91" s="5">
        <v>4</v>
      </c>
      <c r="G91" s="9" t="s">
        <v>8581</v>
      </c>
      <c r="H91" s="9" t="s">
        <v>8581</v>
      </c>
      <c r="I91" s="9"/>
      <c r="J91" s="9" t="s">
        <v>10159</v>
      </c>
      <c r="K91" s="9" t="s">
        <v>401</v>
      </c>
      <c r="L91" s="9" t="str">
        <f>HYPERLINK("https://seichotoushi-hojo.jp/assets/pdf/koufu/outline_131.pdf","PDFを開く")</f>
        <v>PDFを開く</v>
      </c>
      <c r="M91" s="9" t="s">
        <v>403</v>
      </c>
    </row>
    <row r="92" spans="1:13" ht="66" customHeight="1">
      <c r="A92" s="2" t="s">
        <v>404</v>
      </c>
      <c r="B92" s="2" t="s">
        <v>73</v>
      </c>
      <c r="C92" s="8" t="s">
        <v>405</v>
      </c>
      <c r="D92" s="2">
        <v>1</v>
      </c>
      <c r="E92" s="8" t="s">
        <v>10156</v>
      </c>
      <c r="F92" s="2">
        <v>1</v>
      </c>
      <c r="G92" s="8" t="s">
        <v>10167</v>
      </c>
      <c r="H92" s="8" t="s">
        <v>10254</v>
      </c>
      <c r="I92" s="8"/>
      <c r="J92" s="8" t="s">
        <v>10159</v>
      </c>
      <c r="K92" s="8" t="s">
        <v>10255</v>
      </c>
      <c r="L92" s="8" t="str">
        <f>HYPERLINK("https://seichotoushi-hojo.jp/assets/pdf/koufu/outline_132.pdf","PDFを開く")</f>
        <v>PDFを開く</v>
      </c>
      <c r="M92" s="8" t="s">
        <v>411</v>
      </c>
    </row>
    <row r="93" spans="1:13" ht="66" customHeight="1">
      <c r="A93" s="5" t="s">
        <v>404</v>
      </c>
      <c r="B93" s="5" t="s">
        <v>73</v>
      </c>
      <c r="C93" s="9" t="s">
        <v>405</v>
      </c>
      <c r="D93" s="5">
        <v>1</v>
      </c>
      <c r="E93" s="9" t="s">
        <v>10156</v>
      </c>
      <c r="F93" s="5">
        <v>5</v>
      </c>
      <c r="G93" s="9" t="s">
        <v>8581</v>
      </c>
      <c r="H93" s="9" t="s">
        <v>8581</v>
      </c>
      <c r="I93" s="9"/>
      <c r="J93" s="9" t="s">
        <v>10159</v>
      </c>
      <c r="K93" s="9" t="s">
        <v>409</v>
      </c>
      <c r="L93" s="9" t="str">
        <f>HYPERLINK("https://seichotoushi-hojo.jp/assets/pdf/koufu/outline_132.pdf","PDFを開く")</f>
        <v>PDFを開く</v>
      </c>
      <c r="M93" s="9" t="s">
        <v>411</v>
      </c>
    </row>
    <row r="94" spans="1:13" ht="66" customHeight="1">
      <c r="A94" s="2" t="s">
        <v>412</v>
      </c>
      <c r="B94" s="2" t="s">
        <v>73</v>
      </c>
      <c r="C94" s="8" t="s">
        <v>413</v>
      </c>
      <c r="D94" s="2">
        <v>1</v>
      </c>
      <c r="E94" s="8" t="s">
        <v>10156</v>
      </c>
      <c r="F94" s="2">
        <v>4</v>
      </c>
      <c r="G94" s="8" t="s">
        <v>8581</v>
      </c>
      <c r="H94" s="8" t="s">
        <v>8581</v>
      </c>
      <c r="I94" s="8"/>
      <c r="J94" s="8" t="s">
        <v>10159</v>
      </c>
      <c r="K94" s="8" t="s">
        <v>419</v>
      </c>
      <c r="L94" s="8" t="str">
        <f>HYPERLINK("https://seichotoushi-hojo.jp/assets/pdf/koufu/outline_134.pdf","PDFを開く")</f>
        <v>PDFを開く</v>
      </c>
      <c r="M94" s="8" t="s">
        <v>422</v>
      </c>
    </row>
    <row r="95" spans="1:13" ht="66" customHeight="1">
      <c r="A95" s="5" t="s">
        <v>412</v>
      </c>
      <c r="B95" s="5" t="s">
        <v>73</v>
      </c>
      <c r="C95" s="9" t="s">
        <v>413</v>
      </c>
      <c r="D95" s="5">
        <v>2</v>
      </c>
      <c r="E95" s="9" t="s">
        <v>10165</v>
      </c>
      <c r="F95" s="5">
        <v>1</v>
      </c>
      <c r="G95" s="9" t="s">
        <v>10184</v>
      </c>
      <c r="H95" s="9" t="s">
        <v>10184</v>
      </c>
      <c r="I95" s="9"/>
      <c r="J95" s="9" t="s">
        <v>10181</v>
      </c>
      <c r="K95" s="9" t="s">
        <v>10256</v>
      </c>
      <c r="L95" s="9" t="str">
        <f>HYPERLINK("https://seichotoushi-hojo.jp/assets/pdf/koufu/outline_134.pdf","PDFを開く")</f>
        <v>PDFを開く</v>
      </c>
      <c r="M95" s="9" t="s">
        <v>422</v>
      </c>
    </row>
    <row r="96" spans="1:13" ht="66" customHeight="1">
      <c r="A96" s="2" t="s">
        <v>423</v>
      </c>
      <c r="B96" s="2" t="s">
        <v>73</v>
      </c>
      <c r="C96" s="8" t="s">
        <v>424</v>
      </c>
      <c r="D96" s="2">
        <v>1</v>
      </c>
      <c r="E96" s="8" t="s">
        <v>10156</v>
      </c>
      <c r="F96" s="2">
        <v>4</v>
      </c>
      <c r="G96" s="8" t="s">
        <v>8581</v>
      </c>
      <c r="H96" s="8" t="s">
        <v>8581</v>
      </c>
      <c r="I96" s="8"/>
      <c r="J96" s="8" t="s">
        <v>10159</v>
      </c>
      <c r="K96" s="8" t="s">
        <v>428</v>
      </c>
      <c r="L96" s="8" t="str">
        <f>HYPERLINK("https://seichotoushi-hojo.jp/assets/pdf/koufu/outline_135.pdf","PDFを開く")</f>
        <v>PDFを開く</v>
      </c>
      <c r="M96" s="8" t="s">
        <v>430</v>
      </c>
    </row>
    <row r="97" spans="1:13" ht="66" customHeight="1">
      <c r="A97" s="5" t="s">
        <v>423</v>
      </c>
      <c r="B97" s="5" t="s">
        <v>73</v>
      </c>
      <c r="C97" s="9" t="s">
        <v>424</v>
      </c>
      <c r="D97" s="5">
        <v>2</v>
      </c>
      <c r="E97" s="9" t="s">
        <v>10165</v>
      </c>
      <c r="F97" s="5">
        <v>1</v>
      </c>
      <c r="G97" s="9" t="s">
        <v>10184</v>
      </c>
      <c r="H97" s="9" t="s">
        <v>10184</v>
      </c>
      <c r="I97" s="9"/>
      <c r="J97" s="9" t="s">
        <v>10181</v>
      </c>
      <c r="K97" s="9" t="s">
        <v>10257</v>
      </c>
      <c r="L97" s="9" t="str">
        <f>HYPERLINK("https://seichotoushi-hojo.jp/assets/pdf/koufu/outline_135.pdf","PDFを開く")</f>
        <v>PDFを開く</v>
      </c>
      <c r="M97" s="9" t="s">
        <v>430</v>
      </c>
    </row>
    <row r="98" spans="1:13" ht="66" customHeight="1">
      <c r="A98" s="2" t="s">
        <v>431</v>
      </c>
      <c r="B98" s="2" t="s">
        <v>73</v>
      </c>
      <c r="C98" s="8" t="s">
        <v>432</v>
      </c>
      <c r="D98" s="2">
        <v>1</v>
      </c>
      <c r="E98" s="8" t="s">
        <v>10156</v>
      </c>
      <c r="F98" s="2">
        <v>4</v>
      </c>
      <c r="G98" s="8" t="s">
        <v>8581</v>
      </c>
      <c r="H98" s="8" t="s">
        <v>8581</v>
      </c>
      <c r="I98" s="8"/>
      <c r="J98" s="8" t="s">
        <v>10159</v>
      </c>
      <c r="K98" s="8" t="s">
        <v>436</v>
      </c>
      <c r="L98" s="8" t="str">
        <f>HYPERLINK("https://seichotoushi-hojo.jp/assets/pdf/koufu/outline_136.pdf","PDFを開く")</f>
        <v>PDFを開く</v>
      </c>
      <c r="M98" s="8" t="s">
        <v>439</v>
      </c>
    </row>
    <row r="99" spans="1:13" ht="66" customHeight="1">
      <c r="A99" s="5" t="s">
        <v>440</v>
      </c>
      <c r="B99" s="5" t="s">
        <v>73</v>
      </c>
      <c r="C99" s="9" t="s">
        <v>441</v>
      </c>
      <c r="D99" s="5">
        <v>1</v>
      </c>
      <c r="E99" s="9" t="s">
        <v>10156</v>
      </c>
      <c r="F99" s="5">
        <v>4</v>
      </c>
      <c r="G99" s="9" t="s">
        <v>8581</v>
      </c>
      <c r="H99" s="9" t="s">
        <v>8581</v>
      </c>
      <c r="I99" s="9"/>
      <c r="J99" s="9" t="s">
        <v>10159</v>
      </c>
      <c r="K99" s="9" t="s">
        <v>445</v>
      </c>
      <c r="L99" s="9" t="str">
        <f>HYPERLINK("https://seichotoushi-hojo.jp/assets/pdf/koufu/outline_137.pdf","PDFを開く")</f>
        <v>PDFを開く</v>
      </c>
      <c r="M99" s="9" t="s">
        <v>449</v>
      </c>
    </row>
    <row r="100" spans="1:13" ht="66" customHeight="1">
      <c r="A100" s="2" t="s">
        <v>450</v>
      </c>
      <c r="B100" s="2" t="s">
        <v>73</v>
      </c>
      <c r="C100" s="8" t="s">
        <v>451</v>
      </c>
      <c r="D100" s="2">
        <v>1</v>
      </c>
      <c r="E100" s="8" t="s">
        <v>10156</v>
      </c>
      <c r="F100" s="2">
        <v>5</v>
      </c>
      <c r="G100" s="8" t="s">
        <v>8581</v>
      </c>
      <c r="H100" s="8" t="s">
        <v>8581</v>
      </c>
      <c r="I100" s="8"/>
      <c r="J100" s="8" t="s">
        <v>10159</v>
      </c>
      <c r="K100" s="8" t="s">
        <v>455</v>
      </c>
      <c r="L100" s="8" t="str">
        <f t="shared" ref="L100:L107" si="3">HYPERLINK("https://seichotoushi-hojo.jp/assets/pdf/koufu/outline_138.pdf","PDFを開く")</f>
        <v>PDFを開く</v>
      </c>
      <c r="M100" s="8" t="s">
        <v>458</v>
      </c>
    </row>
    <row r="101" spans="1:13" ht="66" customHeight="1">
      <c r="A101" s="5" t="s">
        <v>450</v>
      </c>
      <c r="B101" s="5" t="s">
        <v>73</v>
      </c>
      <c r="C101" s="9" t="s">
        <v>451</v>
      </c>
      <c r="D101" s="5">
        <v>2</v>
      </c>
      <c r="E101" s="9" t="s">
        <v>10165</v>
      </c>
      <c r="F101" s="5">
        <v>1</v>
      </c>
      <c r="G101" s="9" t="s">
        <v>10167</v>
      </c>
      <c r="H101" s="9" t="s">
        <v>10260</v>
      </c>
      <c r="I101" s="9"/>
      <c r="J101" s="9" t="s">
        <v>10159</v>
      </c>
      <c r="K101" s="9" t="s">
        <v>10261</v>
      </c>
      <c r="L101" s="9" t="str">
        <f t="shared" si="3"/>
        <v>PDFを開く</v>
      </c>
      <c r="M101" s="9" t="s">
        <v>458</v>
      </c>
    </row>
    <row r="102" spans="1:13" ht="66" customHeight="1">
      <c r="A102" s="2" t="s">
        <v>450</v>
      </c>
      <c r="B102" s="2" t="s">
        <v>73</v>
      </c>
      <c r="C102" s="8" t="s">
        <v>451</v>
      </c>
      <c r="D102" s="2">
        <v>2</v>
      </c>
      <c r="E102" s="8" t="s">
        <v>10165</v>
      </c>
      <c r="F102" s="2">
        <v>2</v>
      </c>
      <c r="G102" s="8" t="s">
        <v>10167</v>
      </c>
      <c r="H102" s="8" t="s">
        <v>10260</v>
      </c>
      <c r="I102" s="8"/>
      <c r="J102" s="8" t="s">
        <v>10159</v>
      </c>
      <c r="K102" s="8" t="s">
        <v>10262</v>
      </c>
      <c r="L102" s="8" t="str">
        <f t="shared" si="3"/>
        <v>PDFを開く</v>
      </c>
      <c r="M102" s="8" t="s">
        <v>458</v>
      </c>
    </row>
    <row r="103" spans="1:13" ht="66" customHeight="1">
      <c r="A103" s="5" t="s">
        <v>450</v>
      </c>
      <c r="B103" s="5" t="s">
        <v>73</v>
      </c>
      <c r="C103" s="9" t="s">
        <v>451</v>
      </c>
      <c r="D103" s="5">
        <v>2</v>
      </c>
      <c r="E103" s="9" t="s">
        <v>10165</v>
      </c>
      <c r="F103" s="5">
        <v>3</v>
      </c>
      <c r="G103" s="9" t="s">
        <v>10167</v>
      </c>
      <c r="H103" s="9" t="s">
        <v>10263</v>
      </c>
      <c r="I103" s="9"/>
      <c r="J103" s="9" t="s">
        <v>10159</v>
      </c>
      <c r="K103" s="9" t="s">
        <v>10264</v>
      </c>
      <c r="L103" s="9" t="str">
        <f t="shared" si="3"/>
        <v>PDFを開く</v>
      </c>
      <c r="M103" s="9" t="s">
        <v>458</v>
      </c>
    </row>
    <row r="104" spans="1:13" ht="66" customHeight="1">
      <c r="A104" s="2" t="s">
        <v>450</v>
      </c>
      <c r="B104" s="2" t="s">
        <v>73</v>
      </c>
      <c r="C104" s="8" t="s">
        <v>451</v>
      </c>
      <c r="D104" s="2">
        <v>2</v>
      </c>
      <c r="E104" s="8" t="s">
        <v>10165</v>
      </c>
      <c r="F104" s="2">
        <v>4</v>
      </c>
      <c r="G104" s="8" t="s">
        <v>10167</v>
      </c>
      <c r="H104" s="8" t="s">
        <v>10263</v>
      </c>
      <c r="I104" s="8"/>
      <c r="J104" s="8" t="s">
        <v>10159</v>
      </c>
      <c r="K104" s="8" t="s">
        <v>10265</v>
      </c>
      <c r="L104" s="8" t="str">
        <f t="shared" si="3"/>
        <v>PDFを開く</v>
      </c>
      <c r="M104" s="8" t="s">
        <v>458</v>
      </c>
    </row>
    <row r="105" spans="1:13" ht="66" customHeight="1">
      <c r="A105" s="5" t="s">
        <v>450</v>
      </c>
      <c r="B105" s="5" t="s">
        <v>73</v>
      </c>
      <c r="C105" s="9" t="s">
        <v>451</v>
      </c>
      <c r="D105" s="5">
        <v>3</v>
      </c>
      <c r="E105" s="9" t="s">
        <v>10165</v>
      </c>
      <c r="F105" s="5">
        <v>1</v>
      </c>
      <c r="G105" s="9" t="s">
        <v>10167</v>
      </c>
      <c r="H105" s="9" t="s">
        <v>10266</v>
      </c>
      <c r="I105" s="9"/>
      <c r="J105" s="9" t="s">
        <v>10159</v>
      </c>
      <c r="K105" s="9" t="s">
        <v>10267</v>
      </c>
      <c r="L105" s="9" t="str">
        <f t="shared" si="3"/>
        <v>PDFを開く</v>
      </c>
      <c r="M105" s="9" t="s">
        <v>458</v>
      </c>
    </row>
    <row r="106" spans="1:13" ht="66" customHeight="1">
      <c r="A106" s="2" t="s">
        <v>450</v>
      </c>
      <c r="B106" s="2" t="s">
        <v>73</v>
      </c>
      <c r="C106" s="8" t="s">
        <v>451</v>
      </c>
      <c r="D106" s="2">
        <v>4</v>
      </c>
      <c r="E106" s="8" t="s">
        <v>10165</v>
      </c>
      <c r="F106" s="2">
        <v>1</v>
      </c>
      <c r="G106" s="8" t="s">
        <v>10167</v>
      </c>
      <c r="H106" s="8" t="s">
        <v>10268</v>
      </c>
      <c r="I106" s="8"/>
      <c r="J106" s="8" t="s">
        <v>10159</v>
      </c>
      <c r="K106" s="8" t="s">
        <v>10269</v>
      </c>
      <c r="L106" s="8" t="str">
        <f t="shared" si="3"/>
        <v>PDFを開く</v>
      </c>
      <c r="M106" s="8" t="s">
        <v>458</v>
      </c>
    </row>
    <row r="107" spans="1:13" ht="66" customHeight="1">
      <c r="A107" s="5" t="s">
        <v>450</v>
      </c>
      <c r="B107" s="5" t="s">
        <v>73</v>
      </c>
      <c r="C107" s="9" t="s">
        <v>451</v>
      </c>
      <c r="D107" s="5">
        <v>6</v>
      </c>
      <c r="E107" s="9" t="s">
        <v>10165</v>
      </c>
      <c r="F107" s="5">
        <v>1</v>
      </c>
      <c r="G107" s="9" t="s">
        <v>10167</v>
      </c>
      <c r="H107" s="9" t="s">
        <v>10270</v>
      </c>
      <c r="I107" s="9"/>
      <c r="J107" s="9" t="s">
        <v>10159</v>
      </c>
      <c r="K107" s="9" t="s">
        <v>10271</v>
      </c>
      <c r="L107" s="9" t="str">
        <f t="shared" si="3"/>
        <v>PDFを開く</v>
      </c>
      <c r="M107" s="9" t="s">
        <v>458</v>
      </c>
    </row>
    <row r="108" spans="1:13" ht="66" customHeight="1">
      <c r="A108" s="2" t="s">
        <v>459</v>
      </c>
      <c r="B108" s="2" t="s">
        <v>73</v>
      </c>
      <c r="C108" s="8" t="s">
        <v>460</v>
      </c>
      <c r="D108" s="2">
        <v>1</v>
      </c>
      <c r="E108" s="8" t="s">
        <v>10156</v>
      </c>
      <c r="F108" s="2">
        <v>4</v>
      </c>
      <c r="G108" s="8" t="s">
        <v>8581</v>
      </c>
      <c r="H108" s="8" t="s">
        <v>8581</v>
      </c>
      <c r="I108" s="8"/>
      <c r="J108" s="8" t="s">
        <v>10159</v>
      </c>
      <c r="K108" s="8" t="s">
        <v>463</v>
      </c>
      <c r="L108" s="8" t="str">
        <f>HYPERLINK("https://seichotoushi-hojo.jp/assets/pdf/koufu/outline_139.pdf","PDFを開く")</f>
        <v>PDFを開く</v>
      </c>
      <c r="M108" s="8" t="s">
        <v>466</v>
      </c>
    </row>
    <row r="109" spans="1:13" ht="66" customHeight="1">
      <c r="A109" s="5" t="s">
        <v>467</v>
      </c>
      <c r="B109" s="5" t="s">
        <v>73</v>
      </c>
      <c r="C109" s="9" t="s">
        <v>468</v>
      </c>
      <c r="D109" s="5">
        <v>1</v>
      </c>
      <c r="E109" s="9" t="s">
        <v>10156</v>
      </c>
      <c r="F109" s="5">
        <v>1</v>
      </c>
      <c r="G109" s="9" t="s">
        <v>10167</v>
      </c>
      <c r="H109" s="9" t="s">
        <v>10212</v>
      </c>
      <c r="I109" s="9"/>
      <c r="J109" s="9" t="s">
        <v>10159</v>
      </c>
      <c r="K109" s="9" t="s">
        <v>10272</v>
      </c>
      <c r="L109" s="9" t="str">
        <f>HYPERLINK("https://seichotoushi-hojo.jp/assets/pdf/koufu/outline_14.pdf","PDFを開く")</f>
        <v>PDFを開く</v>
      </c>
      <c r="M109" s="9" t="s">
        <v>475</v>
      </c>
    </row>
    <row r="110" spans="1:13" ht="66" customHeight="1">
      <c r="A110" s="2" t="s">
        <v>467</v>
      </c>
      <c r="B110" s="2" t="s">
        <v>73</v>
      </c>
      <c r="C110" s="8" t="s">
        <v>468</v>
      </c>
      <c r="D110" s="2">
        <v>1</v>
      </c>
      <c r="E110" s="8" t="s">
        <v>10156</v>
      </c>
      <c r="F110" s="2">
        <v>5</v>
      </c>
      <c r="G110" s="8" t="s">
        <v>8581</v>
      </c>
      <c r="H110" s="8" t="s">
        <v>8581</v>
      </c>
      <c r="I110" s="8"/>
      <c r="J110" s="8" t="s">
        <v>10159</v>
      </c>
      <c r="K110" s="8" t="s">
        <v>472</v>
      </c>
      <c r="L110" s="8" t="str">
        <f>HYPERLINK("https://seichotoushi-hojo.jp/assets/pdf/koufu/outline_14.pdf","PDFを開く")</f>
        <v>PDFを開く</v>
      </c>
      <c r="M110" s="8" t="s">
        <v>475</v>
      </c>
    </row>
    <row r="111" spans="1:13" ht="66" customHeight="1">
      <c r="A111" s="5" t="s">
        <v>467</v>
      </c>
      <c r="B111" s="5" t="s">
        <v>73</v>
      </c>
      <c r="C111" s="9" t="s">
        <v>468</v>
      </c>
      <c r="D111" s="5">
        <v>1</v>
      </c>
      <c r="E111" s="9" t="s">
        <v>10156</v>
      </c>
      <c r="F111" s="5">
        <v>6</v>
      </c>
      <c r="G111" s="9" t="s">
        <v>10171</v>
      </c>
      <c r="H111" s="9" t="s">
        <v>10171</v>
      </c>
      <c r="I111" s="9"/>
      <c r="J111" s="9" t="s">
        <v>10181</v>
      </c>
      <c r="K111" s="9" t="s">
        <v>7671</v>
      </c>
      <c r="L111" s="9" t="str">
        <f>HYPERLINK("https://seichotoushi-hojo.jp/assets/pdf/koufu/outline_14.pdf","PDFを開く")</f>
        <v>PDFを開く</v>
      </c>
      <c r="M111" s="9" t="s">
        <v>475</v>
      </c>
    </row>
    <row r="112" spans="1:13" ht="66" customHeight="1">
      <c r="A112" s="2" t="s">
        <v>467</v>
      </c>
      <c r="B112" s="2" t="s">
        <v>73</v>
      </c>
      <c r="C112" s="8" t="s">
        <v>468</v>
      </c>
      <c r="D112" s="2">
        <v>2</v>
      </c>
      <c r="E112" s="8" t="s">
        <v>10165</v>
      </c>
      <c r="F112" s="2">
        <v>1</v>
      </c>
      <c r="G112" s="8" t="s">
        <v>10167</v>
      </c>
      <c r="H112" s="8" t="s">
        <v>10273</v>
      </c>
      <c r="I112" s="8"/>
      <c r="J112" s="8" t="s">
        <v>10159</v>
      </c>
      <c r="K112" s="8" t="s">
        <v>10274</v>
      </c>
      <c r="L112" s="8" t="str">
        <f>HYPERLINK("https://seichotoushi-hojo.jp/assets/pdf/koufu/outline_14.pdf","PDFを開く")</f>
        <v>PDFを開く</v>
      </c>
      <c r="M112" s="8" t="s">
        <v>475</v>
      </c>
    </row>
    <row r="113" spans="1:13" ht="66" customHeight="1">
      <c r="A113" s="5" t="s">
        <v>476</v>
      </c>
      <c r="B113" s="5" t="s">
        <v>73</v>
      </c>
      <c r="C113" s="9" t="s">
        <v>477</v>
      </c>
      <c r="D113" s="5">
        <v>1</v>
      </c>
      <c r="E113" s="9" t="s">
        <v>10156</v>
      </c>
      <c r="F113" s="5">
        <v>1</v>
      </c>
      <c r="G113" s="9" t="s">
        <v>10167</v>
      </c>
      <c r="H113" s="9" t="s">
        <v>10275</v>
      </c>
      <c r="I113" s="9"/>
      <c r="J113" s="9" t="s">
        <v>10159</v>
      </c>
      <c r="K113" s="9" t="s">
        <v>10276</v>
      </c>
      <c r="L113" s="9" t="str">
        <f t="shared" ref="L113:L119" si="4">HYPERLINK("https://seichotoushi-hojo.jp/assets/pdf/koufu/outline_140.pdf","PDFを開く")</f>
        <v>PDFを開く</v>
      </c>
      <c r="M113" s="9" t="s">
        <v>484</v>
      </c>
    </row>
    <row r="114" spans="1:13" ht="66" customHeight="1">
      <c r="A114" s="2" t="s">
        <v>476</v>
      </c>
      <c r="B114" s="2" t="s">
        <v>73</v>
      </c>
      <c r="C114" s="8" t="s">
        <v>477</v>
      </c>
      <c r="D114" s="2">
        <v>1</v>
      </c>
      <c r="E114" s="8" t="s">
        <v>10156</v>
      </c>
      <c r="F114" s="2">
        <v>2</v>
      </c>
      <c r="G114" s="8" t="s">
        <v>10167</v>
      </c>
      <c r="H114" s="8" t="s">
        <v>10277</v>
      </c>
      <c r="I114" s="8"/>
      <c r="J114" s="8" t="s">
        <v>10159</v>
      </c>
      <c r="K114" s="8" t="s">
        <v>10278</v>
      </c>
      <c r="L114" s="8" t="str">
        <f t="shared" si="4"/>
        <v>PDFを開く</v>
      </c>
      <c r="M114" s="8" t="s">
        <v>484</v>
      </c>
    </row>
    <row r="115" spans="1:13" ht="66" customHeight="1">
      <c r="A115" s="5" t="s">
        <v>476</v>
      </c>
      <c r="B115" s="5" t="s">
        <v>73</v>
      </c>
      <c r="C115" s="9" t="s">
        <v>477</v>
      </c>
      <c r="D115" s="5">
        <v>1</v>
      </c>
      <c r="E115" s="9" t="s">
        <v>10156</v>
      </c>
      <c r="F115" s="5">
        <v>3</v>
      </c>
      <c r="G115" s="9" t="s">
        <v>10167</v>
      </c>
      <c r="H115" s="9" t="s">
        <v>10279</v>
      </c>
      <c r="I115" s="9"/>
      <c r="J115" s="9" t="s">
        <v>10159</v>
      </c>
      <c r="K115" s="9" t="s">
        <v>10280</v>
      </c>
      <c r="L115" s="9" t="str">
        <f t="shared" si="4"/>
        <v>PDFを開く</v>
      </c>
      <c r="M115" s="9" t="s">
        <v>484</v>
      </c>
    </row>
    <row r="116" spans="1:13" ht="66" customHeight="1">
      <c r="A116" s="2" t="s">
        <v>476</v>
      </c>
      <c r="B116" s="2" t="s">
        <v>73</v>
      </c>
      <c r="C116" s="8" t="s">
        <v>477</v>
      </c>
      <c r="D116" s="2">
        <v>1</v>
      </c>
      <c r="E116" s="8" t="s">
        <v>10156</v>
      </c>
      <c r="F116" s="2">
        <v>4</v>
      </c>
      <c r="G116" s="8" t="s">
        <v>10167</v>
      </c>
      <c r="H116" s="8" t="s">
        <v>10281</v>
      </c>
      <c r="I116" s="8"/>
      <c r="J116" s="8" t="s">
        <v>10159</v>
      </c>
      <c r="K116" s="8" t="s">
        <v>10282</v>
      </c>
      <c r="L116" s="8" t="str">
        <f t="shared" si="4"/>
        <v>PDFを開く</v>
      </c>
      <c r="M116" s="8" t="s">
        <v>484</v>
      </c>
    </row>
    <row r="117" spans="1:13" ht="66" customHeight="1">
      <c r="A117" s="5" t="s">
        <v>476</v>
      </c>
      <c r="B117" s="5" t="s">
        <v>73</v>
      </c>
      <c r="C117" s="9" t="s">
        <v>477</v>
      </c>
      <c r="D117" s="5">
        <v>3</v>
      </c>
      <c r="E117" s="9" t="s">
        <v>10165</v>
      </c>
      <c r="F117" s="5">
        <v>1</v>
      </c>
      <c r="G117" s="9" t="s">
        <v>10167</v>
      </c>
      <c r="H117" s="9" t="s">
        <v>3504</v>
      </c>
      <c r="I117" s="9"/>
      <c r="J117" s="9" t="s">
        <v>10159</v>
      </c>
      <c r="K117" s="9" t="s">
        <v>10186</v>
      </c>
      <c r="L117" s="9" t="str">
        <f t="shared" si="4"/>
        <v>PDFを開く</v>
      </c>
      <c r="M117" s="9" t="s">
        <v>484</v>
      </c>
    </row>
    <row r="118" spans="1:13" ht="66" customHeight="1">
      <c r="A118" s="2" t="s">
        <v>476</v>
      </c>
      <c r="B118" s="2" t="s">
        <v>73</v>
      </c>
      <c r="C118" s="8" t="s">
        <v>477</v>
      </c>
      <c r="D118" s="2">
        <v>4</v>
      </c>
      <c r="E118" s="8" t="s">
        <v>10165</v>
      </c>
      <c r="F118" s="2">
        <v>1</v>
      </c>
      <c r="G118" s="8" t="s">
        <v>10167</v>
      </c>
      <c r="H118" s="8" t="s">
        <v>10283</v>
      </c>
      <c r="I118" s="8"/>
      <c r="J118" s="8" t="s">
        <v>10159</v>
      </c>
      <c r="K118" s="8" t="s">
        <v>10284</v>
      </c>
      <c r="L118" s="8" t="str">
        <f t="shared" si="4"/>
        <v>PDFを開く</v>
      </c>
      <c r="M118" s="8" t="s">
        <v>484</v>
      </c>
    </row>
    <row r="119" spans="1:13" ht="66" customHeight="1">
      <c r="A119" s="5" t="s">
        <v>476</v>
      </c>
      <c r="B119" s="5" t="s">
        <v>73</v>
      </c>
      <c r="C119" s="9" t="s">
        <v>477</v>
      </c>
      <c r="D119" s="5">
        <v>4</v>
      </c>
      <c r="E119" s="9" t="s">
        <v>10165</v>
      </c>
      <c r="F119" s="5">
        <v>2</v>
      </c>
      <c r="G119" s="9" t="s">
        <v>10167</v>
      </c>
      <c r="H119" s="9" t="s">
        <v>10283</v>
      </c>
      <c r="I119" s="9"/>
      <c r="J119" s="9" t="s">
        <v>10159</v>
      </c>
      <c r="K119" s="9" t="s">
        <v>10285</v>
      </c>
      <c r="L119" s="9" t="str">
        <f t="shared" si="4"/>
        <v>PDFを開く</v>
      </c>
      <c r="M119" s="9" t="s">
        <v>484</v>
      </c>
    </row>
    <row r="120" spans="1:13" ht="66" customHeight="1">
      <c r="A120" s="2" t="s">
        <v>485</v>
      </c>
      <c r="B120" s="2" t="s">
        <v>73</v>
      </c>
      <c r="C120" s="8" t="s">
        <v>486</v>
      </c>
      <c r="D120" s="2">
        <v>1</v>
      </c>
      <c r="E120" s="8" t="s">
        <v>10156</v>
      </c>
      <c r="F120" s="2">
        <v>4</v>
      </c>
      <c r="G120" s="8" t="s">
        <v>8581</v>
      </c>
      <c r="H120" s="8" t="s">
        <v>8581</v>
      </c>
      <c r="I120" s="8"/>
      <c r="J120" s="8" t="s">
        <v>10159</v>
      </c>
      <c r="K120" s="8" t="s">
        <v>7686</v>
      </c>
      <c r="L120" s="8" t="str">
        <f>HYPERLINK("https://seichotoushi-hojo.jp/assets/pdf/koufu/outline_141.pdf","PDFを開く")</f>
        <v>PDFを開く</v>
      </c>
      <c r="M120" s="8" t="s">
        <v>494</v>
      </c>
    </row>
    <row r="121" spans="1:13" ht="66" customHeight="1">
      <c r="A121" s="5" t="s">
        <v>495</v>
      </c>
      <c r="B121" s="5" t="s">
        <v>73</v>
      </c>
      <c r="C121" s="9" t="s">
        <v>496</v>
      </c>
      <c r="D121" s="5">
        <v>1</v>
      </c>
      <c r="E121" s="9" t="s">
        <v>10156</v>
      </c>
      <c r="F121" s="5">
        <v>4</v>
      </c>
      <c r="G121" s="9" t="s">
        <v>8581</v>
      </c>
      <c r="H121" s="9" t="s">
        <v>8581</v>
      </c>
      <c r="I121" s="9"/>
      <c r="J121" s="9" t="s">
        <v>10159</v>
      </c>
      <c r="K121" s="9" t="s">
        <v>501</v>
      </c>
      <c r="L121" s="9" t="str">
        <f t="shared" ref="L121:L138" si="5">HYPERLINK("https://seichotoushi-hojo.jp/assets/pdf/koufu/outline_143.pdf","PDFを開く")</f>
        <v>PDFを開く</v>
      </c>
      <c r="M121" s="9" t="s">
        <v>503</v>
      </c>
    </row>
    <row r="122" spans="1:13" ht="66" customHeight="1">
      <c r="A122" s="2" t="s">
        <v>495</v>
      </c>
      <c r="B122" s="2" t="s">
        <v>73</v>
      </c>
      <c r="C122" s="8" t="s">
        <v>496</v>
      </c>
      <c r="D122" s="2">
        <v>4</v>
      </c>
      <c r="E122" s="8" t="s">
        <v>10165</v>
      </c>
      <c r="F122" s="2">
        <v>1</v>
      </c>
      <c r="G122" s="8" t="s">
        <v>10167</v>
      </c>
      <c r="H122" s="8" t="s">
        <v>10286</v>
      </c>
      <c r="I122" s="8"/>
      <c r="J122" s="8" t="s">
        <v>10159</v>
      </c>
      <c r="K122" s="8" t="s">
        <v>10287</v>
      </c>
      <c r="L122" s="8" t="str">
        <f t="shared" si="5"/>
        <v>PDFを開く</v>
      </c>
      <c r="M122" s="8" t="s">
        <v>503</v>
      </c>
    </row>
    <row r="123" spans="1:13" ht="66" customHeight="1">
      <c r="A123" s="5" t="s">
        <v>495</v>
      </c>
      <c r="B123" s="5" t="s">
        <v>73</v>
      </c>
      <c r="C123" s="9" t="s">
        <v>496</v>
      </c>
      <c r="D123" s="5">
        <v>4</v>
      </c>
      <c r="E123" s="9" t="s">
        <v>10165</v>
      </c>
      <c r="F123" s="5">
        <v>2</v>
      </c>
      <c r="G123" s="9" t="s">
        <v>10167</v>
      </c>
      <c r="H123" s="9" t="s">
        <v>10288</v>
      </c>
      <c r="I123" s="9"/>
      <c r="J123" s="9" t="s">
        <v>10159</v>
      </c>
      <c r="K123" s="9" t="s">
        <v>10289</v>
      </c>
      <c r="L123" s="9" t="str">
        <f t="shared" si="5"/>
        <v>PDFを開く</v>
      </c>
      <c r="M123" s="9" t="s">
        <v>503</v>
      </c>
    </row>
    <row r="124" spans="1:13" ht="66" customHeight="1">
      <c r="A124" s="2" t="s">
        <v>495</v>
      </c>
      <c r="B124" s="2" t="s">
        <v>73</v>
      </c>
      <c r="C124" s="8" t="s">
        <v>496</v>
      </c>
      <c r="D124" s="2">
        <v>4</v>
      </c>
      <c r="E124" s="8" t="s">
        <v>10165</v>
      </c>
      <c r="F124" s="2">
        <v>3</v>
      </c>
      <c r="G124" s="8" t="s">
        <v>10167</v>
      </c>
      <c r="H124" s="8" t="s">
        <v>10290</v>
      </c>
      <c r="I124" s="8"/>
      <c r="J124" s="8" t="s">
        <v>10159</v>
      </c>
      <c r="K124" s="8" t="s">
        <v>10291</v>
      </c>
      <c r="L124" s="8" t="str">
        <f t="shared" si="5"/>
        <v>PDFを開く</v>
      </c>
      <c r="M124" s="8" t="s">
        <v>503</v>
      </c>
    </row>
    <row r="125" spans="1:13" ht="66" customHeight="1">
      <c r="A125" s="5" t="s">
        <v>495</v>
      </c>
      <c r="B125" s="5" t="s">
        <v>73</v>
      </c>
      <c r="C125" s="9" t="s">
        <v>496</v>
      </c>
      <c r="D125" s="5">
        <v>4</v>
      </c>
      <c r="E125" s="9" t="s">
        <v>10165</v>
      </c>
      <c r="F125" s="5">
        <v>4</v>
      </c>
      <c r="G125" s="9" t="s">
        <v>10167</v>
      </c>
      <c r="H125" s="9" t="s">
        <v>10286</v>
      </c>
      <c r="I125" s="9"/>
      <c r="J125" s="9" t="s">
        <v>10159</v>
      </c>
      <c r="K125" s="9" t="s">
        <v>10292</v>
      </c>
      <c r="L125" s="9" t="str">
        <f t="shared" si="5"/>
        <v>PDFを開く</v>
      </c>
      <c r="M125" s="9" t="s">
        <v>503</v>
      </c>
    </row>
    <row r="126" spans="1:13" ht="66" customHeight="1">
      <c r="A126" s="2" t="s">
        <v>495</v>
      </c>
      <c r="B126" s="2" t="s">
        <v>73</v>
      </c>
      <c r="C126" s="8" t="s">
        <v>496</v>
      </c>
      <c r="D126" s="2">
        <v>4</v>
      </c>
      <c r="E126" s="8" t="s">
        <v>10165</v>
      </c>
      <c r="F126" s="2">
        <v>5</v>
      </c>
      <c r="G126" s="8" t="s">
        <v>10167</v>
      </c>
      <c r="H126" s="8" t="s">
        <v>10288</v>
      </c>
      <c r="I126" s="8"/>
      <c r="J126" s="8" t="s">
        <v>10159</v>
      </c>
      <c r="K126" s="8" t="s">
        <v>10293</v>
      </c>
      <c r="L126" s="8" t="str">
        <f t="shared" si="5"/>
        <v>PDFを開く</v>
      </c>
      <c r="M126" s="8" t="s">
        <v>503</v>
      </c>
    </row>
    <row r="127" spans="1:13" ht="66" customHeight="1">
      <c r="A127" s="5" t="s">
        <v>495</v>
      </c>
      <c r="B127" s="5" t="s">
        <v>73</v>
      </c>
      <c r="C127" s="9" t="s">
        <v>496</v>
      </c>
      <c r="D127" s="5">
        <v>4</v>
      </c>
      <c r="E127" s="9" t="s">
        <v>10165</v>
      </c>
      <c r="F127" s="5">
        <v>6</v>
      </c>
      <c r="G127" s="9" t="s">
        <v>10167</v>
      </c>
      <c r="H127" s="9" t="s">
        <v>10290</v>
      </c>
      <c r="I127" s="9"/>
      <c r="J127" s="9" t="s">
        <v>10159</v>
      </c>
      <c r="K127" s="9" t="s">
        <v>10294</v>
      </c>
      <c r="L127" s="9" t="str">
        <f t="shared" si="5"/>
        <v>PDFを開く</v>
      </c>
      <c r="M127" s="9" t="s">
        <v>503</v>
      </c>
    </row>
    <row r="128" spans="1:13" ht="66" customHeight="1">
      <c r="A128" s="2" t="s">
        <v>495</v>
      </c>
      <c r="B128" s="2" t="s">
        <v>73</v>
      </c>
      <c r="C128" s="8" t="s">
        <v>496</v>
      </c>
      <c r="D128" s="2">
        <v>5</v>
      </c>
      <c r="E128" s="8" t="s">
        <v>10165</v>
      </c>
      <c r="F128" s="2">
        <v>1</v>
      </c>
      <c r="G128" s="8" t="s">
        <v>10167</v>
      </c>
      <c r="H128" s="8" t="s">
        <v>10286</v>
      </c>
      <c r="I128" s="8"/>
      <c r="J128" s="8" t="s">
        <v>10159</v>
      </c>
      <c r="K128" s="8" t="s">
        <v>10295</v>
      </c>
      <c r="L128" s="8" t="str">
        <f t="shared" si="5"/>
        <v>PDFを開く</v>
      </c>
      <c r="M128" s="8" t="s">
        <v>503</v>
      </c>
    </row>
    <row r="129" spans="1:13" ht="66" customHeight="1">
      <c r="A129" s="5" t="s">
        <v>495</v>
      </c>
      <c r="B129" s="5" t="s">
        <v>73</v>
      </c>
      <c r="C129" s="9" t="s">
        <v>496</v>
      </c>
      <c r="D129" s="5">
        <v>5</v>
      </c>
      <c r="E129" s="9" t="s">
        <v>10165</v>
      </c>
      <c r="F129" s="5">
        <v>2</v>
      </c>
      <c r="G129" s="9" t="s">
        <v>10167</v>
      </c>
      <c r="H129" s="9" t="s">
        <v>10288</v>
      </c>
      <c r="I129" s="9"/>
      <c r="J129" s="9" t="s">
        <v>10159</v>
      </c>
      <c r="K129" s="9" t="s">
        <v>10296</v>
      </c>
      <c r="L129" s="9" t="str">
        <f t="shared" si="5"/>
        <v>PDFを開く</v>
      </c>
      <c r="M129" s="9" t="s">
        <v>503</v>
      </c>
    </row>
    <row r="130" spans="1:13" ht="66" customHeight="1">
      <c r="A130" s="2" t="s">
        <v>495</v>
      </c>
      <c r="B130" s="2" t="s">
        <v>73</v>
      </c>
      <c r="C130" s="8" t="s">
        <v>496</v>
      </c>
      <c r="D130" s="2">
        <v>5</v>
      </c>
      <c r="E130" s="8" t="s">
        <v>10165</v>
      </c>
      <c r="F130" s="2">
        <v>3</v>
      </c>
      <c r="G130" s="8" t="s">
        <v>10167</v>
      </c>
      <c r="H130" s="8" t="s">
        <v>10290</v>
      </c>
      <c r="I130" s="8"/>
      <c r="J130" s="8" t="s">
        <v>10159</v>
      </c>
      <c r="K130" s="8" t="s">
        <v>10297</v>
      </c>
      <c r="L130" s="8" t="str">
        <f t="shared" si="5"/>
        <v>PDFを開く</v>
      </c>
      <c r="M130" s="8" t="s">
        <v>503</v>
      </c>
    </row>
    <row r="131" spans="1:13" ht="66" customHeight="1">
      <c r="A131" s="5" t="s">
        <v>495</v>
      </c>
      <c r="B131" s="5" t="s">
        <v>73</v>
      </c>
      <c r="C131" s="9" t="s">
        <v>496</v>
      </c>
      <c r="D131" s="5">
        <v>5</v>
      </c>
      <c r="E131" s="9" t="s">
        <v>10165</v>
      </c>
      <c r="F131" s="5">
        <v>4</v>
      </c>
      <c r="G131" s="9" t="s">
        <v>10167</v>
      </c>
      <c r="H131" s="9" t="s">
        <v>10286</v>
      </c>
      <c r="I131" s="9"/>
      <c r="J131" s="9" t="s">
        <v>10159</v>
      </c>
      <c r="K131" s="9" t="s">
        <v>10298</v>
      </c>
      <c r="L131" s="9" t="str">
        <f t="shared" si="5"/>
        <v>PDFを開く</v>
      </c>
      <c r="M131" s="9" t="s">
        <v>503</v>
      </c>
    </row>
    <row r="132" spans="1:13" ht="66" customHeight="1">
      <c r="A132" s="2" t="s">
        <v>495</v>
      </c>
      <c r="B132" s="2" t="s">
        <v>73</v>
      </c>
      <c r="C132" s="8" t="s">
        <v>496</v>
      </c>
      <c r="D132" s="2">
        <v>5</v>
      </c>
      <c r="E132" s="8" t="s">
        <v>10165</v>
      </c>
      <c r="F132" s="2">
        <v>5</v>
      </c>
      <c r="G132" s="8" t="s">
        <v>10167</v>
      </c>
      <c r="H132" s="8" t="s">
        <v>10288</v>
      </c>
      <c r="I132" s="8"/>
      <c r="J132" s="8" t="s">
        <v>10159</v>
      </c>
      <c r="K132" s="8" t="s">
        <v>10299</v>
      </c>
      <c r="L132" s="8" t="str">
        <f t="shared" si="5"/>
        <v>PDFを開く</v>
      </c>
      <c r="M132" s="8" t="s">
        <v>503</v>
      </c>
    </row>
    <row r="133" spans="1:13" ht="66" customHeight="1">
      <c r="A133" s="5" t="s">
        <v>495</v>
      </c>
      <c r="B133" s="5" t="s">
        <v>73</v>
      </c>
      <c r="C133" s="9" t="s">
        <v>496</v>
      </c>
      <c r="D133" s="5">
        <v>6</v>
      </c>
      <c r="E133" s="9" t="s">
        <v>10165</v>
      </c>
      <c r="F133" s="5">
        <v>1</v>
      </c>
      <c r="G133" s="9" t="s">
        <v>10167</v>
      </c>
      <c r="H133" s="9" t="s">
        <v>10286</v>
      </c>
      <c r="I133" s="9"/>
      <c r="J133" s="9" t="s">
        <v>10159</v>
      </c>
      <c r="K133" s="9" t="s">
        <v>10300</v>
      </c>
      <c r="L133" s="9" t="str">
        <f t="shared" si="5"/>
        <v>PDFを開く</v>
      </c>
      <c r="M133" s="9" t="s">
        <v>503</v>
      </c>
    </row>
    <row r="134" spans="1:13" ht="66" customHeight="1">
      <c r="A134" s="2" t="s">
        <v>495</v>
      </c>
      <c r="B134" s="2" t="s">
        <v>73</v>
      </c>
      <c r="C134" s="8" t="s">
        <v>496</v>
      </c>
      <c r="D134" s="2">
        <v>6</v>
      </c>
      <c r="E134" s="8" t="s">
        <v>10165</v>
      </c>
      <c r="F134" s="2">
        <v>2</v>
      </c>
      <c r="G134" s="8" t="s">
        <v>10167</v>
      </c>
      <c r="H134" s="8" t="s">
        <v>10288</v>
      </c>
      <c r="I134" s="8"/>
      <c r="J134" s="8" t="s">
        <v>10159</v>
      </c>
      <c r="K134" s="8" t="s">
        <v>10301</v>
      </c>
      <c r="L134" s="8" t="str">
        <f t="shared" si="5"/>
        <v>PDFを開く</v>
      </c>
      <c r="M134" s="8" t="s">
        <v>503</v>
      </c>
    </row>
    <row r="135" spans="1:13" ht="66" customHeight="1">
      <c r="A135" s="5" t="s">
        <v>495</v>
      </c>
      <c r="B135" s="5" t="s">
        <v>73</v>
      </c>
      <c r="C135" s="9" t="s">
        <v>496</v>
      </c>
      <c r="D135" s="5">
        <v>6</v>
      </c>
      <c r="E135" s="9" t="s">
        <v>10165</v>
      </c>
      <c r="F135" s="5">
        <v>3</v>
      </c>
      <c r="G135" s="9" t="s">
        <v>10167</v>
      </c>
      <c r="H135" s="9" t="s">
        <v>10290</v>
      </c>
      <c r="I135" s="9"/>
      <c r="J135" s="9" t="s">
        <v>10159</v>
      </c>
      <c r="K135" s="9" t="s">
        <v>10302</v>
      </c>
      <c r="L135" s="9" t="str">
        <f t="shared" si="5"/>
        <v>PDFを開く</v>
      </c>
      <c r="M135" s="9" t="s">
        <v>503</v>
      </c>
    </row>
    <row r="136" spans="1:13" ht="66" customHeight="1">
      <c r="A136" s="2" t="s">
        <v>495</v>
      </c>
      <c r="B136" s="2" t="s">
        <v>73</v>
      </c>
      <c r="C136" s="8" t="s">
        <v>496</v>
      </c>
      <c r="D136" s="2">
        <v>6</v>
      </c>
      <c r="E136" s="8" t="s">
        <v>10165</v>
      </c>
      <c r="F136" s="2">
        <v>4</v>
      </c>
      <c r="G136" s="8" t="s">
        <v>10167</v>
      </c>
      <c r="H136" s="8" t="s">
        <v>10286</v>
      </c>
      <c r="I136" s="8"/>
      <c r="J136" s="8" t="s">
        <v>10159</v>
      </c>
      <c r="K136" s="8" t="s">
        <v>10303</v>
      </c>
      <c r="L136" s="8" t="str">
        <f t="shared" si="5"/>
        <v>PDFを開く</v>
      </c>
      <c r="M136" s="8" t="s">
        <v>503</v>
      </c>
    </row>
    <row r="137" spans="1:13" ht="66" customHeight="1">
      <c r="A137" s="5" t="s">
        <v>495</v>
      </c>
      <c r="B137" s="5" t="s">
        <v>73</v>
      </c>
      <c r="C137" s="9" t="s">
        <v>496</v>
      </c>
      <c r="D137" s="5">
        <v>6</v>
      </c>
      <c r="E137" s="9" t="s">
        <v>10165</v>
      </c>
      <c r="F137" s="5">
        <v>5</v>
      </c>
      <c r="G137" s="9" t="s">
        <v>10167</v>
      </c>
      <c r="H137" s="9" t="s">
        <v>10288</v>
      </c>
      <c r="I137" s="9"/>
      <c r="J137" s="9" t="s">
        <v>10159</v>
      </c>
      <c r="K137" s="9" t="s">
        <v>10304</v>
      </c>
      <c r="L137" s="9" t="str">
        <f t="shared" si="5"/>
        <v>PDFを開く</v>
      </c>
      <c r="M137" s="9" t="s">
        <v>503</v>
      </c>
    </row>
    <row r="138" spans="1:13" ht="66" customHeight="1">
      <c r="A138" s="2" t="s">
        <v>495</v>
      </c>
      <c r="B138" s="2" t="s">
        <v>73</v>
      </c>
      <c r="C138" s="8" t="s">
        <v>496</v>
      </c>
      <c r="D138" s="2">
        <v>6</v>
      </c>
      <c r="E138" s="8" t="s">
        <v>10165</v>
      </c>
      <c r="F138" s="2">
        <v>6</v>
      </c>
      <c r="G138" s="8" t="s">
        <v>10167</v>
      </c>
      <c r="H138" s="8" t="s">
        <v>10290</v>
      </c>
      <c r="I138" s="8"/>
      <c r="J138" s="8" t="s">
        <v>10159</v>
      </c>
      <c r="K138" s="8" t="s">
        <v>10305</v>
      </c>
      <c r="L138" s="8" t="str">
        <f t="shared" si="5"/>
        <v>PDFを開く</v>
      </c>
      <c r="M138" s="8" t="s">
        <v>503</v>
      </c>
    </row>
    <row r="139" spans="1:13" ht="66" customHeight="1">
      <c r="A139" s="5" t="s">
        <v>504</v>
      </c>
      <c r="B139" s="5" t="s">
        <v>73</v>
      </c>
      <c r="C139" s="9" t="s">
        <v>505</v>
      </c>
      <c r="D139" s="5">
        <v>1</v>
      </c>
      <c r="E139" s="9" t="s">
        <v>10156</v>
      </c>
      <c r="F139" s="5">
        <v>4</v>
      </c>
      <c r="G139" s="9" t="s">
        <v>8581</v>
      </c>
      <c r="H139" s="9" t="s">
        <v>8581</v>
      </c>
      <c r="I139" s="9"/>
      <c r="J139" s="9" t="s">
        <v>10159</v>
      </c>
      <c r="K139" s="9" t="s">
        <v>509</v>
      </c>
      <c r="L139" s="9" t="str">
        <f>HYPERLINK("https://seichotoushi-hojo.jp/assets/pdf/koufu/outline_145.pdf","PDFを開く")</f>
        <v>PDFを開く</v>
      </c>
      <c r="M139" s="9" t="s">
        <v>512</v>
      </c>
    </row>
    <row r="140" spans="1:13" ht="66" customHeight="1">
      <c r="A140" s="2" t="s">
        <v>504</v>
      </c>
      <c r="B140" s="2" t="s">
        <v>73</v>
      </c>
      <c r="C140" s="8" t="s">
        <v>505</v>
      </c>
      <c r="D140" s="2">
        <v>2</v>
      </c>
      <c r="E140" s="8" t="s">
        <v>10165</v>
      </c>
      <c r="F140" s="2">
        <v>1</v>
      </c>
      <c r="G140" s="8" t="s">
        <v>10167</v>
      </c>
      <c r="H140" s="8" t="s">
        <v>3504</v>
      </c>
      <c r="I140" s="8"/>
      <c r="J140" s="8" t="s">
        <v>10159</v>
      </c>
      <c r="K140" s="8" t="s">
        <v>10186</v>
      </c>
      <c r="L140" s="8" t="str">
        <f>HYPERLINK("https://seichotoushi-hojo.jp/assets/pdf/koufu/outline_145.pdf","PDFを開く")</f>
        <v>PDFを開く</v>
      </c>
      <c r="M140" s="8" t="s">
        <v>512</v>
      </c>
    </row>
    <row r="141" spans="1:13" ht="66" customHeight="1">
      <c r="A141" s="5" t="s">
        <v>513</v>
      </c>
      <c r="B141" s="5" t="s">
        <v>73</v>
      </c>
      <c r="C141" s="9" t="s">
        <v>514</v>
      </c>
      <c r="D141" s="5">
        <v>1</v>
      </c>
      <c r="E141" s="9" t="s">
        <v>10156</v>
      </c>
      <c r="F141" s="5">
        <v>4</v>
      </c>
      <c r="G141" s="9" t="s">
        <v>8581</v>
      </c>
      <c r="H141" s="9" t="s">
        <v>8581</v>
      </c>
      <c r="I141" s="9"/>
      <c r="J141" s="9" t="s">
        <v>10159</v>
      </c>
      <c r="K141" s="9" t="s">
        <v>518</v>
      </c>
      <c r="L141" s="9" t="str">
        <f>HYPERLINK("https://seichotoushi-hojo.jp/assets/pdf/koufu/outline_146.pdf","PDFを開く")</f>
        <v>PDFを開く</v>
      </c>
      <c r="M141" s="9" t="s">
        <v>520</v>
      </c>
    </row>
    <row r="142" spans="1:13" ht="66" customHeight="1">
      <c r="A142" s="2" t="s">
        <v>513</v>
      </c>
      <c r="B142" s="2" t="s">
        <v>73</v>
      </c>
      <c r="C142" s="8" t="s">
        <v>514</v>
      </c>
      <c r="D142" s="2">
        <v>2</v>
      </c>
      <c r="E142" s="8" t="s">
        <v>10165</v>
      </c>
      <c r="F142" s="2">
        <v>1</v>
      </c>
      <c r="G142" s="8" t="s">
        <v>10184</v>
      </c>
      <c r="H142" s="8" t="s">
        <v>10184</v>
      </c>
      <c r="I142" s="8"/>
      <c r="J142" s="8" t="s">
        <v>10181</v>
      </c>
      <c r="K142" s="8" t="s">
        <v>10306</v>
      </c>
      <c r="L142" s="8" t="str">
        <f>HYPERLINK("https://seichotoushi-hojo.jp/assets/pdf/koufu/outline_146.pdf","PDFを開く")</f>
        <v>PDFを開く</v>
      </c>
      <c r="M142" s="8" t="s">
        <v>520</v>
      </c>
    </row>
    <row r="143" spans="1:13" ht="66" customHeight="1">
      <c r="A143" s="5" t="s">
        <v>513</v>
      </c>
      <c r="B143" s="5" t="s">
        <v>73</v>
      </c>
      <c r="C143" s="9" t="s">
        <v>514</v>
      </c>
      <c r="D143" s="5">
        <v>2</v>
      </c>
      <c r="E143" s="9" t="s">
        <v>10165</v>
      </c>
      <c r="F143" s="5">
        <v>2</v>
      </c>
      <c r="G143" s="9" t="s">
        <v>10167</v>
      </c>
      <c r="H143" s="9" t="s">
        <v>3504</v>
      </c>
      <c r="I143" s="9"/>
      <c r="J143" s="9" t="s">
        <v>10159</v>
      </c>
      <c r="K143" s="9" t="s">
        <v>10186</v>
      </c>
      <c r="L143" s="9" t="str">
        <f>HYPERLINK("https://seichotoushi-hojo.jp/assets/pdf/koufu/outline_146.pdf","PDFを開く")</f>
        <v>PDFを開く</v>
      </c>
      <c r="M143" s="9" t="s">
        <v>520</v>
      </c>
    </row>
    <row r="144" spans="1:13" ht="66" customHeight="1">
      <c r="A144" s="2" t="s">
        <v>521</v>
      </c>
      <c r="B144" s="2" t="s">
        <v>73</v>
      </c>
      <c r="C144" s="8" t="s">
        <v>522</v>
      </c>
      <c r="D144" s="2">
        <v>1</v>
      </c>
      <c r="E144" s="8" t="s">
        <v>10156</v>
      </c>
      <c r="F144" s="2">
        <v>4</v>
      </c>
      <c r="G144" s="8" t="s">
        <v>8581</v>
      </c>
      <c r="H144" s="8" t="s">
        <v>8581</v>
      </c>
      <c r="I144" s="8"/>
      <c r="J144" s="8" t="s">
        <v>10159</v>
      </c>
      <c r="K144" s="8" t="s">
        <v>526</v>
      </c>
      <c r="L144" s="8" t="str">
        <f>HYPERLINK("https://seichotoushi-hojo.jp/assets/pdf/koufu/outline_147.pdf","PDFを開く")</f>
        <v>PDFを開く</v>
      </c>
      <c r="M144" s="8" t="s">
        <v>529</v>
      </c>
    </row>
    <row r="145" spans="1:13" ht="66" customHeight="1">
      <c r="A145" s="5" t="s">
        <v>530</v>
      </c>
      <c r="B145" s="5" t="s">
        <v>73</v>
      </c>
      <c r="C145" s="9" t="s">
        <v>531</v>
      </c>
      <c r="D145" s="5">
        <v>1</v>
      </c>
      <c r="E145" s="9" t="s">
        <v>10156</v>
      </c>
      <c r="F145" s="5">
        <v>4</v>
      </c>
      <c r="G145" s="9" t="s">
        <v>8581</v>
      </c>
      <c r="H145" s="9" t="s">
        <v>8581</v>
      </c>
      <c r="I145" s="9"/>
      <c r="J145" s="9" t="s">
        <v>10159</v>
      </c>
      <c r="K145" s="9" t="s">
        <v>535</v>
      </c>
      <c r="L145" s="9" t="str">
        <f>HYPERLINK("https://seichotoushi-hojo.jp/assets/pdf/koufu/outline_148.pdf","PDFを開く")</f>
        <v>PDFを開く</v>
      </c>
      <c r="M145" s="9" t="s">
        <v>538</v>
      </c>
    </row>
    <row r="146" spans="1:13" ht="66" customHeight="1">
      <c r="A146" s="2" t="s">
        <v>530</v>
      </c>
      <c r="B146" s="2" t="s">
        <v>73</v>
      </c>
      <c r="C146" s="8" t="s">
        <v>531</v>
      </c>
      <c r="D146" s="2">
        <v>2</v>
      </c>
      <c r="E146" s="8" t="s">
        <v>10165</v>
      </c>
      <c r="F146" s="2">
        <v>1</v>
      </c>
      <c r="G146" s="8" t="s">
        <v>10167</v>
      </c>
      <c r="H146" s="8" t="s">
        <v>10307</v>
      </c>
      <c r="I146" s="8"/>
      <c r="J146" s="8" t="s">
        <v>10159</v>
      </c>
      <c r="K146" s="8" t="s">
        <v>10308</v>
      </c>
      <c r="L146" s="8" t="str">
        <f>HYPERLINK("https://seichotoushi-hojo.jp/assets/pdf/koufu/outline_148.pdf","PDFを開く")</f>
        <v>PDFを開く</v>
      </c>
      <c r="M146" s="8" t="s">
        <v>538</v>
      </c>
    </row>
    <row r="147" spans="1:13" ht="66" customHeight="1">
      <c r="A147" s="5" t="s">
        <v>539</v>
      </c>
      <c r="B147" s="5" t="s">
        <v>73</v>
      </c>
      <c r="C147" s="9" t="s">
        <v>540</v>
      </c>
      <c r="D147" s="5">
        <v>1</v>
      </c>
      <c r="E147" s="9" t="s">
        <v>10156</v>
      </c>
      <c r="F147" s="5">
        <v>4</v>
      </c>
      <c r="G147" s="9" t="s">
        <v>8581</v>
      </c>
      <c r="H147" s="9" t="s">
        <v>8581</v>
      </c>
      <c r="I147" s="9"/>
      <c r="J147" s="9" t="s">
        <v>10159</v>
      </c>
      <c r="K147" s="9" t="s">
        <v>544</v>
      </c>
      <c r="L147" s="9" t="str">
        <f>HYPERLINK("https://seichotoushi-hojo.jp/assets/pdf/koufu/outline_149.pdf","PDFを開く")</f>
        <v>PDFを開く</v>
      </c>
      <c r="M147" s="9" t="s">
        <v>547</v>
      </c>
    </row>
    <row r="148" spans="1:13" ht="66" customHeight="1">
      <c r="A148" s="2" t="s">
        <v>539</v>
      </c>
      <c r="B148" s="2" t="s">
        <v>73</v>
      </c>
      <c r="C148" s="8" t="s">
        <v>540</v>
      </c>
      <c r="D148" s="2">
        <v>2</v>
      </c>
      <c r="E148" s="8" t="s">
        <v>10165</v>
      </c>
      <c r="F148" s="2">
        <v>1</v>
      </c>
      <c r="G148" s="8" t="s">
        <v>10167</v>
      </c>
      <c r="H148" s="8" t="s">
        <v>10312</v>
      </c>
      <c r="I148" s="8"/>
      <c r="J148" s="8" t="s">
        <v>10159</v>
      </c>
      <c r="K148" s="8" t="s">
        <v>10313</v>
      </c>
      <c r="L148" s="8" t="str">
        <f>HYPERLINK("https://seichotoushi-hojo.jp/assets/pdf/koufu/outline_149.pdf","PDFを開く")</f>
        <v>PDFを開く</v>
      </c>
      <c r="M148" s="8" t="s">
        <v>547</v>
      </c>
    </row>
    <row r="149" spans="1:13" ht="66" customHeight="1">
      <c r="A149" s="5" t="s">
        <v>539</v>
      </c>
      <c r="B149" s="5" t="s">
        <v>73</v>
      </c>
      <c r="C149" s="9" t="s">
        <v>540</v>
      </c>
      <c r="D149" s="5">
        <v>2</v>
      </c>
      <c r="E149" s="9" t="s">
        <v>10165</v>
      </c>
      <c r="F149" s="5">
        <v>2</v>
      </c>
      <c r="G149" s="9" t="s">
        <v>10184</v>
      </c>
      <c r="H149" s="9" t="s">
        <v>10184</v>
      </c>
      <c r="I149" s="9"/>
      <c r="J149" s="9" t="s">
        <v>10159</v>
      </c>
      <c r="K149" s="9" t="s">
        <v>10314</v>
      </c>
      <c r="L149" s="9" t="str">
        <f>HYPERLINK("https://seichotoushi-hojo.jp/assets/pdf/koufu/outline_149.pdf","PDFを開く")</f>
        <v>PDFを開く</v>
      </c>
      <c r="M149" s="9" t="s">
        <v>547</v>
      </c>
    </row>
    <row r="150" spans="1:13" ht="66" customHeight="1">
      <c r="A150" s="2" t="s">
        <v>539</v>
      </c>
      <c r="B150" s="2" t="s">
        <v>73</v>
      </c>
      <c r="C150" s="8" t="s">
        <v>540</v>
      </c>
      <c r="D150" s="2">
        <v>3</v>
      </c>
      <c r="E150" s="8" t="s">
        <v>10165</v>
      </c>
      <c r="F150" s="2">
        <v>1</v>
      </c>
      <c r="G150" s="8" t="s">
        <v>10167</v>
      </c>
      <c r="H150" s="8" t="s">
        <v>10315</v>
      </c>
      <c r="I150" s="8"/>
      <c r="J150" s="8" t="s">
        <v>10159</v>
      </c>
      <c r="K150" s="8" t="s">
        <v>10316</v>
      </c>
      <c r="L150" s="8" t="str">
        <f>HYPERLINK("https://seichotoushi-hojo.jp/assets/pdf/koufu/outline_149.pdf","PDFを開く")</f>
        <v>PDFを開く</v>
      </c>
      <c r="M150" s="8" t="s">
        <v>547</v>
      </c>
    </row>
    <row r="151" spans="1:13" ht="66" customHeight="1">
      <c r="A151" s="5" t="s">
        <v>548</v>
      </c>
      <c r="B151" s="5" t="s">
        <v>73</v>
      </c>
      <c r="C151" s="9" t="s">
        <v>549</v>
      </c>
      <c r="D151" s="5">
        <v>1</v>
      </c>
      <c r="E151" s="9" t="s">
        <v>10156</v>
      </c>
      <c r="F151" s="5">
        <v>4</v>
      </c>
      <c r="G151" s="9" t="s">
        <v>8581</v>
      </c>
      <c r="H151" s="9" t="s">
        <v>8581</v>
      </c>
      <c r="I151" s="9"/>
      <c r="J151" s="9" t="s">
        <v>10159</v>
      </c>
      <c r="K151" s="9" t="s">
        <v>553</v>
      </c>
      <c r="L151" s="9" t="str">
        <f>HYPERLINK("https://seichotoushi-hojo.jp/assets/pdf/koufu/outline_150.pdf","PDFを開く")</f>
        <v>PDFを開く</v>
      </c>
      <c r="M151" s="9" t="s">
        <v>556</v>
      </c>
    </row>
    <row r="152" spans="1:13" ht="66" customHeight="1">
      <c r="A152" s="2" t="s">
        <v>548</v>
      </c>
      <c r="B152" s="2" t="s">
        <v>73</v>
      </c>
      <c r="C152" s="8" t="s">
        <v>549</v>
      </c>
      <c r="D152" s="2">
        <v>2</v>
      </c>
      <c r="E152" s="8" t="s">
        <v>10165</v>
      </c>
      <c r="F152" s="2">
        <v>1</v>
      </c>
      <c r="G152" s="8" t="s">
        <v>10167</v>
      </c>
      <c r="H152" s="8" t="s">
        <v>3504</v>
      </c>
      <c r="I152" s="8"/>
      <c r="J152" s="8" t="s">
        <v>10159</v>
      </c>
      <c r="K152" s="8" t="s">
        <v>10186</v>
      </c>
      <c r="L152" s="8" t="str">
        <f>HYPERLINK("https://seichotoushi-hojo.jp/assets/pdf/koufu/outline_150.pdf","PDFを開く")</f>
        <v>PDFを開く</v>
      </c>
      <c r="M152" s="8" t="s">
        <v>556</v>
      </c>
    </row>
    <row r="153" spans="1:13" ht="66" customHeight="1">
      <c r="A153" s="5" t="s">
        <v>557</v>
      </c>
      <c r="B153" s="5" t="s">
        <v>73</v>
      </c>
      <c r="C153" s="9" t="s">
        <v>558</v>
      </c>
      <c r="D153" s="5">
        <v>1</v>
      </c>
      <c r="E153" s="9" t="s">
        <v>10156</v>
      </c>
      <c r="F153" s="5">
        <v>4</v>
      </c>
      <c r="G153" s="9" t="s">
        <v>8581</v>
      </c>
      <c r="H153" s="9" t="s">
        <v>8581</v>
      </c>
      <c r="I153" s="9"/>
      <c r="J153" s="9" t="s">
        <v>10159</v>
      </c>
      <c r="K153" s="9" t="s">
        <v>562</v>
      </c>
      <c r="L153" s="9" t="str">
        <f>HYPERLINK("https://seichotoushi-hojo.jp/assets/pdf/koufu/outline_151.pdf","PDFを開く")</f>
        <v>PDFを開く</v>
      </c>
      <c r="M153" s="9" t="s">
        <v>564</v>
      </c>
    </row>
    <row r="154" spans="1:13" ht="66" customHeight="1">
      <c r="A154" s="2" t="s">
        <v>565</v>
      </c>
      <c r="B154" s="2" t="s">
        <v>73</v>
      </c>
      <c r="C154" s="8" t="s">
        <v>566</v>
      </c>
      <c r="D154" s="2">
        <v>1</v>
      </c>
      <c r="E154" s="8" t="s">
        <v>10156</v>
      </c>
      <c r="F154" s="2">
        <v>4</v>
      </c>
      <c r="G154" s="8" t="s">
        <v>8581</v>
      </c>
      <c r="H154" s="8" t="s">
        <v>8581</v>
      </c>
      <c r="I154" s="8"/>
      <c r="J154" s="8" t="s">
        <v>10159</v>
      </c>
      <c r="K154" s="8" t="s">
        <v>570</v>
      </c>
      <c r="L154" s="8" t="str">
        <f>HYPERLINK("https://seichotoushi-hojo.jp/assets/pdf/koufu/outline_152.pdf","PDFを開く")</f>
        <v>PDFを開く</v>
      </c>
      <c r="M154" s="8" t="s">
        <v>572</v>
      </c>
    </row>
    <row r="155" spans="1:13" ht="66" customHeight="1">
      <c r="A155" s="5" t="s">
        <v>573</v>
      </c>
      <c r="B155" s="5" t="s">
        <v>73</v>
      </c>
      <c r="C155" s="9" t="s">
        <v>574</v>
      </c>
      <c r="D155" s="5">
        <v>1</v>
      </c>
      <c r="E155" s="9" t="s">
        <v>10156</v>
      </c>
      <c r="F155" s="5">
        <v>3</v>
      </c>
      <c r="G155" s="9" t="s">
        <v>8581</v>
      </c>
      <c r="H155" s="9" t="s">
        <v>8581</v>
      </c>
      <c r="I155" s="9"/>
      <c r="J155" s="9" t="s">
        <v>10159</v>
      </c>
      <c r="K155" s="9" t="s">
        <v>578</v>
      </c>
      <c r="L155" s="9" t="str">
        <f>HYPERLINK("https://seichotoushi-hojo.jp/assets/pdf/koufu/outline_153.pdf","PDFを開く")</f>
        <v>PDFを開く</v>
      </c>
      <c r="M155" s="9" t="s">
        <v>581</v>
      </c>
    </row>
    <row r="156" spans="1:13" ht="66" customHeight="1">
      <c r="A156" s="2" t="s">
        <v>573</v>
      </c>
      <c r="B156" s="2" t="s">
        <v>73</v>
      </c>
      <c r="C156" s="8" t="s">
        <v>574</v>
      </c>
      <c r="D156" s="2">
        <v>2</v>
      </c>
      <c r="E156" s="8" t="s">
        <v>10165</v>
      </c>
      <c r="F156" s="2">
        <v>1</v>
      </c>
      <c r="G156" s="8" t="s">
        <v>10184</v>
      </c>
      <c r="H156" s="8" t="s">
        <v>10184</v>
      </c>
      <c r="I156" s="8"/>
      <c r="J156" s="8" t="s">
        <v>10181</v>
      </c>
      <c r="K156" s="8" t="s">
        <v>10317</v>
      </c>
      <c r="L156" s="8" t="str">
        <f>HYPERLINK("https://seichotoushi-hojo.jp/assets/pdf/koufu/outline_153.pdf","PDFを開く")</f>
        <v>PDFを開く</v>
      </c>
      <c r="M156" s="8" t="s">
        <v>581</v>
      </c>
    </row>
    <row r="157" spans="1:13" ht="66" customHeight="1">
      <c r="A157" s="5" t="s">
        <v>582</v>
      </c>
      <c r="B157" s="5" t="s">
        <v>73</v>
      </c>
      <c r="C157" s="9" t="s">
        <v>583</v>
      </c>
      <c r="D157" s="5">
        <v>1</v>
      </c>
      <c r="E157" s="9" t="s">
        <v>10156</v>
      </c>
      <c r="F157" s="5">
        <v>4</v>
      </c>
      <c r="G157" s="9" t="s">
        <v>8581</v>
      </c>
      <c r="H157" s="9" t="s">
        <v>8581</v>
      </c>
      <c r="I157" s="9"/>
      <c r="J157" s="9" t="s">
        <v>10181</v>
      </c>
      <c r="K157" s="9" t="s">
        <v>7764</v>
      </c>
      <c r="L157" s="9" t="str">
        <f>HYPERLINK("https://seichotoushi-hojo.jp/assets/pdf/koufu/outline_154.pdf","PDFを開く")</f>
        <v>PDFを開く</v>
      </c>
      <c r="M157" s="9" t="s">
        <v>591</v>
      </c>
    </row>
    <row r="158" spans="1:13" ht="66" customHeight="1">
      <c r="A158" s="2" t="s">
        <v>592</v>
      </c>
      <c r="B158" s="2" t="s">
        <v>73</v>
      </c>
      <c r="C158" s="8" t="s">
        <v>593</v>
      </c>
      <c r="D158" s="2">
        <v>1</v>
      </c>
      <c r="E158" s="8" t="s">
        <v>10156</v>
      </c>
      <c r="F158" s="2">
        <v>4</v>
      </c>
      <c r="G158" s="8" t="s">
        <v>8581</v>
      </c>
      <c r="H158" s="8" t="s">
        <v>8581</v>
      </c>
      <c r="I158" s="8"/>
      <c r="J158" s="8" t="s">
        <v>10159</v>
      </c>
      <c r="K158" s="8" t="s">
        <v>597</v>
      </c>
      <c r="L158" s="8" t="str">
        <f>HYPERLINK("https://seichotoushi-hojo.jp/assets/pdf/koufu/outline_155.pdf","PDFを開く")</f>
        <v>PDFを開く</v>
      </c>
      <c r="M158" s="8" t="s">
        <v>600</v>
      </c>
    </row>
    <row r="159" spans="1:13" ht="66" customHeight="1">
      <c r="A159" s="5" t="s">
        <v>601</v>
      </c>
      <c r="B159" s="5" t="s">
        <v>73</v>
      </c>
      <c r="C159" s="9" t="s">
        <v>602</v>
      </c>
      <c r="D159" s="5">
        <v>1</v>
      </c>
      <c r="E159" s="9" t="s">
        <v>10156</v>
      </c>
      <c r="F159" s="5">
        <v>3</v>
      </c>
      <c r="G159" s="9" t="s">
        <v>8581</v>
      </c>
      <c r="H159" s="9" t="s">
        <v>8581</v>
      </c>
      <c r="I159" s="9"/>
      <c r="J159" s="9" t="s">
        <v>10159</v>
      </c>
      <c r="K159" s="9" t="s">
        <v>605</v>
      </c>
      <c r="L159" s="9" t="str">
        <f>HYPERLINK("https://seichotoushi-hojo.jp/assets/pdf/koufu/outline_156.pdf","PDFを開く")</f>
        <v>PDFを開く</v>
      </c>
      <c r="M159" s="9" t="s">
        <v>608</v>
      </c>
    </row>
    <row r="160" spans="1:13" ht="66" customHeight="1">
      <c r="A160" s="2" t="s">
        <v>601</v>
      </c>
      <c r="B160" s="2" t="s">
        <v>73</v>
      </c>
      <c r="C160" s="8" t="s">
        <v>602</v>
      </c>
      <c r="D160" s="2">
        <v>2</v>
      </c>
      <c r="E160" s="8" t="s">
        <v>10165</v>
      </c>
      <c r="F160" s="2">
        <v>1</v>
      </c>
      <c r="G160" s="8" t="s">
        <v>10167</v>
      </c>
      <c r="H160" s="8" t="s">
        <v>10318</v>
      </c>
      <c r="I160" s="8"/>
      <c r="J160" s="8" t="s">
        <v>10159</v>
      </c>
      <c r="K160" s="8" t="s">
        <v>10318</v>
      </c>
      <c r="L160" s="8" t="str">
        <f>HYPERLINK("https://seichotoushi-hojo.jp/assets/pdf/koufu/outline_156.pdf","PDFを開く")</f>
        <v>PDFを開く</v>
      </c>
      <c r="M160" s="8" t="s">
        <v>608</v>
      </c>
    </row>
    <row r="161" spans="1:13" ht="66" customHeight="1">
      <c r="A161" s="5" t="s">
        <v>609</v>
      </c>
      <c r="B161" s="5" t="s">
        <v>73</v>
      </c>
      <c r="C161" s="9" t="s">
        <v>610</v>
      </c>
      <c r="D161" s="5">
        <v>1</v>
      </c>
      <c r="E161" s="9" t="s">
        <v>10156</v>
      </c>
      <c r="F161" s="5">
        <v>4</v>
      </c>
      <c r="G161" s="9" t="s">
        <v>8581</v>
      </c>
      <c r="H161" s="9" t="s">
        <v>8581</v>
      </c>
      <c r="I161" s="9"/>
      <c r="J161" s="9" t="s">
        <v>10159</v>
      </c>
      <c r="K161" s="9" t="s">
        <v>614</v>
      </c>
      <c r="L161" s="9" t="str">
        <f>HYPERLINK("https://seichotoushi-hojo.jp/assets/pdf/koufu/outline_157.pdf","PDFを開く")</f>
        <v>PDFを開く</v>
      </c>
      <c r="M161" s="9" t="s">
        <v>616</v>
      </c>
    </row>
    <row r="162" spans="1:13" ht="66" customHeight="1">
      <c r="A162" s="2" t="s">
        <v>617</v>
      </c>
      <c r="B162" s="2" t="s">
        <v>73</v>
      </c>
      <c r="C162" s="8" t="s">
        <v>618</v>
      </c>
      <c r="D162" s="2">
        <v>1</v>
      </c>
      <c r="E162" s="8" t="s">
        <v>10156</v>
      </c>
      <c r="F162" s="2">
        <v>1</v>
      </c>
      <c r="G162" s="8" t="s">
        <v>10157</v>
      </c>
      <c r="H162" s="8" t="s">
        <v>10157</v>
      </c>
      <c r="I162" s="8"/>
      <c r="J162" s="8" t="s">
        <v>10159</v>
      </c>
      <c r="K162" s="8" t="s">
        <v>7790</v>
      </c>
      <c r="L162" s="8" t="str">
        <f>HYPERLINK("https://seichotoushi-hojo.jp/assets/pdf/koufu/outline_158.pdf","PDFを開く")</f>
        <v>PDFを開く</v>
      </c>
      <c r="M162" s="8" t="s">
        <v>624</v>
      </c>
    </row>
    <row r="163" spans="1:13" ht="66" customHeight="1">
      <c r="A163" s="5" t="s">
        <v>617</v>
      </c>
      <c r="B163" s="5" t="s">
        <v>73</v>
      </c>
      <c r="C163" s="9" t="s">
        <v>618</v>
      </c>
      <c r="D163" s="5">
        <v>1</v>
      </c>
      <c r="E163" s="9" t="s">
        <v>10156</v>
      </c>
      <c r="F163" s="5">
        <v>2</v>
      </c>
      <c r="G163" s="9" t="s">
        <v>10167</v>
      </c>
      <c r="H163" s="9" t="s">
        <v>10319</v>
      </c>
      <c r="I163" s="9"/>
      <c r="J163" s="9" t="s">
        <v>10159</v>
      </c>
      <c r="K163" s="9" t="s">
        <v>10320</v>
      </c>
      <c r="L163" s="9" t="str">
        <f>HYPERLINK("https://seichotoushi-hojo.jp/assets/pdf/koufu/outline_158.pdf","PDFを開く")</f>
        <v>PDFを開く</v>
      </c>
      <c r="M163" s="9" t="s">
        <v>624</v>
      </c>
    </row>
    <row r="164" spans="1:13" ht="66" customHeight="1">
      <c r="A164" s="2" t="s">
        <v>617</v>
      </c>
      <c r="B164" s="2" t="s">
        <v>73</v>
      </c>
      <c r="C164" s="8" t="s">
        <v>618</v>
      </c>
      <c r="D164" s="2">
        <v>1</v>
      </c>
      <c r="E164" s="8" t="s">
        <v>10156</v>
      </c>
      <c r="F164" s="2">
        <v>6</v>
      </c>
      <c r="G164" s="8" t="s">
        <v>8581</v>
      </c>
      <c r="H164" s="8" t="s">
        <v>8581</v>
      </c>
      <c r="I164" s="8"/>
      <c r="J164" s="8" t="s">
        <v>10159</v>
      </c>
      <c r="K164" s="8" t="s">
        <v>622</v>
      </c>
      <c r="L164" s="8" t="str">
        <f>HYPERLINK("https://seichotoushi-hojo.jp/assets/pdf/koufu/outline_158.pdf","PDFを開く")</f>
        <v>PDFを開く</v>
      </c>
      <c r="M164" s="8" t="s">
        <v>624</v>
      </c>
    </row>
    <row r="165" spans="1:13" ht="66" customHeight="1">
      <c r="A165" s="5" t="s">
        <v>617</v>
      </c>
      <c r="B165" s="5" t="s">
        <v>73</v>
      </c>
      <c r="C165" s="9" t="s">
        <v>618</v>
      </c>
      <c r="D165" s="5">
        <v>2</v>
      </c>
      <c r="E165" s="9" t="s">
        <v>10165</v>
      </c>
      <c r="F165" s="5">
        <v>1</v>
      </c>
      <c r="G165" s="9" t="s">
        <v>10167</v>
      </c>
      <c r="H165" s="9" t="s">
        <v>10321</v>
      </c>
      <c r="I165" s="9"/>
      <c r="J165" s="9" t="s">
        <v>10159</v>
      </c>
      <c r="K165" s="9" t="s">
        <v>10322</v>
      </c>
      <c r="L165" s="9" t="str">
        <f>HYPERLINK("https://seichotoushi-hojo.jp/assets/pdf/koufu/outline_158.pdf","PDFを開く")</f>
        <v>PDFを開く</v>
      </c>
      <c r="M165" s="9" t="s">
        <v>624</v>
      </c>
    </row>
    <row r="166" spans="1:13" ht="66" customHeight="1">
      <c r="A166" s="2" t="s">
        <v>625</v>
      </c>
      <c r="B166" s="2" t="s">
        <v>73</v>
      </c>
      <c r="C166" s="8" t="s">
        <v>626</v>
      </c>
      <c r="D166" s="2">
        <v>1</v>
      </c>
      <c r="E166" s="8" t="s">
        <v>10156</v>
      </c>
      <c r="F166" s="2">
        <v>4</v>
      </c>
      <c r="G166" s="8" t="s">
        <v>8581</v>
      </c>
      <c r="H166" s="8" t="s">
        <v>8581</v>
      </c>
      <c r="I166" s="8"/>
      <c r="J166" s="8" t="s">
        <v>10159</v>
      </c>
      <c r="K166" s="8" t="s">
        <v>7801</v>
      </c>
      <c r="L166" s="8" t="str">
        <f>HYPERLINK("https://seichotoushi-hojo.jp/assets/pdf/koufu/outline_159.pdf","PDFを開く")</f>
        <v>PDFを開く</v>
      </c>
      <c r="M166" s="8" t="s">
        <v>633</v>
      </c>
    </row>
    <row r="167" spans="1:13" ht="66" customHeight="1">
      <c r="A167" s="5" t="s">
        <v>634</v>
      </c>
      <c r="B167" s="5" t="s">
        <v>73</v>
      </c>
      <c r="C167" s="9" t="s">
        <v>635</v>
      </c>
      <c r="D167" s="5">
        <v>1</v>
      </c>
      <c r="E167" s="9" t="s">
        <v>10156</v>
      </c>
      <c r="F167" s="5">
        <v>4</v>
      </c>
      <c r="G167" s="9" t="s">
        <v>8581</v>
      </c>
      <c r="H167" s="9" t="s">
        <v>8581</v>
      </c>
      <c r="I167" s="9"/>
      <c r="J167" s="9" t="s">
        <v>10159</v>
      </c>
      <c r="K167" s="9" t="s">
        <v>641</v>
      </c>
      <c r="L167" s="9" t="str">
        <f>HYPERLINK("https://seichotoushi-hojo.jp/assets/pdf/koufu/outline_16.pdf","PDFを開く")</f>
        <v>PDFを開く</v>
      </c>
      <c r="M167" s="9" t="s">
        <v>644</v>
      </c>
    </row>
    <row r="168" spans="1:13" ht="66" customHeight="1">
      <c r="A168" s="2" t="s">
        <v>634</v>
      </c>
      <c r="B168" s="2" t="s">
        <v>73</v>
      </c>
      <c r="C168" s="8" t="s">
        <v>635</v>
      </c>
      <c r="D168" s="2">
        <v>2</v>
      </c>
      <c r="E168" s="8" t="s">
        <v>10165</v>
      </c>
      <c r="F168" s="2">
        <v>1</v>
      </c>
      <c r="G168" s="8" t="s">
        <v>10184</v>
      </c>
      <c r="H168" s="8" t="s">
        <v>10184</v>
      </c>
      <c r="I168" s="8"/>
      <c r="J168" s="8" t="s">
        <v>10159</v>
      </c>
      <c r="K168" s="8" t="s">
        <v>10327</v>
      </c>
      <c r="L168" s="8" t="str">
        <f>HYPERLINK("https://seichotoushi-hojo.jp/assets/pdf/koufu/outline_16.pdf","PDFを開く")</f>
        <v>PDFを開く</v>
      </c>
      <c r="M168" s="8" t="s">
        <v>644</v>
      </c>
    </row>
    <row r="169" spans="1:13" ht="66" customHeight="1">
      <c r="A169" s="5" t="s">
        <v>634</v>
      </c>
      <c r="B169" s="5" t="s">
        <v>73</v>
      </c>
      <c r="C169" s="9" t="s">
        <v>635</v>
      </c>
      <c r="D169" s="5">
        <v>2</v>
      </c>
      <c r="E169" s="9" t="s">
        <v>10165</v>
      </c>
      <c r="F169" s="5">
        <v>2</v>
      </c>
      <c r="G169" s="9" t="s">
        <v>10184</v>
      </c>
      <c r="H169" s="9" t="s">
        <v>10184</v>
      </c>
      <c r="I169" s="9"/>
      <c r="J169" s="9" t="s">
        <v>10159</v>
      </c>
      <c r="K169" s="9" t="s">
        <v>10328</v>
      </c>
      <c r="L169" s="9" t="str">
        <f>HYPERLINK("https://seichotoushi-hojo.jp/assets/pdf/koufu/outline_16.pdf","PDFを開く")</f>
        <v>PDFを開く</v>
      </c>
      <c r="M169" s="9" t="s">
        <v>644</v>
      </c>
    </row>
    <row r="170" spans="1:13" ht="66" customHeight="1">
      <c r="A170" s="2" t="s">
        <v>634</v>
      </c>
      <c r="B170" s="2" t="s">
        <v>73</v>
      </c>
      <c r="C170" s="8" t="s">
        <v>635</v>
      </c>
      <c r="D170" s="2">
        <v>2</v>
      </c>
      <c r="E170" s="8" t="s">
        <v>10165</v>
      </c>
      <c r="F170" s="2">
        <v>3</v>
      </c>
      <c r="G170" s="8" t="s">
        <v>10184</v>
      </c>
      <c r="H170" s="8" t="s">
        <v>10184</v>
      </c>
      <c r="I170" s="8"/>
      <c r="J170" s="8" t="s">
        <v>10159</v>
      </c>
      <c r="K170" s="8" t="s">
        <v>10329</v>
      </c>
      <c r="L170" s="8" t="str">
        <f>HYPERLINK("https://seichotoushi-hojo.jp/assets/pdf/koufu/outline_16.pdf","PDFを開く")</f>
        <v>PDFを開く</v>
      </c>
      <c r="M170" s="8" t="s">
        <v>644</v>
      </c>
    </row>
    <row r="171" spans="1:13" ht="66" customHeight="1">
      <c r="A171" s="5" t="s">
        <v>634</v>
      </c>
      <c r="B171" s="5" t="s">
        <v>73</v>
      </c>
      <c r="C171" s="9" t="s">
        <v>635</v>
      </c>
      <c r="D171" s="5">
        <v>2</v>
      </c>
      <c r="E171" s="9" t="s">
        <v>10165</v>
      </c>
      <c r="F171" s="5">
        <v>4</v>
      </c>
      <c r="G171" s="9" t="s">
        <v>10184</v>
      </c>
      <c r="H171" s="9" t="s">
        <v>10184</v>
      </c>
      <c r="I171" s="9"/>
      <c r="J171" s="9" t="s">
        <v>10159</v>
      </c>
      <c r="K171" s="9" t="s">
        <v>10330</v>
      </c>
      <c r="L171" s="9" t="str">
        <f>HYPERLINK("https://seichotoushi-hojo.jp/assets/pdf/koufu/outline_16.pdf","PDFを開く")</f>
        <v>PDFを開く</v>
      </c>
      <c r="M171" s="9" t="s">
        <v>644</v>
      </c>
    </row>
    <row r="172" spans="1:13" ht="66" customHeight="1">
      <c r="A172" s="2" t="s">
        <v>653</v>
      </c>
      <c r="B172" s="2" t="s">
        <v>73</v>
      </c>
      <c r="C172" s="8" t="s">
        <v>654</v>
      </c>
      <c r="D172" s="2">
        <v>1</v>
      </c>
      <c r="E172" s="8" t="s">
        <v>10156</v>
      </c>
      <c r="F172" s="2">
        <v>3</v>
      </c>
      <c r="G172" s="8" t="s">
        <v>8581</v>
      </c>
      <c r="H172" s="8" t="s">
        <v>8581</v>
      </c>
      <c r="I172" s="8"/>
      <c r="J172" s="8" t="s">
        <v>10159</v>
      </c>
      <c r="K172" s="8" t="s">
        <v>659</v>
      </c>
      <c r="L172" s="8" t="str">
        <f>HYPERLINK("https://seichotoushi-hojo.jp/assets/pdf/koufu/outline_164.pdf","PDFを開く")</f>
        <v>PDFを開く</v>
      </c>
      <c r="M172" s="8" t="s">
        <v>662</v>
      </c>
    </row>
    <row r="173" spans="1:13" ht="66" customHeight="1">
      <c r="A173" s="5" t="s">
        <v>663</v>
      </c>
      <c r="B173" s="5" t="s">
        <v>73</v>
      </c>
      <c r="C173" s="9" t="s">
        <v>664</v>
      </c>
      <c r="D173" s="5">
        <v>1</v>
      </c>
      <c r="E173" s="9" t="s">
        <v>10156</v>
      </c>
      <c r="F173" s="5">
        <v>4</v>
      </c>
      <c r="G173" s="9" t="s">
        <v>8581</v>
      </c>
      <c r="H173" s="9" t="s">
        <v>8581</v>
      </c>
      <c r="I173" s="9"/>
      <c r="J173" s="9" t="s">
        <v>10159</v>
      </c>
      <c r="K173" s="9" t="s">
        <v>7829</v>
      </c>
      <c r="L173" s="9" t="str">
        <f>HYPERLINK("https://seichotoushi-hojo.jp/assets/pdf/koufu/outline_166.pdf","PDFを開く")</f>
        <v>PDFを開く</v>
      </c>
      <c r="M173" s="9" t="s">
        <v>670</v>
      </c>
    </row>
    <row r="174" spans="1:13" ht="66" customHeight="1">
      <c r="A174" s="2" t="s">
        <v>671</v>
      </c>
      <c r="B174" s="2" t="s">
        <v>73</v>
      </c>
      <c r="C174" s="8" t="s">
        <v>672</v>
      </c>
      <c r="D174" s="2">
        <v>1</v>
      </c>
      <c r="E174" s="8" t="s">
        <v>10156</v>
      </c>
      <c r="F174" s="2">
        <v>4</v>
      </c>
      <c r="G174" s="8" t="s">
        <v>8581</v>
      </c>
      <c r="H174" s="8" t="s">
        <v>8581</v>
      </c>
      <c r="I174" s="8"/>
      <c r="J174" s="8" t="s">
        <v>10159</v>
      </c>
      <c r="K174" s="8" t="s">
        <v>676</v>
      </c>
      <c r="L174" s="8" t="str">
        <f>HYPERLINK("https://seichotoushi-hojo.jp/assets/pdf/koufu/outline_167.pdf","PDFを開く")</f>
        <v>PDFを開く</v>
      </c>
      <c r="M174" s="8" t="s">
        <v>679</v>
      </c>
    </row>
    <row r="175" spans="1:13" ht="66" customHeight="1">
      <c r="A175" s="5" t="s">
        <v>671</v>
      </c>
      <c r="B175" s="5" t="s">
        <v>73</v>
      </c>
      <c r="C175" s="9" t="s">
        <v>672</v>
      </c>
      <c r="D175" s="5">
        <v>1</v>
      </c>
      <c r="E175" s="9" t="s">
        <v>10156</v>
      </c>
      <c r="F175" s="5">
        <v>5</v>
      </c>
      <c r="G175" s="9" t="s">
        <v>10167</v>
      </c>
      <c r="H175" s="9" t="s">
        <v>10331</v>
      </c>
      <c r="I175" s="9"/>
      <c r="J175" s="9" t="s">
        <v>10159</v>
      </c>
      <c r="K175" s="9" t="s">
        <v>10332</v>
      </c>
      <c r="L175" s="9" t="str">
        <f>HYPERLINK("https://seichotoushi-hojo.jp/assets/pdf/koufu/outline_167.pdf","PDFを開く")</f>
        <v>PDFを開く</v>
      </c>
      <c r="M175" s="9" t="s">
        <v>679</v>
      </c>
    </row>
    <row r="176" spans="1:13" ht="66" customHeight="1">
      <c r="A176" s="2" t="s">
        <v>671</v>
      </c>
      <c r="B176" s="2" t="s">
        <v>73</v>
      </c>
      <c r="C176" s="8" t="s">
        <v>672</v>
      </c>
      <c r="D176" s="2">
        <v>2</v>
      </c>
      <c r="E176" s="8" t="s">
        <v>10165</v>
      </c>
      <c r="F176" s="2">
        <v>1</v>
      </c>
      <c r="G176" s="8" t="s">
        <v>10167</v>
      </c>
      <c r="H176" s="8" t="s">
        <v>10333</v>
      </c>
      <c r="I176" s="8"/>
      <c r="J176" s="8" t="s">
        <v>10159</v>
      </c>
      <c r="K176" s="8" t="s">
        <v>10334</v>
      </c>
      <c r="L176" s="8" t="str">
        <f>HYPERLINK("https://seichotoushi-hojo.jp/assets/pdf/koufu/outline_167.pdf","PDFを開く")</f>
        <v>PDFを開く</v>
      </c>
      <c r="M176" s="8" t="s">
        <v>679</v>
      </c>
    </row>
    <row r="177" spans="1:13" ht="66" customHeight="1">
      <c r="A177" s="5" t="s">
        <v>680</v>
      </c>
      <c r="B177" s="5" t="s">
        <v>73</v>
      </c>
      <c r="C177" s="9" t="s">
        <v>681</v>
      </c>
      <c r="D177" s="5">
        <v>1</v>
      </c>
      <c r="E177" s="9" t="s">
        <v>10156</v>
      </c>
      <c r="F177" s="5">
        <v>4</v>
      </c>
      <c r="G177" s="9" t="s">
        <v>8581</v>
      </c>
      <c r="H177" s="9" t="s">
        <v>8581</v>
      </c>
      <c r="I177" s="9"/>
      <c r="J177" s="9" t="s">
        <v>10159</v>
      </c>
      <c r="K177" s="9" t="s">
        <v>685</v>
      </c>
      <c r="L177" s="9" t="str">
        <f>HYPERLINK("https://seichotoushi-hojo.jp/assets/pdf/koufu/outline_168.pdf","PDFを開く")</f>
        <v>PDFを開く</v>
      </c>
      <c r="M177" s="9" t="s">
        <v>687</v>
      </c>
    </row>
    <row r="178" spans="1:13" ht="66" customHeight="1">
      <c r="A178" s="2" t="s">
        <v>688</v>
      </c>
      <c r="B178" s="2" t="s">
        <v>73</v>
      </c>
      <c r="C178" s="8" t="s">
        <v>689</v>
      </c>
      <c r="D178" s="2">
        <v>2</v>
      </c>
      <c r="E178" s="8" t="s">
        <v>10165</v>
      </c>
      <c r="F178" s="2">
        <v>1</v>
      </c>
      <c r="G178" s="8" t="s">
        <v>10167</v>
      </c>
      <c r="H178" s="8" t="s">
        <v>5265</v>
      </c>
      <c r="I178" s="8"/>
      <c r="J178" s="8" t="s">
        <v>10159</v>
      </c>
      <c r="K178" s="8" t="s">
        <v>10187</v>
      </c>
      <c r="L178" s="8" t="str">
        <f>HYPERLINK("https://seichotoushi-hojo.jp/assets/pdf/koufu/outline_169.pdf","PDFを開く")</f>
        <v>PDFを開く</v>
      </c>
      <c r="M178" s="8" t="s">
        <v>695</v>
      </c>
    </row>
    <row r="179" spans="1:13" ht="66" customHeight="1">
      <c r="A179" s="5" t="s">
        <v>696</v>
      </c>
      <c r="B179" s="5" t="s">
        <v>73</v>
      </c>
      <c r="C179" s="9" t="s">
        <v>697</v>
      </c>
      <c r="D179" s="5">
        <v>1</v>
      </c>
      <c r="E179" s="9" t="s">
        <v>10156</v>
      </c>
      <c r="F179" s="5">
        <v>4</v>
      </c>
      <c r="G179" s="9" t="s">
        <v>8581</v>
      </c>
      <c r="H179" s="9" t="s">
        <v>8581</v>
      </c>
      <c r="I179" s="9"/>
      <c r="J179" s="9" t="s">
        <v>10159</v>
      </c>
      <c r="K179" s="9" t="s">
        <v>701</v>
      </c>
      <c r="L179" s="9" t="str">
        <f>HYPERLINK("https://seichotoushi-hojo.jp/assets/pdf/koufu/outline_17.pdf","PDFを開く")</f>
        <v>PDFを開く</v>
      </c>
      <c r="M179" s="9" t="s">
        <v>704</v>
      </c>
    </row>
    <row r="180" spans="1:13" ht="66" customHeight="1">
      <c r="A180" s="2" t="s">
        <v>705</v>
      </c>
      <c r="B180" s="2" t="s">
        <v>73</v>
      </c>
      <c r="C180" s="8" t="s">
        <v>706</v>
      </c>
      <c r="D180" s="2">
        <v>1</v>
      </c>
      <c r="E180" s="8" t="s">
        <v>10156</v>
      </c>
      <c r="F180" s="2">
        <v>4</v>
      </c>
      <c r="G180" s="8" t="s">
        <v>8581</v>
      </c>
      <c r="H180" s="8" t="s">
        <v>8581</v>
      </c>
      <c r="I180" s="8"/>
      <c r="J180" s="8" t="s">
        <v>10159</v>
      </c>
      <c r="K180" s="8" t="s">
        <v>710</v>
      </c>
      <c r="L180" s="8" t="str">
        <f>HYPERLINK("https://seichotoushi-hojo.jp/assets/pdf/koufu/outline_170.pdf","PDFを開く")</f>
        <v>PDFを開く</v>
      </c>
      <c r="M180" s="8" t="s">
        <v>712</v>
      </c>
    </row>
    <row r="181" spans="1:13" ht="66" customHeight="1">
      <c r="A181" s="5" t="s">
        <v>705</v>
      </c>
      <c r="B181" s="5" t="s">
        <v>73</v>
      </c>
      <c r="C181" s="9" t="s">
        <v>706</v>
      </c>
      <c r="D181" s="5">
        <v>2</v>
      </c>
      <c r="E181" s="9" t="s">
        <v>10165</v>
      </c>
      <c r="F181" s="5">
        <v>1</v>
      </c>
      <c r="G181" s="9" t="s">
        <v>10167</v>
      </c>
      <c r="H181" s="9" t="s">
        <v>10335</v>
      </c>
      <c r="I181" s="9"/>
      <c r="J181" s="9" t="s">
        <v>10159</v>
      </c>
      <c r="K181" s="9" t="s">
        <v>10336</v>
      </c>
      <c r="L181" s="9" t="str">
        <f>HYPERLINK("https://seichotoushi-hojo.jp/assets/pdf/koufu/outline_170.pdf","PDFを開く")</f>
        <v>PDFを開く</v>
      </c>
      <c r="M181" s="9" t="s">
        <v>712</v>
      </c>
    </row>
    <row r="182" spans="1:13" ht="66" customHeight="1">
      <c r="A182" s="2" t="s">
        <v>713</v>
      </c>
      <c r="B182" s="2" t="s">
        <v>73</v>
      </c>
      <c r="C182" s="8" t="s">
        <v>714</v>
      </c>
      <c r="D182" s="2">
        <v>1</v>
      </c>
      <c r="E182" s="8" t="s">
        <v>10156</v>
      </c>
      <c r="F182" s="2">
        <v>4</v>
      </c>
      <c r="G182" s="8" t="s">
        <v>8581</v>
      </c>
      <c r="H182" s="8" t="s">
        <v>8581</v>
      </c>
      <c r="I182" s="8"/>
      <c r="J182" s="8" t="s">
        <v>10159</v>
      </c>
      <c r="K182" s="8" t="s">
        <v>717</v>
      </c>
      <c r="L182" s="8" t="str">
        <f>HYPERLINK("https://seichotoushi-hojo.jp/assets/pdf/koufu/outline_171.pdf","PDFを開く")</f>
        <v>PDFを開く</v>
      </c>
      <c r="M182" s="8" t="s">
        <v>719</v>
      </c>
    </row>
    <row r="183" spans="1:13" ht="66" customHeight="1">
      <c r="A183" s="5" t="s">
        <v>713</v>
      </c>
      <c r="B183" s="5" t="s">
        <v>73</v>
      </c>
      <c r="C183" s="9" t="s">
        <v>714</v>
      </c>
      <c r="D183" s="5">
        <v>2</v>
      </c>
      <c r="E183" s="9" t="s">
        <v>10165</v>
      </c>
      <c r="F183" s="5">
        <v>1</v>
      </c>
      <c r="G183" s="9" t="s">
        <v>10167</v>
      </c>
      <c r="H183" s="9" t="s">
        <v>10337</v>
      </c>
      <c r="I183" s="9"/>
      <c r="J183" s="9" t="s">
        <v>10159</v>
      </c>
      <c r="K183" s="9" t="s">
        <v>10337</v>
      </c>
      <c r="L183" s="9" t="str">
        <f>HYPERLINK("https://seichotoushi-hojo.jp/assets/pdf/koufu/outline_171.pdf","PDFを開く")</f>
        <v>PDFを開く</v>
      </c>
      <c r="M183" s="9" t="s">
        <v>719</v>
      </c>
    </row>
    <row r="184" spans="1:13" ht="66" customHeight="1">
      <c r="A184" s="2" t="s">
        <v>720</v>
      </c>
      <c r="B184" s="2" t="s">
        <v>73</v>
      </c>
      <c r="C184" s="8" t="s">
        <v>721</v>
      </c>
      <c r="D184" s="2">
        <v>1</v>
      </c>
      <c r="E184" s="8" t="s">
        <v>10156</v>
      </c>
      <c r="F184" s="2">
        <v>4</v>
      </c>
      <c r="G184" s="8" t="s">
        <v>8581</v>
      </c>
      <c r="H184" s="8" t="s">
        <v>8581</v>
      </c>
      <c r="I184" s="8"/>
      <c r="J184" s="8" t="s">
        <v>10159</v>
      </c>
      <c r="K184" s="8" t="s">
        <v>725</v>
      </c>
      <c r="L184" s="8" t="str">
        <f>HYPERLINK("https://seichotoushi-hojo.jp/assets/pdf/koufu/outline_173.pdf","PDFを開く")</f>
        <v>PDFを開く</v>
      </c>
      <c r="M184" s="8" t="s">
        <v>727</v>
      </c>
    </row>
    <row r="185" spans="1:13" ht="66" customHeight="1">
      <c r="A185" s="5" t="s">
        <v>720</v>
      </c>
      <c r="B185" s="5" t="s">
        <v>73</v>
      </c>
      <c r="C185" s="9" t="s">
        <v>721</v>
      </c>
      <c r="D185" s="5">
        <v>2</v>
      </c>
      <c r="E185" s="9" t="s">
        <v>10165</v>
      </c>
      <c r="F185" s="5">
        <v>1</v>
      </c>
      <c r="G185" s="9" t="s">
        <v>10184</v>
      </c>
      <c r="H185" s="9" t="s">
        <v>10184</v>
      </c>
      <c r="I185" s="9"/>
      <c r="J185" s="9" t="s">
        <v>10181</v>
      </c>
      <c r="K185" s="9" t="s">
        <v>10338</v>
      </c>
      <c r="L185" s="9" t="str">
        <f>HYPERLINK("https://seichotoushi-hojo.jp/assets/pdf/koufu/outline_173.pdf","PDFを開く")</f>
        <v>PDFを開く</v>
      </c>
      <c r="M185" s="9" t="s">
        <v>727</v>
      </c>
    </row>
    <row r="186" spans="1:13" ht="66" customHeight="1">
      <c r="A186" s="2" t="s">
        <v>728</v>
      </c>
      <c r="B186" s="2" t="s">
        <v>73</v>
      </c>
      <c r="C186" s="8" t="s">
        <v>729</v>
      </c>
      <c r="D186" s="2">
        <v>1</v>
      </c>
      <c r="E186" s="8" t="s">
        <v>10156</v>
      </c>
      <c r="F186" s="2">
        <v>4</v>
      </c>
      <c r="G186" s="8" t="s">
        <v>8581</v>
      </c>
      <c r="H186" s="8" t="s">
        <v>8581</v>
      </c>
      <c r="I186" s="8"/>
      <c r="J186" s="8" t="s">
        <v>10159</v>
      </c>
      <c r="K186" s="8" t="s">
        <v>733</v>
      </c>
      <c r="L186" s="8" t="str">
        <f>HYPERLINK("https://seichotoushi-hojo.jp/assets/pdf/koufu/outline_174.pdf","PDFを開く")</f>
        <v>PDFを開く</v>
      </c>
      <c r="M186" s="8" t="s">
        <v>735</v>
      </c>
    </row>
    <row r="187" spans="1:13" ht="66" customHeight="1">
      <c r="A187" s="5" t="s">
        <v>728</v>
      </c>
      <c r="B187" s="5" t="s">
        <v>73</v>
      </c>
      <c r="C187" s="9" t="s">
        <v>729</v>
      </c>
      <c r="D187" s="5">
        <v>5</v>
      </c>
      <c r="E187" s="9" t="s">
        <v>10165</v>
      </c>
      <c r="F187" s="5">
        <v>1</v>
      </c>
      <c r="G187" s="9" t="s">
        <v>10167</v>
      </c>
      <c r="H187" s="9" t="s">
        <v>10341</v>
      </c>
      <c r="I187" s="9"/>
      <c r="J187" s="9" t="s">
        <v>10159</v>
      </c>
      <c r="K187" s="9" t="s">
        <v>10342</v>
      </c>
      <c r="L187" s="9" t="str">
        <f>HYPERLINK("https://seichotoushi-hojo.jp/assets/pdf/koufu/outline_174.pdf","PDFを開く")</f>
        <v>PDFを開く</v>
      </c>
      <c r="M187" s="9" t="s">
        <v>735</v>
      </c>
    </row>
    <row r="188" spans="1:13" ht="66" customHeight="1">
      <c r="A188" s="2" t="s">
        <v>728</v>
      </c>
      <c r="B188" s="2" t="s">
        <v>73</v>
      </c>
      <c r="C188" s="8" t="s">
        <v>729</v>
      </c>
      <c r="D188" s="2">
        <v>5</v>
      </c>
      <c r="E188" s="8" t="s">
        <v>10165</v>
      </c>
      <c r="F188" s="2">
        <v>2</v>
      </c>
      <c r="G188" s="8" t="s">
        <v>10167</v>
      </c>
      <c r="H188" s="8" t="s">
        <v>10343</v>
      </c>
      <c r="I188" s="8"/>
      <c r="J188" s="8" t="s">
        <v>10159</v>
      </c>
      <c r="K188" s="8" t="s">
        <v>10344</v>
      </c>
      <c r="L188" s="8" t="str">
        <f>HYPERLINK("https://seichotoushi-hojo.jp/assets/pdf/koufu/outline_174.pdf","PDFを開く")</f>
        <v>PDFを開く</v>
      </c>
      <c r="M188" s="8" t="s">
        <v>735</v>
      </c>
    </row>
    <row r="189" spans="1:13" ht="66" customHeight="1">
      <c r="A189" s="5" t="s">
        <v>728</v>
      </c>
      <c r="B189" s="5" t="s">
        <v>73</v>
      </c>
      <c r="C189" s="9" t="s">
        <v>729</v>
      </c>
      <c r="D189" s="5">
        <v>5</v>
      </c>
      <c r="E189" s="9" t="s">
        <v>10165</v>
      </c>
      <c r="F189" s="5">
        <v>3</v>
      </c>
      <c r="G189" s="9" t="s">
        <v>10167</v>
      </c>
      <c r="H189" s="9" t="s">
        <v>10345</v>
      </c>
      <c r="I189" s="9"/>
      <c r="J189" s="9" t="s">
        <v>10159</v>
      </c>
      <c r="K189" s="9" t="s">
        <v>10346</v>
      </c>
      <c r="L189" s="9" t="str">
        <f>HYPERLINK("https://seichotoushi-hojo.jp/assets/pdf/koufu/outline_174.pdf","PDFを開く")</f>
        <v>PDFを開く</v>
      </c>
      <c r="M189" s="9" t="s">
        <v>735</v>
      </c>
    </row>
    <row r="190" spans="1:13" ht="66" customHeight="1">
      <c r="A190" s="2" t="s">
        <v>728</v>
      </c>
      <c r="B190" s="2" t="s">
        <v>73</v>
      </c>
      <c r="C190" s="8" t="s">
        <v>729</v>
      </c>
      <c r="D190" s="2">
        <v>6</v>
      </c>
      <c r="E190" s="8" t="s">
        <v>10165</v>
      </c>
      <c r="F190" s="2">
        <v>1</v>
      </c>
      <c r="G190" s="8" t="s">
        <v>10167</v>
      </c>
      <c r="H190" s="8" t="s">
        <v>10347</v>
      </c>
      <c r="I190" s="8"/>
      <c r="J190" s="8" t="s">
        <v>10159</v>
      </c>
      <c r="K190" s="8" t="s">
        <v>10348</v>
      </c>
      <c r="L190" s="8" t="str">
        <f>HYPERLINK("https://seichotoushi-hojo.jp/assets/pdf/koufu/outline_174.pdf","PDFを開く")</f>
        <v>PDFを開く</v>
      </c>
      <c r="M190" s="8" t="s">
        <v>735</v>
      </c>
    </row>
    <row r="191" spans="1:13" ht="66" customHeight="1">
      <c r="A191" s="5" t="s">
        <v>736</v>
      </c>
      <c r="B191" s="5" t="s">
        <v>73</v>
      </c>
      <c r="C191" s="9" t="s">
        <v>737</v>
      </c>
      <c r="D191" s="5">
        <v>1</v>
      </c>
      <c r="E191" s="9" t="s">
        <v>10156</v>
      </c>
      <c r="F191" s="5">
        <v>4</v>
      </c>
      <c r="G191" s="9" t="s">
        <v>8581</v>
      </c>
      <c r="H191" s="9" t="s">
        <v>8581</v>
      </c>
      <c r="I191" s="9"/>
      <c r="J191" s="9" t="s">
        <v>10159</v>
      </c>
      <c r="K191" s="9" t="s">
        <v>742</v>
      </c>
      <c r="L191" s="9" t="str">
        <f>HYPERLINK("https://seichotoushi-hojo.jp/assets/pdf/koufu/outline_177.pdf","PDFを開く")</f>
        <v>PDFを開く</v>
      </c>
      <c r="M191" s="9" t="s">
        <v>744</v>
      </c>
    </row>
    <row r="192" spans="1:13" ht="66" customHeight="1">
      <c r="A192" s="2" t="s">
        <v>745</v>
      </c>
      <c r="B192" s="2" t="s">
        <v>73</v>
      </c>
      <c r="C192" s="8" t="s">
        <v>746</v>
      </c>
      <c r="D192" s="2">
        <v>1</v>
      </c>
      <c r="E192" s="8" t="s">
        <v>10156</v>
      </c>
      <c r="F192" s="2">
        <v>4</v>
      </c>
      <c r="G192" s="8" t="s">
        <v>8581</v>
      </c>
      <c r="H192" s="8" t="s">
        <v>8581</v>
      </c>
      <c r="I192" s="8"/>
      <c r="J192" s="8" t="s">
        <v>10159</v>
      </c>
      <c r="K192" s="8" t="s">
        <v>750</v>
      </c>
      <c r="L192" s="8" t="str">
        <f>HYPERLINK("https://seichotoushi-hojo.jp/assets/pdf/koufu/outline_19.pdf","PDFを開く")</f>
        <v>PDFを開く</v>
      </c>
      <c r="M192" s="8" t="s">
        <v>752</v>
      </c>
    </row>
    <row r="193" spans="1:13" ht="66" customHeight="1">
      <c r="A193" s="5" t="s">
        <v>753</v>
      </c>
      <c r="B193" s="5" t="s">
        <v>73</v>
      </c>
      <c r="C193" s="9" t="s">
        <v>754</v>
      </c>
      <c r="D193" s="5">
        <v>1</v>
      </c>
      <c r="E193" s="9" t="s">
        <v>10156</v>
      </c>
      <c r="F193" s="5">
        <v>4</v>
      </c>
      <c r="G193" s="9" t="s">
        <v>8581</v>
      </c>
      <c r="H193" s="9" t="s">
        <v>8581</v>
      </c>
      <c r="I193" s="9"/>
      <c r="J193" s="9" t="s">
        <v>10159</v>
      </c>
      <c r="K193" s="9" t="s">
        <v>758</v>
      </c>
      <c r="L193" s="9" t="str">
        <f>HYPERLINK("https://seichotoushi-hojo.jp/assets/pdf/koufu/outline_2.pdf","PDFを開く")</f>
        <v>PDFを開く</v>
      </c>
      <c r="M193" s="9" t="s">
        <v>760</v>
      </c>
    </row>
    <row r="194" spans="1:13" ht="66" customHeight="1">
      <c r="A194" s="2" t="s">
        <v>761</v>
      </c>
      <c r="B194" s="2" t="s">
        <v>73</v>
      </c>
      <c r="C194" s="8" t="s">
        <v>762</v>
      </c>
      <c r="D194" s="2">
        <v>1</v>
      </c>
      <c r="E194" s="8" t="s">
        <v>10156</v>
      </c>
      <c r="F194" s="2">
        <v>1</v>
      </c>
      <c r="G194" s="8" t="s">
        <v>10167</v>
      </c>
      <c r="H194" s="8" t="s">
        <v>10349</v>
      </c>
      <c r="I194" s="8"/>
      <c r="J194" s="8" t="s">
        <v>10159</v>
      </c>
      <c r="K194" s="8" t="s">
        <v>10350</v>
      </c>
      <c r="L194" s="8" t="str">
        <f>HYPERLINK("https://seichotoushi-hojo.jp/assets/pdf/koufu/outline_20.pdf","PDFを開く")</f>
        <v>PDFを開く</v>
      </c>
      <c r="M194" s="8" t="s">
        <v>768</v>
      </c>
    </row>
    <row r="195" spans="1:13" ht="66" customHeight="1">
      <c r="A195" s="5" t="s">
        <v>761</v>
      </c>
      <c r="B195" s="5" t="s">
        <v>73</v>
      </c>
      <c r="C195" s="9" t="s">
        <v>762</v>
      </c>
      <c r="D195" s="5">
        <v>2</v>
      </c>
      <c r="E195" s="9" t="s">
        <v>10165</v>
      </c>
      <c r="F195" s="5">
        <v>1</v>
      </c>
      <c r="G195" s="9" t="s">
        <v>10184</v>
      </c>
      <c r="H195" s="9" t="s">
        <v>10184</v>
      </c>
      <c r="I195" s="9"/>
      <c r="J195" s="9" t="s">
        <v>10181</v>
      </c>
      <c r="K195" s="9" t="s">
        <v>10351</v>
      </c>
      <c r="L195" s="9" t="str">
        <f>HYPERLINK("https://seichotoushi-hojo.jp/assets/pdf/koufu/outline_20.pdf","PDFを開く")</f>
        <v>PDFを開く</v>
      </c>
      <c r="M195" s="9" t="s">
        <v>768</v>
      </c>
    </row>
    <row r="196" spans="1:13" ht="66" customHeight="1">
      <c r="A196" s="2" t="s">
        <v>769</v>
      </c>
      <c r="B196" s="2" t="s">
        <v>73</v>
      </c>
      <c r="C196" s="8" t="s">
        <v>770</v>
      </c>
      <c r="D196" s="2">
        <v>1</v>
      </c>
      <c r="E196" s="8" t="s">
        <v>10156</v>
      </c>
      <c r="F196" s="2">
        <v>4</v>
      </c>
      <c r="G196" s="8" t="s">
        <v>8581</v>
      </c>
      <c r="H196" s="8" t="s">
        <v>8581</v>
      </c>
      <c r="I196" s="8"/>
      <c r="J196" s="8" t="s">
        <v>10159</v>
      </c>
      <c r="K196" s="8" t="s">
        <v>774</v>
      </c>
      <c r="L196" s="8" t="str">
        <f>HYPERLINK("https://seichotoushi-hojo.jp/assets/pdf/koufu/outline_21.pdf","PDFを開く")</f>
        <v>PDFを開く</v>
      </c>
      <c r="M196" s="8" t="s">
        <v>777</v>
      </c>
    </row>
    <row r="197" spans="1:13" ht="66" customHeight="1">
      <c r="A197" s="5" t="s">
        <v>778</v>
      </c>
      <c r="B197" s="5" t="s">
        <v>73</v>
      </c>
      <c r="C197" s="9" t="s">
        <v>779</v>
      </c>
      <c r="D197" s="5">
        <v>1</v>
      </c>
      <c r="E197" s="9" t="s">
        <v>10156</v>
      </c>
      <c r="F197" s="5">
        <v>4</v>
      </c>
      <c r="G197" s="9" t="s">
        <v>8581</v>
      </c>
      <c r="H197" s="9" t="s">
        <v>8581</v>
      </c>
      <c r="I197" s="9"/>
      <c r="J197" s="9" t="s">
        <v>10159</v>
      </c>
      <c r="K197" s="9" t="s">
        <v>781</v>
      </c>
      <c r="L197" s="9" t="str">
        <f>HYPERLINK("https://seichotoushi-hojo.jp/assets/pdf/koufu/outline_22.pdf","PDFを開く")</f>
        <v>PDFを開く</v>
      </c>
      <c r="M197" s="9" t="s">
        <v>783</v>
      </c>
    </row>
    <row r="198" spans="1:13" ht="66" customHeight="1">
      <c r="A198" s="2" t="s">
        <v>784</v>
      </c>
      <c r="B198" s="2" t="s">
        <v>73</v>
      </c>
      <c r="C198" s="8" t="s">
        <v>785</v>
      </c>
      <c r="D198" s="2">
        <v>1</v>
      </c>
      <c r="E198" s="8" t="s">
        <v>10156</v>
      </c>
      <c r="F198" s="2">
        <v>4</v>
      </c>
      <c r="G198" s="8" t="s">
        <v>8581</v>
      </c>
      <c r="H198" s="8" t="s">
        <v>8581</v>
      </c>
      <c r="I198" s="8"/>
      <c r="J198" s="8" t="s">
        <v>10159</v>
      </c>
      <c r="K198" s="8" t="s">
        <v>788</v>
      </c>
      <c r="L198" s="8" t="str">
        <f>HYPERLINK("https://seichotoushi-hojo.jp/assets/pdf/koufu/outline_23.pdf","PDFを開く")</f>
        <v>PDFを開く</v>
      </c>
      <c r="M198" s="8" t="s">
        <v>791</v>
      </c>
    </row>
    <row r="199" spans="1:13" ht="66" customHeight="1">
      <c r="A199" s="5" t="s">
        <v>784</v>
      </c>
      <c r="B199" s="5" t="s">
        <v>73</v>
      </c>
      <c r="C199" s="9" t="s">
        <v>785</v>
      </c>
      <c r="D199" s="5">
        <v>2</v>
      </c>
      <c r="E199" s="9" t="s">
        <v>10165</v>
      </c>
      <c r="F199" s="5">
        <v>1</v>
      </c>
      <c r="G199" s="9" t="s">
        <v>10167</v>
      </c>
      <c r="H199" s="9" t="s">
        <v>10352</v>
      </c>
      <c r="I199" s="9"/>
      <c r="J199" s="9" t="s">
        <v>10159</v>
      </c>
      <c r="K199" s="9" t="s">
        <v>10353</v>
      </c>
      <c r="L199" s="9" t="str">
        <f>HYPERLINK("https://seichotoushi-hojo.jp/assets/pdf/koufu/outline_23.pdf","PDFを開く")</f>
        <v>PDFを開く</v>
      </c>
      <c r="M199" s="9" t="s">
        <v>791</v>
      </c>
    </row>
    <row r="200" spans="1:13" ht="66" customHeight="1">
      <c r="A200" s="2" t="s">
        <v>792</v>
      </c>
      <c r="B200" s="2" t="s">
        <v>73</v>
      </c>
      <c r="C200" s="8" t="s">
        <v>793</v>
      </c>
      <c r="D200" s="2">
        <v>1</v>
      </c>
      <c r="E200" s="8" t="s">
        <v>10156</v>
      </c>
      <c r="F200" s="2">
        <v>4</v>
      </c>
      <c r="G200" s="8" t="s">
        <v>8581</v>
      </c>
      <c r="H200" s="8" t="s">
        <v>8581</v>
      </c>
      <c r="I200" s="8"/>
      <c r="J200" s="8" t="s">
        <v>10159</v>
      </c>
      <c r="K200" s="8" t="s">
        <v>7942</v>
      </c>
      <c r="L200" s="8" t="str">
        <f>HYPERLINK("https://seichotoushi-hojo.jp/assets/pdf/koufu/outline_24.pdf","PDFを開く")</f>
        <v>PDFを開く</v>
      </c>
      <c r="M200" s="8" t="s">
        <v>799</v>
      </c>
    </row>
    <row r="201" spans="1:13" ht="66" customHeight="1">
      <c r="A201" s="5" t="s">
        <v>800</v>
      </c>
      <c r="B201" s="5" t="s">
        <v>73</v>
      </c>
      <c r="C201" s="9" t="s">
        <v>801</v>
      </c>
      <c r="D201" s="5">
        <v>1</v>
      </c>
      <c r="E201" s="9" t="s">
        <v>10156</v>
      </c>
      <c r="F201" s="5">
        <v>6</v>
      </c>
      <c r="G201" s="9" t="s">
        <v>8581</v>
      </c>
      <c r="H201" s="9" t="s">
        <v>8581</v>
      </c>
      <c r="I201" s="9"/>
      <c r="J201" s="9" t="s">
        <v>10159</v>
      </c>
      <c r="K201" s="9" t="s">
        <v>804</v>
      </c>
      <c r="L201" s="9" t="str">
        <f>HYPERLINK("https://seichotoushi-hojo.jp/assets/pdf/koufu/outline_25.pdf","PDFを開く")</f>
        <v>PDFを開く</v>
      </c>
      <c r="M201" s="9" t="s">
        <v>807</v>
      </c>
    </row>
    <row r="202" spans="1:13" ht="66" customHeight="1">
      <c r="A202" s="2" t="s">
        <v>808</v>
      </c>
      <c r="B202" s="2" t="s">
        <v>73</v>
      </c>
      <c r="C202" s="8" t="s">
        <v>809</v>
      </c>
      <c r="D202" s="2">
        <v>1</v>
      </c>
      <c r="E202" s="8" t="s">
        <v>10156</v>
      </c>
      <c r="F202" s="2">
        <v>1</v>
      </c>
      <c r="G202" s="8" t="s">
        <v>10167</v>
      </c>
      <c r="H202" s="8" t="s">
        <v>10358</v>
      </c>
      <c r="I202" s="8"/>
      <c r="J202" s="8" t="s">
        <v>10159</v>
      </c>
      <c r="K202" s="8" t="s">
        <v>10359</v>
      </c>
      <c r="L202" s="8" t="str">
        <f t="shared" ref="L202:L211" si="6">HYPERLINK("https://seichotoushi-hojo.jp/assets/pdf/koufu/outline_26.pdf","PDFを開く")</f>
        <v>PDFを開く</v>
      </c>
      <c r="M202" s="8" t="s">
        <v>815</v>
      </c>
    </row>
    <row r="203" spans="1:13" ht="66" customHeight="1">
      <c r="A203" s="5" t="s">
        <v>808</v>
      </c>
      <c r="B203" s="5" t="s">
        <v>73</v>
      </c>
      <c r="C203" s="9" t="s">
        <v>809</v>
      </c>
      <c r="D203" s="5">
        <v>1</v>
      </c>
      <c r="E203" s="9" t="s">
        <v>10156</v>
      </c>
      <c r="F203" s="5">
        <v>5</v>
      </c>
      <c r="G203" s="9" t="s">
        <v>8581</v>
      </c>
      <c r="H203" s="9" t="s">
        <v>8581</v>
      </c>
      <c r="I203" s="9"/>
      <c r="J203" s="9" t="s">
        <v>10159</v>
      </c>
      <c r="K203" s="9" t="s">
        <v>813</v>
      </c>
      <c r="L203" s="9" t="str">
        <f t="shared" si="6"/>
        <v>PDFを開く</v>
      </c>
      <c r="M203" s="9" t="s">
        <v>815</v>
      </c>
    </row>
    <row r="204" spans="1:13" ht="66" customHeight="1">
      <c r="A204" s="2" t="s">
        <v>808</v>
      </c>
      <c r="B204" s="2" t="s">
        <v>73</v>
      </c>
      <c r="C204" s="8" t="s">
        <v>809</v>
      </c>
      <c r="D204" s="2">
        <v>2</v>
      </c>
      <c r="E204" s="8" t="s">
        <v>10165</v>
      </c>
      <c r="F204" s="2">
        <v>1</v>
      </c>
      <c r="G204" s="8" t="s">
        <v>10167</v>
      </c>
      <c r="H204" s="8" t="s">
        <v>10360</v>
      </c>
      <c r="I204" s="8"/>
      <c r="J204" s="8" t="s">
        <v>10159</v>
      </c>
      <c r="K204" s="8" t="s">
        <v>10361</v>
      </c>
      <c r="L204" s="8" t="str">
        <f t="shared" si="6"/>
        <v>PDFを開く</v>
      </c>
      <c r="M204" s="8" t="s">
        <v>815</v>
      </c>
    </row>
    <row r="205" spans="1:13" ht="66" customHeight="1">
      <c r="A205" s="5" t="s">
        <v>808</v>
      </c>
      <c r="B205" s="5" t="s">
        <v>73</v>
      </c>
      <c r="C205" s="9" t="s">
        <v>809</v>
      </c>
      <c r="D205" s="5">
        <v>2</v>
      </c>
      <c r="E205" s="9" t="s">
        <v>10165</v>
      </c>
      <c r="F205" s="5">
        <v>2</v>
      </c>
      <c r="G205" s="9" t="s">
        <v>10167</v>
      </c>
      <c r="H205" s="9" t="s">
        <v>10362</v>
      </c>
      <c r="I205" s="9"/>
      <c r="J205" s="9" t="s">
        <v>10159</v>
      </c>
      <c r="K205" s="9" t="s">
        <v>10363</v>
      </c>
      <c r="L205" s="9" t="str">
        <f t="shared" si="6"/>
        <v>PDFを開く</v>
      </c>
      <c r="M205" s="9" t="s">
        <v>815</v>
      </c>
    </row>
    <row r="206" spans="1:13" ht="66" customHeight="1">
      <c r="A206" s="2" t="s">
        <v>808</v>
      </c>
      <c r="B206" s="2" t="s">
        <v>73</v>
      </c>
      <c r="C206" s="8" t="s">
        <v>809</v>
      </c>
      <c r="D206" s="2">
        <v>2</v>
      </c>
      <c r="E206" s="8" t="s">
        <v>10165</v>
      </c>
      <c r="F206" s="2">
        <v>3</v>
      </c>
      <c r="G206" s="8" t="s">
        <v>10167</v>
      </c>
      <c r="H206" s="8" t="s">
        <v>10364</v>
      </c>
      <c r="I206" s="8"/>
      <c r="J206" s="8" t="s">
        <v>10159</v>
      </c>
      <c r="K206" s="8" t="s">
        <v>10365</v>
      </c>
      <c r="L206" s="8" t="str">
        <f t="shared" si="6"/>
        <v>PDFを開く</v>
      </c>
      <c r="M206" s="8" t="s">
        <v>815</v>
      </c>
    </row>
    <row r="207" spans="1:13" ht="66" customHeight="1">
      <c r="A207" s="5" t="s">
        <v>808</v>
      </c>
      <c r="B207" s="5" t="s">
        <v>73</v>
      </c>
      <c r="C207" s="9" t="s">
        <v>809</v>
      </c>
      <c r="D207" s="5">
        <v>2</v>
      </c>
      <c r="E207" s="9" t="s">
        <v>10165</v>
      </c>
      <c r="F207" s="5">
        <v>4</v>
      </c>
      <c r="G207" s="9" t="s">
        <v>10167</v>
      </c>
      <c r="H207" s="9" t="s">
        <v>10366</v>
      </c>
      <c r="I207" s="9"/>
      <c r="J207" s="9" t="s">
        <v>10159</v>
      </c>
      <c r="K207" s="9" t="s">
        <v>10367</v>
      </c>
      <c r="L207" s="9" t="str">
        <f t="shared" si="6"/>
        <v>PDFを開く</v>
      </c>
      <c r="M207" s="9" t="s">
        <v>815</v>
      </c>
    </row>
    <row r="208" spans="1:13" ht="66" customHeight="1">
      <c r="A208" s="2" t="s">
        <v>808</v>
      </c>
      <c r="B208" s="2" t="s">
        <v>73</v>
      </c>
      <c r="C208" s="8" t="s">
        <v>809</v>
      </c>
      <c r="D208" s="2">
        <v>2</v>
      </c>
      <c r="E208" s="8" t="s">
        <v>10165</v>
      </c>
      <c r="F208" s="2">
        <v>5</v>
      </c>
      <c r="G208" s="8" t="s">
        <v>10167</v>
      </c>
      <c r="H208" s="8" t="s">
        <v>10368</v>
      </c>
      <c r="I208" s="8"/>
      <c r="J208" s="8" t="s">
        <v>10159</v>
      </c>
      <c r="K208" s="8" t="s">
        <v>10369</v>
      </c>
      <c r="L208" s="8" t="str">
        <f t="shared" si="6"/>
        <v>PDFを開く</v>
      </c>
      <c r="M208" s="8" t="s">
        <v>815</v>
      </c>
    </row>
    <row r="209" spans="1:13" ht="66" customHeight="1">
      <c r="A209" s="5" t="s">
        <v>808</v>
      </c>
      <c r="B209" s="5" t="s">
        <v>73</v>
      </c>
      <c r="C209" s="9" t="s">
        <v>809</v>
      </c>
      <c r="D209" s="5">
        <v>2</v>
      </c>
      <c r="E209" s="9" t="s">
        <v>10165</v>
      </c>
      <c r="F209" s="5">
        <v>6</v>
      </c>
      <c r="G209" s="9" t="s">
        <v>10167</v>
      </c>
      <c r="H209" s="9" t="s">
        <v>10370</v>
      </c>
      <c r="I209" s="9"/>
      <c r="J209" s="9" t="s">
        <v>10159</v>
      </c>
      <c r="K209" s="9" t="s">
        <v>10371</v>
      </c>
      <c r="L209" s="9" t="str">
        <f t="shared" si="6"/>
        <v>PDFを開く</v>
      </c>
      <c r="M209" s="9" t="s">
        <v>815</v>
      </c>
    </row>
    <row r="210" spans="1:13" ht="66" customHeight="1">
      <c r="A210" s="2" t="s">
        <v>808</v>
      </c>
      <c r="B210" s="2" t="s">
        <v>73</v>
      </c>
      <c r="C210" s="8" t="s">
        <v>809</v>
      </c>
      <c r="D210" s="2">
        <v>2</v>
      </c>
      <c r="E210" s="8" t="s">
        <v>10165</v>
      </c>
      <c r="F210" s="2">
        <v>7</v>
      </c>
      <c r="G210" s="8" t="s">
        <v>10167</v>
      </c>
      <c r="H210" s="8" t="s">
        <v>10372</v>
      </c>
      <c r="I210" s="8"/>
      <c r="J210" s="8" t="s">
        <v>10159</v>
      </c>
      <c r="K210" s="8" t="s">
        <v>10373</v>
      </c>
      <c r="L210" s="8" t="str">
        <f t="shared" si="6"/>
        <v>PDFを開く</v>
      </c>
      <c r="M210" s="8" t="s">
        <v>815</v>
      </c>
    </row>
    <row r="211" spans="1:13" ht="66" customHeight="1">
      <c r="A211" s="5" t="s">
        <v>808</v>
      </c>
      <c r="B211" s="5" t="s">
        <v>73</v>
      </c>
      <c r="C211" s="9" t="s">
        <v>809</v>
      </c>
      <c r="D211" s="5">
        <v>2</v>
      </c>
      <c r="E211" s="9" t="s">
        <v>10165</v>
      </c>
      <c r="F211" s="5">
        <v>8</v>
      </c>
      <c r="G211" s="9" t="s">
        <v>10167</v>
      </c>
      <c r="H211" s="9" t="s">
        <v>10374</v>
      </c>
      <c r="I211" s="9"/>
      <c r="J211" s="9" t="s">
        <v>10159</v>
      </c>
      <c r="K211" s="9" t="s">
        <v>10374</v>
      </c>
      <c r="L211" s="9" t="str">
        <f t="shared" si="6"/>
        <v>PDFを開く</v>
      </c>
      <c r="M211" s="9" t="s">
        <v>815</v>
      </c>
    </row>
    <row r="212" spans="1:13" ht="66" customHeight="1">
      <c r="A212" s="2" t="s">
        <v>816</v>
      </c>
      <c r="B212" s="2" t="s">
        <v>73</v>
      </c>
      <c r="C212" s="8" t="s">
        <v>817</v>
      </c>
      <c r="D212" s="2">
        <v>1</v>
      </c>
      <c r="E212" s="8" t="s">
        <v>10156</v>
      </c>
      <c r="F212" s="2">
        <v>1</v>
      </c>
      <c r="G212" s="8" t="s">
        <v>10167</v>
      </c>
      <c r="H212" s="8" t="s">
        <v>10212</v>
      </c>
      <c r="I212" s="8"/>
      <c r="J212" s="8" t="s">
        <v>10159</v>
      </c>
      <c r="K212" s="8" t="s">
        <v>10375</v>
      </c>
      <c r="L212" s="8" t="str">
        <f>HYPERLINK("https://seichotoushi-hojo.jp/assets/pdf/koufu/outline_27.pdf","PDFを開く")</f>
        <v>PDFを開く</v>
      </c>
      <c r="M212" s="8" t="s">
        <v>824</v>
      </c>
    </row>
    <row r="213" spans="1:13" ht="66" customHeight="1">
      <c r="A213" s="5" t="s">
        <v>816</v>
      </c>
      <c r="B213" s="5" t="s">
        <v>73</v>
      </c>
      <c r="C213" s="9" t="s">
        <v>817</v>
      </c>
      <c r="D213" s="5">
        <v>2</v>
      </c>
      <c r="E213" s="9" t="s">
        <v>10165</v>
      </c>
      <c r="F213" s="5">
        <v>1</v>
      </c>
      <c r="G213" s="9" t="s">
        <v>10157</v>
      </c>
      <c r="H213" s="9" t="s">
        <v>10157</v>
      </c>
      <c r="I213" s="9"/>
      <c r="J213" s="9" t="s">
        <v>10159</v>
      </c>
      <c r="K213" s="9" t="s">
        <v>7961</v>
      </c>
      <c r="L213" s="9" t="str">
        <f>HYPERLINK("https://seichotoushi-hojo.jp/assets/pdf/koufu/outline_27.pdf","PDFを開く")</f>
        <v>PDFを開く</v>
      </c>
      <c r="M213" s="9" t="s">
        <v>824</v>
      </c>
    </row>
    <row r="214" spans="1:13" ht="66" customHeight="1">
      <c r="A214" s="2" t="s">
        <v>825</v>
      </c>
      <c r="B214" s="2" t="s">
        <v>73</v>
      </c>
      <c r="C214" s="8" t="s">
        <v>826</v>
      </c>
      <c r="D214" s="2">
        <v>1</v>
      </c>
      <c r="E214" s="8" t="s">
        <v>10156</v>
      </c>
      <c r="F214" s="2">
        <v>4</v>
      </c>
      <c r="G214" s="8" t="s">
        <v>8581</v>
      </c>
      <c r="H214" s="8" t="s">
        <v>8581</v>
      </c>
      <c r="I214" s="8"/>
      <c r="J214" s="8" t="s">
        <v>10159</v>
      </c>
      <c r="K214" s="8" t="s">
        <v>829</v>
      </c>
      <c r="L214" s="8" t="str">
        <f>HYPERLINK("https://seichotoushi-hojo.jp/assets/pdf/koufu/outline_28.pdf","PDFを開く")</f>
        <v>PDFを開く</v>
      </c>
      <c r="M214" s="8" t="s">
        <v>831</v>
      </c>
    </row>
    <row r="215" spans="1:13" ht="66" customHeight="1">
      <c r="A215" s="5" t="s">
        <v>832</v>
      </c>
      <c r="B215" s="5" t="s">
        <v>73</v>
      </c>
      <c r="C215" s="9" t="s">
        <v>833</v>
      </c>
      <c r="D215" s="5">
        <v>1</v>
      </c>
      <c r="E215" s="9" t="s">
        <v>10156</v>
      </c>
      <c r="F215" s="5">
        <v>4</v>
      </c>
      <c r="G215" s="9" t="s">
        <v>8581</v>
      </c>
      <c r="H215" s="9" t="s">
        <v>8581</v>
      </c>
      <c r="I215" s="9"/>
      <c r="J215" s="9" t="s">
        <v>10159</v>
      </c>
      <c r="K215" s="9" t="s">
        <v>836</v>
      </c>
      <c r="L215" s="9" t="str">
        <f>HYPERLINK("https://seichotoushi-hojo.jp/assets/pdf/koufu/outline_29.pdf","PDFを開く")</f>
        <v>PDFを開く</v>
      </c>
      <c r="M215" s="9" t="s">
        <v>838</v>
      </c>
    </row>
    <row r="216" spans="1:13" ht="66" customHeight="1">
      <c r="A216" s="2" t="s">
        <v>832</v>
      </c>
      <c r="B216" s="2" t="s">
        <v>73</v>
      </c>
      <c r="C216" s="8" t="s">
        <v>833</v>
      </c>
      <c r="D216" s="2">
        <v>3</v>
      </c>
      <c r="E216" s="8" t="s">
        <v>10165</v>
      </c>
      <c r="F216" s="2">
        <v>1</v>
      </c>
      <c r="G216" s="8" t="s">
        <v>10184</v>
      </c>
      <c r="H216" s="8" t="s">
        <v>10184</v>
      </c>
      <c r="I216" s="8"/>
      <c r="J216" s="8" t="s">
        <v>10181</v>
      </c>
      <c r="K216" s="8" t="s">
        <v>10376</v>
      </c>
      <c r="L216" s="8" t="str">
        <f>HYPERLINK("https://seichotoushi-hojo.jp/assets/pdf/koufu/outline_29.pdf","PDFを開く")</f>
        <v>PDFを開く</v>
      </c>
      <c r="M216" s="8" t="s">
        <v>838</v>
      </c>
    </row>
    <row r="217" spans="1:13" ht="66" customHeight="1">
      <c r="A217" s="5" t="s">
        <v>839</v>
      </c>
      <c r="B217" s="5" t="s">
        <v>73</v>
      </c>
      <c r="C217" s="9" t="s">
        <v>840</v>
      </c>
      <c r="D217" s="5">
        <v>1</v>
      </c>
      <c r="E217" s="9" t="s">
        <v>10156</v>
      </c>
      <c r="F217" s="5">
        <v>1</v>
      </c>
      <c r="G217" s="9" t="s">
        <v>10167</v>
      </c>
      <c r="H217" s="9" t="s">
        <v>10212</v>
      </c>
      <c r="I217" s="9"/>
      <c r="J217" s="9" t="s">
        <v>10159</v>
      </c>
      <c r="K217" s="9" t="s">
        <v>10377</v>
      </c>
      <c r="L217" s="9" t="str">
        <f>HYPERLINK("https://seichotoushi-hojo.jp/assets/pdf/koufu/outline_3.pdf","PDFを開く")</f>
        <v>PDFを開く</v>
      </c>
      <c r="M217" s="9" t="s">
        <v>846</v>
      </c>
    </row>
    <row r="218" spans="1:13" ht="66" customHeight="1">
      <c r="A218" s="2" t="s">
        <v>839</v>
      </c>
      <c r="B218" s="2" t="s">
        <v>73</v>
      </c>
      <c r="C218" s="8" t="s">
        <v>840</v>
      </c>
      <c r="D218" s="2">
        <v>1</v>
      </c>
      <c r="E218" s="8" t="s">
        <v>10156</v>
      </c>
      <c r="F218" s="2">
        <v>5</v>
      </c>
      <c r="G218" s="8" t="s">
        <v>8581</v>
      </c>
      <c r="H218" s="8" t="s">
        <v>8581</v>
      </c>
      <c r="I218" s="8"/>
      <c r="J218" s="8" t="s">
        <v>10159</v>
      </c>
      <c r="K218" s="8" t="s">
        <v>844</v>
      </c>
      <c r="L218" s="8" t="str">
        <f>HYPERLINK("https://seichotoushi-hojo.jp/assets/pdf/koufu/outline_3.pdf","PDFを開く")</f>
        <v>PDFを開く</v>
      </c>
      <c r="M218" s="8" t="s">
        <v>846</v>
      </c>
    </row>
    <row r="219" spans="1:13" ht="66" customHeight="1">
      <c r="A219" s="5" t="s">
        <v>839</v>
      </c>
      <c r="B219" s="5" t="s">
        <v>73</v>
      </c>
      <c r="C219" s="9" t="s">
        <v>840</v>
      </c>
      <c r="D219" s="5">
        <v>2</v>
      </c>
      <c r="E219" s="9" t="s">
        <v>10165</v>
      </c>
      <c r="F219" s="5">
        <v>1</v>
      </c>
      <c r="G219" s="9" t="s">
        <v>10157</v>
      </c>
      <c r="H219" s="9" t="s">
        <v>10157</v>
      </c>
      <c r="I219" s="9"/>
      <c r="J219" s="9" t="s">
        <v>10159</v>
      </c>
      <c r="K219" s="9" t="s">
        <v>7983</v>
      </c>
      <c r="L219" s="9" t="str">
        <f>HYPERLINK("https://seichotoushi-hojo.jp/assets/pdf/koufu/outline_3.pdf","PDFを開く")</f>
        <v>PDFを開く</v>
      </c>
      <c r="M219" s="9" t="s">
        <v>846</v>
      </c>
    </row>
    <row r="220" spans="1:13" ht="66" customHeight="1">
      <c r="A220" s="2" t="s">
        <v>847</v>
      </c>
      <c r="B220" s="2" t="s">
        <v>73</v>
      </c>
      <c r="C220" s="8" t="s">
        <v>848</v>
      </c>
      <c r="D220" s="2">
        <v>1</v>
      </c>
      <c r="E220" s="8" t="s">
        <v>10156</v>
      </c>
      <c r="F220" s="2">
        <v>1</v>
      </c>
      <c r="G220" s="8" t="s">
        <v>8581</v>
      </c>
      <c r="H220" s="8" t="s">
        <v>8581</v>
      </c>
      <c r="I220" s="8"/>
      <c r="J220" s="8" t="s">
        <v>10181</v>
      </c>
      <c r="K220" s="8" t="s">
        <v>10378</v>
      </c>
      <c r="L220" s="8" t="str">
        <f>HYPERLINK("https://seichotoushi-hojo.jp/assets/pdf/koufu/outline_30.pdf","PDFを開く")</f>
        <v>PDFを開く</v>
      </c>
      <c r="M220" s="8" t="s">
        <v>855</v>
      </c>
    </row>
    <row r="221" spans="1:13" ht="66" customHeight="1">
      <c r="A221" s="5" t="s">
        <v>847</v>
      </c>
      <c r="B221" s="5" t="s">
        <v>73</v>
      </c>
      <c r="C221" s="9" t="s">
        <v>848</v>
      </c>
      <c r="D221" s="5">
        <v>1</v>
      </c>
      <c r="E221" s="9" t="s">
        <v>10156</v>
      </c>
      <c r="F221" s="5">
        <v>5</v>
      </c>
      <c r="G221" s="9" t="s">
        <v>8581</v>
      </c>
      <c r="H221" s="9" t="s">
        <v>8581</v>
      </c>
      <c r="I221" s="9"/>
      <c r="J221" s="9" t="s">
        <v>10159</v>
      </c>
      <c r="K221" s="9" t="s">
        <v>853</v>
      </c>
      <c r="L221" s="9" t="str">
        <f>HYPERLINK("https://seichotoushi-hojo.jp/assets/pdf/koufu/outline_30.pdf","PDFを開く")</f>
        <v>PDFを開く</v>
      </c>
      <c r="M221" s="9" t="s">
        <v>855</v>
      </c>
    </row>
    <row r="222" spans="1:13" ht="66" customHeight="1">
      <c r="A222" s="2" t="s">
        <v>847</v>
      </c>
      <c r="B222" s="2" t="s">
        <v>73</v>
      </c>
      <c r="C222" s="8" t="s">
        <v>848</v>
      </c>
      <c r="D222" s="2">
        <v>2</v>
      </c>
      <c r="E222" s="8" t="s">
        <v>10165</v>
      </c>
      <c r="F222" s="2">
        <v>1</v>
      </c>
      <c r="G222" s="8" t="s">
        <v>10167</v>
      </c>
      <c r="H222" s="8" t="s">
        <v>10379</v>
      </c>
      <c r="I222" s="8"/>
      <c r="J222" s="8" t="s">
        <v>10159</v>
      </c>
      <c r="K222" s="8" t="s">
        <v>10380</v>
      </c>
      <c r="L222" s="8" t="str">
        <f>HYPERLINK("https://seichotoushi-hojo.jp/assets/pdf/koufu/outline_30.pdf","PDFを開く")</f>
        <v>PDFを開く</v>
      </c>
      <c r="M222" s="8" t="s">
        <v>855</v>
      </c>
    </row>
    <row r="223" spans="1:13" ht="66" customHeight="1">
      <c r="A223" s="5" t="s">
        <v>847</v>
      </c>
      <c r="B223" s="5" t="s">
        <v>73</v>
      </c>
      <c r="C223" s="9" t="s">
        <v>848</v>
      </c>
      <c r="D223" s="5">
        <v>2</v>
      </c>
      <c r="E223" s="9" t="s">
        <v>10165</v>
      </c>
      <c r="F223" s="5">
        <v>2</v>
      </c>
      <c r="G223" s="9" t="s">
        <v>10184</v>
      </c>
      <c r="H223" s="9" t="s">
        <v>10184</v>
      </c>
      <c r="I223" s="9"/>
      <c r="J223" s="9" t="s">
        <v>10159</v>
      </c>
      <c r="K223" s="9" t="s">
        <v>10381</v>
      </c>
      <c r="L223" s="9" t="str">
        <f>HYPERLINK("https://seichotoushi-hojo.jp/assets/pdf/koufu/outline_30.pdf","PDFを開く")</f>
        <v>PDFを開く</v>
      </c>
      <c r="M223" s="9" t="s">
        <v>855</v>
      </c>
    </row>
    <row r="224" spans="1:13" ht="66" customHeight="1">
      <c r="A224" s="2" t="s">
        <v>847</v>
      </c>
      <c r="B224" s="2" t="s">
        <v>73</v>
      </c>
      <c r="C224" s="8" t="s">
        <v>848</v>
      </c>
      <c r="D224" s="2">
        <v>2</v>
      </c>
      <c r="E224" s="8" t="s">
        <v>10165</v>
      </c>
      <c r="F224" s="2">
        <v>3</v>
      </c>
      <c r="G224" s="8" t="s">
        <v>10167</v>
      </c>
      <c r="H224" s="8" t="s">
        <v>10382</v>
      </c>
      <c r="I224" s="8"/>
      <c r="J224" s="8" t="s">
        <v>10159</v>
      </c>
      <c r="K224" s="8" t="s">
        <v>10383</v>
      </c>
      <c r="L224" s="8" t="str">
        <f>HYPERLINK("https://seichotoushi-hojo.jp/assets/pdf/koufu/outline_30.pdf","PDFを開く")</f>
        <v>PDFを開く</v>
      </c>
      <c r="M224" s="8" t="s">
        <v>855</v>
      </c>
    </row>
    <row r="225" spans="1:13" ht="66" customHeight="1">
      <c r="A225" s="5" t="s">
        <v>856</v>
      </c>
      <c r="B225" s="5" t="s">
        <v>73</v>
      </c>
      <c r="C225" s="9" t="s">
        <v>857</v>
      </c>
      <c r="D225" s="5">
        <v>1</v>
      </c>
      <c r="E225" s="9" t="s">
        <v>10156</v>
      </c>
      <c r="F225" s="5">
        <v>1</v>
      </c>
      <c r="G225" s="9" t="s">
        <v>10167</v>
      </c>
      <c r="H225" s="9" t="s">
        <v>10384</v>
      </c>
      <c r="I225" s="9"/>
      <c r="J225" s="9" t="s">
        <v>10159</v>
      </c>
      <c r="K225" s="9" t="s">
        <v>10384</v>
      </c>
      <c r="L225" s="9" t="str">
        <f>HYPERLINK("https://seichotoushi-hojo.jp/assets/pdf/koufu/outline_31.pdf","PDFを開く")</f>
        <v>PDFを開く</v>
      </c>
      <c r="M225" s="9" t="s">
        <v>863</v>
      </c>
    </row>
    <row r="226" spans="1:13" ht="66" customHeight="1">
      <c r="A226" s="2" t="s">
        <v>856</v>
      </c>
      <c r="B226" s="2" t="s">
        <v>73</v>
      </c>
      <c r="C226" s="8" t="s">
        <v>857</v>
      </c>
      <c r="D226" s="2">
        <v>1</v>
      </c>
      <c r="E226" s="8" t="s">
        <v>10156</v>
      </c>
      <c r="F226" s="2">
        <v>5</v>
      </c>
      <c r="G226" s="8" t="s">
        <v>8581</v>
      </c>
      <c r="H226" s="8" t="s">
        <v>8581</v>
      </c>
      <c r="I226" s="8"/>
      <c r="J226" s="8" t="s">
        <v>10159</v>
      </c>
      <c r="K226" s="8" t="s">
        <v>861</v>
      </c>
      <c r="L226" s="8" t="str">
        <f>HYPERLINK("https://seichotoushi-hojo.jp/assets/pdf/koufu/outline_31.pdf","PDFを開く")</f>
        <v>PDFを開く</v>
      </c>
      <c r="M226" s="8" t="s">
        <v>863</v>
      </c>
    </row>
    <row r="227" spans="1:13" ht="66" customHeight="1">
      <c r="A227" s="5" t="s">
        <v>856</v>
      </c>
      <c r="B227" s="5" t="s">
        <v>73</v>
      </c>
      <c r="C227" s="9" t="s">
        <v>857</v>
      </c>
      <c r="D227" s="5">
        <v>2</v>
      </c>
      <c r="E227" s="9" t="s">
        <v>10165</v>
      </c>
      <c r="F227" s="5">
        <v>1</v>
      </c>
      <c r="G227" s="9" t="s">
        <v>10184</v>
      </c>
      <c r="H227" s="9" t="s">
        <v>10184</v>
      </c>
      <c r="I227" s="9"/>
      <c r="J227" s="9" t="s">
        <v>10181</v>
      </c>
      <c r="K227" s="9" t="s">
        <v>10385</v>
      </c>
      <c r="L227" s="9" t="str">
        <f>HYPERLINK("https://seichotoushi-hojo.jp/assets/pdf/koufu/outline_31.pdf","PDFを開く")</f>
        <v>PDFを開く</v>
      </c>
      <c r="M227" s="9" t="s">
        <v>863</v>
      </c>
    </row>
    <row r="228" spans="1:13" ht="66" customHeight="1">
      <c r="A228" s="2" t="s">
        <v>864</v>
      </c>
      <c r="B228" s="2" t="s">
        <v>73</v>
      </c>
      <c r="C228" s="8" t="s">
        <v>865</v>
      </c>
      <c r="D228" s="2">
        <v>1</v>
      </c>
      <c r="E228" s="8" t="s">
        <v>10156</v>
      </c>
      <c r="F228" s="2">
        <v>4</v>
      </c>
      <c r="G228" s="8" t="s">
        <v>8581</v>
      </c>
      <c r="H228" s="8" t="s">
        <v>8581</v>
      </c>
      <c r="I228" s="8"/>
      <c r="J228" s="8" t="s">
        <v>10159</v>
      </c>
      <c r="K228" s="8" t="s">
        <v>868</v>
      </c>
      <c r="L228" s="8" t="str">
        <f>HYPERLINK("https://seichotoushi-hojo.jp/assets/pdf/koufu/outline_32.pdf","PDFを開く")</f>
        <v>PDFを開く</v>
      </c>
      <c r="M228" s="8" t="s">
        <v>871</v>
      </c>
    </row>
    <row r="229" spans="1:13" ht="66" customHeight="1">
      <c r="A229" s="5" t="s">
        <v>872</v>
      </c>
      <c r="B229" s="5" t="s">
        <v>73</v>
      </c>
      <c r="C229" s="9" t="s">
        <v>873</v>
      </c>
      <c r="D229" s="5">
        <v>1</v>
      </c>
      <c r="E229" s="9" t="s">
        <v>10156</v>
      </c>
      <c r="F229" s="5">
        <v>4</v>
      </c>
      <c r="G229" s="9" t="s">
        <v>8581</v>
      </c>
      <c r="H229" s="9" t="s">
        <v>8581</v>
      </c>
      <c r="I229" s="9"/>
      <c r="J229" s="9" t="s">
        <v>10159</v>
      </c>
      <c r="K229" s="9" t="s">
        <v>876</v>
      </c>
      <c r="L229" s="9" t="str">
        <f>HYPERLINK("https://seichotoushi-hojo.jp/assets/pdf/koufu/outline_33.pdf","PDFを開く")</f>
        <v>PDFを開く</v>
      </c>
      <c r="M229" s="9" t="s">
        <v>878</v>
      </c>
    </row>
    <row r="230" spans="1:13" ht="66" customHeight="1">
      <c r="A230" s="2" t="s">
        <v>879</v>
      </c>
      <c r="B230" s="2" t="s">
        <v>73</v>
      </c>
      <c r="C230" s="8" t="s">
        <v>880</v>
      </c>
      <c r="D230" s="2">
        <v>1</v>
      </c>
      <c r="E230" s="8" t="s">
        <v>10156</v>
      </c>
      <c r="F230" s="2">
        <v>3</v>
      </c>
      <c r="G230" s="8" t="s">
        <v>10167</v>
      </c>
      <c r="H230" s="8" t="s">
        <v>10386</v>
      </c>
      <c r="I230" s="8"/>
      <c r="J230" s="8" t="s">
        <v>10159</v>
      </c>
      <c r="K230" s="8" t="s">
        <v>10387</v>
      </c>
      <c r="L230" s="8" t="str">
        <f>HYPERLINK("https://seichotoushi-hojo.jp/assets/pdf/koufu/outline_34.pdf","PDFを開く")</f>
        <v>PDFを開く</v>
      </c>
      <c r="M230" s="8" t="s">
        <v>886</v>
      </c>
    </row>
    <row r="231" spans="1:13" ht="66" customHeight="1">
      <c r="A231" s="5" t="s">
        <v>879</v>
      </c>
      <c r="B231" s="5" t="s">
        <v>73</v>
      </c>
      <c r="C231" s="9" t="s">
        <v>880</v>
      </c>
      <c r="D231" s="5">
        <v>1</v>
      </c>
      <c r="E231" s="9" t="s">
        <v>10156</v>
      </c>
      <c r="F231" s="5">
        <v>5</v>
      </c>
      <c r="G231" s="9" t="s">
        <v>8581</v>
      </c>
      <c r="H231" s="9" t="s">
        <v>8581</v>
      </c>
      <c r="I231" s="9"/>
      <c r="J231" s="9" t="s">
        <v>10159</v>
      </c>
      <c r="K231" s="9" t="s">
        <v>883</v>
      </c>
      <c r="L231" s="9" t="str">
        <f>HYPERLINK("https://seichotoushi-hojo.jp/assets/pdf/koufu/outline_34.pdf","PDFを開く")</f>
        <v>PDFを開く</v>
      </c>
      <c r="M231" s="9" t="s">
        <v>886</v>
      </c>
    </row>
    <row r="232" spans="1:13" ht="66" customHeight="1">
      <c r="A232" s="2" t="s">
        <v>879</v>
      </c>
      <c r="B232" s="2" t="s">
        <v>73</v>
      </c>
      <c r="C232" s="8" t="s">
        <v>880</v>
      </c>
      <c r="D232" s="2">
        <v>2</v>
      </c>
      <c r="E232" s="8" t="s">
        <v>10165</v>
      </c>
      <c r="F232" s="2">
        <v>1</v>
      </c>
      <c r="G232" s="8" t="s">
        <v>10167</v>
      </c>
      <c r="H232" s="8" t="s">
        <v>10388</v>
      </c>
      <c r="I232" s="8"/>
      <c r="J232" s="8" t="s">
        <v>10159</v>
      </c>
      <c r="K232" s="8" t="s">
        <v>10389</v>
      </c>
      <c r="L232" s="8" t="str">
        <f>HYPERLINK("https://seichotoushi-hojo.jp/assets/pdf/koufu/outline_34.pdf","PDFを開く")</f>
        <v>PDFを開く</v>
      </c>
      <c r="M232" s="8" t="s">
        <v>886</v>
      </c>
    </row>
    <row r="233" spans="1:13" ht="66" customHeight="1">
      <c r="A233" s="5" t="s">
        <v>887</v>
      </c>
      <c r="B233" s="5" t="s">
        <v>73</v>
      </c>
      <c r="C233" s="9" t="s">
        <v>888</v>
      </c>
      <c r="D233" s="5">
        <v>1</v>
      </c>
      <c r="E233" s="9" t="s">
        <v>10156</v>
      </c>
      <c r="F233" s="5">
        <v>4</v>
      </c>
      <c r="G233" s="9" t="s">
        <v>8581</v>
      </c>
      <c r="H233" s="9" t="s">
        <v>8581</v>
      </c>
      <c r="I233" s="9"/>
      <c r="J233" s="9" t="s">
        <v>10159</v>
      </c>
      <c r="K233" s="9" t="s">
        <v>891</v>
      </c>
      <c r="L233" s="9" t="str">
        <f>HYPERLINK("https://seichotoushi-hojo.jp/assets/pdf/koufu/outline_35.pdf","PDFを開く")</f>
        <v>PDFを開く</v>
      </c>
      <c r="M233" s="9" t="s">
        <v>893</v>
      </c>
    </row>
    <row r="234" spans="1:13" ht="66" customHeight="1">
      <c r="A234" s="2" t="s">
        <v>887</v>
      </c>
      <c r="B234" s="2" t="s">
        <v>73</v>
      </c>
      <c r="C234" s="8" t="s">
        <v>888</v>
      </c>
      <c r="D234" s="2">
        <v>2</v>
      </c>
      <c r="E234" s="8" t="s">
        <v>10165</v>
      </c>
      <c r="F234" s="2">
        <v>1</v>
      </c>
      <c r="G234" s="8" t="s">
        <v>10167</v>
      </c>
      <c r="H234" s="8" t="s">
        <v>3504</v>
      </c>
      <c r="I234" s="8"/>
      <c r="J234" s="8" t="s">
        <v>10159</v>
      </c>
      <c r="K234" s="8" t="s">
        <v>10186</v>
      </c>
      <c r="L234" s="8" t="str">
        <f>HYPERLINK("https://seichotoushi-hojo.jp/assets/pdf/koufu/outline_35.pdf","PDFを開く")</f>
        <v>PDFを開く</v>
      </c>
      <c r="M234" s="8" t="s">
        <v>893</v>
      </c>
    </row>
    <row r="235" spans="1:13" ht="66" customHeight="1">
      <c r="A235" s="5" t="s">
        <v>894</v>
      </c>
      <c r="B235" s="5" t="s">
        <v>73</v>
      </c>
      <c r="C235" s="9" t="s">
        <v>895</v>
      </c>
      <c r="D235" s="5">
        <v>1</v>
      </c>
      <c r="E235" s="9" t="s">
        <v>10156</v>
      </c>
      <c r="F235" s="5">
        <v>1</v>
      </c>
      <c r="G235" s="9" t="s">
        <v>10167</v>
      </c>
      <c r="H235" s="9" t="s">
        <v>10212</v>
      </c>
      <c r="I235" s="9"/>
      <c r="J235" s="9" t="s">
        <v>10159</v>
      </c>
      <c r="K235" s="9" t="s">
        <v>10390</v>
      </c>
      <c r="L235" s="9" t="str">
        <f>HYPERLINK("https://seichotoushi-hojo.jp/assets/pdf/koufu/outline_36.pdf","PDFを開く")</f>
        <v>PDFを開く</v>
      </c>
      <c r="M235" s="9" t="s">
        <v>900</v>
      </c>
    </row>
    <row r="236" spans="1:13" ht="66" customHeight="1">
      <c r="A236" s="2" t="s">
        <v>894</v>
      </c>
      <c r="B236" s="2" t="s">
        <v>73</v>
      </c>
      <c r="C236" s="8" t="s">
        <v>895</v>
      </c>
      <c r="D236" s="2">
        <v>1</v>
      </c>
      <c r="E236" s="8" t="s">
        <v>10156</v>
      </c>
      <c r="F236" s="2">
        <v>5</v>
      </c>
      <c r="G236" s="8" t="s">
        <v>8581</v>
      </c>
      <c r="H236" s="8" t="s">
        <v>8581</v>
      </c>
      <c r="I236" s="8"/>
      <c r="J236" s="8" t="s">
        <v>10159</v>
      </c>
      <c r="K236" s="8" t="s">
        <v>898</v>
      </c>
      <c r="L236" s="8" t="str">
        <f>HYPERLINK("https://seichotoushi-hojo.jp/assets/pdf/koufu/outline_36.pdf","PDFを開く")</f>
        <v>PDFを開く</v>
      </c>
      <c r="M236" s="8" t="s">
        <v>900</v>
      </c>
    </row>
    <row r="237" spans="1:13" ht="66" customHeight="1">
      <c r="A237" s="5" t="s">
        <v>901</v>
      </c>
      <c r="B237" s="5" t="s">
        <v>73</v>
      </c>
      <c r="C237" s="9" t="s">
        <v>902</v>
      </c>
      <c r="D237" s="5">
        <v>1</v>
      </c>
      <c r="E237" s="9" t="s">
        <v>10156</v>
      </c>
      <c r="F237" s="5">
        <v>4</v>
      </c>
      <c r="G237" s="9" t="s">
        <v>8581</v>
      </c>
      <c r="H237" s="9" t="s">
        <v>8581</v>
      </c>
      <c r="I237" s="9"/>
      <c r="J237" s="9" t="s">
        <v>10159</v>
      </c>
      <c r="K237" s="9" t="s">
        <v>906</v>
      </c>
      <c r="L237" s="9" t="str">
        <f>HYPERLINK("https://seichotoushi-hojo.jp/assets/pdf/koufu/outline_37.pdf","PDFを開く")</f>
        <v>PDFを開く</v>
      </c>
      <c r="M237" s="9" t="s">
        <v>908</v>
      </c>
    </row>
    <row r="238" spans="1:13" ht="66" customHeight="1">
      <c r="A238" s="2" t="s">
        <v>909</v>
      </c>
      <c r="B238" s="2" t="s">
        <v>73</v>
      </c>
      <c r="C238" s="8" t="s">
        <v>910</v>
      </c>
      <c r="D238" s="2">
        <v>1</v>
      </c>
      <c r="E238" s="8" t="s">
        <v>10156</v>
      </c>
      <c r="F238" s="2">
        <v>4</v>
      </c>
      <c r="G238" s="8" t="s">
        <v>8581</v>
      </c>
      <c r="H238" s="8" t="s">
        <v>8581</v>
      </c>
      <c r="I238" s="8"/>
      <c r="J238" s="8" t="s">
        <v>10159</v>
      </c>
      <c r="K238" s="8" t="s">
        <v>912</v>
      </c>
      <c r="L238" s="8" t="str">
        <f>HYPERLINK("https://seichotoushi-hojo.jp/assets/pdf/koufu/outline_38.pdf","PDFを開く")</f>
        <v>PDFを開く</v>
      </c>
      <c r="M238" s="8" t="s">
        <v>914</v>
      </c>
    </row>
    <row r="239" spans="1:13" ht="66" customHeight="1">
      <c r="A239" s="5" t="s">
        <v>915</v>
      </c>
      <c r="B239" s="5" t="s">
        <v>73</v>
      </c>
      <c r="C239" s="9" t="s">
        <v>916</v>
      </c>
      <c r="D239" s="5">
        <v>1</v>
      </c>
      <c r="E239" s="9" t="s">
        <v>10156</v>
      </c>
      <c r="F239" s="5">
        <v>4</v>
      </c>
      <c r="G239" s="9" t="s">
        <v>8581</v>
      </c>
      <c r="H239" s="9" t="s">
        <v>8581</v>
      </c>
      <c r="I239" s="9"/>
      <c r="J239" s="9" t="s">
        <v>10159</v>
      </c>
      <c r="K239" s="9" t="s">
        <v>920</v>
      </c>
      <c r="L239" s="9" t="str">
        <f>HYPERLINK("https://seichotoushi-hojo.jp/assets/pdf/koufu/outline_39.pdf","PDFを開く")</f>
        <v>PDFを開く</v>
      </c>
      <c r="M239" s="9" t="s">
        <v>923</v>
      </c>
    </row>
    <row r="240" spans="1:13" ht="66" customHeight="1">
      <c r="A240" s="2" t="s">
        <v>915</v>
      </c>
      <c r="B240" s="2" t="s">
        <v>73</v>
      </c>
      <c r="C240" s="8" t="s">
        <v>916</v>
      </c>
      <c r="D240" s="2">
        <v>1</v>
      </c>
      <c r="E240" s="8" t="s">
        <v>10156</v>
      </c>
      <c r="F240" s="2">
        <v>5</v>
      </c>
      <c r="G240" s="8" t="s">
        <v>10167</v>
      </c>
      <c r="H240" s="8" t="s">
        <v>10391</v>
      </c>
      <c r="I240" s="8"/>
      <c r="J240" s="8" t="s">
        <v>10159</v>
      </c>
      <c r="K240" s="8" t="s">
        <v>10392</v>
      </c>
      <c r="L240" s="8" t="str">
        <f>HYPERLINK("https://seichotoushi-hojo.jp/assets/pdf/koufu/outline_39.pdf","PDFを開く")</f>
        <v>PDFを開く</v>
      </c>
      <c r="M240" s="8" t="s">
        <v>923</v>
      </c>
    </row>
    <row r="241" spans="1:13" ht="66" customHeight="1">
      <c r="A241" s="5" t="s">
        <v>915</v>
      </c>
      <c r="B241" s="5" t="s">
        <v>73</v>
      </c>
      <c r="C241" s="9" t="s">
        <v>916</v>
      </c>
      <c r="D241" s="5">
        <v>2</v>
      </c>
      <c r="E241" s="9" t="s">
        <v>10165</v>
      </c>
      <c r="F241" s="5">
        <v>1</v>
      </c>
      <c r="G241" s="9" t="s">
        <v>10184</v>
      </c>
      <c r="H241" s="9" t="s">
        <v>10184</v>
      </c>
      <c r="I241" s="9"/>
      <c r="J241" s="9" t="s">
        <v>10181</v>
      </c>
      <c r="K241" s="9" t="s">
        <v>10393</v>
      </c>
      <c r="L241" s="9" t="str">
        <f>HYPERLINK("https://seichotoushi-hojo.jp/assets/pdf/koufu/outline_39.pdf","PDFを開く")</f>
        <v>PDFを開く</v>
      </c>
      <c r="M241" s="9" t="s">
        <v>923</v>
      </c>
    </row>
    <row r="242" spans="1:13" ht="66" customHeight="1">
      <c r="A242" s="2" t="s">
        <v>924</v>
      </c>
      <c r="B242" s="2" t="s">
        <v>73</v>
      </c>
      <c r="C242" s="8" t="s">
        <v>925</v>
      </c>
      <c r="D242" s="2">
        <v>1</v>
      </c>
      <c r="E242" s="8" t="s">
        <v>10156</v>
      </c>
      <c r="F242" s="2">
        <v>4</v>
      </c>
      <c r="G242" s="8" t="s">
        <v>8581</v>
      </c>
      <c r="H242" s="8" t="s">
        <v>8581</v>
      </c>
      <c r="I242" s="8"/>
      <c r="J242" s="8" t="s">
        <v>10159</v>
      </c>
      <c r="K242" s="8" t="s">
        <v>928</v>
      </c>
      <c r="L242" s="8" t="str">
        <f>HYPERLINK("https://seichotoushi-hojo.jp/assets/pdf/koufu/outline_4.pdf","PDFを開く")</f>
        <v>PDFを開く</v>
      </c>
      <c r="M242" s="8" t="s">
        <v>930</v>
      </c>
    </row>
    <row r="243" spans="1:13" ht="66" customHeight="1">
      <c r="A243" s="5" t="s">
        <v>924</v>
      </c>
      <c r="B243" s="5" t="s">
        <v>73</v>
      </c>
      <c r="C243" s="9" t="s">
        <v>925</v>
      </c>
      <c r="D243" s="5">
        <v>2</v>
      </c>
      <c r="E243" s="9" t="s">
        <v>10165</v>
      </c>
      <c r="F243" s="5">
        <v>1</v>
      </c>
      <c r="G243" s="9" t="s">
        <v>10167</v>
      </c>
      <c r="H243" s="9" t="s">
        <v>10394</v>
      </c>
      <c r="I243" s="9"/>
      <c r="J243" s="9" t="s">
        <v>10159</v>
      </c>
      <c r="K243" s="9" t="s">
        <v>10395</v>
      </c>
      <c r="L243" s="9" t="str">
        <f>HYPERLINK("https://seichotoushi-hojo.jp/assets/pdf/koufu/outline_4.pdf","PDFを開く")</f>
        <v>PDFを開く</v>
      </c>
      <c r="M243" s="9" t="s">
        <v>930</v>
      </c>
    </row>
    <row r="244" spans="1:13" ht="66" customHeight="1">
      <c r="A244" s="2" t="s">
        <v>931</v>
      </c>
      <c r="B244" s="2" t="s">
        <v>73</v>
      </c>
      <c r="C244" s="8" t="s">
        <v>932</v>
      </c>
      <c r="D244" s="2">
        <v>1</v>
      </c>
      <c r="E244" s="8" t="s">
        <v>10156</v>
      </c>
      <c r="F244" s="2">
        <v>4</v>
      </c>
      <c r="G244" s="8" t="s">
        <v>8581</v>
      </c>
      <c r="H244" s="8" t="s">
        <v>8581</v>
      </c>
      <c r="I244" s="8"/>
      <c r="J244" s="8" t="s">
        <v>10159</v>
      </c>
      <c r="K244" s="8" t="s">
        <v>936</v>
      </c>
      <c r="L244" s="8" t="str">
        <f>HYPERLINK("https://seichotoushi-hojo.jp/assets/pdf/koufu/outline_40.pdf","PDFを開く")</f>
        <v>PDFを開く</v>
      </c>
      <c r="M244" s="8" t="s">
        <v>939</v>
      </c>
    </row>
    <row r="245" spans="1:13" ht="66" customHeight="1">
      <c r="A245" s="5" t="s">
        <v>931</v>
      </c>
      <c r="B245" s="5" t="s">
        <v>73</v>
      </c>
      <c r="C245" s="9" t="s">
        <v>932</v>
      </c>
      <c r="D245" s="5">
        <v>2</v>
      </c>
      <c r="E245" s="9" t="s">
        <v>10165</v>
      </c>
      <c r="F245" s="5">
        <v>1</v>
      </c>
      <c r="G245" s="9" t="s">
        <v>10167</v>
      </c>
      <c r="H245" s="9" t="s">
        <v>10396</v>
      </c>
      <c r="I245" s="9"/>
      <c r="J245" s="9" t="s">
        <v>10159</v>
      </c>
      <c r="K245" s="9" t="s">
        <v>10397</v>
      </c>
      <c r="L245" s="9" t="str">
        <f>HYPERLINK("https://seichotoushi-hojo.jp/assets/pdf/koufu/outline_40.pdf","PDFを開く")</f>
        <v>PDFを開く</v>
      </c>
      <c r="M245" s="9" t="s">
        <v>939</v>
      </c>
    </row>
    <row r="246" spans="1:13" ht="66" customHeight="1">
      <c r="A246" s="2" t="s">
        <v>940</v>
      </c>
      <c r="B246" s="2" t="s">
        <v>73</v>
      </c>
      <c r="C246" s="8" t="s">
        <v>941</v>
      </c>
      <c r="D246" s="2">
        <v>1</v>
      </c>
      <c r="E246" s="8" t="s">
        <v>10156</v>
      </c>
      <c r="F246" s="2">
        <v>1</v>
      </c>
      <c r="G246" s="8" t="s">
        <v>10157</v>
      </c>
      <c r="H246" s="8" t="s">
        <v>10157</v>
      </c>
      <c r="I246" s="8" t="s">
        <v>10158</v>
      </c>
      <c r="J246" s="8" t="s">
        <v>10159</v>
      </c>
      <c r="K246" s="8" t="s">
        <v>10398</v>
      </c>
      <c r="L246" s="8" t="str">
        <f>HYPERLINK("https://seichotoushi-hojo.jp/assets/pdf/koufu/outline_41.pdf","PDFを開く")</f>
        <v>PDFを開く</v>
      </c>
      <c r="M246" s="8" t="s">
        <v>947</v>
      </c>
    </row>
    <row r="247" spans="1:13" ht="66" customHeight="1">
      <c r="A247" s="5" t="s">
        <v>940</v>
      </c>
      <c r="B247" s="5" t="s">
        <v>73</v>
      </c>
      <c r="C247" s="9" t="s">
        <v>941</v>
      </c>
      <c r="D247" s="5">
        <v>1</v>
      </c>
      <c r="E247" s="9" t="s">
        <v>10156</v>
      </c>
      <c r="F247" s="5">
        <v>5</v>
      </c>
      <c r="G247" s="9" t="s">
        <v>8581</v>
      </c>
      <c r="H247" s="9" t="s">
        <v>8581</v>
      </c>
      <c r="I247" s="9"/>
      <c r="J247" s="9" t="s">
        <v>10159</v>
      </c>
      <c r="K247" s="9" t="s">
        <v>945</v>
      </c>
      <c r="L247" s="9" t="str">
        <f>HYPERLINK("https://seichotoushi-hojo.jp/assets/pdf/koufu/outline_41.pdf","PDFを開く")</f>
        <v>PDFを開く</v>
      </c>
      <c r="M247" s="9" t="s">
        <v>947</v>
      </c>
    </row>
    <row r="248" spans="1:13" ht="66" customHeight="1">
      <c r="A248" s="2" t="s">
        <v>940</v>
      </c>
      <c r="B248" s="2" t="s">
        <v>73</v>
      </c>
      <c r="C248" s="8" t="s">
        <v>941</v>
      </c>
      <c r="D248" s="2">
        <v>2</v>
      </c>
      <c r="E248" s="8" t="s">
        <v>10165</v>
      </c>
      <c r="F248" s="2">
        <v>1</v>
      </c>
      <c r="G248" s="8" t="s">
        <v>10157</v>
      </c>
      <c r="H248" s="8" t="s">
        <v>10157</v>
      </c>
      <c r="I248" s="8" t="s">
        <v>10158</v>
      </c>
      <c r="J248" s="8" t="s">
        <v>10159</v>
      </c>
      <c r="K248" s="8" t="s">
        <v>10400</v>
      </c>
      <c r="L248" s="8" t="str">
        <f>HYPERLINK("https://seichotoushi-hojo.jp/assets/pdf/koufu/outline_41.pdf","PDFを開く")</f>
        <v>PDFを開く</v>
      </c>
      <c r="M248" s="8" t="s">
        <v>947</v>
      </c>
    </row>
    <row r="249" spans="1:13" ht="66" customHeight="1">
      <c r="A249" s="5" t="s">
        <v>948</v>
      </c>
      <c r="B249" s="5" t="s">
        <v>73</v>
      </c>
      <c r="C249" s="9" t="s">
        <v>949</v>
      </c>
      <c r="D249" s="5">
        <v>1</v>
      </c>
      <c r="E249" s="9" t="s">
        <v>10156</v>
      </c>
      <c r="F249" s="5">
        <v>4</v>
      </c>
      <c r="G249" s="9" t="s">
        <v>8581</v>
      </c>
      <c r="H249" s="9" t="s">
        <v>8581</v>
      </c>
      <c r="I249" s="9"/>
      <c r="J249" s="9" t="s">
        <v>10159</v>
      </c>
      <c r="K249" s="9" t="s">
        <v>952</v>
      </c>
      <c r="L249" s="9" t="str">
        <f>HYPERLINK("https://seichotoushi-hojo.jp/assets/pdf/koufu/outline_42.pdf","PDFを開く")</f>
        <v>PDFを開く</v>
      </c>
      <c r="M249" s="9" t="s">
        <v>954</v>
      </c>
    </row>
    <row r="250" spans="1:13" ht="66" customHeight="1">
      <c r="A250" s="2" t="s">
        <v>948</v>
      </c>
      <c r="B250" s="2" t="s">
        <v>73</v>
      </c>
      <c r="C250" s="8" t="s">
        <v>949</v>
      </c>
      <c r="D250" s="2">
        <v>2</v>
      </c>
      <c r="E250" s="8" t="s">
        <v>10165</v>
      </c>
      <c r="F250" s="2">
        <v>1</v>
      </c>
      <c r="G250" s="8" t="s">
        <v>10167</v>
      </c>
      <c r="H250" s="8" t="s">
        <v>3504</v>
      </c>
      <c r="I250" s="8"/>
      <c r="J250" s="8" t="s">
        <v>10159</v>
      </c>
      <c r="K250" s="8" t="s">
        <v>10186</v>
      </c>
      <c r="L250" s="8" t="str">
        <f>HYPERLINK("https://seichotoushi-hojo.jp/assets/pdf/koufu/outline_42.pdf","PDFを開く")</f>
        <v>PDFを開く</v>
      </c>
      <c r="M250" s="8" t="s">
        <v>954</v>
      </c>
    </row>
    <row r="251" spans="1:13" ht="66" customHeight="1">
      <c r="A251" s="5" t="s">
        <v>955</v>
      </c>
      <c r="B251" s="5" t="s">
        <v>73</v>
      </c>
      <c r="C251" s="9" t="s">
        <v>956</v>
      </c>
      <c r="D251" s="5">
        <v>1</v>
      </c>
      <c r="E251" s="9" t="s">
        <v>10156</v>
      </c>
      <c r="F251" s="5">
        <v>4</v>
      </c>
      <c r="G251" s="9" t="s">
        <v>8581</v>
      </c>
      <c r="H251" s="9" t="s">
        <v>8581</v>
      </c>
      <c r="I251" s="9"/>
      <c r="J251" s="9" t="s">
        <v>10159</v>
      </c>
      <c r="K251" s="9" t="s">
        <v>961</v>
      </c>
      <c r="L251" s="9" t="str">
        <f t="shared" ref="L251:L256" si="7">HYPERLINK("https://seichotoushi-hojo.jp/assets/pdf/koufu/outline_43.pdf","PDFを開く")</f>
        <v>PDFを開く</v>
      </c>
      <c r="M251" s="9" t="s">
        <v>964</v>
      </c>
    </row>
    <row r="252" spans="1:13" ht="66" customHeight="1">
      <c r="A252" s="2" t="s">
        <v>955</v>
      </c>
      <c r="B252" s="2" t="s">
        <v>73</v>
      </c>
      <c r="C252" s="8" t="s">
        <v>956</v>
      </c>
      <c r="D252" s="2">
        <v>2</v>
      </c>
      <c r="E252" s="8" t="s">
        <v>10165</v>
      </c>
      <c r="F252" s="2">
        <v>1</v>
      </c>
      <c r="G252" s="8" t="s">
        <v>10167</v>
      </c>
      <c r="H252" s="8" t="s">
        <v>10401</v>
      </c>
      <c r="I252" s="8"/>
      <c r="J252" s="8" t="s">
        <v>10159</v>
      </c>
      <c r="K252" s="8" t="s">
        <v>10402</v>
      </c>
      <c r="L252" s="8" t="str">
        <f t="shared" si="7"/>
        <v>PDFを開く</v>
      </c>
      <c r="M252" s="8" t="s">
        <v>964</v>
      </c>
    </row>
    <row r="253" spans="1:13" ht="66" customHeight="1">
      <c r="A253" s="5" t="s">
        <v>955</v>
      </c>
      <c r="B253" s="5" t="s">
        <v>73</v>
      </c>
      <c r="C253" s="9" t="s">
        <v>956</v>
      </c>
      <c r="D253" s="5">
        <v>2</v>
      </c>
      <c r="E253" s="9" t="s">
        <v>10165</v>
      </c>
      <c r="F253" s="5">
        <v>2</v>
      </c>
      <c r="G253" s="9" t="s">
        <v>10167</v>
      </c>
      <c r="H253" s="9" t="s">
        <v>10403</v>
      </c>
      <c r="I253" s="9"/>
      <c r="J253" s="9" t="s">
        <v>10159</v>
      </c>
      <c r="K253" s="9" t="s">
        <v>10404</v>
      </c>
      <c r="L253" s="9" t="str">
        <f t="shared" si="7"/>
        <v>PDFを開く</v>
      </c>
      <c r="M253" s="9" t="s">
        <v>964</v>
      </c>
    </row>
    <row r="254" spans="1:13" ht="66" customHeight="1">
      <c r="A254" s="2" t="s">
        <v>955</v>
      </c>
      <c r="B254" s="2" t="s">
        <v>73</v>
      </c>
      <c r="C254" s="8" t="s">
        <v>956</v>
      </c>
      <c r="D254" s="2">
        <v>2</v>
      </c>
      <c r="E254" s="8" t="s">
        <v>10165</v>
      </c>
      <c r="F254" s="2">
        <v>3</v>
      </c>
      <c r="G254" s="8" t="s">
        <v>10167</v>
      </c>
      <c r="H254" s="8" t="s">
        <v>10405</v>
      </c>
      <c r="I254" s="8"/>
      <c r="J254" s="8" t="s">
        <v>10159</v>
      </c>
      <c r="K254" s="8" t="s">
        <v>10406</v>
      </c>
      <c r="L254" s="8" t="str">
        <f t="shared" si="7"/>
        <v>PDFを開く</v>
      </c>
      <c r="M254" s="8" t="s">
        <v>964</v>
      </c>
    </row>
    <row r="255" spans="1:13" ht="66" customHeight="1">
      <c r="A255" s="5" t="s">
        <v>955</v>
      </c>
      <c r="B255" s="5" t="s">
        <v>73</v>
      </c>
      <c r="C255" s="9" t="s">
        <v>956</v>
      </c>
      <c r="D255" s="5">
        <v>2</v>
      </c>
      <c r="E255" s="9" t="s">
        <v>10165</v>
      </c>
      <c r="F255" s="5">
        <v>4</v>
      </c>
      <c r="G255" s="9" t="s">
        <v>10167</v>
      </c>
      <c r="H255" s="9" t="s">
        <v>10407</v>
      </c>
      <c r="I255" s="9"/>
      <c r="J255" s="9" t="s">
        <v>10159</v>
      </c>
      <c r="K255" s="9" t="s">
        <v>10408</v>
      </c>
      <c r="L255" s="9" t="str">
        <f t="shared" si="7"/>
        <v>PDFを開く</v>
      </c>
      <c r="M255" s="9" t="s">
        <v>964</v>
      </c>
    </row>
    <row r="256" spans="1:13" ht="66" customHeight="1">
      <c r="A256" s="2" t="s">
        <v>955</v>
      </c>
      <c r="B256" s="2" t="s">
        <v>73</v>
      </c>
      <c r="C256" s="8" t="s">
        <v>956</v>
      </c>
      <c r="D256" s="2">
        <v>3</v>
      </c>
      <c r="E256" s="8" t="s">
        <v>10165</v>
      </c>
      <c r="F256" s="2">
        <v>1</v>
      </c>
      <c r="G256" s="8" t="s">
        <v>10157</v>
      </c>
      <c r="H256" s="8" t="s">
        <v>10157</v>
      </c>
      <c r="I256" s="8"/>
      <c r="J256" s="8" t="s">
        <v>10159</v>
      </c>
      <c r="K256" s="8" t="s">
        <v>8091</v>
      </c>
      <c r="L256" s="8" t="str">
        <f t="shared" si="7"/>
        <v>PDFを開く</v>
      </c>
      <c r="M256" s="8" t="s">
        <v>964</v>
      </c>
    </row>
    <row r="257" spans="1:13" ht="66" customHeight="1">
      <c r="A257" s="5" t="s">
        <v>965</v>
      </c>
      <c r="B257" s="5" t="s">
        <v>73</v>
      </c>
      <c r="C257" s="9" t="s">
        <v>966</v>
      </c>
      <c r="D257" s="5">
        <v>1</v>
      </c>
      <c r="E257" s="9" t="s">
        <v>10156</v>
      </c>
      <c r="F257" s="5">
        <v>4</v>
      </c>
      <c r="G257" s="9" t="s">
        <v>8581</v>
      </c>
      <c r="H257" s="9" t="s">
        <v>8581</v>
      </c>
      <c r="I257" s="9"/>
      <c r="J257" s="9" t="s">
        <v>10159</v>
      </c>
      <c r="K257" s="9" t="s">
        <v>969</v>
      </c>
      <c r="L257" s="9" t="str">
        <f>HYPERLINK("https://seichotoushi-hojo.jp/assets/pdf/koufu/outline_45.pdf","PDFを開く")</f>
        <v>PDFを開く</v>
      </c>
      <c r="M257" s="9" t="s">
        <v>971</v>
      </c>
    </row>
    <row r="258" spans="1:13" ht="66" customHeight="1">
      <c r="A258" s="2" t="s">
        <v>972</v>
      </c>
      <c r="B258" s="2" t="s">
        <v>73</v>
      </c>
      <c r="C258" s="8" t="s">
        <v>973</v>
      </c>
      <c r="D258" s="2">
        <v>1</v>
      </c>
      <c r="E258" s="8" t="s">
        <v>10156</v>
      </c>
      <c r="F258" s="2">
        <v>4</v>
      </c>
      <c r="G258" s="8" t="s">
        <v>8581</v>
      </c>
      <c r="H258" s="8" t="s">
        <v>8581</v>
      </c>
      <c r="I258" s="8"/>
      <c r="J258" s="8" t="s">
        <v>10159</v>
      </c>
      <c r="K258" s="8" t="s">
        <v>975</v>
      </c>
      <c r="L258" s="8" t="str">
        <f>HYPERLINK("https://seichotoushi-hojo.jp/assets/pdf/koufu/outline_46.pdf","PDFを開く")</f>
        <v>PDFを開く</v>
      </c>
      <c r="M258" s="8" t="s">
        <v>977</v>
      </c>
    </row>
    <row r="259" spans="1:13" ht="66" customHeight="1">
      <c r="A259" s="5" t="s">
        <v>978</v>
      </c>
      <c r="B259" s="5" t="s">
        <v>73</v>
      </c>
      <c r="C259" s="9" t="s">
        <v>979</v>
      </c>
      <c r="D259" s="5">
        <v>1</v>
      </c>
      <c r="E259" s="9" t="s">
        <v>10156</v>
      </c>
      <c r="F259" s="5">
        <v>4</v>
      </c>
      <c r="G259" s="9" t="s">
        <v>8581</v>
      </c>
      <c r="H259" s="9" t="s">
        <v>8581</v>
      </c>
      <c r="I259" s="9"/>
      <c r="J259" s="9" t="s">
        <v>10159</v>
      </c>
      <c r="K259" s="9" t="s">
        <v>982</v>
      </c>
      <c r="L259" s="9" t="str">
        <f>HYPERLINK("https://seichotoushi-hojo.jp/assets/pdf/koufu/outline_47.pdf","PDFを開く")</f>
        <v>PDFを開く</v>
      </c>
      <c r="M259" s="9" t="s">
        <v>984</v>
      </c>
    </row>
    <row r="260" spans="1:13" ht="66" customHeight="1">
      <c r="A260" s="2" t="s">
        <v>985</v>
      </c>
      <c r="B260" s="2" t="s">
        <v>73</v>
      </c>
      <c r="C260" s="8" t="s">
        <v>986</v>
      </c>
      <c r="D260" s="2">
        <v>1</v>
      </c>
      <c r="E260" s="8" t="s">
        <v>10156</v>
      </c>
      <c r="F260" s="2">
        <v>4</v>
      </c>
      <c r="G260" s="8" t="s">
        <v>8581</v>
      </c>
      <c r="H260" s="8" t="s">
        <v>8581</v>
      </c>
      <c r="I260" s="8"/>
      <c r="J260" s="8" t="s">
        <v>10159</v>
      </c>
      <c r="K260" s="8" t="s">
        <v>990</v>
      </c>
      <c r="L260" s="8" t="str">
        <f>HYPERLINK("https://seichotoushi-hojo.jp/assets/pdf/koufu/outline_48.pdf","PDFを開く")</f>
        <v>PDFを開く</v>
      </c>
      <c r="M260" s="8" t="s">
        <v>993</v>
      </c>
    </row>
    <row r="261" spans="1:13" ht="66" customHeight="1">
      <c r="A261" s="5" t="s">
        <v>994</v>
      </c>
      <c r="B261" s="5" t="s">
        <v>73</v>
      </c>
      <c r="C261" s="9" t="s">
        <v>995</v>
      </c>
      <c r="D261" s="5">
        <v>1</v>
      </c>
      <c r="E261" s="9" t="s">
        <v>10156</v>
      </c>
      <c r="F261" s="5">
        <v>3</v>
      </c>
      <c r="G261" s="9" t="s">
        <v>8581</v>
      </c>
      <c r="H261" s="9" t="s">
        <v>8581</v>
      </c>
      <c r="I261" s="9"/>
      <c r="J261" s="9" t="s">
        <v>10181</v>
      </c>
      <c r="K261" s="9" t="s">
        <v>999</v>
      </c>
      <c r="L261" s="9" t="str">
        <f>HYPERLINK("https://seichotoushi-hojo.jp/assets/pdf/koufu/outline_49.pdf","PDFを開く")</f>
        <v>PDFを開く</v>
      </c>
      <c r="M261" s="9" t="s">
        <v>1002</v>
      </c>
    </row>
    <row r="262" spans="1:13" ht="66" customHeight="1">
      <c r="A262" s="2" t="s">
        <v>994</v>
      </c>
      <c r="B262" s="2" t="s">
        <v>73</v>
      </c>
      <c r="C262" s="8" t="s">
        <v>995</v>
      </c>
      <c r="D262" s="2">
        <v>2</v>
      </c>
      <c r="E262" s="8" t="s">
        <v>10165</v>
      </c>
      <c r="F262" s="2">
        <v>1</v>
      </c>
      <c r="G262" s="8" t="s">
        <v>10184</v>
      </c>
      <c r="H262" s="8" t="s">
        <v>10184</v>
      </c>
      <c r="I262" s="8"/>
      <c r="J262" s="8" t="s">
        <v>10181</v>
      </c>
      <c r="K262" s="8" t="s">
        <v>10409</v>
      </c>
      <c r="L262" s="8" t="str">
        <f>HYPERLINK("https://seichotoushi-hojo.jp/assets/pdf/koufu/outline_49.pdf","PDFを開く")</f>
        <v>PDFを開く</v>
      </c>
      <c r="M262" s="8" t="s">
        <v>1002</v>
      </c>
    </row>
    <row r="263" spans="1:13" ht="66" customHeight="1">
      <c r="A263" s="5" t="s">
        <v>1003</v>
      </c>
      <c r="B263" s="5" t="s">
        <v>73</v>
      </c>
      <c r="C263" s="9" t="s">
        <v>1004</v>
      </c>
      <c r="D263" s="5">
        <v>1</v>
      </c>
      <c r="E263" s="9" t="s">
        <v>10156</v>
      </c>
      <c r="F263" s="5">
        <v>1</v>
      </c>
      <c r="G263" s="9" t="s">
        <v>10157</v>
      </c>
      <c r="H263" s="9" t="s">
        <v>10157</v>
      </c>
      <c r="I263" s="9" t="s">
        <v>10158</v>
      </c>
      <c r="J263" s="9" t="s">
        <v>10159</v>
      </c>
      <c r="K263" s="9" t="s">
        <v>8134</v>
      </c>
      <c r="L263" s="9" t="str">
        <f>HYPERLINK("https://seichotoushi-hojo.jp/assets/pdf/koufu/outline_5.pdf","PDFを開く")</f>
        <v>PDFを開く</v>
      </c>
      <c r="M263" s="9" t="s">
        <v>1012</v>
      </c>
    </row>
    <row r="264" spans="1:13" ht="66" customHeight="1">
      <c r="A264" s="2" t="s">
        <v>1003</v>
      </c>
      <c r="B264" s="2" t="s">
        <v>73</v>
      </c>
      <c r="C264" s="8" t="s">
        <v>1004</v>
      </c>
      <c r="D264" s="2">
        <v>2</v>
      </c>
      <c r="E264" s="8" t="s">
        <v>10165</v>
      </c>
      <c r="F264" s="2">
        <v>1</v>
      </c>
      <c r="G264" s="8" t="s">
        <v>10167</v>
      </c>
      <c r="H264" s="8" t="s">
        <v>10410</v>
      </c>
      <c r="I264" s="8"/>
      <c r="J264" s="8" t="s">
        <v>10159</v>
      </c>
      <c r="K264" s="8" t="s">
        <v>10411</v>
      </c>
      <c r="L264" s="8" t="str">
        <f>HYPERLINK("https://seichotoushi-hojo.jp/assets/pdf/koufu/outline_5.pdf","PDFを開く")</f>
        <v>PDFを開く</v>
      </c>
      <c r="M264" s="8" t="s">
        <v>1012</v>
      </c>
    </row>
    <row r="265" spans="1:13" ht="66" customHeight="1">
      <c r="A265" s="5" t="s">
        <v>1003</v>
      </c>
      <c r="B265" s="5" t="s">
        <v>73</v>
      </c>
      <c r="C265" s="9" t="s">
        <v>1004</v>
      </c>
      <c r="D265" s="5">
        <v>2</v>
      </c>
      <c r="E265" s="9" t="s">
        <v>10165</v>
      </c>
      <c r="F265" s="5">
        <v>2</v>
      </c>
      <c r="G265" s="9" t="s">
        <v>10167</v>
      </c>
      <c r="H265" s="9" t="s">
        <v>10412</v>
      </c>
      <c r="I265" s="9"/>
      <c r="J265" s="9" t="s">
        <v>10159</v>
      </c>
      <c r="K265" s="9" t="s">
        <v>10413</v>
      </c>
      <c r="L265" s="9" t="str">
        <f>HYPERLINK("https://seichotoushi-hojo.jp/assets/pdf/koufu/outline_5.pdf","PDFを開く")</f>
        <v>PDFを開く</v>
      </c>
      <c r="M265" s="9" t="s">
        <v>1012</v>
      </c>
    </row>
    <row r="266" spans="1:13" ht="66" customHeight="1">
      <c r="A266" s="2" t="s">
        <v>1003</v>
      </c>
      <c r="B266" s="2" t="s">
        <v>73</v>
      </c>
      <c r="C266" s="8" t="s">
        <v>1004</v>
      </c>
      <c r="D266" s="2">
        <v>2</v>
      </c>
      <c r="E266" s="8" t="s">
        <v>10165</v>
      </c>
      <c r="F266" s="2">
        <v>3</v>
      </c>
      <c r="G266" s="8" t="s">
        <v>10167</v>
      </c>
      <c r="H266" s="8" t="s">
        <v>10414</v>
      </c>
      <c r="I266" s="8"/>
      <c r="J266" s="8" t="s">
        <v>10159</v>
      </c>
      <c r="K266" s="8" t="s">
        <v>10415</v>
      </c>
      <c r="L266" s="8" t="str">
        <f>HYPERLINK("https://seichotoushi-hojo.jp/assets/pdf/koufu/outline_5.pdf","PDFを開く")</f>
        <v>PDFを開く</v>
      </c>
      <c r="M266" s="8" t="s">
        <v>1012</v>
      </c>
    </row>
    <row r="267" spans="1:13" ht="66" customHeight="1">
      <c r="A267" s="5" t="s">
        <v>1013</v>
      </c>
      <c r="B267" s="5" t="s">
        <v>73</v>
      </c>
      <c r="C267" s="9" t="s">
        <v>1014</v>
      </c>
      <c r="D267" s="5">
        <v>1</v>
      </c>
      <c r="E267" s="9" t="s">
        <v>10156</v>
      </c>
      <c r="F267" s="5">
        <v>4</v>
      </c>
      <c r="G267" s="9" t="s">
        <v>8581</v>
      </c>
      <c r="H267" s="9" t="s">
        <v>8581</v>
      </c>
      <c r="I267" s="9"/>
      <c r="J267" s="9" t="s">
        <v>10159</v>
      </c>
      <c r="K267" s="9" t="s">
        <v>1017</v>
      </c>
      <c r="L267" s="9" t="str">
        <f>HYPERLINK("https://seichotoushi-hojo.jp/assets/pdf/koufu/outline_50.pdf","PDFを開く")</f>
        <v>PDFを開く</v>
      </c>
      <c r="M267" s="9" t="s">
        <v>1019</v>
      </c>
    </row>
    <row r="268" spans="1:13" ht="66" customHeight="1">
      <c r="A268" s="2" t="s">
        <v>1013</v>
      </c>
      <c r="B268" s="2" t="s">
        <v>73</v>
      </c>
      <c r="C268" s="8" t="s">
        <v>1014</v>
      </c>
      <c r="D268" s="2">
        <v>1</v>
      </c>
      <c r="E268" s="8" t="s">
        <v>10156</v>
      </c>
      <c r="F268" s="2">
        <v>5</v>
      </c>
      <c r="G268" s="8" t="s">
        <v>10167</v>
      </c>
      <c r="H268" s="8" t="s">
        <v>10416</v>
      </c>
      <c r="I268" s="8"/>
      <c r="J268" s="8" t="s">
        <v>10159</v>
      </c>
      <c r="K268" s="8" t="s">
        <v>10417</v>
      </c>
      <c r="L268" s="8" t="str">
        <f>HYPERLINK("https://seichotoushi-hojo.jp/assets/pdf/koufu/outline_50.pdf","PDFを開く")</f>
        <v>PDFを開く</v>
      </c>
      <c r="M268" s="8" t="s">
        <v>1019</v>
      </c>
    </row>
    <row r="269" spans="1:13" ht="66" customHeight="1">
      <c r="A269" s="5" t="s">
        <v>1020</v>
      </c>
      <c r="B269" s="5" t="s">
        <v>73</v>
      </c>
      <c r="C269" s="9" t="s">
        <v>1021</v>
      </c>
      <c r="D269" s="5">
        <v>1</v>
      </c>
      <c r="E269" s="9" t="s">
        <v>10156</v>
      </c>
      <c r="F269" s="5">
        <v>4</v>
      </c>
      <c r="G269" s="9" t="s">
        <v>8581</v>
      </c>
      <c r="H269" s="9" t="s">
        <v>8581</v>
      </c>
      <c r="I269" s="9"/>
      <c r="J269" s="9" t="s">
        <v>10159</v>
      </c>
      <c r="K269" s="9" t="s">
        <v>1025</v>
      </c>
      <c r="L269" s="9" t="str">
        <f>HYPERLINK("https://seichotoushi-hojo.jp/assets/pdf/koufu/outline_51.pdf","PDFを開く")</f>
        <v>PDFを開く</v>
      </c>
      <c r="M269" s="9" t="s">
        <v>1027</v>
      </c>
    </row>
    <row r="270" spans="1:13" ht="66" customHeight="1">
      <c r="A270" s="2" t="s">
        <v>1028</v>
      </c>
      <c r="B270" s="2" t="s">
        <v>73</v>
      </c>
      <c r="C270" s="8" t="s">
        <v>1029</v>
      </c>
      <c r="D270" s="2">
        <v>1</v>
      </c>
      <c r="E270" s="8" t="s">
        <v>10156</v>
      </c>
      <c r="F270" s="2">
        <v>5</v>
      </c>
      <c r="G270" s="8" t="s">
        <v>8581</v>
      </c>
      <c r="H270" s="8" t="s">
        <v>8581</v>
      </c>
      <c r="I270" s="8"/>
      <c r="J270" s="8" t="s">
        <v>10159</v>
      </c>
      <c r="K270" s="8" t="s">
        <v>1032</v>
      </c>
      <c r="L270" s="8" t="str">
        <f>HYPERLINK("https://seichotoushi-hojo.jp/assets/pdf/koufu/outline_52.pdf","PDFを開く")</f>
        <v>PDFを開く</v>
      </c>
      <c r="M270" s="8" t="s">
        <v>1035</v>
      </c>
    </row>
    <row r="271" spans="1:13" ht="66" customHeight="1">
      <c r="A271" s="5" t="s">
        <v>1028</v>
      </c>
      <c r="B271" s="5" t="s">
        <v>73</v>
      </c>
      <c r="C271" s="9" t="s">
        <v>1029</v>
      </c>
      <c r="D271" s="5">
        <v>2</v>
      </c>
      <c r="E271" s="9" t="s">
        <v>10165</v>
      </c>
      <c r="F271" s="5">
        <v>1</v>
      </c>
      <c r="G271" s="9" t="s">
        <v>10167</v>
      </c>
      <c r="H271" s="9" t="s">
        <v>10420</v>
      </c>
      <c r="I271" s="9"/>
      <c r="J271" s="9" t="s">
        <v>10159</v>
      </c>
      <c r="K271" s="9" t="s">
        <v>10421</v>
      </c>
      <c r="L271" s="9" t="str">
        <f>HYPERLINK("https://seichotoushi-hojo.jp/assets/pdf/koufu/outline_52.pdf","PDFを開く")</f>
        <v>PDFを開く</v>
      </c>
      <c r="M271" s="9" t="s">
        <v>1035</v>
      </c>
    </row>
    <row r="272" spans="1:13" ht="66" customHeight="1">
      <c r="A272" s="2" t="s">
        <v>1036</v>
      </c>
      <c r="B272" s="2" t="s">
        <v>73</v>
      </c>
      <c r="C272" s="8" t="s">
        <v>1037</v>
      </c>
      <c r="D272" s="2">
        <v>1</v>
      </c>
      <c r="E272" s="8" t="s">
        <v>10156</v>
      </c>
      <c r="F272" s="2">
        <v>4</v>
      </c>
      <c r="G272" s="8" t="s">
        <v>8581</v>
      </c>
      <c r="H272" s="8" t="s">
        <v>8581</v>
      </c>
      <c r="I272" s="8"/>
      <c r="J272" s="8" t="s">
        <v>10159</v>
      </c>
      <c r="K272" s="8" t="s">
        <v>1041</v>
      </c>
      <c r="L272" s="8" t="str">
        <f>HYPERLINK("https://seichotoushi-hojo.jp/assets/pdf/koufu/outline_53.pdf","PDFを開く")</f>
        <v>PDFを開く</v>
      </c>
      <c r="M272" s="8" t="s">
        <v>1043</v>
      </c>
    </row>
    <row r="273" spans="1:13" ht="66" customHeight="1">
      <c r="A273" s="5" t="s">
        <v>1036</v>
      </c>
      <c r="B273" s="5" t="s">
        <v>73</v>
      </c>
      <c r="C273" s="9" t="s">
        <v>1037</v>
      </c>
      <c r="D273" s="5">
        <v>2</v>
      </c>
      <c r="E273" s="9" t="s">
        <v>10165</v>
      </c>
      <c r="F273" s="5">
        <v>1</v>
      </c>
      <c r="G273" s="9" t="s">
        <v>10167</v>
      </c>
      <c r="H273" s="9" t="s">
        <v>3504</v>
      </c>
      <c r="I273" s="9"/>
      <c r="J273" s="9" t="s">
        <v>10159</v>
      </c>
      <c r="K273" s="9" t="s">
        <v>10186</v>
      </c>
      <c r="L273" s="9" t="str">
        <f>HYPERLINK("https://seichotoushi-hojo.jp/assets/pdf/koufu/outline_53.pdf","PDFを開く")</f>
        <v>PDFを開く</v>
      </c>
      <c r="M273" s="9" t="s">
        <v>1043</v>
      </c>
    </row>
    <row r="274" spans="1:13" ht="66" customHeight="1">
      <c r="A274" s="2" t="s">
        <v>1044</v>
      </c>
      <c r="B274" s="2" t="s">
        <v>73</v>
      </c>
      <c r="C274" s="8" t="s">
        <v>1045</v>
      </c>
      <c r="D274" s="2">
        <v>1</v>
      </c>
      <c r="E274" s="8" t="s">
        <v>10422</v>
      </c>
      <c r="F274" s="2">
        <v>1</v>
      </c>
      <c r="G274" s="8" t="s">
        <v>10167</v>
      </c>
      <c r="H274" s="8" t="s">
        <v>10423</v>
      </c>
      <c r="I274" s="8"/>
      <c r="J274" s="8" t="s">
        <v>10159</v>
      </c>
      <c r="K274" s="8" t="s">
        <v>10424</v>
      </c>
      <c r="L274" s="8" t="str">
        <f>HYPERLINK("https://seichotoushi-hojo.jp/assets/pdf/koufu/outline_55.pdf","PDFを開く")</f>
        <v>PDFを開く</v>
      </c>
      <c r="M274" s="8" t="s">
        <v>1053</v>
      </c>
    </row>
    <row r="275" spans="1:13" ht="66" customHeight="1">
      <c r="A275" s="5" t="s">
        <v>1044</v>
      </c>
      <c r="B275" s="5" t="s">
        <v>73</v>
      </c>
      <c r="C275" s="9" t="s">
        <v>1045</v>
      </c>
      <c r="D275" s="5">
        <v>1</v>
      </c>
      <c r="E275" s="9" t="s">
        <v>10422</v>
      </c>
      <c r="F275" s="5">
        <v>2</v>
      </c>
      <c r="G275" s="9" t="s">
        <v>10167</v>
      </c>
      <c r="H275" s="9" t="s">
        <v>10425</v>
      </c>
      <c r="I275" s="9"/>
      <c r="J275" s="9" t="s">
        <v>10159</v>
      </c>
      <c r="K275" s="9" t="s">
        <v>10426</v>
      </c>
      <c r="L275" s="9" t="str">
        <f>HYPERLINK("https://seichotoushi-hojo.jp/assets/pdf/koufu/outline_55.pdf","PDFを開く")</f>
        <v>PDFを開く</v>
      </c>
      <c r="M275" s="9" t="s">
        <v>1053</v>
      </c>
    </row>
    <row r="276" spans="1:13" ht="66" customHeight="1">
      <c r="A276" s="2" t="s">
        <v>1044</v>
      </c>
      <c r="B276" s="2" t="s">
        <v>73</v>
      </c>
      <c r="C276" s="8" t="s">
        <v>1045</v>
      </c>
      <c r="D276" s="2">
        <v>1</v>
      </c>
      <c r="E276" s="8" t="s">
        <v>10422</v>
      </c>
      <c r="F276" s="2">
        <v>3</v>
      </c>
      <c r="G276" s="8" t="s">
        <v>10167</v>
      </c>
      <c r="H276" s="8" t="s">
        <v>10427</v>
      </c>
      <c r="I276" s="8"/>
      <c r="J276" s="8" t="s">
        <v>10159</v>
      </c>
      <c r="K276" s="8" t="s">
        <v>10428</v>
      </c>
      <c r="L276" s="8" t="str">
        <f>HYPERLINK("https://seichotoushi-hojo.jp/assets/pdf/koufu/outline_55.pdf","PDFを開く")</f>
        <v>PDFを開く</v>
      </c>
      <c r="M276" s="8" t="s">
        <v>1053</v>
      </c>
    </row>
    <row r="277" spans="1:13" ht="66" customHeight="1">
      <c r="A277" s="5" t="s">
        <v>1054</v>
      </c>
      <c r="B277" s="5" t="s">
        <v>73</v>
      </c>
      <c r="C277" s="9" t="s">
        <v>1055</v>
      </c>
      <c r="D277" s="5">
        <v>1</v>
      </c>
      <c r="E277" s="9" t="s">
        <v>10156</v>
      </c>
      <c r="F277" s="5">
        <v>4</v>
      </c>
      <c r="G277" s="9" t="s">
        <v>8581</v>
      </c>
      <c r="H277" s="9" t="s">
        <v>8581</v>
      </c>
      <c r="I277" s="9"/>
      <c r="J277" s="9" t="s">
        <v>10159</v>
      </c>
      <c r="K277" s="9" t="s">
        <v>1059</v>
      </c>
      <c r="L277" s="9" t="str">
        <f>HYPERLINK("https://seichotoushi-hojo.jp/assets/pdf/koufu/outline_56.pdf","PDFを開く")</f>
        <v>PDFを開く</v>
      </c>
      <c r="M277" s="9" t="s">
        <v>1062</v>
      </c>
    </row>
    <row r="278" spans="1:13" ht="66" customHeight="1">
      <c r="A278" s="2" t="s">
        <v>1054</v>
      </c>
      <c r="B278" s="2" t="s">
        <v>73</v>
      </c>
      <c r="C278" s="8" t="s">
        <v>1055</v>
      </c>
      <c r="D278" s="2">
        <v>3</v>
      </c>
      <c r="E278" s="8" t="s">
        <v>10165</v>
      </c>
      <c r="F278" s="2">
        <v>1</v>
      </c>
      <c r="G278" s="8" t="s">
        <v>10167</v>
      </c>
      <c r="H278" s="8" t="s">
        <v>10429</v>
      </c>
      <c r="I278" s="8"/>
      <c r="J278" s="8" t="s">
        <v>10159</v>
      </c>
      <c r="K278" s="8" t="s">
        <v>10430</v>
      </c>
      <c r="L278" s="8" t="str">
        <f>HYPERLINK("https://seichotoushi-hojo.jp/assets/pdf/koufu/outline_56.pdf","PDFを開く")</f>
        <v>PDFを開く</v>
      </c>
      <c r="M278" s="8" t="s">
        <v>1062</v>
      </c>
    </row>
    <row r="279" spans="1:13" ht="66" customHeight="1">
      <c r="A279" s="5" t="s">
        <v>1063</v>
      </c>
      <c r="B279" s="5" t="s">
        <v>73</v>
      </c>
      <c r="C279" s="9" t="s">
        <v>1064</v>
      </c>
      <c r="D279" s="5">
        <v>1</v>
      </c>
      <c r="E279" s="9" t="s">
        <v>10156</v>
      </c>
      <c r="F279" s="5">
        <v>1</v>
      </c>
      <c r="G279" s="9" t="s">
        <v>10157</v>
      </c>
      <c r="H279" s="9" t="s">
        <v>10157</v>
      </c>
      <c r="I279" s="9"/>
      <c r="J279" s="9" t="s">
        <v>10159</v>
      </c>
      <c r="K279" s="9" t="s">
        <v>8179</v>
      </c>
      <c r="L279" s="9" t="str">
        <f>HYPERLINK("https://seichotoushi-hojo.jp/assets/pdf/koufu/outline_58.pdf","PDFを開く")</f>
        <v>PDFを開く</v>
      </c>
      <c r="M279" s="9" t="s">
        <v>1070</v>
      </c>
    </row>
    <row r="280" spans="1:13" ht="66" customHeight="1">
      <c r="A280" s="2" t="s">
        <v>1063</v>
      </c>
      <c r="B280" s="2" t="s">
        <v>73</v>
      </c>
      <c r="C280" s="8" t="s">
        <v>1064</v>
      </c>
      <c r="D280" s="2">
        <v>1</v>
      </c>
      <c r="E280" s="8" t="s">
        <v>10156</v>
      </c>
      <c r="F280" s="2">
        <v>5</v>
      </c>
      <c r="G280" s="8" t="s">
        <v>8581</v>
      </c>
      <c r="H280" s="8" t="s">
        <v>8581</v>
      </c>
      <c r="I280" s="8"/>
      <c r="J280" s="8" t="s">
        <v>10159</v>
      </c>
      <c r="K280" s="8" t="s">
        <v>8183</v>
      </c>
      <c r="L280" s="8" t="str">
        <f>HYPERLINK("https://seichotoushi-hojo.jp/assets/pdf/koufu/outline_58.pdf","PDFを開く")</f>
        <v>PDFを開く</v>
      </c>
      <c r="M280" s="8" t="s">
        <v>1070</v>
      </c>
    </row>
    <row r="281" spans="1:13" ht="66" customHeight="1">
      <c r="A281" s="5" t="s">
        <v>1063</v>
      </c>
      <c r="B281" s="5" t="s">
        <v>73</v>
      </c>
      <c r="C281" s="9" t="s">
        <v>1064</v>
      </c>
      <c r="D281" s="5">
        <v>2</v>
      </c>
      <c r="E281" s="9" t="s">
        <v>10165</v>
      </c>
      <c r="F281" s="5">
        <v>1</v>
      </c>
      <c r="G281" s="9" t="s">
        <v>10184</v>
      </c>
      <c r="H281" s="9" t="s">
        <v>10184</v>
      </c>
      <c r="I281" s="9"/>
      <c r="J281" s="9" t="s">
        <v>10181</v>
      </c>
      <c r="K281" s="9" t="s">
        <v>10431</v>
      </c>
      <c r="L281" s="9" t="str">
        <f>HYPERLINK("https://seichotoushi-hojo.jp/assets/pdf/koufu/outline_58.pdf","PDFを開く")</f>
        <v>PDFを開く</v>
      </c>
      <c r="M281" s="9" t="s">
        <v>1070</v>
      </c>
    </row>
    <row r="282" spans="1:13" ht="66" customHeight="1">
      <c r="A282" s="2" t="s">
        <v>1071</v>
      </c>
      <c r="B282" s="2" t="s">
        <v>73</v>
      </c>
      <c r="C282" s="8" t="s">
        <v>1072</v>
      </c>
      <c r="D282" s="2">
        <v>1</v>
      </c>
      <c r="E282" s="8" t="s">
        <v>10422</v>
      </c>
      <c r="F282" s="2">
        <v>1</v>
      </c>
      <c r="G282" s="8" t="s">
        <v>10167</v>
      </c>
      <c r="H282" s="8" t="s">
        <v>10212</v>
      </c>
      <c r="I282" s="8" t="s">
        <v>10158</v>
      </c>
      <c r="J282" s="8" t="s">
        <v>10159</v>
      </c>
      <c r="K282" s="8" t="s">
        <v>10432</v>
      </c>
      <c r="L282" s="8" t="str">
        <f t="shared" ref="L282:L287" si="8">HYPERLINK("https://seichotoushi-hojo.jp/assets/pdf/koufu/outline_61.pdf","PDFを開く")</f>
        <v>PDFを開く</v>
      </c>
      <c r="M282" s="8" t="s">
        <v>1079</v>
      </c>
    </row>
    <row r="283" spans="1:13" ht="66" customHeight="1">
      <c r="A283" s="5" t="s">
        <v>1071</v>
      </c>
      <c r="B283" s="5" t="s">
        <v>73</v>
      </c>
      <c r="C283" s="9" t="s">
        <v>1072</v>
      </c>
      <c r="D283" s="5">
        <v>1</v>
      </c>
      <c r="E283" s="9" t="s">
        <v>10422</v>
      </c>
      <c r="F283" s="5">
        <v>2</v>
      </c>
      <c r="G283" s="9" t="s">
        <v>10167</v>
      </c>
      <c r="H283" s="9" t="s">
        <v>10433</v>
      </c>
      <c r="I283" s="9"/>
      <c r="J283" s="9" t="s">
        <v>10159</v>
      </c>
      <c r="K283" s="9" t="s">
        <v>10434</v>
      </c>
      <c r="L283" s="9" t="str">
        <f t="shared" si="8"/>
        <v>PDFを開く</v>
      </c>
      <c r="M283" s="9" t="s">
        <v>1079</v>
      </c>
    </row>
    <row r="284" spans="1:13" ht="66" customHeight="1">
      <c r="A284" s="2" t="s">
        <v>1071</v>
      </c>
      <c r="B284" s="2" t="s">
        <v>73</v>
      </c>
      <c r="C284" s="8" t="s">
        <v>1072</v>
      </c>
      <c r="D284" s="2">
        <v>1</v>
      </c>
      <c r="E284" s="8" t="s">
        <v>10422</v>
      </c>
      <c r="F284" s="2">
        <v>3</v>
      </c>
      <c r="G284" s="8" t="s">
        <v>10167</v>
      </c>
      <c r="H284" s="8" t="s">
        <v>10435</v>
      </c>
      <c r="I284" s="8"/>
      <c r="J284" s="8" t="s">
        <v>10159</v>
      </c>
      <c r="K284" s="8" t="s">
        <v>10436</v>
      </c>
      <c r="L284" s="8" t="str">
        <f t="shared" si="8"/>
        <v>PDFを開く</v>
      </c>
      <c r="M284" s="8" t="s">
        <v>1079</v>
      </c>
    </row>
    <row r="285" spans="1:13" ht="66" customHeight="1">
      <c r="A285" s="5" t="s">
        <v>1071</v>
      </c>
      <c r="B285" s="5" t="s">
        <v>73</v>
      </c>
      <c r="C285" s="9" t="s">
        <v>1072</v>
      </c>
      <c r="D285" s="5">
        <v>1</v>
      </c>
      <c r="E285" s="9" t="s">
        <v>10422</v>
      </c>
      <c r="F285" s="5">
        <v>4</v>
      </c>
      <c r="G285" s="9" t="s">
        <v>10167</v>
      </c>
      <c r="H285" s="9" t="s">
        <v>10437</v>
      </c>
      <c r="I285" s="9"/>
      <c r="J285" s="9" t="s">
        <v>10159</v>
      </c>
      <c r="K285" s="9" t="s">
        <v>10438</v>
      </c>
      <c r="L285" s="9" t="str">
        <f t="shared" si="8"/>
        <v>PDFを開く</v>
      </c>
      <c r="M285" s="9" t="s">
        <v>1079</v>
      </c>
    </row>
    <row r="286" spans="1:13" ht="66" customHeight="1">
      <c r="A286" s="2" t="s">
        <v>1071</v>
      </c>
      <c r="B286" s="2" t="s">
        <v>73</v>
      </c>
      <c r="C286" s="8" t="s">
        <v>1072</v>
      </c>
      <c r="D286" s="2">
        <v>1</v>
      </c>
      <c r="E286" s="8" t="s">
        <v>10422</v>
      </c>
      <c r="F286" s="2">
        <v>5</v>
      </c>
      <c r="G286" s="8" t="s">
        <v>10167</v>
      </c>
      <c r="H286" s="8" t="s">
        <v>10439</v>
      </c>
      <c r="I286" s="8"/>
      <c r="J286" s="8" t="s">
        <v>10159</v>
      </c>
      <c r="K286" s="8" t="s">
        <v>10440</v>
      </c>
      <c r="L286" s="8" t="str">
        <f t="shared" si="8"/>
        <v>PDFを開く</v>
      </c>
      <c r="M286" s="8" t="s">
        <v>1079</v>
      </c>
    </row>
    <row r="287" spans="1:13" ht="66" customHeight="1">
      <c r="A287" s="5" t="s">
        <v>1071</v>
      </c>
      <c r="B287" s="5" t="s">
        <v>73</v>
      </c>
      <c r="C287" s="9" t="s">
        <v>1072</v>
      </c>
      <c r="D287" s="5">
        <v>2</v>
      </c>
      <c r="E287" s="9" t="s">
        <v>10422</v>
      </c>
      <c r="F287" s="5">
        <v>1</v>
      </c>
      <c r="G287" s="9" t="s">
        <v>10167</v>
      </c>
      <c r="H287" s="9" t="s">
        <v>10212</v>
      </c>
      <c r="I287" s="9" t="s">
        <v>10158</v>
      </c>
      <c r="J287" s="9" t="s">
        <v>10159</v>
      </c>
      <c r="K287" s="9" t="s">
        <v>10441</v>
      </c>
      <c r="L287" s="9" t="str">
        <f t="shared" si="8"/>
        <v>PDFを開く</v>
      </c>
      <c r="M287" s="9" t="s">
        <v>1079</v>
      </c>
    </row>
    <row r="288" spans="1:13" ht="66" customHeight="1">
      <c r="A288" s="2" t="s">
        <v>1080</v>
      </c>
      <c r="B288" s="2" t="s">
        <v>73</v>
      </c>
      <c r="C288" s="8" t="s">
        <v>1081</v>
      </c>
      <c r="D288" s="2">
        <v>1</v>
      </c>
      <c r="E288" s="8" t="s">
        <v>10156</v>
      </c>
      <c r="F288" s="2">
        <v>4</v>
      </c>
      <c r="G288" s="8" t="s">
        <v>8581</v>
      </c>
      <c r="H288" s="8" t="s">
        <v>8581</v>
      </c>
      <c r="I288" s="8"/>
      <c r="J288" s="8" t="s">
        <v>10159</v>
      </c>
      <c r="K288" s="8" t="s">
        <v>1085</v>
      </c>
      <c r="L288" s="8" t="str">
        <f>HYPERLINK("https://seichotoushi-hojo.jp/assets/pdf/koufu/outline_62.pdf","PDFを開く")</f>
        <v>PDFを開く</v>
      </c>
      <c r="M288" s="8" t="s">
        <v>1087</v>
      </c>
    </row>
    <row r="289" spans="1:13" ht="66" customHeight="1">
      <c r="A289" s="5" t="s">
        <v>1088</v>
      </c>
      <c r="B289" s="5" t="s">
        <v>73</v>
      </c>
      <c r="C289" s="9" t="s">
        <v>1089</v>
      </c>
      <c r="D289" s="5">
        <v>1</v>
      </c>
      <c r="E289" s="9" t="s">
        <v>10156</v>
      </c>
      <c r="F289" s="5">
        <v>4</v>
      </c>
      <c r="G289" s="9" t="s">
        <v>8581</v>
      </c>
      <c r="H289" s="9" t="s">
        <v>8581</v>
      </c>
      <c r="I289" s="9"/>
      <c r="J289" s="9" t="s">
        <v>10159</v>
      </c>
      <c r="K289" s="9" t="s">
        <v>1092</v>
      </c>
      <c r="L289" s="9" t="str">
        <f>HYPERLINK("https://seichotoushi-hojo.jp/assets/pdf/koufu/outline_63.pdf","PDFを開く")</f>
        <v>PDFを開く</v>
      </c>
      <c r="M289" s="9" t="s">
        <v>1095</v>
      </c>
    </row>
    <row r="290" spans="1:13" ht="66" customHeight="1">
      <c r="A290" s="2" t="s">
        <v>1088</v>
      </c>
      <c r="B290" s="2" t="s">
        <v>73</v>
      </c>
      <c r="C290" s="8" t="s">
        <v>1089</v>
      </c>
      <c r="D290" s="2">
        <v>2</v>
      </c>
      <c r="E290" s="8" t="s">
        <v>10165</v>
      </c>
      <c r="F290" s="2">
        <v>1</v>
      </c>
      <c r="G290" s="8" t="s">
        <v>10157</v>
      </c>
      <c r="H290" s="8" t="s">
        <v>10157</v>
      </c>
      <c r="I290" s="8" t="s">
        <v>10158</v>
      </c>
      <c r="J290" s="8" t="s">
        <v>10159</v>
      </c>
      <c r="K290" s="8" t="s">
        <v>8196</v>
      </c>
      <c r="L290" s="8" t="str">
        <f>HYPERLINK("https://seichotoushi-hojo.jp/assets/pdf/koufu/outline_63.pdf","PDFを開く")</f>
        <v>PDFを開く</v>
      </c>
      <c r="M290" s="8" t="s">
        <v>1095</v>
      </c>
    </row>
    <row r="291" spans="1:13" ht="66" customHeight="1">
      <c r="A291" s="5" t="s">
        <v>1096</v>
      </c>
      <c r="B291" s="5" t="s">
        <v>73</v>
      </c>
      <c r="C291" s="9" t="s">
        <v>1097</v>
      </c>
      <c r="D291" s="5">
        <v>1</v>
      </c>
      <c r="E291" s="9" t="s">
        <v>10156</v>
      </c>
      <c r="F291" s="5">
        <v>4</v>
      </c>
      <c r="G291" s="9" t="s">
        <v>8581</v>
      </c>
      <c r="H291" s="9" t="s">
        <v>8581</v>
      </c>
      <c r="I291" s="9"/>
      <c r="J291" s="9" t="s">
        <v>10159</v>
      </c>
      <c r="K291" s="9" t="s">
        <v>1101</v>
      </c>
      <c r="L291" s="9" t="str">
        <f>HYPERLINK("https://seichotoushi-hojo.jp/assets/pdf/koufu/outline_65.pdf","PDFを開く")</f>
        <v>PDFを開く</v>
      </c>
      <c r="M291" s="9" t="s">
        <v>1103</v>
      </c>
    </row>
    <row r="292" spans="1:13" ht="66" customHeight="1">
      <c r="A292" s="2" t="s">
        <v>1104</v>
      </c>
      <c r="B292" s="2" t="s">
        <v>73</v>
      </c>
      <c r="C292" s="8" t="s">
        <v>1105</v>
      </c>
      <c r="D292" s="2">
        <v>1</v>
      </c>
      <c r="E292" s="8" t="s">
        <v>10156</v>
      </c>
      <c r="F292" s="2">
        <v>4</v>
      </c>
      <c r="G292" s="8" t="s">
        <v>8581</v>
      </c>
      <c r="H292" s="8" t="s">
        <v>8581</v>
      </c>
      <c r="I292" s="8"/>
      <c r="J292" s="8" t="s">
        <v>10159</v>
      </c>
      <c r="K292" s="8" t="s">
        <v>1109</v>
      </c>
      <c r="L292" s="8" t="str">
        <f>HYPERLINK("https://seichotoushi-hojo.jp/assets/pdf/koufu/outline_66.pdf","PDFを開く")</f>
        <v>PDFを開く</v>
      </c>
      <c r="M292" s="8" t="s">
        <v>1112</v>
      </c>
    </row>
    <row r="293" spans="1:13" ht="66" customHeight="1">
      <c r="A293" s="5" t="s">
        <v>1113</v>
      </c>
      <c r="B293" s="5" t="s">
        <v>73</v>
      </c>
      <c r="C293" s="9" t="s">
        <v>1114</v>
      </c>
      <c r="D293" s="5">
        <v>1</v>
      </c>
      <c r="E293" s="9" t="s">
        <v>10156</v>
      </c>
      <c r="F293" s="5">
        <v>1</v>
      </c>
      <c r="G293" s="9" t="s">
        <v>10157</v>
      </c>
      <c r="H293" s="9" t="s">
        <v>10157</v>
      </c>
      <c r="I293" s="9" t="s">
        <v>10158</v>
      </c>
      <c r="J293" s="9" t="s">
        <v>10159</v>
      </c>
      <c r="K293" s="9" t="s">
        <v>8218</v>
      </c>
      <c r="L293" s="9" t="str">
        <f>HYPERLINK("https://seichotoushi-hojo.jp/assets/pdf/koufu/outline_67.pdf","PDFを開く")</f>
        <v>PDFを開く</v>
      </c>
      <c r="M293" s="9" t="s">
        <v>1119</v>
      </c>
    </row>
    <row r="294" spans="1:13" ht="66" customHeight="1">
      <c r="A294" s="2" t="s">
        <v>1113</v>
      </c>
      <c r="B294" s="2" t="s">
        <v>73</v>
      </c>
      <c r="C294" s="8" t="s">
        <v>1114</v>
      </c>
      <c r="D294" s="2">
        <v>1</v>
      </c>
      <c r="E294" s="8" t="s">
        <v>10156</v>
      </c>
      <c r="F294" s="2">
        <v>5</v>
      </c>
      <c r="G294" s="8" t="s">
        <v>8581</v>
      </c>
      <c r="H294" s="8" t="s">
        <v>8581</v>
      </c>
      <c r="I294" s="8"/>
      <c r="J294" s="8" t="s">
        <v>10159</v>
      </c>
      <c r="K294" s="8" t="s">
        <v>1117</v>
      </c>
      <c r="L294" s="8" t="str">
        <f>HYPERLINK("https://seichotoushi-hojo.jp/assets/pdf/koufu/outline_67.pdf","PDFを開く")</f>
        <v>PDFを開く</v>
      </c>
      <c r="M294" s="8" t="s">
        <v>1119</v>
      </c>
    </row>
    <row r="295" spans="1:13" ht="66" customHeight="1">
      <c r="A295" s="5" t="s">
        <v>1113</v>
      </c>
      <c r="B295" s="5" t="s">
        <v>73</v>
      </c>
      <c r="C295" s="9" t="s">
        <v>1114</v>
      </c>
      <c r="D295" s="5">
        <v>2</v>
      </c>
      <c r="E295" s="9" t="s">
        <v>10165</v>
      </c>
      <c r="F295" s="5">
        <v>1</v>
      </c>
      <c r="G295" s="9" t="s">
        <v>10184</v>
      </c>
      <c r="H295" s="9" t="s">
        <v>10184</v>
      </c>
      <c r="I295" s="9"/>
      <c r="J295" s="9" t="s">
        <v>10181</v>
      </c>
      <c r="K295" s="9" t="s">
        <v>10444</v>
      </c>
      <c r="L295" s="9" t="str">
        <f>HYPERLINK("https://seichotoushi-hojo.jp/assets/pdf/koufu/outline_67.pdf","PDFを開く")</f>
        <v>PDFを開く</v>
      </c>
      <c r="M295" s="9" t="s">
        <v>1119</v>
      </c>
    </row>
    <row r="296" spans="1:13" ht="66" customHeight="1">
      <c r="A296" s="2" t="s">
        <v>1120</v>
      </c>
      <c r="B296" s="2" t="s">
        <v>73</v>
      </c>
      <c r="C296" s="8" t="s">
        <v>1121</v>
      </c>
      <c r="D296" s="2">
        <v>1</v>
      </c>
      <c r="E296" s="8" t="s">
        <v>10156</v>
      </c>
      <c r="F296" s="2">
        <v>4</v>
      </c>
      <c r="G296" s="8" t="s">
        <v>8581</v>
      </c>
      <c r="H296" s="8" t="s">
        <v>8581</v>
      </c>
      <c r="I296" s="8"/>
      <c r="J296" s="8" t="s">
        <v>10159</v>
      </c>
      <c r="K296" s="8" t="s">
        <v>1124</v>
      </c>
      <c r="L296" s="8" t="str">
        <f>HYPERLINK("https://seichotoushi-hojo.jp/assets/pdf/koufu/outline_68.pdf","PDFを開く")</f>
        <v>PDFを開く</v>
      </c>
      <c r="M296" s="8" t="s">
        <v>1126</v>
      </c>
    </row>
    <row r="297" spans="1:13" ht="66" customHeight="1">
      <c r="A297" s="5" t="s">
        <v>1127</v>
      </c>
      <c r="B297" s="5" t="s">
        <v>73</v>
      </c>
      <c r="C297" s="9" t="s">
        <v>1128</v>
      </c>
      <c r="D297" s="5">
        <v>1</v>
      </c>
      <c r="E297" s="9" t="s">
        <v>10156</v>
      </c>
      <c r="F297" s="5">
        <v>4</v>
      </c>
      <c r="G297" s="9" t="s">
        <v>8581</v>
      </c>
      <c r="H297" s="9" t="s">
        <v>8581</v>
      </c>
      <c r="I297" s="9"/>
      <c r="J297" s="9" t="s">
        <v>10159</v>
      </c>
      <c r="K297" s="9" t="s">
        <v>1131</v>
      </c>
      <c r="L297" s="9" t="str">
        <f>HYPERLINK("https://seichotoushi-hojo.jp/assets/pdf/koufu/outline_69.pdf","PDFを開く")</f>
        <v>PDFを開く</v>
      </c>
      <c r="M297" s="9" t="s">
        <v>1134</v>
      </c>
    </row>
    <row r="298" spans="1:13" ht="66" customHeight="1">
      <c r="A298" s="2" t="s">
        <v>1135</v>
      </c>
      <c r="B298" s="2" t="s">
        <v>73</v>
      </c>
      <c r="C298" s="8" t="s">
        <v>1136</v>
      </c>
      <c r="D298" s="2">
        <v>1</v>
      </c>
      <c r="E298" s="8" t="s">
        <v>10156</v>
      </c>
      <c r="F298" s="2">
        <v>4</v>
      </c>
      <c r="G298" s="8" t="s">
        <v>8581</v>
      </c>
      <c r="H298" s="8" t="s">
        <v>8581</v>
      </c>
      <c r="I298" s="8"/>
      <c r="J298" s="8" t="s">
        <v>10159</v>
      </c>
      <c r="K298" s="8" t="s">
        <v>8243</v>
      </c>
      <c r="L298" s="8" t="str">
        <f>HYPERLINK("https://seichotoushi-hojo.jp/assets/pdf/koufu/outline_7.pdf","PDFを開く")</f>
        <v>PDFを開く</v>
      </c>
      <c r="M298" s="8" t="s">
        <v>1145</v>
      </c>
    </row>
    <row r="299" spans="1:13" ht="66" customHeight="1">
      <c r="A299" s="5" t="s">
        <v>1146</v>
      </c>
      <c r="B299" s="5" t="s">
        <v>73</v>
      </c>
      <c r="C299" s="9" t="s">
        <v>1147</v>
      </c>
      <c r="D299" s="5">
        <v>1</v>
      </c>
      <c r="E299" s="9" t="s">
        <v>10156</v>
      </c>
      <c r="F299" s="5">
        <v>1</v>
      </c>
      <c r="G299" s="9" t="s">
        <v>10157</v>
      </c>
      <c r="H299" s="9" t="s">
        <v>10157</v>
      </c>
      <c r="I299" s="9" t="s">
        <v>10158</v>
      </c>
      <c r="J299" s="9" t="s">
        <v>10159</v>
      </c>
      <c r="K299" s="9" t="s">
        <v>10445</v>
      </c>
      <c r="L299" s="9" t="str">
        <f>HYPERLINK("https://seichotoushi-hojo.jp/assets/pdf/koufu/outline_70.pdf","PDFを開く")</f>
        <v>PDFを開く</v>
      </c>
      <c r="M299" s="9" t="s">
        <v>1153</v>
      </c>
    </row>
    <row r="300" spans="1:13" ht="66" customHeight="1">
      <c r="A300" s="2" t="s">
        <v>1146</v>
      </c>
      <c r="B300" s="2" t="s">
        <v>73</v>
      </c>
      <c r="C300" s="8" t="s">
        <v>1147</v>
      </c>
      <c r="D300" s="2">
        <v>1</v>
      </c>
      <c r="E300" s="8" t="s">
        <v>10156</v>
      </c>
      <c r="F300" s="2">
        <v>5</v>
      </c>
      <c r="G300" s="8" t="s">
        <v>8581</v>
      </c>
      <c r="H300" s="8" t="s">
        <v>8581</v>
      </c>
      <c r="I300" s="8"/>
      <c r="J300" s="8" t="s">
        <v>10159</v>
      </c>
      <c r="K300" s="8" t="s">
        <v>1150</v>
      </c>
      <c r="L300" s="8" t="str">
        <f>HYPERLINK("https://seichotoushi-hojo.jp/assets/pdf/koufu/outline_70.pdf","PDFを開く")</f>
        <v>PDFを開く</v>
      </c>
      <c r="M300" s="8" t="s">
        <v>1153</v>
      </c>
    </row>
    <row r="301" spans="1:13" ht="66" customHeight="1">
      <c r="A301" s="5" t="s">
        <v>1146</v>
      </c>
      <c r="B301" s="5" t="s">
        <v>73</v>
      </c>
      <c r="C301" s="9" t="s">
        <v>1147</v>
      </c>
      <c r="D301" s="5">
        <v>1</v>
      </c>
      <c r="E301" s="9" t="s">
        <v>10156</v>
      </c>
      <c r="F301" s="5">
        <v>6</v>
      </c>
      <c r="G301" s="9" t="s">
        <v>10167</v>
      </c>
      <c r="H301" s="9" t="s">
        <v>10446</v>
      </c>
      <c r="I301" s="9"/>
      <c r="J301" s="9" t="s">
        <v>10159</v>
      </c>
      <c r="K301" s="9" t="s">
        <v>10447</v>
      </c>
      <c r="L301" s="9" t="str">
        <f>HYPERLINK("https://seichotoushi-hojo.jp/assets/pdf/koufu/outline_70.pdf","PDFを開く")</f>
        <v>PDFを開く</v>
      </c>
      <c r="M301" s="9" t="s">
        <v>1153</v>
      </c>
    </row>
    <row r="302" spans="1:13" ht="66" customHeight="1">
      <c r="A302" s="2" t="s">
        <v>1146</v>
      </c>
      <c r="B302" s="2" t="s">
        <v>73</v>
      </c>
      <c r="C302" s="8" t="s">
        <v>1147</v>
      </c>
      <c r="D302" s="2">
        <v>2</v>
      </c>
      <c r="E302" s="8" t="s">
        <v>10165</v>
      </c>
      <c r="F302" s="2">
        <v>1</v>
      </c>
      <c r="G302" s="8" t="s">
        <v>10157</v>
      </c>
      <c r="H302" s="8" t="s">
        <v>10157</v>
      </c>
      <c r="I302" s="8" t="s">
        <v>10158</v>
      </c>
      <c r="J302" s="8" t="s">
        <v>10159</v>
      </c>
      <c r="K302" s="8" t="s">
        <v>10448</v>
      </c>
      <c r="L302" s="8" t="str">
        <f>HYPERLINK("https://seichotoushi-hojo.jp/assets/pdf/koufu/outline_70.pdf","PDFを開く")</f>
        <v>PDFを開く</v>
      </c>
      <c r="M302" s="8" t="s">
        <v>1153</v>
      </c>
    </row>
    <row r="303" spans="1:13" ht="66" customHeight="1">
      <c r="A303" s="5" t="s">
        <v>1154</v>
      </c>
      <c r="B303" s="5" t="s">
        <v>73</v>
      </c>
      <c r="C303" s="9" t="s">
        <v>1155</v>
      </c>
      <c r="D303" s="5">
        <v>1</v>
      </c>
      <c r="E303" s="9" t="s">
        <v>10156</v>
      </c>
      <c r="F303" s="5">
        <v>4</v>
      </c>
      <c r="G303" s="9" t="s">
        <v>8581</v>
      </c>
      <c r="H303" s="9" t="s">
        <v>8581</v>
      </c>
      <c r="I303" s="9"/>
      <c r="J303" s="9" t="s">
        <v>10159</v>
      </c>
      <c r="K303" s="9" t="s">
        <v>1158</v>
      </c>
      <c r="L303" s="9" t="str">
        <f>HYPERLINK("https://seichotoushi-hojo.jp/assets/pdf/koufu/outline_71.pdf","PDFを開く")</f>
        <v>PDFを開く</v>
      </c>
      <c r="M303" s="9" t="s">
        <v>1160</v>
      </c>
    </row>
    <row r="304" spans="1:13" ht="66" customHeight="1">
      <c r="A304" s="2" t="s">
        <v>1161</v>
      </c>
      <c r="B304" s="2" t="s">
        <v>73</v>
      </c>
      <c r="C304" s="8" t="s">
        <v>1162</v>
      </c>
      <c r="D304" s="2">
        <v>1</v>
      </c>
      <c r="E304" s="8" t="s">
        <v>10156</v>
      </c>
      <c r="F304" s="2">
        <v>1</v>
      </c>
      <c r="G304" s="8" t="s">
        <v>10167</v>
      </c>
      <c r="H304" s="8" t="s">
        <v>10449</v>
      </c>
      <c r="I304" s="8"/>
      <c r="J304" s="8" t="s">
        <v>10159</v>
      </c>
      <c r="K304" s="8" t="s">
        <v>10450</v>
      </c>
      <c r="L304" s="8" t="str">
        <f>HYPERLINK("https://seichotoushi-hojo.jp/assets/pdf/koufu/outline_72.pdf","PDFを開く")</f>
        <v>PDFを開く</v>
      </c>
      <c r="M304" s="8" t="s">
        <v>1168</v>
      </c>
    </row>
    <row r="305" spans="1:13" ht="66" customHeight="1">
      <c r="A305" s="5" t="s">
        <v>1161</v>
      </c>
      <c r="B305" s="5" t="s">
        <v>73</v>
      </c>
      <c r="C305" s="9" t="s">
        <v>1162</v>
      </c>
      <c r="D305" s="5">
        <v>1</v>
      </c>
      <c r="E305" s="9" t="s">
        <v>10156</v>
      </c>
      <c r="F305" s="5">
        <v>5</v>
      </c>
      <c r="G305" s="9" t="s">
        <v>8581</v>
      </c>
      <c r="H305" s="9" t="s">
        <v>8581</v>
      </c>
      <c r="I305" s="9"/>
      <c r="J305" s="9" t="s">
        <v>10159</v>
      </c>
      <c r="K305" s="9" t="s">
        <v>1165</v>
      </c>
      <c r="L305" s="9" t="str">
        <f>HYPERLINK("https://seichotoushi-hojo.jp/assets/pdf/koufu/outline_72.pdf","PDFを開く")</f>
        <v>PDFを開く</v>
      </c>
      <c r="M305" s="9" t="s">
        <v>1168</v>
      </c>
    </row>
    <row r="306" spans="1:13" ht="66" customHeight="1">
      <c r="A306" s="2" t="s">
        <v>1169</v>
      </c>
      <c r="B306" s="2" t="s">
        <v>73</v>
      </c>
      <c r="C306" s="8" t="s">
        <v>1170</v>
      </c>
      <c r="D306" s="2">
        <v>1</v>
      </c>
      <c r="E306" s="8" t="s">
        <v>10156</v>
      </c>
      <c r="F306" s="2">
        <v>4</v>
      </c>
      <c r="G306" s="8" t="s">
        <v>8581</v>
      </c>
      <c r="H306" s="8" t="s">
        <v>8581</v>
      </c>
      <c r="I306" s="8"/>
      <c r="J306" s="8" t="s">
        <v>10159</v>
      </c>
      <c r="K306" s="8" t="s">
        <v>1174</v>
      </c>
      <c r="L306" s="8" t="str">
        <f>HYPERLINK("https://seichotoushi-hojo.jp/assets/pdf/koufu/outline_73.pdf","PDFを開く")</f>
        <v>PDFを開く</v>
      </c>
      <c r="M306" s="8" t="s">
        <v>1177</v>
      </c>
    </row>
    <row r="307" spans="1:13" ht="66" customHeight="1">
      <c r="A307" s="5" t="s">
        <v>1178</v>
      </c>
      <c r="B307" s="5" t="s">
        <v>73</v>
      </c>
      <c r="C307" s="9" t="s">
        <v>1179</v>
      </c>
      <c r="D307" s="5">
        <v>1</v>
      </c>
      <c r="E307" s="9" t="s">
        <v>10156</v>
      </c>
      <c r="F307" s="5">
        <v>4</v>
      </c>
      <c r="G307" s="9" t="s">
        <v>8581</v>
      </c>
      <c r="H307" s="9" t="s">
        <v>8581</v>
      </c>
      <c r="I307" s="9"/>
      <c r="J307" s="9" t="s">
        <v>10159</v>
      </c>
      <c r="K307" s="9" t="s">
        <v>1182</v>
      </c>
      <c r="L307" s="9" t="str">
        <f>HYPERLINK("https://seichotoushi-hojo.jp/assets/pdf/koufu/outline_74.pdf","PDFを開く")</f>
        <v>PDFを開く</v>
      </c>
      <c r="M307" s="9" t="s">
        <v>1184</v>
      </c>
    </row>
    <row r="308" spans="1:13" ht="66" customHeight="1">
      <c r="A308" s="2" t="s">
        <v>1185</v>
      </c>
      <c r="B308" s="2" t="s">
        <v>73</v>
      </c>
      <c r="C308" s="8" t="s">
        <v>1186</v>
      </c>
      <c r="D308" s="2">
        <v>1</v>
      </c>
      <c r="E308" s="8" t="s">
        <v>10156</v>
      </c>
      <c r="F308" s="2">
        <v>4</v>
      </c>
      <c r="G308" s="8" t="s">
        <v>8581</v>
      </c>
      <c r="H308" s="8" t="s">
        <v>8581</v>
      </c>
      <c r="I308" s="8"/>
      <c r="J308" s="8" t="s">
        <v>10159</v>
      </c>
      <c r="K308" s="8" t="s">
        <v>1189</v>
      </c>
      <c r="L308" s="8" t="str">
        <f>HYPERLINK("https://seichotoushi-hojo.jp/assets/pdf/koufu/outline_75.pdf","PDFを開く")</f>
        <v>PDFを開く</v>
      </c>
      <c r="M308" s="8" t="s">
        <v>1192</v>
      </c>
    </row>
    <row r="309" spans="1:13" ht="66" customHeight="1">
      <c r="A309" s="5" t="s">
        <v>1193</v>
      </c>
      <c r="B309" s="5" t="s">
        <v>73</v>
      </c>
      <c r="C309" s="9" t="s">
        <v>1194</v>
      </c>
      <c r="D309" s="5">
        <v>3</v>
      </c>
      <c r="E309" s="9" t="s">
        <v>10156</v>
      </c>
      <c r="F309" s="5">
        <v>1</v>
      </c>
      <c r="G309" s="9" t="s">
        <v>10157</v>
      </c>
      <c r="H309" s="9" t="s">
        <v>10157</v>
      </c>
      <c r="I309" s="9"/>
      <c r="J309" s="9" t="s">
        <v>10159</v>
      </c>
      <c r="K309" s="9" t="s">
        <v>10462</v>
      </c>
      <c r="L309" s="9" t="str">
        <f t="shared" ref="L309:L315" si="9">HYPERLINK("https://seichotoushi-hojo.jp/assets/pdf/koufu/outline_76.pdf","PDFを開く")</f>
        <v>PDFを開く</v>
      </c>
      <c r="M309" s="9" t="s">
        <v>1202</v>
      </c>
    </row>
    <row r="310" spans="1:13" ht="66" customHeight="1">
      <c r="A310" s="2" t="s">
        <v>1193</v>
      </c>
      <c r="B310" s="2" t="s">
        <v>73</v>
      </c>
      <c r="C310" s="8" t="s">
        <v>1194</v>
      </c>
      <c r="D310" s="2">
        <v>3</v>
      </c>
      <c r="E310" s="8" t="s">
        <v>10156</v>
      </c>
      <c r="F310" s="2">
        <v>2</v>
      </c>
      <c r="G310" s="8" t="s">
        <v>8581</v>
      </c>
      <c r="H310" s="8" t="s">
        <v>8581</v>
      </c>
      <c r="I310" s="8"/>
      <c r="J310" s="8" t="s">
        <v>10181</v>
      </c>
      <c r="K310" s="8" t="s">
        <v>8295</v>
      </c>
      <c r="L310" s="8" t="str">
        <f t="shared" si="9"/>
        <v>PDFを開く</v>
      </c>
      <c r="M310" s="8" t="s">
        <v>1202</v>
      </c>
    </row>
    <row r="311" spans="1:13" ht="66" customHeight="1">
      <c r="A311" s="5" t="s">
        <v>1193</v>
      </c>
      <c r="B311" s="5" t="s">
        <v>73</v>
      </c>
      <c r="C311" s="9" t="s">
        <v>1194</v>
      </c>
      <c r="D311" s="5">
        <v>3</v>
      </c>
      <c r="E311" s="9" t="s">
        <v>10156</v>
      </c>
      <c r="F311" s="5">
        <v>3</v>
      </c>
      <c r="G311" s="9" t="s">
        <v>10167</v>
      </c>
      <c r="H311" s="9" t="s">
        <v>10463</v>
      </c>
      <c r="I311" s="9"/>
      <c r="J311" s="9" t="s">
        <v>10159</v>
      </c>
      <c r="K311" s="9" t="s">
        <v>10464</v>
      </c>
      <c r="L311" s="9" t="str">
        <f t="shared" si="9"/>
        <v>PDFを開く</v>
      </c>
      <c r="M311" s="9" t="s">
        <v>1202</v>
      </c>
    </row>
    <row r="312" spans="1:13" ht="66" customHeight="1">
      <c r="A312" s="2" t="s">
        <v>1193</v>
      </c>
      <c r="B312" s="2" t="s">
        <v>73</v>
      </c>
      <c r="C312" s="8" t="s">
        <v>1194</v>
      </c>
      <c r="D312" s="2">
        <v>3</v>
      </c>
      <c r="E312" s="8" t="s">
        <v>10156</v>
      </c>
      <c r="F312" s="2">
        <v>4</v>
      </c>
      <c r="G312" s="8" t="s">
        <v>10167</v>
      </c>
      <c r="H312" s="8" t="s">
        <v>10465</v>
      </c>
      <c r="I312" s="8"/>
      <c r="J312" s="8" t="s">
        <v>10159</v>
      </c>
      <c r="K312" s="8" t="s">
        <v>10466</v>
      </c>
      <c r="L312" s="8" t="str">
        <f t="shared" si="9"/>
        <v>PDFを開く</v>
      </c>
      <c r="M312" s="8" t="s">
        <v>1202</v>
      </c>
    </row>
    <row r="313" spans="1:13" ht="66" customHeight="1">
      <c r="A313" s="5" t="s">
        <v>1193</v>
      </c>
      <c r="B313" s="5" t="s">
        <v>73</v>
      </c>
      <c r="C313" s="9" t="s">
        <v>1194</v>
      </c>
      <c r="D313" s="5">
        <v>3</v>
      </c>
      <c r="E313" s="9" t="s">
        <v>10156</v>
      </c>
      <c r="F313" s="5">
        <v>5</v>
      </c>
      <c r="G313" s="9" t="s">
        <v>10167</v>
      </c>
      <c r="H313" s="9" t="s">
        <v>10467</v>
      </c>
      <c r="I313" s="9"/>
      <c r="J313" s="9" t="s">
        <v>10159</v>
      </c>
      <c r="K313" s="9" t="s">
        <v>10468</v>
      </c>
      <c r="L313" s="9" t="str">
        <f t="shared" si="9"/>
        <v>PDFを開く</v>
      </c>
      <c r="M313" s="9" t="s">
        <v>1202</v>
      </c>
    </row>
    <row r="314" spans="1:13" ht="66" customHeight="1">
      <c r="A314" s="2" t="s">
        <v>1193</v>
      </c>
      <c r="B314" s="2" t="s">
        <v>73</v>
      </c>
      <c r="C314" s="8" t="s">
        <v>1194</v>
      </c>
      <c r="D314" s="2">
        <v>4</v>
      </c>
      <c r="E314" s="8" t="s">
        <v>10165</v>
      </c>
      <c r="F314" s="2">
        <v>1</v>
      </c>
      <c r="G314" s="8" t="s">
        <v>10157</v>
      </c>
      <c r="H314" s="8" t="s">
        <v>10157</v>
      </c>
      <c r="I314" s="8" t="s">
        <v>10158</v>
      </c>
      <c r="J314" s="8" t="s">
        <v>10159</v>
      </c>
      <c r="K314" s="8" t="s">
        <v>10469</v>
      </c>
      <c r="L314" s="8" t="str">
        <f t="shared" si="9"/>
        <v>PDFを開く</v>
      </c>
      <c r="M314" s="8" t="s">
        <v>1202</v>
      </c>
    </row>
    <row r="315" spans="1:13" ht="66" customHeight="1">
      <c r="A315" s="5" t="s">
        <v>1193</v>
      </c>
      <c r="B315" s="5" t="s">
        <v>73</v>
      </c>
      <c r="C315" s="9" t="s">
        <v>1194</v>
      </c>
      <c r="D315" s="5">
        <v>4</v>
      </c>
      <c r="E315" s="9" t="s">
        <v>10165</v>
      </c>
      <c r="F315" s="5">
        <v>2</v>
      </c>
      <c r="G315" s="9" t="s">
        <v>10184</v>
      </c>
      <c r="H315" s="9" t="s">
        <v>10184</v>
      </c>
      <c r="I315" s="9"/>
      <c r="J315" s="9" t="s">
        <v>10181</v>
      </c>
      <c r="K315" s="9" t="s">
        <v>10470</v>
      </c>
      <c r="L315" s="9" t="str">
        <f t="shared" si="9"/>
        <v>PDFを開く</v>
      </c>
      <c r="M315" s="9" t="s">
        <v>1202</v>
      </c>
    </row>
    <row r="316" spans="1:13" ht="66" customHeight="1">
      <c r="A316" s="2" t="s">
        <v>1203</v>
      </c>
      <c r="B316" s="2" t="s">
        <v>73</v>
      </c>
      <c r="C316" s="8" t="s">
        <v>1204</v>
      </c>
      <c r="D316" s="2">
        <v>1</v>
      </c>
      <c r="E316" s="8" t="s">
        <v>10156</v>
      </c>
      <c r="F316" s="2">
        <v>3</v>
      </c>
      <c r="G316" s="8" t="s">
        <v>8581</v>
      </c>
      <c r="H316" s="8" t="s">
        <v>8581</v>
      </c>
      <c r="I316" s="8"/>
      <c r="J316" s="8" t="s">
        <v>10181</v>
      </c>
      <c r="K316" s="8" t="s">
        <v>1207</v>
      </c>
      <c r="L316" s="8" t="str">
        <f>HYPERLINK("https://seichotoushi-hojo.jp/assets/pdf/koufu/outline_77.pdf","PDFを開く")</f>
        <v>PDFを開く</v>
      </c>
      <c r="M316" s="8" t="s">
        <v>1210</v>
      </c>
    </row>
    <row r="317" spans="1:13" ht="66" customHeight="1">
      <c r="A317" s="5" t="s">
        <v>1211</v>
      </c>
      <c r="B317" s="5" t="s">
        <v>73</v>
      </c>
      <c r="C317" s="9" t="s">
        <v>1212</v>
      </c>
      <c r="D317" s="5">
        <v>1</v>
      </c>
      <c r="E317" s="9" t="s">
        <v>10156</v>
      </c>
      <c r="F317" s="5">
        <v>1</v>
      </c>
      <c r="G317" s="9" t="s">
        <v>8581</v>
      </c>
      <c r="H317" s="9" t="s">
        <v>8581</v>
      </c>
      <c r="I317" s="9"/>
      <c r="J317" s="9" t="s">
        <v>10181</v>
      </c>
      <c r="K317" s="9" t="s">
        <v>10471</v>
      </c>
      <c r="L317" s="9" t="str">
        <f>HYPERLINK("https://seichotoushi-hojo.jp/assets/pdf/koufu/outline_78.pdf","PDFを開く")</f>
        <v>PDFを開く</v>
      </c>
      <c r="M317" s="9" t="s">
        <v>1218</v>
      </c>
    </row>
    <row r="318" spans="1:13" ht="66" customHeight="1">
      <c r="A318" s="2" t="s">
        <v>1211</v>
      </c>
      <c r="B318" s="2" t="s">
        <v>73</v>
      </c>
      <c r="C318" s="8" t="s">
        <v>1212</v>
      </c>
      <c r="D318" s="2">
        <v>1</v>
      </c>
      <c r="E318" s="8" t="s">
        <v>10156</v>
      </c>
      <c r="F318" s="2">
        <v>7</v>
      </c>
      <c r="G318" s="8" t="s">
        <v>8581</v>
      </c>
      <c r="H318" s="8" t="s">
        <v>8581</v>
      </c>
      <c r="I318" s="8"/>
      <c r="J318" s="8" t="s">
        <v>10159</v>
      </c>
      <c r="K318" s="8" t="s">
        <v>1216</v>
      </c>
      <c r="L318" s="8" t="str">
        <f>HYPERLINK("https://seichotoushi-hojo.jp/assets/pdf/koufu/outline_78.pdf","PDFを開く")</f>
        <v>PDFを開く</v>
      </c>
      <c r="M318" s="8" t="s">
        <v>1218</v>
      </c>
    </row>
    <row r="319" spans="1:13" ht="66" customHeight="1">
      <c r="A319" s="5" t="s">
        <v>1211</v>
      </c>
      <c r="B319" s="5" t="s">
        <v>73</v>
      </c>
      <c r="C319" s="9" t="s">
        <v>1212</v>
      </c>
      <c r="D319" s="5">
        <v>2</v>
      </c>
      <c r="E319" s="9" t="s">
        <v>10165</v>
      </c>
      <c r="F319" s="5">
        <v>1</v>
      </c>
      <c r="G319" s="9" t="s">
        <v>10476</v>
      </c>
      <c r="H319" s="9" t="s">
        <v>10476</v>
      </c>
      <c r="I319" s="9"/>
      <c r="J319" s="9" t="s">
        <v>10181</v>
      </c>
      <c r="K319" s="9" t="s">
        <v>10477</v>
      </c>
      <c r="L319" s="9" t="str">
        <f>HYPERLINK("https://seichotoushi-hojo.jp/assets/pdf/koufu/outline_78.pdf","PDFを開く")</f>
        <v>PDFを開く</v>
      </c>
      <c r="M319" s="9" t="s">
        <v>1218</v>
      </c>
    </row>
    <row r="320" spans="1:13" ht="66" customHeight="1">
      <c r="A320" s="2" t="s">
        <v>1211</v>
      </c>
      <c r="B320" s="2" t="s">
        <v>73</v>
      </c>
      <c r="C320" s="8" t="s">
        <v>1212</v>
      </c>
      <c r="D320" s="2">
        <v>2</v>
      </c>
      <c r="E320" s="8" t="s">
        <v>10165</v>
      </c>
      <c r="F320" s="2">
        <v>2</v>
      </c>
      <c r="G320" s="8" t="s">
        <v>10184</v>
      </c>
      <c r="H320" s="8" t="s">
        <v>10184</v>
      </c>
      <c r="I320" s="8"/>
      <c r="J320" s="8" t="s">
        <v>10181</v>
      </c>
      <c r="K320" s="8" t="s">
        <v>10478</v>
      </c>
      <c r="L320" s="8" t="str">
        <f>HYPERLINK("https://seichotoushi-hojo.jp/assets/pdf/koufu/outline_78.pdf","PDFを開く")</f>
        <v>PDFを開く</v>
      </c>
      <c r="M320" s="8" t="s">
        <v>1218</v>
      </c>
    </row>
    <row r="321" spans="1:13" ht="66" customHeight="1">
      <c r="A321" s="5" t="s">
        <v>1219</v>
      </c>
      <c r="B321" s="5" t="s">
        <v>73</v>
      </c>
      <c r="C321" s="9" t="s">
        <v>1220</v>
      </c>
      <c r="D321" s="5">
        <v>1</v>
      </c>
      <c r="E321" s="9" t="s">
        <v>10156</v>
      </c>
      <c r="F321" s="5">
        <v>4</v>
      </c>
      <c r="G321" s="9" t="s">
        <v>8581</v>
      </c>
      <c r="H321" s="9" t="s">
        <v>8581</v>
      </c>
      <c r="I321" s="9"/>
      <c r="J321" s="9" t="s">
        <v>10159</v>
      </c>
      <c r="K321" s="9" t="s">
        <v>1223</v>
      </c>
      <c r="L321" s="9" t="str">
        <f>HYPERLINK("https://seichotoushi-hojo.jp/assets/pdf/koufu/outline_79.pdf","PDFを開く")</f>
        <v>PDFを開く</v>
      </c>
      <c r="M321" s="9" t="s">
        <v>1225</v>
      </c>
    </row>
    <row r="322" spans="1:13" ht="66" customHeight="1">
      <c r="A322" s="2" t="s">
        <v>1226</v>
      </c>
      <c r="B322" s="2" t="s">
        <v>73</v>
      </c>
      <c r="C322" s="8" t="s">
        <v>1227</v>
      </c>
      <c r="D322" s="2">
        <v>1</v>
      </c>
      <c r="E322" s="8" t="s">
        <v>10156</v>
      </c>
      <c r="F322" s="2">
        <v>4</v>
      </c>
      <c r="G322" s="8" t="s">
        <v>8581</v>
      </c>
      <c r="H322" s="8" t="s">
        <v>8581</v>
      </c>
      <c r="I322" s="8"/>
      <c r="J322" s="8" t="s">
        <v>10159</v>
      </c>
      <c r="K322" s="8" t="s">
        <v>1230</v>
      </c>
      <c r="L322" s="8" t="str">
        <f>HYPERLINK("https://seichotoushi-hojo.jp/assets/pdf/koufu/outline_8.pdf","PDFを開く")</f>
        <v>PDFを開く</v>
      </c>
      <c r="M322" s="8" t="s">
        <v>1232</v>
      </c>
    </row>
    <row r="323" spans="1:13" ht="66" customHeight="1">
      <c r="A323" s="5" t="s">
        <v>1233</v>
      </c>
      <c r="B323" s="5" t="s">
        <v>73</v>
      </c>
      <c r="C323" s="9" t="s">
        <v>1234</v>
      </c>
      <c r="D323" s="5">
        <v>1</v>
      </c>
      <c r="E323" s="9" t="s">
        <v>10156</v>
      </c>
      <c r="F323" s="5">
        <v>4</v>
      </c>
      <c r="G323" s="9" t="s">
        <v>8581</v>
      </c>
      <c r="H323" s="9" t="s">
        <v>8581</v>
      </c>
      <c r="I323" s="9"/>
      <c r="J323" s="9" t="s">
        <v>10159</v>
      </c>
      <c r="K323" s="9" t="s">
        <v>1237</v>
      </c>
      <c r="L323" s="9" t="str">
        <f>HYPERLINK("https://seichotoushi-hojo.jp/assets/pdf/koufu/outline_80.pdf","PDFを開く")</f>
        <v>PDFを開く</v>
      </c>
      <c r="M323" s="9" t="s">
        <v>1239</v>
      </c>
    </row>
    <row r="324" spans="1:13" ht="66" customHeight="1">
      <c r="A324" s="2" t="s">
        <v>1233</v>
      </c>
      <c r="B324" s="2" t="s">
        <v>73</v>
      </c>
      <c r="C324" s="8" t="s">
        <v>1234</v>
      </c>
      <c r="D324" s="2">
        <v>1</v>
      </c>
      <c r="E324" s="8" t="s">
        <v>10156</v>
      </c>
      <c r="F324" s="2">
        <v>5</v>
      </c>
      <c r="G324" s="8" t="s">
        <v>10167</v>
      </c>
      <c r="H324" s="8" t="s">
        <v>10479</v>
      </c>
      <c r="I324" s="8"/>
      <c r="J324" s="8" t="s">
        <v>10159</v>
      </c>
      <c r="K324" s="8" t="s">
        <v>10480</v>
      </c>
      <c r="L324" s="8" t="str">
        <f>HYPERLINK("https://seichotoushi-hojo.jp/assets/pdf/koufu/outline_80.pdf","PDFを開く")</f>
        <v>PDFを開く</v>
      </c>
      <c r="M324" s="8" t="s">
        <v>1239</v>
      </c>
    </row>
    <row r="325" spans="1:13" ht="66" customHeight="1">
      <c r="A325" s="5" t="s">
        <v>1240</v>
      </c>
      <c r="B325" s="5" t="s">
        <v>73</v>
      </c>
      <c r="C325" s="9" t="s">
        <v>1241</v>
      </c>
      <c r="D325" s="5">
        <v>1</v>
      </c>
      <c r="E325" s="9" t="s">
        <v>10156</v>
      </c>
      <c r="F325" s="5">
        <v>1</v>
      </c>
      <c r="G325" s="9" t="s">
        <v>10167</v>
      </c>
      <c r="H325" s="9" t="s">
        <v>10212</v>
      </c>
      <c r="I325" s="9"/>
      <c r="J325" s="9" t="s">
        <v>10159</v>
      </c>
      <c r="K325" s="9" t="s">
        <v>10481</v>
      </c>
      <c r="L325" s="9" t="str">
        <f>HYPERLINK("https://seichotoushi-hojo.jp/assets/pdf/koufu/outline_81.pdf","PDFを開く")</f>
        <v>PDFを開く</v>
      </c>
      <c r="M325" s="9" t="s">
        <v>1247</v>
      </c>
    </row>
    <row r="326" spans="1:13" ht="66" customHeight="1">
      <c r="A326" s="2" t="s">
        <v>1240</v>
      </c>
      <c r="B326" s="2" t="s">
        <v>73</v>
      </c>
      <c r="C326" s="8" t="s">
        <v>1241</v>
      </c>
      <c r="D326" s="2">
        <v>1</v>
      </c>
      <c r="E326" s="8" t="s">
        <v>10156</v>
      </c>
      <c r="F326" s="2">
        <v>5</v>
      </c>
      <c r="G326" s="8" t="s">
        <v>8581</v>
      </c>
      <c r="H326" s="8" t="s">
        <v>8581</v>
      </c>
      <c r="I326" s="8"/>
      <c r="J326" s="8" t="s">
        <v>10159</v>
      </c>
      <c r="K326" s="8" t="s">
        <v>1245</v>
      </c>
      <c r="L326" s="8" t="str">
        <f>HYPERLINK("https://seichotoushi-hojo.jp/assets/pdf/koufu/outline_81.pdf","PDFを開く")</f>
        <v>PDFを開く</v>
      </c>
      <c r="M326" s="8" t="s">
        <v>1247</v>
      </c>
    </row>
    <row r="327" spans="1:13" ht="66" customHeight="1">
      <c r="A327" s="5" t="s">
        <v>1248</v>
      </c>
      <c r="B327" s="5" t="s">
        <v>73</v>
      </c>
      <c r="C327" s="9" t="s">
        <v>1249</v>
      </c>
      <c r="D327" s="5">
        <v>1</v>
      </c>
      <c r="E327" s="9" t="s">
        <v>10156</v>
      </c>
      <c r="F327" s="5">
        <v>1</v>
      </c>
      <c r="G327" s="9" t="s">
        <v>10157</v>
      </c>
      <c r="H327" s="9" t="s">
        <v>10157</v>
      </c>
      <c r="I327" s="9"/>
      <c r="J327" s="9" t="s">
        <v>10159</v>
      </c>
      <c r="K327" s="9" t="s">
        <v>8342</v>
      </c>
      <c r="L327" s="9" t="str">
        <f>HYPERLINK("https://seichotoushi-hojo.jp/assets/pdf/koufu/outline_82.pdf","PDFを開く")</f>
        <v>PDFを開く</v>
      </c>
      <c r="M327" s="9" t="s">
        <v>1254</v>
      </c>
    </row>
    <row r="328" spans="1:13" ht="66" customHeight="1">
      <c r="A328" s="2" t="s">
        <v>1248</v>
      </c>
      <c r="B328" s="2" t="s">
        <v>73</v>
      </c>
      <c r="C328" s="8" t="s">
        <v>1249</v>
      </c>
      <c r="D328" s="2">
        <v>1</v>
      </c>
      <c r="E328" s="8" t="s">
        <v>10156</v>
      </c>
      <c r="F328" s="2">
        <v>2</v>
      </c>
      <c r="G328" s="8" t="s">
        <v>10167</v>
      </c>
      <c r="H328" s="8" t="s">
        <v>10482</v>
      </c>
      <c r="I328" s="8"/>
      <c r="J328" s="8" t="s">
        <v>10159</v>
      </c>
      <c r="K328" s="8" t="s">
        <v>10483</v>
      </c>
      <c r="L328" s="8" t="str">
        <f>HYPERLINK("https://seichotoushi-hojo.jp/assets/pdf/koufu/outline_82.pdf","PDFを開く")</f>
        <v>PDFを開く</v>
      </c>
      <c r="M328" s="8" t="s">
        <v>1254</v>
      </c>
    </row>
    <row r="329" spans="1:13" ht="66" customHeight="1">
      <c r="A329" s="5" t="s">
        <v>1248</v>
      </c>
      <c r="B329" s="5" t="s">
        <v>73</v>
      </c>
      <c r="C329" s="9" t="s">
        <v>1249</v>
      </c>
      <c r="D329" s="5">
        <v>1</v>
      </c>
      <c r="E329" s="9" t="s">
        <v>10156</v>
      </c>
      <c r="F329" s="5">
        <v>6</v>
      </c>
      <c r="G329" s="9" t="s">
        <v>8581</v>
      </c>
      <c r="H329" s="9" t="s">
        <v>8581</v>
      </c>
      <c r="I329" s="9"/>
      <c r="J329" s="9" t="s">
        <v>10159</v>
      </c>
      <c r="K329" s="9" t="s">
        <v>1252</v>
      </c>
      <c r="L329" s="9" t="str">
        <f>HYPERLINK("https://seichotoushi-hojo.jp/assets/pdf/koufu/outline_82.pdf","PDFを開く")</f>
        <v>PDFを開く</v>
      </c>
      <c r="M329" s="9" t="s">
        <v>1254</v>
      </c>
    </row>
    <row r="330" spans="1:13" ht="66" customHeight="1">
      <c r="A330" s="2" t="s">
        <v>1248</v>
      </c>
      <c r="B330" s="2" t="s">
        <v>73</v>
      </c>
      <c r="C330" s="8" t="s">
        <v>1249</v>
      </c>
      <c r="D330" s="2">
        <v>2</v>
      </c>
      <c r="E330" s="8" t="s">
        <v>10165</v>
      </c>
      <c r="F330" s="2">
        <v>1</v>
      </c>
      <c r="G330" s="8" t="s">
        <v>10184</v>
      </c>
      <c r="H330" s="8" t="s">
        <v>10184</v>
      </c>
      <c r="I330" s="8"/>
      <c r="J330" s="8" t="s">
        <v>10159</v>
      </c>
      <c r="K330" s="8" t="s">
        <v>10484</v>
      </c>
      <c r="L330" s="8" t="str">
        <f>HYPERLINK("https://seichotoushi-hojo.jp/assets/pdf/koufu/outline_82.pdf","PDFを開く")</f>
        <v>PDFを開く</v>
      </c>
      <c r="M330" s="8" t="s">
        <v>1254</v>
      </c>
    </row>
    <row r="331" spans="1:13" ht="66" customHeight="1">
      <c r="A331" s="5" t="s">
        <v>1255</v>
      </c>
      <c r="B331" s="5" t="s">
        <v>73</v>
      </c>
      <c r="C331" s="9" t="s">
        <v>1256</v>
      </c>
      <c r="D331" s="5">
        <v>1</v>
      </c>
      <c r="E331" s="9" t="s">
        <v>10156</v>
      </c>
      <c r="F331" s="5">
        <v>1</v>
      </c>
      <c r="G331" s="9" t="s">
        <v>10167</v>
      </c>
      <c r="H331" s="9" t="s">
        <v>10485</v>
      </c>
      <c r="I331" s="9"/>
      <c r="J331" s="9" t="s">
        <v>10159</v>
      </c>
      <c r="K331" s="9" t="s">
        <v>10486</v>
      </c>
      <c r="L331" s="9" t="str">
        <f>HYPERLINK("https://seichotoushi-hojo.jp/assets/pdf/koufu/outline_83.pdf","PDFを開く")</f>
        <v>PDFを開く</v>
      </c>
      <c r="M331" s="9" t="s">
        <v>1262</v>
      </c>
    </row>
    <row r="332" spans="1:13" ht="66" customHeight="1">
      <c r="A332" s="2" t="s">
        <v>1255</v>
      </c>
      <c r="B332" s="2" t="s">
        <v>73</v>
      </c>
      <c r="C332" s="8" t="s">
        <v>1256</v>
      </c>
      <c r="D332" s="2">
        <v>1</v>
      </c>
      <c r="E332" s="8" t="s">
        <v>10156</v>
      </c>
      <c r="F332" s="2">
        <v>5</v>
      </c>
      <c r="G332" s="8" t="s">
        <v>8581</v>
      </c>
      <c r="H332" s="8" t="s">
        <v>8581</v>
      </c>
      <c r="I332" s="8"/>
      <c r="J332" s="8" t="s">
        <v>10159</v>
      </c>
      <c r="K332" s="8" t="s">
        <v>1260</v>
      </c>
      <c r="L332" s="8" t="str">
        <f>HYPERLINK("https://seichotoushi-hojo.jp/assets/pdf/koufu/outline_83.pdf","PDFを開く")</f>
        <v>PDFを開く</v>
      </c>
      <c r="M332" s="8" t="s">
        <v>1262</v>
      </c>
    </row>
    <row r="333" spans="1:13" ht="66" customHeight="1">
      <c r="A333" s="5" t="s">
        <v>1255</v>
      </c>
      <c r="B333" s="5" t="s">
        <v>73</v>
      </c>
      <c r="C333" s="9" t="s">
        <v>1256</v>
      </c>
      <c r="D333" s="5">
        <v>2</v>
      </c>
      <c r="E333" s="9" t="s">
        <v>10165</v>
      </c>
      <c r="F333" s="5">
        <v>1</v>
      </c>
      <c r="G333" s="9" t="s">
        <v>10167</v>
      </c>
      <c r="H333" s="9" t="s">
        <v>10487</v>
      </c>
      <c r="I333" s="9"/>
      <c r="J333" s="9" t="s">
        <v>10159</v>
      </c>
      <c r="K333" s="9" t="s">
        <v>10488</v>
      </c>
      <c r="L333" s="9" t="str">
        <f>HYPERLINK("https://seichotoushi-hojo.jp/assets/pdf/koufu/outline_83.pdf","PDFを開く")</f>
        <v>PDFを開く</v>
      </c>
      <c r="M333" s="9" t="s">
        <v>1262</v>
      </c>
    </row>
    <row r="334" spans="1:13" ht="66" customHeight="1">
      <c r="A334" s="2" t="s">
        <v>1255</v>
      </c>
      <c r="B334" s="2" t="s">
        <v>73</v>
      </c>
      <c r="C334" s="8" t="s">
        <v>1256</v>
      </c>
      <c r="D334" s="2">
        <v>2</v>
      </c>
      <c r="E334" s="8" t="s">
        <v>10165</v>
      </c>
      <c r="F334" s="2">
        <v>2</v>
      </c>
      <c r="G334" s="8" t="s">
        <v>10167</v>
      </c>
      <c r="H334" s="8" t="s">
        <v>10489</v>
      </c>
      <c r="I334" s="8"/>
      <c r="J334" s="8" t="s">
        <v>10159</v>
      </c>
      <c r="K334" s="8" t="s">
        <v>10490</v>
      </c>
      <c r="L334" s="8" t="str">
        <f>HYPERLINK("https://seichotoushi-hojo.jp/assets/pdf/koufu/outline_83.pdf","PDFを開く")</f>
        <v>PDFを開く</v>
      </c>
      <c r="M334" s="8" t="s">
        <v>1262</v>
      </c>
    </row>
    <row r="335" spans="1:13" ht="66" customHeight="1">
      <c r="A335" s="5" t="s">
        <v>1255</v>
      </c>
      <c r="B335" s="5" t="s">
        <v>73</v>
      </c>
      <c r="C335" s="9" t="s">
        <v>1256</v>
      </c>
      <c r="D335" s="5">
        <v>2</v>
      </c>
      <c r="E335" s="9" t="s">
        <v>10165</v>
      </c>
      <c r="F335" s="5">
        <v>3</v>
      </c>
      <c r="G335" s="9" t="s">
        <v>10167</v>
      </c>
      <c r="H335" s="9" t="s">
        <v>10396</v>
      </c>
      <c r="I335" s="9"/>
      <c r="J335" s="9" t="s">
        <v>10159</v>
      </c>
      <c r="K335" s="9" t="s">
        <v>10491</v>
      </c>
      <c r="L335" s="9" t="str">
        <f>HYPERLINK("https://seichotoushi-hojo.jp/assets/pdf/koufu/outline_83.pdf","PDFを開く")</f>
        <v>PDFを開く</v>
      </c>
      <c r="M335" s="9" t="s">
        <v>1262</v>
      </c>
    </row>
    <row r="336" spans="1:13" ht="66" customHeight="1">
      <c r="A336" s="2" t="s">
        <v>1263</v>
      </c>
      <c r="B336" s="2" t="s">
        <v>73</v>
      </c>
      <c r="C336" s="8" t="s">
        <v>1264</v>
      </c>
      <c r="D336" s="2">
        <v>1</v>
      </c>
      <c r="E336" s="8" t="s">
        <v>10156</v>
      </c>
      <c r="F336" s="2">
        <v>1</v>
      </c>
      <c r="G336" s="8" t="s">
        <v>10167</v>
      </c>
      <c r="H336" s="8" t="s">
        <v>10492</v>
      </c>
      <c r="I336" s="8"/>
      <c r="J336" s="8" t="s">
        <v>10159</v>
      </c>
      <c r="K336" s="8" t="s">
        <v>10493</v>
      </c>
      <c r="L336" s="8" t="str">
        <f>HYPERLINK("https://seichotoushi-hojo.jp/assets/pdf/koufu/outline_84.pdf","PDFを開く")</f>
        <v>PDFを開く</v>
      </c>
      <c r="M336" s="8" t="s">
        <v>1271</v>
      </c>
    </row>
    <row r="337" spans="1:13" ht="66" customHeight="1">
      <c r="A337" s="5" t="s">
        <v>1263</v>
      </c>
      <c r="B337" s="5" t="s">
        <v>73</v>
      </c>
      <c r="C337" s="9" t="s">
        <v>1264</v>
      </c>
      <c r="D337" s="5">
        <v>1</v>
      </c>
      <c r="E337" s="9" t="s">
        <v>10156</v>
      </c>
      <c r="F337" s="5">
        <v>5</v>
      </c>
      <c r="G337" s="9" t="s">
        <v>8581</v>
      </c>
      <c r="H337" s="9" t="s">
        <v>8581</v>
      </c>
      <c r="I337" s="9"/>
      <c r="J337" s="9" t="s">
        <v>10159</v>
      </c>
      <c r="K337" s="9" t="s">
        <v>1268</v>
      </c>
      <c r="L337" s="9" t="str">
        <f>HYPERLINK("https://seichotoushi-hojo.jp/assets/pdf/koufu/outline_84.pdf","PDFを開く")</f>
        <v>PDFを開く</v>
      </c>
      <c r="M337" s="9" t="s">
        <v>1271</v>
      </c>
    </row>
    <row r="338" spans="1:13" ht="66" customHeight="1">
      <c r="A338" s="2" t="s">
        <v>1263</v>
      </c>
      <c r="B338" s="2" t="s">
        <v>73</v>
      </c>
      <c r="C338" s="8" t="s">
        <v>1264</v>
      </c>
      <c r="D338" s="2">
        <v>2</v>
      </c>
      <c r="E338" s="8" t="s">
        <v>10165</v>
      </c>
      <c r="F338" s="2">
        <v>1</v>
      </c>
      <c r="G338" s="8" t="s">
        <v>10167</v>
      </c>
      <c r="H338" s="8" t="s">
        <v>10212</v>
      </c>
      <c r="I338" s="8"/>
      <c r="J338" s="8" t="s">
        <v>10159</v>
      </c>
      <c r="K338" s="8" t="s">
        <v>10494</v>
      </c>
      <c r="L338" s="8" t="str">
        <f>HYPERLINK("https://seichotoushi-hojo.jp/assets/pdf/koufu/outline_84.pdf","PDFを開く")</f>
        <v>PDFを開く</v>
      </c>
      <c r="M338" s="8" t="s">
        <v>1271</v>
      </c>
    </row>
    <row r="339" spans="1:13" ht="66" customHeight="1">
      <c r="A339" s="5" t="s">
        <v>1263</v>
      </c>
      <c r="B339" s="5" t="s">
        <v>73</v>
      </c>
      <c r="C339" s="9" t="s">
        <v>1264</v>
      </c>
      <c r="D339" s="5">
        <v>2</v>
      </c>
      <c r="E339" s="9" t="s">
        <v>10165</v>
      </c>
      <c r="F339" s="5">
        <v>2</v>
      </c>
      <c r="G339" s="9" t="s">
        <v>10167</v>
      </c>
      <c r="H339" s="9" t="s">
        <v>10495</v>
      </c>
      <c r="I339" s="9"/>
      <c r="J339" s="9" t="s">
        <v>10159</v>
      </c>
      <c r="K339" s="9" t="s">
        <v>10496</v>
      </c>
      <c r="L339" s="9" t="str">
        <f>HYPERLINK("https://seichotoushi-hojo.jp/assets/pdf/koufu/outline_84.pdf","PDFを開く")</f>
        <v>PDFを開く</v>
      </c>
      <c r="M339" s="9" t="s">
        <v>1271</v>
      </c>
    </row>
    <row r="340" spans="1:13" ht="66" customHeight="1">
      <c r="A340" s="2" t="s">
        <v>1263</v>
      </c>
      <c r="B340" s="2" t="s">
        <v>73</v>
      </c>
      <c r="C340" s="8" t="s">
        <v>1264</v>
      </c>
      <c r="D340" s="2">
        <v>2</v>
      </c>
      <c r="E340" s="8" t="s">
        <v>10165</v>
      </c>
      <c r="F340" s="2">
        <v>3</v>
      </c>
      <c r="G340" s="8" t="s">
        <v>10167</v>
      </c>
      <c r="H340" s="8" t="s">
        <v>3504</v>
      </c>
      <c r="I340" s="8"/>
      <c r="J340" s="8" t="s">
        <v>10159</v>
      </c>
      <c r="K340" s="8" t="s">
        <v>10186</v>
      </c>
      <c r="L340" s="8" t="str">
        <f>HYPERLINK("https://seichotoushi-hojo.jp/assets/pdf/koufu/outline_84.pdf","PDFを開く")</f>
        <v>PDFを開く</v>
      </c>
      <c r="M340" s="8" t="s">
        <v>1271</v>
      </c>
    </row>
    <row r="341" spans="1:13" ht="66" customHeight="1">
      <c r="A341" s="5" t="s">
        <v>1272</v>
      </c>
      <c r="B341" s="5" t="s">
        <v>73</v>
      </c>
      <c r="C341" s="9" t="s">
        <v>1273</v>
      </c>
      <c r="D341" s="5">
        <v>1</v>
      </c>
      <c r="E341" s="9" t="s">
        <v>10156</v>
      </c>
      <c r="F341" s="5">
        <v>4</v>
      </c>
      <c r="G341" s="9" t="s">
        <v>8581</v>
      </c>
      <c r="H341" s="9" t="s">
        <v>8581</v>
      </c>
      <c r="I341" s="9"/>
      <c r="J341" s="9" t="s">
        <v>10159</v>
      </c>
      <c r="K341" s="9" t="s">
        <v>1277</v>
      </c>
      <c r="L341" s="9" t="str">
        <f>HYPERLINK("https://seichotoushi-hojo.jp/assets/pdf/koufu/outline_85.pdf","PDFを開く")</f>
        <v>PDFを開く</v>
      </c>
      <c r="M341" s="9" t="s">
        <v>1280</v>
      </c>
    </row>
    <row r="342" spans="1:13" ht="66" customHeight="1">
      <c r="A342" s="2" t="s">
        <v>1281</v>
      </c>
      <c r="B342" s="2" t="s">
        <v>73</v>
      </c>
      <c r="C342" s="8" t="s">
        <v>1282</v>
      </c>
      <c r="D342" s="2">
        <v>2</v>
      </c>
      <c r="E342" s="8" t="s">
        <v>10422</v>
      </c>
      <c r="F342" s="2">
        <v>1</v>
      </c>
      <c r="G342" s="8" t="s">
        <v>10167</v>
      </c>
      <c r="H342" s="8" t="s">
        <v>4153</v>
      </c>
      <c r="I342" s="8" t="s">
        <v>10158</v>
      </c>
      <c r="J342" s="8" t="s">
        <v>10159</v>
      </c>
      <c r="K342" s="8" t="s">
        <v>10497</v>
      </c>
      <c r="L342" s="8" t="str">
        <f>HYPERLINK("https://seichotoushi-hojo.jp/assets/pdf/koufu/outline_86.pdf","PDFを開く")</f>
        <v>PDFを開く</v>
      </c>
      <c r="M342" s="8" t="s">
        <v>1286</v>
      </c>
    </row>
    <row r="343" spans="1:13" ht="66" customHeight="1">
      <c r="A343" s="5" t="s">
        <v>1287</v>
      </c>
      <c r="B343" s="5" t="s">
        <v>73</v>
      </c>
      <c r="C343" s="9" t="s">
        <v>1288</v>
      </c>
      <c r="D343" s="5">
        <v>1</v>
      </c>
      <c r="E343" s="9" t="s">
        <v>10156</v>
      </c>
      <c r="F343" s="5">
        <v>2</v>
      </c>
      <c r="G343" s="9" t="s">
        <v>8581</v>
      </c>
      <c r="H343" s="9" t="s">
        <v>8581</v>
      </c>
      <c r="I343" s="9"/>
      <c r="J343" s="9" t="s">
        <v>10159</v>
      </c>
      <c r="K343" s="9" t="s">
        <v>1291</v>
      </c>
      <c r="L343" s="9" t="str">
        <f>HYPERLINK("https://seichotoushi-hojo.jp/assets/pdf/koufu/outline_87.pdf","PDFを開く")</f>
        <v>PDFを開く</v>
      </c>
      <c r="M343" s="9" t="s">
        <v>1293</v>
      </c>
    </row>
    <row r="344" spans="1:13" ht="66" customHeight="1">
      <c r="A344" s="2" t="s">
        <v>1287</v>
      </c>
      <c r="B344" s="2" t="s">
        <v>73</v>
      </c>
      <c r="C344" s="8" t="s">
        <v>1288</v>
      </c>
      <c r="D344" s="2">
        <v>2</v>
      </c>
      <c r="E344" s="8" t="s">
        <v>10165</v>
      </c>
      <c r="F344" s="2">
        <v>1</v>
      </c>
      <c r="G344" s="8" t="s">
        <v>10184</v>
      </c>
      <c r="H344" s="8" t="s">
        <v>10184</v>
      </c>
      <c r="I344" s="8"/>
      <c r="J344" s="8" t="s">
        <v>10181</v>
      </c>
      <c r="K344" s="8" t="s">
        <v>10498</v>
      </c>
      <c r="L344" s="8" t="str">
        <f>HYPERLINK("https://seichotoushi-hojo.jp/assets/pdf/koufu/outline_87.pdf","PDFを開く")</f>
        <v>PDFを開く</v>
      </c>
      <c r="M344" s="8" t="s">
        <v>1293</v>
      </c>
    </row>
    <row r="345" spans="1:13" ht="66" customHeight="1">
      <c r="A345" s="5" t="s">
        <v>1294</v>
      </c>
      <c r="B345" s="5" t="s">
        <v>73</v>
      </c>
      <c r="C345" s="9" t="s">
        <v>1295</v>
      </c>
      <c r="D345" s="5">
        <v>1</v>
      </c>
      <c r="E345" s="9" t="s">
        <v>10156</v>
      </c>
      <c r="F345" s="5">
        <v>4</v>
      </c>
      <c r="G345" s="9" t="s">
        <v>8581</v>
      </c>
      <c r="H345" s="9" t="s">
        <v>8581</v>
      </c>
      <c r="I345" s="9"/>
      <c r="J345" s="9" t="s">
        <v>10159</v>
      </c>
      <c r="K345" s="9" t="s">
        <v>1299</v>
      </c>
      <c r="L345" s="9" t="str">
        <f>HYPERLINK("https://seichotoushi-hojo.jp/assets/pdf/koufu/outline_88.pdf","PDFを開く")</f>
        <v>PDFを開く</v>
      </c>
      <c r="M345" s="9" t="s">
        <v>1302</v>
      </c>
    </row>
    <row r="346" spans="1:13" ht="66" customHeight="1">
      <c r="A346" s="2" t="s">
        <v>1294</v>
      </c>
      <c r="B346" s="2" t="s">
        <v>73</v>
      </c>
      <c r="C346" s="8" t="s">
        <v>1295</v>
      </c>
      <c r="D346" s="2">
        <v>2</v>
      </c>
      <c r="E346" s="8" t="s">
        <v>10165</v>
      </c>
      <c r="F346" s="2">
        <v>1</v>
      </c>
      <c r="G346" s="8" t="s">
        <v>10167</v>
      </c>
      <c r="H346" s="8" t="s">
        <v>10499</v>
      </c>
      <c r="I346" s="8"/>
      <c r="J346" s="8" t="s">
        <v>10159</v>
      </c>
      <c r="K346" s="8" t="s">
        <v>10500</v>
      </c>
      <c r="L346" s="8" t="str">
        <f>HYPERLINK("https://seichotoushi-hojo.jp/assets/pdf/koufu/outline_88.pdf","PDFを開く")</f>
        <v>PDFを開く</v>
      </c>
      <c r="M346" s="8" t="s">
        <v>1302</v>
      </c>
    </row>
    <row r="347" spans="1:13" ht="66" customHeight="1">
      <c r="A347" s="5" t="s">
        <v>1303</v>
      </c>
      <c r="B347" s="5" t="s">
        <v>73</v>
      </c>
      <c r="C347" s="9" t="s">
        <v>1304</v>
      </c>
      <c r="D347" s="5">
        <v>1</v>
      </c>
      <c r="E347" s="9" t="s">
        <v>10156</v>
      </c>
      <c r="F347" s="5">
        <v>4</v>
      </c>
      <c r="G347" s="9" t="s">
        <v>8581</v>
      </c>
      <c r="H347" s="9" t="s">
        <v>8581</v>
      </c>
      <c r="I347" s="9"/>
      <c r="J347" s="9" t="s">
        <v>10159</v>
      </c>
      <c r="K347" s="9" t="s">
        <v>1307</v>
      </c>
      <c r="L347" s="9" t="str">
        <f>HYPERLINK("https://seichotoushi-hojo.jp/assets/pdf/koufu/outline_89.pdf","PDFを開く")</f>
        <v>PDFを開く</v>
      </c>
      <c r="M347" s="9" t="s">
        <v>1310</v>
      </c>
    </row>
    <row r="348" spans="1:13" ht="66" customHeight="1">
      <c r="A348" s="2" t="s">
        <v>1311</v>
      </c>
      <c r="B348" s="2" t="s">
        <v>73</v>
      </c>
      <c r="C348" s="8" t="s">
        <v>1312</v>
      </c>
      <c r="D348" s="2">
        <v>1</v>
      </c>
      <c r="E348" s="8" t="s">
        <v>10156</v>
      </c>
      <c r="F348" s="2">
        <v>4</v>
      </c>
      <c r="G348" s="8" t="s">
        <v>8581</v>
      </c>
      <c r="H348" s="8" t="s">
        <v>8581</v>
      </c>
      <c r="I348" s="8"/>
      <c r="J348" s="8" t="s">
        <v>10159</v>
      </c>
      <c r="K348" s="8" t="s">
        <v>1315</v>
      </c>
      <c r="L348" s="8" t="str">
        <f>HYPERLINK("https://seichotoushi-hojo.jp/assets/pdf/koufu/outline_9.pdf","PDFを開く")</f>
        <v>PDFを開く</v>
      </c>
      <c r="M348" s="8" t="s">
        <v>1317</v>
      </c>
    </row>
    <row r="349" spans="1:13" ht="66" customHeight="1">
      <c r="A349" s="5" t="s">
        <v>1318</v>
      </c>
      <c r="B349" s="5" t="s">
        <v>73</v>
      </c>
      <c r="C349" s="9" t="s">
        <v>1319</v>
      </c>
      <c r="D349" s="5">
        <v>2</v>
      </c>
      <c r="E349" s="9" t="s">
        <v>10165</v>
      </c>
      <c r="F349" s="5">
        <v>1</v>
      </c>
      <c r="G349" s="9" t="s">
        <v>10184</v>
      </c>
      <c r="H349" s="9" t="s">
        <v>10184</v>
      </c>
      <c r="I349" s="9"/>
      <c r="J349" s="9" t="s">
        <v>10181</v>
      </c>
      <c r="K349" s="9" t="s">
        <v>10501</v>
      </c>
      <c r="L349" s="9" t="str">
        <f>HYPERLINK("https://seichotoushi-hojo.jp/assets/pdf/koufu/outline_91.pdf","PDFを開く")</f>
        <v>PDFを開く</v>
      </c>
      <c r="M349" s="9" t="s">
        <v>1327</v>
      </c>
    </row>
    <row r="350" spans="1:13" ht="66" customHeight="1">
      <c r="A350" s="2" t="s">
        <v>1328</v>
      </c>
      <c r="B350" s="2" t="s">
        <v>73</v>
      </c>
      <c r="C350" s="8" t="s">
        <v>1329</v>
      </c>
      <c r="D350" s="2">
        <v>1</v>
      </c>
      <c r="E350" s="8" t="s">
        <v>10156</v>
      </c>
      <c r="F350" s="2">
        <v>4</v>
      </c>
      <c r="G350" s="8" t="s">
        <v>8581</v>
      </c>
      <c r="H350" s="8" t="s">
        <v>8581</v>
      </c>
      <c r="I350" s="8"/>
      <c r="J350" s="8" t="s">
        <v>10159</v>
      </c>
      <c r="K350" s="8" t="s">
        <v>1332</v>
      </c>
      <c r="L350" s="8" t="str">
        <f>HYPERLINK("https://seichotoushi-hojo.jp/assets/pdf/koufu/outline_92.pdf","PDFを開く")</f>
        <v>PDFを開く</v>
      </c>
      <c r="M350" s="8" t="s">
        <v>1334</v>
      </c>
    </row>
    <row r="351" spans="1:13" ht="66" customHeight="1">
      <c r="A351" s="5" t="s">
        <v>1328</v>
      </c>
      <c r="B351" s="5" t="s">
        <v>73</v>
      </c>
      <c r="C351" s="9" t="s">
        <v>1329</v>
      </c>
      <c r="D351" s="5">
        <v>2</v>
      </c>
      <c r="E351" s="9" t="s">
        <v>10165</v>
      </c>
      <c r="F351" s="5">
        <v>1</v>
      </c>
      <c r="G351" s="9" t="s">
        <v>10167</v>
      </c>
      <c r="H351" s="9" t="s">
        <v>10502</v>
      </c>
      <c r="I351" s="9"/>
      <c r="J351" s="9" t="s">
        <v>10159</v>
      </c>
      <c r="K351" s="9" t="s">
        <v>10503</v>
      </c>
      <c r="L351" s="9" t="str">
        <f>HYPERLINK("https://seichotoushi-hojo.jp/assets/pdf/koufu/outline_92.pdf","PDFを開く")</f>
        <v>PDFを開く</v>
      </c>
      <c r="M351" s="9" t="s">
        <v>1334</v>
      </c>
    </row>
    <row r="352" spans="1:13" ht="66" customHeight="1">
      <c r="A352" s="2" t="s">
        <v>1328</v>
      </c>
      <c r="B352" s="2" t="s">
        <v>73</v>
      </c>
      <c r="C352" s="8" t="s">
        <v>1329</v>
      </c>
      <c r="D352" s="2">
        <v>2</v>
      </c>
      <c r="E352" s="8" t="s">
        <v>10165</v>
      </c>
      <c r="F352" s="2">
        <v>2</v>
      </c>
      <c r="G352" s="8" t="s">
        <v>10167</v>
      </c>
      <c r="H352" s="8" t="s">
        <v>10504</v>
      </c>
      <c r="I352" s="8"/>
      <c r="J352" s="8" t="s">
        <v>10159</v>
      </c>
      <c r="K352" s="8" t="s">
        <v>10505</v>
      </c>
      <c r="L352" s="8" t="str">
        <f>HYPERLINK("https://seichotoushi-hojo.jp/assets/pdf/koufu/outline_92.pdf","PDFを開く")</f>
        <v>PDFを開く</v>
      </c>
      <c r="M352" s="8" t="s">
        <v>1334</v>
      </c>
    </row>
    <row r="353" spans="1:13" ht="66" customHeight="1">
      <c r="A353" s="5" t="s">
        <v>1328</v>
      </c>
      <c r="B353" s="5" t="s">
        <v>73</v>
      </c>
      <c r="C353" s="9" t="s">
        <v>1329</v>
      </c>
      <c r="D353" s="5">
        <v>2</v>
      </c>
      <c r="E353" s="9" t="s">
        <v>10165</v>
      </c>
      <c r="F353" s="5">
        <v>3</v>
      </c>
      <c r="G353" s="9" t="s">
        <v>10167</v>
      </c>
      <c r="H353" s="9" t="s">
        <v>10506</v>
      </c>
      <c r="I353" s="9"/>
      <c r="J353" s="9" t="s">
        <v>10159</v>
      </c>
      <c r="K353" s="9" t="s">
        <v>10507</v>
      </c>
      <c r="L353" s="9" t="str">
        <f>HYPERLINK("https://seichotoushi-hojo.jp/assets/pdf/koufu/outline_92.pdf","PDFを開く")</f>
        <v>PDFを開く</v>
      </c>
      <c r="M353" s="9" t="s">
        <v>1334</v>
      </c>
    </row>
    <row r="354" spans="1:13" ht="66" customHeight="1">
      <c r="A354" s="2" t="s">
        <v>1335</v>
      </c>
      <c r="B354" s="2" t="s">
        <v>73</v>
      </c>
      <c r="C354" s="8" t="s">
        <v>1336</v>
      </c>
      <c r="D354" s="2">
        <v>1</v>
      </c>
      <c r="E354" s="8" t="s">
        <v>10156</v>
      </c>
      <c r="F354" s="2">
        <v>4</v>
      </c>
      <c r="G354" s="8" t="s">
        <v>8581</v>
      </c>
      <c r="H354" s="8" t="s">
        <v>8581</v>
      </c>
      <c r="I354" s="8"/>
      <c r="J354" s="8" t="s">
        <v>10159</v>
      </c>
      <c r="K354" s="8" t="s">
        <v>1339</v>
      </c>
      <c r="L354" s="8" t="str">
        <f>HYPERLINK("https://seichotoushi-hojo.jp/assets/pdf/koufu/outline_93.pdf","PDFを開く")</f>
        <v>PDFを開く</v>
      </c>
      <c r="M354" s="8" t="s">
        <v>1342</v>
      </c>
    </row>
    <row r="355" spans="1:13" ht="66" customHeight="1">
      <c r="A355" s="5" t="s">
        <v>1343</v>
      </c>
      <c r="B355" s="5" t="s">
        <v>73</v>
      </c>
      <c r="C355" s="9" t="s">
        <v>1344</v>
      </c>
      <c r="D355" s="5">
        <v>1</v>
      </c>
      <c r="E355" s="9" t="s">
        <v>10156</v>
      </c>
      <c r="F355" s="5">
        <v>6</v>
      </c>
      <c r="G355" s="9" t="s">
        <v>8581</v>
      </c>
      <c r="H355" s="9" t="s">
        <v>8581</v>
      </c>
      <c r="I355" s="9"/>
      <c r="J355" s="9" t="s">
        <v>10159</v>
      </c>
      <c r="K355" s="9" t="s">
        <v>8419</v>
      </c>
      <c r="L355" s="9" t="str">
        <f>HYPERLINK("https://seichotoushi-hojo.jp/assets/pdf/koufu/outline_94.pdf","PDFを開く")</f>
        <v>PDFを開く</v>
      </c>
      <c r="M355" s="9" t="s">
        <v>1349</v>
      </c>
    </row>
    <row r="356" spans="1:13" ht="66" customHeight="1">
      <c r="A356" s="2" t="s">
        <v>1343</v>
      </c>
      <c r="B356" s="2" t="s">
        <v>73</v>
      </c>
      <c r="C356" s="8" t="s">
        <v>1344</v>
      </c>
      <c r="D356" s="2">
        <v>2</v>
      </c>
      <c r="E356" s="8" t="s">
        <v>10165</v>
      </c>
      <c r="F356" s="2">
        <v>1</v>
      </c>
      <c r="G356" s="8" t="s">
        <v>10167</v>
      </c>
      <c r="H356" s="8" t="s">
        <v>5265</v>
      </c>
      <c r="I356" s="8"/>
      <c r="J356" s="8" t="s">
        <v>10159</v>
      </c>
      <c r="K356" s="8" t="s">
        <v>10187</v>
      </c>
      <c r="L356" s="8" t="str">
        <f>HYPERLINK("https://seichotoushi-hojo.jp/assets/pdf/koufu/outline_94.pdf","PDFを開く")</f>
        <v>PDFを開く</v>
      </c>
      <c r="M356" s="8" t="s">
        <v>1349</v>
      </c>
    </row>
    <row r="357" spans="1:13" ht="66" customHeight="1">
      <c r="A357" s="5" t="s">
        <v>1350</v>
      </c>
      <c r="B357" s="5" t="s">
        <v>73</v>
      </c>
      <c r="C357" s="9" t="s">
        <v>1351</v>
      </c>
      <c r="D357" s="5">
        <v>1</v>
      </c>
      <c r="E357" s="9" t="s">
        <v>10156</v>
      </c>
      <c r="F357" s="5">
        <v>4</v>
      </c>
      <c r="G357" s="9" t="s">
        <v>8581</v>
      </c>
      <c r="H357" s="9" t="s">
        <v>8581</v>
      </c>
      <c r="I357" s="9"/>
      <c r="J357" s="9" t="s">
        <v>10159</v>
      </c>
      <c r="K357" s="9" t="s">
        <v>1354</v>
      </c>
      <c r="L357" s="9" t="str">
        <f>HYPERLINK("https://seichotoushi-hojo.jp/assets/pdf/koufu/outline_95.pdf","PDFを開く")</f>
        <v>PDFを開く</v>
      </c>
      <c r="M357" s="9" t="s">
        <v>1357</v>
      </c>
    </row>
    <row r="358" spans="1:13" ht="66" customHeight="1">
      <c r="A358" s="2" t="s">
        <v>1358</v>
      </c>
      <c r="B358" s="2" t="s">
        <v>73</v>
      </c>
      <c r="C358" s="8" t="s">
        <v>1359</v>
      </c>
      <c r="D358" s="2">
        <v>1</v>
      </c>
      <c r="E358" s="8" t="s">
        <v>10156</v>
      </c>
      <c r="F358" s="2">
        <v>4</v>
      </c>
      <c r="G358" s="8" t="s">
        <v>8581</v>
      </c>
      <c r="H358" s="8" t="s">
        <v>8581</v>
      </c>
      <c r="I358" s="8"/>
      <c r="J358" s="8" t="s">
        <v>10159</v>
      </c>
      <c r="K358" s="8" t="s">
        <v>1363</v>
      </c>
      <c r="L358" s="8" t="str">
        <f>HYPERLINK("https://seichotoushi-hojo.jp/assets/pdf/koufu/outline_96.pdf","PDFを開く")</f>
        <v>PDFを開く</v>
      </c>
      <c r="M358" s="8" t="s">
        <v>1366</v>
      </c>
    </row>
    <row r="359" spans="1:13" ht="66" customHeight="1">
      <c r="A359" s="5" t="s">
        <v>1367</v>
      </c>
      <c r="B359" s="5" t="s">
        <v>73</v>
      </c>
      <c r="C359" s="9" t="s">
        <v>1368</v>
      </c>
      <c r="D359" s="5">
        <v>4</v>
      </c>
      <c r="E359" s="9" t="s">
        <v>10156</v>
      </c>
      <c r="F359" s="5">
        <v>1</v>
      </c>
      <c r="G359" s="9" t="s">
        <v>10167</v>
      </c>
      <c r="H359" s="9" t="s">
        <v>10514</v>
      </c>
      <c r="I359" s="9"/>
      <c r="J359" s="9" t="s">
        <v>10159</v>
      </c>
      <c r="K359" s="9" t="s">
        <v>10515</v>
      </c>
      <c r="L359" s="9" t="str">
        <f>HYPERLINK("https://seichotoushi-hojo.jp/assets/pdf/koufu/outline_97.pdf","PDFを開く")</f>
        <v>PDFを開く</v>
      </c>
      <c r="M359" s="9" t="s">
        <v>1376</v>
      </c>
    </row>
    <row r="360" spans="1:13" ht="66" customHeight="1">
      <c r="A360" s="2" t="s">
        <v>1367</v>
      </c>
      <c r="B360" s="2" t="s">
        <v>73</v>
      </c>
      <c r="C360" s="8" t="s">
        <v>1368</v>
      </c>
      <c r="D360" s="2">
        <v>5</v>
      </c>
      <c r="E360" s="8" t="s">
        <v>10165</v>
      </c>
      <c r="F360" s="2">
        <v>1</v>
      </c>
      <c r="G360" s="8" t="s">
        <v>10167</v>
      </c>
      <c r="H360" s="8" t="s">
        <v>10516</v>
      </c>
      <c r="I360" s="8"/>
      <c r="J360" s="8" t="s">
        <v>10159</v>
      </c>
      <c r="K360" s="8" t="s">
        <v>10516</v>
      </c>
      <c r="L360" s="8" t="str">
        <f>HYPERLINK("https://seichotoushi-hojo.jp/assets/pdf/koufu/outline_97.pdf","PDFを開く")</f>
        <v>PDFを開く</v>
      </c>
      <c r="M360" s="8" t="s">
        <v>1376</v>
      </c>
    </row>
    <row r="361" spans="1:13" ht="66" customHeight="1">
      <c r="A361" s="5" t="s">
        <v>1377</v>
      </c>
      <c r="B361" s="5" t="s">
        <v>73</v>
      </c>
      <c r="C361" s="9" t="s">
        <v>1378</v>
      </c>
      <c r="D361" s="5">
        <v>1</v>
      </c>
      <c r="E361" s="9" t="s">
        <v>10156</v>
      </c>
      <c r="F361" s="5">
        <v>4</v>
      </c>
      <c r="G361" s="9" t="s">
        <v>8581</v>
      </c>
      <c r="H361" s="9" t="s">
        <v>8581</v>
      </c>
      <c r="I361" s="9"/>
      <c r="J361" s="9" t="s">
        <v>10159</v>
      </c>
      <c r="K361" s="9" t="s">
        <v>1382</v>
      </c>
      <c r="L361" s="9" t="str">
        <f>HYPERLINK("https://seichotoushi-hojo.jp/assets/pdf/koufu/outline_99.pdf","PDFを開く")</f>
        <v>PDFを開く</v>
      </c>
      <c r="M361" s="9" t="s">
        <v>1384</v>
      </c>
    </row>
    <row r="362" spans="1:13" ht="66" customHeight="1">
      <c r="A362" s="2" t="s">
        <v>1377</v>
      </c>
      <c r="B362" s="2" t="s">
        <v>73</v>
      </c>
      <c r="C362" s="8" t="s">
        <v>1378</v>
      </c>
      <c r="D362" s="2">
        <v>2</v>
      </c>
      <c r="E362" s="8" t="s">
        <v>10165</v>
      </c>
      <c r="F362" s="2">
        <v>1</v>
      </c>
      <c r="G362" s="8" t="s">
        <v>10167</v>
      </c>
      <c r="H362" s="8" t="s">
        <v>10517</v>
      </c>
      <c r="I362" s="8"/>
      <c r="J362" s="8" t="s">
        <v>10159</v>
      </c>
      <c r="K362" s="8" t="s">
        <v>10518</v>
      </c>
      <c r="L362" s="8" t="str">
        <f>HYPERLINK("https://seichotoushi-hojo.jp/assets/pdf/koufu/outline_99.pdf","PDFを開く")</f>
        <v>PDFを開く</v>
      </c>
      <c r="M362" s="8" t="s">
        <v>1384</v>
      </c>
    </row>
    <row r="363" spans="1:13" ht="66" customHeight="1">
      <c r="A363" s="5" t="s">
        <v>1395</v>
      </c>
      <c r="B363" s="5" t="s">
        <v>1386</v>
      </c>
      <c r="C363" s="9" t="s">
        <v>1396</v>
      </c>
      <c r="D363" s="5">
        <v>3</v>
      </c>
      <c r="E363" s="9" t="s">
        <v>10156</v>
      </c>
      <c r="F363" s="5">
        <v>1</v>
      </c>
      <c r="G363" s="9" t="s">
        <v>10167</v>
      </c>
      <c r="H363" s="9" t="s">
        <v>10519</v>
      </c>
      <c r="I363" s="9"/>
      <c r="J363" s="9" t="s">
        <v>10159</v>
      </c>
      <c r="K363" s="9" t="s">
        <v>10520</v>
      </c>
      <c r="L363" s="9" t="str">
        <f>HYPERLINK("https://seichotoushi-hojo.jp/assets/pdf/koufu/outline__181.pdf","PDFを開く")</f>
        <v>PDFを開く</v>
      </c>
      <c r="M363" s="9" t="s">
        <v>1404</v>
      </c>
    </row>
    <row r="364" spans="1:13" ht="66" customHeight="1">
      <c r="A364" s="2" t="s">
        <v>1395</v>
      </c>
      <c r="B364" s="2" t="s">
        <v>1386</v>
      </c>
      <c r="C364" s="8" t="s">
        <v>1396</v>
      </c>
      <c r="D364" s="2">
        <v>4</v>
      </c>
      <c r="E364" s="8" t="s">
        <v>10156</v>
      </c>
      <c r="F364" s="2">
        <v>1</v>
      </c>
      <c r="G364" s="8" t="s">
        <v>10167</v>
      </c>
      <c r="H364" s="8" t="s">
        <v>10521</v>
      </c>
      <c r="I364" s="8"/>
      <c r="J364" s="8" t="s">
        <v>10159</v>
      </c>
      <c r="K364" s="8" t="s">
        <v>10522</v>
      </c>
      <c r="L364" s="8" t="str">
        <f>HYPERLINK("https://seichotoushi-hojo.jp/assets/pdf/koufu/outline__181.pdf","PDFを開く")</f>
        <v>PDFを開く</v>
      </c>
      <c r="M364" s="8" t="s">
        <v>1404</v>
      </c>
    </row>
    <row r="365" spans="1:13" ht="66" customHeight="1">
      <c r="A365" s="5" t="s">
        <v>1395</v>
      </c>
      <c r="B365" s="5" t="s">
        <v>1386</v>
      </c>
      <c r="C365" s="9" t="s">
        <v>1396</v>
      </c>
      <c r="D365" s="5">
        <v>5</v>
      </c>
      <c r="E365" s="9" t="s">
        <v>10156</v>
      </c>
      <c r="F365" s="5">
        <v>1</v>
      </c>
      <c r="G365" s="9" t="s">
        <v>10167</v>
      </c>
      <c r="H365" s="9" t="s">
        <v>10523</v>
      </c>
      <c r="I365" s="9"/>
      <c r="J365" s="9" t="s">
        <v>10159</v>
      </c>
      <c r="K365" s="9" t="s">
        <v>10524</v>
      </c>
      <c r="L365" s="9" t="str">
        <f>HYPERLINK("https://seichotoushi-hojo.jp/assets/pdf/koufu/outline__181.pdf","PDFを開く")</f>
        <v>PDFを開く</v>
      </c>
      <c r="M365" s="9" t="s">
        <v>1404</v>
      </c>
    </row>
    <row r="366" spans="1:13" ht="66" customHeight="1">
      <c r="A366" s="2" t="s">
        <v>1405</v>
      </c>
      <c r="B366" s="2" t="s">
        <v>1386</v>
      </c>
      <c r="C366" s="8" t="s">
        <v>1406</v>
      </c>
      <c r="D366" s="2">
        <v>1</v>
      </c>
      <c r="E366" s="8" t="s">
        <v>10156</v>
      </c>
      <c r="F366" s="2">
        <v>4</v>
      </c>
      <c r="G366" s="8" t="s">
        <v>8581</v>
      </c>
      <c r="H366" s="8" t="s">
        <v>8581</v>
      </c>
      <c r="I366" s="8"/>
      <c r="J366" s="8" t="s">
        <v>10159</v>
      </c>
      <c r="K366" s="8" t="s">
        <v>1410</v>
      </c>
      <c r="L366" s="8" t="str">
        <f>HYPERLINK("https://seichotoushi-hojo.jp/assets/pdf/koufu/outline__182.pdf","PDFを開く")</f>
        <v>PDFを開く</v>
      </c>
      <c r="M366" s="8" t="s">
        <v>1413</v>
      </c>
    </row>
    <row r="367" spans="1:13" ht="66" customHeight="1">
      <c r="A367" s="5" t="s">
        <v>1414</v>
      </c>
      <c r="B367" s="5" t="s">
        <v>1386</v>
      </c>
      <c r="C367" s="9" t="s">
        <v>1415</v>
      </c>
      <c r="D367" s="5">
        <v>1</v>
      </c>
      <c r="E367" s="9" t="s">
        <v>10156</v>
      </c>
      <c r="F367" s="5">
        <v>4</v>
      </c>
      <c r="G367" s="9" t="s">
        <v>8581</v>
      </c>
      <c r="H367" s="9" t="s">
        <v>8581</v>
      </c>
      <c r="I367" s="9"/>
      <c r="J367" s="9" t="s">
        <v>10159</v>
      </c>
      <c r="K367" s="9" t="s">
        <v>1419</v>
      </c>
      <c r="L367" s="9" t="str">
        <f>HYPERLINK("https://seichotoushi-hojo.jp/assets/pdf/koufu/outline__183.pdf","PDFを開く")</f>
        <v>PDFを開く</v>
      </c>
      <c r="M367" s="9" t="s">
        <v>1421</v>
      </c>
    </row>
    <row r="368" spans="1:13" ht="66" customHeight="1">
      <c r="A368" s="2" t="s">
        <v>1414</v>
      </c>
      <c r="B368" s="2" t="s">
        <v>1386</v>
      </c>
      <c r="C368" s="8" t="s">
        <v>1415</v>
      </c>
      <c r="D368" s="2">
        <v>2</v>
      </c>
      <c r="E368" s="8" t="s">
        <v>10165</v>
      </c>
      <c r="F368" s="2">
        <v>1</v>
      </c>
      <c r="G368" s="8" t="s">
        <v>10184</v>
      </c>
      <c r="H368" s="8" t="s">
        <v>10184</v>
      </c>
      <c r="I368" s="8"/>
      <c r="J368" s="8" t="s">
        <v>10159</v>
      </c>
      <c r="K368" s="8" t="s">
        <v>10525</v>
      </c>
      <c r="L368" s="8" t="str">
        <f>HYPERLINK("https://seichotoushi-hojo.jp/assets/pdf/koufu/outline__183.pdf","PDFを開く")</f>
        <v>PDFを開く</v>
      </c>
      <c r="M368" s="8" t="s">
        <v>1421</v>
      </c>
    </row>
    <row r="369" spans="1:13" ht="66" customHeight="1">
      <c r="A369" s="5" t="s">
        <v>1414</v>
      </c>
      <c r="B369" s="5" t="s">
        <v>1386</v>
      </c>
      <c r="C369" s="9" t="s">
        <v>1415</v>
      </c>
      <c r="D369" s="5">
        <v>2</v>
      </c>
      <c r="E369" s="9" t="s">
        <v>10165</v>
      </c>
      <c r="F369" s="5">
        <v>2</v>
      </c>
      <c r="G369" s="9" t="s">
        <v>10167</v>
      </c>
      <c r="H369" s="9" t="s">
        <v>10526</v>
      </c>
      <c r="I369" s="9"/>
      <c r="J369" s="9" t="s">
        <v>10159</v>
      </c>
      <c r="K369" s="9" t="s">
        <v>10526</v>
      </c>
      <c r="L369" s="9" t="str">
        <f>HYPERLINK("https://seichotoushi-hojo.jp/assets/pdf/koufu/outline__183.pdf","PDFを開く")</f>
        <v>PDFを開く</v>
      </c>
      <c r="M369" s="9" t="s">
        <v>1421</v>
      </c>
    </row>
    <row r="370" spans="1:13" ht="66" customHeight="1">
      <c r="A370" s="2" t="s">
        <v>1422</v>
      </c>
      <c r="B370" s="2" t="s">
        <v>1386</v>
      </c>
      <c r="C370" s="8" t="s">
        <v>1423</v>
      </c>
      <c r="D370" s="2">
        <v>1</v>
      </c>
      <c r="E370" s="8" t="s">
        <v>10156</v>
      </c>
      <c r="F370" s="2">
        <v>4</v>
      </c>
      <c r="G370" s="8" t="s">
        <v>8581</v>
      </c>
      <c r="H370" s="8" t="s">
        <v>8581</v>
      </c>
      <c r="I370" s="8"/>
      <c r="J370" s="8" t="s">
        <v>10159</v>
      </c>
      <c r="K370" s="8" t="s">
        <v>1427</v>
      </c>
      <c r="L370" s="8" t="str">
        <f>HYPERLINK("https://seichotoushi-hojo.jp/assets/pdf/koufu/outline__184.pdf","PDFを開く")</f>
        <v>PDFを開く</v>
      </c>
      <c r="M370" s="8" t="s">
        <v>1430</v>
      </c>
    </row>
    <row r="371" spans="1:13" ht="66" customHeight="1">
      <c r="A371" s="5" t="s">
        <v>1422</v>
      </c>
      <c r="B371" s="5" t="s">
        <v>1386</v>
      </c>
      <c r="C371" s="9" t="s">
        <v>1423</v>
      </c>
      <c r="D371" s="5">
        <v>3</v>
      </c>
      <c r="E371" s="9" t="s">
        <v>10165</v>
      </c>
      <c r="F371" s="5">
        <v>1</v>
      </c>
      <c r="G371" s="9" t="s">
        <v>10167</v>
      </c>
      <c r="H371" s="9" t="s">
        <v>10527</v>
      </c>
      <c r="I371" s="9"/>
      <c r="J371" s="9" t="s">
        <v>10159</v>
      </c>
      <c r="K371" s="9" t="s">
        <v>10528</v>
      </c>
      <c r="L371" s="9" t="str">
        <f>HYPERLINK("https://seichotoushi-hojo.jp/assets/pdf/koufu/outline__184.pdf","PDFを開く")</f>
        <v>PDFを開く</v>
      </c>
      <c r="M371" s="9" t="s">
        <v>1430</v>
      </c>
    </row>
    <row r="372" spans="1:13" ht="66" customHeight="1">
      <c r="A372" s="2" t="s">
        <v>1431</v>
      </c>
      <c r="B372" s="2" t="s">
        <v>1386</v>
      </c>
      <c r="C372" s="8" t="s">
        <v>1432</v>
      </c>
      <c r="D372" s="2">
        <v>1</v>
      </c>
      <c r="E372" s="8" t="s">
        <v>10156</v>
      </c>
      <c r="F372" s="2">
        <v>4</v>
      </c>
      <c r="G372" s="8" t="s">
        <v>8581</v>
      </c>
      <c r="H372" s="8" t="s">
        <v>8581</v>
      </c>
      <c r="I372" s="8"/>
      <c r="J372" s="8" t="s">
        <v>10159</v>
      </c>
      <c r="K372" s="8" t="s">
        <v>1436</v>
      </c>
      <c r="L372" s="8" t="str">
        <f>HYPERLINK("https://seichotoushi-hojo.jp/assets/pdf/koufu/outline__188.pdf","PDFを開く")</f>
        <v>PDFを開く</v>
      </c>
      <c r="M372" s="8" t="s">
        <v>1439</v>
      </c>
    </row>
    <row r="373" spans="1:13" ht="66" customHeight="1">
      <c r="A373" s="5" t="s">
        <v>1449</v>
      </c>
      <c r="B373" s="5" t="s">
        <v>1386</v>
      </c>
      <c r="C373" s="9" t="s">
        <v>1450</v>
      </c>
      <c r="D373" s="5">
        <v>1</v>
      </c>
      <c r="E373" s="9" t="s">
        <v>10156</v>
      </c>
      <c r="F373" s="5">
        <v>4</v>
      </c>
      <c r="G373" s="9" t="s">
        <v>8581</v>
      </c>
      <c r="H373" s="9" t="s">
        <v>8581</v>
      </c>
      <c r="I373" s="9"/>
      <c r="J373" s="9" t="s">
        <v>10159</v>
      </c>
      <c r="K373" s="9" t="s">
        <v>1454</v>
      </c>
      <c r="L373" s="9" t="str">
        <f>HYPERLINK("https://seichotoushi-hojo.jp/assets/pdf/koufu/outline__190.pdf","PDFを開く")</f>
        <v>PDFを開く</v>
      </c>
      <c r="M373" s="9" t="s">
        <v>1457</v>
      </c>
    </row>
    <row r="374" spans="1:13" ht="66" customHeight="1">
      <c r="A374" s="2" t="s">
        <v>1449</v>
      </c>
      <c r="B374" s="2" t="s">
        <v>1386</v>
      </c>
      <c r="C374" s="8" t="s">
        <v>1450</v>
      </c>
      <c r="D374" s="2">
        <v>1</v>
      </c>
      <c r="E374" s="8" t="s">
        <v>10156</v>
      </c>
      <c r="F374" s="2">
        <v>7</v>
      </c>
      <c r="G374" s="8" t="s">
        <v>10167</v>
      </c>
      <c r="H374" s="8" t="s">
        <v>10532</v>
      </c>
      <c r="I374" s="8"/>
      <c r="J374" s="8" t="s">
        <v>10159</v>
      </c>
      <c r="K374" s="8" t="s">
        <v>10533</v>
      </c>
      <c r="L374" s="8" t="str">
        <f>HYPERLINK("https://seichotoushi-hojo.jp/assets/pdf/koufu/outline__190.pdf","PDFを開く")</f>
        <v>PDFを開く</v>
      </c>
      <c r="M374" s="8" t="s">
        <v>1457</v>
      </c>
    </row>
    <row r="375" spans="1:13" ht="66" customHeight="1">
      <c r="A375" s="5" t="s">
        <v>1458</v>
      </c>
      <c r="B375" s="5" t="s">
        <v>1386</v>
      </c>
      <c r="C375" s="9" t="s">
        <v>1459</v>
      </c>
      <c r="D375" s="5">
        <v>1</v>
      </c>
      <c r="E375" s="9" t="s">
        <v>10156</v>
      </c>
      <c r="F375" s="5">
        <v>4</v>
      </c>
      <c r="G375" s="9" t="s">
        <v>8581</v>
      </c>
      <c r="H375" s="9" t="s">
        <v>8581</v>
      </c>
      <c r="I375" s="9"/>
      <c r="J375" s="9" t="s">
        <v>10159</v>
      </c>
      <c r="K375" s="9" t="s">
        <v>1463</v>
      </c>
      <c r="L375" s="9" t="str">
        <f>HYPERLINK("https://seichotoushi-hojo.jp/assets/pdf/koufu/outline__191.pdf","PDFを開く")</f>
        <v>PDFを開く</v>
      </c>
      <c r="M375" s="9" t="s">
        <v>1466</v>
      </c>
    </row>
    <row r="376" spans="1:13" ht="66" customHeight="1">
      <c r="A376" s="2" t="s">
        <v>1458</v>
      </c>
      <c r="B376" s="2" t="s">
        <v>1386</v>
      </c>
      <c r="C376" s="8" t="s">
        <v>1459</v>
      </c>
      <c r="D376" s="2">
        <v>2</v>
      </c>
      <c r="E376" s="8" t="s">
        <v>10165</v>
      </c>
      <c r="F376" s="2">
        <v>1</v>
      </c>
      <c r="G376" s="8" t="s">
        <v>10184</v>
      </c>
      <c r="H376" s="8" t="s">
        <v>10184</v>
      </c>
      <c r="I376" s="8"/>
      <c r="J376" s="8" t="s">
        <v>10181</v>
      </c>
      <c r="K376" s="8" t="s">
        <v>10534</v>
      </c>
      <c r="L376" s="8" t="str">
        <f>HYPERLINK("https://seichotoushi-hojo.jp/assets/pdf/koufu/outline__191.pdf","PDFを開く")</f>
        <v>PDFを開く</v>
      </c>
      <c r="M376" s="8" t="s">
        <v>1466</v>
      </c>
    </row>
    <row r="377" spans="1:13" ht="66" customHeight="1">
      <c r="A377" s="5" t="s">
        <v>1467</v>
      </c>
      <c r="B377" s="5" t="s">
        <v>1386</v>
      </c>
      <c r="C377" s="9" t="s">
        <v>1468</v>
      </c>
      <c r="D377" s="5">
        <v>1</v>
      </c>
      <c r="E377" s="9" t="s">
        <v>10156</v>
      </c>
      <c r="F377" s="5">
        <v>1</v>
      </c>
      <c r="G377" s="9" t="s">
        <v>8581</v>
      </c>
      <c r="H377" s="9" t="s">
        <v>8581</v>
      </c>
      <c r="I377" s="9" t="s">
        <v>10158</v>
      </c>
      <c r="J377" s="9" t="s">
        <v>10159</v>
      </c>
      <c r="K377" s="9" t="s">
        <v>8515</v>
      </c>
      <c r="L377" s="9" t="str">
        <f>HYPERLINK("https://seichotoushi-hojo.jp/assets/pdf/koufu/outline__192.pdf","PDFを開く")</f>
        <v>PDFを開く</v>
      </c>
      <c r="M377" s="9" t="s">
        <v>1473</v>
      </c>
    </row>
    <row r="378" spans="1:13" ht="66" customHeight="1">
      <c r="A378" s="2" t="s">
        <v>1467</v>
      </c>
      <c r="B378" s="2" t="s">
        <v>1386</v>
      </c>
      <c r="C378" s="8" t="s">
        <v>1468</v>
      </c>
      <c r="D378" s="2">
        <v>2</v>
      </c>
      <c r="E378" s="8" t="s">
        <v>10165</v>
      </c>
      <c r="F378" s="2">
        <v>1</v>
      </c>
      <c r="G378" s="8" t="s">
        <v>10167</v>
      </c>
      <c r="H378" s="8" t="s">
        <v>10537</v>
      </c>
      <c r="I378" s="8"/>
      <c r="J378" s="8" t="s">
        <v>10159</v>
      </c>
      <c r="K378" s="8" t="s">
        <v>10538</v>
      </c>
      <c r="L378" s="8" t="str">
        <f>HYPERLINK("https://seichotoushi-hojo.jp/assets/pdf/koufu/outline__192.pdf","PDFを開く")</f>
        <v>PDFを開く</v>
      </c>
      <c r="M378" s="8" t="s">
        <v>1473</v>
      </c>
    </row>
    <row r="379" spans="1:13" ht="66" customHeight="1">
      <c r="A379" s="5" t="s">
        <v>1467</v>
      </c>
      <c r="B379" s="5" t="s">
        <v>1386</v>
      </c>
      <c r="C379" s="9" t="s">
        <v>1468</v>
      </c>
      <c r="D379" s="5">
        <v>2</v>
      </c>
      <c r="E379" s="9" t="s">
        <v>10165</v>
      </c>
      <c r="F379" s="5">
        <v>2</v>
      </c>
      <c r="G379" s="9" t="s">
        <v>10167</v>
      </c>
      <c r="H379" s="9" t="s">
        <v>3504</v>
      </c>
      <c r="I379" s="9"/>
      <c r="J379" s="9" t="s">
        <v>10159</v>
      </c>
      <c r="K379" s="9" t="s">
        <v>10186</v>
      </c>
      <c r="L379" s="9" t="str">
        <f>HYPERLINK("https://seichotoushi-hojo.jp/assets/pdf/koufu/outline__192.pdf","PDFを開く")</f>
        <v>PDFを開く</v>
      </c>
      <c r="M379" s="9" t="s">
        <v>1473</v>
      </c>
    </row>
    <row r="380" spans="1:13" ht="66" customHeight="1">
      <c r="A380" s="2" t="s">
        <v>1483</v>
      </c>
      <c r="B380" s="2" t="s">
        <v>1386</v>
      </c>
      <c r="C380" s="8" t="s">
        <v>1484</v>
      </c>
      <c r="D380" s="2">
        <v>1</v>
      </c>
      <c r="E380" s="8" t="s">
        <v>10156</v>
      </c>
      <c r="F380" s="2">
        <v>4</v>
      </c>
      <c r="G380" s="8" t="s">
        <v>8581</v>
      </c>
      <c r="H380" s="8" t="s">
        <v>8581</v>
      </c>
      <c r="I380" s="8"/>
      <c r="J380" s="8" t="s">
        <v>10159</v>
      </c>
      <c r="K380" s="8" t="s">
        <v>8530</v>
      </c>
      <c r="L380" s="8" t="str">
        <f>HYPERLINK("https://seichotoushi-hojo.jp/assets/pdf/koufu/outline__195.pdf","PDFを開く")</f>
        <v>PDFを開く</v>
      </c>
      <c r="M380" s="8" t="s">
        <v>1490</v>
      </c>
    </row>
    <row r="381" spans="1:13" ht="66" customHeight="1">
      <c r="A381" s="5" t="s">
        <v>1483</v>
      </c>
      <c r="B381" s="5" t="s">
        <v>1386</v>
      </c>
      <c r="C381" s="9" t="s">
        <v>1484</v>
      </c>
      <c r="D381" s="5">
        <v>1</v>
      </c>
      <c r="E381" s="9" t="s">
        <v>10156</v>
      </c>
      <c r="F381" s="5">
        <v>5</v>
      </c>
      <c r="G381" s="9" t="s">
        <v>10171</v>
      </c>
      <c r="H381" s="9" t="s">
        <v>10171</v>
      </c>
      <c r="I381" s="9"/>
      <c r="J381" s="9" t="s">
        <v>10181</v>
      </c>
      <c r="K381" s="9" t="s">
        <v>10539</v>
      </c>
      <c r="L381" s="9" t="str">
        <f>HYPERLINK("https://seichotoushi-hojo.jp/assets/pdf/koufu/outline__195.pdf","PDFを開く")</f>
        <v>PDFを開く</v>
      </c>
      <c r="M381" s="9" t="s">
        <v>1490</v>
      </c>
    </row>
    <row r="382" spans="1:13" ht="66" customHeight="1">
      <c r="A382" s="2" t="s">
        <v>1483</v>
      </c>
      <c r="B382" s="2" t="s">
        <v>1386</v>
      </c>
      <c r="C382" s="8" t="s">
        <v>1484</v>
      </c>
      <c r="D382" s="2">
        <v>1</v>
      </c>
      <c r="E382" s="8" t="s">
        <v>10156</v>
      </c>
      <c r="F382" s="2">
        <v>6</v>
      </c>
      <c r="G382" s="8" t="s">
        <v>10171</v>
      </c>
      <c r="H382" s="8" t="s">
        <v>10171</v>
      </c>
      <c r="I382" s="8"/>
      <c r="J382" s="8" t="s">
        <v>10159</v>
      </c>
      <c r="K382" s="8" t="s">
        <v>10540</v>
      </c>
      <c r="L382" s="8" t="str">
        <f>HYPERLINK("https://seichotoushi-hojo.jp/assets/pdf/koufu/outline__195.pdf","PDFを開く")</f>
        <v>PDFを開く</v>
      </c>
      <c r="M382" s="8" t="s">
        <v>1490</v>
      </c>
    </row>
    <row r="383" spans="1:13" ht="66" customHeight="1">
      <c r="A383" s="5" t="s">
        <v>1483</v>
      </c>
      <c r="B383" s="5" t="s">
        <v>1386</v>
      </c>
      <c r="C383" s="9" t="s">
        <v>1484</v>
      </c>
      <c r="D383" s="5">
        <v>2</v>
      </c>
      <c r="E383" s="9" t="s">
        <v>10165</v>
      </c>
      <c r="F383" s="5">
        <v>1</v>
      </c>
      <c r="G383" s="9" t="s">
        <v>10184</v>
      </c>
      <c r="H383" s="9" t="s">
        <v>10184</v>
      </c>
      <c r="I383" s="9"/>
      <c r="J383" s="9" t="s">
        <v>10181</v>
      </c>
      <c r="K383" s="9" t="s">
        <v>10541</v>
      </c>
      <c r="L383" s="9" t="str">
        <f>HYPERLINK("https://seichotoushi-hojo.jp/assets/pdf/koufu/outline__195.pdf","PDFを開く")</f>
        <v>PDFを開く</v>
      </c>
      <c r="M383" s="9" t="s">
        <v>1490</v>
      </c>
    </row>
    <row r="384" spans="1:13" ht="66" customHeight="1">
      <c r="A384" s="2" t="s">
        <v>1491</v>
      </c>
      <c r="B384" s="2" t="s">
        <v>1386</v>
      </c>
      <c r="C384" s="8" t="s">
        <v>1492</v>
      </c>
      <c r="D384" s="2">
        <v>1</v>
      </c>
      <c r="E384" s="8" t="s">
        <v>10156</v>
      </c>
      <c r="F384" s="2">
        <v>4</v>
      </c>
      <c r="G384" s="8" t="s">
        <v>8581</v>
      </c>
      <c r="H384" s="8" t="s">
        <v>8581</v>
      </c>
      <c r="I384" s="8"/>
      <c r="J384" s="8" t="s">
        <v>10159</v>
      </c>
      <c r="K384" s="8" t="s">
        <v>1496</v>
      </c>
      <c r="L384" s="8" t="str">
        <f>HYPERLINK("https://seichotoushi-hojo.jp/assets/pdf/koufu/outline__196.pdf","PDFを開く")</f>
        <v>PDFを開く</v>
      </c>
      <c r="M384" s="8" t="s">
        <v>1498</v>
      </c>
    </row>
    <row r="385" spans="1:13" ht="66" customHeight="1">
      <c r="A385" s="5" t="s">
        <v>1491</v>
      </c>
      <c r="B385" s="5" t="s">
        <v>1386</v>
      </c>
      <c r="C385" s="9" t="s">
        <v>1492</v>
      </c>
      <c r="D385" s="5">
        <v>2</v>
      </c>
      <c r="E385" s="9" t="s">
        <v>10165</v>
      </c>
      <c r="F385" s="5">
        <v>1</v>
      </c>
      <c r="G385" s="9" t="s">
        <v>10184</v>
      </c>
      <c r="H385" s="9" t="s">
        <v>10184</v>
      </c>
      <c r="I385" s="9"/>
      <c r="J385" s="9" t="s">
        <v>10181</v>
      </c>
      <c r="K385" s="9" t="s">
        <v>10542</v>
      </c>
      <c r="L385" s="9" t="str">
        <f>HYPERLINK("https://seichotoushi-hojo.jp/assets/pdf/koufu/outline__196.pdf","PDFを開く")</f>
        <v>PDFを開く</v>
      </c>
      <c r="M385" s="9" t="s">
        <v>1498</v>
      </c>
    </row>
    <row r="386" spans="1:13" ht="66" customHeight="1">
      <c r="A386" s="2" t="s">
        <v>1491</v>
      </c>
      <c r="B386" s="2" t="s">
        <v>1386</v>
      </c>
      <c r="C386" s="8" t="s">
        <v>1492</v>
      </c>
      <c r="D386" s="2">
        <v>2</v>
      </c>
      <c r="E386" s="8" t="s">
        <v>10165</v>
      </c>
      <c r="F386" s="2">
        <v>2</v>
      </c>
      <c r="G386" s="8" t="s">
        <v>10167</v>
      </c>
      <c r="H386" s="8" t="s">
        <v>10543</v>
      </c>
      <c r="I386" s="8"/>
      <c r="J386" s="8" t="s">
        <v>10159</v>
      </c>
      <c r="K386" s="8" t="s">
        <v>10543</v>
      </c>
      <c r="L386" s="8" t="str">
        <f>HYPERLINK("https://seichotoushi-hojo.jp/assets/pdf/koufu/outline__196.pdf","PDFを開く")</f>
        <v>PDFを開く</v>
      </c>
      <c r="M386" s="8" t="s">
        <v>1498</v>
      </c>
    </row>
    <row r="387" spans="1:13" ht="66" customHeight="1">
      <c r="A387" s="5" t="s">
        <v>1499</v>
      </c>
      <c r="B387" s="5" t="s">
        <v>1386</v>
      </c>
      <c r="C387" s="9" t="s">
        <v>1500</v>
      </c>
      <c r="D387" s="5">
        <v>1</v>
      </c>
      <c r="E387" s="9" t="s">
        <v>10156</v>
      </c>
      <c r="F387" s="5">
        <v>4</v>
      </c>
      <c r="G387" s="9" t="s">
        <v>8581</v>
      </c>
      <c r="H387" s="9" t="s">
        <v>8581</v>
      </c>
      <c r="I387" s="9"/>
      <c r="J387" s="9" t="s">
        <v>10159</v>
      </c>
      <c r="K387" s="9" t="s">
        <v>8545</v>
      </c>
      <c r="L387" s="9" t="str">
        <f>HYPERLINK("https://seichotoushi-hojo.jp/assets/pdf/koufu/outline__197.pdf","PDFを開く")</f>
        <v>PDFを開く</v>
      </c>
      <c r="M387" s="9" t="s">
        <v>1505</v>
      </c>
    </row>
    <row r="388" spans="1:13" ht="66" customHeight="1">
      <c r="A388" s="2" t="s">
        <v>1506</v>
      </c>
      <c r="B388" s="2" t="s">
        <v>1386</v>
      </c>
      <c r="C388" s="8" t="s">
        <v>1507</v>
      </c>
      <c r="D388" s="2">
        <v>1</v>
      </c>
      <c r="E388" s="8" t="s">
        <v>10156</v>
      </c>
      <c r="F388" s="2">
        <v>4</v>
      </c>
      <c r="G388" s="8" t="s">
        <v>8581</v>
      </c>
      <c r="H388" s="8" t="s">
        <v>8581</v>
      </c>
      <c r="I388" s="8"/>
      <c r="J388" s="8" t="s">
        <v>10159</v>
      </c>
      <c r="K388" s="8" t="s">
        <v>1511</v>
      </c>
      <c r="L388" s="8" t="str">
        <f>HYPERLINK("https://seichotoushi-hojo.jp/assets/pdf/koufu/outline__198.pdf","PDFを開く")</f>
        <v>PDFを開く</v>
      </c>
      <c r="M388" s="8" t="s">
        <v>1513</v>
      </c>
    </row>
    <row r="389" spans="1:13" ht="66" customHeight="1">
      <c r="A389" s="5" t="s">
        <v>1506</v>
      </c>
      <c r="B389" s="5" t="s">
        <v>1386</v>
      </c>
      <c r="C389" s="9" t="s">
        <v>1507</v>
      </c>
      <c r="D389" s="5">
        <v>2</v>
      </c>
      <c r="E389" s="9" t="s">
        <v>10165</v>
      </c>
      <c r="F389" s="5">
        <v>1</v>
      </c>
      <c r="G389" s="9" t="s">
        <v>10167</v>
      </c>
      <c r="H389" s="9" t="s">
        <v>10544</v>
      </c>
      <c r="I389" s="9"/>
      <c r="J389" s="9" t="s">
        <v>10159</v>
      </c>
      <c r="K389" s="9" t="s">
        <v>10545</v>
      </c>
      <c r="L389" s="9" t="str">
        <f>HYPERLINK("https://seichotoushi-hojo.jp/assets/pdf/koufu/outline__198.pdf","PDFを開く")</f>
        <v>PDFを開く</v>
      </c>
      <c r="M389" s="9" t="s">
        <v>1513</v>
      </c>
    </row>
    <row r="390" spans="1:13" ht="66" customHeight="1">
      <c r="A390" s="2" t="s">
        <v>1514</v>
      </c>
      <c r="B390" s="2" t="s">
        <v>1386</v>
      </c>
      <c r="C390" s="8" t="s">
        <v>1515</v>
      </c>
      <c r="D390" s="2">
        <v>1</v>
      </c>
      <c r="E390" s="8" t="s">
        <v>10156</v>
      </c>
      <c r="F390" s="2">
        <v>1</v>
      </c>
      <c r="G390" s="8" t="s">
        <v>10157</v>
      </c>
      <c r="H390" s="8" t="s">
        <v>10157</v>
      </c>
      <c r="I390" s="8" t="s">
        <v>10158</v>
      </c>
      <c r="J390" s="8" t="s">
        <v>10159</v>
      </c>
      <c r="K390" s="8" t="s">
        <v>8557</v>
      </c>
      <c r="L390" s="8" t="str">
        <f>HYPERLINK("https://seichotoushi-hojo.jp/assets/pdf/koufu/outline__199.pdf","PDFを開く")</f>
        <v>PDFを開く</v>
      </c>
      <c r="M390" s="8" t="s">
        <v>1521</v>
      </c>
    </row>
    <row r="391" spans="1:13" ht="66" customHeight="1">
      <c r="A391" s="5" t="s">
        <v>1514</v>
      </c>
      <c r="B391" s="5" t="s">
        <v>1386</v>
      </c>
      <c r="C391" s="9" t="s">
        <v>1515</v>
      </c>
      <c r="D391" s="5">
        <v>1</v>
      </c>
      <c r="E391" s="9" t="s">
        <v>10156</v>
      </c>
      <c r="F391" s="5">
        <v>2</v>
      </c>
      <c r="G391" s="9" t="s">
        <v>10167</v>
      </c>
      <c r="H391" s="9" t="s">
        <v>10546</v>
      </c>
      <c r="I391" s="9"/>
      <c r="J391" s="9" t="s">
        <v>10159</v>
      </c>
      <c r="K391" s="9" t="s">
        <v>10547</v>
      </c>
      <c r="L391" s="9" t="str">
        <f>HYPERLINK("https://seichotoushi-hojo.jp/assets/pdf/koufu/outline__199.pdf","PDFを開く")</f>
        <v>PDFを開く</v>
      </c>
      <c r="M391" s="9" t="s">
        <v>1521</v>
      </c>
    </row>
    <row r="392" spans="1:13" ht="66" customHeight="1">
      <c r="A392" s="2" t="s">
        <v>1514</v>
      </c>
      <c r="B392" s="2" t="s">
        <v>1386</v>
      </c>
      <c r="C392" s="8" t="s">
        <v>1515</v>
      </c>
      <c r="D392" s="2">
        <v>2</v>
      </c>
      <c r="E392" s="8" t="s">
        <v>10156</v>
      </c>
      <c r="F392" s="2">
        <v>1</v>
      </c>
      <c r="G392" s="8" t="s">
        <v>10167</v>
      </c>
      <c r="H392" s="8" t="s">
        <v>10548</v>
      </c>
      <c r="I392" s="8"/>
      <c r="J392" s="8" t="s">
        <v>10159</v>
      </c>
      <c r="K392" s="8" t="s">
        <v>10549</v>
      </c>
      <c r="L392" s="8" t="str">
        <f>HYPERLINK("https://seichotoushi-hojo.jp/assets/pdf/koufu/outline__199.pdf","PDFを開く")</f>
        <v>PDFを開く</v>
      </c>
      <c r="M392" s="8" t="s">
        <v>1521</v>
      </c>
    </row>
    <row r="393" spans="1:13" ht="66" customHeight="1">
      <c r="A393" s="5" t="s">
        <v>1514</v>
      </c>
      <c r="B393" s="5" t="s">
        <v>1386</v>
      </c>
      <c r="C393" s="9" t="s">
        <v>1515</v>
      </c>
      <c r="D393" s="5">
        <v>2</v>
      </c>
      <c r="E393" s="9" t="s">
        <v>10156</v>
      </c>
      <c r="F393" s="5">
        <v>5</v>
      </c>
      <c r="G393" s="9" t="s">
        <v>8581</v>
      </c>
      <c r="H393" s="9" t="s">
        <v>8581</v>
      </c>
      <c r="I393" s="9"/>
      <c r="J393" s="9" t="s">
        <v>10159</v>
      </c>
      <c r="K393" s="9" t="s">
        <v>1519</v>
      </c>
      <c r="L393" s="9" t="str">
        <f>HYPERLINK("https://seichotoushi-hojo.jp/assets/pdf/koufu/outline__199.pdf","PDFを開く")</f>
        <v>PDFを開く</v>
      </c>
      <c r="M393" s="9" t="s">
        <v>1521</v>
      </c>
    </row>
    <row r="394" spans="1:13" ht="66" customHeight="1">
      <c r="A394" s="2" t="s">
        <v>1528</v>
      </c>
      <c r="B394" s="2" t="s">
        <v>1386</v>
      </c>
      <c r="C394" s="8" t="s">
        <v>1529</v>
      </c>
      <c r="D394" s="2">
        <v>1</v>
      </c>
      <c r="E394" s="8" t="s">
        <v>10156</v>
      </c>
      <c r="F394" s="2">
        <v>4</v>
      </c>
      <c r="G394" s="8" t="s">
        <v>8581</v>
      </c>
      <c r="H394" s="8" t="s">
        <v>8581</v>
      </c>
      <c r="I394" s="8"/>
      <c r="J394" s="8" t="s">
        <v>10159</v>
      </c>
      <c r="K394" s="8" t="s">
        <v>1532</v>
      </c>
      <c r="L394" s="8" t="str">
        <f>HYPERLINK("https://seichotoushi-hojo.jp/assets/pdf/koufu/outline__201.pdf","PDFを開く")</f>
        <v>PDFを開く</v>
      </c>
      <c r="M394" s="8" t="s">
        <v>1534</v>
      </c>
    </row>
    <row r="395" spans="1:13" ht="66" customHeight="1">
      <c r="A395" s="5" t="s">
        <v>1535</v>
      </c>
      <c r="B395" s="5" t="s">
        <v>1386</v>
      </c>
      <c r="C395" s="9" t="s">
        <v>1536</v>
      </c>
      <c r="D395" s="5">
        <v>1</v>
      </c>
      <c r="E395" s="9" t="s">
        <v>10156</v>
      </c>
      <c r="F395" s="5">
        <v>4</v>
      </c>
      <c r="G395" s="9" t="s">
        <v>8581</v>
      </c>
      <c r="H395" s="9" t="s">
        <v>8581</v>
      </c>
      <c r="I395" s="9"/>
      <c r="J395" s="9" t="s">
        <v>10159</v>
      </c>
      <c r="K395" s="9" t="s">
        <v>8581</v>
      </c>
      <c r="L395" s="9" t="str">
        <f>HYPERLINK("https://seichotoushi-hojo.jp/assets/pdf/koufu/outline__202.pdf","PDFを開く")</f>
        <v>PDFを開く</v>
      </c>
      <c r="M395" s="9" t="s">
        <v>1542</v>
      </c>
    </row>
    <row r="396" spans="1:13" ht="66" customHeight="1">
      <c r="A396" s="2" t="s">
        <v>1543</v>
      </c>
      <c r="B396" s="2" t="s">
        <v>1386</v>
      </c>
      <c r="C396" s="8" t="s">
        <v>1544</v>
      </c>
      <c r="D396" s="2">
        <v>1</v>
      </c>
      <c r="E396" s="8" t="s">
        <v>10156</v>
      </c>
      <c r="F396" s="2">
        <v>4</v>
      </c>
      <c r="G396" s="8" t="s">
        <v>8581</v>
      </c>
      <c r="H396" s="8" t="s">
        <v>8581</v>
      </c>
      <c r="I396" s="8"/>
      <c r="J396" s="8" t="s">
        <v>10159</v>
      </c>
      <c r="K396" s="8" t="s">
        <v>1548</v>
      </c>
      <c r="L396" s="8" t="str">
        <f>HYPERLINK("https://seichotoushi-hojo.jp/assets/pdf/koufu/outline__203.pdf","PDFを開く")</f>
        <v>PDFを開く</v>
      </c>
      <c r="M396" s="8" t="s">
        <v>1550</v>
      </c>
    </row>
    <row r="397" spans="1:13" ht="66" customHeight="1">
      <c r="A397" s="5" t="s">
        <v>1543</v>
      </c>
      <c r="B397" s="5" t="s">
        <v>1386</v>
      </c>
      <c r="C397" s="9" t="s">
        <v>1544</v>
      </c>
      <c r="D397" s="5">
        <v>2</v>
      </c>
      <c r="E397" s="9" t="s">
        <v>10165</v>
      </c>
      <c r="F397" s="5">
        <v>1</v>
      </c>
      <c r="G397" s="9" t="s">
        <v>10184</v>
      </c>
      <c r="H397" s="9" t="s">
        <v>10184</v>
      </c>
      <c r="I397" s="9"/>
      <c r="J397" s="9" t="s">
        <v>10159</v>
      </c>
      <c r="K397" s="9" t="s">
        <v>10550</v>
      </c>
      <c r="L397" s="9" t="str">
        <f>HYPERLINK("https://seichotoushi-hojo.jp/assets/pdf/koufu/outline__203.pdf","PDFを開く")</f>
        <v>PDFを開く</v>
      </c>
      <c r="M397" s="9" t="s">
        <v>1550</v>
      </c>
    </row>
    <row r="398" spans="1:13" ht="66" customHeight="1">
      <c r="A398" s="2" t="s">
        <v>1543</v>
      </c>
      <c r="B398" s="2" t="s">
        <v>1386</v>
      </c>
      <c r="C398" s="8" t="s">
        <v>1544</v>
      </c>
      <c r="D398" s="2">
        <v>3</v>
      </c>
      <c r="E398" s="8" t="s">
        <v>10165</v>
      </c>
      <c r="F398" s="2">
        <v>1</v>
      </c>
      <c r="G398" s="8" t="s">
        <v>10184</v>
      </c>
      <c r="H398" s="8" t="s">
        <v>10184</v>
      </c>
      <c r="I398" s="8"/>
      <c r="J398" s="8" t="s">
        <v>10159</v>
      </c>
      <c r="K398" s="8" t="s">
        <v>10550</v>
      </c>
      <c r="L398" s="8" t="str">
        <f>HYPERLINK("https://seichotoushi-hojo.jp/assets/pdf/koufu/outline__203.pdf","PDFを開く")</f>
        <v>PDFを開く</v>
      </c>
      <c r="M398" s="8" t="s">
        <v>1550</v>
      </c>
    </row>
    <row r="399" spans="1:13" ht="66" customHeight="1">
      <c r="A399" s="5" t="s">
        <v>1551</v>
      </c>
      <c r="B399" s="5" t="s">
        <v>1386</v>
      </c>
      <c r="C399" s="9" t="s">
        <v>1552</v>
      </c>
      <c r="D399" s="5">
        <v>1</v>
      </c>
      <c r="E399" s="9" t="s">
        <v>10156</v>
      </c>
      <c r="F399" s="5">
        <v>4</v>
      </c>
      <c r="G399" s="9" t="s">
        <v>8581</v>
      </c>
      <c r="H399" s="9" t="s">
        <v>8581</v>
      </c>
      <c r="I399" s="9"/>
      <c r="J399" s="9" t="s">
        <v>10159</v>
      </c>
      <c r="K399" s="9" t="s">
        <v>1556</v>
      </c>
      <c r="L399" s="9" t="str">
        <f>HYPERLINK("https://seichotoushi-hojo.jp/assets/pdf/koufu/outline__204.pdf","PDFを開く")</f>
        <v>PDFを開く</v>
      </c>
      <c r="M399" s="9" t="s">
        <v>1559</v>
      </c>
    </row>
    <row r="400" spans="1:13" ht="66" customHeight="1">
      <c r="A400" s="2" t="s">
        <v>1551</v>
      </c>
      <c r="B400" s="2" t="s">
        <v>1386</v>
      </c>
      <c r="C400" s="8" t="s">
        <v>1552</v>
      </c>
      <c r="D400" s="2">
        <v>2</v>
      </c>
      <c r="E400" s="8" t="s">
        <v>10165</v>
      </c>
      <c r="F400" s="2">
        <v>1</v>
      </c>
      <c r="G400" s="8" t="s">
        <v>10167</v>
      </c>
      <c r="H400" s="8" t="s">
        <v>10551</v>
      </c>
      <c r="I400" s="8"/>
      <c r="J400" s="8" t="s">
        <v>10159</v>
      </c>
      <c r="K400" s="8" t="s">
        <v>10551</v>
      </c>
      <c r="L400" s="8" t="str">
        <f>HYPERLINK("https://seichotoushi-hojo.jp/assets/pdf/koufu/outline__204.pdf","PDFを開く")</f>
        <v>PDFを開く</v>
      </c>
      <c r="M400" s="8" t="s">
        <v>1559</v>
      </c>
    </row>
    <row r="401" spans="1:13" ht="66" customHeight="1">
      <c r="A401" s="5" t="s">
        <v>1560</v>
      </c>
      <c r="B401" s="5" t="s">
        <v>1386</v>
      </c>
      <c r="C401" s="9" t="s">
        <v>1561</v>
      </c>
      <c r="D401" s="5">
        <v>1</v>
      </c>
      <c r="E401" s="9" t="s">
        <v>10156</v>
      </c>
      <c r="F401" s="5">
        <v>4</v>
      </c>
      <c r="G401" s="9" t="s">
        <v>8581</v>
      </c>
      <c r="H401" s="9" t="s">
        <v>8581</v>
      </c>
      <c r="I401" s="9"/>
      <c r="J401" s="9" t="s">
        <v>10159</v>
      </c>
      <c r="K401" s="9" t="s">
        <v>1565</v>
      </c>
      <c r="L401" s="9" t="str">
        <f>HYPERLINK("https://seichotoushi-hojo.jp/assets/pdf/koufu/outline__205.pdf","PDFを開く")</f>
        <v>PDFを開く</v>
      </c>
      <c r="M401" s="9" t="s">
        <v>1568</v>
      </c>
    </row>
    <row r="402" spans="1:13" ht="66" customHeight="1">
      <c r="A402" s="2" t="s">
        <v>1560</v>
      </c>
      <c r="B402" s="2" t="s">
        <v>1386</v>
      </c>
      <c r="C402" s="8" t="s">
        <v>1561</v>
      </c>
      <c r="D402" s="2">
        <v>2</v>
      </c>
      <c r="E402" s="8" t="s">
        <v>10165</v>
      </c>
      <c r="F402" s="2">
        <v>1</v>
      </c>
      <c r="G402" s="8" t="s">
        <v>10167</v>
      </c>
      <c r="H402" s="8" t="s">
        <v>3332</v>
      </c>
      <c r="I402" s="8"/>
      <c r="J402" s="8" t="s">
        <v>10159</v>
      </c>
      <c r="K402" s="8" t="s">
        <v>10552</v>
      </c>
      <c r="L402" s="8" t="str">
        <f>HYPERLINK("https://seichotoushi-hojo.jp/assets/pdf/koufu/outline__205.pdf","PDFを開く")</f>
        <v>PDFを開く</v>
      </c>
      <c r="M402" s="8" t="s">
        <v>1568</v>
      </c>
    </row>
    <row r="403" spans="1:13" ht="66" customHeight="1">
      <c r="A403" s="5" t="s">
        <v>1569</v>
      </c>
      <c r="B403" s="5" t="s">
        <v>1386</v>
      </c>
      <c r="C403" s="9" t="s">
        <v>1570</v>
      </c>
      <c r="D403" s="5">
        <v>1</v>
      </c>
      <c r="E403" s="9" t="s">
        <v>10156</v>
      </c>
      <c r="F403" s="5">
        <v>4</v>
      </c>
      <c r="G403" s="9" t="s">
        <v>8581</v>
      </c>
      <c r="H403" s="9" t="s">
        <v>8581</v>
      </c>
      <c r="I403" s="9"/>
      <c r="J403" s="9" t="s">
        <v>10159</v>
      </c>
      <c r="K403" s="9" t="s">
        <v>1573</v>
      </c>
      <c r="L403" s="9" t="str">
        <f>HYPERLINK("https://seichotoushi-hojo.jp/assets/pdf/koufu/outline__206.pdf","PDFを開く")</f>
        <v>PDFを開く</v>
      </c>
      <c r="M403" s="9" t="s">
        <v>1575</v>
      </c>
    </row>
    <row r="404" spans="1:13" ht="66" customHeight="1">
      <c r="A404" s="2" t="s">
        <v>1576</v>
      </c>
      <c r="B404" s="2" t="s">
        <v>1386</v>
      </c>
      <c r="C404" s="8" t="s">
        <v>1577</v>
      </c>
      <c r="D404" s="2">
        <v>1</v>
      </c>
      <c r="E404" s="8" t="s">
        <v>10156</v>
      </c>
      <c r="F404" s="2">
        <v>2</v>
      </c>
      <c r="G404" s="8" t="s">
        <v>10167</v>
      </c>
      <c r="H404" s="8" t="s">
        <v>10553</v>
      </c>
      <c r="I404" s="8"/>
      <c r="J404" s="8" t="s">
        <v>10159</v>
      </c>
      <c r="K404" s="8" t="s">
        <v>10554</v>
      </c>
      <c r="L404" s="8" t="str">
        <f t="shared" ref="L404:L409" si="10">HYPERLINK("https://seichotoushi-hojo.jp/assets/pdf/koufu/outline__207.pdf","PDFを開く")</f>
        <v>PDFを開く</v>
      </c>
      <c r="M404" s="8" t="s">
        <v>1583</v>
      </c>
    </row>
    <row r="405" spans="1:13" ht="66" customHeight="1">
      <c r="A405" s="5" t="s">
        <v>1576</v>
      </c>
      <c r="B405" s="5" t="s">
        <v>1386</v>
      </c>
      <c r="C405" s="9" t="s">
        <v>1577</v>
      </c>
      <c r="D405" s="5">
        <v>1</v>
      </c>
      <c r="E405" s="9" t="s">
        <v>10156</v>
      </c>
      <c r="F405" s="5">
        <v>3</v>
      </c>
      <c r="G405" s="9" t="s">
        <v>10167</v>
      </c>
      <c r="H405" s="9" t="s">
        <v>10555</v>
      </c>
      <c r="I405" s="9"/>
      <c r="J405" s="9" t="s">
        <v>10159</v>
      </c>
      <c r="K405" s="9" t="s">
        <v>10556</v>
      </c>
      <c r="L405" s="9" t="str">
        <f t="shared" si="10"/>
        <v>PDFを開く</v>
      </c>
      <c r="M405" s="9" t="s">
        <v>1583</v>
      </c>
    </row>
    <row r="406" spans="1:13" ht="66" customHeight="1">
      <c r="A406" s="2" t="s">
        <v>1576</v>
      </c>
      <c r="B406" s="2" t="s">
        <v>1386</v>
      </c>
      <c r="C406" s="8" t="s">
        <v>1577</v>
      </c>
      <c r="D406" s="2">
        <v>1</v>
      </c>
      <c r="E406" s="8" t="s">
        <v>10156</v>
      </c>
      <c r="F406" s="2">
        <v>4</v>
      </c>
      <c r="G406" s="8" t="s">
        <v>10167</v>
      </c>
      <c r="H406" s="8" t="s">
        <v>10557</v>
      </c>
      <c r="I406" s="8"/>
      <c r="J406" s="8" t="s">
        <v>10159</v>
      </c>
      <c r="K406" s="8" t="s">
        <v>10558</v>
      </c>
      <c r="L406" s="8" t="str">
        <f t="shared" si="10"/>
        <v>PDFを開く</v>
      </c>
      <c r="M406" s="8" t="s">
        <v>1583</v>
      </c>
    </row>
    <row r="407" spans="1:13" ht="66" customHeight="1">
      <c r="A407" s="5" t="s">
        <v>1576</v>
      </c>
      <c r="B407" s="5" t="s">
        <v>1386</v>
      </c>
      <c r="C407" s="9" t="s">
        <v>1577</v>
      </c>
      <c r="D407" s="5">
        <v>1</v>
      </c>
      <c r="E407" s="9" t="s">
        <v>10156</v>
      </c>
      <c r="F407" s="5">
        <v>5</v>
      </c>
      <c r="G407" s="9" t="s">
        <v>10167</v>
      </c>
      <c r="H407" s="9" t="s">
        <v>10559</v>
      </c>
      <c r="I407" s="9"/>
      <c r="J407" s="9" t="s">
        <v>10159</v>
      </c>
      <c r="K407" s="9" t="s">
        <v>10560</v>
      </c>
      <c r="L407" s="9" t="str">
        <f t="shared" si="10"/>
        <v>PDFを開く</v>
      </c>
      <c r="M407" s="9" t="s">
        <v>1583</v>
      </c>
    </row>
    <row r="408" spans="1:13" ht="66" customHeight="1">
      <c r="A408" s="2" t="s">
        <v>1576</v>
      </c>
      <c r="B408" s="2" t="s">
        <v>1386</v>
      </c>
      <c r="C408" s="8" t="s">
        <v>1577</v>
      </c>
      <c r="D408" s="2">
        <v>1</v>
      </c>
      <c r="E408" s="8" t="s">
        <v>10156</v>
      </c>
      <c r="F408" s="2">
        <v>6</v>
      </c>
      <c r="G408" s="8" t="s">
        <v>10167</v>
      </c>
      <c r="H408" s="8" t="s">
        <v>10561</v>
      </c>
      <c r="I408" s="8"/>
      <c r="J408" s="8" t="s">
        <v>10159</v>
      </c>
      <c r="K408" s="8" t="s">
        <v>10562</v>
      </c>
      <c r="L408" s="8" t="str">
        <f t="shared" si="10"/>
        <v>PDFを開く</v>
      </c>
      <c r="M408" s="8" t="s">
        <v>1583</v>
      </c>
    </row>
    <row r="409" spans="1:13" ht="66" customHeight="1">
      <c r="A409" s="5" t="s">
        <v>1576</v>
      </c>
      <c r="B409" s="5" t="s">
        <v>1386</v>
      </c>
      <c r="C409" s="9" t="s">
        <v>1577</v>
      </c>
      <c r="D409" s="5">
        <v>2</v>
      </c>
      <c r="E409" s="9" t="s">
        <v>10165</v>
      </c>
      <c r="F409" s="5">
        <v>1</v>
      </c>
      <c r="G409" s="9" t="s">
        <v>10184</v>
      </c>
      <c r="H409" s="9" t="s">
        <v>10184</v>
      </c>
      <c r="I409" s="9"/>
      <c r="J409" s="9" t="s">
        <v>10181</v>
      </c>
      <c r="K409" s="9" t="s">
        <v>10563</v>
      </c>
      <c r="L409" s="9" t="str">
        <f t="shared" si="10"/>
        <v>PDFを開く</v>
      </c>
      <c r="M409" s="9" t="s">
        <v>1583</v>
      </c>
    </row>
    <row r="410" spans="1:13" ht="66" customHeight="1">
      <c r="A410" s="2" t="s">
        <v>1584</v>
      </c>
      <c r="B410" s="2" t="s">
        <v>1386</v>
      </c>
      <c r="C410" s="8" t="s">
        <v>1585</v>
      </c>
      <c r="D410" s="2">
        <v>1</v>
      </c>
      <c r="E410" s="8" t="s">
        <v>10156</v>
      </c>
      <c r="F410" s="2">
        <v>4</v>
      </c>
      <c r="G410" s="8" t="s">
        <v>8581</v>
      </c>
      <c r="H410" s="8" t="s">
        <v>8581</v>
      </c>
      <c r="I410" s="8"/>
      <c r="J410" s="8" t="s">
        <v>10159</v>
      </c>
      <c r="K410" s="8" t="s">
        <v>1590</v>
      </c>
      <c r="L410" s="8" t="str">
        <f>HYPERLINK("https://seichotoushi-hojo.jp/assets/pdf/koufu/outline__208.pdf","PDFを開く")</f>
        <v>PDFを開く</v>
      </c>
      <c r="M410" s="8" t="s">
        <v>1593</v>
      </c>
    </row>
    <row r="411" spans="1:13" ht="66" customHeight="1">
      <c r="A411" s="5" t="s">
        <v>1594</v>
      </c>
      <c r="B411" s="5" t="s">
        <v>1595</v>
      </c>
      <c r="C411" s="9" t="s">
        <v>1596</v>
      </c>
      <c r="D411" s="5">
        <v>1</v>
      </c>
      <c r="E411" s="9" t="s">
        <v>10156</v>
      </c>
      <c r="F411" s="5">
        <v>4</v>
      </c>
      <c r="G411" s="9" t="s">
        <v>8581</v>
      </c>
      <c r="H411" s="9" t="s">
        <v>8581</v>
      </c>
      <c r="I411" s="9"/>
      <c r="J411" s="9" t="s">
        <v>10159</v>
      </c>
      <c r="K411" s="9" t="s">
        <v>1599</v>
      </c>
      <c r="L411" s="9" t="str">
        <f t="shared" ref="L411:L416" si="11">HYPERLINK("https://seichotoushi-hojo.jp/assets/pdf/koufu_3_4ji/outline_1.pdf","PDFを開く")</f>
        <v>PDFを開く</v>
      </c>
      <c r="M411" s="9" t="s">
        <v>1602</v>
      </c>
    </row>
    <row r="412" spans="1:13" ht="66" customHeight="1">
      <c r="A412" s="2" t="s">
        <v>1594</v>
      </c>
      <c r="B412" s="2" t="s">
        <v>1595</v>
      </c>
      <c r="C412" s="8" t="s">
        <v>1596</v>
      </c>
      <c r="D412" s="2">
        <v>1</v>
      </c>
      <c r="E412" s="8" t="s">
        <v>10156</v>
      </c>
      <c r="F412" s="2">
        <v>5</v>
      </c>
      <c r="G412" s="8" t="s">
        <v>10167</v>
      </c>
      <c r="H412" s="8" t="s">
        <v>10564</v>
      </c>
      <c r="I412" s="8"/>
      <c r="J412" s="8" t="s">
        <v>10159</v>
      </c>
      <c r="K412" s="8" t="s">
        <v>10565</v>
      </c>
      <c r="L412" s="8" t="str">
        <f t="shared" si="11"/>
        <v>PDFを開く</v>
      </c>
      <c r="M412" s="8" t="s">
        <v>1602</v>
      </c>
    </row>
    <row r="413" spans="1:13" ht="66" customHeight="1">
      <c r="A413" s="5" t="s">
        <v>1594</v>
      </c>
      <c r="B413" s="5" t="s">
        <v>1595</v>
      </c>
      <c r="C413" s="9" t="s">
        <v>1596</v>
      </c>
      <c r="D413" s="5">
        <v>1</v>
      </c>
      <c r="E413" s="9" t="s">
        <v>10156</v>
      </c>
      <c r="F413" s="5">
        <v>6</v>
      </c>
      <c r="G413" s="9" t="s">
        <v>10171</v>
      </c>
      <c r="H413" s="9" t="s">
        <v>10171</v>
      </c>
      <c r="I413" s="9"/>
      <c r="J413" s="9" t="s">
        <v>10181</v>
      </c>
      <c r="K413" s="9" t="s">
        <v>8629</v>
      </c>
      <c r="L413" s="9" t="str">
        <f t="shared" si="11"/>
        <v>PDFを開く</v>
      </c>
      <c r="M413" s="9" t="s">
        <v>1602</v>
      </c>
    </row>
    <row r="414" spans="1:13" ht="66" customHeight="1">
      <c r="A414" s="2" t="s">
        <v>1594</v>
      </c>
      <c r="B414" s="2" t="s">
        <v>1595</v>
      </c>
      <c r="C414" s="8" t="s">
        <v>1596</v>
      </c>
      <c r="D414" s="2">
        <v>1</v>
      </c>
      <c r="E414" s="8" t="s">
        <v>10156</v>
      </c>
      <c r="F414" s="2">
        <v>7</v>
      </c>
      <c r="G414" s="8" t="s">
        <v>10167</v>
      </c>
      <c r="H414" s="8" t="s">
        <v>10532</v>
      </c>
      <c r="I414" s="8"/>
      <c r="J414" s="8" t="s">
        <v>10159</v>
      </c>
      <c r="K414" s="8" t="s">
        <v>10566</v>
      </c>
      <c r="L414" s="8" t="str">
        <f t="shared" si="11"/>
        <v>PDFを開く</v>
      </c>
      <c r="M414" s="8" t="s">
        <v>1602</v>
      </c>
    </row>
    <row r="415" spans="1:13" ht="66" customHeight="1">
      <c r="A415" s="5" t="s">
        <v>1594</v>
      </c>
      <c r="B415" s="5" t="s">
        <v>1595</v>
      </c>
      <c r="C415" s="9" t="s">
        <v>1596</v>
      </c>
      <c r="D415" s="5">
        <v>2</v>
      </c>
      <c r="E415" s="9" t="s">
        <v>10165</v>
      </c>
      <c r="F415" s="5">
        <v>1</v>
      </c>
      <c r="G415" s="9" t="s">
        <v>10167</v>
      </c>
      <c r="H415" s="9" t="s">
        <v>10567</v>
      </c>
      <c r="I415" s="9"/>
      <c r="J415" s="9" t="s">
        <v>10159</v>
      </c>
      <c r="K415" s="9" t="s">
        <v>10568</v>
      </c>
      <c r="L415" s="9" t="str">
        <f t="shared" si="11"/>
        <v>PDFを開く</v>
      </c>
      <c r="M415" s="9" t="s">
        <v>1602</v>
      </c>
    </row>
    <row r="416" spans="1:13" ht="66" customHeight="1">
      <c r="A416" s="2" t="s">
        <v>1594</v>
      </c>
      <c r="B416" s="2" t="s">
        <v>1595</v>
      </c>
      <c r="C416" s="8" t="s">
        <v>1596</v>
      </c>
      <c r="D416" s="2">
        <v>2</v>
      </c>
      <c r="E416" s="8" t="s">
        <v>10165</v>
      </c>
      <c r="F416" s="2">
        <v>2</v>
      </c>
      <c r="G416" s="8" t="s">
        <v>10184</v>
      </c>
      <c r="H416" s="8" t="s">
        <v>10184</v>
      </c>
      <c r="I416" s="8"/>
      <c r="J416" s="8" t="s">
        <v>10181</v>
      </c>
      <c r="K416" s="8" t="s">
        <v>10569</v>
      </c>
      <c r="L416" s="8" t="str">
        <f t="shared" si="11"/>
        <v>PDFを開く</v>
      </c>
      <c r="M416" s="8" t="s">
        <v>1602</v>
      </c>
    </row>
    <row r="417" spans="1:13" ht="66" customHeight="1">
      <c r="A417" s="5" t="s">
        <v>1603</v>
      </c>
      <c r="B417" s="5" t="s">
        <v>1595</v>
      </c>
      <c r="C417" s="9" t="s">
        <v>1604</v>
      </c>
      <c r="D417" s="5">
        <v>1</v>
      </c>
      <c r="E417" s="9" t="s">
        <v>10156</v>
      </c>
      <c r="F417" s="5">
        <v>4</v>
      </c>
      <c r="G417" s="9" t="s">
        <v>8581</v>
      </c>
      <c r="H417" s="9" t="s">
        <v>8581</v>
      </c>
      <c r="I417" s="9"/>
      <c r="J417" s="9" t="s">
        <v>10159</v>
      </c>
      <c r="K417" s="9" t="s">
        <v>8637</v>
      </c>
      <c r="L417" s="9" t="str">
        <f>HYPERLINK("https://seichotoushi-hojo.jp/assets/pdf/koufu_3_4ji/outline_101.pdf","PDFを開く")</f>
        <v>PDFを開く</v>
      </c>
      <c r="M417" s="9" t="s">
        <v>1608</v>
      </c>
    </row>
    <row r="418" spans="1:13" ht="66" customHeight="1">
      <c r="A418" s="2" t="s">
        <v>1609</v>
      </c>
      <c r="B418" s="2" t="s">
        <v>1595</v>
      </c>
      <c r="C418" s="8" t="s">
        <v>1610</v>
      </c>
      <c r="D418" s="2">
        <v>1</v>
      </c>
      <c r="E418" s="8" t="s">
        <v>10156</v>
      </c>
      <c r="F418" s="2">
        <v>1</v>
      </c>
      <c r="G418" s="8" t="s">
        <v>10167</v>
      </c>
      <c r="H418" s="8" t="s">
        <v>10570</v>
      </c>
      <c r="I418" s="8"/>
      <c r="J418" s="8" t="s">
        <v>10159</v>
      </c>
      <c r="K418" s="8" t="s">
        <v>10571</v>
      </c>
      <c r="L418" s="8" t="str">
        <f>HYPERLINK("https://seichotoushi-hojo.jp/assets/pdf/koufu_3_4ji/outline_103.pdf","PDFを開く")</f>
        <v>PDFを開く</v>
      </c>
      <c r="M418" s="8" t="s">
        <v>1616</v>
      </c>
    </row>
    <row r="419" spans="1:13" ht="66" customHeight="1">
      <c r="A419" s="5" t="s">
        <v>1609</v>
      </c>
      <c r="B419" s="5" t="s">
        <v>1595</v>
      </c>
      <c r="C419" s="9" t="s">
        <v>1610</v>
      </c>
      <c r="D419" s="5">
        <v>1</v>
      </c>
      <c r="E419" s="9" t="s">
        <v>10156</v>
      </c>
      <c r="F419" s="5">
        <v>4</v>
      </c>
      <c r="G419" s="9" t="s">
        <v>10167</v>
      </c>
      <c r="H419" s="9" t="s">
        <v>10572</v>
      </c>
      <c r="I419" s="9"/>
      <c r="J419" s="9" t="s">
        <v>10159</v>
      </c>
      <c r="K419" s="9" t="s">
        <v>10573</v>
      </c>
      <c r="L419" s="9" t="str">
        <f>HYPERLINK("https://seichotoushi-hojo.jp/assets/pdf/koufu_3_4ji/outline_103.pdf","PDFを開く")</f>
        <v>PDFを開く</v>
      </c>
      <c r="M419" s="9" t="s">
        <v>1616</v>
      </c>
    </row>
    <row r="420" spans="1:13" ht="66" customHeight="1">
      <c r="A420" s="2" t="s">
        <v>1609</v>
      </c>
      <c r="B420" s="2" t="s">
        <v>1595</v>
      </c>
      <c r="C420" s="8" t="s">
        <v>1610</v>
      </c>
      <c r="D420" s="2">
        <v>2</v>
      </c>
      <c r="E420" s="8" t="s">
        <v>10156</v>
      </c>
      <c r="F420" s="2">
        <v>1</v>
      </c>
      <c r="G420" s="8" t="s">
        <v>10184</v>
      </c>
      <c r="H420" s="8" t="s">
        <v>10184</v>
      </c>
      <c r="I420" s="8"/>
      <c r="J420" s="8" t="s">
        <v>10181</v>
      </c>
      <c r="K420" s="8" t="s">
        <v>10574</v>
      </c>
      <c r="L420" s="8" t="str">
        <f>HYPERLINK("https://seichotoushi-hojo.jp/assets/pdf/koufu_3_4ji/outline_103.pdf","PDFを開く")</f>
        <v>PDFを開く</v>
      </c>
      <c r="M420" s="8" t="s">
        <v>1616</v>
      </c>
    </row>
    <row r="421" spans="1:13" ht="66" customHeight="1">
      <c r="A421" s="5" t="s">
        <v>1609</v>
      </c>
      <c r="B421" s="5" t="s">
        <v>1595</v>
      </c>
      <c r="C421" s="9" t="s">
        <v>1610</v>
      </c>
      <c r="D421" s="5">
        <v>2</v>
      </c>
      <c r="E421" s="9" t="s">
        <v>10156</v>
      </c>
      <c r="F421" s="5">
        <v>2</v>
      </c>
      <c r="G421" s="9" t="s">
        <v>10184</v>
      </c>
      <c r="H421" s="9" t="s">
        <v>10184</v>
      </c>
      <c r="I421" s="9"/>
      <c r="J421" s="9" t="s">
        <v>10159</v>
      </c>
      <c r="K421" s="9" t="s">
        <v>10575</v>
      </c>
      <c r="L421" s="9" t="str">
        <f>HYPERLINK("https://seichotoushi-hojo.jp/assets/pdf/koufu_3_4ji/outline_103.pdf","PDFを開く")</f>
        <v>PDFを開く</v>
      </c>
      <c r="M421" s="9" t="s">
        <v>1616</v>
      </c>
    </row>
    <row r="422" spans="1:13" ht="66" customHeight="1">
      <c r="A422" s="2" t="s">
        <v>1617</v>
      </c>
      <c r="B422" s="2" t="s">
        <v>1595</v>
      </c>
      <c r="C422" s="8" t="s">
        <v>1618</v>
      </c>
      <c r="D422" s="2">
        <v>1</v>
      </c>
      <c r="E422" s="8" t="s">
        <v>10156</v>
      </c>
      <c r="F422" s="2">
        <v>2</v>
      </c>
      <c r="G422" s="8" t="s">
        <v>8581</v>
      </c>
      <c r="H422" s="8" t="s">
        <v>8581</v>
      </c>
      <c r="I422" s="8"/>
      <c r="J422" s="8" t="s">
        <v>10159</v>
      </c>
      <c r="K422" s="8" t="s">
        <v>10576</v>
      </c>
      <c r="L422" s="8" t="str">
        <f>HYPERLINK("https://seichotoushi-hojo.jp/assets/pdf/koufu_3_4ji/outline_104.pdf","PDFを開く")</f>
        <v>PDFを開く</v>
      </c>
      <c r="M422" s="8" t="s">
        <v>1624</v>
      </c>
    </row>
    <row r="423" spans="1:13" ht="66" customHeight="1">
      <c r="A423" s="5" t="s">
        <v>1617</v>
      </c>
      <c r="B423" s="5" t="s">
        <v>1595</v>
      </c>
      <c r="C423" s="9" t="s">
        <v>1618</v>
      </c>
      <c r="D423" s="5">
        <v>1</v>
      </c>
      <c r="E423" s="9" t="s">
        <v>10156</v>
      </c>
      <c r="F423" s="5">
        <v>3</v>
      </c>
      <c r="G423" s="9" t="s">
        <v>10167</v>
      </c>
      <c r="H423" s="9" t="s">
        <v>10577</v>
      </c>
      <c r="I423" s="9"/>
      <c r="J423" s="9" t="s">
        <v>10159</v>
      </c>
      <c r="K423" s="9" t="s">
        <v>10578</v>
      </c>
      <c r="L423" s="9" t="str">
        <f>HYPERLINK("https://seichotoushi-hojo.jp/assets/pdf/koufu_3_4ji/outline_104.pdf","PDFを開く")</f>
        <v>PDFを開く</v>
      </c>
      <c r="M423" s="9" t="s">
        <v>1624</v>
      </c>
    </row>
    <row r="424" spans="1:13" ht="66" customHeight="1">
      <c r="A424" s="2" t="s">
        <v>1617</v>
      </c>
      <c r="B424" s="2" t="s">
        <v>1595</v>
      </c>
      <c r="C424" s="8" t="s">
        <v>1618</v>
      </c>
      <c r="D424" s="2">
        <v>1</v>
      </c>
      <c r="E424" s="8" t="s">
        <v>10156</v>
      </c>
      <c r="F424" s="2">
        <v>4</v>
      </c>
      <c r="G424" s="8" t="s">
        <v>8581</v>
      </c>
      <c r="H424" s="8" t="s">
        <v>8581</v>
      </c>
      <c r="I424" s="8"/>
      <c r="J424" s="8" t="s">
        <v>10159</v>
      </c>
      <c r="K424" s="8" t="s">
        <v>10579</v>
      </c>
      <c r="L424" s="8" t="str">
        <f>HYPERLINK("https://seichotoushi-hojo.jp/assets/pdf/koufu_3_4ji/outline_104.pdf","PDFを開く")</f>
        <v>PDFを開く</v>
      </c>
      <c r="M424" s="8" t="s">
        <v>1624</v>
      </c>
    </row>
    <row r="425" spans="1:13" ht="66" customHeight="1">
      <c r="A425" s="5" t="s">
        <v>1617</v>
      </c>
      <c r="B425" s="5" t="s">
        <v>1595</v>
      </c>
      <c r="C425" s="9" t="s">
        <v>1618</v>
      </c>
      <c r="D425" s="5">
        <v>1</v>
      </c>
      <c r="E425" s="9" t="s">
        <v>10156</v>
      </c>
      <c r="F425" s="5">
        <v>5</v>
      </c>
      <c r="G425" s="9" t="s">
        <v>10167</v>
      </c>
      <c r="H425" s="9" t="s">
        <v>10580</v>
      </c>
      <c r="I425" s="9"/>
      <c r="J425" s="9" t="s">
        <v>10159</v>
      </c>
      <c r="K425" s="9" t="s">
        <v>10581</v>
      </c>
      <c r="L425" s="9" t="str">
        <f>HYPERLINK("https://seichotoushi-hojo.jp/assets/pdf/koufu_3_4ji/outline_104.pdf","PDFを開く")</f>
        <v>PDFを開く</v>
      </c>
      <c r="M425" s="9" t="s">
        <v>1624</v>
      </c>
    </row>
    <row r="426" spans="1:13" ht="66" customHeight="1">
      <c r="A426" s="2" t="s">
        <v>1617</v>
      </c>
      <c r="B426" s="2" t="s">
        <v>1595</v>
      </c>
      <c r="C426" s="8" t="s">
        <v>1618</v>
      </c>
      <c r="D426" s="2">
        <v>1</v>
      </c>
      <c r="E426" s="8" t="s">
        <v>10156</v>
      </c>
      <c r="F426" s="2">
        <v>6</v>
      </c>
      <c r="G426" s="8" t="s">
        <v>10167</v>
      </c>
      <c r="H426" s="8" t="s">
        <v>10582</v>
      </c>
      <c r="I426" s="8"/>
      <c r="J426" s="8" t="s">
        <v>10159</v>
      </c>
      <c r="K426" s="8" t="s">
        <v>10583</v>
      </c>
      <c r="L426" s="8" t="str">
        <f>HYPERLINK("https://seichotoushi-hojo.jp/assets/pdf/koufu_3_4ji/outline_104.pdf","PDFを開く")</f>
        <v>PDFを開く</v>
      </c>
      <c r="M426" s="8" t="s">
        <v>1624</v>
      </c>
    </row>
    <row r="427" spans="1:13" ht="66" customHeight="1">
      <c r="A427" s="5" t="s">
        <v>1625</v>
      </c>
      <c r="B427" s="5" t="s">
        <v>1595</v>
      </c>
      <c r="C427" s="9" t="s">
        <v>1626</v>
      </c>
      <c r="D427" s="5">
        <v>1</v>
      </c>
      <c r="E427" s="9" t="s">
        <v>10156</v>
      </c>
      <c r="F427" s="5">
        <v>4</v>
      </c>
      <c r="G427" s="9" t="s">
        <v>8581</v>
      </c>
      <c r="H427" s="9" t="s">
        <v>8581</v>
      </c>
      <c r="I427" s="9"/>
      <c r="J427" s="9" t="s">
        <v>10159</v>
      </c>
      <c r="K427" s="9" t="s">
        <v>8658</v>
      </c>
      <c r="L427" s="9" t="str">
        <f>HYPERLINK("https://seichotoushi-hojo.jp/assets/pdf/koufu_3_4ji/outline_105.pdf","PDFを開く")</f>
        <v>PDFを開く</v>
      </c>
      <c r="M427" s="9" t="s">
        <v>1631</v>
      </c>
    </row>
    <row r="428" spans="1:13" ht="66" customHeight="1">
      <c r="A428" s="2" t="s">
        <v>1632</v>
      </c>
      <c r="B428" s="2" t="s">
        <v>1595</v>
      </c>
      <c r="C428" s="8" t="s">
        <v>1633</v>
      </c>
      <c r="D428" s="2">
        <v>1</v>
      </c>
      <c r="E428" s="8" t="s">
        <v>10156</v>
      </c>
      <c r="F428" s="2">
        <v>4</v>
      </c>
      <c r="G428" s="8" t="s">
        <v>8581</v>
      </c>
      <c r="H428" s="8" t="s">
        <v>8581</v>
      </c>
      <c r="I428" s="8"/>
      <c r="J428" s="8" t="s">
        <v>10159</v>
      </c>
      <c r="K428" s="8" t="s">
        <v>8666</v>
      </c>
      <c r="L428" s="8" t="str">
        <f>HYPERLINK("https://seichotoushi-hojo.jp/assets/pdf/koufu_3_4ji/outline_106.pdf","PDFを開く")</f>
        <v>PDFを開く</v>
      </c>
      <c r="M428" s="8" t="s">
        <v>1639</v>
      </c>
    </row>
    <row r="429" spans="1:13" ht="66" customHeight="1">
      <c r="A429" s="5" t="s">
        <v>1632</v>
      </c>
      <c r="B429" s="5" t="s">
        <v>1595</v>
      </c>
      <c r="C429" s="9" t="s">
        <v>1633</v>
      </c>
      <c r="D429" s="5">
        <v>2</v>
      </c>
      <c r="E429" s="9" t="s">
        <v>10165</v>
      </c>
      <c r="F429" s="5">
        <v>1</v>
      </c>
      <c r="G429" s="9" t="s">
        <v>10184</v>
      </c>
      <c r="H429" s="9" t="s">
        <v>10184</v>
      </c>
      <c r="I429" s="9"/>
      <c r="J429" s="9" t="s">
        <v>10181</v>
      </c>
      <c r="K429" s="9" t="s">
        <v>10588</v>
      </c>
      <c r="L429" s="9" t="str">
        <f>HYPERLINK("https://seichotoushi-hojo.jp/assets/pdf/koufu_3_4ji/outline_106.pdf","PDFを開く")</f>
        <v>PDFを開く</v>
      </c>
      <c r="M429" s="9" t="s">
        <v>1639</v>
      </c>
    </row>
    <row r="430" spans="1:13" ht="66" customHeight="1">
      <c r="A430" s="2" t="s">
        <v>1640</v>
      </c>
      <c r="B430" s="2" t="s">
        <v>1595</v>
      </c>
      <c r="C430" s="8" t="s">
        <v>1641</v>
      </c>
      <c r="D430" s="2">
        <v>1</v>
      </c>
      <c r="E430" s="8" t="s">
        <v>10156</v>
      </c>
      <c r="F430" s="2">
        <v>4</v>
      </c>
      <c r="G430" s="8" t="s">
        <v>8581</v>
      </c>
      <c r="H430" s="8" t="s">
        <v>8581</v>
      </c>
      <c r="I430" s="8"/>
      <c r="J430" s="8" t="s">
        <v>10159</v>
      </c>
      <c r="K430" s="8" t="s">
        <v>8674</v>
      </c>
      <c r="L430" s="8" t="str">
        <f>HYPERLINK("https://seichotoushi-hojo.jp/assets/pdf/koufu_3_4ji/outline_108.pdf","PDFを開く")</f>
        <v>PDFを開く</v>
      </c>
      <c r="M430" s="8" t="s">
        <v>1648</v>
      </c>
    </row>
    <row r="431" spans="1:13" ht="66" customHeight="1">
      <c r="A431" s="5" t="s">
        <v>1649</v>
      </c>
      <c r="B431" s="5" t="s">
        <v>1595</v>
      </c>
      <c r="C431" s="9" t="s">
        <v>1650</v>
      </c>
      <c r="D431" s="5">
        <v>1</v>
      </c>
      <c r="E431" s="9" t="s">
        <v>10156</v>
      </c>
      <c r="F431" s="5">
        <v>4</v>
      </c>
      <c r="G431" s="9" t="s">
        <v>8581</v>
      </c>
      <c r="H431" s="9" t="s">
        <v>8581</v>
      </c>
      <c r="I431" s="9"/>
      <c r="J431" s="9" t="s">
        <v>10159</v>
      </c>
      <c r="K431" s="9" t="s">
        <v>8682</v>
      </c>
      <c r="L431" s="9" t="str">
        <f>HYPERLINK("https://seichotoushi-hojo.jp/assets/pdf/koufu_3_4ji/outline_109.pdf","PDFを開く")</f>
        <v>PDFを開く</v>
      </c>
      <c r="M431" s="9" t="s">
        <v>1655</v>
      </c>
    </row>
    <row r="432" spans="1:13" ht="66" customHeight="1">
      <c r="A432" s="2" t="s">
        <v>1656</v>
      </c>
      <c r="B432" s="2" t="s">
        <v>1595</v>
      </c>
      <c r="C432" s="8" t="s">
        <v>1657</v>
      </c>
      <c r="D432" s="2">
        <v>1</v>
      </c>
      <c r="E432" s="8" t="s">
        <v>10156</v>
      </c>
      <c r="F432" s="2">
        <v>1</v>
      </c>
      <c r="G432" s="8" t="s">
        <v>10157</v>
      </c>
      <c r="H432" s="8" t="s">
        <v>10157</v>
      </c>
      <c r="I432" s="8" t="s">
        <v>10158</v>
      </c>
      <c r="J432" s="8" t="s">
        <v>10159</v>
      </c>
      <c r="K432" s="8" t="s">
        <v>10589</v>
      </c>
      <c r="L432" s="8" t="str">
        <f>HYPERLINK("https://seichotoushi-hojo.jp/assets/pdf/koufu_3_4ji/outline_11.pdf","PDFを開く")</f>
        <v>PDFを開く</v>
      </c>
      <c r="M432" s="8" t="s">
        <v>1662</v>
      </c>
    </row>
    <row r="433" spans="1:13" ht="66" customHeight="1">
      <c r="A433" s="5" t="s">
        <v>1656</v>
      </c>
      <c r="B433" s="5" t="s">
        <v>1595</v>
      </c>
      <c r="C433" s="9" t="s">
        <v>1657</v>
      </c>
      <c r="D433" s="5">
        <v>1</v>
      </c>
      <c r="E433" s="9" t="s">
        <v>10156</v>
      </c>
      <c r="F433" s="5">
        <v>5</v>
      </c>
      <c r="G433" s="9" t="s">
        <v>8581</v>
      </c>
      <c r="H433" s="9" t="s">
        <v>8581</v>
      </c>
      <c r="I433" s="9"/>
      <c r="J433" s="9" t="s">
        <v>10159</v>
      </c>
      <c r="K433" s="9" t="s">
        <v>8691</v>
      </c>
      <c r="L433" s="9" t="str">
        <f>HYPERLINK("https://seichotoushi-hojo.jp/assets/pdf/koufu_3_4ji/outline_11.pdf","PDFを開く")</f>
        <v>PDFを開く</v>
      </c>
      <c r="M433" s="9" t="s">
        <v>1662</v>
      </c>
    </row>
    <row r="434" spans="1:13" ht="66" customHeight="1">
      <c r="A434" s="2" t="s">
        <v>1656</v>
      </c>
      <c r="B434" s="2" t="s">
        <v>1595</v>
      </c>
      <c r="C434" s="8" t="s">
        <v>1657</v>
      </c>
      <c r="D434" s="2">
        <v>2</v>
      </c>
      <c r="E434" s="8" t="s">
        <v>10165</v>
      </c>
      <c r="F434" s="2">
        <v>1</v>
      </c>
      <c r="G434" s="8" t="s">
        <v>10157</v>
      </c>
      <c r="H434" s="8" t="s">
        <v>10157</v>
      </c>
      <c r="I434" s="8" t="s">
        <v>10158</v>
      </c>
      <c r="J434" s="8" t="s">
        <v>10159</v>
      </c>
      <c r="K434" s="8" t="s">
        <v>10590</v>
      </c>
      <c r="L434" s="8" t="str">
        <f>HYPERLINK("https://seichotoushi-hojo.jp/assets/pdf/koufu_3_4ji/outline_11.pdf","PDFを開く")</f>
        <v>PDFを開く</v>
      </c>
      <c r="M434" s="8" t="s">
        <v>1662</v>
      </c>
    </row>
    <row r="435" spans="1:13" ht="66" customHeight="1">
      <c r="A435" s="5" t="s">
        <v>1663</v>
      </c>
      <c r="B435" s="5" t="s">
        <v>1595</v>
      </c>
      <c r="C435" s="9" t="s">
        <v>1664</v>
      </c>
      <c r="D435" s="5">
        <v>1</v>
      </c>
      <c r="E435" s="9" t="s">
        <v>10156</v>
      </c>
      <c r="F435" s="5">
        <v>4</v>
      </c>
      <c r="G435" s="9" t="s">
        <v>8581</v>
      </c>
      <c r="H435" s="9" t="s">
        <v>8581</v>
      </c>
      <c r="I435" s="9"/>
      <c r="J435" s="9" t="s">
        <v>10159</v>
      </c>
      <c r="K435" s="9" t="s">
        <v>8699</v>
      </c>
      <c r="L435" s="9" t="str">
        <f>HYPERLINK("https://seichotoushi-hojo.jp/assets/pdf/koufu_3_4ji/outline_110.pdf","PDFを開く")</f>
        <v>PDFを開く</v>
      </c>
      <c r="M435" s="9" t="s">
        <v>1669</v>
      </c>
    </row>
    <row r="436" spans="1:13" ht="66" customHeight="1">
      <c r="A436" s="2" t="s">
        <v>1663</v>
      </c>
      <c r="B436" s="2" t="s">
        <v>1595</v>
      </c>
      <c r="C436" s="8" t="s">
        <v>1664</v>
      </c>
      <c r="D436" s="2">
        <v>2</v>
      </c>
      <c r="E436" s="8" t="s">
        <v>10165</v>
      </c>
      <c r="F436" s="2">
        <v>1</v>
      </c>
      <c r="G436" s="8" t="s">
        <v>10476</v>
      </c>
      <c r="H436" s="8" t="s">
        <v>10476</v>
      </c>
      <c r="I436" s="8"/>
      <c r="J436" s="8" t="s">
        <v>10181</v>
      </c>
      <c r="K436" s="8" t="s">
        <v>10591</v>
      </c>
      <c r="L436" s="8" t="str">
        <f>HYPERLINK("https://seichotoushi-hojo.jp/assets/pdf/koufu_3_4ji/outline_110.pdf","PDFを開く")</f>
        <v>PDFを開く</v>
      </c>
      <c r="M436" s="8" t="s">
        <v>1669</v>
      </c>
    </row>
    <row r="437" spans="1:13" ht="66" customHeight="1">
      <c r="A437" s="5" t="s">
        <v>1663</v>
      </c>
      <c r="B437" s="5" t="s">
        <v>1595</v>
      </c>
      <c r="C437" s="9" t="s">
        <v>1664</v>
      </c>
      <c r="D437" s="5">
        <v>2</v>
      </c>
      <c r="E437" s="9" t="s">
        <v>10165</v>
      </c>
      <c r="F437" s="5">
        <v>2</v>
      </c>
      <c r="G437" s="9" t="s">
        <v>10167</v>
      </c>
      <c r="H437" s="9" t="s">
        <v>3504</v>
      </c>
      <c r="I437" s="9"/>
      <c r="J437" s="9" t="s">
        <v>10159</v>
      </c>
      <c r="K437" s="9" t="s">
        <v>10186</v>
      </c>
      <c r="L437" s="9" t="str">
        <f>HYPERLINK("https://seichotoushi-hojo.jp/assets/pdf/koufu_3_4ji/outline_110.pdf","PDFを開く")</f>
        <v>PDFを開く</v>
      </c>
      <c r="M437" s="9" t="s">
        <v>1669</v>
      </c>
    </row>
    <row r="438" spans="1:13" ht="66" customHeight="1">
      <c r="A438" s="2" t="s">
        <v>1670</v>
      </c>
      <c r="B438" s="2" t="s">
        <v>1595</v>
      </c>
      <c r="C438" s="8" t="s">
        <v>1671</v>
      </c>
      <c r="D438" s="2">
        <v>1</v>
      </c>
      <c r="E438" s="8" t="s">
        <v>10156</v>
      </c>
      <c r="F438" s="2">
        <v>4</v>
      </c>
      <c r="G438" s="8" t="s">
        <v>8581</v>
      </c>
      <c r="H438" s="8" t="s">
        <v>8581</v>
      </c>
      <c r="I438" s="8"/>
      <c r="J438" s="8" t="s">
        <v>10159</v>
      </c>
      <c r="K438" s="8" t="s">
        <v>8707</v>
      </c>
      <c r="L438" s="8" t="str">
        <f>HYPERLINK("https://seichotoushi-hojo.jp/assets/pdf/koufu_3_4ji/outline_12.pdf","PDFを開く")</f>
        <v>PDFを開く</v>
      </c>
      <c r="M438" s="8" t="s">
        <v>1676</v>
      </c>
    </row>
    <row r="439" spans="1:13" ht="66" customHeight="1">
      <c r="A439" s="5" t="s">
        <v>1670</v>
      </c>
      <c r="B439" s="5" t="s">
        <v>1595</v>
      </c>
      <c r="C439" s="9" t="s">
        <v>1671</v>
      </c>
      <c r="D439" s="5">
        <v>2</v>
      </c>
      <c r="E439" s="9" t="s">
        <v>10165</v>
      </c>
      <c r="F439" s="5">
        <v>1</v>
      </c>
      <c r="G439" s="9" t="s">
        <v>10184</v>
      </c>
      <c r="H439" s="9" t="s">
        <v>10184</v>
      </c>
      <c r="I439" s="9"/>
      <c r="J439" s="9" t="s">
        <v>10181</v>
      </c>
      <c r="K439" s="9" t="s">
        <v>10592</v>
      </c>
      <c r="L439" s="9" t="str">
        <f>HYPERLINK("https://seichotoushi-hojo.jp/assets/pdf/koufu_3_4ji/outline_12.pdf","PDFを開く")</f>
        <v>PDFを開く</v>
      </c>
      <c r="M439" s="9" t="s">
        <v>1676</v>
      </c>
    </row>
    <row r="440" spans="1:13" ht="66" customHeight="1">
      <c r="A440" s="2" t="s">
        <v>1670</v>
      </c>
      <c r="B440" s="2" t="s">
        <v>1595</v>
      </c>
      <c r="C440" s="8" t="s">
        <v>1671</v>
      </c>
      <c r="D440" s="2">
        <v>3</v>
      </c>
      <c r="E440" s="8" t="s">
        <v>10165</v>
      </c>
      <c r="F440" s="2">
        <v>1</v>
      </c>
      <c r="G440" s="8" t="s">
        <v>10167</v>
      </c>
      <c r="H440" s="8" t="s">
        <v>10593</v>
      </c>
      <c r="I440" s="8"/>
      <c r="J440" s="8" t="s">
        <v>10159</v>
      </c>
      <c r="K440" s="8" t="s">
        <v>10594</v>
      </c>
      <c r="L440" s="8" t="str">
        <f>HYPERLINK("https://seichotoushi-hojo.jp/assets/pdf/koufu_3_4ji/outline_12.pdf","PDFを開く")</f>
        <v>PDFを開く</v>
      </c>
      <c r="M440" s="8" t="s">
        <v>1676</v>
      </c>
    </row>
    <row r="441" spans="1:13" ht="66" customHeight="1">
      <c r="A441" s="5" t="s">
        <v>1677</v>
      </c>
      <c r="B441" s="5" t="s">
        <v>1595</v>
      </c>
      <c r="C441" s="9" t="s">
        <v>1678</v>
      </c>
      <c r="D441" s="5">
        <v>1</v>
      </c>
      <c r="E441" s="9" t="s">
        <v>10156</v>
      </c>
      <c r="F441" s="5">
        <v>4</v>
      </c>
      <c r="G441" s="9" t="s">
        <v>8581</v>
      </c>
      <c r="H441" s="9" t="s">
        <v>8581</v>
      </c>
      <c r="I441" s="9"/>
      <c r="J441" s="9" t="s">
        <v>10159</v>
      </c>
      <c r="K441" s="9" t="s">
        <v>8715</v>
      </c>
      <c r="L441" s="9" t="str">
        <f>HYPERLINK("https://seichotoushi-hojo.jp/assets/pdf/koufu_3_4ji/outline_123.pdf","PDFを開く")</f>
        <v>PDFを開く</v>
      </c>
      <c r="M441" s="9" t="s">
        <v>1684</v>
      </c>
    </row>
    <row r="442" spans="1:13" ht="66" customHeight="1">
      <c r="A442" s="2" t="s">
        <v>1685</v>
      </c>
      <c r="B442" s="2" t="s">
        <v>1595</v>
      </c>
      <c r="C442" s="8" t="s">
        <v>1686</v>
      </c>
      <c r="D442" s="2">
        <v>1</v>
      </c>
      <c r="E442" s="8" t="s">
        <v>10156</v>
      </c>
      <c r="F442" s="2">
        <v>4</v>
      </c>
      <c r="G442" s="8" t="s">
        <v>8581</v>
      </c>
      <c r="H442" s="8" t="s">
        <v>8581</v>
      </c>
      <c r="I442" s="8"/>
      <c r="J442" s="8" t="s">
        <v>10159</v>
      </c>
      <c r="K442" s="8" t="s">
        <v>8723</v>
      </c>
      <c r="L442" s="8" t="str">
        <f>HYPERLINK("https://seichotoushi-hojo.jp/assets/pdf/koufu_3_4ji/outline_128.pdf","PDFを開く")</f>
        <v>PDFを開く</v>
      </c>
      <c r="M442" s="8" t="s">
        <v>1692</v>
      </c>
    </row>
    <row r="443" spans="1:13" ht="66" customHeight="1">
      <c r="A443" s="5" t="s">
        <v>1685</v>
      </c>
      <c r="B443" s="5" t="s">
        <v>1595</v>
      </c>
      <c r="C443" s="9" t="s">
        <v>1686</v>
      </c>
      <c r="D443" s="5">
        <v>2</v>
      </c>
      <c r="E443" s="9" t="s">
        <v>10165</v>
      </c>
      <c r="F443" s="5">
        <v>1</v>
      </c>
      <c r="G443" s="9" t="s">
        <v>10167</v>
      </c>
      <c r="H443" s="9" t="s">
        <v>10595</v>
      </c>
      <c r="I443" s="9"/>
      <c r="J443" s="9" t="s">
        <v>10159</v>
      </c>
      <c r="K443" s="9" t="s">
        <v>10596</v>
      </c>
      <c r="L443" s="9" t="str">
        <f>HYPERLINK("https://seichotoushi-hojo.jp/assets/pdf/koufu_3_4ji/outline_128.pdf","PDFを開く")</f>
        <v>PDFを開く</v>
      </c>
      <c r="M443" s="9" t="s">
        <v>1692</v>
      </c>
    </row>
    <row r="444" spans="1:13" ht="66" customHeight="1">
      <c r="A444" s="2" t="s">
        <v>1693</v>
      </c>
      <c r="B444" s="2" t="s">
        <v>1595</v>
      </c>
      <c r="C444" s="8" t="s">
        <v>1694</v>
      </c>
      <c r="D444" s="2">
        <v>1</v>
      </c>
      <c r="E444" s="8" t="s">
        <v>10156</v>
      </c>
      <c r="F444" s="2">
        <v>4</v>
      </c>
      <c r="G444" s="8" t="s">
        <v>8581</v>
      </c>
      <c r="H444" s="8" t="s">
        <v>8581</v>
      </c>
      <c r="I444" s="8"/>
      <c r="J444" s="8" t="s">
        <v>10159</v>
      </c>
      <c r="K444" s="8" t="s">
        <v>8731</v>
      </c>
      <c r="L444" s="8" t="str">
        <f>HYPERLINK("https://seichotoushi-hojo.jp/assets/pdf/koufu_3_4ji/outline_13.pdf","PDFを開く")</f>
        <v>PDFを開く</v>
      </c>
      <c r="M444" s="8" t="s">
        <v>1701</v>
      </c>
    </row>
    <row r="445" spans="1:13" ht="66" customHeight="1">
      <c r="A445" s="5" t="s">
        <v>1702</v>
      </c>
      <c r="B445" s="5" t="s">
        <v>1595</v>
      </c>
      <c r="C445" s="9" t="s">
        <v>1703</v>
      </c>
      <c r="D445" s="5">
        <v>1</v>
      </c>
      <c r="E445" s="9" t="s">
        <v>10156</v>
      </c>
      <c r="F445" s="5">
        <v>4</v>
      </c>
      <c r="G445" s="9" t="s">
        <v>8581</v>
      </c>
      <c r="H445" s="9" t="s">
        <v>8581</v>
      </c>
      <c r="I445" s="9"/>
      <c r="J445" s="9" t="s">
        <v>10159</v>
      </c>
      <c r="K445" s="9" t="s">
        <v>8739</v>
      </c>
      <c r="L445" s="9" t="str">
        <f>HYPERLINK("https://seichotoushi-hojo.jp/assets/pdf/koufu_3_4ji/outline_14.pdf","PDFを開く")</f>
        <v>PDFを開く</v>
      </c>
      <c r="M445" s="9" t="s">
        <v>1710</v>
      </c>
    </row>
    <row r="446" spans="1:13" ht="66" customHeight="1">
      <c r="A446" s="2" t="s">
        <v>1702</v>
      </c>
      <c r="B446" s="2" t="s">
        <v>1595</v>
      </c>
      <c r="C446" s="8" t="s">
        <v>1703</v>
      </c>
      <c r="D446" s="2">
        <v>2</v>
      </c>
      <c r="E446" s="8" t="s">
        <v>10165</v>
      </c>
      <c r="F446" s="2">
        <v>1</v>
      </c>
      <c r="G446" s="8" t="s">
        <v>10167</v>
      </c>
      <c r="H446" s="8" t="s">
        <v>10599</v>
      </c>
      <c r="I446" s="8"/>
      <c r="J446" s="8" t="s">
        <v>10159</v>
      </c>
      <c r="K446" s="8" t="s">
        <v>10600</v>
      </c>
      <c r="L446" s="8" t="str">
        <f>HYPERLINK("https://seichotoushi-hojo.jp/assets/pdf/koufu_3_4ji/outline_14.pdf","PDFを開く")</f>
        <v>PDFを開く</v>
      </c>
      <c r="M446" s="8" t="s">
        <v>1710</v>
      </c>
    </row>
    <row r="447" spans="1:13" ht="66" customHeight="1">
      <c r="A447" s="5" t="s">
        <v>1711</v>
      </c>
      <c r="B447" s="5" t="s">
        <v>1595</v>
      </c>
      <c r="C447" s="9" t="s">
        <v>1712</v>
      </c>
      <c r="D447" s="5">
        <v>1</v>
      </c>
      <c r="E447" s="9" t="s">
        <v>10156</v>
      </c>
      <c r="F447" s="5">
        <v>4</v>
      </c>
      <c r="G447" s="9" t="s">
        <v>8581</v>
      </c>
      <c r="H447" s="9" t="s">
        <v>8581</v>
      </c>
      <c r="I447" s="9"/>
      <c r="J447" s="9" t="s">
        <v>10159</v>
      </c>
      <c r="K447" s="9" t="s">
        <v>8747</v>
      </c>
      <c r="L447" s="9" t="str">
        <f>HYPERLINK("https://seichotoushi-hojo.jp/assets/pdf/koufu_3_4ji/outline_140.pdf","PDFを開く")</f>
        <v>PDFを開く</v>
      </c>
      <c r="M447" s="9" t="s">
        <v>1718</v>
      </c>
    </row>
    <row r="448" spans="1:13" ht="66" customHeight="1">
      <c r="A448" s="2" t="s">
        <v>1711</v>
      </c>
      <c r="B448" s="2" t="s">
        <v>1595</v>
      </c>
      <c r="C448" s="8" t="s">
        <v>1712</v>
      </c>
      <c r="D448" s="2">
        <v>2</v>
      </c>
      <c r="E448" s="8" t="s">
        <v>10165</v>
      </c>
      <c r="F448" s="2">
        <v>1</v>
      </c>
      <c r="G448" s="8" t="s">
        <v>10167</v>
      </c>
      <c r="H448" s="8" t="s">
        <v>10601</v>
      </c>
      <c r="I448" s="8"/>
      <c r="J448" s="8" t="s">
        <v>10159</v>
      </c>
      <c r="K448" s="8" t="s">
        <v>10602</v>
      </c>
      <c r="L448" s="8" t="str">
        <f>HYPERLINK("https://seichotoushi-hojo.jp/assets/pdf/koufu_3_4ji/outline_140.pdf","PDFを開く")</f>
        <v>PDFを開く</v>
      </c>
      <c r="M448" s="8" t="s">
        <v>1718</v>
      </c>
    </row>
    <row r="449" spans="1:13" ht="66" customHeight="1">
      <c r="A449" s="5" t="s">
        <v>1719</v>
      </c>
      <c r="B449" s="5" t="s">
        <v>1595</v>
      </c>
      <c r="C449" s="9" t="s">
        <v>1720</v>
      </c>
      <c r="D449" s="5">
        <v>1</v>
      </c>
      <c r="E449" s="9" t="s">
        <v>10156</v>
      </c>
      <c r="F449" s="5">
        <v>4</v>
      </c>
      <c r="G449" s="9" t="s">
        <v>8581</v>
      </c>
      <c r="H449" s="9" t="s">
        <v>8581</v>
      </c>
      <c r="I449" s="9"/>
      <c r="J449" s="9" t="s">
        <v>10159</v>
      </c>
      <c r="K449" s="9" t="s">
        <v>8755</v>
      </c>
      <c r="L449" s="9" t="str">
        <f>HYPERLINK("https://seichotoushi-hojo.jp/assets/pdf/koufu_3_4ji/outline_15.pdf","PDFを開く")</f>
        <v>PDFを開く</v>
      </c>
      <c r="M449" s="9" t="s">
        <v>1726</v>
      </c>
    </row>
    <row r="450" spans="1:13" ht="66" customHeight="1">
      <c r="A450" s="2" t="s">
        <v>1719</v>
      </c>
      <c r="B450" s="2" t="s">
        <v>1595</v>
      </c>
      <c r="C450" s="8" t="s">
        <v>1720</v>
      </c>
      <c r="D450" s="2">
        <v>2</v>
      </c>
      <c r="E450" s="8" t="s">
        <v>10165</v>
      </c>
      <c r="F450" s="2">
        <v>1</v>
      </c>
      <c r="G450" s="8" t="s">
        <v>10184</v>
      </c>
      <c r="H450" s="8" t="s">
        <v>10184</v>
      </c>
      <c r="I450" s="8"/>
      <c r="J450" s="8" t="s">
        <v>10181</v>
      </c>
      <c r="K450" s="8" t="s">
        <v>10603</v>
      </c>
      <c r="L450" s="8" t="str">
        <f>HYPERLINK("https://seichotoushi-hojo.jp/assets/pdf/koufu_3_4ji/outline_15.pdf","PDFを開く")</f>
        <v>PDFを開く</v>
      </c>
      <c r="M450" s="8" t="s">
        <v>1726</v>
      </c>
    </row>
    <row r="451" spans="1:13" ht="66" customHeight="1">
      <c r="A451" s="5" t="s">
        <v>1727</v>
      </c>
      <c r="B451" s="5" t="s">
        <v>1595</v>
      </c>
      <c r="C451" s="9" t="s">
        <v>1728</v>
      </c>
      <c r="D451" s="5">
        <v>1</v>
      </c>
      <c r="E451" s="9" t="s">
        <v>10156</v>
      </c>
      <c r="F451" s="5">
        <v>4</v>
      </c>
      <c r="G451" s="9" t="s">
        <v>8581</v>
      </c>
      <c r="H451" s="9" t="s">
        <v>8581</v>
      </c>
      <c r="I451" s="9"/>
      <c r="J451" s="9" t="s">
        <v>10159</v>
      </c>
      <c r="K451" s="9" t="s">
        <v>8763</v>
      </c>
      <c r="L451" s="9" t="str">
        <f>HYPERLINK("https://seichotoushi-hojo.jp/assets/pdf/koufu_3_4ji/outline_151.pdf","PDFを開く")</f>
        <v>PDFを開く</v>
      </c>
      <c r="M451" s="9" t="s">
        <v>1733</v>
      </c>
    </row>
    <row r="452" spans="1:13" ht="66" customHeight="1">
      <c r="A452" s="2" t="s">
        <v>1734</v>
      </c>
      <c r="B452" s="2" t="s">
        <v>1595</v>
      </c>
      <c r="C452" s="8" t="s">
        <v>1735</v>
      </c>
      <c r="D452" s="2">
        <v>1</v>
      </c>
      <c r="E452" s="8" t="s">
        <v>10156</v>
      </c>
      <c r="F452" s="2">
        <v>1</v>
      </c>
      <c r="G452" s="8" t="s">
        <v>8581</v>
      </c>
      <c r="H452" s="8" t="s">
        <v>8581</v>
      </c>
      <c r="I452" s="8"/>
      <c r="J452" s="8" t="s">
        <v>10181</v>
      </c>
      <c r="K452" s="8" t="s">
        <v>10604</v>
      </c>
      <c r="L452" s="8" t="str">
        <f>HYPERLINK("https://seichotoushi-hojo.jp/assets/pdf/koufu_3_4ji/outline_16.pdf","PDFを開く")</f>
        <v>PDFを開く</v>
      </c>
      <c r="M452" s="8" t="s">
        <v>1739</v>
      </c>
    </row>
    <row r="453" spans="1:13" ht="66" customHeight="1">
      <c r="A453" s="5" t="s">
        <v>1734</v>
      </c>
      <c r="B453" s="5" t="s">
        <v>1595</v>
      </c>
      <c r="C453" s="9" t="s">
        <v>1735</v>
      </c>
      <c r="D453" s="5">
        <v>1</v>
      </c>
      <c r="E453" s="9" t="s">
        <v>10156</v>
      </c>
      <c r="F453" s="5">
        <v>5</v>
      </c>
      <c r="G453" s="9" t="s">
        <v>8581</v>
      </c>
      <c r="H453" s="9" t="s">
        <v>8581</v>
      </c>
      <c r="I453" s="9"/>
      <c r="J453" s="9" t="s">
        <v>10159</v>
      </c>
      <c r="K453" s="9" t="s">
        <v>10605</v>
      </c>
      <c r="L453" s="9" t="str">
        <f>HYPERLINK("https://seichotoushi-hojo.jp/assets/pdf/koufu_3_4ji/outline_16.pdf","PDFを開く")</f>
        <v>PDFを開く</v>
      </c>
      <c r="M453" s="9" t="s">
        <v>1739</v>
      </c>
    </row>
    <row r="454" spans="1:13" ht="66" customHeight="1">
      <c r="A454" s="2" t="s">
        <v>1740</v>
      </c>
      <c r="B454" s="2" t="s">
        <v>1595</v>
      </c>
      <c r="C454" s="8" t="s">
        <v>1741</v>
      </c>
      <c r="D454" s="2">
        <v>1</v>
      </c>
      <c r="E454" s="8" t="s">
        <v>10156</v>
      </c>
      <c r="F454" s="2">
        <v>3</v>
      </c>
      <c r="G454" s="8" t="s">
        <v>8581</v>
      </c>
      <c r="H454" s="8" t="s">
        <v>8581</v>
      </c>
      <c r="I454" s="8"/>
      <c r="J454" s="8" t="s">
        <v>10159</v>
      </c>
      <c r="K454" s="8" t="s">
        <v>8779</v>
      </c>
      <c r="L454" s="8" t="str">
        <f>HYPERLINK("https://seichotoushi-hojo.jp/assets/pdf/koufu_3_4ji/outline_17.pdf","PDFを開く")</f>
        <v>PDFを開く</v>
      </c>
      <c r="M454" s="8" t="s">
        <v>1747</v>
      </c>
    </row>
    <row r="455" spans="1:13" ht="66" customHeight="1">
      <c r="A455" s="5" t="s">
        <v>1740</v>
      </c>
      <c r="B455" s="5" t="s">
        <v>1595</v>
      </c>
      <c r="C455" s="9" t="s">
        <v>1741</v>
      </c>
      <c r="D455" s="5">
        <v>1</v>
      </c>
      <c r="E455" s="9" t="s">
        <v>10156</v>
      </c>
      <c r="F455" s="5">
        <v>5</v>
      </c>
      <c r="G455" s="9" t="s">
        <v>10167</v>
      </c>
      <c r="H455" s="9" t="s">
        <v>10606</v>
      </c>
      <c r="I455" s="9"/>
      <c r="J455" s="9" t="s">
        <v>10159</v>
      </c>
      <c r="K455" s="9" t="s">
        <v>10607</v>
      </c>
      <c r="L455" s="9" t="str">
        <f>HYPERLINK("https://seichotoushi-hojo.jp/assets/pdf/koufu_3_4ji/outline_17.pdf","PDFを開く")</f>
        <v>PDFを開く</v>
      </c>
      <c r="M455" s="9" t="s">
        <v>1747</v>
      </c>
    </row>
    <row r="456" spans="1:13" ht="66" customHeight="1">
      <c r="A456" s="2" t="s">
        <v>1748</v>
      </c>
      <c r="B456" s="2" t="s">
        <v>1595</v>
      </c>
      <c r="C456" s="8" t="s">
        <v>1749</v>
      </c>
      <c r="D456" s="2">
        <v>1</v>
      </c>
      <c r="E456" s="8" t="s">
        <v>10156</v>
      </c>
      <c r="F456" s="2">
        <v>1</v>
      </c>
      <c r="G456" s="8" t="s">
        <v>10157</v>
      </c>
      <c r="H456" s="8" t="s">
        <v>10157</v>
      </c>
      <c r="I456" s="8"/>
      <c r="J456" s="8" t="s">
        <v>10159</v>
      </c>
      <c r="K456" s="8" t="s">
        <v>10608</v>
      </c>
      <c r="L456" s="8" t="str">
        <f>HYPERLINK("https://seichotoushi-hojo.jp/assets/pdf/koufu_3_4ji/outline_173.pdf","PDFを開く")</f>
        <v>PDFを開く</v>
      </c>
      <c r="M456" s="8" t="s">
        <v>1754</v>
      </c>
    </row>
    <row r="457" spans="1:13" ht="66" customHeight="1">
      <c r="A457" s="5" t="s">
        <v>1748</v>
      </c>
      <c r="B457" s="5" t="s">
        <v>1595</v>
      </c>
      <c r="C457" s="9" t="s">
        <v>1749</v>
      </c>
      <c r="D457" s="5">
        <v>1</v>
      </c>
      <c r="E457" s="9" t="s">
        <v>10156</v>
      </c>
      <c r="F457" s="5">
        <v>5</v>
      </c>
      <c r="G457" s="9" t="s">
        <v>8581</v>
      </c>
      <c r="H457" s="9" t="s">
        <v>8581</v>
      </c>
      <c r="I457" s="9"/>
      <c r="J457" s="9" t="s">
        <v>10159</v>
      </c>
      <c r="K457" s="9" t="s">
        <v>8788</v>
      </c>
      <c r="L457" s="9" t="str">
        <f>HYPERLINK("https://seichotoushi-hojo.jp/assets/pdf/koufu_3_4ji/outline_173.pdf","PDFを開く")</f>
        <v>PDFを開く</v>
      </c>
      <c r="M457" s="9" t="s">
        <v>1754</v>
      </c>
    </row>
    <row r="458" spans="1:13" ht="66" customHeight="1">
      <c r="A458" s="2" t="s">
        <v>1748</v>
      </c>
      <c r="B458" s="2" t="s">
        <v>1595</v>
      </c>
      <c r="C458" s="8" t="s">
        <v>1749</v>
      </c>
      <c r="D458" s="2">
        <v>2</v>
      </c>
      <c r="E458" s="8" t="s">
        <v>10165</v>
      </c>
      <c r="F458" s="2">
        <v>1</v>
      </c>
      <c r="G458" s="8" t="s">
        <v>10157</v>
      </c>
      <c r="H458" s="8" t="s">
        <v>10157</v>
      </c>
      <c r="I458" s="8"/>
      <c r="J458" s="8" t="s">
        <v>10159</v>
      </c>
      <c r="K458" s="8" t="s">
        <v>10609</v>
      </c>
      <c r="L458" s="8" t="str">
        <f>HYPERLINK("https://seichotoushi-hojo.jp/assets/pdf/koufu_3_4ji/outline_173.pdf","PDFを開く")</f>
        <v>PDFを開く</v>
      </c>
      <c r="M458" s="8" t="s">
        <v>1754</v>
      </c>
    </row>
    <row r="459" spans="1:13" ht="66" customHeight="1">
      <c r="A459" s="5" t="s">
        <v>1748</v>
      </c>
      <c r="B459" s="5" t="s">
        <v>1595</v>
      </c>
      <c r="C459" s="9" t="s">
        <v>1749</v>
      </c>
      <c r="D459" s="5">
        <v>2</v>
      </c>
      <c r="E459" s="9" t="s">
        <v>10165</v>
      </c>
      <c r="F459" s="5">
        <v>2</v>
      </c>
      <c r="G459" s="9" t="s">
        <v>10167</v>
      </c>
      <c r="H459" s="9" t="s">
        <v>10610</v>
      </c>
      <c r="I459" s="9"/>
      <c r="J459" s="9" t="s">
        <v>10159</v>
      </c>
      <c r="K459" s="9" t="s">
        <v>10611</v>
      </c>
      <c r="L459" s="9" t="str">
        <f>HYPERLINK("https://seichotoushi-hojo.jp/assets/pdf/koufu_3_4ji/outline_173.pdf","PDFを開く")</f>
        <v>PDFを開く</v>
      </c>
      <c r="M459" s="9" t="s">
        <v>1754</v>
      </c>
    </row>
    <row r="460" spans="1:13" ht="66" customHeight="1">
      <c r="A460" s="2" t="s">
        <v>1755</v>
      </c>
      <c r="B460" s="2" t="s">
        <v>1595</v>
      </c>
      <c r="C460" s="8" t="s">
        <v>1756</v>
      </c>
      <c r="D460" s="2">
        <v>1</v>
      </c>
      <c r="E460" s="8" t="s">
        <v>10156</v>
      </c>
      <c r="F460" s="2">
        <v>4</v>
      </c>
      <c r="G460" s="8" t="s">
        <v>8581</v>
      </c>
      <c r="H460" s="8" t="s">
        <v>8581</v>
      </c>
      <c r="I460" s="8"/>
      <c r="J460" s="8" t="s">
        <v>10159</v>
      </c>
      <c r="K460" s="8" t="s">
        <v>8796</v>
      </c>
      <c r="L460" s="8" t="str">
        <f>HYPERLINK("https://seichotoushi-hojo.jp/assets/pdf/koufu_3_4ji/outline_18.pdf","PDFを開く")</f>
        <v>PDFを開く</v>
      </c>
      <c r="M460" s="8" t="s">
        <v>1760</v>
      </c>
    </row>
    <row r="461" spans="1:13" ht="66" customHeight="1">
      <c r="A461" s="5" t="s">
        <v>1761</v>
      </c>
      <c r="B461" s="5" t="s">
        <v>1595</v>
      </c>
      <c r="C461" s="9" t="s">
        <v>1762</v>
      </c>
      <c r="D461" s="5">
        <v>1</v>
      </c>
      <c r="E461" s="9" t="s">
        <v>10156</v>
      </c>
      <c r="F461" s="5">
        <v>4</v>
      </c>
      <c r="G461" s="9" t="s">
        <v>8581</v>
      </c>
      <c r="H461" s="9" t="s">
        <v>8581</v>
      </c>
      <c r="I461" s="9"/>
      <c r="J461" s="9" t="s">
        <v>10159</v>
      </c>
      <c r="K461" s="9" t="s">
        <v>8804</v>
      </c>
      <c r="L461" s="9" t="str">
        <f>HYPERLINK("https://seichotoushi-hojo.jp/assets/pdf/koufu_3_4ji/outline_185.pdf","PDFを開く")</f>
        <v>PDFを開く</v>
      </c>
      <c r="M461" s="9" t="s">
        <v>1768</v>
      </c>
    </row>
    <row r="462" spans="1:13" ht="66" customHeight="1">
      <c r="A462" s="2" t="s">
        <v>1769</v>
      </c>
      <c r="B462" s="2" t="s">
        <v>1595</v>
      </c>
      <c r="C462" s="8" t="s">
        <v>1770</v>
      </c>
      <c r="D462" s="2">
        <v>1</v>
      </c>
      <c r="E462" s="8" t="s">
        <v>10156</v>
      </c>
      <c r="F462" s="2">
        <v>3</v>
      </c>
      <c r="G462" s="8" t="s">
        <v>8581</v>
      </c>
      <c r="H462" s="8" t="s">
        <v>8581</v>
      </c>
      <c r="I462" s="8"/>
      <c r="J462" s="8" t="s">
        <v>10159</v>
      </c>
      <c r="K462" s="8" t="s">
        <v>8812</v>
      </c>
      <c r="L462" s="8" t="str">
        <f>HYPERLINK("https://seichotoushi-hojo.jp/assets/pdf/koufu_3_4ji/outline_186.pdf","PDFを開く")</f>
        <v>PDFを開く</v>
      </c>
      <c r="M462" s="8" t="s">
        <v>1775</v>
      </c>
    </row>
    <row r="463" spans="1:13" ht="66" customHeight="1">
      <c r="A463" s="5" t="s">
        <v>1776</v>
      </c>
      <c r="B463" s="5" t="s">
        <v>1595</v>
      </c>
      <c r="C463" s="9" t="s">
        <v>1777</v>
      </c>
      <c r="D463" s="5">
        <v>1</v>
      </c>
      <c r="E463" s="9" t="s">
        <v>10156</v>
      </c>
      <c r="F463" s="5">
        <v>4</v>
      </c>
      <c r="G463" s="9" t="s">
        <v>8581</v>
      </c>
      <c r="H463" s="9" t="s">
        <v>8581</v>
      </c>
      <c r="I463" s="9"/>
      <c r="J463" s="9" t="s">
        <v>10159</v>
      </c>
      <c r="K463" s="9" t="s">
        <v>8820</v>
      </c>
      <c r="L463" s="9" t="str">
        <f>HYPERLINK("https://seichotoushi-hojo.jp/assets/pdf/koufu_3_4ji/outline_188.pdf","PDFを開く")</f>
        <v>PDFを開く</v>
      </c>
      <c r="M463" s="9" t="s">
        <v>1783</v>
      </c>
    </row>
    <row r="464" spans="1:13" ht="66" customHeight="1">
      <c r="A464" s="2" t="s">
        <v>1784</v>
      </c>
      <c r="B464" s="2" t="s">
        <v>1595</v>
      </c>
      <c r="C464" s="8" t="s">
        <v>1785</v>
      </c>
      <c r="D464" s="2">
        <v>1</v>
      </c>
      <c r="E464" s="8" t="s">
        <v>10156</v>
      </c>
      <c r="F464" s="2">
        <v>4</v>
      </c>
      <c r="G464" s="8" t="s">
        <v>8581</v>
      </c>
      <c r="H464" s="8" t="s">
        <v>8581</v>
      </c>
      <c r="I464" s="8"/>
      <c r="J464" s="8" t="s">
        <v>10159</v>
      </c>
      <c r="K464" s="8" t="s">
        <v>8829</v>
      </c>
      <c r="L464" s="8" t="str">
        <f>HYPERLINK("https://seichotoushi-hojo.jp/assets/pdf/koufu_3_4ji/outline_19.pdf","PDFを開く")</f>
        <v>PDFを開く</v>
      </c>
      <c r="M464" s="8" t="s">
        <v>1790</v>
      </c>
    </row>
    <row r="465" spans="1:13" ht="66" customHeight="1">
      <c r="A465" s="5" t="s">
        <v>1784</v>
      </c>
      <c r="B465" s="5" t="s">
        <v>1595</v>
      </c>
      <c r="C465" s="9" t="s">
        <v>1785</v>
      </c>
      <c r="D465" s="5">
        <v>2</v>
      </c>
      <c r="E465" s="9" t="s">
        <v>10165</v>
      </c>
      <c r="F465" s="5">
        <v>1</v>
      </c>
      <c r="G465" s="9" t="s">
        <v>10157</v>
      </c>
      <c r="H465" s="9" t="s">
        <v>10157</v>
      </c>
      <c r="I465" s="9"/>
      <c r="J465" s="9" t="s">
        <v>10159</v>
      </c>
      <c r="K465" s="9" t="s">
        <v>8825</v>
      </c>
      <c r="L465" s="9" t="str">
        <f>HYPERLINK("https://seichotoushi-hojo.jp/assets/pdf/koufu_3_4ji/outline_19.pdf","PDFを開く")</f>
        <v>PDFを開く</v>
      </c>
      <c r="M465" s="9" t="s">
        <v>1790</v>
      </c>
    </row>
    <row r="466" spans="1:13" ht="66" customHeight="1">
      <c r="A466" s="2" t="s">
        <v>1791</v>
      </c>
      <c r="B466" s="2" t="s">
        <v>1595</v>
      </c>
      <c r="C466" s="8" t="s">
        <v>1792</v>
      </c>
      <c r="D466" s="2">
        <v>1</v>
      </c>
      <c r="E466" s="8" t="s">
        <v>10156</v>
      </c>
      <c r="F466" s="2">
        <v>4</v>
      </c>
      <c r="G466" s="8" t="s">
        <v>8581</v>
      </c>
      <c r="H466" s="8" t="s">
        <v>8581</v>
      </c>
      <c r="I466" s="8"/>
      <c r="J466" s="8" t="s">
        <v>10159</v>
      </c>
      <c r="K466" s="8" t="s">
        <v>8837</v>
      </c>
      <c r="L466" s="8" t="str">
        <f>HYPERLINK("https://seichotoushi-hojo.jp/assets/pdf/koufu_3_4ji/outline_190.pdf","PDFを開く")</f>
        <v>PDFを開く</v>
      </c>
      <c r="M466" s="8" t="s">
        <v>1797</v>
      </c>
    </row>
    <row r="467" spans="1:13" ht="66" customHeight="1">
      <c r="A467" s="5" t="s">
        <v>1806</v>
      </c>
      <c r="B467" s="5" t="s">
        <v>1595</v>
      </c>
      <c r="C467" s="9" t="s">
        <v>1807</v>
      </c>
      <c r="D467" s="5">
        <v>1</v>
      </c>
      <c r="E467" s="9" t="s">
        <v>10156</v>
      </c>
      <c r="F467" s="5">
        <v>4</v>
      </c>
      <c r="G467" s="9" t="s">
        <v>8581</v>
      </c>
      <c r="H467" s="9" t="s">
        <v>8581</v>
      </c>
      <c r="I467" s="9"/>
      <c r="J467" s="9" t="s">
        <v>10159</v>
      </c>
      <c r="K467" s="9" t="s">
        <v>8851</v>
      </c>
      <c r="L467" s="9" t="str">
        <f>HYPERLINK("https://seichotoushi-hojo.jp/assets/pdf/koufu_3_4ji/outline_2.pdf","PDFを開く")</f>
        <v>PDFを開く</v>
      </c>
      <c r="M467" s="9" t="s">
        <v>1812</v>
      </c>
    </row>
    <row r="468" spans="1:13" ht="66" customHeight="1">
      <c r="A468" s="2" t="s">
        <v>1806</v>
      </c>
      <c r="B468" s="2" t="s">
        <v>1595</v>
      </c>
      <c r="C468" s="8" t="s">
        <v>1807</v>
      </c>
      <c r="D468" s="2">
        <v>2</v>
      </c>
      <c r="E468" s="8" t="s">
        <v>10165</v>
      </c>
      <c r="F468" s="2">
        <v>1</v>
      </c>
      <c r="G468" s="8" t="s">
        <v>10184</v>
      </c>
      <c r="H468" s="8" t="s">
        <v>10184</v>
      </c>
      <c r="I468" s="8"/>
      <c r="J468" s="8" t="s">
        <v>10181</v>
      </c>
      <c r="K468" s="8" t="s">
        <v>10616</v>
      </c>
      <c r="L468" s="8" t="str">
        <f>HYPERLINK("https://seichotoushi-hojo.jp/assets/pdf/koufu_3_4ji/outline_2.pdf","PDFを開く")</f>
        <v>PDFを開く</v>
      </c>
      <c r="M468" s="8" t="s">
        <v>1812</v>
      </c>
    </row>
    <row r="469" spans="1:13" ht="66" customHeight="1">
      <c r="A469" s="5" t="s">
        <v>1813</v>
      </c>
      <c r="B469" s="5" t="s">
        <v>1595</v>
      </c>
      <c r="C469" s="9" t="s">
        <v>1814</v>
      </c>
      <c r="D469" s="5">
        <v>1</v>
      </c>
      <c r="E469" s="9" t="s">
        <v>10156</v>
      </c>
      <c r="F469" s="5">
        <v>4</v>
      </c>
      <c r="G469" s="9" t="s">
        <v>8581</v>
      </c>
      <c r="H469" s="9" t="s">
        <v>8581</v>
      </c>
      <c r="I469" s="9"/>
      <c r="J469" s="9" t="s">
        <v>10159</v>
      </c>
      <c r="K469" s="9" t="s">
        <v>8860</v>
      </c>
      <c r="L469" s="9" t="str">
        <f>HYPERLINK("https://seichotoushi-hojo.jp/assets/pdf/koufu_3_4ji/outline_205.pdf","PDFを開く")</f>
        <v>PDFを開く</v>
      </c>
      <c r="M469" s="9" t="s">
        <v>1820</v>
      </c>
    </row>
    <row r="470" spans="1:13" ht="66" customHeight="1">
      <c r="A470" s="2" t="s">
        <v>1813</v>
      </c>
      <c r="B470" s="2" t="s">
        <v>1595</v>
      </c>
      <c r="C470" s="8" t="s">
        <v>1814</v>
      </c>
      <c r="D470" s="2">
        <v>1</v>
      </c>
      <c r="E470" s="8" t="s">
        <v>10156</v>
      </c>
      <c r="F470" s="2">
        <v>5</v>
      </c>
      <c r="G470" s="8" t="s">
        <v>10171</v>
      </c>
      <c r="H470" s="8" t="s">
        <v>10171</v>
      </c>
      <c r="I470" s="8"/>
      <c r="J470" s="8" t="s">
        <v>10159</v>
      </c>
      <c r="K470" s="8" t="s">
        <v>8859</v>
      </c>
      <c r="L470" s="8" t="str">
        <f>HYPERLINK("https://seichotoushi-hojo.jp/assets/pdf/koufu_3_4ji/outline_205.pdf","PDFを開く")</f>
        <v>PDFを開く</v>
      </c>
      <c r="M470" s="8" t="s">
        <v>1820</v>
      </c>
    </row>
    <row r="471" spans="1:13" ht="66" customHeight="1">
      <c r="A471" s="5" t="s">
        <v>1821</v>
      </c>
      <c r="B471" s="5" t="s">
        <v>1595</v>
      </c>
      <c r="C471" s="9" t="s">
        <v>1822</v>
      </c>
      <c r="D471" s="5">
        <v>1</v>
      </c>
      <c r="E471" s="9" t="s">
        <v>10156</v>
      </c>
      <c r="F471" s="5">
        <v>4</v>
      </c>
      <c r="G471" s="9" t="s">
        <v>8581</v>
      </c>
      <c r="H471" s="9" t="s">
        <v>8581</v>
      </c>
      <c r="I471" s="9"/>
      <c r="J471" s="9" t="s">
        <v>10159</v>
      </c>
      <c r="K471" s="9" t="s">
        <v>8868</v>
      </c>
      <c r="L471" s="9" t="str">
        <f>HYPERLINK("https://seichotoushi-hojo.jp/assets/pdf/koufu_3_4ji/outline_209.pdf","PDFを開く")</f>
        <v>PDFを開く</v>
      </c>
      <c r="M471" s="9" t="s">
        <v>1829</v>
      </c>
    </row>
    <row r="472" spans="1:13" ht="66" customHeight="1">
      <c r="A472" s="2" t="s">
        <v>1821</v>
      </c>
      <c r="B472" s="2" t="s">
        <v>1595</v>
      </c>
      <c r="C472" s="8" t="s">
        <v>1822</v>
      </c>
      <c r="D472" s="2">
        <v>3</v>
      </c>
      <c r="E472" s="8" t="s">
        <v>10165</v>
      </c>
      <c r="F472" s="2">
        <v>1</v>
      </c>
      <c r="G472" s="8" t="s">
        <v>10167</v>
      </c>
      <c r="H472" s="8" t="s">
        <v>10617</v>
      </c>
      <c r="I472" s="8"/>
      <c r="J472" s="8" t="s">
        <v>10159</v>
      </c>
      <c r="K472" s="8" t="s">
        <v>10618</v>
      </c>
      <c r="L472" s="8" t="str">
        <f>HYPERLINK("https://seichotoushi-hojo.jp/assets/pdf/koufu_3_4ji/outline_209.pdf","PDFを開く")</f>
        <v>PDFを開く</v>
      </c>
      <c r="M472" s="8" t="s">
        <v>1829</v>
      </c>
    </row>
    <row r="473" spans="1:13" ht="66" customHeight="1">
      <c r="A473" s="5" t="s">
        <v>1821</v>
      </c>
      <c r="B473" s="5" t="s">
        <v>1595</v>
      </c>
      <c r="C473" s="9" t="s">
        <v>1822</v>
      </c>
      <c r="D473" s="5">
        <v>4</v>
      </c>
      <c r="E473" s="9" t="s">
        <v>10165</v>
      </c>
      <c r="F473" s="5">
        <v>1</v>
      </c>
      <c r="G473" s="9" t="s">
        <v>10167</v>
      </c>
      <c r="H473" s="9" t="s">
        <v>10619</v>
      </c>
      <c r="I473" s="9"/>
      <c r="J473" s="9" t="s">
        <v>10159</v>
      </c>
      <c r="K473" s="9" t="s">
        <v>10620</v>
      </c>
      <c r="L473" s="9" t="str">
        <f>HYPERLINK("https://seichotoushi-hojo.jp/assets/pdf/koufu_3_4ji/outline_209.pdf","PDFを開く")</f>
        <v>PDFを開く</v>
      </c>
      <c r="M473" s="9" t="s">
        <v>1829</v>
      </c>
    </row>
    <row r="474" spans="1:13" ht="66" customHeight="1">
      <c r="A474" s="2" t="s">
        <v>1830</v>
      </c>
      <c r="B474" s="2" t="s">
        <v>1595</v>
      </c>
      <c r="C474" s="8" t="s">
        <v>1831</v>
      </c>
      <c r="D474" s="2">
        <v>1</v>
      </c>
      <c r="E474" s="8" t="s">
        <v>10156</v>
      </c>
      <c r="F474" s="2">
        <v>4</v>
      </c>
      <c r="G474" s="8" t="s">
        <v>8581</v>
      </c>
      <c r="H474" s="8" t="s">
        <v>8581</v>
      </c>
      <c r="I474" s="8"/>
      <c r="J474" s="8" t="s">
        <v>10159</v>
      </c>
      <c r="K474" s="8" t="s">
        <v>8876</v>
      </c>
      <c r="L474" s="8" t="str">
        <f>HYPERLINK("https://seichotoushi-hojo.jp/assets/pdf/koufu_3_4ji/outline_21.pdf","PDFを開く")</f>
        <v>PDFを開く</v>
      </c>
      <c r="M474" s="8" t="s">
        <v>1836</v>
      </c>
    </row>
    <row r="475" spans="1:13" ht="66" customHeight="1">
      <c r="A475" s="5" t="s">
        <v>1837</v>
      </c>
      <c r="B475" s="5" t="s">
        <v>1595</v>
      </c>
      <c r="C475" s="9" t="s">
        <v>1838</v>
      </c>
      <c r="D475" s="5">
        <v>1</v>
      </c>
      <c r="E475" s="9" t="s">
        <v>10156</v>
      </c>
      <c r="F475" s="5">
        <v>4</v>
      </c>
      <c r="G475" s="9" t="s">
        <v>8581</v>
      </c>
      <c r="H475" s="9" t="s">
        <v>8581</v>
      </c>
      <c r="I475" s="9"/>
      <c r="J475" s="9" t="s">
        <v>10159</v>
      </c>
      <c r="K475" s="9" t="s">
        <v>8884</v>
      </c>
      <c r="L475" s="9" t="str">
        <f>HYPERLINK("https://seichotoushi-hojo.jp/assets/pdf/koufu_3_4ji/outline_212.pdf","PDFを開く")</f>
        <v>PDFを開く</v>
      </c>
      <c r="M475" s="9" t="s">
        <v>1842</v>
      </c>
    </row>
    <row r="476" spans="1:13" ht="66" customHeight="1">
      <c r="A476" s="2" t="s">
        <v>1837</v>
      </c>
      <c r="B476" s="2" t="s">
        <v>1595</v>
      </c>
      <c r="C476" s="8" t="s">
        <v>1838</v>
      </c>
      <c r="D476" s="2">
        <v>2</v>
      </c>
      <c r="E476" s="8" t="s">
        <v>10165</v>
      </c>
      <c r="F476" s="2">
        <v>1</v>
      </c>
      <c r="G476" s="8" t="s">
        <v>10184</v>
      </c>
      <c r="H476" s="8" t="s">
        <v>10184</v>
      </c>
      <c r="I476" s="8"/>
      <c r="J476" s="8" t="s">
        <v>10181</v>
      </c>
      <c r="K476" s="8" t="s">
        <v>10621</v>
      </c>
      <c r="L476" s="8" t="str">
        <f>HYPERLINK("https://seichotoushi-hojo.jp/assets/pdf/koufu_3_4ji/outline_212.pdf","PDFを開く")</f>
        <v>PDFを開く</v>
      </c>
      <c r="M476" s="8" t="s">
        <v>1842</v>
      </c>
    </row>
    <row r="477" spans="1:13" ht="66" customHeight="1">
      <c r="A477" s="5" t="s">
        <v>1843</v>
      </c>
      <c r="B477" s="5" t="s">
        <v>1595</v>
      </c>
      <c r="C477" s="9" t="s">
        <v>1844</v>
      </c>
      <c r="D477" s="5">
        <v>1</v>
      </c>
      <c r="E477" s="9" t="s">
        <v>10156</v>
      </c>
      <c r="F477" s="5">
        <v>2</v>
      </c>
      <c r="G477" s="9" t="s">
        <v>10157</v>
      </c>
      <c r="H477" s="9" t="s">
        <v>10157</v>
      </c>
      <c r="I477" s="9"/>
      <c r="J477" s="9" t="s">
        <v>10159</v>
      </c>
      <c r="K477" s="9" t="s">
        <v>10623</v>
      </c>
      <c r="L477" s="9" t="str">
        <f t="shared" ref="L477:L482" si="12">HYPERLINK("https://seichotoushi-hojo.jp/assets/pdf/koufu_3_4ji/outline_214.pdf","PDFを開く")</f>
        <v>PDFを開く</v>
      </c>
      <c r="M477" s="9" t="s">
        <v>1851</v>
      </c>
    </row>
    <row r="478" spans="1:13" ht="66" customHeight="1">
      <c r="A478" s="2" t="s">
        <v>1843</v>
      </c>
      <c r="B478" s="2" t="s">
        <v>1595</v>
      </c>
      <c r="C478" s="8" t="s">
        <v>1844</v>
      </c>
      <c r="D478" s="2">
        <v>1</v>
      </c>
      <c r="E478" s="8" t="s">
        <v>10156</v>
      </c>
      <c r="F478" s="2">
        <v>4</v>
      </c>
      <c r="G478" s="8" t="s">
        <v>10167</v>
      </c>
      <c r="H478" s="8" t="s">
        <v>10625</v>
      </c>
      <c r="I478" s="8"/>
      <c r="J478" s="8" t="s">
        <v>10159</v>
      </c>
      <c r="K478" s="8" t="s">
        <v>10626</v>
      </c>
      <c r="L478" s="8" t="str">
        <f t="shared" si="12"/>
        <v>PDFを開く</v>
      </c>
      <c r="M478" s="8" t="s">
        <v>1851</v>
      </c>
    </row>
    <row r="479" spans="1:13" ht="66" customHeight="1">
      <c r="A479" s="5" t="s">
        <v>1843</v>
      </c>
      <c r="B479" s="5" t="s">
        <v>1595</v>
      </c>
      <c r="C479" s="9" t="s">
        <v>1844</v>
      </c>
      <c r="D479" s="5">
        <v>1</v>
      </c>
      <c r="E479" s="9" t="s">
        <v>10156</v>
      </c>
      <c r="F479" s="5">
        <v>5</v>
      </c>
      <c r="G479" s="9" t="s">
        <v>10167</v>
      </c>
      <c r="H479" s="9" t="s">
        <v>10627</v>
      </c>
      <c r="I479" s="9"/>
      <c r="J479" s="9" t="s">
        <v>10159</v>
      </c>
      <c r="K479" s="9" t="s">
        <v>10628</v>
      </c>
      <c r="L479" s="9" t="str">
        <f t="shared" si="12"/>
        <v>PDFを開く</v>
      </c>
      <c r="M479" s="9" t="s">
        <v>1851</v>
      </c>
    </row>
    <row r="480" spans="1:13" ht="66" customHeight="1">
      <c r="A480" s="2" t="s">
        <v>1843</v>
      </c>
      <c r="B480" s="2" t="s">
        <v>1595</v>
      </c>
      <c r="C480" s="8" t="s">
        <v>1844</v>
      </c>
      <c r="D480" s="2">
        <v>1</v>
      </c>
      <c r="E480" s="8" t="s">
        <v>10156</v>
      </c>
      <c r="F480" s="2">
        <v>6</v>
      </c>
      <c r="G480" s="8" t="s">
        <v>8581</v>
      </c>
      <c r="H480" s="8" t="s">
        <v>8581</v>
      </c>
      <c r="I480" s="8"/>
      <c r="J480" s="8" t="s">
        <v>10159</v>
      </c>
      <c r="K480" s="8" t="s">
        <v>8891</v>
      </c>
      <c r="L480" s="8" t="str">
        <f t="shared" si="12"/>
        <v>PDFを開く</v>
      </c>
      <c r="M480" s="8" t="s">
        <v>1851</v>
      </c>
    </row>
    <row r="481" spans="1:13" ht="66" customHeight="1">
      <c r="A481" s="5" t="s">
        <v>1843</v>
      </c>
      <c r="B481" s="5" t="s">
        <v>1595</v>
      </c>
      <c r="C481" s="9" t="s">
        <v>1844</v>
      </c>
      <c r="D481" s="5">
        <v>2</v>
      </c>
      <c r="E481" s="9" t="s">
        <v>10165</v>
      </c>
      <c r="F481" s="5">
        <v>1</v>
      </c>
      <c r="G481" s="9" t="s">
        <v>10157</v>
      </c>
      <c r="H481" s="9" t="s">
        <v>10157</v>
      </c>
      <c r="I481" s="9"/>
      <c r="J481" s="9" t="s">
        <v>10159</v>
      </c>
      <c r="K481" s="9" t="s">
        <v>10629</v>
      </c>
      <c r="L481" s="9" t="str">
        <f t="shared" si="12"/>
        <v>PDFを開く</v>
      </c>
      <c r="M481" s="9" t="s">
        <v>1851</v>
      </c>
    </row>
    <row r="482" spans="1:13" ht="66" customHeight="1">
      <c r="A482" s="2" t="s">
        <v>1843</v>
      </c>
      <c r="B482" s="2" t="s">
        <v>1595</v>
      </c>
      <c r="C482" s="8" t="s">
        <v>1844</v>
      </c>
      <c r="D482" s="2">
        <v>2</v>
      </c>
      <c r="E482" s="8" t="s">
        <v>10165</v>
      </c>
      <c r="F482" s="2">
        <v>2</v>
      </c>
      <c r="G482" s="8" t="s">
        <v>10184</v>
      </c>
      <c r="H482" s="8" t="s">
        <v>10184</v>
      </c>
      <c r="I482" s="8"/>
      <c r="J482" s="8" t="s">
        <v>10181</v>
      </c>
      <c r="K482" s="8" t="s">
        <v>10630</v>
      </c>
      <c r="L482" s="8" t="str">
        <f t="shared" si="12"/>
        <v>PDFを開く</v>
      </c>
      <c r="M482" s="8" t="s">
        <v>1851</v>
      </c>
    </row>
    <row r="483" spans="1:13" ht="66" customHeight="1">
      <c r="A483" s="5" t="s">
        <v>1852</v>
      </c>
      <c r="B483" s="5" t="s">
        <v>1595</v>
      </c>
      <c r="C483" s="9" t="s">
        <v>1853</v>
      </c>
      <c r="D483" s="5">
        <v>1</v>
      </c>
      <c r="E483" s="9" t="s">
        <v>10156</v>
      </c>
      <c r="F483" s="5">
        <v>4</v>
      </c>
      <c r="G483" s="9" t="s">
        <v>8581</v>
      </c>
      <c r="H483" s="9" t="s">
        <v>8581</v>
      </c>
      <c r="I483" s="9"/>
      <c r="J483" s="9" t="s">
        <v>10159</v>
      </c>
      <c r="K483" s="9" t="s">
        <v>8899</v>
      </c>
      <c r="L483" s="9" t="str">
        <f>HYPERLINK("https://seichotoushi-hojo.jp/assets/pdf/koufu_3_4ji/outline_215.pdf","PDFを開く")</f>
        <v>PDFを開く</v>
      </c>
      <c r="M483" s="9" t="s">
        <v>1858</v>
      </c>
    </row>
    <row r="484" spans="1:13" ht="66" customHeight="1">
      <c r="A484" s="2" t="s">
        <v>1859</v>
      </c>
      <c r="B484" s="2" t="s">
        <v>1595</v>
      </c>
      <c r="C484" s="8" t="s">
        <v>1860</v>
      </c>
      <c r="D484" s="2">
        <v>1</v>
      </c>
      <c r="E484" s="8" t="s">
        <v>10156</v>
      </c>
      <c r="F484" s="2">
        <v>4</v>
      </c>
      <c r="G484" s="8" t="s">
        <v>8581</v>
      </c>
      <c r="H484" s="8" t="s">
        <v>8581</v>
      </c>
      <c r="I484" s="8"/>
      <c r="J484" s="8" t="s">
        <v>10159</v>
      </c>
      <c r="K484" s="8" t="s">
        <v>8907</v>
      </c>
      <c r="L484" s="8" t="str">
        <f>HYPERLINK("https://seichotoushi-hojo.jp/assets/pdf/koufu_3_4ji/outline_216.pdf","PDFを開く")</f>
        <v>PDFを開く</v>
      </c>
      <c r="M484" s="8" t="s">
        <v>1866</v>
      </c>
    </row>
    <row r="485" spans="1:13" ht="66" customHeight="1">
      <c r="A485" s="5" t="s">
        <v>1859</v>
      </c>
      <c r="B485" s="5" t="s">
        <v>1595</v>
      </c>
      <c r="C485" s="9" t="s">
        <v>1860</v>
      </c>
      <c r="D485" s="5">
        <v>2</v>
      </c>
      <c r="E485" s="9" t="s">
        <v>10165</v>
      </c>
      <c r="F485" s="5">
        <v>1</v>
      </c>
      <c r="G485" s="9" t="s">
        <v>10184</v>
      </c>
      <c r="H485" s="9" t="s">
        <v>10184</v>
      </c>
      <c r="I485" s="9"/>
      <c r="J485" s="9" t="s">
        <v>10181</v>
      </c>
      <c r="K485" s="9" t="s">
        <v>10631</v>
      </c>
      <c r="L485" s="9" t="str">
        <f>HYPERLINK("https://seichotoushi-hojo.jp/assets/pdf/koufu_3_4ji/outline_216.pdf","PDFを開く")</f>
        <v>PDFを開く</v>
      </c>
      <c r="M485" s="9" t="s">
        <v>1866</v>
      </c>
    </row>
    <row r="486" spans="1:13" ht="66" customHeight="1">
      <c r="A486" s="2" t="s">
        <v>1867</v>
      </c>
      <c r="B486" s="2" t="s">
        <v>1595</v>
      </c>
      <c r="C486" s="8" t="s">
        <v>1868</v>
      </c>
      <c r="D486" s="2">
        <v>1</v>
      </c>
      <c r="E486" s="8" t="s">
        <v>10156</v>
      </c>
      <c r="F486" s="2">
        <v>4</v>
      </c>
      <c r="G486" s="8" t="s">
        <v>8581</v>
      </c>
      <c r="H486" s="8" t="s">
        <v>8581</v>
      </c>
      <c r="I486" s="8"/>
      <c r="J486" s="8" t="s">
        <v>10159</v>
      </c>
      <c r="K486" s="8" t="s">
        <v>8915</v>
      </c>
      <c r="L486" s="8" t="str">
        <f>HYPERLINK("https://seichotoushi-hojo.jp/assets/pdf/koufu_3_4ji/outline_22.pdf","PDFを開く")</f>
        <v>PDFを開く</v>
      </c>
      <c r="M486" s="8" t="s">
        <v>1873</v>
      </c>
    </row>
    <row r="487" spans="1:13" ht="66" customHeight="1">
      <c r="A487" s="5" t="s">
        <v>1874</v>
      </c>
      <c r="B487" s="5" t="s">
        <v>1595</v>
      </c>
      <c r="C487" s="9" t="s">
        <v>1875</v>
      </c>
      <c r="D487" s="5">
        <v>1</v>
      </c>
      <c r="E487" s="9" t="s">
        <v>10156</v>
      </c>
      <c r="F487" s="5">
        <v>4</v>
      </c>
      <c r="G487" s="9" t="s">
        <v>8581</v>
      </c>
      <c r="H487" s="9" t="s">
        <v>8581</v>
      </c>
      <c r="I487" s="9"/>
      <c r="J487" s="9" t="s">
        <v>10159</v>
      </c>
      <c r="K487" s="9" t="s">
        <v>8923</v>
      </c>
      <c r="L487" s="9" t="str">
        <f>HYPERLINK("https://seichotoushi-hojo.jp/assets/pdf/koufu_3_4ji/outline_229.pdf","PDFを開く")</f>
        <v>PDFを開く</v>
      </c>
      <c r="M487" s="9" t="s">
        <v>1880</v>
      </c>
    </row>
    <row r="488" spans="1:13" ht="66" customHeight="1">
      <c r="A488" s="2" t="s">
        <v>1874</v>
      </c>
      <c r="B488" s="2" t="s">
        <v>1595</v>
      </c>
      <c r="C488" s="8" t="s">
        <v>1875</v>
      </c>
      <c r="D488" s="2">
        <v>2</v>
      </c>
      <c r="E488" s="8" t="s">
        <v>10165</v>
      </c>
      <c r="F488" s="2">
        <v>1</v>
      </c>
      <c r="G488" s="8" t="s">
        <v>10184</v>
      </c>
      <c r="H488" s="8" t="s">
        <v>10184</v>
      </c>
      <c r="I488" s="8"/>
      <c r="J488" s="8" t="s">
        <v>10181</v>
      </c>
      <c r="K488" s="8" t="s">
        <v>10632</v>
      </c>
      <c r="L488" s="8" t="str">
        <f>HYPERLINK("https://seichotoushi-hojo.jp/assets/pdf/koufu_3_4ji/outline_229.pdf","PDFを開く")</f>
        <v>PDFを開く</v>
      </c>
      <c r="M488" s="8" t="s">
        <v>1880</v>
      </c>
    </row>
    <row r="489" spans="1:13" ht="66" customHeight="1">
      <c r="A489" s="5" t="s">
        <v>1881</v>
      </c>
      <c r="B489" s="5" t="s">
        <v>1595</v>
      </c>
      <c r="C489" s="9" t="s">
        <v>1882</v>
      </c>
      <c r="D489" s="5">
        <v>1</v>
      </c>
      <c r="E489" s="9" t="s">
        <v>10156</v>
      </c>
      <c r="F489" s="5">
        <v>4</v>
      </c>
      <c r="G489" s="9" t="s">
        <v>8581</v>
      </c>
      <c r="H489" s="9" t="s">
        <v>8581</v>
      </c>
      <c r="I489" s="9"/>
      <c r="J489" s="9" t="s">
        <v>10159</v>
      </c>
      <c r="K489" s="9" t="s">
        <v>8931</v>
      </c>
      <c r="L489" s="9" t="str">
        <f>HYPERLINK("https://seichotoushi-hojo.jp/assets/pdf/koufu_3_4ji/outline_23.pdf","PDFを開く")</f>
        <v>PDFを開く</v>
      </c>
      <c r="M489" s="9" t="s">
        <v>1887</v>
      </c>
    </row>
    <row r="490" spans="1:13" ht="66" customHeight="1">
      <c r="A490" s="2" t="s">
        <v>1888</v>
      </c>
      <c r="B490" s="2" t="s">
        <v>1595</v>
      </c>
      <c r="C490" s="8" t="s">
        <v>1889</v>
      </c>
      <c r="D490" s="2">
        <v>1</v>
      </c>
      <c r="E490" s="8" t="s">
        <v>10156</v>
      </c>
      <c r="F490" s="2">
        <v>2</v>
      </c>
      <c r="G490" s="8" t="s">
        <v>8581</v>
      </c>
      <c r="H490" s="8" t="s">
        <v>8581</v>
      </c>
      <c r="I490" s="8"/>
      <c r="J490" s="8" t="s">
        <v>10181</v>
      </c>
      <c r="K490" s="8" t="s">
        <v>10634</v>
      </c>
      <c r="L490" s="8" t="str">
        <f>HYPERLINK("https://seichotoushi-hojo.jp/assets/pdf/koufu_3_4ji/outline_232.pdf","PDFを開く")</f>
        <v>PDFを開く</v>
      </c>
      <c r="M490" s="8" t="s">
        <v>1896</v>
      </c>
    </row>
    <row r="491" spans="1:13" ht="66" customHeight="1">
      <c r="A491" s="5" t="s">
        <v>1888</v>
      </c>
      <c r="B491" s="5" t="s">
        <v>1595</v>
      </c>
      <c r="C491" s="9" t="s">
        <v>1889</v>
      </c>
      <c r="D491" s="5">
        <v>1</v>
      </c>
      <c r="E491" s="9" t="s">
        <v>10156</v>
      </c>
      <c r="F491" s="5">
        <v>6</v>
      </c>
      <c r="G491" s="9" t="s">
        <v>8581</v>
      </c>
      <c r="H491" s="9" t="s">
        <v>8581</v>
      </c>
      <c r="I491" s="9"/>
      <c r="J491" s="9" t="s">
        <v>10159</v>
      </c>
      <c r="K491" s="9" t="s">
        <v>10636</v>
      </c>
      <c r="L491" s="9" t="str">
        <f>HYPERLINK("https://seichotoushi-hojo.jp/assets/pdf/koufu_3_4ji/outline_232.pdf","PDFを開く")</f>
        <v>PDFを開く</v>
      </c>
      <c r="M491" s="9" t="s">
        <v>1896</v>
      </c>
    </row>
    <row r="492" spans="1:13" ht="66" customHeight="1">
      <c r="A492" s="2" t="s">
        <v>1897</v>
      </c>
      <c r="B492" s="2" t="s">
        <v>1595</v>
      </c>
      <c r="C492" s="8" t="s">
        <v>1898</v>
      </c>
      <c r="D492" s="2">
        <v>1</v>
      </c>
      <c r="E492" s="8" t="s">
        <v>10156</v>
      </c>
      <c r="F492" s="2">
        <v>3</v>
      </c>
      <c r="G492" s="8" t="s">
        <v>8581</v>
      </c>
      <c r="H492" s="8" t="s">
        <v>8581</v>
      </c>
      <c r="I492" s="8"/>
      <c r="J492" s="8" t="s">
        <v>10159</v>
      </c>
      <c r="K492" s="8" t="s">
        <v>8947</v>
      </c>
      <c r="L492" s="8" t="str">
        <f>HYPERLINK("https://seichotoushi-hojo.jp/assets/pdf/koufu_3_4ji/outline_234.pdf","PDFを開く")</f>
        <v>PDFを開く</v>
      </c>
      <c r="M492" s="8" t="s">
        <v>1903</v>
      </c>
    </row>
    <row r="493" spans="1:13" ht="66" customHeight="1">
      <c r="A493" s="5" t="s">
        <v>1904</v>
      </c>
      <c r="B493" s="5" t="s">
        <v>1595</v>
      </c>
      <c r="C493" s="9" t="s">
        <v>1905</v>
      </c>
      <c r="D493" s="5">
        <v>1</v>
      </c>
      <c r="E493" s="9" t="s">
        <v>10156</v>
      </c>
      <c r="F493" s="5">
        <v>4</v>
      </c>
      <c r="G493" s="9" t="s">
        <v>8581</v>
      </c>
      <c r="H493" s="9" t="s">
        <v>8581</v>
      </c>
      <c r="I493" s="9"/>
      <c r="J493" s="9" t="s">
        <v>10159</v>
      </c>
      <c r="K493" s="9" t="s">
        <v>8955</v>
      </c>
      <c r="L493" s="9" t="str">
        <f>HYPERLINK("https://seichotoushi-hojo.jp/assets/pdf/koufu_3_4ji/outline_24.pdf","PDFを開く")</f>
        <v>PDFを開く</v>
      </c>
      <c r="M493" s="9" t="s">
        <v>1911</v>
      </c>
    </row>
    <row r="494" spans="1:13" ht="66" customHeight="1">
      <c r="A494" s="2" t="s">
        <v>1904</v>
      </c>
      <c r="B494" s="2" t="s">
        <v>1595</v>
      </c>
      <c r="C494" s="8" t="s">
        <v>1905</v>
      </c>
      <c r="D494" s="2">
        <v>2</v>
      </c>
      <c r="E494" s="8" t="s">
        <v>10165</v>
      </c>
      <c r="F494" s="2">
        <v>1</v>
      </c>
      <c r="G494" s="8" t="s">
        <v>10167</v>
      </c>
      <c r="H494" s="8" t="s">
        <v>5265</v>
      </c>
      <c r="I494" s="8"/>
      <c r="J494" s="8" t="s">
        <v>10159</v>
      </c>
      <c r="K494" s="8" t="s">
        <v>10187</v>
      </c>
      <c r="L494" s="8" t="str">
        <f>HYPERLINK("https://seichotoushi-hojo.jp/assets/pdf/koufu_3_4ji/outline_24.pdf","PDFを開く")</f>
        <v>PDFを開く</v>
      </c>
      <c r="M494" s="8" t="s">
        <v>1911</v>
      </c>
    </row>
    <row r="495" spans="1:13" ht="66" customHeight="1">
      <c r="A495" s="5" t="s">
        <v>1912</v>
      </c>
      <c r="B495" s="5" t="s">
        <v>1595</v>
      </c>
      <c r="C495" s="9" t="s">
        <v>1913</v>
      </c>
      <c r="D495" s="5">
        <v>1</v>
      </c>
      <c r="E495" s="9" t="s">
        <v>10156</v>
      </c>
      <c r="F495" s="5">
        <v>1</v>
      </c>
      <c r="G495" s="9" t="s">
        <v>10171</v>
      </c>
      <c r="H495" s="9" t="s">
        <v>10171</v>
      </c>
      <c r="I495" s="9"/>
      <c r="J495" s="9" t="s">
        <v>10159</v>
      </c>
      <c r="K495" s="9" t="s">
        <v>8964</v>
      </c>
      <c r="L495" s="9" t="str">
        <f t="shared" ref="L495:L515" si="13">HYPERLINK("https://seichotoushi-hojo.jp/assets/pdf/koufu_3_4ji/outline_25.pdf","PDFを開く")</f>
        <v>PDFを開く</v>
      </c>
      <c r="M495" s="9" t="s">
        <v>1917</v>
      </c>
    </row>
    <row r="496" spans="1:13" ht="66" customHeight="1">
      <c r="A496" s="2" t="s">
        <v>1912</v>
      </c>
      <c r="B496" s="2" t="s">
        <v>1595</v>
      </c>
      <c r="C496" s="8" t="s">
        <v>1913</v>
      </c>
      <c r="D496" s="2">
        <v>1</v>
      </c>
      <c r="E496" s="8" t="s">
        <v>10156</v>
      </c>
      <c r="F496" s="2">
        <v>2</v>
      </c>
      <c r="G496" s="8" t="s">
        <v>10167</v>
      </c>
      <c r="H496" s="8" t="s">
        <v>10637</v>
      </c>
      <c r="I496" s="8"/>
      <c r="J496" s="8" t="s">
        <v>10159</v>
      </c>
      <c r="K496" s="8" t="s">
        <v>10638</v>
      </c>
      <c r="L496" s="8" t="str">
        <f t="shared" si="13"/>
        <v>PDFを開く</v>
      </c>
      <c r="M496" s="8" t="s">
        <v>1917</v>
      </c>
    </row>
    <row r="497" spans="1:13" ht="66" customHeight="1">
      <c r="A497" s="5" t="s">
        <v>1912</v>
      </c>
      <c r="B497" s="5" t="s">
        <v>1595</v>
      </c>
      <c r="C497" s="9" t="s">
        <v>1913</v>
      </c>
      <c r="D497" s="5">
        <v>1</v>
      </c>
      <c r="E497" s="9" t="s">
        <v>10156</v>
      </c>
      <c r="F497" s="5">
        <v>3</v>
      </c>
      <c r="G497" s="9" t="s">
        <v>10167</v>
      </c>
      <c r="H497" s="9" t="s">
        <v>10639</v>
      </c>
      <c r="I497" s="9"/>
      <c r="J497" s="9" t="s">
        <v>10159</v>
      </c>
      <c r="K497" s="9" t="s">
        <v>10640</v>
      </c>
      <c r="L497" s="9" t="str">
        <f t="shared" si="13"/>
        <v>PDFを開く</v>
      </c>
      <c r="M497" s="9" t="s">
        <v>1917</v>
      </c>
    </row>
    <row r="498" spans="1:13" ht="66" customHeight="1">
      <c r="A498" s="2" t="s">
        <v>1912</v>
      </c>
      <c r="B498" s="2" t="s">
        <v>1595</v>
      </c>
      <c r="C498" s="8" t="s">
        <v>1913</v>
      </c>
      <c r="D498" s="2">
        <v>2</v>
      </c>
      <c r="E498" s="8" t="s">
        <v>10156</v>
      </c>
      <c r="F498" s="2">
        <v>4</v>
      </c>
      <c r="G498" s="8" t="s">
        <v>8581</v>
      </c>
      <c r="H498" s="8" t="s">
        <v>8581</v>
      </c>
      <c r="I498" s="8"/>
      <c r="J498" s="8" t="s">
        <v>10159</v>
      </c>
      <c r="K498" s="8" t="s">
        <v>8965</v>
      </c>
      <c r="L498" s="8" t="str">
        <f t="shared" si="13"/>
        <v>PDFを開く</v>
      </c>
      <c r="M498" s="8" t="s">
        <v>1917</v>
      </c>
    </row>
    <row r="499" spans="1:13" ht="66" customHeight="1">
      <c r="A499" s="5" t="s">
        <v>1912</v>
      </c>
      <c r="B499" s="5" t="s">
        <v>1595</v>
      </c>
      <c r="C499" s="9" t="s">
        <v>1913</v>
      </c>
      <c r="D499" s="5">
        <v>3</v>
      </c>
      <c r="E499" s="9" t="s">
        <v>10156</v>
      </c>
      <c r="F499" s="5">
        <v>1</v>
      </c>
      <c r="G499" s="9" t="s">
        <v>10167</v>
      </c>
      <c r="H499" s="9" t="s">
        <v>10641</v>
      </c>
      <c r="I499" s="9"/>
      <c r="J499" s="9" t="s">
        <v>10159</v>
      </c>
      <c r="K499" s="9" t="s">
        <v>10642</v>
      </c>
      <c r="L499" s="9" t="str">
        <f t="shared" si="13"/>
        <v>PDFを開く</v>
      </c>
      <c r="M499" s="9" t="s">
        <v>1917</v>
      </c>
    </row>
    <row r="500" spans="1:13" ht="66" customHeight="1">
      <c r="A500" s="2" t="s">
        <v>1912</v>
      </c>
      <c r="B500" s="2" t="s">
        <v>1595</v>
      </c>
      <c r="C500" s="8" t="s">
        <v>1913</v>
      </c>
      <c r="D500" s="2">
        <v>3</v>
      </c>
      <c r="E500" s="8" t="s">
        <v>10156</v>
      </c>
      <c r="F500" s="2">
        <v>2</v>
      </c>
      <c r="G500" s="8" t="s">
        <v>10167</v>
      </c>
      <c r="H500" s="8" t="s">
        <v>10643</v>
      </c>
      <c r="I500" s="8"/>
      <c r="J500" s="8" t="s">
        <v>10159</v>
      </c>
      <c r="K500" s="8" t="s">
        <v>10644</v>
      </c>
      <c r="L500" s="8" t="str">
        <f t="shared" si="13"/>
        <v>PDFを開く</v>
      </c>
      <c r="M500" s="8" t="s">
        <v>1917</v>
      </c>
    </row>
    <row r="501" spans="1:13" ht="66" customHeight="1">
      <c r="A501" s="5" t="s">
        <v>1912</v>
      </c>
      <c r="B501" s="5" t="s">
        <v>1595</v>
      </c>
      <c r="C501" s="9" t="s">
        <v>1913</v>
      </c>
      <c r="D501" s="5">
        <v>3</v>
      </c>
      <c r="E501" s="9" t="s">
        <v>10156</v>
      </c>
      <c r="F501" s="5">
        <v>3</v>
      </c>
      <c r="G501" s="9" t="s">
        <v>10167</v>
      </c>
      <c r="H501" s="9" t="s">
        <v>10645</v>
      </c>
      <c r="I501" s="9"/>
      <c r="J501" s="9" t="s">
        <v>10159</v>
      </c>
      <c r="K501" s="9" t="s">
        <v>10646</v>
      </c>
      <c r="L501" s="9" t="str">
        <f t="shared" si="13"/>
        <v>PDFを開く</v>
      </c>
      <c r="M501" s="9" t="s">
        <v>1917</v>
      </c>
    </row>
    <row r="502" spans="1:13" ht="66" customHeight="1">
      <c r="A502" s="2" t="s">
        <v>1912</v>
      </c>
      <c r="B502" s="2" t="s">
        <v>1595</v>
      </c>
      <c r="C502" s="8" t="s">
        <v>1913</v>
      </c>
      <c r="D502" s="2">
        <v>3</v>
      </c>
      <c r="E502" s="8" t="s">
        <v>10156</v>
      </c>
      <c r="F502" s="2">
        <v>4</v>
      </c>
      <c r="G502" s="8" t="s">
        <v>10167</v>
      </c>
      <c r="H502" s="8" t="s">
        <v>10647</v>
      </c>
      <c r="I502" s="8"/>
      <c r="J502" s="8" t="s">
        <v>10159</v>
      </c>
      <c r="K502" s="8" t="s">
        <v>10648</v>
      </c>
      <c r="L502" s="8" t="str">
        <f t="shared" si="13"/>
        <v>PDFを開く</v>
      </c>
      <c r="M502" s="8" t="s">
        <v>1917</v>
      </c>
    </row>
    <row r="503" spans="1:13" ht="66" customHeight="1">
      <c r="A503" s="5" t="s">
        <v>1912</v>
      </c>
      <c r="B503" s="5" t="s">
        <v>1595</v>
      </c>
      <c r="C503" s="9" t="s">
        <v>1913</v>
      </c>
      <c r="D503" s="5">
        <v>3</v>
      </c>
      <c r="E503" s="9" t="s">
        <v>10156</v>
      </c>
      <c r="F503" s="5">
        <v>5</v>
      </c>
      <c r="G503" s="9" t="s">
        <v>10167</v>
      </c>
      <c r="H503" s="9" t="s">
        <v>10649</v>
      </c>
      <c r="I503" s="9"/>
      <c r="J503" s="9" t="s">
        <v>10159</v>
      </c>
      <c r="K503" s="9" t="s">
        <v>10650</v>
      </c>
      <c r="L503" s="9" t="str">
        <f t="shared" si="13"/>
        <v>PDFを開く</v>
      </c>
      <c r="M503" s="9" t="s">
        <v>1917</v>
      </c>
    </row>
    <row r="504" spans="1:13" ht="66" customHeight="1">
      <c r="A504" s="2" t="s">
        <v>1912</v>
      </c>
      <c r="B504" s="2" t="s">
        <v>1595</v>
      </c>
      <c r="C504" s="8" t="s">
        <v>1913</v>
      </c>
      <c r="D504" s="2">
        <v>3</v>
      </c>
      <c r="E504" s="8" t="s">
        <v>10156</v>
      </c>
      <c r="F504" s="2">
        <v>6</v>
      </c>
      <c r="G504" s="8" t="s">
        <v>10167</v>
      </c>
      <c r="H504" s="8" t="s">
        <v>10651</v>
      </c>
      <c r="I504" s="8"/>
      <c r="J504" s="8" t="s">
        <v>10159</v>
      </c>
      <c r="K504" s="8" t="s">
        <v>10652</v>
      </c>
      <c r="L504" s="8" t="str">
        <f t="shared" si="13"/>
        <v>PDFを開く</v>
      </c>
      <c r="M504" s="8" t="s">
        <v>1917</v>
      </c>
    </row>
    <row r="505" spans="1:13" ht="66" customHeight="1">
      <c r="A505" s="5" t="s">
        <v>1912</v>
      </c>
      <c r="B505" s="5" t="s">
        <v>1595</v>
      </c>
      <c r="C505" s="9" t="s">
        <v>1913</v>
      </c>
      <c r="D505" s="5">
        <v>3</v>
      </c>
      <c r="E505" s="9" t="s">
        <v>10156</v>
      </c>
      <c r="F505" s="5">
        <v>7</v>
      </c>
      <c r="G505" s="9" t="s">
        <v>10167</v>
      </c>
      <c r="H505" s="9" t="s">
        <v>10653</v>
      </c>
      <c r="I505" s="9"/>
      <c r="J505" s="9" t="s">
        <v>10159</v>
      </c>
      <c r="K505" s="9" t="s">
        <v>10654</v>
      </c>
      <c r="L505" s="9" t="str">
        <f t="shared" si="13"/>
        <v>PDFを開く</v>
      </c>
      <c r="M505" s="9" t="s">
        <v>1917</v>
      </c>
    </row>
    <row r="506" spans="1:13" ht="66" customHeight="1">
      <c r="A506" s="2" t="s">
        <v>1912</v>
      </c>
      <c r="B506" s="2" t="s">
        <v>1595</v>
      </c>
      <c r="C506" s="8" t="s">
        <v>1913</v>
      </c>
      <c r="D506" s="2">
        <v>3</v>
      </c>
      <c r="E506" s="8" t="s">
        <v>10156</v>
      </c>
      <c r="F506" s="2">
        <v>8</v>
      </c>
      <c r="G506" s="8" t="s">
        <v>10167</v>
      </c>
      <c r="H506" s="8" t="s">
        <v>10655</v>
      </c>
      <c r="I506" s="8"/>
      <c r="J506" s="8" t="s">
        <v>10159</v>
      </c>
      <c r="K506" s="8" t="s">
        <v>10656</v>
      </c>
      <c r="L506" s="8" t="str">
        <f t="shared" si="13"/>
        <v>PDFを開く</v>
      </c>
      <c r="M506" s="8" t="s">
        <v>1917</v>
      </c>
    </row>
    <row r="507" spans="1:13" ht="66" customHeight="1">
      <c r="A507" s="5" t="s">
        <v>1912</v>
      </c>
      <c r="B507" s="5" t="s">
        <v>1595</v>
      </c>
      <c r="C507" s="9" t="s">
        <v>1913</v>
      </c>
      <c r="D507" s="5">
        <v>3</v>
      </c>
      <c r="E507" s="9" t="s">
        <v>10156</v>
      </c>
      <c r="F507" s="5">
        <v>9</v>
      </c>
      <c r="G507" s="9" t="s">
        <v>10167</v>
      </c>
      <c r="H507" s="9" t="s">
        <v>10657</v>
      </c>
      <c r="I507" s="9"/>
      <c r="J507" s="9" t="s">
        <v>10159</v>
      </c>
      <c r="K507" s="9" t="s">
        <v>10658</v>
      </c>
      <c r="L507" s="9" t="str">
        <f t="shared" si="13"/>
        <v>PDFを開く</v>
      </c>
      <c r="M507" s="9" t="s">
        <v>1917</v>
      </c>
    </row>
    <row r="508" spans="1:13" ht="66" customHeight="1">
      <c r="A508" s="2" t="s">
        <v>1912</v>
      </c>
      <c r="B508" s="2" t="s">
        <v>1595</v>
      </c>
      <c r="C508" s="8" t="s">
        <v>1913</v>
      </c>
      <c r="D508" s="2">
        <v>3</v>
      </c>
      <c r="E508" s="8" t="s">
        <v>10156</v>
      </c>
      <c r="F508" s="2">
        <v>10</v>
      </c>
      <c r="G508" s="8" t="s">
        <v>10167</v>
      </c>
      <c r="H508" s="8" t="s">
        <v>10659</v>
      </c>
      <c r="I508" s="8"/>
      <c r="J508" s="8" t="s">
        <v>10159</v>
      </c>
      <c r="K508" s="8" t="s">
        <v>10660</v>
      </c>
      <c r="L508" s="8" t="str">
        <f t="shared" si="13"/>
        <v>PDFを開く</v>
      </c>
      <c r="M508" s="8" t="s">
        <v>1917</v>
      </c>
    </row>
    <row r="509" spans="1:13" ht="66" customHeight="1">
      <c r="A509" s="5" t="s">
        <v>1912</v>
      </c>
      <c r="B509" s="5" t="s">
        <v>1595</v>
      </c>
      <c r="C509" s="9" t="s">
        <v>1913</v>
      </c>
      <c r="D509" s="5">
        <v>5</v>
      </c>
      <c r="E509" s="9" t="s">
        <v>10165</v>
      </c>
      <c r="F509" s="5">
        <v>1</v>
      </c>
      <c r="G509" s="9" t="s">
        <v>10167</v>
      </c>
      <c r="H509" s="9" t="s">
        <v>10661</v>
      </c>
      <c r="I509" s="9"/>
      <c r="J509" s="9" t="s">
        <v>10159</v>
      </c>
      <c r="K509" s="9" t="s">
        <v>10662</v>
      </c>
      <c r="L509" s="9" t="str">
        <f t="shared" si="13"/>
        <v>PDFを開く</v>
      </c>
      <c r="M509" s="9" t="s">
        <v>1917</v>
      </c>
    </row>
    <row r="510" spans="1:13" ht="66" customHeight="1">
      <c r="A510" s="2" t="s">
        <v>1912</v>
      </c>
      <c r="B510" s="2" t="s">
        <v>1595</v>
      </c>
      <c r="C510" s="8" t="s">
        <v>1913</v>
      </c>
      <c r="D510" s="2">
        <v>5</v>
      </c>
      <c r="E510" s="8" t="s">
        <v>10165</v>
      </c>
      <c r="F510" s="2">
        <v>2</v>
      </c>
      <c r="G510" s="8" t="s">
        <v>10157</v>
      </c>
      <c r="H510" s="8" t="s">
        <v>10157</v>
      </c>
      <c r="I510" s="8"/>
      <c r="J510" s="8" t="s">
        <v>10159</v>
      </c>
      <c r="K510" s="8" t="s">
        <v>8960</v>
      </c>
      <c r="L510" s="8" t="str">
        <f t="shared" si="13"/>
        <v>PDFを開く</v>
      </c>
      <c r="M510" s="8" t="s">
        <v>1917</v>
      </c>
    </row>
    <row r="511" spans="1:13" ht="66" customHeight="1">
      <c r="A511" s="5" t="s">
        <v>1912</v>
      </c>
      <c r="B511" s="5" t="s">
        <v>1595</v>
      </c>
      <c r="C511" s="9" t="s">
        <v>1913</v>
      </c>
      <c r="D511" s="5">
        <v>5</v>
      </c>
      <c r="E511" s="9" t="s">
        <v>10165</v>
      </c>
      <c r="F511" s="5">
        <v>3</v>
      </c>
      <c r="G511" s="9" t="s">
        <v>10167</v>
      </c>
      <c r="H511" s="9" t="s">
        <v>10663</v>
      </c>
      <c r="I511" s="9"/>
      <c r="J511" s="9" t="s">
        <v>10159</v>
      </c>
      <c r="K511" s="9" t="s">
        <v>10664</v>
      </c>
      <c r="L511" s="9" t="str">
        <f t="shared" si="13"/>
        <v>PDFを開く</v>
      </c>
      <c r="M511" s="9" t="s">
        <v>1917</v>
      </c>
    </row>
    <row r="512" spans="1:13" ht="66" customHeight="1">
      <c r="A512" s="2" t="s">
        <v>1912</v>
      </c>
      <c r="B512" s="2" t="s">
        <v>1595</v>
      </c>
      <c r="C512" s="8" t="s">
        <v>1913</v>
      </c>
      <c r="D512" s="2">
        <v>5</v>
      </c>
      <c r="E512" s="8" t="s">
        <v>10165</v>
      </c>
      <c r="F512" s="2">
        <v>4</v>
      </c>
      <c r="G512" s="8" t="s">
        <v>10167</v>
      </c>
      <c r="H512" s="8" t="s">
        <v>10665</v>
      </c>
      <c r="I512" s="8"/>
      <c r="J512" s="8" t="s">
        <v>10159</v>
      </c>
      <c r="K512" s="8" t="s">
        <v>10666</v>
      </c>
      <c r="L512" s="8" t="str">
        <f t="shared" si="13"/>
        <v>PDFを開く</v>
      </c>
      <c r="M512" s="8" t="s">
        <v>1917</v>
      </c>
    </row>
    <row r="513" spans="1:13" ht="66" customHeight="1">
      <c r="A513" s="5" t="s">
        <v>1912</v>
      </c>
      <c r="B513" s="5" t="s">
        <v>1595</v>
      </c>
      <c r="C513" s="9" t="s">
        <v>1913</v>
      </c>
      <c r="D513" s="5">
        <v>5</v>
      </c>
      <c r="E513" s="9" t="s">
        <v>10165</v>
      </c>
      <c r="F513" s="5">
        <v>5</v>
      </c>
      <c r="G513" s="9" t="s">
        <v>10167</v>
      </c>
      <c r="H513" s="9" t="s">
        <v>10667</v>
      </c>
      <c r="I513" s="9"/>
      <c r="J513" s="9" t="s">
        <v>10159</v>
      </c>
      <c r="K513" s="9" t="s">
        <v>10668</v>
      </c>
      <c r="L513" s="9" t="str">
        <f t="shared" si="13"/>
        <v>PDFを開く</v>
      </c>
      <c r="M513" s="9" t="s">
        <v>1917</v>
      </c>
    </row>
    <row r="514" spans="1:13" ht="66" customHeight="1">
      <c r="A514" s="2" t="s">
        <v>1912</v>
      </c>
      <c r="B514" s="2" t="s">
        <v>1595</v>
      </c>
      <c r="C514" s="8" t="s">
        <v>1913</v>
      </c>
      <c r="D514" s="2">
        <v>5</v>
      </c>
      <c r="E514" s="8" t="s">
        <v>10165</v>
      </c>
      <c r="F514" s="2">
        <v>6</v>
      </c>
      <c r="G514" s="8" t="s">
        <v>10167</v>
      </c>
      <c r="H514" s="8" t="s">
        <v>10669</v>
      </c>
      <c r="I514" s="8"/>
      <c r="J514" s="8" t="s">
        <v>10159</v>
      </c>
      <c r="K514" s="8" t="s">
        <v>10670</v>
      </c>
      <c r="L514" s="8" t="str">
        <f t="shared" si="13"/>
        <v>PDFを開く</v>
      </c>
      <c r="M514" s="8" t="s">
        <v>1917</v>
      </c>
    </row>
    <row r="515" spans="1:13" ht="66" customHeight="1">
      <c r="A515" s="5" t="s">
        <v>1912</v>
      </c>
      <c r="B515" s="5" t="s">
        <v>1595</v>
      </c>
      <c r="C515" s="9" t="s">
        <v>1913</v>
      </c>
      <c r="D515" s="5">
        <v>5</v>
      </c>
      <c r="E515" s="9" t="s">
        <v>10165</v>
      </c>
      <c r="F515" s="5">
        <v>7</v>
      </c>
      <c r="G515" s="9" t="s">
        <v>10167</v>
      </c>
      <c r="H515" s="9" t="s">
        <v>10671</v>
      </c>
      <c r="I515" s="9"/>
      <c r="J515" s="9" t="s">
        <v>10159</v>
      </c>
      <c r="K515" s="9" t="s">
        <v>10672</v>
      </c>
      <c r="L515" s="9" t="str">
        <f t="shared" si="13"/>
        <v>PDFを開く</v>
      </c>
      <c r="M515" s="9" t="s">
        <v>1917</v>
      </c>
    </row>
    <row r="516" spans="1:13" ht="66" customHeight="1">
      <c r="A516" s="2" t="s">
        <v>1918</v>
      </c>
      <c r="B516" s="2" t="s">
        <v>1595</v>
      </c>
      <c r="C516" s="8" t="s">
        <v>1919</v>
      </c>
      <c r="D516" s="2">
        <v>1</v>
      </c>
      <c r="E516" s="8" t="s">
        <v>10156</v>
      </c>
      <c r="F516" s="2">
        <v>4</v>
      </c>
      <c r="G516" s="8" t="s">
        <v>8581</v>
      </c>
      <c r="H516" s="8" t="s">
        <v>8581</v>
      </c>
      <c r="I516" s="8"/>
      <c r="J516" s="8" t="s">
        <v>10159</v>
      </c>
      <c r="K516" s="8" t="s">
        <v>8973</v>
      </c>
      <c r="L516" s="8" t="str">
        <f>HYPERLINK("https://seichotoushi-hojo.jp/assets/pdf/koufu_3_4ji/outline_26.pdf","PDFを開く")</f>
        <v>PDFを開く</v>
      </c>
      <c r="M516" s="8" t="s">
        <v>1926</v>
      </c>
    </row>
    <row r="517" spans="1:13" ht="66" customHeight="1">
      <c r="A517" s="5" t="s">
        <v>1918</v>
      </c>
      <c r="B517" s="5" t="s">
        <v>1595</v>
      </c>
      <c r="C517" s="9" t="s">
        <v>1919</v>
      </c>
      <c r="D517" s="5">
        <v>2</v>
      </c>
      <c r="E517" s="9" t="s">
        <v>10165</v>
      </c>
      <c r="F517" s="5">
        <v>1</v>
      </c>
      <c r="G517" s="9" t="s">
        <v>10184</v>
      </c>
      <c r="H517" s="9" t="s">
        <v>10184</v>
      </c>
      <c r="I517" s="9"/>
      <c r="J517" s="9" t="s">
        <v>10181</v>
      </c>
      <c r="K517" s="9" t="s">
        <v>10673</v>
      </c>
      <c r="L517" s="9" t="str">
        <f>HYPERLINK("https://seichotoushi-hojo.jp/assets/pdf/koufu_3_4ji/outline_26.pdf","PDFを開く")</f>
        <v>PDFを開く</v>
      </c>
      <c r="M517" s="9" t="s">
        <v>1926</v>
      </c>
    </row>
    <row r="518" spans="1:13" ht="66" customHeight="1">
      <c r="A518" s="2" t="s">
        <v>1936</v>
      </c>
      <c r="B518" s="2" t="s">
        <v>1595</v>
      </c>
      <c r="C518" s="8" t="s">
        <v>1937</v>
      </c>
      <c r="D518" s="2">
        <v>1</v>
      </c>
      <c r="E518" s="8" t="s">
        <v>10156</v>
      </c>
      <c r="F518" s="2">
        <v>4</v>
      </c>
      <c r="G518" s="8" t="s">
        <v>8581</v>
      </c>
      <c r="H518" s="8" t="s">
        <v>8581</v>
      </c>
      <c r="I518" s="8"/>
      <c r="J518" s="8" t="s">
        <v>10159</v>
      </c>
      <c r="K518" s="8" t="s">
        <v>8987</v>
      </c>
      <c r="L518" s="8" t="str">
        <f>HYPERLINK("https://seichotoushi-hojo.jp/assets/pdf/koufu_3_4ji/outline_3.pdf","PDFを開く")</f>
        <v>PDFを開く</v>
      </c>
      <c r="M518" s="8" t="s">
        <v>1943</v>
      </c>
    </row>
    <row r="519" spans="1:13" ht="66" customHeight="1">
      <c r="A519" s="5" t="s">
        <v>1936</v>
      </c>
      <c r="B519" s="5" t="s">
        <v>1595</v>
      </c>
      <c r="C519" s="9" t="s">
        <v>1937</v>
      </c>
      <c r="D519" s="5">
        <v>3</v>
      </c>
      <c r="E519" s="9" t="s">
        <v>10165</v>
      </c>
      <c r="F519" s="5">
        <v>1</v>
      </c>
      <c r="G519" s="9" t="s">
        <v>10167</v>
      </c>
      <c r="H519" s="9" t="s">
        <v>10675</v>
      </c>
      <c r="I519" s="9"/>
      <c r="J519" s="9" t="s">
        <v>10159</v>
      </c>
      <c r="K519" s="9" t="s">
        <v>10676</v>
      </c>
      <c r="L519" s="9" t="str">
        <f>HYPERLINK("https://seichotoushi-hojo.jp/assets/pdf/koufu_3_4ji/outline_3.pdf","PDFを開く")</f>
        <v>PDFを開く</v>
      </c>
      <c r="M519" s="9" t="s">
        <v>1943</v>
      </c>
    </row>
    <row r="520" spans="1:13" ht="66" customHeight="1">
      <c r="A520" s="2" t="s">
        <v>1936</v>
      </c>
      <c r="B520" s="2" t="s">
        <v>1595</v>
      </c>
      <c r="C520" s="8" t="s">
        <v>1937</v>
      </c>
      <c r="D520" s="2">
        <v>4</v>
      </c>
      <c r="E520" s="8" t="s">
        <v>10165</v>
      </c>
      <c r="F520" s="2">
        <v>1</v>
      </c>
      <c r="G520" s="8" t="s">
        <v>10167</v>
      </c>
      <c r="H520" s="8" t="s">
        <v>10677</v>
      </c>
      <c r="I520" s="8"/>
      <c r="J520" s="8" t="s">
        <v>10159</v>
      </c>
      <c r="K520" s="8" t="s">
        <v>10678</v>
      </c>
      <c r="L520" s="8" t="str">
        <f>HYPERLINK("https://seichotoushi-hojo.jp/assets/pdf/koufu_3_4ji/outline_3.pdf","PDFを開く")</f>
        <v>PDFを開く</v>
      </c>
      <c r="M520" s="8" t="s">
        <v>1943</v>
      </c>
    </row>
    <row r="521" spans="1:13" ht="66" customHeight="1">
      <c r="A521" s="5" t="s">
        <v>1936</v>
      </c>
      <c r="B521" s="5" t="s">
        <v>1595</v>
      </c>
      <c r="C521" s="9" t="s">
        <v>1937</v>
      </c>
      <c r="D521" s="5">
        <v>4</v>
      </c>
      <c r="E521" s="9" t="s">
        <v>10165</v>
      </c>
      <c r="F521" s="5">
        <v>2</v>
      </c>
      <c r="G521" s="9" t="s">
        <v>10167</v>
      </c>
      <c r="H521" s="9" t="s">
        <v>10679</v>
      </c>
      <c r="I521" s="9"/>
      <c r="J521" s="9" t="s">
        <v>10159</v>
      </c>
      <c r="K521" s="9" t="s">
        <v>10680</v>
      </c>
      <c r="L521" s="9" t="str">
        <f>HYPERLINK("https://seichotoushi-hojo.jp/assets/pdf/koufu_3_4ji/outline_3.pdf","PDFを開く")</f>
        <v>PDFを開く</v>
      </c>
      <c r="M521" s="9" t="s">
        <v>1943</v>
      </c>
    </row>
    <row r="522" spans="1:13" ht="66" customHeight="1">
      <c r="A522" s="2" t="s">
        <v>1944</v>
      </c>
      <c r="B522" s="2" t="s">
        <v>1595</v>
      </c>
      <c r="C522" s="8" t="s">
        <v>1945</v>
      </c>
      <c r="D522" s="2">
        <v>1</v>
      </c>
      <c r="E522" s="8" t="s">
        <v>10156</v>
      </c>
      <c r="F522" s="2">
        <v>4</v>
      </c>
      <c r="G522" s="8" t="s">
        <v>8581</v>
      </c>
      <c r="H522" s="8" t="s">
        <v>8581</v>
      </c>
      <c r="I522" s="8"/>
      <c r="J522" s="8" t="s">
        <v>10159</v>
      </c>
      <c r="K522" s="8" t="s">
        <v>8995</v>
      </c>
      <c r="L522" s="8" t="str">
        <f>HYPERLINK("https://seichotoushi-hojo.jp/assets/pdf/koufu_3_4ji/outline_30.pdf","PDFを開く")</f>
        <v>PDFを開く</v>
      </c>
      <c r="M522" s="8" t="s">
        <v>1951</v>
      </c>
    </row>
    <row r="523" spans="1:13" ht="66" customHeight="1">
      <c r="A523" s="5" t="s">
        <v>1952</v>
      </c>
      <c r="B523" s="5" t="s">
        <v>1595</v>
      </c>
      <c r="C523" s="9" t="s">
        <v>1953</v>
      </c>
      <c r="D523" s="5">
        <v>1</v>
      </c>
      <c r="E523" s="9" t="s">
        <v>10156</v>
      </c>
      <c r="F523" s="5">
        <v>4</v>
      </c>
      <c r="G523" s="9" t="s">
        <v>8581</v>
      </c>
      <c r="H523" s="9" t="s">
        <v>8581</v>
      </c>
      <c r="I523" s="9"/>
      <c r="J523" s="9" t="s">
        <v>10159</v>
      </c>
      <c r="K523" s="9" t="s">
        <v>9003</v>
      </c>
      <c r="L523" s="9" t="str">
        <f>HYPERLINK("https://seichotoushi-hojo.jp/assets/pdf/koufu_3_4ji/outline_31.pdf","PDFを開く")</f>
        <v>PDFを開く</v>
      </c>
      <c r="M523" s="9" t="s">
        <v>1959</v>
      </c>
    </row>
    <row r="524" spans="1:13" ht="66" customHeight="1">
      <c r="A524" s="2" t="s">
        <v>1960</v>
      </c>
      <c r="B524" s="2" t="s">
        <v>1595</v>
      </c>
      <c r="C524" s="8" t="s">
        <v>1961</v>
      </c>
      <c r="D524" s="2">
        <v>1</v>
      </c>
      <c r="E524" s="8" t="s">
        <v>10156</v>
      </c>
      <c r="F524" s="2">
        <v>4</v>
      </c>
      <c r="G524" s="8" t="s">
        <v>8581</v>
      </c>
      <c r="H524" s="8" t="s">
        <v>8581</v>
      </c>
      <c r="I524" s="8"/>
      <c r="J524" s="8" t="s">
        <v>10159</v>
      </c>
      <c r="K524" s="8" t="s">
        <v>9011</v>
      </c>
      <c r="L524" s="8" t="str">
        <f>HYPERLINK("https://seichotoushi-hojo.jp/assets/pdf/koufu_3_4ji/outline_32.pdf","PDFを開く")</f>
        <v>PDFを開く</v>
      </c>
      <c r="M524" s="8" t="s">
        <v>1967</v>
      </c>
    </row>
    <row r="525" spans="1:13" ht="66" customHeight="1">
      <c r="A525" s="5" t="s">
        <v>1960</v>
      </c>
      <c r="B525" s="5" t="s">
        <v>1595</v>
      </c>
      <c r="C525" s="9" t="s">
        <v>1961</v>
      </c>
      <c r="D525" s="5">
        <v>2</v>
      </c>
      <c r="E525" s="9" t="s">
        <v>10165</v>
      </c>
      <c r="F525" s="5">
        <v>1</v>
      </c>
      <c r="G525" s="9" t="s">
        <v>10167</v>
      </c>
      <c r="H525" s="9" t="s">
        <v>10682</v>
      </c>
      <c r="I525" s="9"/>
      <c r="J525" s="9" t="s">
        <v>10159</v>
      </c>
      <c r="K525" s="9" t="s">
        <v>10683</v>
      </c>
      <c r="L525" s="9" t="str">
        <f>HYPERLINK("https://seichotoushi-hojo.jp/assets/pdf/koufu_3_4ji/outline_32.pdf","PDFを開く")</f>
        <v>PDFを開く</v>
      </c>
      <c r="M525" s="9" t="s">
        <v>1967</v>
      </c>
    </row>
    <row r="526" spans="1:13" ht="66" customHeight="1">
      <c r="A526" s="2" t="s">
        <v>1960</v>
      </c>
      <c r="B526" s="2" t="s">
        <v>1595</v>
      </c>
      <c r="C526" s="8" t="s">
        <v>1961</v>
      </c>
      <c r="D526" s="2">
        <v>3</v>
      </c>
      <c r="E526" s="8" t="s">
        <v>10165</v>
      </c>
      <c r="F526" s="2">
        <v>1</v>
      </c>
      <c r="G526" s="8" t="s">
        <v>10167</v>
      </c>
      <c r="H526" s="8" t="s">
        <v>10684</v>
      </c>
      <c r="I526" s="8"/>
      <c r="J526" s="8" t="s">
        <v>10159</v>
      </c>
      <c r="K526" s="8" t="s">
        <v>10685</v>
      </c>
      <c r="L526" s="8" t="str">
        <f>HYPERLINK("https://seichotoushi-hojo.jp/assets/pdf/koufu_3_4ji/outline_32.pdf","PDFを開く")</f>
        <v>PDFを開く</v>
      </c>
      <c r="M526" s="8" t="s">
        <v>1967</v>
      </c>
    </row>
    <row r="527" spans="1:13" ht="66" customHeight="1">
      <c r="A527" s="5" t="s">
        <v>1960</v>
      </c>
      <c r="B527" s="5" t="s">
        <v>1595</v>
      </c>
      <c r="C527" s="9" t="s">
        <v>1961</v>
      </c>
      <c r="D527" s="5">
        <v>3</v>
      </c>
      <c r="E527" s="9" t="s">
        <v>10165</v>
      </c>
      <c r="F527" s="5">
        <v>2</v>
      </c>
      <c r="G527" s="9" t="s">
        <v>10167</v>
      </c>
      <c r="H527" s="9" t="s">
        <v>10686</v>
      </c>
      <c r="I527" s="9"/>
      <c r="J527" s="9" t="s">
        <v>10159</v>
      </c>
      <c r="K527" s="9" t="s">
        <v>10687</v>
      </c>
      <c r="L527" s="9" t="str">
        <f>HYPERLINK("https://seichotoushi-hojo.jp/assets/pdf/koufu_3_4ji/outline_32.pdf","PDFを開く")</f>
        <v>PDFを開く</v>
      </c>
      <c r="M527" s="9" t="s">
        <v>1967</v>
      </c>
    </row>
    <row r="528" spans="1:13" ht="66" customHeight="1">
      <c r="A528" s="2" t="s">
        <v>1968</v>
      </c>
      <c r="B528" s="2" t="s">
        <v>1595</v>
      </c>
      <c r="C528" s="8" t="s">
        <v>1969</v>
      </c>
      <c r="D528" s="2">
        <v>1</v>
      </c>
      <c r="E528" s="8" t="s">
        <v>10156</v>
      </c>
      <c r="F528" s="2">
        <v>4</v>
      </c>
      <c r="G528" s="8" t="s">
        <v>8581</v>
      </c>
      <c r="H528" s="8" t="s">
        <v>8581</v>
      </c>
      <c r="I528" s="8"/>
      <c r="J528" s="8" t="s">
        <v>10159</v>
      </c>
      <c r="K528" s="8" t="s">
        <v>9019</v>
      </c>
      <c r="L528" s="8" t="str">
        <f>HYPERLINK("https://seichotoushi-hojo.jp/assets/pdf/koufu_3_4ji/outline_33.pdf","PDFを開く")</f>
        <v>PDFを開く</v>
      </c>
      <c r="M528" s="8" t="s">
        <v>1974</v>
      </c>
    </row>
    <row r="529" spans="1:13" ht="66" customHeight="1">
      <c r="A529" s="5" t="s">
        <v>1975</v>
      </c>
      <c r="B529" s="5" t="s">
        <v>1595</v>
      </c>
      <c r="C529" s="9" t="s">
        <v>1976</v>
      </c>
      <c r="D529" s="5">
        <v>1</v>
      </c>
      <c r="E529" s="9" t="s">
        <v>10156</v>
      </c>
      <c r="F529" s="5">
        <v>4</v>
      </c>
      <c r="G529" s="9" t="s">
        <v>8581</v>
      </c>
      <c r="H529" s="9" t="s">
        <v>8581</v>
      </c>
      <c r="I529" s="9"/>
      <c r="J529" s="9" t="s">
        <v>10159</v>
      </c>
      <c r="K529" s="9" t="s">
        <v>9027</v>
      </c>
      <c r="L529" s="9" t="str">
        <f>HYPERLINK("https://seichotoushi-hojo.jp/assets/pdf/koufu_3_4ji/outline_34.pdf","PDFを開く")</f>
        <v>PDFを開く</v>
      </c>
      <c r="M529" s="9" t="s">
        <v>1982</v>
      </c>
    </row>
    <row r="530" spans="1:13" ht="66" customHeight="1">
      <c r="A530" s="2" t="s">
        <v>1983</v>
      </c>
      <c r="B530" s="2" t="s">
        <v>1595</v>
      </c>
      <c r="C530" s="8" t="s">
        <v>1984</v>
      </c>
      <c r="D530" s="2">
        <v>1</v>
      </c>
      <c r="E530" s="8" t="s">
        <v>10156</v>
      </c>
      <c r="F530" s="2">
        <v>4</v>
      </c>
      <c r="G530" s="8" t="s">
        <v>8581</v>
      </c>
      <c r="H530" s="8" t="s">
        <v>8581</v>
      </c>
      <c r="I530" s="8"/>
      <c r="J530" s="8" t="s">
        <v>10159</v>
      </c>
      <c r="K530" s="8" t="s">
        <v>9035</v>
      </c>
      <c r="L530" s="8" t="str">
        <f t="shared" ref="L530:L535" si="14">HYPERLINK("https://seichotoushi-hojo.jp/assets/pdf/koufu_3_4ji/outline_35.pdf","PDFを開く")</f>
        <v>PDFを開く</v>
      </c>
      <c r="M530" s="8" t="s">
        <v>1991</v>
      </c>
    </row>
    <row r="531" spans="1:13" ht="66" customHeight="1">
      <c r="A531" s="5" t="s">
        <v>1983</v>
      </c>
      <c r="B531" s="5" t="s">
        <v>1595</v>
      </c>
      <c r="C531" s="9" t="s">
        <v>1984</v>
      </c>
      <c r="D531" s="5">
        <v>2</v>
      </c>
      <c r="E531" s="9" t="s">
        <v>10165</v>
      </c>
      <c r="F531" s="5">
        <v>1</v>
      </c>
      <c r="G531" s="9" t="s">
        <v>10167</v>
      </c>
      <c r="H531" s="9" t="s">
        <v>10688</v>
      </c>
      <c r="I531" s="9"/>
      <c r="J531" s="9" t="s">
        <v>10159</v>
      </c>
      <c r="K531" s="9" t="s">
        <v>10689</v>
      </c>
      <c r="L531" s="9" t="str">
        <f t="shared" si="14"/>
        <v>PDFを開く</v>
      </c>
      <c r="M531" s="9" t="s">
        <v>1991</v>
      </c>
    </row>
    <row r="532" spans="1:13" ht="66" customHeight="1">
      <c r="A532" s="2" t="s">
        <v>1983</v>
      </c>
      <c r="B532" s="2" t="s">
        <v>1595</v>
      </c>
      <c r="C532" s="8" t="s">
        <v>1984</v>
      </c>
      <c r="D532" s="2">
        <v>2</v>
      </c>
      <c r="E532" s="8" t="s">
        <v>10165</v>
      </c>
      <c r="F532" s="2">
        <v>2</v>
      </c>
      <c r="G532" s="8" t="s">
        <v>10167</v>
      </c>
      <c r="H532" s="8" t="s">
        <v>10690</v>
      </c>
      <c r="I532" s="8"/>
      <c r="J532" s="8" t="s">
        <v>10159</v>
      </c>
      <c r="K532" s="8" t="s">
        <v>10691</v>
      </c>
      <c r="L532" s="8" t="str">
        <f t="shared" si="14"/>
        <v>PDFを開く</v>
      </c>
      <c r="M532" s="8" t="s">
        <v>1991</v>
      </c>
    </row>
    <row r="533" spans="1:13" ht="66" customHeight="1">
      <c r="A533" s="5" t="s">
        <v>1983</v>
      </c>
      <c r="B533" s="5" t="s">
        <v>1595</v>
      </c>
      <c r="C533" s="9" t="s">
        <v>1984</v>
      </c>
      <c r="D533" s="5">
        <v>2</v>
      </c>
      <c r="E533" s="9" t="s">
        <v>10165</v>
      </c>
      <c r="F533" s="5">
        <v>3</v>
      </c>
      <c r="G533" s="9" t="s">
        <v>10167</v>
      </c>
      <c r="H533" s="9" t="s">
        <v>10692</v>
      </c>
      <c r="I533" s="9"/>
      <c r="J533" s="9" t="s">
        <v>10159</v>
      </c>
      <c r="K533" s="9" t="s">
        <v>10693</v>
      </c>
      <c r="L533" s="9" t="str">
        <f t="shared" si="14"/>
        <v>PDFを開く</v>
      </c>
      <c r="M533" s="9" t="s">
        <v>1991</v>
      </c>
    </row>
    <row r="534" spans="1:13" ht="66" customHeight="1">
      <c r="A534" s="2" t="s">
        <v>1983</v>
      </c>
      <c r="B534" s="2" t="s">
        <v>1595</v>
      </c>
      <c r="C534" s="8" t="s">
        <v>1984</v>
      </c>
      <c r="D534" s="2">
        <v>2</v>
      </c>
      <c r="E534" s="8" t="s">
        <v>10165</v>
      </c>
      <c r="F534" s="2">
        <v>4</v>
      </c>
      <c r="G534" s="8" t="s">
        <v>10167</v>
      </c>
      <c r="H534" s="8" t="s">
        <v>10694</v>
      </c>
      <c r="I534" s="8"/>
      <c r="J534" s="8" t="s">
        <v>10159</v>
      </c>
      <c r="K534" s="8" t="s">
        <v>10694</v>
      </c>
      <c r="L534" s="8" t="str">
        <f t="shared" si="14"/>
        <v>PDFを開く</v>
      </c>
      <c r="M534" s="8" t="s">
        <v>1991</v>
      </c>
    </row>
    <row r="535" spans="1:13" ht="66" customHeight="1">
      <c r="A535" s="5" t="s">
        <v>1983</v>
      </c>
      <c r="B535" s="5" t="s">
        <v>1595</v>
      </c>
      <c r="C535" s="9" t="s">
        <v>1984</v>
      </c>
      <c r="D535" s="5">
        <v>3</v>
      </c>
      <c r="E535" s="9" t="s">
        <v>10165</v>
      </c>
      <c r="F535" s="5">
        <v>1</v>
      </c>
      <c r="G535" s="9" t="s">
        <v>10167</v>
      </c>
      <c r="H535" s="9" t="s">
        <v>10695</v>
      </c>
      <c r="I535" s="9"/>
      <c r="J535" s="9" t="s">
        <v>10159</v>
      </c>
      <c r="K535" s="9" t="s">
        <v>10696</v>
      </c>
      <c r="L535" s="9" t="str">
        <f t="shared" si="14"/>
        <v>PDFを開く</v>
      </c>
      <c r="M535" s="9" t="s">
        <v>1991</v>
      </c>
    </row>
    <row r="536" spans="1:13" ht="66" customHeight="1">
      <c r="A536" s="2" t="s">
        <v>2001</v>
      </c>
      <c r="B536" s="2" t="s">
        <v>1595</v>
      </c>
      <c r="C536" s="8" t="s">
        <v>2002</v>
      </c>
      <c r="D536" s="2">
        <v>1</v>
      </c>
      <c r="E536" s="8" t="s">
        <v>10156</v>
      </c>
      <c r="F536" s="2">
        <v>4</v>
      </c>
      <c r="G536" s="8" t="s">
        <v>8581</v>
      </c>
      <c r="H536" s="8" t="s">
        <v>8581</v>
      </c>
      <c r="I536" s="8"/>
      <c r="J536" s="8" t="s">
        <v>10159</v>
      </c>
      <c r="K536" s="8" t="s">
        <v>9043</v>
      </c>
      <c r="L536" s="8" t="str">
        <f>HYPERLINK("https://seichotoushi-hojo.jp/assets/pdf/koufu_3_4ji/outline_39.pdf","PDFを開く")</f>
        <v>PDFを開く</v>
      </c>
      <c r="M536" s="8" t="s">
        <v>2009</v>
      </c>
    </row>
    <row r="537" spans="1:13" ht="66" customHeight="1">
      <c r="A537" s="5" t="s">
        <v>2001</v>
      </c>
      <c r="B537" s="5" t="s">
        <v>1595</v>
      </c>
      <c r="C537" s="9" t="s">
        <v>2002</v>
      </c>
      <c r="D537" s="5">
        <v>2</v>
      </c>
      <c r="E537" s="9" t="s">
        <v>10165</v>
      </c>
      <c r="F537" s="5">
        <v>1</v>
      </c>
      <c r="G537" s="9" t="s">
        <v>10167</v>
      </c>
      <c r="H537" s="9" t="s">
        <v>10697</v>
      </c>
      <c r="I537" s="9"/>
      <c r="J537" s="9" t="s">
        <v>10159</v>
      </c>
      <c r="K537" s="9" t="s">
        <v>10698</v>
      </c>
      <c r="L537" s="9" t="str">
        <f>HYPERLINK("https://seichotoushi-hojo.jp/assets/pdf/koufu_3_4ji/outline_39.pdf","PDFを開く")</f>
        <v>PDFを開く</v>
      </c>
      <c r="M537" s="9" t="s">
        <v>2009</v>
      </c>
    </row>
    <row r="538" spans="1:13" ht="66" customHeight="1">
      <c r="A538" s="2" t="s">
        <v>2010</v>
      </c>
      <c r="B538" s="2" t="s">
        <v>1595</v>
      </c>
      <c r="C538" s="8" t="s">
        <v>2011</v>
      </c>
      <c r="D538" s="2">
        <v>1</v>
      </c>
      <c r="E538" s="8" t="s">
        <v>10156</v>
      </c>
      <c r="F538" s="2">
        <v>4</v>
      </c>
      <c r="G538" s="8" t="s">
        <v>8581</v>
      </c>
      <c r="H538" s="8" t="s">
        <v>8581</v>
      </c>
      <c r="I538" s="8"/>
      <c r="J538" s="8" t="s">
        <v>10159</v>
      </c>
      <c r="K538" s="8" t="s">
        <v>9051</v>
      </c>
      <c r="L538" s="8" t="str">
        <f>HYPERLINK("https://seichotoushi-hojo.jp/assets/pdf/koufu_3_4ji/outline_40.pdf","PDFを開く")</f>
        <v>PDFを開く</v>
      </c>
      <c r="M538" s="8" t="s">
        <v>2017</v>
      </c>
    </row>
    <row r="539" spans="1:13" ht="66" customHeight="1">
      <c r="A539" s="5" t="s">
        <v>2010</v>
      </c>
      <c r="B539" s="5" t="s">
        <v>1595</v>
      </c>
      <c r="C539" s="9" t="s">
        <v>2011</v>
      </c>
      <c r="D539" s="5">
        <v>2</v>
      </c>
      <c r="E539" s="9" t="s">
        <v>10165</v>
      </c>
      <c r="F539" s="5">
        <v>1</v>
      </c>
      <c r="G539" s="9" t="s">
        <v>10167</v>
      </c>
      <c r="H539" s="9" t="s">
        <v>10699</v>
      </c>
      <c r="I539" s="9"/>
      <c r="J539" s="9" t="s">
        <v>10159</v>
      </c>
      <c r="K539" s="9" t="s">
        <v>10699</v>
      </c>
      <c r="L539" s="9" t="str">
        <f>HYPERLINK("https://seichotoushi-hojo.jp/assets/pdf/koufu_3_4ji/outline_40.pdf","PDFを開く")</f>
        <v>PDFを開く</v>
      </c>
      <c r="M539" s="9" t="s">
        <v>2017</v>
      </c>
    </row>
    <row r="540" spans="1:13" ht="66" customHeight="1">
      <c r="A540" s="2" t="s">
        <v>2010</v>
      </c>
      <c r="B540" s="2" t="s">
        <v>1595</v>
      </c>
      <c r="C540" s="8" t="s">
        <v>2011</v>
      </c>
      <c r="D540" s="2">
        <v>2</v>
      </c>
      <c r="E540" s="8" t="s">
        <v>10165</v>
      </c>
      <c r="F540" s="2">
        <v>2</v>
      </c>
      <c r="G540" s="8" t="s">
        <v>10167</v>
      </c>
      <c r="H540" s="8" t="s">
        <v>10700</v>
      </c>
      <c r="I540" s="8"/>
      <c r="J540" s="8" t="s">
        <v>10159</v>
      </c>
      <c r="K540" s="8" t="s">
        <v>10701</v>
      </c>
      <c r="L540" s="8" t="str">
        <f>HYPERLINK("https://seichotoushi-hojo.jp/assets/pdf/koufu_3_4ji/outline_40.pdf","PDFを開く")</f>
        <v>PDFを開く</v>
      </c>
      <c r="M540" s="8" t="s">
        <v>2017</v>
      </c>
    </row>
    <row r="541" spans="1:13" ht="66" customHeight="1">
      <c r="A541" s="5" t="s">
        <v>2018</v>
      </c>
      <c r="B541" s="5" t="s">
        <v>1595</v>
      </c>
      <c r="C541" s="9" t="s">
        <v>2019</v>
      </c>
      <c r="D541" s="5">
        <v>1</v>
      </c>
      <c r="E541" s="9" t="s">
        <v>10156</v>
      </c>
      <c r="F541" s="5">
        <v>4</v>
      </c>
      <c r="G541" s="9" t="s">
        <v>8581</v>
      </c>
      <c r="H541" s="9" t="s">
        <v>8581</v>
      </c>
      <c r="I541" s="9"/>
      <c r="J541" s="9" t="s">
        <v>10159</v>
      </c>
      <c r="K541" s="9" t="s">
        <v>9059</v>
      </c>
      <c r="L541" s="9" t="str">
        <f>HYPERLINK("https://seichotoushi-hojo.jp/assets/pdf/koufu_3_4ji/outline_41.pdf","PDFを開く")</f>
        <v>PDFを開く</v>
      </c>
      <c r="M541" s="9" t="s">
        <v>2025</v>
      </c>
    </row>
    <row r="542" spans="1:13" ht="66" customHeight="1">
      <c r="A542" s="2" t="s">
        <v>2018</v>
      </c>
      <c r="B542" s="2" t="s">
        <v>1595</v>
      </c>
      <c r="C542" s="8" t="s">
        <v>2019</v>
      </c>
      <c r="D542" s="2">
        <v>2</v>
      </c>
      <c r="E542" s="8" t="s">
        <v>10165</v>
      </c>
      <c r="F542" s="2">
        <v>1</v>
      </c>
      <c r="G542" s="8" t="s">
        <v>10184</v>
      </c>
      <c r="H542" s="8" t="s">
        <v>10184</v>
      </c>
      <c r="I542" s="8"/>
      <c r="J542" s="8" t="s">
        <v>10181</v>
      </c>
      <c r="K542" s="8" t="s">
        <v>10702</v>
      </c>
      <c r="L542" s="8" t="str">
        <f>HYPERLINK("https://seichotoushi-hojo.jp/assets/pdf/koufu_3_4ji/outline_41.pdf","PDFを開く")</f>
        <v>PDFを開く</v>
      </c>
      <c r="M542" s="8" t="s">
        <v>2025</v>
      </c>
    </row>
    <row r="543" spans="1:13" ht="66" customHeight="1">
      <c r="A543" s="5" t="s">
        <v>2018</v>
      </c>
      <c r="B543" s="5" t="s">
        <v>1595</v>
      </c>
      <c r="C543" s="9" t="s">
        <v>2019</v>
      </c>
      <c r="D543" s="5">
        <v>2</v>
      </c>
      <c r="E543" s="9" t="s">
        <v>10165</v>
      </c>
      <c r="F543" s="5">
        <v>2</v>
      </c>
      <c r="G543" s="9" t="s">
        <v>10167</v>
      </c>
      <c r="H543" s="9" t="s">
        <v>5261</v>
      </c>
      <c r="I543" s="9"/>
      <c r="J543" s="9" t="s">
        <v>10159</v>
      </c>
      <c r="K543" s="9" t="s">
        <v>10703</v>
      </c>
      <c r="L543" s="9" t="str">
        <f>HYPERLINK("https://seichotoushi-hojo.jp/assets/pdf/koufu_3_4ji/outline_41.pdf","PDFを開く")</f>
        <v>PDFを開く</v>
      </c>
      <c r="M543" s="9" t="s">
        <v>2025</v>
      </c>
    </row>
    <row r="544" spans="1:13" ht="66" customHeight="1">
      <c r="A544" s="2" t="s">
        <v>2026</v>
      </c>
      <c r="B544" s="2" t="s">
        <v>1595</v>
      </c>
      <c r="C544" s="8" t="s">
        <v>2027</v>
      </c>
      <c r="D544" s="2">
        <v>1</v>
      </c>
      <c r="E544" s="8" t="s">
        <v>10156</v>
      </c>
      <c r="F544" s="2">
        <v>4</v>
      </c>
      <c r="G544" s="8" t="s">
        <v>8581</v>
      </c>
      <c r="H544" s="8" t="s">
        <v>8581</v>
      </c>
      <c r="I544" s="8"/>
      <c r="J544" s="8" t="s">
        <v>10159</v>
      </c>
      <c r="K544" s="8" t="s">
        <v>9067</v>
      </c>
      <c r="L544" s="8" t="str">
        <f>HYPERLINK("https://seichotoushi-hojo.jp/assets/pdf/koufu_3_4ji/outline_42.pdf","PDFを開く")</f>
        <v>PDFを開く</v>
      </c>
      <c r="M544" s="8" t="s">
        <v>2033</v>
      </c>
    </row>
    <row r="545" spans="1:13" ht="66" customHeight="1">
      <c r="A545" s="5" t="s">
        <v>2034</v>
      </c>
      <c r="B545" s="5" t="s">
        <v>1595</v>
      </c>
      <c r="C545" s="9" t="s">
        <v>2035</v>
      </c>
      <c r="D545" s="5">
        <v>1</v>
      </c>
      <c r="E545" s="9" t="s">
        <v>10704</v>
      </c>
      <c r="F545" s="5">
        <v>1</v>
      </c>
      <c r="G545" s="9" t="s">
        <v>10705</v>
      </c>
      <c r="H545" s="9" t="s">
        <v>10705</v>
      </c>
      <c r="I545" s="9"/>
      <c r="J545" s="9" t="s">
        <v>10181</v>
      </c>
      <c r="K545" s="9" t="s">
        <v>10706</v>
      </c>
      <c r="L545" s="9" t="str">
        <f>HYPERLINK("https://seichotoushi-hojo.jp/assets/pdf/koufu_3_4ji/outline_43.pdf","PDFを開く")</f>
        <v>PDFを開く</v>
      </c>
      <c r="M545" s="9" t="s">
        <v>2042</v>
      </c>
    </row>
    <row r="546" spans="1:13" ht="66" customHeight="1">
      <c r="A546" s="2" t="s">
        <v>2034</v>
      </c>
      <c r="B546" s="2" t="s">
        <v>1595</v>
      </c>
      <c r="C546" s="8" t="s">
        <v>2035</v>
      </c>
      <c r="D546" s="2">
        <v>2</v>
      </c>
      <c r="E546" s="8" t="s">
        <v>10704</v>
      </c>
      <c r="F546" s="2">
        <v>1</v>
      </c>
      <c r="G546" s="8" t="s">
        <v>10705</v>
      </c>
      <c r="H546" s="8" t="s">
        <v>10705</v>
      </c>
      <c r="I546" s="8"/>
      <c r="J546" s="8" t="s">
        <v>10181</v>
      </c>
      <c r="K546" s="8" t="s">
        <v>10707</v>
      </c>
      <c r="L546" s="8" t="str">
        <f>HYPERLINK("https://seichotoushi-hojo.jp/assets/pdf/koufu_3_4ji/outline_43.pdf","PDFを開く")</f>
        <v>PDFを開く</v>
      </c>
      <c r="M546" s="8" t="s">
        <v>2042</v>
      </c>
    </row>
    <row r="547" spans="1:13" ht="66" customHeight="1">
      <c r="A547" s="5" t="s">
        <v>2034</v>
      </c>
      <c r="B547" s="5" t="s">
        <v>1595</v>
      </c>
      <c r="C547" s="9" t="s">
        <v>2035</v>
      </c>
      <c r="D547" s="5">
        <v>3</v>
      </c>
      <c r="E547" s="9" t="s">
        <v>10704</v>
      </c>
      <c r="F547" s="5">
        <v>1</v>
      </c>
      <c r="G547" s="9" t="s">
        <v>10705</v>
      </c>
      <c r="H547" s="9" t="s">
        <v>10705</v>
      </c>
      <c r="I547" s="9"/>
      <c r="J547" s="9" t="s">
        <v>10181</v>
      </c>
      <c r="K547" s="9" t="s">
        <v>10708</v>
      </c>
      <c r="L547" s="9" t="str">
        <f>HYPERLINK("https://seichotoushi-hojo.jp/assets/pdf/koufu_3_4ji/outline_43.pdf","PDFを開く")</f>
        <v>PDFを開く</v>
      </c>
      <c r="M547" s="9" t="s">
        <v>2042</v>
      </c>
    </row>
    <row r="548" spans="1:13" ht="66" customHeight="1">
      <c r="A548" s="2" t="s">
        <v>2034</v>
      </c>
      <c r="B548" s="2" t="s">
        <v>1595</v>
      </c>
      <c r="C548" s="8" t="s">
        <v>2035</v>
      </c>
      <c r="D548" s="2">
        <v>4</v>
      </c>
      <c r="E548" s="8" t="s">
        <v>10156</v>
      </c>
      <c r="F548" s="2">
        <v>4</v>
      </c>
      <c r="G548" s="8" t="s">
        <v>8581</v>
      </c>
      <c r="H548" s="8" t="s">
        <v>8581</v>
      </c>
      <c r="I548" s="8"/>
      <c r="J548" s="8" t="s">
        <v>10159</v>
      </c>
      <c r="K548" s="8" t="s">
        <v>9075</v>
      </c>
      <c r="L548" s="8" t="str">
        <f>HYPERLINK("https://seichotoushi-hojo.jp/assets/pdf/koufu_3_4ji/outline_43.pdf","PDFを開く")</f>
        <v>PDFを開く</v>
      </c>
      <c r="M548" s="8" t="s">
        <v>2042</v>
      </c>
    </row>
    <row r="549" spans="1:13" ht="66" customHeight="1">
      <c r="A549" s="5" t="s">
        <v>2043</v>
      </c>
      <c r="B549" s="5" t="s">
        <v>1595</v>
      </c>
      <c r="C549" s="9" t="s">
        <v>2044</v>
      </c>
      <c r="D549" s="5">
        <v>1</v>
      </c>
      <c r="E549" s="9" t="s">
        <v>10156</v>
      </c>
      <c r="F549" s="5">
        <v>4</v>
      </c>
      <c r="G549" s="9" t="s">
        <v>8581</v>
      </c>
      <c r="H549" s="9" t="s">
        <v>8581</v>
      </c>
      <c r="I549" s="9"/>
      <c r="J549" s="9" t="s">
        <v>10159</v>
      </c>
      <c r="K549" s="9" t="s">
        <v>9083</v>
      </c>
      <c r="L549" s="9" t="str">
        <f>HYPERLINK("https://seichotoushi-hojo.jp/assets/pdf/koufu_3_4ji/outline_44.pdf","PDFを開く")</f>
        <v>PDFを開く</v>
      </c>
      <c r="M549" s="9" t="s">
        <v>2049</v>
      </c>
    </row>
    <row r="550" spans="1:13" ht="66" customHeight="1">
      <c r="A550" s="2" t="s">
        <v>2043</v>
      </c>
      <c r="B550" s="2" t="s">
        <v>1595</v>
      </c>
      <c r="C550" s="8" t="s">
        <v>2044</v>
      </c>
      <c r="D550" s="2">
        <v>3</v>
      </c>
      <c r="E550" s="8" t="s">
        <v>10165</v>
      </c>
      <c r="F550" s="2">
        <v>1</v>
      </c>
      <c r="G550" s="8" t="s">
        <v>10167</v>
      </c>
      <c r="H550" s="8" t="s">
        <v>10709</v>
      </c>
      <c r="I550" s="8"/>
      <c r="J550" s="8" t="s">
        <v>10159</v>
      </c>
      <c r="K550" s="8" t="s">
        <v>10709</v>
      </c>
      <c r="L550" s="8" t="str">
        <f>HYPERLINK("https://seichotoushi-hojo.jp/assets/pdf/koufu_3_4ji/outline_44.pdf","PDFを開く")</f>
        <v>PDFを開く</v>
      </c>
      <c r="M550" s="8" t="s">
        <v>2049</v>
      </c>
    </row>
    <row r="551" spans="1:13" ht="66" customHeight="1">
      <c r="A551" s="5" t="s">
        <v>2043</v>
      </c>
      <c r="B551" s="5" t="s">
        <v>1595</v>
      </c>
      <c r="C551" s="9" t="s">
        <v>2044</v>
      </c>
      <c r="D551" s="5">
        <v>3</v>
      </c>
      <c r="E551" s="9" t="s">
        <v>10165</v>
      </c>
      <c r="F551" s="5">
        <v>2</v>
      </c>
      <c r="G551" s="9" t="s">
        <v>10167</v>
      </c>
      <c r="H551" s="9" t="s">
        <v>10710</v>
      </c>
      <c r="I551" s="9"/>
      <c r="J551" s="9" t="s">
        <v>10159</v>
      </c>
      <c r="K551" s="9" t="s">
        <v>10710</v>
      </c>
      <c r="L551" s="9" t="str">
        <f>HYPERLINK("https://seichotoushi-hojo.jp/assets/pdf/koufu_3_4ji/outline_44.pdf","PDFを開く")</f>
        <v>PDFを開く</v>
      </c>
      <c r="M551" s="9" t="s">
        <v>2049</v>
      </c>
    </row>
    <row r="552" spans="1:13" ht="66" customHeight="1">
      <c r="A552" s="2" t="s">
        <v>2043</v>
      </c>
      <c r="B552" s="2" t="s">
        <v>1595</v>
      </c>
      <c r="C552" s="8" t="s">
        <v>2044</v>
      </c>
      <c r="D552" s="2">
        <v>4</v>
      </c>
      <c r="E552" s="8" t="s">
        <v>10165</v>
      </c>
      <c r="F552" s="2">
        <v>1</v>
      </c>
      <c r="G552" s="8" t="s">
        <v>10167</v>
      </c>
      <c r="H552" s="8" t="s">
        <v>10709</v>
      </c>
      <c r="I552" s="8"/>
      <c r="J552" s="8" t="s">
        <v>10159</v>
      </c>
      <c r="K552" s="8" t="s">
        <v>10709</v>
      </c>
      <c r="L552" s="8" t="str">
        <f>HYPERLINK("https://seichotoushi-hojo.jp/assets/pdf/koufu_3_4ji/outline_44.pdf","PDFを開く")</f>
        <v>PDFを開く</v>
      </c>
      <c r="M552" s="8" t="s">
        <v>2049</v>
      </c>
    </row>
    <row r="553" spans="1:13" ht="66" customHeight="1">
      <c r="A553" s="5" t="s">
        <v>2050</v>
      </c>
      <c r="B553" s="5" t="s">
        <v>1595</v>
      </c>
      <c r="C553" s="9" t="s">
        <v>2051</v>
      </c>
      <c r="D553" s="5">
        <v>1</v>
      </c>
      <c r="E553" s="9" t="s">
        <v>10156</v>
      </c>
      <c r="F553" s="5">
        <v>4</v>
      </c>
      <c r="G553" s="9" t="s">
        <v>8581</v>
      </c>
      <c r="H553" s="9" t="s">
        <v>8581</v>
      </c>
      <c r="I553" s="9"/>
      <c r="J553" s="9" t="s">
        <v>10159</v>
      </c>
      <c r="K553" s="9" t="s">
        <v>9091</v>
      </c>
      <c r="L553" s="9" t="str">
        <f>HYPERLINK("https://seichotoushi-hojo.jp/assets/pdf/koufu_3_4ji/outline_45.pdf","PDFを開く")</f>
        <v>PDFを開く</v>
      </c>
      <c r="M553" s="9" t="s">
        <v>2057</v>
      </c>
    </row>
    <row r="554" spans="1:13" ht="66" customHeight="1">
      <c r="A554" s="2" t="s">
        <v>2058</v>
      </c>
      <c r="B554" s="2" t="s">
        <v>1595</v>
      </c>
      <c r="C554" s="8" t="s">
        <v>2059</v>
      </c>
      <c r="D554" s="2">
        <v>1</v>
      </c>
      <c r="E554" s="8" t="s">
        <v>10156</v>
      </c>
      <c r="F554" s="2">
        <v>4</v>
      </c>
      <c r="G554" s="8" t="s">
        <v>8581</v>
      </c>
      <c r="H554" s="8" t="s">
        <v>8581</v>
      </c>
      <c r="I554" s="8"/>
      <c r="J554" s="8" t="s">
        <v>10159</v>
      </c>
      <c r="K554" s="8" t="s">
        <v>9099</v>
      </c>
      <c r="L554" s="8" t="str">
        <f>HYPERLINK("https://seichotoushi-hojo.jp/assets/pdf/koufu_3_4ji/outline_46.pdf","PDFを開く")</f>
        <v>PDFを開く</v>
      </c>
      <c r="M554" s="8" t="s">
        <v>2065</v>
      </c>
    </row>
    <row r="555" spans="1:13" ht="66" customHeight="1">
      <c r="A555" s="5" t="s">
        <v>2066</v>
      </c>
      <c r="B555" s="5" t="s">
        <v>1595</v>
      </c>
      <c r="C555" s="9" t="s">
        <v>2067</v>
      </c>
      <c r="D555" s="5">
        <v>1</v>
      </c>
      <c r="E555" s="9" t="s">
        <v>10156</v>
      </c>
      <c r="F555" s="5">
        <v>4</v>
      </c>
      <c r="G555" s="9" t="s">
        <v>8581</v>
      </c>
      <c r="H555" s="9" t="s">
        <v>8581</v>
      </c>
      <c r="I555" s="9"/>
      <c r="J555" s="9" t="s">
        <v>10159</v>
      </c>
      <c r="K555" s="9" t="s">
        <v>9107</v>
      </c>
      <c r="L555" s="9" t="str">
        <f>HYPERLINK("https://seichotoushi-hojo.jp/assets/pdf/koufu_3_4ji/outline_47.pdf","PDFを開く")</f>
        <v>PDFを開く</v>
      </c>
      <c r="M555" s="9" t="s">
        <v>2072</v>
      </c>
    </row>
    <row r="556" spans="1:13" ht="66" customHeight="1">
      <c r="A556" s="2" t="s">
        <v>2073</v>
      </c>
      <c r="B556" s="2" t="s">
        <v>1595</v>
      </c>
      <c r="C556" s="8" t="s">
        <v>2074</v>
      </c>
      <c r="D556" s="2">
        <v>1</v>
      </c>
      <c r="E556" s="8" t="s">
        <v>10156</v>
      </c>
      <c r="F556" s="2">
        <v>4</v>
      </c>
      <c r="G556" s="8" t="s">
        <v>8581</v>
      </c>
      <c r="H556" s="8" t="s">
        <v>8581</v>
      </c>
      <c r="I556" s="8"/>
      <c r="J556" s="8" t="s">
        <v>10159</v>
      </c>
      <c r="K556" s="8" t="s">
        <v>9115</v>
      </c>
      <c r="L556" s="8" t="str">
        <f>HYPERLINK("https://seichotoushi-hojo.jp/assets/pdf/koufu_3_4ji/outline_48.pdf","PDFを開く")</f>
        <v>PDFを開く</v>
      </c>
      <c r="M556" s="8" t="s">
        <v>2080</v>
      </c>
    </row>
    <row r="557" spans="1:13" ht="66" customHeight="1">
      <c r="A557" s="5" t="s">
        <v>2081</v>
      </c>
      <c r="B557" s="5" t="s">
        <v>1595</v>
      </c>
      <c r="C557" s="9" t="s">
        <v>2082</v>
      </c>
      <c r="D557" s="5">
        <v>1</v>
      </c>
      <c r="E557" s="9" t="s">
        <v>10156</v>
      </c>
      <c r="F557" s="5">
        <v>5</v>
      </c>
      <c r="G557" s="9" t="s">
        <v>8581</v>
      </c>
      <c r="H557" s="9" t="s">
        <v>8581</v>
      </c>
      <c r="I557" s="9"/>
      <c r="J557" s="9" t="s">
        <v>10159</v>
      </c>
      <c r="K557" s="9" t="s">
        <v>10713</v>
      </c>
      <c r="L557" s="9" t="str">
        <f>HYPERLINK("https://seichotoushi-hojo.jp/assets/pdf/koufu_3_4ji/outline_49.pdf","PDFを開く")</f>
        <v>PDFを開く</v>
      </c>
      <c r="M557" s="9" t="s">
        <v>2089</v>
      </c>
    </row>
    <row r="558" spans="1:13" ht="66" customHeight="1">
      <c r="A558" s="2" t="s">
        <v>2081</v>
      </c>
      <c r="B558" s="2" t="s">
        <v>1595</v>
      </c>
      <c r="C558" s="8" t="s">
        <v>2082</v>
      </c>
      <c r="D558" s="2">
        <v>1</v>
      </c>
      <c r="E558" s="8" t="s">
        <v>10156</v>
      </c>
      <c r="F558" s="2">
        <v>6</v>
      </c>
      <c r="G558" s="8" t="s">
        <v>8581</v>
      </c>
      <c r="H558" s="8" t="s">
        <v>8581</v>
      </c>
      <c r="I558" s="8"/>
      <c r="J558" s="8" t="s">
        <v>10159</v>
      </c>
      <c r="K558" s="8" t="s">
        <v>10714</v>
      </c>
      <c r="L558" s="8" t="str">
        <f>HYPERLINK("https://seichotoushi-hojo.jp/assets/pdf/koufu_3_4ji/outline_49.pdf","PDFを開く")</f>
        <v>PDFを開く</v>
      </c>
      <c r="M558" s="8" t="s">
        <v>2089</v>
      </c>
    </row>
    <row r="559" spans="1:13" ht="66" customHeight="1">
      <c r="A559" s="5" t="s">
        <v>2081</v>
      </c>
      <c r="B559" s="5" t="s">
        <v>1595</v>
      </c>
      <c r="C559" s="9" t="s">
        <v>2082</v>
      </c>
      <c r="D559" s="5">
        <v>1</v>
      </c>
      <c r="E559" s="9" t="s">
        <v>10156</v>
      </c>
      <c r="F559" s="5">
        <v>7</v>
      </c>
      <c r="G559" s="9" t="s">
        <v>10167</v>
      </c>
      <c r="H559" s="9" t="s">
        <v>10715</v>
      </c>
      <c r="I559" s="9"/>
      <c r="J559" s="9" t="s">
        <v>10159</v>
      </c>
      <c r="K559" s="9" t="s">
        <v>10716</v>
      </c>
      <c r="L559" s="9" t="str">
        <f>HYPERLINK("https://seichotoushi-hojo.jp/assets/pdf/koufu_3_4ji/outline_49.pdf","PDFを開く")</f>
        <v>PDFを開く</v>
      </c>
      <c r="M559" s="9" t="s">
        <v>2089</v>
      </c>
    </row>
    <row r="560" spans="1:13" ht="66" customHeight="1">
      <c r="A560" s="2" t="s">
        <v>2081</v>
      </c>
      <c r="B560" s="2" t="s">
        <v>1595</v>
      </c>
      <c r="C560" s="8" t="s">
        <v>2082</v>
      </c>
      <c r="D560" s="2">
        <v>1</v>
      </c>
      <c r="E560" s="8" t="s">
        <v>10156</v>
      </c>
      <c r="F560" s="2">
        <v>8</v>
      </c>
      <c r="G560" s="8" t="s">
        <v>8581</v>
      </c>
      <c r="H560" s="8" t="s">
        <v>8581</v>
      </c>
      <c r="I560" s="8"/>
      <c r="J560" s="8" t="s">
        <v>10159</v>
      </c>
      <c r="K560" s="8" t="s">
        <v>2087</v>
      </c>
      <c r="L560" s="8" t="str">
        <f>HYPERLINK("https://seichotoushi-hojo.jp/assets/pdf/koufu_3_4ji/outline_49.pdf","PDFを開く")</f>
        <v>PDFを開く</v>
      </c>
      <c r="M560" s="8" t="s">
        <v>2089</v>
      </c>
    </row>
    <row r="561" spans="1:13" ht="66" customHeight="1">
      <c r="A561" s="5" t="s">
        <v>2090</v>
      </c>
      <c r="B561" s="5" t="s">
        <v>1595</v>
      </c>
      <c r="C561" s="9" t="s">
        <v>2091</v>
      </c>
      <c r="D561" s="5">
        <v>1</v>
      </c>
      <c r="E561" s="9" t="s">
        <v>10156</v>
      </c>
      <c r="F561" s="5">
        <v>1</v>
      </c>
      <c r="G561" s="9" t="s">
        <v>10157</v>
      </c>
      <c r="H561" s="9" t="s">
        <v>10157</v>
      </c>
      <c r="I561" s="9"/>
      <c r="J561" s="9" t="s">
        <v>10159</v>
      </c>
      <c r="K561" s="9" t="s">
        <v>9128</v>
      </c>
      <c r="L561" s="9" t="str">
        <f>HYPERLINK("https://seichotoushi-hojo.jp/assets/pdf/koufu_3_4ji/outline_5.pdf","PDFを開く")</f>
        <v>PDFを開く</v>
      </c>
      <c r="M561" s="9" t="s">
        <v>2097</v>
      </c>
    </row>
    <row r="562" spans="1:13" ht="66" customHeight="1">
      <c r="A562" s="2" t="s">
        <v>2090</v>
      </c>
      <c r="B562" s="2" t="s">
        <v>1595</v>
      </c>
      <c r="C562" s="8" t="s">
        <v>2091</v>
      </c>
      <c r="D562" s="2">
        <v>1</v>
      </c>
      <c r="E562" s="8" t="s">
        <v>10156</v>
      </c>
      <c r="F562" s="2">
        <v>4</v>
      </c>
      <c r="G562" s="8" t="s">
        <v>8581</v>
      </c>
      <c r="H562" s="8" t="s">
        <v>8581</v>
      </c>
      <c r="I562" s="8"/>
      <c r="J562" s="8" t="s">
        <v>10159</v>
      </c>
      <c r="K562" s="8" t="s">
        <v>9132</v>
      </c>
      <c r="L562" s="8" t="str">
        <f>HYPERLINK("https://seichotoushi-hojo.jp/assets/pdf/koufu_3_4ji/outline_5.pdf","PDFを開く")</f>
        <v>PDFを開く</v>
      </c>
      <c r="M562" s="8" t="s">
        <v>2097</v>
      </c>
    </row>
    <row r="563" spans="1:13" ht="66" customHeight="1">
      <c r="A563" s="5" t="s">
        <v>2098</v>
      </c>
      <c r="B563" s="5" t="s">
        <v>1595</v>
      </c>
      <c r="C563" s="9" t="s">
        <v>2099</v>
      </c>
      <c r="D563" s="5">
        <v>1</v>
      </c>
      <c r="E563" s="9" t="s">
        <v>10704</v>
      </c>
      <c r="F563" s="5">
        <v>1</v>
      </c>
      <c r="G563" s="9" t="s">
        <v>10171</v>
      </c>
      <c r="H563" s="9" t="s">
        <v>10171</v>
      </c>
      <c r="I563" s="9"/>
      <c r="J563" s="9" t="s">
        <v>10181</v>
      </c>
      <c r="K563" s="9" t="s">
        <v>9140</v>
      </c>
      <c r="L563" s="9" t="str">
        <f>HYPERLINK("https://seichotoushi-hojo.jp/assets/pdf/koufu_3_4ji/outline_51.pdf","PDFを開く")</f>
        <v>PDFを開く</v>
      </c>
      <c r="M563" s="9" t="s">
        <v>2104</v>
      </c>
    </row>
    <row r="564" spans="1:13" ht="66" customHeight="1">
      <c r="A564" s="2" t="s">
        <v>2098</v>
      </c>
      <c r="B564" s="2" t="s">
        <v>1595</v>
      </c>
      <c r="C564" s="8" t="s">
        <v>2099</v>
      </c>
      <c r="D564" s="2">
        <v>1</v>
      </c>
      <c r="E564" s="8" t="s">
        <v>10704</v>
      </c>
      <c r="F564" s="2">
        <v>2</v>
      </c>
      <c r="G564" s="8" t="s">
        <v>10167</v>
      </c>
      <c r="H564" s="8" t="s">
        <v>10717</v>
      </c>
      <c r="I564" s="8"/>
      <c r="J564" s="8" t="s">
        <v>10159</v>
      </c>
      <c r="K564" s="8" t="s">
        <v>10718</v>
      </c>
      <c r="L564" s="8" t="str">
        <f>HYPERLINK("https://seichotoushi-hojo.jp/assets/pdf/koufu_3_4ji/outline_51.pdf","PDFを開く")</f>
        <v>PDFを開く</v>
      </c>
      <c r="M564" s="8" t="s">
        <v>2104</v>
      </c>
    </row>
    <row r="565" spans="1:13" ht="66" customHeight="1">
      <c r="A565" s="5" t="s">
        <v>2098</v>
      </c>
      <c r="B565" s="5" t="s">
        <v>1595</v>
      </c>
      <c r="C565" s="9" t="s">
        <v>2099</v>
      </c>
      <c r="D565" s="5">
        <v>2</v>
      </c>
      <c r="E565" s="9" t="s">
        <v>10156</v>
      </c>
      <c r="F565" s="5">
        <v>4</v>
      </c>
      <c r="G565" s="9" t="s">
        <v>8581</v>
      </c>
      <c r="H565" s="9" t="s">
        <v>8581</v>
      </c>
      <c r="I565" s="9"/>
      <c r="J565" s="9" t="s">
        <v>10159</v>
      </c>
      <c r="K565" s="9" t="s">
        <v>9141</v>
      </c>
      <c r="L565" s="9" t="str">
        <f>HYPERLINK("https://seichotoushi-hojo.jp/assets/pdf/koufu_3_4ji/outline_51.pdf","PDFを開く")</f>
        <v>PDFを開く</v>
      </c>
      <c r="M565" s="9" t="s">
        <v>2104</v>
      </c>
    </row>
    <row r="566" spans="1:13" ht="66" customHeight="1">
      <c r="A566" s="2" t="s">
        <v>2105</v>
      </c>
      <c r="B566" s="2" t="s">
        <v>1595</v>
      </c>
      <c r="C566" s="8" t="s">
        <v>2106</v>
      </c>
      <c r="D566" s="2">
        <v>1</v>
      </c>
      <c r="E566" s="8" t="s">
        <v>10156</v>
      </c>
      <c r="F566" s="2">
        <v>4</v>
      </c>
      <c r="G566" s="8" t="s">
        <v>10167</v>
      </c>
      <c r="H566" s="8" t="s">
        <v>10719</v>
      </c>
      <c r="I566" s="8"/>
      <c r="J566" s="8" t="s">
        <v>10159</v>
      </c>
      <c r="K566" s="8" t="s">
        <v>10720</v>
      </c>
      <c r="L566" s="8" t="str">
        <f>HYPERLINK("https://seichotoushi-hojo.jp/assets/pdf/koufu_3_4ji/outline_52.pdf","PDFを開く")</f>
        <v>PDFを開く</v>
      </c>
      <c r="M566" s="8" t="s">
        <v>2113</v>
      </c>
    </row>
    <row r="567" spans="1:13" ht="66" customHeight="1">
      <c r="A567" s="5" t="s">
        <v>2114</v>
      </c>
      <c r="B567" s="5" t="s">
        <v>1595</v>
      </c>
      <c r="C567" s="9" t="s">
        <v>2115</v>
      </c>
      <c r="D567" s="5">
        <v>1</v>
      </c>
      <c r="E567" s="9" t="s">
        <v>10156</v>
      </c>
      <c r="F567" s="5">
        <v>4</v>
      </c>
      <c r="G567" s="9" t="s">
        <v>8581</v>
      </c>
      <c r="H567" s="9" t="s">
        <v>8581</v>
      </c>
      <c r="I567" s="9"/>
      <c r="J567" s="9" t="s">
        <v>10159</v>
      </c>
      <c r="K567" s="9" t="s">
        <v>9156</v>
      </c>
      <c r="L567" s="9" t="str">
        <f t="shared" ref="L567:L572" si="15">HYPERLINK("https://seichotoushi-hojo.jp/assets/pdf/koufu_3_4ji/outline_58.pdf","PDFを開く")</f>
        <v>PDFを開く</v>
      </c>
      <c r="M567" s="9" t="s">
        <v>2122</v>
      </c>
    </row>
    <row r="568" spans="1:13" ht="66" customHeight="1">
      <c r="A568" s="2" t="s">
        <v>2114</v>
      </c>
      <c r="B568" s="2" t="s">
        <v>1595</v>
      </c>
      <c r="C568" s="8" t="s">
        <v>2115</v>
      </c>
      <c r="D568" s="2">
        <v>1</v>
      </c>
      <c r="E568" s="8" t="s">
        <v>10156</v>
      </c>
      <c r="F568" s="2">
        <v>5</v>
      </c>
      <c r="G568" s="8" t="s">
        <v>10167</v>
      </c>
      <c r="H568" s="8" t="s">
        <v>10564</v>
      </c>
      <c r="I568" s="8"/>
      <c r="J568" s="8" t="s">
        <v>10159</v>
      </c>
      <c r="K568" s="8" t="s">
        <v>10721</v>
      </c>
      <c r="L568" s="8" t="str">
        <f t="shared" si="15"/>
        <v>PDFを開く</v>
      </c>
      <c r="M568" s="8" t="s">
        <v>2122</v>
      </c>
    </row>
    <row r="569" spans="1:13" ht="66" customHeight="1">
      <c r="A569" s="5" t="s">
        <v>2114</v>
      </c>
      <c r="B569" s="5" t="s">
        <v>1595</v>
      </c>
      <c r="C569" s="9" t="s">
        <v>2115</v>
      </c>
      <c r="D569" s="5">
        <v>1</v>
      </c>
      <c r="E569" s="9" t="s">
        <v>10156</v>
      </c>
      <c r="F569" s="5">
        <v>6</v>
      </c>
      <c r="G569" s="9" t="s">
        <v>10167</v>
      </c>
      <c r="H569" s="9" t="s">
        <v>10722</v>
      </c>
      <c r="I569" s="9"/>
      <c r="J569" s="9" t="s">
        <v>10159</v>
      </c>
      <c r="K569" s="9" t="s">
        <v>10723</v>
      </c>
      <c r="L569" s="9" t="str">
        <f t="shared" si="15"/>
        <v>PDFを開く</v>
      </c>
      <c r="M569" s="9" t="s">
        <v>2122</v>
      </c>
    </row>
    <row r="570" spans="1:13" ht="66" customHeight="1">
      <c r="A570" s="2" t="s">
        <v>2114</v>
      </c>
      <c r="B570" s="2" t="s">
        <v>1595</v>
      </c>
      <c r="C570" s="8" t="s">
        <v>2115</v>
      </c>
      <c r="D570" s="2">
        <v>2</v>
      </c>
      <c r="E570" s="8" t="s">
        <v>10165</v>
      </c>
      <c r="F570" s="2">
        <v>1</v>
      </c>
      <c r="G570" s="8" t="s">
        <v>10167</v>
      </c>
      <c r="H570" s="8" t="s">
        <v>10724</v>
      </c>
      <c r="I570" s="8"/>
      <c r="J570" s="8" t="s">
        <v>10159</v>
      </c>
      <c r="K570" s="8" t="s">
        <v>10725</v>
      </c>
      <c r="L570" s="8" t="str">
        <f t="shared" si="15"/>
        <v>PDFを開く</v>
      </c>
      <c r="M570" s="8" t="s">
        <v>2122</v>
      </c>
    </row>
    <row r="571" spans="1:13" ht="66" customHeight="1">
      <c r="A571" s="5" t="s">
        <v>2114</v>
      </c>
      <c r="B571" s="5" t="s">
        <v>1595</v>
      </c>
      <c r="C571" s="9" t="s">
        <v>2115</v>
      </c>
      <c r="D571" s="5">
        <v>2</v>
      </c>
      <c r="E571" s="9" t="s">
        <v>10165</v>
      </c>
      <c r="F571" s="5">
        <v>2</v>
      </c>
      <c r="G571" s="9" t="s">
        <v>10184</v>
      </c>
      <c r="H571" s="9" t="s">
        <v>10184</v>
      </c>
      <c r="I571" s="9"/>
      <c r="J571" s="9" t="s">
        <v>10181</v>
      </c>
      <c r="K571" s="9" t="s">
        <v>10726</v>
      </c>
      <c r="L571" s="9" t="str">
        <f t="shared" si="15"/>
        <v>PDFを開く</v>
      </c>
      <c r="M571" s="9" t="s">
        <v>2122</v>
      </c>
    </row>
    <row r="572" spans="1:13" ht="66" customHeight="1">
      <c r="A572" s="2" t="s">
        <v>2114</v>
      </c>
      <c r="B572" s="2" t="s">
        <v>1595</v>
      </c>
      <c r="C572" s="8" t="s">
        <v>2115</v>
      </c>
      <c r="D572" s="2">
        <v>2</v>
      </c>
      <c r="E572" s="8" t="s">
        <v>10165</v>
      </c>
      <c r="F572" s="2">
        <v>3</v>
      </c>
      <c r="G572" s="8" t="s">
        <v>10167</v>
      </c>
      <c r="H572" s="8" t="s">
        <v>10727</v>
      </c>
      <c r="I572" s="8"/>
      <c r="J572" s="8" t="s">
        <v>10159</v>
      </c>
      <c r="K572" s="8" t="s">
        <v>10728</v>
      </c>
      <c r="L572" s="8" t="str">
        <f t="shared" si="15"/>
        <v>PDFを開く</v>
      </c>
      <c r="M572" s="8" t="s">
        <v>2122</v>
      </c>
    </row>
    <row r="573" spans="1:13" ht="66" customHeight="1">
      <c r="A573" s="5" t="s">
        <v>2123</v>
      </c>
      <c r="B573" s="5" t="s">
        <v>1595</v>
      </c>
      <c r="C573" s="9" t="s">
        <v>2124</v>
      </c>
      <c r="D573" s="5">
        <v>1</v>
      </c>
      <c r="E573" s="9" t="s">
        <v>10156</v>
      </c>
      <c r="F573" s="5">
        <v>4</v>
      </c>
      <c r="G573" s="9" t="s">
        <v>8581</v>
      </c>
      <c r="H573" s="9" t="s">
        <v>8581</v>
      </c>
      <c r="I573" s="9"/>
      <c r="J573" s="9" t="s">
        <v>10159</v>
      </c>
      <c r="K573" s="9" t="s">
        <v>9164</v>
      </c>
      <c r="L573" s="9" t="str">
        <f>HYPERLINK("https://seichotoushi-hojo.jp/assets/pdf/koufu_3_4ji/outline_6.pdf","PDFを開く")</f>
        <v>PDFを開く</v>
      </c>
      <c r="M573" s="9" t="s">
        <v>2131</v>
      </c>
    </row>
    <row r="574" spans="1:13" ht="66" customHeight="1">
      <c r="A574" s="2" t="s">
        <v>2123</v>
      </c>
      <c r="B574" s="2" t="s">
        <v>1595</v>
      </c>
      <c r="C574" s="8" t="s">
        <v>2124</v>
      </c>
      <c r="D574" s="2">
        <v>2</v>
      </c>
      <c r="E574" s="8" t="s">
        <v>10165</v>
      </c>
      <c r="F574" s="2">
        <v>2</v>
      </c>
      <c r="G574" s="8" t="s">
        <v>10184</v>
      </c>
      <c r="H574" s="8" t="s">
        <v>10184</v>
      </c>
      <c r="I574" s="8"/>
      <c r="J574" s="8" t="s">
        <v>10181</v>
      </c>
      <c r="K574" s="8" t="s">
        <v>10731</v>
      </c>
      <c r="L574" s="8" t="str">
        <f>HYPERLINK("https://seichotoushi-hojo.jp/assets/pdf/koufu_3_4ji/outline_6.pdf","PDFを開く")</f>
        <v>PDFを開く</v>
      </c>
      <c r="M574" s="8" t="s">
        <v>2131</v>
      </c>
    </row>
    <row r="575" spans="1:13" ht="66" customHeight="1">
      <c r="A575" s="5" t="s">
        <v>2132</v>
      </c>
      <c r="B575" s="5" t="s">
        <v>1595</v>
      </c>
      <c r="C575" s="9" t="s">
        <v>2133</v>
      </c>
      <c r="D575" s="5">
        <v>1</v>
      </c>
      <c r="E575" s="9" t="s">
        <v>10704</v>
      </c>
      <c r="F575" s="5">
        <v>1</v>
      </c>
      <c r="G575" s="9" t="s">
        <v>10171</v>
      </c>
      <c r="H575" s="9" t="s">
        <v>10171</v>
      </c>
      <c r="I575" s="9"/>
      <c r="J575" s="9" t="s">
        <v>10181</v>
      </c>
      <c r="K575" s="9" t="s">
        <v>10732</v>
      </c>
      <c r="L575" s="9" t="str">
        <f>HYPERLINK("https://seichotoushi-hojo.jp/assets/pdf/koufu_3_4ji/outline_60.pdf","PDFを開く")</f>
        <v>PDFを開く</v>
      </c>
      <c r="M575" s="9" t="s">
        <v>2137</v>
      </c>
    </row>
    <row r="576" spans="1:13" ht="66" customHeight="1">
      <c r="A576" s="2" t="s">
        <v>2132</v>
      </c>
      <c r="B576" s="2" t="s">
        <v>1595</v>
      </c>
      <c r="C576" s="8" t="s">
        <v>2133</v>
      </c>
      <c r="D576" s="2">
        <v>1</v>
      </c>
      <c r="E576" s="8" t="s">
        <v>10704</v>
      </c>
      <c r="F576" s="2">
        <v>2</v>
      </c>
      <c r="G576" s="8" t="s">
        <v>10171</v>
      </c>
      <c r="H576" s="8" t="s">
        <v>10171</v>
      </c>
      <c r="I576" s="8"/>
      <c r="J576" s="8" t="s">
        <v>10181</v>
      </c>
      <c r="K576" s="8" t="s">
        <v>10733</v>
      </c>
      <c r="L576" s="8" t="str">
        <f>HYPERLINK("https://seichotoushi-hojo.jp/assets/pdf/koufu_3_4ji/outline_60.pdf","PDFを開く")</f>
        <v>PDFを開く</v>
      </c>
      <c r="M576" s="8" t="s">
        <v>2137</v>
      </c>
    </row>
    <row r="577" spans="1:13" ht="66" customHeight="1">
      <c r="A577" s="5" t="s">
        <v>2132</v>
      </c>
      <c r="B577" s="5" t="s">
        <v>1595</v>
      </c>
      <c r="C577" s="9" t="s">
        <v>2133</v>
      </c>
      <c r="D577" s="5">
        <v>2</v>
      </c>
      <c r="E577" s="9" t="s">
        <v>10704</v>
      </c>
      <c r="F577" s="5">
        <v>1</v>
      </c>
      <c r="G577" s="9" t="s">
        <v>10171</v>
      </c>
      <c r="H577" s="9" t="s">
        <v>10171</v>
      </c>
      <c r="I577" s="9"/>
      <c r="J577" s="9" t="s">
        <v>10181</v>
      </c>
      <c r="K577" s="9" t="s">
        <v>10734</v>
      </c>
      <c r="L577" s="9" t="str">
        <f>HYPERLINK("https://seichotoushi-hojo.jp/assets/pdf/koufu_3_4ji/outline_60.pdf","PDFを開く")</f>
        <v>PDFを開く</v>
      </c>
      <c r="M577" s="9" t="s">
        <v>2137</v>
      </c>
    </row>
    <row r="578" spans="1:13" ht="66" customHeight="1">
      <c r="A578" s="2" t="s">
        <v>2132</v>
      </c>
      <c r="B578" s="2" t="s">
        <v>1595</v>
      </c>
      <c r="C578" s="8" t="s">
        <v>2133</v>
      </c>
      <c r="D578" s="2">
        <v>3</v>
      </c>
      <c r="E578" s="8" t="s">
        <v>10156</v>
      </c>
      <c r="F578" s="2">
        <v>4</v>
      </c>
      <c r="G578" s="8" t="s">
        <v>8581</v>
      </c>
      <c r="H578" s="8" t="s">
        <v>8581</v>
      </c>
      <c r="I578" s="8"/>
      <c r="J578" s="8" t="s">
        <v>10159</v>
      </c>
      <c r="K578" s="8" t="s">
        <v>9173</v>
      </c>
      <c r="L578" s="8" t="str">
        <f>HYPERLINK("https://seichotoushi-hojo.jp/assets/pdf/koufu_3_4ji/outline_60.pdf","PDFを開く")</f>
        <v>PDFを開く</v>
      </c>
      <c r="M578" s="8" t="s">
        <v>2137</v>
      </c>
    </row>
    <row r="579" spans="1:13" ht="66" customHeight="1">
      <c r="A579" s="5" t="s">
        <v>2132</v>
      </c>
      <c r="B579" s="5" t="s">
        <v>1595</v>
      </c>
      <c r="C579" s="9" t="s">
        <v>2133</v>
      </c>
      <c r="D579" s="5">
        <v>5</v>
      </c>
      <c r="E579" s="9" t="s">
        <v>10165</v>
      </c>
      <c r="F579" s="5">
        <v>1</v>
      </c>
      <c r="G579" s="9" t="s">
        <v>10167</v>
      </c>
      <c r="H579" s="9" t="s">
        <v>10735</v>
      </c>
      <c r="I579" s="9"/>
      <c r="J579" s="9" t="s">
        <v>10159</v>
      </c>
      <c r="K579" s="9" t="s">
        <v>10736</v>
      </c>
      <c r="L579" s="9" t="str">
        <f>HYPERLINK("https://seichotoushi-hojo.jp/assets/pdf/koufu_3_4ji/outline_60.pdf","PDFを開く")</f>
        <v>PDFを開く</v>
      </c>
      <c r="M579" s="9" t="s">
        <v>2137</v>
      </c>
    </row>
    <row r="580" spans="1:13" ht="66" customHeight="1">
      <c r="A580" s="2" t="s">
        <v>2138</v>
      </c>
      <c r="B580" s="2" t="s">
        <v>1595</v>
      </c>
      <c r="C580" s="8" t="s">
        <v>2139</v>
      </c>
      <c r="D580" s="2">
        <v>1</v>
      </c>
      <c r="E580" s="8" t="s">
        <v>10156</v>
      </c>
      <c r="F580" s="2">
        <v>1</v>
      </c>
      <c r="G580" s="8" t="s">
        <v>8581</v>
      </c>
      <c r="H580" s="8" t="s">
        <v>8581</v>
      </c>
      <c r="I580" s="8"/>
      <c r="J580" s="8" t="s">
        <v>10159</v>
      </c>
      <c r="K580" s="8" t="s">
        <v>10737</v>
      </c>
      <c r="L580" s="8" t="str">
        <f>HYPERLINK("https://seichotoushi-hojo.jp/assets/pdf/koufu_3_4ji/outline_61.pdf","PDFを開く")</f>
        <v>PDFを開く</v>
      </c>
      <c r="M580" s="8" t="s">
        <v>2144</v>
      </c>
    </row>
    <row r="581" spans="1:13" ht="66" customHeight="1">
      <c r="A581" s="5" t="s">
        <v>2138</v>
      </c>
      <c r="B581" s="5" t="s">
        <v>1595</v>
      </c>
      <c r="C581" s="9" t="s">
        <v>2139</v>
      </c>
      <c r="D581" s="5">
        <v>1</v>
      </c>
      <c r="E581" s="9" t="s">
        <v>10156</v>
      </c>
      <c r="F581" s="5">
        <v>4</v>
      </c>
      <c r="G581" s="9" t="s">
        <v>8581</v>
      </c>
      <c r="H581" s="9" t="s">
        <v>8581</v>
      </c>
      <c r="I581" s="9"/>
      <c r="J581" s="9" t="s">
        <v>10159</v>
      </c>
      <c r="K581" s="9" t="s">
        <v>10738</v>
      </c>
      <c r="L581" s="9" t="str">
        <f>HYPERLINK("https://seichotoushi-hojo.jp/assets/pdf/koufu_3_4ji/outline_61.pdf","PDFを開く")</f>
        <v>PDFを開く</v>
      </c>
      <c r="M581" s="9" t="s">
        <v>2144</v>
      </c>
    </row>
    <row r="582" spans="1:13" ht="66" customHeight="1">
      <c r="A582" s="2" t="s">
        <v>2145</v>
      </c>
      <c r="B582" s="2" t="s">
        <v>1595</v>
      </c>
      <c r="C582" s="8" t="s">
        <v>2146</v>
      </c>
      <c r="D582" s="2">
        <v>1</v>
      </c>
      <c r="E582" s="8" t="s">
        <v>10156</v>
      </c>
      <c r="F582" s="2">
        <v>4</v>
      </c>
      <c r="G582" s="8" t="s">
        <v>8581</v>
      </c>
      <c r="H582" s="8" t="s">
        <v>8581</v>
      </c>
      <c r="I582" s="8"/>
      <c r="J582" s="8" t="s">
        <v>10159</v>
      </c>
      <c r="K582" s="8" t="s">
        <v>9188</v>
      </c>
      <c r="L582" s="8" t="str">
        <f>HYPERLINK("https://seichotoushi-hojo.jp/assets/pdf/koufu_3_4ji/outline_62.pdf","PDFを開く")</f>
        <v>PDFを開く</v>
      </c>
      <c r="M582" s="8" t="s">
        <v>2151</v>
      </c>
    </row>
    <row r="583" spans="1:13" ht="66" customHeight="1">
      <c r="A583" s="5" t="s">
        <v>2152</v>
      </c>
      <c r="B583" s="5" t="s">
        <v>1595</v>
      </c>
      <c r="C583" s="9" t="s">
        <v>2153</v>
      </c>
      <c r="D583" s="5">
        <v>1</v>
      </c>
      <c r="E583" s="9" t="s">
        <v>10156</v>
      </c>
      <c r="F583" s="5">
        <v>3</v>
      </c>
      <c r="G583" s="9" t="s">
        <v>8581</v>
      </c>
      <c r="H583" s="9" t="s">
        <v>8581</v>
      </c>
      <c r="I583" s="9"/>
      <c r="J583" s="9" t="s">
        <v>10159</v>
      </c>
      <c r="K583" s="9" t="s">
        <v>9196</v>
      </c>
      <c r="L583" s="9" t="str">
        <f>HYPERLINK("https://seichotoushi-hojo.jp/assets/pdf/koufu_3_4ji/outline_63.pdf","PDFを開く")</f>
        <v>PDFを開く</v>
      </c>
      <c r="M583" s="9" t="s">
        <v>2161</v>
      </c>
    </row>
    <row r="584" spans="1:13" ht="66" customHeight="1">
      <c r="A584" s="2" t="s">
        <v>2152</v>
      </c>
      <c r="B584" s="2" t="s">
        <v>1595</v>
      </c>
      <c r="C584" s="8" t="s">
        <v>2153</v>
      </c>
      <c r="D584" s="2">
        <v>2</v>
      </c>
      <c r="E584" s="8" t="s">
        <v>10156</v>
      </c>
      <c r="F584" s="2">
        <v>1</v>
      </c>
      <c r="G584" s="8" t="s">
        <v>10167</v>
      </c>
      <c r="H584" s="8" t="s">
        <v>10739</v>
      </c>
      <c r="I584" s="8"/>
      <c r="J584" s="8" t="s">
        <v>10159</v>
      </c>
      <c r="K584" s="8" t="s">
        <v>10740</v>
      </c>
      <c r="L584" s="8" t="str">
        <f>HYPERLINK("https://seichotoushi-hojo.jp/assets/pdf/koufu_3_4ji/outline_63.pdf","PDFを開く")</f>
        <v>PDFを開く</v>
      </c>
      <c r="M584" s="8" t="s">
        <v>2161</v>
      </c>
    </row>
    <row r="585" spans="1:13" ht="66" customHeight="1">
      <c r="A585" s="5" t="s">
        <v>2152</v>
      </c>
      <c r="B585" s="5" t="s">
        <v>1595</v>
      </c>
      <c r="C585" s="9" t="s">
        <v>2153</v>
      </c>
      <c r="D585" s="5">
        <v>2</v>
      </c>
      <c r="E585" s="9" t="s">
        <v>10156</v>
      </c>
      <c r="F585" s="5">
        <v>2</v>
      </c>
      <c r="G585" s="9" t="s">
        <v>10167</v>
      </c>
      <c r="H585" s="9" t="s">
        <v>10741</v>
      </c>
      <c r="I585" s="9"/>
      <c r="J585" s="9" t="s">
        <v>10159</v>
      </c>
      <c r="K585" s="9" t="s">
        <v>10742</v>
      </c>
      <c r="L585" s="9" t="str">
        <f>HYPERLINK("https://seichotoushi-hojo.jp/assets/pdf/koufu_3_4ji/outline_63.pdf","PDFを開く")</f>
        <v>PDFを開く</v>
      </c>
      <c r="M585" s="9" t="s">
        <v>2161</v>
      </c>
    </row>
    <row r="586" spans="1:13" ht="66" customHeight="1">
      <c r="A586" s="2" t="s">
        <v>2162</v>
      </c>
      <c r="B586" s="2" t="s">
        <v>1595</v>
      </c>
      <c r="C586" s="8" t="s">
        <v>2163</v>
      </c>
      <c r="D586" s="2">
        <v>1</v>
      </c>
      <c r="E586" s="8" t="s">
        <v>10156</v>
      </c>
      <c r="F586" s="2">
        <v>4</v>
      </c>
      <c r="G586" s="8" t="s">
        <v>8581</v>
      </c>
      <c r="H586" s="8" t="s">
        <v>8581</v>
      </c>
      <c r="I586" s="8"/>
      <c r="J586" s="8" t="s">
        <v>10159</v>
      </c>
      <c r="K586" s="8" t="s">
        <v>2165</v>
      </c>
      <c r="L586" s="8" t="str">
        <f>HYPERLINK("https://seichotoushi-hojo.jp/assets/pdf/koufu_3_4ji/outline_65.pdf","PDFを開く")</f>
        <v>PDFを開く</v>
      </c>
      <c r="M586" s="8" t="s">
        <v>2167</v>
      </c>
    </row>
    <row r="587" spans="1:13" ht="66" customHeight="1">
      <c r="A587" s="5" t="s">
        <v>2162</v>
      </c>
      <c r="B587" s="5" t="s">
        <v>1595</v>
      </c>
      <c r="C587" s="9" t="s">
        <v>2163</v>
      </c>
      <c r="D587" s="5">
        <v>2</v>
      </c>
      <c r="E587" s="9" t="s">
        <v>10165</v>
      </c>
      <c r="F587" s="5">
        <v>1</v>
      </c>
      <c r="G587" s="9" t="s">
        <v>10167</v>
      </c>
      <c r="H587" s="9" t="s">
        <v>5265</v>
      </c>
      <c r="I587" s="9"/>
      <c r="J587" s="9" t="s">
        <v>10159</v>
      </c>
      <c r="K587" s="9" t="s">
        <v>10187</v>
      </c>
      <c r="L587" s="9" t="str">
        <f>HYPERLINK("https://seichotoushi-hojo.jp/assets/pdf/koufu_3_4ji/outline_65.pdf","PDFを開く")</f>
        <v>PDFを開く</v>
      </c>
      <c r="M587" s="9" t="s">
        <v>2167</v>
      </c>
    </row>
    <row r="588" spans="1:13" ht="66" customHeight="1">
      <c r="A588" s="2" t="s">
        <v>2168</v>
      </c>
      <c r="B588" s="2" t="s">
        <v>1595</v>
      </c>
      <c r="C588" s="8" t="s">
        <v>2169</v>
      </c>
      <c r="D588" s="2">
        <v>1</v>
      </c>
      <c r="E588" s="8" t="s">
        <v>10156</v>
      </c>
      <c r="F588" s="2">
        <v>4</v>
      </c>
      <c r="G588" s="8" t="s">
        <v>8581</v>
      </c>
      <c r="H588" s="8" t="s">
        <v>8581</v>
      </c>
      <c r="I588" s="8"/>
      <c r="J588" s="8" t="s">
        <v>10159</v>
      </c>
      <c r="K588" s="8" t="s">
        <v>9211</v>
      </c>
      <c r="L588" s="8" t="str">
        <f>HYPERLINK("https://seichotoushi-hojo.jp/assets/pdf/koufu_3_4ji/outline_66.pdf","PDFを開く")</f>
        <v>PDFを開く</v>
      </c>
      <c r="M588" s="8" t="s">
        <v>2176</v>
      </c>
    </row>
    <row r="589" spans="1:13" ht="66" customHeight="1">
      <c r="A589" s="5" t="s">
        <v>2177</v>
      </c>
      <c r="B589" s="5" t="s">
        <v>1595</v>
      </c>
      <c r="C589" s="9" t="s">
        <v>2178</v>
      </c>
      <c r="D589" s="5">
        <v>1</v>
      </c>
      <c r="E589" s="9" t="s">
        <v>10156</v>
      </c>
      <c r="F589" s="5">
        <v>4</v>
      </c>
      <c r="G589" s="9" t="s">
        <v>8581</v>
      </c>
      <c r="H589" s="9" t="s">
        <v>8581</v>
      </c>
      <c r="I589" s="9"/>
      <c r="J589" s="9" t="s">
        <v>10159</v>
      </c>
      <c r="K589" s="9" t="s">
        <v>9219</v>
      </c>
      <c r="L589" s="9" t="str">
        <f>HYPERLINK("https://seichotoushi-hojo.jp/assets/pdf/koufu_3_4ji/outline_67.pdf","PDFを開く")</f>
        <v>PDFを開く</v>
      </c>
      <c r="M589" s="9" t="s">
        <v>2184</v>
      </c>
    </row>
    <row r="590" spans="1:13" ht="66" customHeight="1">
      <c r="A590" s="2" t="s">
        <v>2177</v>
      </c>
      <c r="B590" s="2" t="s">
        <v>1595</v>
      </c>
      <c r="C590" s="8" t="s">
        <v>2178</v>
      </c>
      <c r="D590" s="2">
        <v>2</v>
      </c>
      <c r="E590" s="8" t="s">
        <v>10156</v>
      </c>
      <c r="F590" s="2">
        <v>1</v>
      </c>
      <c r="G590" s="8" t="s">
        <v>10167</v>
      </c>
      <c r="H590" s="8" t="s">
        <v>10743</v>
      </c>
      <c r="I590" s="8"/>
      <c r="J590" s="8" t="s">
        <v>10159</v>
      </c>
      <c r="K590" s="8" t="s">
        <v>10744</v>
      </c>
      <c r="L590" s="8" t="str">
        <f>HYPERLINK("https://seichotoushi-hojo.jp/assets/pdf/koufu_3_4ji/outline_67.pdf","PDFを開く")</f>
        <v>PDFを開く</v>
      </c>
      <c r="M590" s="8" t="s">
        <v>2184</v>
      </c>
    </row>
    <row r="591" spans="1:13" ht="66" customHeight="1">
      <c r="A591" s="5" t="s">
        <v>2177</v>
      </c>
      <c r="B591" s="5" t="s">
        <v>1595</v>
      </c>
      <c r="C591" s="9" t="s">
        <v>2178</v>
      </c>
      <c r="D591" s="5">
        <v>2</v>
      </c>
      <c r="E591" s="9" t="s">
        <v>10156</v>
      </c>
      <c r="F591" s="5">
        <v>2</v>
      </c>
      <c r="G591" s="9" t="s">
        <v>10167</v>
      </c>
      <c r="H591" s="9" t="s">
        <v>10745</v>
      </c>
      <c r="I591" s="9"/>
      <c r="J591" s="9" t="s">
        <v>10159</v>
      </c>
      <c r="K591" s="9" t="s">
        <v>10746</v>
      </c>
      <c r="L591" s="9" t="str">
        <f>HYPERLINK("https://seichotoushi-hojo.jp/assets/pdf/koufu_3_4ji/outline_67.pdf","PDFを開く")</f>
        <v>PDFを開く</v>
      </c>
      <c r="M591" s="9" t="s">
        <v>2184</v>
      </c>
    </row>
    <row r="592" spans="1:13" ht="66" customHeight="1">
      <c r="A592" s="2" t="s">
        <v>2177</v>
      </c>
      <c r="B592" s="2" t="s">
        <v>1595</v>
      </c>
      <c r="C592" s="8" t="s">
        <v>2178</v>
      </c>
      <c r="D592" s="2">
        <v>4</v>
      </c>
      <c r="E592" s="8" t="s">
        <v>10156</v>
      </c>
      <c r="F592" s="2">
        <v>1</v>
      </c>
      <c r="G592" s="8" t="s">
        <v>10167</v>
      </c>
      <c r="H592" s="8" t="s">
        <v>10747</v>
      </c>
      <c r="I592" s="8"/>
      <c r="J592" s="8" t="s">
        <v>10159</v>
      </c>
      <c r="K592" s="8" t="s">
        <v>10747</v>
      </c>
      <c r="L592" s="8" t="str">
        <f>HYPERLINK("https://seichotoushi-hojo.jp/assets/pdf/koufu_3_4ji/outline_67.pdf","PDFを開く")</f>
        <v>PDFを開く</v>
      </c>
      <c r="M592" s="8" t="s">
        <v>2184</v>
      </c>
    </row>
    <row r="593" spans="1:13" ht="66" customHeight="1">
      <c r="A593" s="5" t="s">
        <v>2185</v>
      </c>
      <c r="B593" s="5" t="s">
        <v>1595</v>
      </c>
      <c r="C593" s="9" t="s">
        <v>2186</v>
      </c>
      <c r="D593" s="5">
        <v>1</v>
      </c>
      <c r="E593" s="9" t="s">
        <v>10156</v>
      </c>
      <c r="F593" s="5">
        <v>4</v>
      </c>
      <c r="G593" s="9" t="s">
        <v>8581</v>
      </c>
      <c r="H593" s="9" t="s">
        <v>8581</v>
      </c>
      <c r="I593" s="9"/>
      <c r="J593" s="9" t="s">
        <v>10159</v>
      </c>
      <c r="K593" s="9" t="s">
        <v>9227</v>
      </c>
      <c r="L593" s="9" t="str">
        <f>HYPERLINK("https://seichotoushi-hojo.jp/assets/pdf/koufu_3_4ji/outline_68.pdf","PDFを開く")</f>
        <v>PDFを開く</v>
      </c>
      <c r="M593" s="9" t="s">
        <v>2192</v>
      </c>
    </row>
    <row r="594" spans="1:13" ht="66" customHeight="1">
      <c r="A594" s="2" t="s">
        <v>2193</v>
      </c>
      <c r="B594" s="2" t="s">
        <v>1595</v>
      </c>
      <c r="C594" s="8" t="s">
        <v>2194</v>
      </c>
      <c r="D594" s="2">
        <v>1</v>
      </c>
      <c r="E594" s="8" t="s">
        <v>10156</v>
      </c>
      <c r="F594" s="2">
        <v>4</v>
      </c>
      <c r="G594" s="8" t="s">
        <v>8581</v>
      </c>
      <c r="H594" s="8" t="s">
        <v>8581</v>
      </c>
      <c r="I594" s="8"/>
      <c r="J594" s="8" t="s">
        <v>10159</v>
      </c>
      <c r="K594" s="8" t="s">
        <v>9235</v>
      </c>
      <c r="L594" s="8" t="str">
        <f>HYPERLINK("https://seichotoushi-hojo.jp/assets/pdf/koufu_3_4ji/outline_69.pdf","PDFを開く")</f>
        <v>PDFを開く</v>
      </c>
      <c r="M594" s="8" t="s">
        <v>2199</v>
      </c>
    </row>
    <row r="595" spans="1:13" ht="66" customHeight="1">
      <c r="A595" s="5" t="s">
        <v>2193</v>
      </c>
      <c r="B595" s="5" t="s">
        <v>1595</v>
      </c>
      <c r="C595" s="9" t="s">
        <v>2194</v>
      </c>
      <c r="D595" s="5">
        <v>2</v>
      </c>
      <c r="E595" s="9" t="s">
        <v>10165</v>
      </c>
      <c r="F595" s="5">
        <v>1</v>
      </c>
      <c r="G595" s="9" t="s">
        <v>10184</v>
      </c>
      <c r="H595" s="9" t="s">
        <v>10184</v>
      </c>
      <c r="I595" s="9"/>
      <c r="J595" s="9" t="s">
        <v>10181</v>
      </c>
      <c r="K595" s="9" t="s">
        <v>10748</v>
      </c>
      <c r="L595" s="9" t="str">
        <f>HYPERLINK("https://seichotoushi-hojo.jp/assets/pdf/koufu_3_4ji/outline_69.pdf","PDFを開く")</f>
        <v>PDFを開く</v>
      </c>
      <c r="M595" s="9" t="s">
        <v>2199</v>
      </c>
    </row>
    <row r="596" spans="1:13" ht="66" customHeight="1">
      <c r="A596" s="2" t="s">
        <v>2200</v>
      </c>
      <c r="B596" s="2" t="s">
        <v>1595</v>
      </c>
      <c r="C596" s="8" t="s">
        <v>706</v>
      </c>
      <c r="D596" s="2">
        <v>1</v>
      </c>
      <c r="E596" s="8" t="s">
        <v>10156</v>
      </c>
      <c r="F596" s="2">
        <v>4</v>
      </c>
      <c r="G596" s="8" t="s">
        <v>8581</v>
      </c>
      <c r="H596" s="8" t="s">
        <v>8581</v>
      </c>
      <c r="I596" s="8"/>
      <c r="J596" s="8" t="s">
        <v>10159</v>
      </c>
      <c r="K596" s="8" t="s">
        <v>2204</v>
      </c>
      <c r="L596" s="8" t="str">
        <f>HYPERLINK("https://seichotoushi-hojo.jp/assets/pdf/koufu_3_4ji/outline_70.pdf","PDFを開く")</f>
        <v>PDFを開く</v>
      </c>
      <c r="M596" s="8" t="s">
        <v>2206</v>
      </c>
    </row>
    <row r="597" spans="1:13" ht="66" customHeight="1">
      <c r="A597" s="5" t="s">
        <v>2200</v>
      </c>
      <c r="B597" s="5" t="s">
        <v>1595</v>
      </c>
      <c r="C597" s="9" t="s">
        <v>706</v>
      </c>
      <c r="D597" s="5">
        <v>2</v>
      </c>
      <c r="E597" s="9" t="s">
        <v>10165</v>
      </c>
      <c r="F597" s="5">
        <v>1</v>
      </c>
      <c r="G597" s="9" t="s">
        <v>10167</v>
      </c>
      <c r="H597" s="9" t="s">
        <v>5265</v>
      </c>
      <c r="I597" s="9"/>
      <c r="J597" s="9" t="s">
        <v>10159</v>
      </c>
      <c r="K597" s="9" t="s">
        <v>10187</v>
      </c>
      <c r="L597" s="9" t="str">
        <f>HYPERLINK("https://seichotoushi-hojo.jp/assets/pdf/koufu_3_4ji/outline_70.pdf","PDFを開く")</f>
        <v>PDFを開く</v>
      </c>
      <c r="M597" s="9" t="s">
        <v>2206</v>
      </c>
    </row>
    <row r="598" spans="1:13" ht="66" customHeight="1">
      <c r="A598" s="2" t="s">
        <v>2207</v>
      </c>
      <c r="B598" s="2" t="s">
        <v>1595</v>
      </c>
      <c r="C598" s="8" t="s">
        <v>2208</v>
      </c>
      <c r="D598" s="2">
        <v>1</v>
      </c>
      <c r="E598" s="8" t="s">
        <v>10156</v>
      </c>
      <c r="F598" s="2">
        <v>4</v>
      </c>
      <c r="G598" s="8" t="s">
        <v>8581</v>
      </c>
      <c r="H598" s="8" t="s">
        <v>8581</v>
      </c>
      <c r="I598" s="8"/>
      <c r="J598" s="8" t="s">
        <v>10159</v>
      </c>
      <c r="K598" s="8" t="s">
        <v>9250</v>
      </c>
      <c r="L598" s="8" t="str">
        <f>HYPERLINK("https://seichotoushi-hojo.jp/assets/pdf/koufu_3_4ji/outline_71.pdf","PDFを開く")</f>
        <v>PDFを開く</v>
      </c>
      <c r="M598" s="8" t="s">
        <v>2214</v>
      </c>
    </row>
    <row r="599" spans="1:13" ht="66" customHeight="1">
      <c r="A599" s="5" t="s">
        <v>2215</v>
      </c>
      <c r="B599" s="5" t="s">
        <v>1595</v>
      </c>
      <c r="C599" s="9" t="s">
        <v>2216</v>
      </c>
      <c r="D599" s="5">
        <v>1</v>
      </c>
      <c r="E599" s="9" t="s">
        <v>10156</v>
      </c>
      <c r="F599" s="5">
        <v>4</v>
      </c>
      <c r="G599" s="9" t="s">
        <v>8581</v>
      </c>
      <c r="H599" s="9" t="s">
        <v>8581</v>
      </c>
      <c r="I599" s="9"/>
      <c r="J599" s="9" t="s">
        <v>10159</v>
      </c>
      <c r="K599" s="9" t="s">
        <v>9259</v>
      </c>
      <c r="L599" s="9" t="str">
        <f>HYPERLINK("https://seichotoushi-hojo.jp/assets/pdf/koufu_3_4ji/outline_72.pdf","PDFを開く")</f>
        <v>PDFを開く</v>
      </c>
      <c r="M599" s="9" t="s">
        <v>2221</v>
      </c>
    </row>
    <row r="600" spans="1:13" ht="66" customHeight="1">
      <c r="A600" s="2" t="s">
        <v>2215</v>
      </c>
      <c r="B600" s="2" t="s">
        <v>1595</v>
      </c>
      <c r="C600" s="8" t="s">
        <v>2216</v>
      </c>
      <c r="D600" s="2">
        <v>2</v>
      </c>
      <c r="E600" s="8" t="s">
        <v>10165</v>
      </c>
      <c r="F600" s="2">
        <v>1</v>
      </c>
      <c r="G600" s="8" t="s">
        <v>10157</v>
      </c>
      <c r="H600" s="8" t="s">
        <v>10157</v>
      </c>
      <c r="I600" s="8" t="s">
        <v>10158</v>
      </c>
      <c r="J600" s="8" t="s">
        <v>10159</v>
      </c>
      <c r="K600" s="8" t="s">
        <v>10749</v>
      </c>
      <c r="L600" s="8" t="str">
        <f>HYPERLINK("https://seichotoushi-hojo.jp/assets/pdf/koufu_3_4ji/outline_72.pdf","PDFを開く")</f>
        <v>PDFを開く</v>
      </c>
      <c r="M600" s="8" t="s">
        <v>2221</v>
      </c>
    </row>
    <row r="601" spans="1:13" ht="66" customHeight="1">
      <c r="A601" s="5" t="s">
        <v>2215</v>
      </c>
      <c r="B601" s="5" t="s">
        <v>1595</v>
      </c>
      <c r="C601" s="9" t="s">
        <v>2216</v>
      </c>
      <c r="D601" s="5">
        <v>2</v>
      </c>
      <c r="E601" s="9" t="s">
        <v>10165</v>
      </c>
      <c r="F601" s="5">
        <v>2</v>
      </c>
      <c r="G601" s="9" t="s">
        <v>10157</v>
      </c>
      <c r="H601" s="9" t="s">
        <v>10157</v>
      </c>
      <c r="I601" s="9"/>
      <c r="J601" s="9" t="s">
        <v>10159</v>
      </c>
      <c r="K601" s="9" t="s">
        <v>10750</v>
      </c>
      <c r="L601" s="9" t="str">
        <f>HYPERLINK("https://seichotoushi-hojo.jp/assets/pdf/koufu_3_4ji/outline_72.pdf","PDFを開く")</f>
        <v>PDFを開く</v>
      </c>
      <c r="M601" s="9" t="s">
        <v>2221</v>
      </c>
    </row>
    <row r="602" spans="1:13" ht="66" customHeight="1">
      <c r="A602" s="2" t="s">
        <v>2215</v>
      </c>
      <c r="B602" s="2" t="s">
        <v>1595</v>
      </c>
      <c r="C602" s="8" t="s">
        <v>2216</v>
      </c>
      <c r="D602" s="2">
        <v>2</v>
      </c>
      <c r="E602" s="8" t="s">
        <v>10165</v>
      </c>
      <c r="F602" s="2">
        <v>3</v>
      </c>
      <c r="G602" s="8" t="s">
        <v>10184</v>
      </c>
      <c r="H602" s="8" t="s">
        <v>10184</v>
      </c>
      <c r="I602" s="8"/>
      <c r="J602" s="8" t="s">
        <v>10181</v>
      </c>
      <c r="K602" s="8" t="s">
        <v>10751</v>
      </c>
      <c r="L602" s="8" t="str">
        <f>HYPERLINK("https://seichotoushi-hojo.jp/assets/pdf/koufu_3_4ji/outline_72.pdf","PDFを開く")</f>
        <v>PDFを開く</v>
      </c>
      <c r="M602" s="8" t="s">
        <v>2221</v>
      </c>
    </row>
    <row r="603" spans="1:13" ht="66" customHeight="1">
      <c r="A603" s="5" t="s">
        <v>2222</v>
      </c>
      <c r="B603" s="5" t="s">
        <v>1595</v>
      </c>
      <c r="C603" s="9" t="s">
        <v>2223</v>
      </c>
      <c r="D603" s="5">
        <v>1</v>
      </c>
      <c r="E603" s="9" t="s">
        <v>10156</v>
      </c>
      <c r="F603" s="5">
        <v>4</v>
      </c>
      <c r="G603" s="9" t="s">
        <v>8581</v>
      </c>
      <c r="H603" s="9" t="s">
        <v>8581</v>
      </c>
      <c r="I603" s="9"/>
      <c r="J603" s="9" t="s">
        <v>10159</v>
      </c>
      <c r="K603" s="9" t="s">
        <v>9267</v>
      </c>
      <c r="L603" s="9" t="str">
        <f t="shared" ref="L603:L610" si="16">HYPERLINK("https://seichotoushi-hojo.jp/assets/pdf/koufu_3_4ji/outline_73.pdf","PDFを開く")</f>
        <v>PDFを開く</v>
      </c>
      <c r="M603" s="9" t="s">
        <v>2227</v>
      </c>
    </row>
    <row r="604" spans="1:13" ht="66" customHeight="1">
      <c r="A604" s="2" t="s">
        <v>2222</v>
      </c>
      <c r="B604" s="2" t="s">
        <v>1595</v>
      </c>
      <c r="C604" s="8" t="s">
        <v>2223</v>
      </c>
      <c r="D604" s="2">
        <v>3</v>
      </c>
      <c r="E604" s="8" t="s">
        <v>10165</v>
      </c>
      <c r="F604" s="2">
        <v>1</v>
      </c>
      <c r="G604" s="8" t="s">
        <v>10167</v>
      </c>
      <c r="H604" s="8" t="s">
        <v>4518</v>
      </c>
      <c r="I604" s="8"/>
      <c r="J604" s="8" t="s">
        <v>10159</v>
      </c>
      <c r="K604" s="8" t="s">
        <v>10752</v>
      </c>
      <c r="L604" s="8" t="str">
        <f t="shared" si="16"/>
        <v>PDFを開く</v>
      </c>
      <c r="M604" s="8" t="s">
        <v>2227</v>
      </c>
    </row>
    <row r="605" spans="1:13" ht="66" customHeight="1">
      <c r="A605" s="5" t="s">
        <v>2222</v>
      </c>
      <c r="B605" s="5" t="s">
        <v>1595</v>
      </c>
      <c r="C605" s="9" t="s">
        <v>2223</v>
      </c>
      <c r="D605" s="5">
        <v>4</v>
      </c>
      <c r="E605" s="9" t="s">
        <v>10165</v>
      </c>
      <c r="F605" s="5">
        <v>1</v>
      </c>
      <c r="G605" s="9" t="s">
        <v>10167</v>
      </c>
      <c r="H605" s="9" t="s">
        <v>10753</v>
      </c>
      <c r="I605" s="9"/>
      <c r="J605" s="9" t="s">
        <v>10159</v>
      </c>
      <c r="K605" s="9" t="s">
        <v>10754</v>
      </c>
      <c r="L605" s="9" t="str">
        <f t="shared" si="16"/>
        <v>PDFを開く</v>
      </c>
      <c r="M605" s="9" t="s">
        <v>2227</v>
      </c>
    </row>
    <row r="606" spans="1:13" ht="66" customHeight="1">
      <c r="A606" s="2" t="s">
        <v>2222</v>
      </c>
      <c r="B606" s="2" t="s">
        <v>1595</v>
      </c>
      <c r="C606" s="8" t="s">
        <v>2223</v>
      </c>
      <c r="D606" s="2">
        <v>4</v>
      </c>
      <c r="E606" s="8" t="s">
        <v>10165</v>
      </c>
      <c r="F606" s="2">
        <v>2</v>
      </c>
      <c r="G606" s="8" t="s">
        <v>10167</v>
      </c>
      <c r="H606" s="8" t="s">
        <v>10755</v>
      </c>
      <c r="I606" s="8"/>
      <c r="J606" s="8" t="s">
        <v>10159</v>
      </c>
      <c r="K606" s="8" t="s">
        <v>10756</v>
      </c>
      <c r="L606" s="8" t="str">
        <f t="shared" si="16"/>
        <v>PDFを開く</v>
      </c>
      <c r="M606" s="8" t="s">
        <v>2227</v>
      </c>
    </row>
    <row r="607" spans="1:13" ht="66" customHeight="1">
      <c r="A607" s="5" t="s">
        <v>2222</v>
      </c>
      <c r="B607" s="5" t="s">
        <v>1595</v>
      </c>
      <c r="C607" s="9" t="s">
        <v>2223</v>
      </c>
      <c r="D607" s="5">
        <v>4</v>
      </c>
      <c r="E607" s="9" t="s">
        <v>10165</v>
      </c>
      <c r="F607" s="5">
        <v>3</v>
      </c>
      <c r="G607" s="9" t="s">
        <v>10167</v>
      </c>
      <c r="H607" s="9" t="s">
        <v>10757</v>
      </c>
      <c r="I607" s="9"/>
      <c r="J607" s="9" t="s">
        <v>10159</v>
      </c>
      <c r="K607" s="9" t="s">
        <v>10758</v>
      </c>
      <c r="L607" s="9" t="str">
        <f t="shared" si="16"/>
        <v>PDFを開く</v>
      </c>
      <c r="M607" s="9" t="s">
        <v>2227</v>
      </c>
    </row>
    <row r="608" spans="1:13" ht="66" customHeight="1">
      <c r="A608" s="2" t="s">
        <v>2222</v>
      </c>
      <c r="B608" s="2" t="s">
        <v>1595</v>
      </c>
      <c r="C608" s="8" t="s">
        <v>2223</v>
      </c>
      <c r="D608" s="2">
        <v>4</v>
      </c>
      <c r="E608" s="8" t="s">
        <v>10165</v>
      </c>
      <c r="F608" s="2">
        <v>4</v>
      </c>
      <c r="G608" s="8" t="s">
        <v>10167</v>
      </c>
      <c r="H608" s="8" t="s">
        <v>10759</v>
      </c>
      <c r="I608" s="8"/>
      <c r="J608" s="8" t="s">
        <v>10159</v>
      </c>
      <c r="K608" s="8" t="s">
        <v>10760</v>
      </c>
      <c r="L608" s="8" t="str">
        <f t="shared" si="16"/>
        <v>PDFを開く</v>
      </c>
      <c r="M608" s="8" t="s">
        <v>2227</v>
      </c>
    </row>
    <row r="609" spans="1:13" ht="66" customHeight="1">
      <c r="A609" s="5" t="s">
        <v>2222</v>
      </c>
      <c r="B609" s="5" t="s">
        <v>1595</v>
      </c>
      <c r="C609" s="9" t="s">
        <v>2223</v>
      </c>
      <c r="D609" s="5">
        <v>4</v>
      </c>
      <c r="E609" s="9" t="s">
        <v>10165</v>
      </c>
      <c r="F609" s="5">
        <v>5</v>
      </c>
      <c r="G609" s="9" t="s">
        <v>10167</v>
      </c>
      <c r="H609" s="9" t="s">
        <v>10761</v>
      </c>
      <c r="I609" s="9"/>
      <c r="J609" s="9" t="s">
        <v>10159</v>
      </c>
      <c r="K609" s="9" t="s">
        <v>10762</v>
      </c>
      <c r="L609" s="9" t="str">
        <f t="shared" si="16"/>
        <v>PDFを開く</v>
      </c>
      <c r="M609" s="9" t="s">
        <v>2227</v>
      </c>
    </row>
    <row r="610" spans="1:13" ht="66" customHeight="1">
      <c r="A610" s="2" t="s">
        <v>2222</v>
      </c>
      <c r="B610" s="2" t="s">
        <v>1595</v>
      </c>
      <c r="C610" s="8" t="s">
        <v>2223</v>
      </c>
      <c r="D610" s="2">
        <v>4</v>
      </c>
      <c r="E610" s="8" t="s">
        <v>10165</v>
      </c>
      <c r="F610" s="2">
        <v>6</v>
      </c>
      <c r="G610" s="8" t="s">
        <v>10167</v>
      </c>
      <c r="H610" s="8" t="s">
        <v>10763</v>
      </c>
      <c r="I610" s="8"/>
      <c r="J610" s="8" t="s">
        <v>10159</v>
      </c>
      <c r="K610" s="8" t="s">
        <v>10764</v>
      </c>
      <c r="L610" s="8" t="str">
        <f t="shared" si="16"/>
        <v>PDFを開く</v>
      </c>
      <c r="M610" s="8" t="s">
        <v>2227</v>
      </c>
    </row>
    <row r="611" spans="1:13" ht="66" customHeight="1">
      <c r="A611" s="5" t="s">
        <v>2228</v>
      </c>
      <c r="B611" s="5" t="s">
        <v>1595</v>
      </c>
      <c r="C611" s="9" t="s">
        <v>2229</v>
      </c>
      <c r="D611" s="5">
        <v>1</v>
      </c>
      <c r="E611" s="9" t="s">
        <v>10156</v>
      </c>
      <c r="F611" s="5">
        <v>1</v>
      </c>
      <c r="G611" s="9" t="s">
        <v>10171</v>
      </c>
      <c r="H611" s="9" t="s">
        <v>10171</v>
      </c>
      <c r="I611" s="9"/>
      <c r="J611" s="9" t="s">
        <v>10159</v>
      </c>
      <c r="K611" s="9" t="s">
        <v>9275</v>
      </c>
      <c r="L611" s="9" t="str">
        <f>HYPERLINK("https://seichotoushi-hojo.jp/assets/pdf/koufu_3_4ji/outline_74.pdf","PDFを開く")</f>
        <v>PDFを開く</v>
      </c>
      <c r="M611" s="9" t="s">
        <v>2236</v>
      </c>
    </row>
    <row r="612" spans="1:13" ht="66" customHeight="1">
      <c r="A612" s="2" t="s">
        <v>2228</v>
      </c>
      <c r="B612" s="2" t="s">
        <v>1595</v>
      </c>
      <c r="C612" s="8" t="s">
        <v>2229</v>
      </c>
      <c r="D612" s="2">
        <v>1</v>
      </c>
      <c r="E612" s="8" t="s">
        <v>10156</v>
      </c>
      <c r="F612" s="2">
        <v>2</v>
      </c>
      <c r="G612" s="8" t="s">
        <v>10167</v>
      </c>
      <c r="H612" s="8" t="s">
        <v>10765</v>
      </c>
      <c r="I612" s="8"/>
      <c r="J612" s="8" t="s">
        <v>10159</v>
      </c>
      <c r="K612" s="8" t="s">
        <v>10766</v>
      </c>
      <c r="L612" s="8" t="str">
        <f>HYPERLINK("https://seichotoushi-hojo.jp/assets/pdf/koufu_3_4ji/outline_74.pdf","PDFを開く")</f>
        <v>PDFを開く</v>
      </c>
      <c r="M612" s="8" t="s">
        <v>2236</v>
      </c>
    </row>
    <row r="613" spans="1:13" ht="66" customHeight="1">
      <c r="A613" s="5" t="s">
        <v>2228</v>
      </c>
      <c r="B613" s="5" t="s">
        <v>1595</v>
      </c>
      <c r="C613" s="9" t="s">
        <v>2229</v>
      </c>
      <c r="D613" s="5">
        <v>2</v>
      </c>
      <c r="E613" s="9" t="s">
        <v>10156</v>
      </c>
      <c r="F613" s="5">
        <v>4</v>
      </c>
      <c r="G613" s="9" t="s">
        <v>8581</v>
      </c>
      <c r="H613" s="9" t="s">
        <v>8581</v>
      </c>
      <c r="I613" s="9"/>
      <c r="J613" s="9" t="s">
        <v>10159</v>
      </c>
      <c r="K613" s="9" t="s">
        <v>2233</v>
      </c>
      <c r="L613" s="9" t="str">
        <f>HYPERLINK("https://seichotoushi-hojo.jp/assets/pdf/koufu_3_4ji/outline_74.pdf","PDFを開く")</f>
        <v>PDFを開く</v>
      </c>
      <c r="M613" s="9" t="s">
        <v>2236</v>
      </c>
    </row>
    <row r="614" spans="1:13" ht="66" customHeight="1">
      <c r="A614" s="2" t="s">
        <v>2237</v>
      </c>
      <c r="B614" s="2" t="s">
        <v>1595</v>
      </c>
      <c r="C614" s="8" t="s">
        <v>2238</v>
      </c>
      <c r="D614" s="2">
        <v>1</v>
      </c>
      <c r="E614" s="8" t="s">
        <v>10156</v>
      </c>
      <c r="F614" s="2">
        <v>4</v>
      </c>
      <c r="G614" s="8" t="s">
        <v>8581</v>
      </c>
      <c r="H614" s="8" t="s">
        <v>8581</v>
      </c>
      <c r="I614" s="8"/>
      <c r="J614" s="8" t="s">
        <v>10159</v>
      </c>
      <c r="K614" s="8" t="s">
        <v>9283</v>
      </c>
      <c r="L614" s="8" t="str">
        <f>HYPERLINK("https://seichotoushi-hojo.jp/assets/pdf/koufu_3_4ji/outline_77.pdf","PDFを開く")</f>
        <v>PDFを開く</v>
      </c>
      <c r="M614" s="8" t="s">
        <v>2244</v>
      </c>
    </row>
    <row r="615" spans="1:13" ht="66" customHeight="1">
      <c r="A615" s="5" t="s">
        <v>2245</v>
      </c>
      <c r="B615" s="5" t="s">
        <v>1595</v>
      </c>
      <c r="C615" s="9" t="s">
        <v>2246</v>
      </c>
      <c r="D615" s="5">
        <v>1</v>
      </c>
      <c r="E615" s="9" t="s">
        <v>10156</v>
      </c>
      <c r="F615" s="5">
        <v>4</v>
      </c>
      <c r="G615" s="9" t="s">
        <v>8581</v>
      </c>
      <c r="H615" s="9" t="s">
        <v>8581</v>
      </c>
      <c r="I615" s="9"/>
      <c r="J615" s="9" t="s">
        <v>10159</v>
      </c>
      <c r="K615" s="9" t="s">
        <v>9291</v>
      </c>
      <c r="L615" s="9" t="str">
        <f>HYPERLINK("https://seichotoushi-hojo.jp/assets/pdf/koufu_3_4ji/outline_78.pdf","PDFを開く")</f>
        <v>PDFを開く</v>
      </c>
      <c r="M615" s="9" t="s">
        <v>2251</v>
      </c>
    </row>
    <row r="616" spans="1:13" ht="66" customHeight="1">
      <c r="A616" s="2" t="s">
        <v>2252</v>
      </c>
      <c r="B616" s="2" t="s">
        <v>1595</v>
      </c>
      <c r="C616" s="8" t="s">
        <v>2253</v>
      </c>
      <c r="D616" s="2">
        <v>1</v>
      </c>
      <c r="E616" s="8" t="s">
        <v>10156</v>
      </c>
      <c r="F616" s="2">
        <v>4</v>
      </c>
      <c r="G616" s="8" t="s">
        <v>8581</v>
      </c>
      <c r="H616" s="8" t="s">
        <v>8581</v>
      </c>
      <c r="I616" s="8"/>
      <c r="J616" s="8" t="s">
        <v>10159</v>
      </c>
      <c r="K616" s="8" t="s">
        <v>9299</v>
      </c>
      <c r="L616" s="8" t="str">
        <f>HYPERLINK("https://seichotoushi-hojo.jp/assets/pdf/koufu_3_4ji/outline_79.pdf","PDFを開く")</f>
        <v>PDFを開く</v>
      </c>
      <c r="M616" s="8" t="s">
        <v>2258</v>
      </c>
    </row>
    <row r="617" spans="1:13" ht="66" customHeight="1">
      <c r="A617" s="5" t="s">
        <v>2252</v>
      </c>
      <c r="B617" s="5" t="s">
        <v>1595</v>
      </c>
      <c r="C617" s="9" t="s">
        <v>2253</v>
      </c>
      <c r="D617" s="5">
        <v>2</v>
      </c>
      <c r="E617" s="9" t="s">
        <v>10165</v>
      </c>
      <c r="F617" s="5">
        <v>1</v>
      </c>
      <c r="G617" s="9" t="s">
        <v>10167</v>
      </c>
      <c r="H617" s="9" t="s">
        <v>10767</v>
      </c>
      <c r="I617" s="9"/>
      <c r="J617" s="9" t="s">
        <v>10159</v>
      </c>
      <c r="K617" s="9" t="s">
        <v>10768</v>
      </c>
      <c r="L617" s="9" t="str">
        <f>HYPERLINK("https://seichotoushi-hojo.jp/assets/pdf/koufu_3_4ji/outline_79.pdf","PDFを開く")</f>
        <v>PDFを開く</v>
      </c>
      <c r="M617" s="9" t="s">
        <v>2258</v>
      </c>
    </row>
    <row r="618" spans="1:13" ht="66" customHeight="1">
      <c r="A618" s="2" t="s">
        <v>2252</v>
      </c>
      <c r="B618" s="2" t="s">
        <v>1595</v>
      </c>
      <c r="C618" s="8" t="s">
        <v>2253</v>
      </c>
      <c r="D618" s="2">
        <v>3</v>
      </c>
      <c r="E618" s="8" t="s">
        <v>10165</v>
      </c>
      <c r="F618" s="2">
        <v>1</v>
      </c>
      <c r="G618" s="8" t="s">
        <v>10167</v>
      </c>
      <c r="H618" s="8" t="s">
        <v>10769</v>
      </c>
      <c r="I618" s="8"/>
      <c r="J618" s="8" t="s">
        <v>10159</v>
      </c>
      <c r="K618" s="8" t="s">
        <v>10770</v>
      </c>
      <c r="L618" s="8" t="str">
        <f>HYPERLINK("https://seichotoushi-hojo.jp/assets/pdf/koufu_3_4ji/outline_79.pdf","PDFを開く")</f>
        <v>PDFを開く</v>
      </c>
      <c r="M618" s="8" t="s">
        <v>2258</v>
      </c>
    </row>
    <row r="619" spans="1:13" ht="66" customHeight="1">
      <c r="A619" s="5" t="s">
        <v>2252</v>
      </c>
      <c r="B619" s="5" t="s">
        <v>1595</v>
      </c>
      <c r="C619" s="9" t="s">
        <v>2253</v>
      </c>
      <c r="D619" s="5">
        <v>3</v>
      </c>
      <c r="E619" s="9" t="s">
        <v>10165</v>
      </c>
      <c r="F619" s="5">
        <v>2</v>
      </c>
      <c r="G619" s="9" t="s">
        <v>10167</v>
      </c>
      <c r="H619" s="9" t="s">
        <v>10771</v>
      </c>
      <c r="I619" s="9"/>
      <c r="J619" s="9" t="s">
        <v>10159</v>
      </c>
      <c r="K619" s="9" t="s">
        <v>10772</v>
      </c>
      <c r="L619" s="9" t="str">
        <f>HYPERLINK("https://seichotoushi-hojo.jp/assets/pdf/koufu_3_4ji/outline_79.pdf","PDFを開く")</f>
        <v>PDFを開く</v>
      </c>
      <c r="M619" s="9" t="s">
        <v>2258</v>
      </c>
    </row>
    <row r="620" spans="1:13" ht="66" customHeight="1">
      <c r="A620" s="2" t="s">
        <v>2259</v>
      </c>
      <c r="B620" s="2" t="s">
        <v>1595</v>
      </c>
      <c r="C620" s="8" t="s">
        <v>2260</v>
      </c>
      <c r="D620" s="2">
        <v>1</v>
      </c>
      <c r="E620" s="8" t="s">
        <v>10156</v>
      </c>
      <c r="F620" s="2">
        <v>4</v>
      </c>
      <c r="G620" s="8" t="s">
        <v>8581</v>
      </c>
      <c r="H620" s="8" t="s">
        <v>8581</v>
      </c>
      <c r="I620" s="8"/>
      <c r="J620" s="8" t="s">
        <v>10159</v>
      </c>
      <c r="K620" s="8" t="s">
        <v>9307</v>
      </c>
      <c r="L620" s="8" t="str">
        <f>HYPERLINK("https://seichotoushi-hojo.jp/assets/pdf/koufu_3_4ji/outline_8.pdf","PDFを開く")</f>
        <v>PDFを開く</v>
      </c>
      <c r="M620" s="8" t="s">
        <v>2265</v>
      </c>
    </row>
    <row r="621" spans="1:13" ht="66" customHeight="1">
      <c r="A621" s="5" t="s">
        <v>2266</v>
      </c>
      <c r="B621" s="5" t="s">
        <v>1595</v>
      </c>
      <c r="C621" s="9" t="s">
        <v>2267</v>
      </c>
      <c r="D621" s="5">
        <v>1</v>
      </c>
      <c r="E621" s="9" t="s">
        <v>10156</v>
      </c>
      <c r="F621" s="5">
        <v>4</v>
      </c>
      <c r="G621" s="9" t="s">
        <v>8581</v>
      </c>
      <c r="H621" s="9" t="s">
        <v>8581</v>
      </c>
      <c r="I621" s="9"/>
      <c r="J621" s="9" t="s">
        <v>10159</v>
      </c>
      <c r="K621" s="9" t="s">
        <v>9315</v>
      </c>
      <c r="L621" s="9" t="str">
        <f>HYPERLINK("https://seichotoushi-hojo.jp/assets/pdf/koufu_3_4ji/outline_80.pdf","PDFを開く")</f>
        <v>PDFを開く</v>
      </c>
      <c r="M621" s="9" t="s">
        <v>2273</v>
      </c>
    </row>
    <row r="622" spans="1:13" ht="66" customHeight="1">
      <c r="A622" s="2" t="s">
        <v>2274</v>
      </c>
      <c r="B622" s="2" t="s">
        <v>1595</v>
      </c>
      <c r="C622" s="8" t="s">
        <v>2275</v>
      </c>
      <c r="D622" s="2">
        <v>1</v>
      </c>
      <c r="E622" s="8" t="s">
        <v>10156</v>
      </c>
      <c r="F622" s="2">
        <v>4</v>
      </c>
      <c r="G622" s="8" t="s">
        <v>8581</v>
      </c>
      <c r="H622" s="8" t="s">
        <v>8581</v>
      </c>
      <c r="I622" s="8"/>
      <c r="J622" s="8" t="s">
        <v>10159</v>
      </c>
      <c r="K622" s="8" t="s">
        <v>9323</v>
      </c>
      <c r="L622" s="8" t="str">
        <f>HYPERLINK("https://seichotoushi-hojo.jp/assets/pdf/koufu_3_4ji/outline_81.pdf","PDFを開く")</f>
        <v>PDFを開く</v>
      </c>
      <c r="M622" s="8" t="s">
        <v>2282</v>
      </c>
    </row>
    <row r="623" spans="1:13" ht="66" customHeight="1">
      <c r="A623" s="5" t="s">
        <v>2274</v>
      </c>
      <c r="B623" s="5" t="s">
        <v>1595</v>
      </c>
      <c r="C623" s="9" t="s">
        <v>2275</v>
      </c>
      <c r="D623" s="5">
        <v>2</v>
      </c>
      <c r="E623" s="9" t="s">
        <v>10165</v>
      </c>
      <c r="F623" s="5">
        <v>1</v>
      </c>
      <c r="G623" s="9" t="s">
        <v>10167</v>
      </c>
      <c r="H623" s="9" t="s">
        <v>10773</v>
      </c>
      <c r="I623" s="9"/>
      <c r="J623" s="9" t="s">
        <v>10159</v>
      </c>
      <c r="K623" s="9" t="s">
        <v>10774</v>
      </c>
      <c r="L623" s="9" t="str">
        <f>HYPERLINK("https://seichotoushi-hojo.jp/assets/pdf/koufu_3_4ji/outline_81.pdf","PDFを開く")</f>
        <v>PDFを開く</v>
      </c>
      <c r="M623" s="9" t="s">
        <v>2282</v>
      </c>
    </row>
    <row r="624" spans="1:13" ht="66" customHeight="1">
      <c r="A624" s="2" t="s">
        <v>2274</v>
      </c>
      <c r="B624" s="2" t="s">
        <v>1595</v>
      </c>
      <c r="C624" s="8" t="s">
        <v>2275</v>
      </c>
      <c r="D624" s="2">
        <v>2</v>
      </c>
      <c r="E624" s="8" t="s">
        <v>10165</v>
      </c>
      <c r="F624" s="2">
        <v>2</v>
      </c>
      <c r="G624" s="8" t="s">
        <v>10167</v>
      </c>
      <c r="H624" s="8" t="s">
        <v>5265</v>
      </c>
      <c r="I624" s="8"/>
      <c r="J624" s="8" t="s">
        <v>10159</v>
      </c>
      <c r="K624" s="8" t="s">
        <v>10187</v>
      </c>
      <c r="L624" s="8" t="str">
        <f>HYPERLINK("https://seichotoushi-hojo.jp/assets/pdf/koufu_3_4ji/outline_81.pdf","PDFを開く")</f>
        <v>PDFを開く</v>
      </c>
      <c r="M624" s="8" t="s">
        <v>2282</v>
      </c>
    </row>
    <row r="625" spans="1:13" ht="66" customHeight="1">
      <c r="A625" s="5" t="s">
        <v>2283</v>
      </c>
      <c r="B625" s="5" t="s">
        <v>1595</v>
      </c>
      <c r="C625" s="9" t="s">
        <v>2284</v>
      </c>
      <c r="D625" s="5">
        <v>1</v>
      </c>
      <c r="E625" s="9" t="s">
        <v>10156</v>
      </c>
      <c r="F625" s="5">
        <v>3</v>
      </c>
      <c r="G625" s="9" t="s">
        <v>8581</v>
      </c>
      <c r="H625" s="9" t="s">
        <v>8581</v>
      </c>
      <c r="I625" s="9"/>
      <c r="J625" s="9" t="s">
        <v>10159</v>
      </c>
      <c r="K625" s="9" t="s">
        <v>9331</v>
      </c>
      <c r="L625" s="9" t="str">
        <f>HYPERLINK("https://seichotoushi-hojo.jp/assets/pdf/koufu_3_4ji/outline_82.pdf","PDFを開く")</f>
        <v>PDFを開く</v>
      </c>
      <c r="M625" s="9" t="s">
        <v>2290</v>
      </c>
    </row>
    <row r="626" spans="1:13" ht="66" customHeight="1">
      <c r="A626" s="2" t="s">
        <v>2291</v>
      </c>
      <c r="B626" s="2" t="s">
        <v>1595</v>
      </c>
      <c r="C626" s="8" t="s">
        <v>2292</v>
      </c>
      <c r="D626" s="2">
        <v>1</v>
      </c>
      <c r="E626" s="8" t="s">
        <v>10156</v>
      </c>
      <c r="F626" s="2">
        <v>3</v>
      </c>
      <c r="G626" s="8" t="s">
        <v>8581</v>
      </c>
      <c r="H626" s="8" t="s">
        <v>8581</v>
      </c>
      <c r="I626" s="8"/>
      <c r="J626" s="8" t="s">
        <v>10159</v>
      </c>
      <c r="K626" s="8" t="s">
        <v>9339</v>
      </c>
      <c r="L626" s="8" t="str">
        <f>HYPERLINK("https://seichotoushi-hojo.jp/assets/pdf/koufu_3_4ji/outline_83.pdf","PDFを開く")</f>
        <v>PDFを開く</v>
      </c>
      <c r="M626" s="8" t="s">
        <v>2297</v>
      </c>
    </row>
    <row r="627" spans="1:13" ht="66" customHeight="1">
      <c r="A627" s="5" t="s">
        <v>2298</v>
      </c>
      <c r="B627" s="5" t="s">
        <v>1595</v>
      </c>
      <c r="C627" s="9" t="s">
        <v>2299</v>
      </c>
      <c r="D627" s="5">
        <v>3</v>
      </c>
      <c r="E627" s="9" t="s">
        <v>10165</v>
      </c>
      <c r="F627" s="5">
        <v>1</v>
      </c>
      <c r="G627" s="9" t="s">
        <v>10167</v>
      </c>
      <c r="H627" s="9" t="s">
        <v>4518</v>
      </c>
      <c r="I627" s="9"/>
      <c r="J627" s="9" t="s">
        <v>10159</v>
      </c>
      <c r="K627" s="9" t="s">
        <v>10752</v>
      </c>
      <c r="L627" s="9" t="str">
        <f>HYPERLINK("https://seichotoushi-hojo.jp/assets/pdf/koufu_3_4ji/outline_84.pdf","PDFを開く")</f>
        <v>PDFを開く</v>
      </c>
      <c r="M627" s="9" t="s">
        <v>2304</v>
      </c>
    </row>
    <row r="628" spans="1:13" ht="66" customHeight="1">
      <c r="A628" s="2" t="s">
        <v>2305</v>
      </c>
      <c r="B628" s="2" t="s">
        <v>1595</v>
      </c>
      <c r="C628" s="8" t="s">
        <v>2306</v>
      </c>
      <c r="D628" s="2">
        <v>1</v>
      </c>
      <c r="E628" s="8" t="s">
        <v>10156</v>
      </c>
      <c r="F628" s="2">
        <v>4</v>
      </c>
      <c r="G628" s="8" t="s">
        <v>8581</v>
      </c>
      <c r="H628" s="8" t="s">
        <v>8581</v>
      </c>
      <c r="I628" s="8"/>
      <c r="J628" s="8" t="s">
        <v>10159</v>
      </c>
      <c r="K628" s="8" t="s">
        <v>9354</v>
      </c>
      <c r="L628" s="8" t="str">
        <f>HYPERLINK("https://seichotoushi-hojo.jp/assets/pdf/koufu_3_4ji/outline_85.pdf","PDFを開く")</f>
        <v>PDFを開く</v>
      </c>
      <c r="M628" s="8" t="s">
        <v>2312</v>
      </c>
    </row>
    <row r="629" spans="1:13" ht="66" customHeight="1">
      <c r="A629" s="5" t="s">
        <v>2313</v>
      </c>
      <c r="B629" s="5" t="s">
        <v>1595</v>
      </c>
      <c r="C629" s="9" t="s">
        <v>2314</v>
      </c>
      <c r="D629" s="5">
        <v>2</v>
      </c>
      <c r="E629" s="9" t="s">
        <v>10165</v>
      </c>
      <c r="F629" s="5">
        <v>1</v>
      </c>
      <c r="G629" s="9" t="s">
        <v>10167</v>
      </c>
      <c r="H629" s="9" t="s">
        <v>10775</v>
      </c>
      <c r="I629" s="9"/>
      <c r="J629" s="9" t="s">
        <v>10159</v>
      </c>
      <c r="K629" s="9" t="s">
        <v>10776</v>
      </c>
      <c r="L629" s="9" t="str">
        <f>HYPERLINK("https://seichotoushi-hojo.jp/assets/pdf/koufu_3_4ji/outline_86.pdf","PDFを開く")</f>
        <v>PDFを開く</v>
      </c>
      <c r="M629" s="9" t="s">
        <v>2319</v>
      </c>
    </row>
    <row r="630" spans="1:13" ht="66" customHeight="1">
      <c r="A630" s="2" t="s">
        <v>2320</v>
      </c>
      <c r="B630" s="2" t="s">
        <v>1595</v>
      </c>
      <c r="C630" s="8" t="s">
        <v>2321</v>
      </c>
      <c r="D630" s="2">
        <v>1</v>
      </c>
      <c r="E630" s="8" t="s">
        <v>10156</v>
      </c>
      <c r="F630" s="2">
        <v>4</v>
      </c>
      <c r="G630" s="8" t="s">
        <v>8581</v>
      </c>
      <c r="H630" s="8" t="s">
        <v>8581</v>
      </c>
      <c r="I630" s="8"/>
      <c r="J630" s="8" t="s">
        <v>10159</v>
      </c>
      <c r="K630" s="8" t="s">
        <v>9369</v>
      </c>
      <c r="L630" s="8" t="str">
        <f>HYPERLINK("https://seichotoushi-hojo.jp/assets/pdf/koufu_3_4ji/outline_87.pdf","PDFを開く")</f>
        <v>PDFを開く</v>
      </c>
      <c r="M630" s="8" t="s">
        <v>2327</v>
      </c>
    </row>
    <row r="631" spans="1:13" ht="66" customHeight="1">
      <c r="A631" s="5" t="s">
        <v>2328</v>
      </c>
      <c r="B631" s="5" t="s">
        <v>1595</v>
      </c>
      <c r="C631" s="9" t="s">
        <v>2329</v>
      </c>
      <c r="D631" s="5">
        <v>1</v>
      </c>
      <c r="E631" s="9" t="s">
        <v>10156</v>
      </c>
      <c r="F631" s="5">
        <v>4</v>
      </c>
      <c r="G631" s="9" t="s">
        <v>8581</v>
      </c>
      <c r="H631" s="9" t="s">
        <v>8581</v>
      </c>
      <c r="I631" s="9"/>
      <c r="J631" s="9" t="s">
        <v>10159</v>
      </c>
      <c r="K631" s="9" t="s">
        <v>9377</v>
      </c>
      <c r="L631" s="9" t="str">
        <f>HYPERLINK("https://seichotoushi-hojo.jp/assets/pdf/koufu_3_4ji/outline_88.pdf","PDFを開く")</f>
        <v>PDFを開く</v>
      </c>
      <c r="M631" s="9" t="s">
        <v>2335</v>
      </c>
    </row>
    <row r="632" spans="1:13" ht="66" customHeight="1">
      <c r="A632" s="2" t="s">
        <v>2336</v>
      </c>
      <c r="B632" s="2" t="s">
        <v>1595</v>
      </c>
      <c r="C632" s="8" t="s">
        <v>2337</v>
      </c>
      <c r="D632" s="2">
        <v>1</v>
      </c>
      <c r="E632" s="8" t="s">
        <v>10156</v>
      </c>
      <c r="F632" s="2">
        <v>2</v>
      </c>
      <c r="G632" s="8" t="s">
        <v>8581</v>
      </c>
      <c r="H632" s="8" t="s">
        <v>8581</v>
      </c>
      <c r="I632" s="8"/>
      <c r="J632" s="8" t="s">
        <v>10181</v>
      </c>
      <c r="K632" s="8" t="s">
        <v>9385</v>
      </c>
      <c r="L632" s="8" t="str">
        <f>HYPERLINK("https://seichotoushi-hojo.jp/assets/pdf/koufu_3_4ji/outline_89.pdf","PDFを開く")</f>
        <v>PDFを開く</v>
      </c>
      <c r="M632" s="8" t="s">
        <v>2344</v>
      </c>
    </row>
    <row r="633" spans="1:13" ht="66" customHeight="1">
      <c r="A633" s="5" t="s">
        <v>2336</v>
      </c>
      <c r="B633" s="5" t="s">
        <v>1595</v>
      </c>
      <c r="C633" s="9" t="s">
        <v>2337</v>
      </c>
      <c r="D633" s="5">
        <v>1</v>
      </c>
      <c r="E633" s="9" t="s">
        <v>10156</v>
      </c>
      <c r="F633" s="5">
        <v>5</v>
      </c>
      <c r="G633" s="9" t="s">
        <v>10167</v>
      </c>
      <c r="H633" s="9" t="s">
        <v>10777</v>
      </c>
      <c r="I633" s="9"/>
      <c r="J633" s="9" t="s">
        <v>10159</v>
      </c>
      <c r="K633" s="9" t="s">
        <v>10777</v>
      </c>
      <c r="L633" s="9" t="str">
        <f>HYPERLINK("https://seichotoushi-hojo.jp/assets/pdf/koufu_3_4ji/outline_89.pdf","PDFを開く")</f>
        <v>PDFを開く</v>
      </c>
      <c r="M633" s="9" t="s">
        <v>2344</v>
      </c>
    </row>
    <row r="634" spans="1:13" ht="66" customHeight="1">
      <c r="A634" s="2" t="s">
        <v>2336</v>
      </c>
      <c r="B634" s="2" t="s">
        <v>1595</v>
      </c>
      <c r="C634" s="8" t="s">
        <v>2337</v>
      </c>
      <c r="D634" s="2">
        <v>1</v>
      </c>
      <c r="E634" s="8" t="s">
        <v>10156</v>
      </c>
      <c r="F634" s="2">
        <v>6</v>
      </c>
      <c r="G634" s="8" t="s">
        <v>10167</v>
      </c>
      <c r="H634" s="8" t="s">
        <v>10778</v>
      </c>
      <c r="I634" s="8"/>
      <c r="J634" s="8" t="s">
        <v>10159</v>
      </c>
      <c r="K634" s="8" t="s">
        <v>10778</v>
      </c>
      <c r="L634" s="8" t="str">
        <f>HYPERLINK("https://seichotoushi-hojo.jp/assets/pdf/koufu_3_4ji/outline_89.pdf","PDFを開く")</f>
        <v>PDFを開く</v>
      </c>
      <c r="M634" s="8" t="s">
        <v>2344</v>
      </c>
    </row>
    <row r="635" spans="1:13" ht="66" customHeight="1">
      <c r="A635" s="5" t="s">
        <v>2336</v>
      </c>
      <c r="B635" s="5" t="s">
        <v>1595</v>
      </c>
      <c r="C635" s="9" t="s">
        <v>2337</v>
      </c>
      <c r="D635" s="5">
        <v>1</v>
      </c>
      <c r="E635" s="9" t="s">
        <v>10156</v>
      </c>
      <c r="F635" s="5">
        <v>7</v>
      </c>
      <c r="G635" s="9" t="s">
        <v>10167</v>
      </c>
      <c r="H635" s="9" t="s">
        <v>10779</v>
      </c>
      <c r="I635" s="9"/>
      <c r="J635" s="9" t="s">
        <v>10159</v>
      </c>
      <c r="K635" s="9" t="s">
        <v>10779</v>
      </c>
      <c r="L635" s="9" t="str">
        <f>HYPERLINK("https://seichotoushi-hojo.jp/assets/pdf/koufu_3_4ji/outline_89.pdf","PDFを開く")</f>
        <v>PDFを開く</v>
      </c>
      <c r="M635" s="9" t="s">
        <v>2344</v>
      </c>
    </row>
    <row r="636" spans="1:13" ht="66" customHeight="1">
      <c r="A636" s="2" t="s">
        <v>2345</v>
      </c>
      <c r="B636" s="2" t="s">
        <v>1595</v>
      </c>
      <c r="C636" s="8" t="s">
        <v>2346</v>
      </c>
      <c r="D636" s="2">
        <v>1</v>
      </c>
      <c r="E636" s="8" t="s">
        <v>10156</v>
      </c>
      <c r="F636" s="2">
        <v>4</v>
      </c>
      <c r="G636" s="8" t="s">
        <v>8581</v>
      </c>
      <c r="H636" s="8" t="s">
        <v>8581</v>
      </c>
      <c r="I636" s="8"/>
      <c r="J636" s="8" t="s">
        <v>10159</v>
      </c>
      <c r="K636" s="8" t="s">
        <v>9393</v>
      </c>
      <c r="L636" s="8" t="str">
        <f>HYPERLINK("https://seichotoushi-hojo.jp/assets/pdf/koufu_3_4ji/outline_9.pdf","PDFを開く")</f>
        <v>PDFを開く</v>
      </c>
      <c r="M636" s="8" t="s">
        <v>2352</v>
      </c>
    </row>
    <row r="637" spans="1:13" ht="66" customHeight="1">
      <c r="A637" s="5" t="s">
        <v>2353</v>
      </c>
      <c r="B637" s="5" t="s">
        <v>1595</v>
      </c>
      <c r="C637" s="9" t="s">
        <v>2354</v>
      </c>
      <c r="D637" s="5">
        <v>1</v>
      </c>
      <c r="E637" s="9" t="s">
        <v>10156</v>
      </c>
      <c r="F637" s="5">
        <v>3</v>
      </c>
      <c r="G637" s="9" t="s">
        <v>8581</v>
      </c>
      <c r="H637" s="9" t="s">
        <v>8581</v>
      </c>
      <c r="I637" s="9"/>
      <c r="J637" s="9" t="s">
        <v>10159</v>
      </c>
      <c r="K637" s="9" t="s">
        <v>9401</v>
      </c>
      <c r="L637" s="9" t="str">
        <f>HYPERLINK("https://seichotoushi-hojo.jp/assets/pdf/koufu_3_4ji/outline_90.pdf","PDFを開く")</f>
        <v>PDFを開く</v>
      </c>
      <c r="M637" s="9" t="s">
        <v>2361</v>
      </c>
    </row>
    <row r="638" spans="1:13" ht="66" customHeight="1">
      <c r="A638" s="2" t="s">
        <v>2353</v>
      </c>
      <c r="B638" s="2" t="s">
        <v>1595</v>
      </c>
      <c r="C638" s="8" t="s">
        <v>2354</v>
      </c>
      <c r="D638" s="2">
        <v>2</v>
      </c>
      <c r="E638" s="8" t="s">
        <v>10165</v>
      </c>
      <c r="F638" s="2">
        <v>1</v>
      </c>
      <c r="G638" s="8" t="s">
        <v>10167</v>
      </c>
      <c r="H638" s="8" t="s">
        <v>10780</v>
      </c>
      <c r="I638" s="8"/>
      <c r="J638" s="8" t="s">
        <v>10159</v>
      </c>
      <c r="K638" s="8" t="s">
        <v>10781</v>
      </c>
      <c r="L638" s="8" t="str">
        <f>HYPERLINK("https://seichotoushi-hojo.jp/assets/pdf/koufu_3_4ji/outline_90.pdf","PDFを開く")</f>
        <v>PDFを開く</v>
      </c>
      <c r="M638" s="8" t="s">
        <v>2361</v>
      </c>
    </row>
    <row r="639" spans="1:13" ht="66" customHeight="1">
      <c r="A639" s="5" t="s">
        <v>2362</v>
      </c>
      <c r="B639" s="5" t="s">
        <v>1595</v>
      </c>
      <c r="C639" s="9" t="s">
        <v>2363</v>
      </c>
      <c r="D639" s="5">
        <v>1</v>
      </c>
      <c r="E639" s="9" t="s">
        <v>10156</v>
      </c>
      <c r="F639" s="5">
        <v>4</v>
      </c>
      <c r="G639" s="9" t="s">
        <v>8581</v>
      </c>
      <c r="H639" s="9" t="s">
        <v>8581</v>
      </c>
      <c r="I639" s="9"/>
      <c r="J639" s="9" t="s">
        <v>10159</v>
      </c>
      <c r="K639" s="9" t="s">
        <v>9409</v>
      </c>
      <c r="L639" s="9" t="str">
        <f>HYPERLINK("https://seichotoushi-hojo.jp/assets/pdf/koufu_3_4ji/outline_91.pdf","PDFを開く")</f>
        <v>PDFを開く</v>
      </c>
      <c r="M639" s="9" t="s">
        <v>2371</v>
      </c>
    </row>
    <row r="640" spans="1:13" ht="66" customHeight="1">
      <c r="A640" s="2" t="s">
        <v>2362</v>
      </c>
      <c r="B640" s="2" t="s">
        <v>1595</v>
      </c>
      <c r="C640" s="8" t="s">
        <v>2363</v>
      </c>
      <c r="D640" s="2">
        <v>2</v>
      </c>
      <c r="E640" s="8" t="s">
        <v>10165</v>
      </c>
      <c r="F640" s="2">
        <v>1</v>
      </c>
      <c r="G640" s="8" t="s">
        <v>10167</v>
      </c>
      <c r="H640" s="8" t="s">
        <v>2364</v>
      </c>
      <c r="I640" s="8"/>
      <c r="J640" s="8" t="s">
        <v>10159</v>
      </c>
      <c r="K640" s="8" t="s">
        <v>2364</v>
      </c>
      <c r="L640" s="8" t="str">
        <f>HYPERLINK("https://seichotoushi-hojo.jp/assets/pdf/koufu_3_4ji/outline_91.pdf","PDFを開く")</f>
        <v>PDFを開く</v>
      </c>
      <c r="M640" s="8" t="s">
        <v>2371</v>
      </c>
    </row>
    <row r="641" spans="1:13" ht="66" customHeight="1">
      <c r="A641" s="5" t="s">
        <v>2362</v>
      </c>
      <c r="B641" s="5" t="s">
        <v>1595</v>
      </c>
      <c r="C641" s="9" t="s">
        <v>2363</v>
      </c>
      <c r="D641" s="5">
        <v>2</v>
      </c>
      <c r="E641" s="9" t="s">
        <v>10165</v>
      </c>
      <c r="F641" s="5">
        <v>2</v>
      </c>
      <c r="G641" s="9" t="s">
        <v>10167</v>
      </c>
      <c r="H641" s="9" t="s">
        <v>2365</v>
      </c>
      <c r="I641" s="9"/>
      <c r="J641" s="9" t="s">
        <v>10159</v>
      </c>
      <c r="K641" s="9" t="s">
        <v>2365</v>
      </c>
      <c r="L641" s="9" t="str">
        <f>HYPERLINK("https://seichotoushi-hojo.jp/assets/pdf/koufu_3_4ji/outline_91.pdf","PDFを開く")</f>
        <v>PDFを開く</v>
      </c>
      <c r="M641" s="9" t="s">
        <v>2371</v>
      </c>
    </row>
    <row r="642" spans="1:13" ht="66" customHeight="1">
      <c r="A642" s="2" t="s">
        <v>2372</v>
      </c>
      <c r="B642" s="2" t="s">
        <v>1595</v>
      </c>
      <c r="C642" s="8" t="s">
        <v>2373</v>
      </c>
      <c r="D642" s="2">
        <v>1</v>
      </c>
      <c r="E642" s="8" t="s">
        <v>10156</v>
      </c>
      <c r="F642" s="2">
        <v>5</v>
      </c>
      <c r="G642" s="8" t="s">
        <v>8581</v>
      </c>
      <c r="H642" s="8" t="s">
        <v>8581</v>
      </c>
      <c r="I642" s="8"/>
      <c r="J642" s="8" t="s">
        <v>10159</v>
      </c>
      <c r="K642" s="8" t="s">
        <v>9417</v>
      </c>
      <c r="L642" s="8" t="str">
        <f>HYPERLINK("https://seichotoushi-hojo.jp/assets/pdf/koufu_3_4ji/outline_93.pdf","PDFを開く")</f>
        <v>PDFを開く</v>
      </c>
      <c r="M642" s="8" t="s">
        <v>2379</v>
      </c>
    </row>
    <row r="643" spans="1:13" ht="66" customHeight="1">
      <c r="A643" s="5" t="s">
        <v>2380</v>
      </c>
      <c r="B643" s="5" t="s">
        <v>1595</v>
      </c>
      <c r="C643" s="9" t="s">
        <v>2381</v>
      </c>
      <c r="D643" s="5">
        <v>1</v>
      </c>
      <c r="E643" s="9" t="s">
        <v>10156</v>
      </c>
      <c r="F643" s="5">
        <v>4</v>
      </c>
      <c r="G643" s="9" t="s">
        <v>8581</v>
      </c>
      <c r="H643" s="9" t="s">
        <v>8581</v>
      </c>
      <c r="I643" s="9"/>
      <c r="J643" s="9" t="s">
        <v>10181</v>
      </c>
      <c r="K643" s="9" t="s">
        <v>9425</v>
      </c>
      <c r="L643" s="9" t="str">
        <f>HYPERLINK("https://seichotoushi-hojo.jp/assets/pdf/koufu_3_4ji/outline_94.pdf","PDFを開く")</f>
        <v>PDFを開く</v>
      </c>
      <c r="M643" s="9" t="s">
        <v>2388</v>
      </c>
    </row>
    <row r="644" spans="1:13" ht="66" customHeight="1">
      <c r="A644" s="2" t="s">
        <v>2389</v>
      </c>
      <c r="B644" s="2" t="s">
        <v>1595</v>
      </c>
      <c r="C644" s="8" t="s">
        <v>2390</v>
      </c>
      <c r="D644" s="2">
        <v>1</v>
      </c>
      <c r="E644" s="8" t="s">
        <v>10156</v>
      </c>
      <c r="F644" s="2">
        <v>4</v>
      </c>
      <c r="G644" s="8" t="s">
        <v>8581</v>
      </c>
      <c r="H644" s="8" t="s">
        <v>8581</v>
      </c>
      <c r="I644" s="8"/>
      <c r="J644" s="8" t="s">
        <v>10181</v>
      </c>
      <c r="K644" s="8" t="s">
        <v>9433</v>
      </c>
      <c r="L644" s="8" t="str">
        <f>HYPERLINK("https://seichotoushi-hojo.jp/assets/pdf/koufu_3_4ji/outline_95.pdf","PDFを開く")</f>
        <v>PDFを開く</v>
      </c>
      <c r="M644" s="8" t="s">
        <v>2395</v>
      </c>
    </row>
    <row r="645" spans="1:13" ht="66" customHeight="1">
      <c r="A645" s="5" t="s">
        <v>2396</v>
      </c>
      <c r="B645" s="5" t="s">
        <v>1595</v>
      </c>
      <c r="C645" s="9" t="s">
        <v>2397</v>
      </c>
      <c r="D645" s="5">
        <v>1</v>
      </c>
      <c r="E645" s="9" t="s">
        <v>10156</v>
      </c>
      <c r="F645" s="5">
        <v>7</v>
      </c>
      <c r="G645" s="9" t="s">
        <v>8581</v>
      </c>
      <c r="H645" s="9" t="s">
        <v>8581</v>
      </c>
      <c r="I645" s="9"/>
      <c r="J645" s="9" t="s">
        <v>10159</v>
      </c>
      <c r="K645" s="9" t="s">
        <v>9441</v>
      </c>
      <c r="L645" s="9" t="str">
        <f>HYPERLINK("https://seichotoushi-hojo.jp/assets/pdf/koufu_3_4ji/outline_96.pdf","PDFを開く")</f>
        <v>PDFを開く</v>
      </c>
      <c r="M645" s="9" t="s">
        <v>2403</v>
      </c>
    </row>
    <row r="646" spans="1:13" ht="66" customHeight="1">
      <c r="A646" s="2" t="s">
        <v>2404</v>
      </c>
      <c r="B646" s="2" t="s">
        <v>1595</v>
      </c>
      <c r="C646" s="8" t="s">
        <v>2405</v>
      </c>
      <c r="D646" s="2">
        <v>1</v>
      </c>
      <c r="E646" s="8" t="s">
        <v>10156</v>
      </c>
      <c r="F646" s="2">
        <v>4</v>
      </c>
      <c r="G646" s="8" t="s">
        <v>8581</v>
      </c>
      <c r="H646" s="8" t="s">
        <v>8581</v>
      </c>
      <c r="I646" s="8"/>
      <c r="J646" s="8" t="s">
        <v>10159</v>
      </c>
      <c r="K646" s="8" t="s">
        <v>9449</v>
      </c>
      <c r="L646" s="8" t="str">
        <f>HYPERLINK("https://seichotoushi-hojo.jp/assets/pdf/koufu_3_4ji/outline_97.pdf","PDFを開く")</f>
        <v>PDFを開く</v>
      </c>
      <c r="M646" s="8" t="s">
        <v>2411</v>
      </c>
    </row>
    <row r="647" spans="1:13" ht="66" customHeight="1">
      <c r="A647" s="5" t="s">
        <v>2412</v>
      </c>
      <c r="B647" s="5" t="s">
        <v>1595</v>
      </c>
      <c r="C647" s="9" t="s">
        <v>2413</v>
      </c>
      <c r="D647" s="5">
        <v>1</v>
      </c>
      <c r="E647" s="9" t="s">
        <v>10156</v>
      </c>
      <c r="F647" s="5">
        <v>3</v>
      </c>
      <c r="G647" s="9" t="s">
        <v>10167</v>
      </c>
      <c r="H647" s="9" t="s">
        <v>10791</v>
      </c>
      <c r="I647" s="9"/>
      <c r="J647" s="9" t="s">
        <v>10159</v>
      </c>
      <c r="K647" s="9" t="s">
        <v>10792</v>
      </c>
      <c r="L647" s="9" t="str">
        <f>HYPERLINK("https://seichotoushi-hojo.jp/assets/pdf/koufu_3_4ji/outline_98.pdf","PDFを開く")</f>
        <v>PDFを開く</v>
      </c>
      <c r="M647" s="9" t="s">
        <v>2419</v>
      </c>
    </row>
    <row r="648" spans="1:13" ht="66" customHeight="1">
      <c r="A648" s="2" t="s">
        <v>2412</v>
      </c>
      <c r="B648" s="2" t="s">
        <v>1595</v>
      </c>
      <c r="C648" s="8" t="s">
        <v>2413</v>
      </c>
      <c r="D648" s="2">
        <v>1</v>
      </c>
      <c r="E648" s="8" t="s">
        <v>10156</v>
      </c>
      <c r="F648" s="2">
        <v>4</v>
      </c>
      <c r="G648" s="8" t="s">
        <v>8581</v>
      </c>
      <c r="H648" s="8" t="s">
        <v>8581</v>
      </c>
      <c r="I648" s="8"/>
      <c r="J648" s="8" t="s">
        <v>10159</v>
      </c>
      <c r="K648" s="8" t="s">
        <v>9456</v>
      </c>
      <c r="L648" s="8" t="str">
        <f>HYPERLINK("https://seichotoushi-hojo.jp/assets/pdf/koufu_3_4ji/outline_98.pdf","PDFを開く")</f>
        <v>PDFを開く</v>
      </c>
      <c r="M648" s="8" t="s">
        <v>2419</v>
      </c>
    </row>
    <row r="649" spans="1:13" ht="66" customHeight="1">
      <c r="A649" s="5" t="s">
        <v>2420</v>
      </c>
      <c r="B649" s="5" t="s">
        <v>1595</v>
      </c>
      <c r="C649" s="9" t="s">
        <v>2421</v>
      </c>
      <c r="D649" s="5">
        <v>1</v>
      </c>
      <c r="E649" s="9" t="s">
        <v>10156</v>
      </c>
      <c r="F649" s="5">
        <v>1</v>
      </c>
      <c r="G649" s="9" t="s">
        <v>10171</v>
      </c>
      <c r="H649" s="9" t="s">
        <v>10171</v>
      </c>
      <c r="I649" s="9"/>
      <c r="J649" s="9" t="s">
        <v>10181</v>
      </c>
      <c r="K649" s="9" t="s">
        <v>9464</v>
      </c>
      <c r="L649" s="9" t="str">
        <f>HYPERLINK("https://seichotoushi-hojo.jp/assets/pdf/koufu_3_4ji/outline_99.pdf","PDFを開く")</f>
        <v>PDFを開く</v>
      </c>
      <c r="M649" s="9" t="s">
        <v>2427</v>
      </c>
    </row>
    <row r="650" spans="1:13" ht="66" customHeight="1">
      <c r="A650" s="2" t="s">
        <v>2420</v>
      </c>
      <c r="B650" s="2" t="s">
        <v>1595</v>
      </c>
      <c r="C650" s="8" t="s">
        <v>2421</v>
      </c>
      <c r="D650" s="2">
        <v>1</v>
      </c>
      <c r="E650" s="8" t="s">
        <v>10156</v>
      </c>
      <c r="F650" s="2">
        <v>2</v>
      </c>
      <c r="G650" s="8" t="s">
        <v>10167</v>
      </c>
      <c r="H650" s="8" t="s">
        <v>10433</v>
      </c>
      <c r="I650" s="8"/>
      <c r="J650" s="8" t="s">
        <v>10159</v>
      </c>
      <c r="K650" s="8" t="s">
        <v>10793</v>
      </c>
      <c r="L650" s="8" t="str">
        <f>HYPERLINK("https://seichotoushi-hojo.jp/assets/pdf/koufu_3_4ji/outline_99.pdf","PDFを開く")</f>
        <v>PDFを開く</v>
      </c>
      <c r="M650" s="8" t="s">
        <v>2427</v>
      </c>
    </row>
    <row r="651" spans="1:13" ht="66" customHeight="1">
      <c r="A651" s="5" t="s">
        <v>2420</v>
      </c>
      <c r="B651" s="5" t="s">
        <v>1595</v>
      </c>
      <c r="C651" s="9" t="s">
        <v>2421</v>
      </c>
      <c r="D651" s="5">
        <v>2</v>
      </c>
      <c r="E651" s="9" t="s">
        <v>10156</v>
      </c>
      <c r="F651" s="5">
        <v>4</v>
      </c>
      <c r="G651" s="9" t="s">
        <v>8581</v>
      </c>
      <c r="H651" s="9" t="s">
        <v>8581</v>
      </c>
      <c r="I651" s="9"/>
      <c r="J651" s="9" t="s">
        <v>10159</v>
      </c>
      <c r="K651" s="9" t="s">
        <v>9465</v>
      </c>
      <c r="L651" s="9" t="str">
        <f>HYPERLINK("https://seichotoushi-hojo.jp/assets/pdf/koufu_3_4ji/outline_99.pdf","PDFを開く")</f>
        <v>PDFを開く</v>
      </c>
      <c r="M651" s="9" t="s">
        <v>2427</v>
      </c>
    </row>
    <row r="652" spans="1:13" ht="66" customHeight="1">
      <c r="A652" s="2" t="s">
        <v>2429</v>
      </c>
      <c r="B652" s="2" t="s">
        <v>2430</v>
      </c>
      <c r="C652" s="8" t="s">
        <v>2431</v>
      </c>
      <c r="D652" s="2">
        <v>1</v>
      </c>
      <c r="E652" s="8" t="s">
        <v>10156</v>
      </c>
      <c r="F652" s="2">
        <v>4</v>
      </c>
      <c r="G652" s="8" t="s">
        <v>8581</v>
      </c>
      <c r="H652" s="8" t="s">
        <v>8581</v>
      </c>
      <c r="I652" s="8"/>
      <c r="J652" s="8" t="s">
        <v>10159</v>
      </c>
      <c r="K652" s="8" t="s">
        <v>9474</v>
      </c>
      <c r="L652" s="8" t="str">
        <f>HYPERLINK("https://seichotoushi-hojo.jp/assets/pdf/koufu_3_4ji/outline_113.pdf","PDFを開く")</f>
        <v>PDFを開く</v>
      </c>
      <c r="M652" s="8" t="s">
        <v>2436</v>
      </c>
    </row>
    <row r="653" spans="1:13" ht="66" customHeight="1">
      <c r="A653" s="5" t="s">
        <v>2429</v>
      </c>
      <c r="B653" s="5" t="s">
        <v>2430</v>
      </c>
      <c r="C653" s="9" t="s">
        <v>2431</v>
      </c>
      <c r="D653" s="5">
        <v>2</v>
      </c>
      <c r="E653" s="9" t="s">
        <v>10165</v>
      </c>
      <c r="F653" s="5">
        <v>1</v>
      </c>
      <c r="G653" s="9" t="s">
        <v>10157</v>
      </c>
      <c r="H653" s="9" t="s">
        <v>10157</v>
      </c>
      <c r="I653" s="9" t="s">
        <v>10158</v>
      </c>
      <c r="J653" s="9" t="s">
        <v>10159</v>
      </c>
      <c r="K653" s="9" t="s">
        <v>9470</v>
      </c>
      <c r="L653" s="9" t="str">
        <f>HYPERLINK("https://seichotoushi-hojo.jp/assets/pdf/koufu_3_4ji/outline_113.pdf","PDFを開く")</f>
        <v>PDFを開く</v>
      </c>
      <c r="M653" s="9" t="s">
        <v>2436</v>
      </c>
    </row>
    <row r="654" spans="1:13" ht="66" customHeight="1">
      <c r="A654" s="2" t="s">
        <v>2429</v>
      </c>
      <c r="B654" s="2" t="s">
        <v>2430</v>
      </c>
      <c r="C654" s="8" t="s">
        <v>2431</v>
      </c>
      <c r="D654" s="2">
        <v>2</v>
      </c>
      <c r="E654" s="8" t="s">
        <v>10165</v>
      </c>
      <c r="F654" s="2">
        <v>2</v>
      </c>
      <c r="G654" s="8" t="s">
        <v>10167</v>
      </c>
      <c r="H654" s="8" t="s">
        <v>10794</v>
      </c>
      <c r="I654" s="8"/>
      <c r="J654" s="8" t="s">
        <v>10159</v>
      </c>
      <c r="K654" s="8" t="s">
        <v>10795</v>
      </c>
      <c r="L654" s="8" t="str">
        <f>HYPERLINK("https://seichotoushi-hojo.jp/assets/pdf/koufu_3_4ji/outline_113.pdf","PDFを開く")</f>
        <v>PDFを開く</v>
      </c>
      <c r="M654" s="8" t="s">
        <v>2436</v>
      </c>
    </row>
    <row r="655" spans="1:13" ht="66" customHeight="1">
      <c r="A655" s="5" t="s">
        <v>2437</v>
      </c>
      <c r="B655" s="5" t="s">
        <v>2430</v>
      </c>
      <c r="C655" s="9" t="s">
        <v>2438</v>
      </c>
      <c r="D655" s="5">
        <v>1</v>
      </c>
      <c r="E655" s="9" t="s">
        <v>10156</v>
      </c>
      <c r="F655" s="5">
        <v>4</v>
      </c>
      <c r="G655" s="9" t="s">
        <v>8581</v>
      </c>
      <c r="H655" s="9" t="s">
        <v>8581</v>
      </c>
      <c r="I655" s="9"/>
      <c r="J655" s="9" t="s">
        <v>10181</v>
      </c>
      <c r="K655" s="9" t="s">
        <v>10796</v>
      </c>
      <c r="L655" s="9" t="str">
        <f>HYPERLINK("https://seichotoushi-hojo.jp/assets/pdf/koufu_3_4ji/outline_115.pdf","PDFを開く")</f>
        <v>PDFを開く</v>
      </c>
      <c r="M655" s="9" t="s">
        <v>2443</v>
      </c>
    </row>
    <row r="656" spans="1:13" ht="66" customHeight="1">
      <c r="A656" s="2" t="s">
        <v>2437</v>
      </c>
      <c r="B656" s="2" t="s">
        <v>2430</v>
      </c>
      <c r="C656" s="8" t="s">
        <v>2438</v>
      </c>
      <c r="D656" s="2">
        <v>1</v>
      </c>
      <c r="E656" s="8" t="s">
        <v>10156</v>
      </c>
      <c r="F656" s="2">
        <v>5</v>
      </c>
      <c r="G656" s="8" t="s">
        <v>10167</v>
      </c>
      <c r="H656" s="8" t="s">
        <v>10797</v>
      </c>
      <c r="I656" s="8"/>
      <c r="J656" s="8" t="s">
        <v>10159</v>
      </c>
      <c r="K656" s="8" t="s">
        <v>10798</v>
      </c>
      <c r="L656" s="8" t="str">
        <f>HYPERLINK("https://seichotoushi-hojo.jp/assets/pdf/koufu_3_4ji/outline_115.pdf","PDFを開く")</f>
        <v>PDFを開く</v>
      </c>
      <c r="M656" s="8" t="s">
        <v>2443</v>
      </c>
    </row>
    <row r="657" spans="1:13" ht="66" customHeight="1">
      <c r="A657" s="5" t="s">
        <v>2437</v>
      </c>
      <c r="B657" s="5" t="s">
        <v>2430</v>
      </c>
      <c r="C657" s="9" t="s">
        <v>2438</v>
      </c>
      <c r="D657" s="5">
        <v>1</v>
      </c>
      <c r="E657" s="9" t="s">
        <v>10156</v>
      </c>
      <c r="F657" s="5">
        <v>6</v>
      </c>
      <c r="G657" s="9" t="s">
        <v>8581</v>
      </c>
      <c r="H657" s="9" t="s">
        <v>8581</v>
      </c>
      <c r="I657" s="9"/>
      <c r="J657" s="9" t="s">
        <v>10159</v>
      </c>
      <c r="K657" s="9" t="s">
        <v>2441</v>
      </c>
      <c r="L657" s="9" t="str">
        <f>HYPERLINK("https://seichotoushi-hojo.jp/assets/pdf/koufu_3_4ji/outline_115.pdf","PDFを開く")</f>
        <v>PDFを開く</v>
      </c>
      <c r="M657" s="9" t="s">
        <v>2443</v>
      </c>
    </row>
    <row r="658" spans="1:13" ht="66" customHeight="1">
      <c r="A658" s="2" t="s">
        <v>2444</v>
      </c>
      <c r="B658" s="2" t="s">
        <v>2430</v>
      </c>
      <c r="C658" s="8" t="s">
        <v>2445</v>
      </c>
      <c r="D658" s="2">
        <v>1</v>
      </c>
      <c r="E658" s="8" t="s">
        <v>10156</v>
      </c>
      <c r="F658" s="2">
        <v>4</v>
      </c>
      <c r="G658" s="8" t="s">
        <v>8581</v>
      </c>
      <c r="H658" s="8" t="s">
        <v>8581</v>
      </c>
      <c r="I658" s="8"/>
      <c r="J658" s="8" t="s">
        <v>10159</v>
      </c>
      <c r="K658" s="8" t="s">
        <v>2448</v>
      </c>
      <c r="L658" s="8" t="str">
        <f>HYPERLINK("https://seichotoushi-hojo.jp/assets/pdf/koufu_3_4ji/outline_116.pdf","PDFを開く")</f>
        <v>PDFを開く</v>
      </c>
      <c r="M658" s="8" t="s">
        <v>2450</v>
      </c>
    </row>
    <row r="659" spans="1:13" ht="66" customHeight="1">
      <c r="A659" s="5" t="s">
        <v>2451</v>
      </c>
      <c r="B659" s="5" t="s">
        <v>2430</v>
      </c>
      <c r="C659" s="9" t="s">
        <v>2452</v>
      </c>
      <c r="D659" s="5">
        <v>1</v>
      </c>
      <c r="E659" s="9" t="s">
        <v>10156</v>
      </c>
      <c r="F659" s="5">
        <v>1</v>
      </c>
      <c r="G659" s="9" t="s">
        <v>10167</v>
      </c>
      <c r="H659" s="9" t="s">
        <v>10799</v>
      </c>
      <c r="I659" s="9"/>
      <c r="J659" s="9" t="s">
        <v>10159</v>
      </c>
      <c r="K659" s="9" t="s">
        <v>10800</v>
      </c>
      <c r="L659" s="9" t="str">
        <f>HYPERLINK("https://seichotoushi-hojo.jp/assets/pdf/koufu_3_4ji/outline_117.pdf","PDFを開く")</f>
        <v>PDFを開く</v>
      </c>
      <c r="M659" s="9" t="s">
        <v>2458</v>
      </c>
    </row>
    <row r="660" spans="1:13" ht="66" customHeight="1">
      <c r="A660" s="2" t="s">
        <v>2451</v>
      </c>
      <c r="B660" s="2" t="s">
        <v>2430</v>
      </c>
      <c r="C660" s="8" t="s">
        <v>2452</v>
      </c>
      <c r="D660" s="2">
        <v>1</v>
      </c>
      <c r="E660" s="8" t="s">
        <v>10156</v>
      </c>
      <c r="F660" s="2">
        <v>3</v>
      </c>
      <c r="G660" s="8" t="s">
        <v>10167</v>
      </c>
      <c r="H660" s="8" t="s">
        <v>10801</v>
      </c>
      <c r="I660" s="8"/>
      <c r="J660" s="8" t="s">
        <v>10159</v>
      </c>
      <c r="K660" s="8" t="s">
        <v>10802</v>
      </c>
      <c r="L660" s="8" t="str">
        <f>HYPERLINK("https://seichotoushi-hojo.jp/assets/pdf/koufu_3_4ji/outline_117.pdf","PDFを開く")</f>
        <v>PDFを開く</v>
      </c>
      <c r="M660" s="8" t="s">
        <v>2458</v>
      </c>
    </row>
    <row r="661" spans="1:13" ht="66" customHeight="1">
      <c r="A661" s="5" t="s">
        <v>2451</v>
      </c>
      <c r="B661" s="5" t="s">
        <v>2430</v>
      </c>
      <c r="C661" s="9" t="s">
        <v>2452</v>
      </c>
      <c r="D661" s="5">
        <v>1</v>
      </c>
      <c r="E661" s="9" t="s">
        <v>10156</v>
      </c>
      <c r="F661" s="5">
        <v>4</v>
      </c>
      <c r="G661" s="9" t="s">
        <v>10167</v>
      </c>
      <c r="H661" s="9" t="s">
        <v>10803</v>
      </c>
      <c r="I661" s="9"/>
      <c r="J661" s="9" t="s">
        <v>10159</v>
      </c>
      <c r="K661" s="9" t="s">
        <v>10804</v>
      </c>
      <c r="L661" s="9" t="str">
        <f>HYPERLINK("https://seichotoushi-hojo.jp/assets/pdf/koufu_3_4ji/outline_117.pdf","PDFを開く")</f>
        <v>PDFを開く</v>
      </c>
      <c r="M661" s="9" t="s">
        <v>2458</v>
      </c>
    </row>
    <row r="662" spans="1:13" ht="66" customHeight="1">
      <c r="A662" s="2" t="s">
        <v>2451</v>
      </c>
      <c r="B662" s="2" t="s">
        <v>2430</v>
      </c>
      <c r="C662" s="8" t="s">
        <v>2452</v>
      </c>
      <c r="D662" s="2">
        <v>1</v>
      </c>
      <c r="E662" s="8" t="s">
        <v>10156</v>
      </c>
      <c r="F662" s="2">
        <v>6</v>
      </c>
      <c r="G662" s="8" t="s">
        <v>8581</v>
      </c>
      <c r="H662" s="8" t="s">
        <v>8581</v>
      </c>
      <c r="I662" s="8"/>
      <c r="J662" s="8" t="s">
        <v>10159</v>
      </c>
      <c r="K662" s="8" t="s">
        <v>9496</v>
      </c>
      <c r="L662" s="8" t="str">
        <f>HYPERLINK("https://seichotoushi-hojo.jp/assets/pdf/koufu_3_4ji/outline_117.pdf","PDFを開く")</f>
        <v>PDFを開く</v>
      </c>
      <c r="M662" s="8" t="s">
        <v>2458</v>
      </c>
    </row>
    <row r="663" spans="1:13" ht="66" customHeight="1">
      <c r="A663" s="5" t="s">
        <v>2459</v>
      </c>
      <c r="B663" s="5" t="s">
        <v>2430</v>
      </c>
      <c r="C663" s="9" t="s">
        <v>2460</v>
      </c>
      <c r="D663" s="5">
        <v>1</v>
      </c>
      <c r="E663" s="9" t="s">
        <v>10156</v>
      </c>
      <c r="F663" s="5">
        <v>4</v>
      </c>
      <c r="G663" s="9" t="s">
        <v>8581</v>
      </c>
      <c r="H663" s="9" t="s">
        <v>8581</v>
      </c>
      <c r="I663" s="9"/>
      <c r="J663" s="9" t="s">
        <v>10159</v>
      </c>
      <c r="K663" s="9" t="s">
        <v>9504</v>
      </c>
      <c r="L663" s="9" t="str">
        <f>HYPERLINK("https://seichotoushi-hojo.jp/assets/pdf/koufu_3_4ji/outline_118.pdf","PDFを開く")</f>
        <v>PDFを開く</v>
      </c>
      <c r="M663" s="9" t="s">
        <v>2466</v>
      </c>
    </row>
    <row r="664" spans="1:13" ht="66" customHeight="1">
      <c r="A664" s="2" t="s">
        <v>2467</v>
      </c>
      <c r="B664" s="2" t="s">
        <v>2430</v>
      </c>
      <c r="C664" s="8" t="s">
        <v>2468</v>
      </c>
      <c r="D664" s="2">
        <v>1</v>
      </c>
      <c r="E664" s="8" t="s">
        <v>10156</v>
      </c>
      <c r="F664" s="2">
        <v>1</v>
      </c>
      <c r="G664" s="8" t="s">
        <v>10157</v>
      </c>
      <c r="H664" s="8" t="s">
        <v>10157</v>
      </c>
      <c r="I664" s="8" t="s">
        <v>10158</v>
      </c>
      <c r="J664" s="8" t="s">
        <v>10159</v>
      </c>
      <c r="K664" s="8" t="s">
        <v>10805</v>
      </c>
      <c r="L664" s="8" t="str">
        <f>HYPERLINK("https://seichotoushi-hojo.jp/assets/pdf/koufu_3_4ji/outline_119.pdf","PDFを開く")</f>
        <v>PDFを開く</v>
      </c>
      <c r="M664" s="8" t="s">
        <v>2474</v>
      </c>
    </row>
    <row r="665" spans="1:13" ht="66" customHeight="1">
      <c r="A665" s="5" t="s">
        <v>2467</v>
      </c>
      <c r="B665" s="5" t="s">
        <v>2430</v>
      </c>
      <c r="C665" s="9" t="s">
        <v>2468</v>
      </c>
      <c r="D665" s="5">
        <v>1</v>
      </c>
      <c r="E665" s="9" t="s">
        <v>10156</v>
      </c>
      <c r="F665" s="5">
        <v>5</v>
      </c>
      <c r="G665" s="9" t="s">
        <v>8581</v>
      </c>
      <c r="H665" s="9" t="s">
        <v>8581</v>
      </c>
      <c r="I665" s="9"/>
      <c r="J665" s="9" t="s">
        <v>10159</v>
      </c>
      <c r="K665" s="9" t="s">
        <v>2471</v>
      </c>
      <c r="L665" s="9" t="str">
        <f>HYPERLINK("https://seichotoushi-hojo.jp/assets/pdf/koufu_3_4ji/outline_119.pdf","PDFを開く")</f>
        <v>PDFを開く</v>
      </c>
      <c r="M665" s="9" t="s">
        <v>2474</v>
      </c>
    </row>
    <row r="666" spans="1:13" ht="66" customHeight="1">
      <c r="A666" s="2" t="s">
        <v>2467</v>
      </c>
      <c r="B666" s="2" t="s">
        <v>2430</v>
      </c>
      <c r="C666" s="8" t="s">
        <v>2468</v>
      </c>
      <c r="D666" s="2">
        <v>2</v>
      </c>
      <c r="E666" s="8" t="s">
        <v>10165</v>
      </c>
      <c r="F666" s="2">
        <v>1</v>
      </c>
      <c r="G666" s="8" t="s">
        <v>10157</v>
      </c>
      <c r="H666" s="8" t="s">
        <v>10157</v>
      </c>
      <c r="I666" s="8" t="s">
        <v>10158</v>
      </c>
      <c r="J666" s="8" t="s">
        <v>10159</v>
      </c>
      <c r="K666" s="8" t="s">
        <v>10806</v>
      </c>
      <c r="L666" s="8" t="str">
        <f>HYPERLINK("https://seichotoushi-hojo.jp/assets/pdf/koufu_3_4ji/outline_119.pdf","PDFを開く")</f>
        <v>PDFを開く</v>
      </c>
      <c r="M666" s="8" t="s">
        <v>2474</v>
      </c>
    </row>
    <row r="667" spans="1:13" ht="66" customHeight="1">
      <c r="A667" s="5" t="s">
        <v>2467</v>
      </c>
      <c r="B667" s="5" t="s">
        <v>2430</v>
      </c>
      <c r="C667" s="9" t="s">
        <v>2468</v>
      </c>
      <c r="D667" s="5">
        <v>2</v>
      </c>
      <c r="E667" s="9" t="s">
        <v>10165</v>
      </c>
      <c r="F667" s="5">
        <v>2</v>
      </c>
      <c r="G667" s="9" t="s">
        <v>10167</v>
      </c>
      <c r="H667" s="9" t="s">
        <v>10807</v>
      </c>
      <c r="I667" s="9"/>
      <c r="J667" s="9" t="s">
        <v>10159</v>
      </c>
      <c r="K667" s="9" t="s">
        <v>10807</v>
      </c>
      <c r="L667" s="9" t="str">
        <f>HYPERLINK("https://seichotoushi-hojo.jp/assets/pdf/koufu_3_4ji/outline_119.pdf","PDFを開く")</f>
        <v>PDFを開く</v>
      </c>
      <c r="M667" s="9" t="s">
        <v>2474</v>
      </c>
    </row>
    <row r="668" spans="1:13" ht="66" customHeight="1">
      <c r="A668" s="2" t="s">
        <v>2475</v>
      </c>
      <c r="B668" s="2" t="s">
        <v>2430</v>
      </c>
      <c r="C668" s="8" t="s">
        <v>2476</v>
      </c>
      <c r="D668" s="2">
        <v>1</v>
      </c>
      <c r="E668" s="8" t="s">
        <v>10156</v>
      </c>
      <c r="F668" s="2">
        <v>4</v>
      </c>
      <c r="G668" s="8" t="s">
        <v>8581</v>
      </c>
      <c r="H668" s="8" t="s">
        <v>8581</v>
      </c>
      <c r="I668" s="8"/>
      <c r="J668" s="8" t="s">
        <v>10159</v>
      </c>
      <c r="K668" s="8" t="s">
        <v>2480</v>
      </c>
      <c r="L668" s="8" t="str">
        <f>HYPERLINK("https://seichotoushi-hojo.jp/assets/pdf/koufu_3_4ji/outline_120.pdf","PDFを開く")</f>
        <v>PDFを開く</v>
      </c>
      <c r="M668" s="8" t="s">
        <v>2482</v>
      </c>
    </row>
    <row r="669" spans="1:13" ht="66" customHeight="1">
      <c r="A669" s="5" t="s">
        <v>2483</v>
      </c>
      <c r="B669" s="5" t="s">
        <v>2430</v>
      </c>
      <c r="C669" s="9" t="s">
        <v>2484</v>
      </c>
      <c r="D669" s="5">
        <v>1</v>
      </c>
      <c r="E669" s="9" t="s">
        <v>10156</v>
      </c>
      <c r="F669" s="5">
        <v>4</v>
      </c>
      <c r="G669" s="9" t="s">
        <v>8581</v>
      </c>
      <c r="H669" s="9" t="s">
        <v>8581</v>
      </c>
      <c r="I669" s="9"/>
      <c r="J669" s="9" t="s">
        <v>10159</v>
      </c>
      <c r="K669" s="9" t="s">
        <v>2488</v>
      </c>
      <c r="L669" s="9" t="str">
        <f>HYPERLINK("https://seichotoushi-hojo.jp/assets/pdf/koufu_3_4ji/outline_121.pdf","PDFを開く")</f>
        <v>PDFを開く</v>
      </c>
      <c r="M669" s="9" t="s">
        <v>2490</v>
      </c>
    </row>
    <row r="670" spans="1:13" ht="66" customHeight="1">
      <c r="A670" s="2" t="s">
        <v>2483</v>
      </c>
      <c r="B670" s="2" t="s">
        <v>2430</v>
      </c>
      <c r="C670" s="8" t="s">
        <v>2484</v>
      </c>
      <c r="D670" s="2">
        <v>2</v>
      </c>
      <c r="E670" s="8" t="s">
        <v>10165</v>
      </c>
      <c r="F670" s="2">
        <v>1</v>
      </c>
      <c r="G670" s="8" t="s">
        <v>10184</v>
      </c>
      <c r="H670" s="8" t="s">
        <v>10184</v>
      </c>
      <c r="I670" s="8"/>
      <c r="J670" s="8" t="s">
        <v>10181</v>
      </c>
      <c r="K670" s="8" t="s">
        <v>10810</v>
      </c>
      <c r="L670" s="8" t="str">
        <f>HYPERLINK("https://seichotoushi-hojo.jp/assets/pdf/koufu_3_4ji/outline_121.pdf","PDFを開く")</f>
        <v>PDFを開く</v>
      </c>
      <c r="M670" s="8" t="s">
        <v>2490</v>
      </c>
    </row>
    <row r="671" spans="1:13" ht="66" customHeight="1">
      <c r="A671" s="5" t="s">
        <v>2491</v>
      </c>
      <c r="B671" s="5" t="s">
        <v>2430</v>
      </c>
      <c r="C671" s="9" t="s">
        <v>2492</v>
      </c>
      <c r="D671" s="5">
        <v>1</v>
      </c>
      <c r="E671" s="9" t="s">
        <v>10156</v>
      </c>
      <c r="F671" s="5">
        <v>2</v>
      </c>
      <c r="G671" s="9" t="s">
        <v>8581</v>
      </c>
      <c r="H671" s="9" t="s">
        <v>8581</v>
      </c>
      <c r="I671" s="9"/>
      <c r="J671" s="9" t="s">
        <v>10181</v>
      </c>
      <c r="K671" s="9" t="s">
        <v>9534</v>
      </c>
      <c r="L671" s="9" t="str">
        <f>HYPERLINK("https://seichotoushi-hojo.jp/assets/pdf/koufu_3_4ji/outline_122.pdf","PDFを開く")</f>
        <v>PDFを開く</v>
      </c>
      <c r="M671" s="9" t="s">
        <v>2498</v>
      </c>
    </row>
    <row r="672" spans="1:13" ht="66" customHeight="1">
      <c r="A672" s="2" t="s">
        <v>2499</v>
      </c>
      <c r="B672" s="2" t="s">
        <v>2430</v>
      </c>
      <c r="C672" s="8" t="s">
        <v>2500</v>
      </c>
      <c r="D672" s="2">
        <v>1</v>
      </c>
      <c r="E672" s="8" t="s">
        <v>10156</v>
      </c>
      <c r="F672" s="2">
        <v>1</v>
      </c>
      <c r="G672" s="8" t="s">
        <v>10171</v>
      </c>
      <c r="H672" s="8" t="s">
        <v>10171</v>
      </c>
      <c r="I672" s="8"/>
      <c r="J672" s="8" t="s">
        <v>10159</v>
      </c>
      <c r="K672" s="8" t="s">
        <v>9542</v>
      </c>
      <c r="L672" s="8" t="str">
        <f>HYPERLINK("https://seichotoushi-hojo.jp/assets/pdf/koufu_3_4ji/outline_125.pdf","PDFを開く")</f>
        <v>PDFを開く</v>
      </c>
      <c r="M672" s="8" t="s">
        <v>2506</v>
      </c>
    </row>
    <row r="673" spans="1:13" ht="66" customHeight="1">
      <c r="A673" s="5" t="s">
        <v>2499</v>
      </c>
      <c r="B673" s="5" t="s">
        <v>2430</v>
      </c>
      <c r="C673" s="9" t="s">
        <v>2500</v>
      </c>
      <c r="D673" s="5">
        <v>1</v>
      </c>
      <c r="E673" s="9" t="s">
        <v>10156</v>
      </c>
      <c r="F673" s="5">
        <v>5</v>
      </c>
      <c r="G673" s="9" t="s">
        <v>8581</v>
      </c>
      <c r="H673" s="9" t="s">
        <v>8581</v>
      </c>
      <c r="I673" s="9"/>
      <c r="J673" s="9" t="s">
        <v>10159</v>
      </c>
      <c r="K673" s="9" t="s">
        <v>2504</v>
      </c>
      <c r="L673" s="9" t="str">
        <f>HYPERLINK("https://seichotoushi-hojo.jp/assets/pdf/koufu_3_4ji/outline_125.pdf","PDFを開く")</f>
        <v>PDFを開く</v>
      </c>
      <c r="M673" s="9" t="s">
        <v>2506</v>
      </c>
    </row>
    <row r="674" spans="1:13" ht="66" customHeight="1">
      <c r="A674" s="2" t="s">
        <v>2507</v>
      </c>
      <c r="B674" s="2" t="s">
        <v>2430</v>
      </c>
      <c r="C674" s="8" t="s">
        <v>2508</v>
      </c>
      <c r="D674" s="2">
        <v>1</v>
      </c>
      <c r="E674" s="8" t="s">
        <v>10156</v>
      </c>
      <c r="F674" s="2">
        <v>1</v>
      </c>
      <c r="G674" s="8" t="s">
        <v>10157</v>
      </c>
      <c r="H674" s="8" t="s">
        <v>10157</v>
      </c>
      <c r="I674" s="8"/>
      <c r="J674" s="8" t="s">
        <v>10159</v>
      </c>
      <c r="K674" s="8" t="s">
        <v>9547</v>
      </c>
      <c r="L674" s="8" t="str">
        <f>HYPERLINK("https://seichotoushi-hojo.jp/assets/pdf/koufu_3_4ji/outline_127.pdf","PDFを開く")</f>
        <v>PDFを開く</v>
      </c>
      <c r="M674" s="8" t="s">
        <v>2515</v>
      </c>
    </row>
    <row r="675" spans="1:13" ht="66" customHeight="1">
      <c r="A675" s="5" t="s">
        <v>2507</v>
      </c>
      <c r="B675" s="5" t="s">
        <v>2430</v>
      </c>
      <c r="C675" s="9" t="s">
        <v>2508</v>
      </c>
      <c r="D675" s="5">
        <v>1</v>
      </c>
      <c r="E675" s="9" t="s">
        <v>10156</v>
      </c>
      <c r="F675" s="5">
        <v>5</v>
      </c>
      <c r="G675" s="9" t="s">
        <v>8581</v>
      </c>
      <c r="H675" s="9" t="s">
        <v>8581</v>
      </c>
      <c r="I675" s="9"/>
      <c r="J675" s="9" t="s">
        <v>10159</v>
      </c>
      <c r="K675" s="9" t="s">
        <v>9551</v>
      </c>
      <c r="L675" s="9" t="str">
        <f>HYPERLINK("https://seichotoushi-hojo.jp/assets/pdf/koufu_3_4ji/outline_127.pdf","PDFを開く")</f>
        <v>PDFを開く</v>
      </c>
      <c r="M675" s="9" t="s">
        <v>2515</v>
      </c>
    </row>
    <row r="676" spans="1:13" ht="66" customHeight="1">
      <c r="A676" s="2" t="s">
        <v>2507</v>
      </c>
      <c r="B676" s="2" t="s">
        <v>2430</v>
      </c>
      <c r="C676" s="8" t="s">
        <v>2508</v>
      </c>
      <c r="D676" s="2">
        <v>2</v>
      </c>
      <c r="E676" s="8" t="s">
        <v>10165</v>
      </c>
      <c r="F676" s="2">
        <v>1</v>
      </c>
      <c r="G676" s="8" t="s">
        <v>10184</v>
      </c>
      <c r="H676" s="8" t="s">
        <v>10184</v>
      </c>
      <c r="I676" s="8"/>
      <c r="J676" s="8" t="s">
        <v>10181</v>
      </c>
      <c r="K676" s="8" t="s">
        <v>10812</v>
      </c>
      <c r="L676" s="8" t="str">
        <f>HYPERLINK("https://seichotoushi-hojo.jp/assets/pdf/koufu_3_4ji/outline_127.pdf","PDFを開く")</f>
        <v>PDFを開く</v>
      </c>
      <c r="M676" s="8" t="s">
        <v>2515</v>
      </c>
    </row>
    <row r="677" spans="1:13" ht="66" customHeight="1">
      <c r="A677" s="5" t="s">
        <v>2516</v>
      </c>
      <c r="B677" s="5" t="s">
        <v>2430</v>
      </c>
      <c r="C677" s="9" t="s">
        <v>2517</v>
      </c>
      <c r="D677" s="5">
        <v>1</v>
      </c>
      <c r="E677" s="9" t="s">
        <v>10156</v>
      </c>
      <c r="F677" s="5">
        <v>4</v>
      </c>
      <c r="G677" s="9" t="s">
        <v>8581</v>
      </c>
      <c r="H677" s="9" t="s">
        <v>8581</v>
      </c>
      <c r="I677" s="9"/>
      <c r="J677" s="9" t="s">
        <v>10159</v>
      </c>
      <c r="K677" s="9" t="s">
        <v>2520</v>
      </c>
      <c r="L677" s="9" t="str">
        <f>HYPERLINK("https://seichotoushi-hojo.jp/assets/pdf/koufu_3_4ji/outline_130.pdf","PDFを開く")</f>
        <v>PDFを開く</v>
      </c>
      <c r="M677" s="9" t="s">
        <v>2523</v>
      </c>
    </row>
    <row r="678" spans="1:13" ht="66" customHeight="1">
      <c r="A678" s="2" t="s">
        <v>2516</v>
      </c>
      <c r="B678" s="2" t="s">
        <v>2430</v>
      </c>
      <c r="C678" s="8" t="s">
        <v>2517</v>
      </c>
      <c r="D678" s="2">
        <v>2</v>
      </c>
      <c r="E678" s="8" t="s">
        <v>10165</v>
      </c>
      <c r="F678" s="2">
        <v>1</v>
      </c>
      <c r="G678" s="8" t="s">
        <v>10184</v>
      </c>
      <c r="H678" s="8" t="s">
        <v>10184</v>
      </c>
      <c r="I678" s="8"/>
      <c r="J678" s="8" t="s">
        <v>10181</v>
      </c>
      <c r="K678" s="8" t="s">
        <v>10813</v>
      </c>
      <c r="L678" s="8" t="str">
        <f>HYPERLINK("https://seichotoushi-hojo.jp/assets/pdf/koufu_3_4ji/outline_130.pdf","PDFを開く")</f>
        <v>PDFを開く</v>
      </c>
      <c r="M678" s="8" t="s">
        <v>2523</v>
      </c>
    </row>
    <row r="679" spans="1:13" ht="66" customHeight="1">
      <c r="A679" s="5" t="s">
        <v>2524</v>
      </c>
      <c r="B679" s="5" t="s">
        <v>2430</v>
      </c>
      <c r="C679" s="9" t="s">
        <v>2525</v>
      </c>
      <c r="D679" s="5">
        <v>1</v>
      </c>
      <c r="E679" s="9" t="s">
        <v>10156</v>
      </c>
      <c r="F679" s="5">
        <v>4</v>
      </c>
      <c r="G679" s="9" t="s">
        <v>8581</v>
      </c>
      <c r="H679" s="9" t="s">
        <v>8581</v>
      </c>
      <c r="I679" s="9"/>
      <c r="J679" s="9" t="s">
        <v>10159</v>
      </c>
      <c r="K679" s="9" t="s">
        <v>2528</v>
      </c>
      <c r="L679" s="9" t="str">
        <f>HYPERLINK("https://seichotoushi-hojo.jp/assets/pdf/koufu_3_4ji/outline_131.pdf","PDFを開く")</f>
        <v>PDFを開く</v>
      </c>
      <c r="M679" s="9" t="s">
        <v>2530</v>
      </c>
    </row>
    <row r="680" spans="1:13" ht="66" customHeight="1">
      <c r="A680" s="2" t="s">
        <v>2531</v>
      </c>
      <c r="B680" s="2" t="s">
        <v>2430</v>
      </c>
      <c r="C680" s="8" t="s">
        <v>2532</v>
      </c>
      <c r="D680" s="2">
        <v>1</v>
      </c>
      <c r="E680" s="8" t="s">
        <v>10156</v>
      </c>
      <c r="F680" s="2">
        <v>2</v>
      </c>
      <c r="G680" s="8" t="s">
        <v>8581</v>
      </c>
      <c r="H680" s="8" t="s">
        <v>8581</v>
      </c>
      <c r="I680" s="8"/>
      <c r="J680" s="8" t="s">
        <v>10181</v>
      </c>
      <c r="K680" s="8" t="s">
        <v>9573</v>
      </c>
      <c r="L680" s="8" t="str">
        <f>HYPERLINK("https://seichotoushi-hojo.jp/assets/pdf/koufu_3_4ji/outline_132.pdf","PDFを開く")</f>
        <v>PDFを開く</v>
      </c>
      <c r="M680" s="8" t="s">
        <v>2538</v>
      </c>
    </row>
    <row r="681" spans="1:13" ht="66" customHeight="1">
      <c r="A681" s="5" t="s">
        <v>2539</v>
      </c>
      <c r="B681" s="5" t="s">
        <v>2430</v>
      </c>
      <c r="C681" s="9" t="s">
        <v>2540</v>
      </c>
      <c r="D681" s="5">
        <v>1</v>
      </c>
      <c r="E681" s="9" t="s">
        <v>10156</v>
      </c>
      <c r="F681" s="5">
        <v>2</v>
      </c>
      <c r="G681" s="9" t="s">
        <v>10167</v>
      </c>
      <c r="H681" s="9" t="s">
        <v>10814</v>
      </c>
      <c r="I681" s="9"/>
      <c r="J681" s="9" t="s">
        <v>10159</v>
      </c>
      <c r="K681" s="9" t="s">
        <v>10815</v>
      </c>
      <c r="L681" s="9" t="str">
        <f>HYPERLINK("https://seichotoushi-hojo.jp/assets/pdf/koufu_3_4ji/outline_133.pdf","PDFを開く")</f>
        <v>PDFを開く</v>
      </c>
      <c r="M681" s="9" t="s">
        <v>2545</v>
      </c>
    </row>
    <row r="682" spans="1:13" ht="66" customHeight="1">
      <c r="A682" s="2" t="s">
        <v>2539</v>
      </c>
      <c r="B682" s="2" t="s">
        <v>2430</v>
      </c>
      <c r="C682" s="8" t="s">
        <v>2540</v>
      </c>
      <c r="D682" s="2">
        <v>1</v>
      </c>
      <c r="E682" s="8" t="s">
        <v>10156</v>
      </c>
      <c r="F682" s="2">
        <v>3</v>
      </c>
      <c r="G682" s="8" t="s">
        <v>10167</v>
      </c>
      <c r="H682" s="8" t="s">
        <v>10816</v>
      </c>
      <c r="I682" s="8"/>
      <c r="J682" s="8" t="s">
        <v>10159</v>
      </c>
      <c r="K682" s="8" t="s">
        <v>10817</v>
      </c>
      <c r="L682" s="8" t="str">
        <f>HYPERLINK("https://seichotoushi-hojo.jp/assets/pdf/koufu_3_4ji/outline_133.pdf","PDFを開く")</f>
        <v>PDFを開く</v>
      </c>
      <c r="M682" s="8" t="s">
        <v>2545</v>
      </c>
    </row>
    <row r="683" spans="1:13" ht="66" customHeight="1">
      <c r="A683" s="5" t="s">
        <v>2539</v>
      </c>
      <c r="B683" s="5" t="s">
        <v>2430</v>
      </c>
      <c r="C683" s="9" t="s">
        <v>2540</v>
      </c>
      <c r="D683" s="5">
        <v>1</v>
      </c>
      <c r="E683" s="9" t="s">
        <v>10156</v>
      </c>
      <c r="F683" s="5">
        <v>4</v>
      </c>
      <c r="G683" s="9" t="s">
        <v>8581</v>
      </c>
      <c r="H683" s="9" t="s">
        <v>8581</v>
      </c>
      <c r="I683" s="9"/>
      <c r="J683" s="9" t="s">
        <v>10159</v>
      </c>
      <c r="K683" s="9" t="s">
        <v>2543</v>
      </c>
      <c r="L683" s="9" t="str">
        <f>HYPERLINK("https://seichotoushi-hojo.jp/assets/pdf/koufu_3_4ji/outline_133.pdf","PDFを開く")</f>
        <v>PDFを開く</v>
      </c>
      <c r="M683" s="9" t="s">
        <v>2545</v>
      </c>
    </row>
    <row r="684" spans="1:13" ht="66" customHeight="1">
      <c r="A684" s="2" t="s">
        <v>2546</v>
      </c>
      <c r="B684" s="2" t="s">
        <v>2430</v>
      </c>
      <c r="C684" s="8" t="s">
        <v>2547</v>
      </c>
      <c r="D684" s="2">
        <v>1</v>
      </c>
      <c r="E684" s="8" t="s">
        <v>10156</v>
      </c>
      <c r="F684" s="2">
        <v>1</v>
      </c>
      <c r="G684" s="8" t="s">
        <v>10157</v>
      </c>
      <c r="H684" s="8" t="s">
        <v>10157</v>
      </c>
      <c r="I684" s="8"/>
      <c r="J684" s="8" t="s">
        <v>10159</v>
      </c>
      <c r="K684" s="8" t="s">
        <v>9583</v>
      </c>
      <c r="L684" s="8" t="str">
        <f>HYPERLINK("https://seichotoushi-hojo.jp/assets/pdf/koufu_3_4ji/outline_134.pdf","PDFを開く")</f>
        <v>PDFを開く</v>
      </c>
      <c r="M684" s="8" t="s">
        <v>2554</v>
      </c>
    </row>
    <row r="685" spans="1:13" ht="66" customHeight="1">
      <c r="A685" s="5" t="s">
        <v>2546</v>
      </c>
      <c r="B685" s="5" t="s">
        <v>2430</v>
      </c>
      <c r="C685" s="9" t="s">
        <v>2547</v>
      </c>
      <c r="D685" s="5">
        <v>1</v>
      </c>
      <c r="E685" s="9" t="s">
        <v>10156</v>
      </c>
      <c r="F685" s="5">
        <v>5</v>
      </c>
      <c r="G685" s="9" t="s">
        <v>8581</v>
      </c>
      <c r="H685" s="9" t="s">
        <v>8581</v>
      </c>
      <c r="I685" s="9"/>
      <c r="J685" s="9" t="s">
        <v>10159</v>
      </c>
      <c r="K685" s="9" t="s">
        <v>9587</v>
      </c>
      <c r="L685" s="9" t="str">
        <f>HYPERLINK("https://seichotoushi-hojo.jp/assets/pdf/koufu_3_4ji/outline_134.pdf","PDFを開く")</f>
        <v>PDFを開く</v>
      </c>
      <c r="M685" s="9" t="s">
        <v>2554</v>
      </c>
    </row>
    <row r="686" spans="1:13" ht="66" customHeight="1">
      <c r="A686" s="2" t="s">
        <v>2546</v>
      </c>
      <c r="B686" s="2" t="s">
        <v>2430</v>
      </c>
      <c r="C686" s="8" t="s">
        <v>2547</v>
      </c>
      <c r="D686" s="2">
        <v>2</v>
      </c>
      <c r="E686" s="8" t="s">
        <v>10165</v>
      </c>
      <c r="F686" s="2">
        <v>1</v>
      </c>
      <c r="G686" s="8" t="s">
        <v>10184</v>
      </c>
      <c r="H686" s="8" t="s">
        <v>10184</v>
      </c>
      <c r="I686" s="8"/>
      <c r="J686" s="8" t="s">
        <v>10181</v>
      </c>
      <c r="K686" s="8" t="s">
        <v>10818</v>
      </c>
      <c r="L686" s="8" t="str">
        <f>HYPERLINK("https://seichotoushi-hojo.jp/assets/pdf/koufu_3_4ji/outline_134.pdf","PDFを開く")</f>
        <v>PDFを開く</v>
      </c>
      <c r="M686" s="8" t="s">
        <v>2554</v>
      </c>
    </row>
    <row r="687" spans="1:13" ht="66" customHeight="1">
      <c r="A687" s="5" t="s">
        <v>2555</v>
      </c>
      <c r="B687" s="5" t="s">
        <v>2430</v>
      </c>
      <c r="C687" s="9" t="s">
        <v>2556</v>
      </c>
      <c r="D687" s="5">
        <v>1</v>
      </c>
      <c r="E687" s="9" t="s">
        <v>10156</v>
      </c>
      <c r="F687" s="5">
        <v>2</v>
      </c>
      <c r="G687" s="9" t="s">
        <v>10171</v>
      </c>
      <c r="H687" s="9" t="s">
        <v>10171</v>
      </c>
      <c r="I687" s="9"/>
      <c r="J687" s="9" t="s">
        <v>10159</v>
      </c>
      <c r="K687" s="9" t="s">
        <v>9595</v>
      </c>
      <c r="L687" s="9" t="str">
        <f t="shared" ref="L687:L692" si="17">HYPERLINK("https://seichotoushi-hojo.jp/assets/pdf/koufu_3_4ji/outline_135.pdf","PDFを開く")</f>
        <v>PDFを開く</v>
      </c>
      <c r="M687" s="9" t="s">
        <v>2563</v>
      </c>
    </row>
    <row r="688" spans="1:13" ht="66" customHeight="1">
      <c r="A688" s="2" t="s">
        <v>2555</v>
      </c>
      <c r="B688" s="2" t="s">
        <v>2430</v>
      </c>
      <c r="C688" s="8" t="s">
        <v>2556</v>
      </c>
      <c r="D688" s="2">
        <v>1</v>
      </c>
      <c r="E688" s="8" t="s">
        <v>10156</v>
      </c>
      <c r="F688" s="2">
        <v>5</v>
      </c>
      <c r="G688" s="8" t="s">
        <v>10167</v>
      </c>
      <c r="H688" s="8" t="s">
        <v>10819</v>
      </c>
      <c r="I688" s="8"/>
      <c r="J688" s="8" t="s">
        <v>10159</v>
      </c>
      <c r="K688" s="8" t="s">
        <v>10820</v>
      </c>
      <c r="L688" s="8" t="str">
        <f t="shared" si="17"/>
        <v>PDFを開く</v>
      </c>
      <c r="M688" s="8" t="s">
        <v>2563</v>
      </c>
    </row>
    <row r="689" spans="1:13" ht="66" customHeight="1">
      <c r="A689" s="5" t="s">
        <v>2555</v>
      </c>
      <c r="B689" s="5" t="s">
        <v>2430</v>
      </c>
      <c r="C689" s="9" t="s">
        <v>2556</v>
      </c>
      <c r="D689" s="5">
        <v>2</v>
      </c>
      <c r="E689" s="9" t="s">
        <v>10165</v>
      </c>
      <c r="F689" s="5">
        <v>1</v>
      </c>
      <c r="G689" s="9" t="s">
        <v>10167</v>
      </c>
      <c r="H689" s="9" t="s">
        <v>10821</v>
      </c>
      <c r="I689" s="9"/>
      <c r="J689" s="9" t="s">
        <v>10159</v>
      </c>
      <c r="K689" s="9" t="s">
        <v>10822</v>
      </c>
      <c r="L689" s="9" t="str">
        <f t="shared" si="17"/>
        <v>PDFを開く</v>
      </c>
      <c r="M689" s="9" t="s">
        <v>2563</v>
      </c>
    </row>
    <row r="690" spans="1:13" ht="66" customHeight="1">
      <c r="A690" s="2" t="s">
        <v>2555</v>
      </c>
      <c r="B690" s="2" t="s">
        <v>2430</v>
      </c>
      <c r="C690" s="8" t="s">
        <v>2556</v>
      </c>
      <c r="D690" s="2">
        <v>2</v>
      </c>
      <c r="E690" s="8" t="s">
        <v>10165</v>
      </c>
      <c r="F690" s="2">
        <v>2</v>
      </c>
      <c r="G690" s="8" t="s">
        <v>10167</v>
      </c>
      <c r="H690" s="8" t="s">
        <v>10823</v>
      </c>
      <c r="I690" s="8"/>
      <c r="J690" s="8" t="s">
        <v>10159</v>
      </c>
      <c r="K690" s="8" t="s">
        <v>10824</v>
      </c>
      <c r="L690" s="8" t="str">
        <f t="shared" si="17"/>
        <v>PDFを開く</v>
      </c>
      <c r="M690" s="8" t="s">
        <v>2563</v>
      </c>
    </row>
    <row r="691" spans="1:13" ht="66" customHeight="1">
      <c r="A691" s="5" t="s">
        <v>2555</v>
      </c>
      <c r="B691" s="5" t="s">
        <v>2430</v>
      </c>
      <c r="C691" s="9" t="s">
        <v>2556</v>
      </c>
      <c r="D691" s="5">
        <v>2</v>
      </c>
      <c r="E691" s="9" t="s">
        <v>10165</v>
      </c>
      <c r="F691" s="5">
        <v>3</v>
      </c>
      <c r="G691" s="9" t="s">
        <v>10167</v>
      </c>
      <c r="H691" s="9" t="s">
        <v>10825</v>
      </c>
      <c r="I691" s="9"/>
      <c r="J691" s="9" t="s">
        <v>10159</v>
      </c>
      <c r="K691" s="9" t="s">
        <v>10826</v>
      </c>
      <c r="L691" s="9" t="str">
        <f t="shared" si="17"/>
        <v>PDFを開く</v>
      </c>
      <c r="M691" s="9" t="s">
        <v>2563</v>
      </c>
    </row>
    <row r="692" spans="1:13" ht="66" customHeight="1">
      <c r="A692" s="2" t="s">
        <v>2555</v>
      </c>
      <c r="B692" s="2" t="s">
        <v>2430</v>
      </c>
      <c r="C692" s="8" t="s">
        <v>2556</v>
      </c>
      <c r="D692" s="2">
        <v>2</v>
      </c>
      <c r="E692" s="8" t="s">
        <v>10165</v>
      </c>
      <c r="F692" s="2">
        <v>4</v>
      </c>
      <c r="G692" s="8" t="s">
        <v>10167</v>
      </c>
      <c r="H692" s="8" t="s">
        <v>10827</v>
      </c>
      <c r="I692" s="8"/>
      <c r="J692" s="8" t="s">
        <v>10159</v>
      </c>
      <c r="K692" s="8" t="s">
        <v>10828</v>
      </c>
      <c r="L692" s="8" t="str">
        <f t="shared" si="17"/>
        <v>PDFを開く</v>
      </c>
      <c r="M692" s="8" t="s">
        <v>2563</v>
      </c>
    </row>
    <row r="693" spans="1:13" ht="66" customHeight="1">
      <c r="A693" s="5" t="s">
        <v>2564</v>
      </c>
      <c r="B693" s="5" t="s">
        <v>2430</v>
      </c>
      <c r="C693" s="9" t="s">
        <v>2565</v>
      </c>
      <c r="D693" s="5">
        <v>1</v>
      </c>
      <c r="E693" s="9" t="s">
        <v>10156</v>
      </c>
      <c r="F693" s="5">
        <v>1</v>
      </c>
      <c r="G693" s="9" t="s">
        <v>10167</v>
      </c>
      <c r="H693" s="9" t="s">
        <v>10212</v>
      </c>
      <c r="I693" s="9"/>
      <c r="J693" s="9" t="s">
        <v>10159</v>
      </c>
      <c r="K693" s="9" t="s">
        <v>10829</v>
      </c>
      <c r="L693" s="9" t="str">
        <f>HYPERLINK("https://seichotoushi-hojo.jp/assets/pdf/koufu_3_4ji/outline_136.pdf","PDFを開く")</f>
        <v>PDFを開く</v>
      </c>
      <c r="M693" s="9" t="s">
        <v>2571</v>
      </c>
    </row>
    <row r="694" spans="1:13" ht="66" customHeight="1">
      <c r="A694" s="2" t="s">
        <v>2564</v>
      </c>
      <c r="B694" s="2" t="s">
        <v>2430</v>
      </c>
      <c r="C694" s="8" t="s">
        <v>2565</v>
      </c>
      <c r="D694" s="2">
        <v>1</v>
      </c>
      <c r="E694" s="8" t="s">
        <v>10156</v>
      </c>
      <c r="F694" s="2">
        <v>2</v>
      </c>
      <c r="G694" s="8" t="s">
        <v>10167</v>
      </c>
      <c r="H694" s="8" t="s">
        <v>10433</v>
      </c>
      <c r="I694" s="8"/>
      <c r="J694" s="8" t="s">
        <v>10159</v>
      </c>
      <c r="K694" s="8" t="s">
        <v>10830</v>
      </c>
      <c r="L694" s="8" t="str">
        <f>HYPERLINK("https://seichotoushi-hojo.jp/assets/pdf/koufu_3_4ji/outline_136.pdf","PDFを開く")</f>
        <v>PDFを開く</v>
      </c>
      <c r="M694" s="8" t="s">
        <v>2571</v>
      </c>
    </row>
    <row r="695" spans="1:13" ht="66" customHeight="1">
      <c r="A695" s="5" t="s">
        <v>2564</v>
      </c>
      <c r="B695" s="5" t="s">
        <v>2430</v>
      </c>
      <c r="C695" s="9" t="s">
        <v>2565</v>
      </c>
      <c r="D695" s="5">
        <v>1</v>
      </c>
      <c r="E695" s="9" t="s">
        <v>10156</v>
      </c>
      <c r="F695" s="5">
        <v>3</v>
      </c>
      <c r="G695" s="9" t="s">
        <v>10167</v>
      </c>
      <c r="H695" s="9" t="s">
        <v>10435</v>
      </c>
      <c r="I695" s="9"/>
      <c r="J695" s="9" t="s">
        <v>10159</v>
      </c>
      <c r="K695" s="9" t="s">
        <v>10831</v>
      </c>
      <c r="L695" s="9" t="str">
        <f>HYPERLINK("https://seichotoushi-hojo.jp/assets/pdf/koufu_3_4ji/outline_136.pdf","PDFを開く")</f>
        <v>PDFを開く</v>
      </c>
      <c r="M695" s="9" t="s">
        <v>2571</v>
      </c>
    </row>
    <row r="696" spans="1:13" ht="66" customHeight="1">
      <c r="A696" s="2" t="s">
        <v>2564</v>
      </c>
      <c r="B696" s="2" t="s">
        <v>2430</v>
      </c>
      <c r="C696" s="8" t="s">
        <v>2565</v>
      </c>
      <c r="D696" s="2">
        <v>1</v>
      </c>
      <c r="E696" s="8" t="s">
        <v>10156</v>
      </c>
      <c r="F696" s="2">
        <v>4</v>
      </c>
      <c r="G696" s="8" t="s">
        <v>10167</v>
      </c>
      <c r="H696" s="8" t="s">
        <v>10437</v>
      </c>
      <c r="I696" s="8"/>
      <c r="J696" s="8" t="s">
        <v>10159</v>
      </c>
      <c r="K696" s="8" t="s">
        <v>10832</v>
      </c>
      <c r="L696" s="8" t="str">
        <f>HYPERLINK("https://seichotoushi-hojo.jp/assets/pdf/koufu_3_4ji/outline_136.pdf","PDFを開く")</f>
        <v>PDFを開く</v>
      </c>
      <c r="M696" s="8" t="s">
        <v>2571</v>
      </c>
    </row>
    <row r="697" spans="1:13" ht="66" customHeight="1">
      <c r="A697" s="5" t="s">
        <v>2572</v>
      </c>
      <c r="B697" s="5" t="s">
        <v>2430</v>
      </c>
      <c r="C697" s="9" t="s">
        <v>2573</v>
      </c>
      <c r="D697" s="5">
        <v>1</v>
      </c>
      <c r="E697" s="9" t="s">
        <v>10156</v>
      </c>
      <c r="F697" s="5">
        <v>4</v>
      </c>
      <c r="G697" s="9" t="s">
        <v>8581</v>
      </c>
      <c r="H697" s="9" t="s">
        <v>8581</v>
      </c>
      <c r="I697" s="9"/>
      <c r="J697" s="9" t="s">
        <v>10159</v>
      </c>
      <c r="K697" s="9" t="s">
        <v>9607</v>
      </c>
      <c r="L697" s="9" t="str">
        <f>HYPERLINK("https://seichotoushi-hojo.jp/assets/pdf/koufu_3_4ji/outline_137.pdf","PDFを開く")</f>
        <v>PDFを開く</v>
      </c>
      <c r="M697" s="9" t="s">
        <v>2579</v>
      </c>
    </row>
    <row r="698" spans="1:13" ht="66" customHeight="1">
      <c r="A698" s="2" t="s">
        <v>2572</v>
      </c>
      <c r="B698" s="2" t="s">
        <v>2430</v>
      </c>
      <c r="C698" s="8" t="s">
        <v>2573</v>
      </c>
      <c r="D698" s="2">
        <v>2</v>
      </c>
      <c r="E698" s="8" t="s">
        <v>10165</v>
      </c>
      <c r="F698" s="2">
        <v>1</v>
      </c>
      <c r="G698" s="8" t="s">
        <v>10167</v>
      </c>
      <c r="H698" s="8" t="s">
        <v>4518</v>
      </c>
      <c r="I698" s="8"/>
      <c r="J698" s="8" t="s">
        <v>10159</v>
      </c>
      <c r="K698" s="8" t="s">
        <v>10752</v>
      </c>
      <c r="L698" s="8" t="str">
        <f>HYPERLINK("https://seichotoushi-hojo.jp/assets/pdf/koufu_3_4ji/outline_137.pdf","PDFを開く")</f>
        <v>PDFを開く</v>
      </c>
      <c r="M698" s="8" t="s">
        <v>2579</v>
      </c>
    </row>
    <row r="699" spans="1:13" ht="66" customHeight="1">
      <c r="A699" s="5" t="s">
        <v>2580</v>
      </c>
      <c r="B699" s="5" t="s">
        <v>2430</v>
      </c>
      <c r="C699" s="9" t="s">
        <v>2581</v>
      </c>
      <c r="D699" s="5">
        <v>1</v>
      </c>
      <c r="E699" s="9" t="s">
        <v>10156</v>
      </c>
      <c r="F699" s="5">
        <v>4</v>
      </c>
      <c r="G699" s="9" t="s">
        <v>8581</v>
      </c>
      <c r="H699" s="9" t="s">
        <v>8581</v>
      </c>
      <c r="I699" s="9"/>
      <c r="J699" s="9" t="s">
        <v>10159</v>
      </c>
      <c r="K699" s="9" t="s">
        <v>2584</v>
      </c>
      <c r="L699" s="9" t="str">
        <f>HYPERLINK("https://seichotoushi-hojo.jp/assets/pdf/koufu_3_4ji/outline_138.pdf","PDFを開く")</f>
        <v>PDFを開く</v>
      </c>
      <c r="M699" s="9" t="s">
        <v>2586</v>
      </c>
    </row>
    <row r="700" spans="1:13" ht="66" customHeight="1">
      <c r="A700" s="2" t="s">
        <v>2587</v>
      </c>
      <c r="B700" s="2" t="s">
        <v>2430</v>
      </c>
      <c r="C700" s="8" t="s">
        <v>2588</v>
      </c>
      <c r="D700" s="2">
        <v>1</v>
      </c>
      <c r="E700" s="8" t="s">
        <v>10156</v>
      </c>
      <c r="F700" s="2">
        <v>2</v>
      </c>
      <c r="G700" s="8" t="s">
        <v>8581</v>
      </c>
      <c r="H700" s="8" t="s">
        <v>8581</v>
      </c>
      <c r="I700" s="8"/>
      <c r="J700" s="8" t="s">
        <v>10181</v>
      </c>
      <c r="K700" s="8" t="s">
        <v>9622</v>
      </c>
      <c r="L700" s="8" t="str">
        <f>HYPERLINK("https://seichotoushi-hojo.jp/assets/pdf/koufu_3_4ji/outline_139.pdf","PDFを開く")</f>
        <v>PDFを開く</v>
      </c>
      <c r="M700" s="8" t="s">
        <v>2594</v>
      </c>
    </row>
    <row r="701" spans="1:13" ht="66" customHeight="1">
      <c r="A701" s="5" t="s">
        <v>2595</v>
      </c>
      <c r="B701" s="5" t="s">
        <v>2430</v>
      </c>
      <c r="C701" s="9" t="s">
        <v>2596</v>
      </c>
      <c r="D701" s="5">
        <v>1</v>
      </c>
      <c r="E701" s="9" t="s">
        <v>10156</v>
      </c>
      <c r="F701" s="5">
        <v>4</v>
      </c>
      <c r="G701" s="9" t="s">
        <v>8581</v>
      </c>
      <c r="H701" s="9" t="s">
        <v>8581</v>
      </c>
      <c r="I701" s="9"/>
      <c r="J701" s="9" t="s">
        <v>10159</v>
      </c>
      <c r="K701" s="9" t="s">
        <v>2601</v>
      </c>
      <c r="L701" s="9" t="str">
        <f>HYPERLINK("https://seichotoushi-hojo.jp/assets/pdf/koufu_3_4ji/outline_141.pdf","PDFを開く")</f>
        <v>PDFを開く</v>
      </c>
      <c r="M701" s="9" t="s">
        <v>2604</v>
      </c>
    </row>
    <row r="702" spans="1:13" ht="66" customHeight="1">
      <c r="A702" s="2" t="s">
        <v>2595</v>
      </c>
      <c r="B702" s="2" t="s">
        <v>2430</v>
      </c>
      <c r="C702" s="8" t="s">
        <v>2596</v>
      </c>
      <c r="D702" s="2">
        <v>2</v>
      </c>
      <c r="E702" s="8" t="s">
        <v>10165</v>
      </c>
      <c r="F702" s="2">
        <v>1</v>
      </c>
      <c r="G702" s="8" t="s">
        <v>10184</v>
      </c>
      <c r="H702" s="8" t="s">
        <v>10184</v>
      </c>
      <c r="I702" s="8"/>
      <c r="J702" s="8" t="s">
        <v>10181</v>
      </c>
      <c r="K702" s="8" t="s">
        <v>10837</v>
      </c>
      <c r="L702" s="8" t="str">
        <f>HYPERLINK("https://seichotoushi-hojo.jp/assets/pdf/koufu_3_4ji/outline_141.pdf","PDFを開く")</f>
        <v>PDFを開く</v>
      </c>
      <c r="M702" s="8" t="s">
        <v>2604</v>
      </c>
    </row>
    <row r="703" spans="1:13" ht="66" customHeight="1">
      <c r="A703" s="5" t="s">
        <v>2595</v>
      </c>
      <c r="B703" s="5" t="s">
        <v>2430</v>
      </c>
      <c r="C703" s="9" t="s">
        <v>2596</v>
      </c>
      <c r="D703" s="5">
        <v>3</v>
      </c>
      <c r="E703" s="9" t="s">
        <v>10165</v>
      </c>
      <c r="F703" s="5">
        <v>1</v>
      </c>
      <c r="G703" s="9" t="s">
        <v>10184</v>
      </c>
      <c r="H703" s="9" t="s">
        <v>10184</v>
      </c>
      <c r="I703" s="9"/>
      <c r="J703" s="9" t="s">
        <v>10181</v>
      </c>
      <c r="K703" s="9" t="s">
        <v>10838</v>
      </c>
      <c r="L703" s="9" t="str">
        <f>HYPERLINK("https://seichotoushi-hojo.jp/assets/pdf/koufu_3_4ji/outline_141.pdf","PDFを開く")</f>
        <v>PDFを開く</v>
      </c>
      <c r="M703" s="9" t="s">
        <v>2604</v>
      </c>
    </row>
    <row r="704" spans="1:13" ht="66" customHeight="1">
      <c r="A704" s="2" t="s">
        <v>2605</v>
      </c>
      <c r="B704" s="2" t="s">
        <v>2430</v>
      </c>
      <c r="C704" s="8" t="s">
        <v>2606</v>
      </c>
      <c r="D704" s="2">
        <v>1</v>
      </c>
      <c r="E704" s="8" t="s">
        <v>10156</v>
      </c>
      <c r="F704" s="2">
        <v>4</v>
      </c>
      <c r="G704" s="8" t="s">
        <v>8581</v>
      </c>
      <c r="H704" s="8" t="s">
        <v>8581</v>
      </c>
      <c r="I704" s="8"/>
      <c r="J704" s="8" t="s">
        <v>10159</v>
      </c>
      <c r="K704" s="8" t="s">
        <v>2609</v>
      </c>
      <c r="L704" s="8" t="str">
        <f>HYPERLINK("https://seichotoushi-hojo.jp/assets/pdf/koufu_3_4ji/outline_143.pdf","PDFを開く")</f>
        <v>PDFを開く</v>
      </c>
      <c r="M704" s="8" t="s">
        <v>2611</v>
      </c>
    </row>
    <row r="705" spans="1:13" ht="66" customHeight="1">
      <c r="A705" s="5" t="s">
        <v>2612</v>
      </c>
      <c r="B705" s="5" t="s">
        <v>2430</v>
      </c>
      <c r="C705" s="9" t="s">
        <v>2613</v>
      </c>
      <c r="D705" s="5">
        <v>1</v>
      </c>
      <c r="E705" s="9" t="s">
        <v>10156</v>
      </c>
      <c r="F705" s="5">
        <v>3</v>
      </c>
      <c r="G705" s="9" t="s">
        <v>10167</v>
      </c>
      <c r="H705" s="9" t="s">
        <v>10839</v>
      </c>
      <c r="I705" s="9"/>
      <c r="J705" s="9" t="s">
        <v>10159</v>
      </c>
      <c r="K705" s="9" t="s">
        <v>10840</v>
      </c>
      <c r="L705" s="9" t="str">
        <f>HYPERLINK("https://seichotoushi-hojo.jp/assets/pdf/koufu_3_4ji/outline_144.pdf","PDFを開く")</f>
        <v>PDFを開く</v>
      </c>
      <c r="M705" s="9" t="s">
        <v>2619</v>
      </c>
    </row>
    <row r="706" spans="1:13" ht="66" customHeight="1">
      <c r="A706" s="2" t="s">
        <v>2612</v>
      </c>
      <c r="B706" s="2" t="s">
        <v>2430</v>
      </c>
      <c r="C706" s="8" t="s">
        <v>2613</v>
      </c>
      <c r="D706" s="2">
        <v>1</v>
      </c>
      <c r="E706" s="8" t="s">
        <v>10156</v>
      </c>
      <c r="F706" s="2">
        <v>5</v>
      </c>
      <c r="G706" s="8" t="s">
        <v>8581</v>
      </c>
      <c r="H706" s="8" t="s">
        <v>8581</v>
      </c>
      <c r="I706" s="8"/>
      <c r="J706" s="8" t="s">
        <v>10159</v>
      </c>
      <c r="K706" s="8" t="s">
        <v>2617</v>
      </c>
      <c r="L706" s="8" t="str">
        <f>HYPERLINK("https://seichotoushi-hojo.jp/assets/pdf/koufu_3_4ji/outline_144.pdf","PDFを開く")</f>
        <v>PDFを開く</v>
      </c>
      <c r="M706" s="8" t="s">
        <v>2619</v>
      </c>
    </row>
    <row r="707" spans="1:13" ht="66" customHeight="1">
      <c r="A707" s="5" t="s">
        <v>2612</v>
      </c>
      <c r="B707" s="5" t="s">
        <v>2430</v>
      </c>
      <c r="C707" s="9" t="s">
        <v>2613</v>
      </c>
      <c r="D707" s="5">
        <v>1</v>
      </c>
      <c r="E707" s="9" t="s">
        <v>10156</v>
      </c>
      <c r="F707" s="5">
        <v>6</v>
      </c>
      <c r="G707" s="9" t="s">
        <v>10167</v>
      </c>
      <c r="H707" s="9" t="s">
        <v>10841</v>
      </c>
      <c r="I707" s="9"/>
      <c r="J707" s="9" t="s">
        <v>10159</v>
      </c>
      <c r="K707" s="9" t="s">
        <v>10842</v>
      </c>
      <c r="L707" s="9" t="str">
        <f>HYPERLINK("https://seichotoushi-hojo.jp/assets/pdf/koufu_3_4ji/outline_144.pdf","PDFを開く")</f>
        <v>PDFを開く</v>
      </c>
      <c r="M707" s="9" t="s">
        <v>2619</v>
      </c>
    </row>
    <row r="708" spans="1:13" ht="66" customHeight="1">
      <c r="A708" s="2" t="s">
        <v>2620</v>
      </c>
      <c r="B708" s="2" t="s">
        <v>2430</v>
      </c>
      <c r="C708" s="8" t="s">
        <v>2621</v>
      </c>
      <c r="D708" s="2">
        <v>1</v>
      </c>
      <c r="E708" s="8" t="s">
        <v>10156</v>
      </c>
      <c r="F708" s="2">
        <v>4</v>
      </c>
      <c r="G708" s="8" t="s">
        <v>8581</v>
      </c>
      <c r="H708" s="8" t="s">
        <v>8581</v>
      </c>
      <c r="I708" s="8"/>
      <c r="J708" s="8" t="s">
        <v>10159</v>
      </c>
      <c r="K708" s="8" t="s">
        <v>2625</v>
      </c>
      <c r="L708" s="8" t="str">
        <f t="shared" ref="L708:L713" si="18">HYPERLINK("https://seichotoushi-hojo.jp/assets/pdf/koufu_3_4ji/outline_145.pdf","PDFを開く")</f>
        <v>PDFを開く</v>
      </c>
      <c r="M708" s="8" t="s">
        <v>2628</v>
      </c>
    </row>
    <row r="709" spans="1:13" ht="66" customHeight="1">
      <c r="A709" s="5" t="s">
        <v>2620</v>
      </c>
      <c r="B709" s="5" t="s">
        <v>2430</v>
      </c>
      <c r="C709" s="9" t="s">
        <v>2621</v>
      </c>
      <c r="D709" s="5">
        <v>2</v>
      </c>
      <c r="E709" s="9" t="s">
        <v>10165</v>
      </c>
      <c r="F709" s="5">
        <v>1</v>
      </c>
      <c r="G709" s="9" t="s">
        <v>10167</v>
      </c>
      <c r="H709" s="9" t="s">
        <v>10843</v>
      </c>
      <c r="I709" s="9"/>
      <c r="J709" s="9" t="s">
        <v>10159</v>
      </c>
      <c r="K709" s="9" t="s">
        <v>10844</v>
      </c>
      <c r="L709" s="9" t="str">
        <f t="shared" si="18"/>
        <v>PDFを開く</v>
      </c>
      <c r="M709" s="9" t="s">
        <v>2628</v>
      </c>
    </row>
    <row r="710" spans="1:13" ht="66" customHeight="1">
      <c r="A710" s="2" t="s">
        <v>2620</v>
      </c>
      <c r="B710" s="2" t="s">
        <v>2430</v>
      </c>
      <c r="C710" s="8" t="s">
        <v>2621</v>
      </c>
      <c r="D710" s="2">
        <v>2</v>
      </c>
      <c r="E710" s="8" t="s">
        <v>10165</v>
      </c>
      <c r="F710" s="2">
        <v>2</v>
      </c>
      <c r="G710" s="8" t="s">
        <v>10167</v>
      </c>
      <c r="H710" s="8" t="s">
        <v>10845</v>
      </c>
      <c r="I710" s="8"/>
      <c r="J710" s="8" t="s">
        <v>10159</v>
      </c>
      <c r="K710" s="8" t="s">
        <v>10846</v>
      </c>
      <c r="L710" s="8" t="str">
        <f t="shared" si="18"/>
        <v>PDFを開く</v>
      </c>
      <c r="M710" s="8" t="s">
        <v>2628</v>
      </c>
    </row>
    <row r="711" spans="1:13" ht="66" customHeight="1">
      <c r="A711" s="5" t="s">
        <v>2620</v>
      </c>
      <c r="B711" s="5" t="s">
        <v>2430</v>
      </c>
      <c r="C711" s="9" t="s">
        <v>2621</v>
      </c>
      <c r="D711" s="5">
        <v>2</v>
      </c>
      <c r="E711" s="9" t="s">
        <v>10165</v>
      </c>
      <c r="F711" s="5">
        <v>3</v>
      </c>
      <c r="G711" s="9" t="s">
        <v>10167</v>
      </c>
      <c r="H711" s="9" t="s">
        <v>10847</v>
      </c>
      <c r="I711" s="9"/>
      <c r="J711" s="9" t="s">
        <v>10159</v>
      </c>
      <c r="K711" s="9" t="s">
        <v>10847</v>
      </c>
      <c r="L711" s="9" t="str">
        <f t="shared" si="18"/>
        <v>PDFを開く</v>
      </c>
      <c r="M711" s="9" t="s">
        <v>2628</v>
      </c>
    </row>
    <row r="712" spans="1:13" ht="66" customHeight="1">
      <c r="A712" s="2" t="s">
        <v>2620</v>
      </c>
      <c r="B712" s="2" t="s">
        <v>2430</v>
      </c>
      <c r="C712" s="8" t="s">
        <v>2621</v>
      </c>
      <c r="D712" s="2">
        <v>2</v>
      </c>
      <c r="E712" s="8" t="s">
        <v>10165</v>
      </c>
      <c r="F712" s="2">
        <v>4</v>
      </c>
      <c r="G712" s="8" t="s">
        <v>10167</v>
      </c>
      <c r="H712" s="8" t="s">
        <v>10848</v>
      </c>
      <c r="I712" s="8"/>
      <c r="J712" s="8" t="s">
        <v>10159</v>
      </c>
      <c r="K712" s="8" t="s">
        <v>10849</v>
      </c>
      <c r="L712" s="8" t="str">
        <f t="shared" si="18"/>
        <v>PDFを開く</v>
      </c>
      <c r="M712" s="8" t="s">
        <v>2628</v>
      </c>
    </row>
    <row r="713" spans="1:13" ht="66" customHeight="1">
      <c r="A713" s="5" t="s">
        <v>2620</v>
      </c>
      <c r="B713" s="5" t="s">
        <v>2430</v>
      </c>
      <c r="C713" s="9" t="s">
        <v>2621</v>
      </c>
      <c r="D713" s="5">
        <v>2</v>
      </c>
      <c r="E713" s="9" t="s">
        <v>10165</v>
      </c>
      <c r="F713" s="5">
        <v>5</v>
      </c>
      <c r="G713" s="9" t="s">
        <v>10167</v>
      </c>
      <c r="H713" s="9" t="s">
        <v>10850</v>
      </c>
      <c r="I713" s="9"/>
      <c r="J713" s="9" t="s">
        <v>10159</v>
      </c>
      <c r="K713" s="9" t="s">
        <v>10851</v>
      </c>
      <c r="L713" s="9" t="str">
        <f t="shared" si="18"/>
        <v>PDFを開く</v>
      </c>
      <c r="M713" s="9" t="s">
        <v>2628</v>
      </c>
    </row>
    <row r="714" spans="1:13" ht="66" customHeight="1">
      <c r="A714" s="2" t="s">
        <v>2629</v>
      </c>
      <c r="B714" s="2" t="s">
        <v>2430</v>
      </c>
      <c r="C714" s="8" t="s">
        <v>2630</v>
      </c>
      <c r="D714" s="2">
        <v>1</v>
      </c>
      <c r="E714" s="8" t="s">
        <v>10156</v>
      </c>
      <c r="F714" s="2">
        <v>4</v>
      </c>
      <c r="G714" s="8" t="s">
        <v>8581</v>
      </c>
      <c r="H714" s="8" t="s">
        <v>8581</v>
      </c>
      <c r="I714" s="8"/>
      <c r="J714" s="8" t="s">
        <v>10159</v>
      </c>
      <c r="K714" s="8" t="s">
        <v>2633</v>
      </c>
      <c r="L714" s="8" t="str">
        <f>HYPERLINK("https://seichotoushi-hojo.jp/assets/pdf/koufu_3_4ji/outline_146.pdf","PDFを開く")</f>
        <v>PDFを開く</v>
      </c>
      <c r="M714" s="8" t="s">
        <v>2635</v>
      </c>
    </row>
    <row r="715" spans="1:13" ht="66" customHeight="1">
      <c r="A715" s="5" t="s">
        <v>2636</v>
      </c>
      <c r="B715" s="5" t="s">
        <v>2430</v>
      </c>
      <c r="C715" s="9" t="s">
        <v>2637</v>
      </c>
      <c r="D715" s="5">
        <v>1</v>
      </c>
      <c r="E715" s="9" t="s">
        <v>10156</v>
      </c>
      <c r="F715" s="5">
        <v>3</v>
      </c>
      <c r="G715" s="9" t="s">
        <v>8581</v>
      </c>
      <c r="H715" s="9" t="s">
        <v>8581</v>
      </c>
      <c r="I715" s="9"/>
      <c r="J715" s="9" t="s">
        <v>10159</v>
      </c>
      <c r="K715" s="9" t="s">
        <v>9665</v>
      </c>
      <c r="L715" s="9" t="str">
        <f>HYPERLINK("https://seichotoushi-hojo.jp/assets/pdf/koufu_3_4ji/outline_147.pdf","PDFを開く")</f>
        <v>PDFを開く</v>
      </c>
      <c r="M715" s="9" t="s">
        <v>2645</v>
      </c>
    </row>
    <row r="716" spans="1:13" ht="66" customHeight="1">
      <c r="A716" s="2" t="s">
        <v>2646</v>
      </c>
      <c r="B716" s="2" t="s">
        <v>2430</v>
      </c>
      <c r="C716" s="8" t="s">
        <v>2647</v>
      </c>
      <c r="D716" s="2">
        <v>1</v>
      </c>
      <c r="E716" s="8" t="s">
        <v>10156</v>
      </c>
      <c r="F716" s="2">
        <v>4</v>
      </c>
      <c r="G716" s="8" t="s">
        <v>8581</v>
      </c>
      <c r="H716" s="8" t="s">
        <v>8581</v>
      </c>
      <c r="I716" s="8"/>
      <c r="J716" s="8" t="s">
        <v>10159</v>
      </c>
      <c r="K716" s="8" t="s">
        <v>9673</v>
      </c>
      <c r="L716" s="8" t="str">
        <f>HYPERLINK("https://seichotoushi-hojo.jp/assets/pdf/koufu_3_4ji/outline_148.pdf","PDFを開く")</f>
        <v>PDFを開く</v>
      </c>
      <c r="M716" s="8" t="s">
        <v>2653</v>
      </c>
    </row>
    <row r="717" spans="1:13" ht="66" customHeight="1">
      <c r="A717" s="5" t="s">
        <v>2646</v>
      </c>
      <c r="B717" s="5" t="s">
        <v>2430</v>
      </c>
      <c r="C717" s="9" t="s">
        <v>2647</v>
      </c>
      <c r="D717" s="5">
        <v>1</v>
      </c>
      <c r="E717" s="9" t="s">
        <v>10156</v>
      </c>
      <c r="F717" s="5">
        <v>5</v>
      </c>
      <c r="G717" s="9" t="s">
        <v>10167</v>
      </c>
      <c r="H717" s="9" t="s">
        <v>10439</v>
      </c>
      <c r="I717" s="9"/>
      <c r="J717" s="9" t="s">
        <v>10159</v>
      </c>
      <c r="K717" s="9" t="s">
        <v>10852</v>
      </c>
      <c r="L717" s="9" t="str">
        <f>HYPERLINK("https://seichotoushi-hojo.jp/assets/pdf/koufu_3_4ji/outline_148.pdf","PDFを開く")</f>
        <v>PDFを開く</v>
      </c>
      <c r="M717" s="9" t="s">
        <v>2653</v>
      </c>
    </row>
    <row r="718" spans="1:13" ht="66" customHeight="1">
      <c r="A718" s="2" t="s">
        <v>2646</v>
      </c>
      <c r="B718" s="2" t="s">
        <v>2430</v>
      </c>
      <c r="C718" s="8" t="s">
        <v>2647</v>
      </c>
      <c r="D718" s="2">
        <v>2</v>
      </c>
      <c r="E718" s="8" t="s">
        <v>10165</v>
      </c>
      <c r="F718" s="2">
        <v>1</v>
      </c>
      <c r="G718" s="8" t="s">
        <v>10167</v>
      </c>
      <c r="H718" s="8" t="s">
        <v>10853</v>
      </c>
      <c r="I718" s="8"/>
      <c r="J718" s="8" t="s">
        <v>10159</v>
      </c>
      <c r="K718" s="8" t="s">
        <v>10853</v>
      </c>
      <c r="L718" s="8" t="str">
        <f>HYPERLINK("https://seichotoushi-hojo.jp/assets/pdf/koufu_3_4ji/outline_148.pdf","PDFを開く")</f>
        <v>PDFを開く</v>
      </c>
      <c r="M718" s="8" t="s">
        <v>2653</v>
      </c>
    </row>
    <row r="719" spans="1:13" ht="66" customHeight="1">
      <c r="A719" s="5" t="s">
        <v>2654</v>
      </c>
      <c r="B719" s="5" t="s">
        <v>2430</v>
      </c>
      <c r="C719" s="9" t="s">
        <v>2655</v>
      </c>
      <c r="D719" s="5">
        <v>1</v>
      </c>
      <c r="E719" s="9" t="s">
        <v>10156</v>
      </c>
      <c r="F719" s="5">
        <v>4</v>
      </c>
      <c r="G719" s="9" t="s">
        <v>8581</v>
      </c>
      <c r="H719" s="9" t="s">
        <v>8581</v>
      </c>
      <c r="I719" s="9"/>
      <c r="J719" s="9" t="s">
        <v>10159</v>
      </c>
      <c r="K719" s="9" t="s">
        <v>2659</v>
      </c>
      <c r="L719" s="9" t="str">
        <f>HYPERLINK("https://seichotoushi-hojo.jp/assets/pdf/koufu_3_4ji/outline_149.pdf","PDFを開く")</f>
        <v>PDFを開く</v>
      </c>
      <c r="M719" s="9" t="s">
        <v>2661</v>
      </c>
    </row>
    <row r="720" spans="1:13" ht="66" customHeight="1">
      <c r="A720" s="2" t="s">
        <v>2662</v>
      </c>
      <c r="B720" s="2" t="s">
        <v>2430</v>
      </c>
      <c r="C720" s="8" t="s">
        <v>2663</v>
      </c>
      <c r="D720" s="2">
        <v>1</v>
      </c>
      <c r="E720" s="8" t="s">
        <v>10156</v>
      </c>
      <c r="F720" s="2">
        <v>4</v>
      </c>
      <c r="G720" s="8" t="s">
        <v>8581</v>
      </c>
      <c r="H720" s="8" t="s">
        <v>8581</v>
      </c>
      <c r="I720" s="8"/>
      <c r="J720" s="8" t="s">
        <v>10159</v>
      </c>
      <c r="K720" s="8" t="s">
        <v>2665</v>
      </c>
      <c r="L720" s="8" t="str">
        <f>HYPERLINK("https://seichotoushi-hojo.jp/assets/pdf/koufu_3_4ji/outline_150.pdf","PDFを開く")</f>
        <v>PDFを開く</v>
      </c>
      <c r="M720" s="8" t="s">
        <v>2667</v>
      </c>
    </row>
    <row r="721" spans="1:13" ht="66" customHeight="1">
      <c r="A721" s="5" t="s">
        <v>2662</v>
      </c>
      <c r="B721" s="5" t="s">
        <v>2430</v>
      </c>
      <c r="C721" s="9" t="s">
        <v>2663</v>
      </c>
      <c r="D721" s="5">
        <v>2</v>
      </c>
      <c r="E721" s="9" t="s">
        <v>10165</v>
      </c>
      <c r="F721" s="5">
        <v>1</v>
      </c>
      <c r="G721" s="9" t="s">
        <v>10184</v>
      </c>
      <c r="H721" s="9" t="s">
        <v>10184</v>
      </c>
      <c r="I721" s="9"/>
      <c r="J721" s="9" t="s">
        <v>10181</v>
      </c>
      <c r="K721" s="9" t="s">
        <v>10854</v>
      </c>
      <c r="L721" s="9" t="str">
        <f>HYPERLINK("https://seichotoushi-hojo.jp/assets/pdf/koufu_3_4ji/outline_150.pdf","PDFを開く")</f>
        <v>PDFを開く</v>
      </c>
      <c r="M721" s="9" t="s">
        <v>2667</v>
      </c>
    </row>
    <row r="722" spans="1:13" ht="66" customHeight="1">
      <c r="A722" s="2" t="s">
        <v>2668</v>
      </c>
      <c r="B722" s="2" t="s">
        <v>2430</v>
      </c>
      <c r="C722" s="8" t="s">
        <v>2669</v>
      </c>
      <c r="D722" s="2">
        <v>1</v>
      </c>
      <c r="E722" s="8" t="s">
        <v>10156</v>
      </c>
      <c r="F722" s="2">
        <v>4</v>
      </c>
      <c r="G722" s="8" t="s">
        <v>8581</v>
      </c>
      <c r="H722" s="8" t="s">
        <v>8581</v>
      </c>
      <c r="I722" s="8"/>
      <c r="J722" s="8" t="s">
        <v>10159</v>
      </c>
      <c r="K722" s="8" t="s">
        <v>2673</v>
      </c>
      <c r="L722" s="8" t="str">
        <f>HYPERLINK("https://seichotoushi-hojo.jp/assets/pdf/koufu_3_4ji/outline_152.pdf","PDFを開く")</f>
        <v>PDFを開く</v>
      </c>
      <c r="M722" s="8" t="s">
        <v>2675</v>
      </c>
    </row>
    <row r="723" spans="1:13" ht="66" customHeight="1">
      <c r="A723" s="5" t="s">
        <v>2676</v>
      </c>
      <c r="B723" s="5" t="s">
        <v>2430</v>
      </c>
      <c r="C723" s="9" t="s">
        <v>2677</v>
      </c>
      <c r="D723" s="5">
        <v>1</v>
      </c>
      <c r="E723" s="9" t="s">
        <v>10156</v>
      </c>
      <c r="F723" s="5">
        <v>4</v>
      </c>
      <c r="G723" s="9" t="s">
        <v>8581</v>
      </c>
      <c r="H723" s="9" t="s">
        <v>8581</v>
      </c>
      <c r="I723" s="9"/>
      <c r="J723" s="9" t="s">
        <v>10159</v>
      </c>
      <c r="K723" s="9" t="s">
        <v>2681</v>
      </c>
      <c r="L723" s="9" t="str">
        <f>HYPERLINK("https://seichotoushi-hojo.jp/assets/pdf/koufu_3_4ji/outline_153.pdf","PDFを開く")</f>
        <v>PDFを開く</v>
      </c>
      <c r="M723" s="9" t="s">
        <v>2683</v>
      </c>
    </row>
    <row r="724" spans="1:13" ht="66" customHeight="1">
      <c r="A724" s="2" t="s">
        <v>2684</v>
      </c>
      <c r="B724" s="2" t="s">
        <v>2430</v>
      </c>
      <c r="C724" s="8" t="s">
        <v>2685</v>
      </c>
      <c r="D724" s="2">
        <v>1</v>
      </c>
      <c r="E724" s="8" t="s">
        <v>10156</v>
      </c>
      <c r="F724" s="2">
        <v>1</v>
      </c>
      <c r="G724" s="8" t="s">
        <v>10167</v>
      </c>
      <c r="H724" s="8" t="s">
        <v>10855</v>
      </c>
      <c r="I724" s="8"/>
      <c r="J724" s="8" t="s">
        <v>10159</v>
      </c>
      <c r="K724" s="8" t="s">
        <v>10856</v>
      </c>
      <c r="L724" s="8" t="str">
        <f>HYPERLINK("https://seichotoushi-hojo.jp/assets/pdf/koufu_3_4ji/outline_154.pdf","PDFを開く")</f>
        <v>PDFを開く</v>
      </c>
      <c r="M724" s="8" t="s">
        <v>2692</v>
      </c>
    </row>
    <row r="725" spans="1:13" ht="66" customHeight="1">
      <c r="A725" s="5" t="s">
        <v>2684</v>
      </c>
      <c r="B725" s="5" t="s">
        <v>2430</v>
      </c>
      <c r="C725" s="9" t="s">
        <v>2685</v>
      </c>
      <c r="D725" s="5">
        <v>2</v>
      </c>
      <c r="E725" s="9" t="s">
        <v>10156</v>
      </c>
      <c r="F725" s="5">
        <v>1</v>
      </c>
      <c r="G725" s="9" t="s">
        <v>10167</v>
      </c>
      <c r="H725" s="9" t="s">
        <v>10857</v>
      </c>
      <c r="I725" s="9"/>
      <c r="J725" s="9" t="s">
        <v>10159</v>
      </c>
      <c r="K725" s="9" t="s">
        <v>10858</v>
      </c>
      <c r="L725" s="9" t="str">
        <f>HYPERLINK("https://seichotoushi-hojo.jp/assets/pdf/koufu_3_4ji/outline_154.pdf","PDFを開く")</f>
        <v>PDFを開く</v>
      </c>
      <c r="M725" s="9" t="s">
        <v>2692</v>
      </c>
    </row>
    <row r="726" spans="1:13" ht="66" customHeight="1">
      <c r="A726" s="2" t="s">
        <v>2684</v>
      </c>
      <c r="B726" s="2" t="s">
        <v>2430</v>
      </c>
      <c r="C726" s="8" t="s">
        <v>2685</v>
      </c>
      <c r="D726" s="2">
        <v>3</v>
      </c>
      <c r="E726" s="8" t="s">
        <v>10156</v>
      </c>
      <c r="F726" s="2">
        <v>4</v>
      </c>
      <c r="G726" s="8" t="s">
        <v>8581</v>
      </c>
      <c r="H726" s="8" t="s">
        <v>8581</v>
      </c>
      <c r="I726" s="8"/>
      <c r="J726" s="8" t="s">
        <v>10159</v>
      </c>
      <c r="K726" s="8" t="s">
        <v>9709</v>
      </c>
      <c r="L726" s="8" t="str">
        <f>HYPERLINK("https://seichotoushi-hojo.jp/assets/pdf/koufu_3_4ji/outline_154.pdf","PDFを開く")</f>
        <v>PDFを開く</v>
      </c>
      <c r="M726" s="8" t="s">
        <v>2692</v>
      </c>
    </row>
    <row r="727" spans="1:13" ht="66" customHeight="1">
      <c r="A727" s="5" t="s">
        <v>2684</v>
      </c>
      <c r="B727" s="5" t="s">
        <v>2430</v>
      </c>
      <c r="C727" s="9" t="s">
        <v>2685</v>
      </c>
      <c r="D727" s="5">
        <v>4</v>
      </c>
      <c r="E727" s="9" t="s">
        <v>10165</v>
      </c>
      <c r="F727" s="5">
        <v>1</v>
      </c>
      <c r="G727" s="9" t="s">
        <v>10167</v>
      </c>
      <c r="H727" s="9" t="s">
        <v>10859</v>
      </c>
      <c r="I727" s="9"/>
      <c r="J727" s="9" t="s">
        <v>10159</v>
      </c>
      <c r="K727" s="9" t="s">
        <v>10859</v>
      </c>
      <c r="L727" s="9" t="str">
        <f>HYPERLINK("https://seichotoushi-hojo.jp/assets/pdf/koufu_3_4ji/outline_154.pdf","PDFを開く")</f>
        <v>PDFを開く</v>
      </c>
      <c r="M727" s="9" t="s">
        <v>2692</v>
      </c>
    </row>
    <row r="728" spans="1:13" ht="66" customHeight="1">
      <c r="A728" s="2" t="s">
        <v>2693</v>
      </c>
      <c r="B728" s="2" t="s">
        <v>2430</v>
      </c>
      <c r="C728" s="8" t="s">
        <v>2694</v>
      </c>
      <c r="D728" s="2">
        <v>1</v>
      </c>
      <c r="E728" s="8" t="s">
        <v>10156</v>
      </c>
      <c r="F728" s="2">
        <v>4</v>
      </c>
      <c r="G728" s="8" t="s">
        <v>8581</v>
      </c>
      <c r="H728" s="8" t="s">
        <v>8581</v>
      </c>
      <c r="I728" s="8"/>
      <c r="J728" s="8" t="s">
        <v>10159</v>
      </c>
      <c r="K728" s="8" t="s">
        <v>2697</v>
      </c>
      <c r="L728" s="8" t="str">
        <f>HYPERLINK("https://seichotoushi-hojo.jp/assets/pdf/koufu_3_4ji/outline_155.pdf","PDFを開く")</f>
        <v>PDFを開く</v>
      </c>
      <c r="M728" s="8" t="s">
        <v>2699</v>
      </c>
    </row>
    <row r="729" spans="1:13" ht="66" customHeight="1">
      <c r="A729" s="5" t="s">
        <v>2700</v>
      </c>
      <c r="B729" s="5" t="s">
        <v>2430</v>
      </c>
      <c r="C729" s="9" t="s">
        <v>2701</v>
      </c>
      <c r="D729" s="5">
        <v>1</v>
      </c>
      <c r="E729" s="9" t="s">
        <v>10156</v>
      </c>
      <c r="F729" s="5">
        <v>2</v>
      </c>
      <c r="G729" s="9" t="s">
        <v>10167</v>
      </c>
      <c r="H729" s="9" t="s">
        <v>10860</v>
      </c>
      <c r="I729" s="9"/>
      <c r="J729" s="9" t="s">
        <v>10159</v>
      </c>
      <c r="K729" s="9" t="s">
        <v>10861</v>
      </c>
      <c r="L729" s="9" t="str">
        <f>HYPERLINK("https://seichotoushi-hojo.jp/assets/pdf/koufu_3_4ji/outline_156.pdf","PDFを開く")</f>
        <v>PDFを開く</v>
      </c>
      <c r="M729" s="9" t="s">
        <v>2708</v>
      </c>
    </row>
    <row r="730" spans="1:13" ht="66" customHeight="1">
      <c r="A730" s="2" t="s">
        <v>2700</v>
      </c>
      <c r="B730" s="2" t="s">
        <v>2430</v>
      </c>
      <c r="C730" s="8" t="s">
        <v>2701</v>
      </c>
      <c r="D730" s="2">
        <v>1</v>
      </c>
      <c r="E730" s="8" t="s">
        <v>10156</v>
      </c>
      <c r="F730" s="2">
        <v>3</v>
      </c>
      <c r="G730" s="8" t="s">
        <v>10167</v>
      </c>
      <c r="H730" s="8" t="s">
        <v>10862</v>
      </c>
      <c r="I730" s="8"/>
      <c r="J730" s="8" t="s">
        <v>10159</v>
      </c>
      <c r="K730" s="8" t="s">
        <v>10863</v>
      </c>
      <c r="L730" s="8" t="str">
        <f>HYPERLINK("https://seichotoushi-hojo.jp/assets/pdf/koufu_3_4ji/outline_156.pdf","PDFを開く")</f>
        <v>PDFを開く</v>
      </c>
      <c r="M730" s="8" t="s">
        <v>2708</v>
      </c>
    </row>
    <row r="731" spans="1:13" ht="66" customHeight="1">
      <c r="A731" s="5" t="s">
        <v>2700</v>
      </c>
      <c r="B731" s="5" t="s">
        <v>2430</v>
      </c>
      <c r="C731" s="9" t="s">
        <v>2701</v>
      </c>
      <c r="D731" s="5">
        <v>1</v>
      </c>
      <c r="E731" s="9" t="s">
        <v>10156</v>
      </c>
      <c r="F731" s="5">
        <v>5</v>
      </c>
      <c r="G731" s="9" t="s">
        <v>10167</v>
      </c>
      <c r="H731" s="9" t="s">
        <v>10864</v>
      </c>
      <c r="I731" s="9"/>
      <c r="J731" s="9" t="s">
        <v>10159</v>
      </c>
      <c r="K731" s="9" t="s">
        <v>10865</v>
      </c>
      <c r="L731" s="9" t="str">
        <f>HYPERLINK("https://seichotoushi-hojo.jp/assets/pdf/koufu_3_4ji/outline_156.pdf","PDFを開く")</f>
        <v>PDFを開く</v>
      </c>
      <c r="M731" s="9" t="s">
        <v>2708</v>
      </c>
    </row>
    <row r="732" spans="1:13" ht="66" customHeight="1">
      <c r="A732" s="2" t="s">
        <v>2700</v>
      </c>
      <c r="B732" s="2" t="s">
        <v>2430</v>
      </c>
      <c r="C732" s="8" t="s">
        <v>2701</v>
      </c>
      <c r="D732" s="2">
        <v>1</v>
      </c>
      <c r="E732" s="8" t="s">
        <v>10156</v>
      </c>
      <c r="F732" s="2">
        <v>7</v>
      </c>
      <c r="G732" s="8" t="s">
        <v>10167</v>
      </c>
      <c r="H732" s="8" t="s">
        <v>10866</v>
      </c>
      <c r="I732" s="8"/>
      <c r="J732" s="8" t="s">
        <v>10159</v>
      </c>
      <c r="K732" s="8" t="s">
        <v>2705</v>
      </c>
      <c r="L732" s="8" t="str">
        <f>HYPERLINK("https://seichotoushi-hojo.jp/assets/pdf/koufu_3_4ji/outline_156.pdf","PDFを開く")</f>
        <v>PDFを開く</v>
      </c>
      <c r="M732" s="8" t="s">
        <v>2708</v>
      </c>
    </row>
    <row r="733" spans="1:13" ht="66" customHeight="1">
      <c r="A733" s="5" t="s">
        <v>2709</v>
      </c>
      <c r="B733" s="5" t="s">
        <v>2430</v>
      </c>
      <c r="C733" s="9" t="s">
        <v>2710</v>
      </c>
      <c r="D733" s="5">
        <v>1</v>
      </c>
      <c r="E733" s="9" t="s">
        <v>10156</v>
      </c>
      <c r="F733" s="5">
        <v>4</v>
      </c>
      <c r="G733" s="9" t="s">
        <v>8581</v>
      </c>
      <c r="H733" s="9" t="s">
        <v>8581</v>
      </c>
      <c r="I733" s="9"/>
      <c r="J733" s="9" t="s">
        <v>10159</v>
      </c>
      <c r="K733" s="9" t="s">
        <v>9731</v>
      </c>
      <c r="L733" s="9" t="str">
        <f>HYPERLINK("https://seichotoushi-hojo.jp/assets/pdf/koufu_3_4ji/outline_157.pdf","PDFを開く")</f>
        <v>PDFを開く</v>
      </c>
      <c r="M733" s="9" t="s">
        <v>2716</v>
      </c>
    </row>
    <row r="734" spans="1:13" ht="66" customHeight="1">
      <c r="A734" s="2" t="s">
        <v>2717</v>
      </c>
      <c r="B734" s="2" t="s">
        <v>2430</v>
      </c>
      <c r="C734" s="8" t="s">
        <v>2718</v>
      </c>
      <c r="D734" s="2">
        <v>1</v>
      </c>
      <c r="E734" s="8" t="s">
        <v>10156</v>
      </c>
      <c r="F734" s="2">
        <v>2</v>
      </c>
      <c r="G734" s="8" t="s">
        <v>8581</v>
      </c>
      <c r="H734" s="8" t="s">
        <v>8581</v>
      </c>
      <c r="I734" s="8"/>
      <c r="J734" s="8" t="s">
        <v>10181</v>
      </c>
      <c r="K734" s="8" t="s">
        <v>9739</v>
      </c>
      <c r="L734" s="8" t="str">
        <f t="shared" ref="L734:L739" si="19">HYPERLINK("https://seichotoushi-hojo.jp/assets/pdf/koufu_3_4ji/outline_158.pdf","PDFを開く")</f>
        <v>PDFを開く</v>
      </c>
      <c r="M734" s="8" t="s">
        <v>2724</v>
      </c>
    </row>
    <row r="735" spans="1:13" ht="66" customHeight="1">
      <c r="A735" s="5" t="s">
        <v>2717</v>
      </c>
      <c r="B735" s="5" t="s">
        <v>2430</v>
      </c>
      <c r="C735" s="9" t="s">
        <v>2718</v>
      </c>
      <c r="D735" s="5">
        <v>2</v>
      </c>
      <c r="E735" s="9" t="s">
        <v>10165</v>
      </c>
      <c r="F735" s="5">
        <v>1</v>
      </c>
      <c r="G735" s="9" t="s">
        <v>10184</v>
      </c>
      <c r="H735" s="9" t="s">
        <v>10184</v>
      </c>
      <c r="I735" s="9"/>
      <c r="J735" s="9" t="s">
        <v>10181</v>
      </c>
      <c r="K735" s="9" t="s">
        <v>10867</v>
      </c>
      <c r="L735" s="9" t="str">
        <f t="shared" si="19"/>
        <v>PDFを開く</v>
      </c>
      <c r="M735" s="9" t="s">
        <v>2724</v>
      </c>
    </row>
    <row r="736" spans="1:13" ht="66" customHeight="1">
      <c r="A736" s="2" t="s">
        <v>2717</v>
      </c>
      <c r="B736" s="2" t="s">
        <v>2430</v>
      </c>
      <c r="C736" s="8" t="s">
        <v>2718</v>
      </c>
      <c r="D736" s="2">
        <v>3</v>
      </c>
      <c r="E736" s="8" t="s">
        <v>10165</v>
      </c>
      <c r="F736" s="2">
        <v>1</v>
      </c>
      <c r="G736" s="8" t="s">
        <v>10184</v>
      </c>
      <c r="H736" s="8" t="s">
        <v>10184</v>
      </c>
      <c r="I736" s="8"/>
      <c r="J736" s="8" t="s">
        <v>10159</v>
      </c>
      <c r="K736" s="8" t="s">
        <v>10868</v>
      </c>
      <c r="L736" s="8" t="str">
        <f t="shared" si="19"/>
        <v>PDFを開く</v>
      </c>
      <c r="M736" s="8" t="s">
        <v>2724</v>
      </c>
    </row>
    <row r="737" spans="1:13" ht="66" customHeight="1">
      <c r="A737" s="5" t="s">
        <v>2717</v>
      </c>
      <c r="B737" s="5" t="s">
        <v>2430</v>
      </c>
      <c r="C737" s="9" t="s">
        <v>2718</v>
      </c>
      <c r="D737" s="5">
        <v>3</v>
      </c>
      <c r="E737" s="9" t="s">
        <v>10165</v>
      </c>
      <c r="F737" s="5">
        <v>2</v>
      </c>
      <c r="G737" s="9" t="s">
        <v>10184</v>
      </c>
      <c r="H737" s="9" t="s">
        <v>10184</v>
      </c>
      <c r="I737" s="9"/>
      <c r="J737" s="9" t="s">
        <v>10159</v>
      </c>
      <c r="K737" s="9" t="s">
        <v>10869</v>
      </c>
      <c r="L737" s="9" t="str">
        <f t="shared" si="19"/>
        <v>PDFを開く</v>
      </c>
      <c r="M737" s="9" t="s">
        <v>2724</v>
      </c>
    </row>
    <row r="738" spans="1:13" ht="66" customHeight="1">
      <c r="A738" s="2" t="s">
        <v>2717</v>
      </c>
      <c r="B738" s="2" t="s">
        <v>2430</v>
      </c>
      <c r="C738" s="8" t="s">
        <v>2718</v>
      </c>
      <c r="D738" s="2">
        <v>4</v>
      </c>
      <c r="E738" s="8" t="s">
        <v>10165</v>
      </c>
      <c r="F738" s="2">
        <v>1</v>
      </c>
      <c r="G738" s="8" t="s">
        <v>10167</v>
      </c>
      <c r="H738" s="8" t="s">
        <v>10870</v>
      </c>
      <c r="I738" s="8"/>
      <c r="J738" s="8" t="s">
        <v>10159</v>
      </c>
      <c r="K738" s="8" t="s">
        <v>10871</v>
      </c>
      <c r="L738" s="8" t="str">
        <f t="shared" si="19"/>
        <v>PDFを開く</v>
      </c>
      <c r="M738" s="8" t="s">
        <v>2724</v>
      </c>
    </row>
    <row r="739" spans="1:13" ht="66" customHeight="1">
      <c r="A739" s="5" t="s">
        <v>2717</v>
      </c>
      <c r="B739" s="5" t="s">
        <v>2430</v>
      </c>
      <c r="C739" s="9" t="s">
        <v>2718</v>
      </c>
      <c r="D739" s="5">
        <v>4</v>
      </c>
      <c r="E739" s="9" t="s">
        <v>10165</v>
      </c>
      <c r="F739" s="5">
        <v>2</v>
      </c>
      <c r="G739" s="9" t="s">
        <v>10167</v>
      </c>
      <c r="H739" s="9" t="s">
        <v>10872</v>
      </c>
      <c r="I739" s="9"/>
      <c r="J739" s="9" t="s">
        <v>10159</v>
      </c>
      <c r="K739" s="9" t="s">
        <v>10873</v>
      </c>
      <c r="L739" s="9" t="str">
        <f t="shared" si="19"/>
        <v>PDFを開く</v>
      </c>
      <c r="M739" s="9" t="s">
        <v>2724</v>
      </c>
    </row>
    <row r="740" spans="1:13" ht="66" customHeight="1">
      <c r="A740" s="2" t="s">
        <v>2725</v>
      </c>
      <c r="B740" s="2" t="s">
        <v>2430</v>
      </c>
      <c r="C740" s="8" t="s">
        <v>2726</v>
      </c>
      <c r="D740" s="2">
        <v>1</v>
      </c>
      <c r="E740" s="8" t="s">
        <v>10156</v>
      </c>
      <c r="F740" s="2">
        <v>4</v>
      </c>
      <c r="G740" s="8" t="s">
        <v>8581</v>
      </c>
      <c r="H740" s="8" t="s">
        <v>8581</v>
      </c>
      <c r="I740" s="8"/>
      <c r="J740" s="8" t="s">
        <v>10159</v>
      </c>
      <c r="K740" s="8" t="s">
        <v>2731</v>
      </c>
      <c r="L740" s="8" t="str">
        <f t="shared" ref="L740:L745" si="20">HYPERLINK("https://seichotoushi-hojo.jp/assets/pdf/koufu_3_4ji/outline_159.pdf","PDFを開く")</f>
        <v>PDFを開く</v>
      </c>
      <c r="M740" s="8" t="s">
        <v>2733</v>
      </c>
    </row>
    <row r="741" spans="1:13" ht="66" customHeight="1">
      <c r="A741" s="5" t="s">
        <v>2725</v>
      </c>
      <c r="B741" s="5" t="s">
        <v>2430</v>
      </c>
      <c r="C741" s="9" t="s">
        <v>2726</v>
      </c>
      <c r="D741" s="5">
        <v>2</v>
      </c>
      <c r="E741" s="9" t="s">
        <v>10165</v>
      </c>
      <c r="F741" s="5">
        <v>1</v>
      </c>
      <c r="G741" s="9" t="s">
        <v>10184</v>
      </c>
      <c r="H741" s="9" t="s">
        <v>10184</v>
      </c>
      <c r="I741" s="9"/>
      <c r="J741" s="9" t="s">
        <v>10181</v>
      </c>
      <c r="K741" s="9" t="s">
        <v>10874</v>
      </c>
      <c r="L741" s="9" t="str">
        <f t="shared" si="20"/>
        <v>PDFを開く</v>
      </c>
      <c r="M741" s="9" t="s">
        <v>2733</v>
      </c>
    </row>
    <row r="742" spans="1:13" ht="66" customHeight="1">
      <c r="A742" s="2" t="s">
        <v>2725</v>
      </c>
      <c r="B742" s="2" t="s">
        <v>2430</v>
      </c>
      <c r="C742" s="8" t="s">
        <v>2726</v>
      </c>
      <c r="D742" s="2">
        <v>3</v>
      </c>
      <c r="E742" s="8" t="s">
        <v>10165</v>
      </c>
      <c r="F742" s="2">
        <v>1</v>
      </c>
      <c r="G742" s="8" t="s">
        <v>10167</v>
      </c>
      <c r="H742" s="8" t="s">
        <v>10875</v>
      </c>
      <c r="I742" s="8"/>
      <c r="J742" s="8" t="s">
        <v>10159</v>
      </c>
      <c r="K742" s="8" t="s">
        <v>10876</v>
      </c>
      <c r="L742" s="8" t="str">
        <f t="shared" si="20"/>
        <v>PDFを開く</v>
      </c>
      <c r="M742" s="8" t="s">
        <v>2733</v>
      </c>
    </row>
    <row r="743" spans="1:13" ht="66" customHeight="1">
      <c r="A743" s="5" t="s">
        <v>2725</v>
      </c>
      <c r="B743" s="5" t="s">
        <v>2430</v>
      </c>
      <c r="C743" s="9" t="s">
        <v>2726</v>
      </c>
      <c r="D743" s="5">
        <v>4</v>
      </c>
      <c r="E743" s="9" t="s">
        <v>10165</v>
      </c>
      <c r="F743" s="5">
        <v>1</v>
      </c>
      <c r="G743" s="9" t="s">
        <v>10167</v>
      </c>
      <c r="H743" s="9" t="s">
        <v>10875</v>
      </c>
      <c r="I743" s="9"/>
      <c r="J743" s="9" t="s">
        <v>10159</v>
      </c>
      <c r="K743" s="9" t="s">
        <v>10877</v>
      </c>
      <c r="L743" s="9" t="str">
        <f t="shared" si="20"/>
        <v>PDFを開く</v>
      </c>
      <c r="M743" s="9" t="s">
        <v>2733</v>
      </c>
    </row>
    <row r="744" spans="1:13" ht="66" customHeight="1">
      <c r="A744" s="2" t="s">
        <v>2725</v>
      </c>
      <c r="B744" s="2" t="s">
        <v>2430</v>
      </c>
      <c r="C744" s="8" t="s">
        <v>2726</v>
      </c>
      <c r="D744" s="2">
        <v>4</v>
      </c>
      <c r="E744" s="8" t="s">
        <v>10165</v>
      </c>
      <c r="F744" s="2">
        <v>2</v>
      </c>
      <c r="G744" s="8" t="s">
        <v>10167</v>
      </c>
      <c r="H744" s="8" t="s">
        <v>10878</v>
      </c>
      <c r="I744" s="8"/>
      <c r="J744" s="8" t="s">
        <v>10159</v>
      </c>
      <c r="K744" s="8" t="s">
        <v>10879</v>
      </c>
      <c r="L744" s="8" t="str">
        <f t="shared" si="20"/>
        <v>PDFを開く</v>
      </c>
      <c r="M744" s="8" t="s">
        <v>2733</v>
      </c>
    </row>
    <row r="745" spans="1:13" ht="66" customHeight="1">
      <c r="A745" s="5" t="s">
        <v>2725</v>
      </c>
      <c r="B745" s="5" t="s">
        <v>2430</v>
      </c>
      <c r="C745" s="9" t="s">
        <v>2726</v>
      </c>
      <c r="D745" s="5">
        <v>4</v>
      </c>
      <c r="E745" s="9" t="s">
        <v>10165</v>
      </c>
      <c r="F745" s="5">
        <v>3</v>
      </c>
      <c r="G745" s="9" t="s">
        <v>10167</v>
      </c>
      <c r="H745" s="9" t="s">
        <v>10880</v>
      </c>
      <c r="I745" s="9"/>
      <c r="J745" s="9" t="s">
        <v>10159</v>
      </c>
      <c r="K745" s="9" t="s">
        <v>10881</v>
      </c>
      <c r="L745" s="9" t="str">
        <f t="shared" si="20"/>
        <v>PDFを開く</v>
      </c>
      <c r="M745" s="9" t="s">
        <v>2733</v>
      </c>
    </row>
    <row r="746" spans="1:13" ht="66" customHeight="1">
      <c r="A746" s="2" t="s">
        <v>2734</v>
      </c>
      <c r="B746" s="2" t="s">
        <v>2430</v>
      </c>
      <c r="C746" s="8" t="s">
        <v>2735</v>
      </c>
      <c r="D746" s="2">
        <v>1</v>
      </c>
      <c r="E746" s="8" t="s">
        <v>10156</v>
      </c>
      <c r="F746" s="2">
        <v>4</v>
      </c>
      <c r="G746" s="8" t="s">
        <v>8581</v>
      </c>
      <c r="H746" s="8" t="s">
        <v>8581</v>
      </c>
      <c r="I746" s="8"/>
      <c r="J746" s="8" t="s">
        <v>10159</v>
      </c>
      <c r="K746" s="8" t="s">
        <v>2738</v>
      </c>
      <c r="L746" s="8" t="str">
        <f>HYPERLINK("https://seichotoushi-hojo.jp/assets/pdf/koufu_3_4ji/outline_160.pdf","PDFを開く")</f>
        <v>PDFを開く</v>
      </c>
      <c r="M746" s="8" t="s">
        <v>2740</v>
      </c>
    </row>
    <row r="747" spans="1:13" ht="66" customHeight="1">
      <c r="A747" s="5" t="s">
        <v>2734</v>
      </c>
      <c r="B747" s="5" t="s">
        <v>2430</v>
      </c>
      <c r="C747" s="9" t="s">
        <v>2735</v>
      </c>
      <c r="D747" s="5">
        <v>1</v>
      </c>
      <c r="E747" s="9" t="s">
        <v>10156</v>
      </c>
      <c r="F747" s="5">
        <v>5</v>
      </c>
      <c r="G747" s="9" t="s">
        <v>10167</v>
      </c>
      <c r="H747" s="9" t="s">
        <v>10882</v>
      </c>
      <c r="I747" s="9"/>
      <c r="J747" s="9" t="s">
        <v>10159</v>
      </c>
      <c r="K747" s="9" t="s">
        <v>10883</v>
      </c>
      <c r="L747" s="9" t="str">
        <f>HYPERLINK("https://seichotoushi-hojo.jp/assets/pdf/koufu_3_4ji/outline_160.pdf","PDFを開く")</f>
        <v>PDFを開く</v>
      </c>
      <c r="M747" s="9" t="s">
        <v>2740</v>
      </c>
    </row>
    <row r="748" spans="1:13" ht="66" customHeight="1">
      <c r="A748" s="2" t="s">
        <v>2734</v>
      </c>
      <c r="B748" s="2" t="s">
        <v>2430</v>
      </c>
      <c r="C748" s="8" t="s">
        <v>2735</v>
      </c>
      <c r="D748" s="2">
        <v>2</v>
      </c>
      <c r="E748" s="8" t="s">
        <v>10165</v>
      </c>
      <c r="F748" s="2">
        <v>1</v>
      </c>
      <c r="G748" s="8" t="s">
        <v>10184</v>
      </c>
      <c r="H748" s="8" t="s">
        <v>10184</v>
      </c>
      <c r="I748" s="8"/>
      <c r="J748" s="8" t="s">
        <v>10181</v>
      </c>
      <c r="K748" s="8" t="s">
        <v>10884</v>
      </c>
      <c r="L748" s="8" t="str">
        <f>HYPERLINK("https://seichotoushi-hojo.jp/assets/pdf/koufu_3_4ji/outline_160.pdf","PDFを開く")</f>
        <v>PDFを開く</v>
      </c>
      <c r="M748" s="8" t="s">
        <v>2740</v>
      </c>
    </row>
    <row r="749" spans="1:13" ht="66" customHeight="1">
      <c r="A749" s="5" t="s">
        <v>2741</v>
      </c>
      <c r="B749" s="5" t="s">
        <v>2430</v>
      </c>
      <c r="C749" s="9" t="s">
        <v>2742</v>
      </c>
      <c r="D749" s="5">
        <v>1</v>
      </c>
      <c r="E749" s="9" t="s">
        <v>10156</v>
      </c>
      <c r="F749" s="5">
        <v>4</v>
      </c>
      <c r="G749" s="9" t="s">
        <v>8581</v>
      </c>
      <c r="H749" s="9" t="s">
        <v>8581</v>
      </c>
      <c r="I749" s="9"/>
      <c r="J749" s="9" t="s">
        <v>10159</v>
      </c>
      <c r="K749" s="9" t="s">
        <v>2746</v>
      </c>
      <c r="L749" s="9" t="str">
        <f>HYPERLINK("https://seichotoushi-hojo.jp/assets/pdf/koufu_3_4ji/outline_161.pdf","PDFを開く")</f>
        <v>PDFを開く</v>
      </c>
      <c r="M749" s="9" t="s">
        <v>2749</v>
      </c>
    </row>
    <row r="750" spans="1:13" ht="66" customHeight="1">
      <c r="A750" s="2" t="s">
        <v>2758</v>
      </c>
      <c r="B750" s="2" t="s">
        <v>2430</v>
      </c>
      <c r="C750" s="8" t="s">
        <v>2759</v>
      </c>
      <c r="D750" s="2">
        <v>1</v>
      </c>
      <c r="E750" s="8" t="s">
        <v>10156</v>
      </c>
      <c r="F750" s="2">
        <v>4</v>
      </c>
      <c r="G750" s="8" t="s">
        <v>8581</v>
      </c>
      <c r="H750" s="8" t="s">
        <v>8581</v>
      </c>
      <c r="I750" s="8"/>
      <c r="J750" s="8" t="s">
        <v>10159</v>
      </c>
      <c r="K750" s="8" t="s">
        <v>2762</v>
      </c>
      <c r="L750" s="8" t="str">
        <f>HYPERLINK("https://seichotoushi-hojo.jp/assets/pdf/koufu_3_4ji/outline_163.pdf","PDFを開く")</f>
        <v>PDFを開く</v>
      </c>
      <c r="M750" s="8" t="s">
        <v>2765</v>
      </c>
    </row>
    <row r="751" spans="1:13" ht="66" customHeight="1">
      <c r="A751" s="5" t="s">
        <v>2766</v>
      </c>
      <c r="B751" s="5" t="s">
        <v>2430</v>
      </c>
      <c r="C751" s="9" t="s">
        <v>2767</v>
      </c>
      <c r="D751" s="5">
        <v>1</v>
      </c>
      <c r="E751" s="9" t="s">
        <v>10156</v>
      </c>
      <c r="F751" s="5">
        <v>3</v>
      </c>
      <c r="G751" s="9" t="s">
        <v>8581</v>
      </c>
      <c r="H751" s="9" t="s">
        <v>8581</v>
      </c>
      <c r="I751" s="9"/>
      <c r="J751" s="9" t="s">
        <v>10159</v>
      </c>
      <c r="K751" s="9" t="s">
        <v>2770</v>
      </c>
      <c r="L751" s="9" t="str">
        <f>HYPERLINK("https://seichotoushi-hojo.jp/assets/pdf/koufu_3_4ji/outline_164.pdf","PDFを開く")</f>
        <v>PDFを開く</v>
      </c>
      <c r="M751" s="9" t="s">
        <v>2772</v>
      </c>
    </row>
    <row r="752" spans="1:13" ht="66" customHeight="1">
      <c r="A752" s="2" t="s">
        <v>2773</v>
      </c>
      <c r="B752" s="2" t="s">
        <v>2430</v>
      </c>
      <c r="C752" s="8" t="s">
        <v>2774</v>
      </c>
      <c r="D752" s="2">
        <v>1</v>
      </c>
      <c r="E752" s="8" t="s">
        <v>10156</v>
      </c>
      <c r="F752" s="2">
        <v>4</v>
      </c>
      <c r="G752" s="8" t="s">
        <v>8581</v>
      </c>
      <c r="H752" s="8" t="s">
        <v>8581</v>
      </c>
      <c r="I752" s="8"/>
      <c r="J752" s="8" t="s">
        <v>10159</v>
      </c>
      <c r="K752" s="8" t="s">
        <v>2778</v>
      </c>
      <c r="L752" s="8" t="str">
        <f>HYPERLINK("https://seichotoushi-hojo.jp/assets/pdf/koufu_3_4ji/outline_165.pdf","PDFを開く")</f>
        <v>PDFを開く</v>
      </c>
      <c r="M752" s="8" t="s">
        <v>2780</v>
      </c>
    </row>
    <row r="753" spans="1:13" ht="66" customHeight="1">
      <c r="A753" s="5" t="s">
        <v>2781</v>
      </c>
      <c r="B753" s="5" t="s">
        <v>2430</v>
      </c>
      <c r="C753" s="9" t="s">
        <v>2782</v>
      </c>
      <c r="D753" s="5">
        <v>1</v>
      </c>
      <c r="E753" s="9" t="s">
        <v>10156</v>
      </c>
      <c r="F753" s="5">
        <v>4</v>
      </c>
      <c r="G753" s="9" t="s">
        <v>8581</v>
      </c>
      <c r="H753" s="9" t="s">
        <v>8581</v>
      </c>
      <c r="I753" s="9"/>
      <c r="J753" s="9" t="s">
        <v>10159</v>
      </c>
      <c r="K753" s="9" t="s">
        <v>9794</v>
      </c>
      <c r="L753" s="9" t="str">
        <f>HYPERLINK("https://seichotoushi-hojo.jp/assets/pdf/koufu_3_4ji/outline_166.pdf","PDFを開く")</f>
        <v>PDFを開く</v>
      </c>
      <c r="M753" s="9" t="s">
        <v>2789</v>
      </c>
    </row>
    <row r="754" spans="1:13" ht="66" customHeight="1">
      <c r="A754" s="2" t="s">
        <v>2790</v>
      </c>
      <c r="B754" s="2" t="s">
        <v>2430</v>
      </c>
      <c r="C754" s="8" t="s">
        <v>2791</v>
      </c>
      <c r="D754" s="2">
        <v>1</v>
      </c>
      <c r="E754" s="8" t="s">
        <v>10156</v>
      </c>
      <c r="F754" s="2">
        <v>4</v>
      </c>
      <c r="G754" s="8" t="s">
        <v>8581</v>
      </c>
      <c r="H754" s="8" t="s">
        <v>8581</v>
      </c>
      <c r="I754" s="8"/>
      <c r="J754" s="8" t="s">
        <v>10159</v>
      </c>
      <c r="K754" s="8" t="s">
        <v>2795</v>
      </c>
      <c r="L754" s="8" t="str">
        <f>HYPERLINK("https://seichotoushi-hojo.jp/assets/pdf/koufu_3_4ji/outline_167.pdf","PDFを開く")</f>
        <v>PDFを開く</v>
      </c>
      <c r="M754" s="8" t="s">
        <v>2797</v>
      </c>
    </row>
    <row r="755" spans="1:13" ht="66" customHeight="1">
      <c r="A755" s="5" t="s">
        <v>2798</v>
      </c>
      <c r="B755" s="5" t="s">
        <v>2430</v>
      </c>
      <c r="C755" s="9" t="s">
        <v>2799</v>
      </c>
      <c r="D755" s="5">
        <v>1</v>
      </c>
      <c r="E755" s="9" t="s">
        <v>10156</v>
      </c>
      <c r="F755" s="5">
        <v>1</v>
      </c>
      <c r="G755" s="9" t="s">
        <v>10157</v>
      </c>
      <c r="H755" s="9" t="s">
        <v>10157</v>
      </c>
      <c r="I755" s="9"/>
      <c r="J755" s="9" t="s">
        <v>10159</v>
      </c>
      <c r="K755" s="9" t="s">
        <v>9806</v>
      </c>
      <c r="L755" s="9" t="str">
        <f>HYPERLINK("https://seichotoushi-hojo.jp/assets/pdf/koufu_3_4ji/outline_168.pdf","PDFを開く")</f>
        <v>PDFを開く</v>
      </c>
      <c r="M755" s="9" t="s">
        <v>2808</v>
      </c>
    </row>
    <row r="756" spans="1:13" ht="66" customHeight="1">
      <c r="A756" s="2" t="s">
        <v>2798</v>
      </c>
      <c r="B756" s="2" t="s">
        <v>2430</v>
      </c>
      <c r="C756" s="8" t="s">
        <v>2799</v>
      </c>
      <c r="D756" s="2">
        <v>1</v>
      </c>
      <c r="E756" s="8" t="s">
        <v>10156</v>
      </c>
      <c r="F756" s="2">
        <v>5</v>
      </c>
      <c r="G756" s="8" t="s">
        <v>8581</v>
      </c>
      <c r="H756" s="8" t="s">
        <v>8581</v>
      </c>
      <c r="I756" s="8"/>
      <c r="J756" s="8" t="s">
        <v>10159</v>
      </c>
      <c r="K756" s="8" t="s">
        <v>2804</v>
      </c>
      <c r="L756" s="8" t="str">
        <f>HYPERLINK("https://seichotoushi-hojo.jp/assets/pdf/koufu_3_4ji/outline_168.pdf","PDFを開く")</f>
        <v>PDFを開く</v>
      </c>
      <c r="M756" s="8" t="s">
        <v>2808</v>
      </c>
    </row>
    <row r="757" spans="1:13" ht="66" customHeight="1">
      <c r="A757" s="5" t="s">
        <v>2809</v>
      </c>
      <c r="B757" s="5" t="s">
        <v>2430</v>
      </c>
      <c r="C757" s="9" t="s">
        <v>2810</v>
      </c>
      <c r="D757" s="5">
        <v>1</v>
      </c>
      <c r="E757" s="9" t="s">
        <v>10156</v>
      </c>
      <c r="F757" s="5">
        <v>4</v>
      </c>
      <c r="G757" s="9" t="s">
        <v>8581</v>
      </c>
      <c r="H757" s="9" t="s">
        <v>8581</v>
      </c>
      <c r="I757" s="9"/>
      <c r="J757" s="9" t="s">
        <v>10159</v>
      </c>
      <c r="K757" s="9" t="s">
        <v>2814</v>
      </c>
      <c r="L757" s="9" t="str">
        <f>HYPERLINK("https://seichotoushi-hojo.jp/assets/pdf/koufu_3_4ji/outline_170.pdf","PDFを開く")</f>
        <v>PDFを開く</v>
      </c>
      <c r="M757" s="9" t="s">
        <v>2816</v>
      </c>
    </row>
    <row r="758" spans="1:13" ht="66" customHeight="1">
      <c r="A758" s="2" t="s">
        <v>2817</v>
      </c>
      <c r="B758" s="2" t="s">
        <v>2430</v>
      </c>
      <c r="C758" s="8" t="s">
        <v>2818</v>
      </c>
      <c r="D758" s="2">
        <v>1</v>
      </c>
      <c r="E758" s="8" t="s">
        <v>10156</v>
      </c>
      <c r="F758" s="2">
        <v>4</v>
      </c>
      <c r="G758" s="8" t="s">
        <v>8581</v>
      </c>
      <c r="H758" s="8" t="s">
        <v>8581</v>
      </c>
      <c r="I758" s="8"/>
      <c r="J758" s="8" t="s">
        <v>10159</v>
      </c>
      <c r="K758" s="8" t="s">
        <v>2822</v>
      </c>
      <c r="L758" s="8" t="str">
        <f>HYPERLINK("https://seichotoushi-hojo.jp/assets/pdf/koufu_3_4ji/outline_171.pdf","PDFを開く")</f>
        <v>PDFを開く</v>
      </c>
      <c r="M758" s="8" t="s">
        <v>2824</v>
      </c>
    </row>
    <row r="759" spans="1:13" ht="66" customHeight="1">
      <c r="A759" s="5" t="s">
        <v>2825</v>
      </c>
      <c r="B759" s="5" t="s">
        <v>2430</v>
      </c>
      <c r="C759" s="9" t="s">
        <v>2826</v>
      </c>
      <c r="D759" s="5">
        <v>1</v>
      </c>
      <c r="E759" s="9" t="s">
        <v>10156</v>
      </c>
      <c r="F759" s="5">
        <v>4</v>
      </c>
      <c r="G759" s="9" t="s">
        <v>8581</v>
      </c>
      <c r="H759" s="9" t="s">
        <v>8581</v>
      </c>
      <c r="I759" s="9"/>
      <c r="J759" s="9" t="s">
        <v>10159</v>
      </c>
      <c r="K759" s="9" t="s">
        <v>2830</v>
      </c>
      <c r="L759" s="9" t="str">
        <f>HYPERLINK("https://seichotoushi-hojo.jp/assets/pdf/koufu_3_4ji/outline_172.pdf","PDFを開く")</f>
        <v>PDFを開く</v>
      </c>
      <c r="M759" s="9" t="s">
        <v>2832</v>
      </c>
    </row>
    <row r="760" spans="1:13" ht="66" customHeight="1">
      <c r="A760" s="2" t="s">
        <v>2825</v>
      </c>
      <c r="B760" s="2" t="s">
        <v>2430</v>
      </c>
      <c r="C760" s="8" t="s">
        <v>2826</v>
      </c>
      <c r="D760" s="2">
        <v>2</v>
      </c>
      <c r="E760" s="8" t="s">
        <v>10165</v>
      </c>
      <c r="F760" s="2">
        <v>1</v>
      </c>
      <c r="G760" s="8" t="s">
        <v>10184</v>
      </c>
      <c r="H760" s="8" t="s">
        <v>10184</v>
      </c>
      <c r="I760" s="8"/>
      <c r="J760" s="8" t="s">
        <v>10181</v>
      </c>
      <c r="K760" s="8" t="s">
        <v>10885</v>
      </c>
      <c r="L760" s="8" t="str">
        <f>HYPERLINK("https://seichotoushi-hojo.jp/assets/pdf/koufu_3_4ji/outline_172.pdf","PDFを開く")</f>
        <v>PDFを開く</v>
      </c>
      <c r="M760" s="8" t="s">
        <v>2832</v>
      </c>
    </row>
    <row r="761" spans="1:13" ht="66" customHeight="1">
      <c r="A761" s="5" t="s">
        <v>2825</v>
      </c>
      <c r="B761" s="5" t="s">
        <v>2430</v>
      </c>
      <c r="C761" s="9" t="s">
        <v>2826</v>
      </c>
      <c r="D761" s="5">
        <v>2</v>
      </c>
      <c r="E761" s="9" t="s">
        <v>10165</v>
      </c>
      <c r="F761" s="5">
        <v>2</v>
      </c>
      <c r="G761" s="9" t="s">
        <v>10167</v>
      </c>
      <c r="H761" s="9" t="s">
        <v>10886</v>
      </c>
      <c r="I761" s="9"/>
      <c r="J761" s="9" t="s">
        <v>10159</v>
      </c>
      <c r="K761" s="9" t="s">
        <v>10886</v>
      </c>
      <c r="L761" s="9" t="str">
        <f>HYPERLINK("https://seichotoushi-hojo.jp/assets/pdf/koufu_3_4ji/outline_172.pdf","PDFを開く")</f>
        <v>PDFを開く</v>
      </c>
      <c r="M761" s="9" t="s">
        <v>2832</v>
      </c>
    </row>
    <row r="762" spans="1:13" ht="66" customHeight="1">
      <c r="A762" s="2" t="s">
        <v>2825</v>
      </c>
      <c r="B762" s="2" t="s">
        <v>2430</v>
      </c>
      <c r="C762" s="8" t="s">
        <v>2826</v>
      </c>
      <c r="D762" s="2">
        <v>2</v>
      </c>
      <c r="E762" s="8" t="s">
        <v>10165</v>
      </c>
      <c r="F762" s="2">
        <v>3</v>
      </c>
      <c r="G762" s="8" t="s">
        <v>10167</v>
      </c>
      <c r="H762" s="8" t="s">
        <v>10887</v>
      </c>
      <c r="I762" s="8"/>
      <c r="J762" s="8" t="s">
        <v>10159</v>
      </c>
      <c r="K762" s="8" t="s">
        <v>10887</v>
      </c>
      <c r="L762" s="8" t="str">
        <f>HYPERLINK("https://seichotoushi-hojo.jp/assets/pdf/koufu_3_4ji/outline_172.pdf","PDFを開く")</f>
        <v>PDFを開く</v>
      </c>
      <c r="M762" s="8" t="s">
        <v>2832</v>
      </c>
    </row>
    <row r="763" spans="1:13" ht="66" customHeight="1">
      <c r="A763" s="5" t="s">
        <v>2833</v>
      </c>
      <c r="B763" s="5" t="s">
        <v>2430</v>
      </c>
      <c r="C763" s="9" t="s">
        <v>2834</v>
      </c>
      <c r="D763" s="5">
        <v>1</v>
      </c>
      <c r="E763" s="9" t="s">
        <v>10156</v>
      </c>
      <c r="F763" s="5">
        <v>4</v>
      </c>
      <c r="G763" s="9" t="s">
        <v>8581</v>
      </c>
      <c r="H763" s="9" t="s">
        <v>8581</v>
      </c>
      <c r="I763" s="9"/>
      <c r="J763" s="9" t="s">
        <v>10159</v>
      </c>
      <c r="K763" s="9" t="s">
        <v>2837</v>
      </c>
      <c r="L763" s="9" t="str">
        <f>HYPERLINK("https://seichotoushi-hojo.jp/assets/pdf/koufu_3_4ji/outline_174.pdf","PDFを開く")</f>
        <v>PDFを開く</v>
      </c>
      <c r="M763" s="9" t="s">
        <v>2840</v>
      </c>
    </row>
    <row r="764" spans="1:13" ht="66" customHeight="1">
      <c r="A764" s="2" t="s">
        <v>2849</v>
      </c>
      <c r="B764" s="2" t="s">
        <v>2430</v>
      </c>
      <c r="C764" s="8" t="s">
        <v>2850</v>
      </c>
      <c r="D764" s="2">
        <v>1</v>
      </c>
      <c r="E764" s="8" t="s">
        <v>10156</v>
      </c>
      <c r="F764" s="2">
        <v>4</v>
      </c>
      <c r="G764" s="8" t="s">
        <v>8581</v>
      </c>
      <c r="H764" s="8" t="s">
        <v>8581</v>
      </c>
      <c r="I764" s="8"/>
      <c r="J764" s="8" t="s">
        <v>10159</v>
      </c>
      <c r="K764" s="8" t="s">
        <v>9851</v>
      </c>
      <c r="L764" s="8" t="str">
        <f>HYPERLINK("https://seichotoushi-hojo.jp/assets/pdf/koufu_3_4ji/outline_176.pdf","PDFを開く")</f>
        <v>PDFを開く</v>
      </c>
      <c r="M764" s="8" t="s">
        <v>2856</v>
      </c>
    </row>
    <row r="765" spans="1:13" ht="66" customHeight="1">
      <c r="A765" s="5" t="s">
        <v>2849</v>
      </c>
      <c r="B765" s="5" t="s">
        <v>2430</v>
      </c>
      <c r="C765" s="9" t="s">
        <v>2850</v>
      </c>
      <c r="D765" s="5">
        <v>2</v>
      </c>
      <c r="E765" s="9" t="s">
        <v>10165</v>
      </c>
      <c r="F765" s="5">
        <v>1</v>
      </c>
      <c r="G765" s="9" t="s">
        <v>10184</v>
      </c>
      <c r="H765" s="9" t="s">
        <v>10184</v>
      </c>
      <c r="I765" s="9"/>
      <c r="J765" s="9" t="s">
        <v>10181</v>
      </c>
      <c r="K765" s="9" t="s">
        <v>10888</v>
      </c>
      <c r="L765" s="9" t="str">
        <f>HYPERLINK("https://seichotoushi-hojo.jp/assets/pdf/koufu_3_4ji/outline_176.pdf","PDFを開く")</f>
        <v>PDFを開く</v>
      </c>
      <c r="M765" s="9" t="s">
        <v>2856</v>
      </c>
    </row>
    <row r="766" spans="1:13" ht="66" customHeight="1">
      <c r="A766" s="2" t="s">
        <v>2849</v>
      </c>
      <c r="B766" s="2" t="s">
        <v>2430</v>
      </c>
      <c r="C766" s="8" t="s">
        <v>2850</v>
      </c>
      <c r="D766" s="2">
        <v>2</v>
      </c>
      <c r="E766" s="8" t="s">
        <v>10165</v>
      </c>
      <c r="F766" s="2">
        <v>2</v>
      </c>
      <c r="G766" s="8" t="s">
        <v>10167</v>
      </c>
      <c r="H766" s="8" t="s">
        <v>10859</v>
      </c>
      <c r="I766" s="8"/>
      <c r="J766" s="8" t="s">
        <v>10159</v>
      </c>
      <c r="K766" s="8" t="s">
        <v>10859</v>
      </c>
      <c r="L766" s="8" t="str">
        <f>HYPERLINK("https://seichotoushi-hojo.jp/assets/pdf/koufu_3_4ji/outline_176.pdf","PDFを開く")</f>
        <v>PDFを開く</v>
      </c>
      <c r="M766" s="8" t="s">
        <v>2856</v>
      </c>
    </row>
    <row r="767" spans="1:13" ht="66" customHeight="1">
      <c r="A767" s="5" t="s">
        <v>2857</v>
      </c>
      <c r="B767" s="5" t="s">
        <v>2430</v>
      </c>
      <c r="C767" s="9" t="s">
        <v>2858</v>
      </c>
      <c r="D767" s="5">
        <v>1</v>
      </c>
      <c r="E767" s="9" t="s">
        <v>10156</v>
      </c>
      <c r="F767" s="5">
        <v>4</v>
      </c>
      <c r="G767" s="9" t="s">
        <v>8581</v>
      </c>
      <c r="H767" s="9" t="s">
        <v>8581</v>
      </c>
      <c r="I767" s="9"/>
      <c r="J767" s="9" t="s">
        <v>10159</v>
      </c>
      <c r="K767" s="9" t="s">
        <v>9859</v>
      </c>
      <c r="L767" s="9" t="str">
        <f>HYPERLINK("https://seichotoushi-hojo.jp/assets/pdf/koufu_3_4ji/outline_177.pdf","PDFを開く")</f>
        <v>PDFを開く</v>
      </c>
      <c r="M767" s="9" t="s">
        <v>2864</v>
      </c>
    </row>
    <row r="768" spans="1:13" ht="66" customHeight="1">
      <c r="A768" s="2" t="s">
        <v>2865</v>
      </c>
      <c r="B768" s="2" t="s">
        <v>2430</v>
      </c>
      <c r="C768" s="8" t="s">
        <v>2866</v>
      </c>
      <c r="D768" s="2">
        <v>1</v>
      </c>
      <c r="E768" s="8" t="s">
        <v>10156</v>
      </c>
      <c r="F768" s="2">
        <v>4</v>
      </c>
      <c r="G768" s="8" t="s">
        <v>8581</v>
      </c>
      <c r="H768" s="8" t="s">
        <v>8581</v>
      </c>
      <c r="I768" s="8"/>
      <c r="J768" s="8" t="s">
        <v>10159</v>
      </c>
      <c r="K768" s="8" t="s">
        <v>9867</v>
      </c>
      <c r="L768" s="8" t="str">
        <f>HYPERLINK("https://seichotoushi-hojo.jp/assets/pdf/koufu_3_4ji/outline_178.pdf","PDFを開く")</f>
        <v>PDFを開く</v>
      </c>
      <c r="M768" s="8" t="s">
        <v>2872</v>
      </c>
    </row>
    <row r="769" spans="1:13" ht="66" customHeight="1">
      <c r="A769" s="5" t="s">
        <v>2865</v>
      </c>
      <c r="B769" s="5" t="s">
        <v>2430</v>
      </c>
      <c r="C769" s="9" t="s">
        <v>2866</v>
      </c>
      <c r="D769" s="5">
        <v>3</v>
      </c>
      <c r="E769" s="9" t="s">
        <v>10165</v>
      </c>
      <c r="F769" s="5">
        <v>1</v>
      </c>
      <c r="G769" s="9" t="s">
        <v>10167</v>
      </c>
      <c r="H769" s="9" t="s">
        <v>10891</v>
      </c>
      <c r="I769" s="9"/>
      <c r="J769" s="9" t="s">
        <v>10159</v>
      </c>
      <c r="K769" s="9" t="s">
        <v>10892</v>
      </c>
      <c r="L769" s="9" t="str">
        <f>HYPERLINK("https://seichotoushi-hojo.jp/assets/pdf/koufu_3_4ji/outline_178.pdf","PDFを開く")</f>
        <v>PDFを開く</v>
      </c>
      <c r="M769" s="9" t="s">
        <v>2872</v>
      </c>
    </row>
    <row r="770" spans="1:13" ht="66" customHeight="1">
      <c r="A770" s="2" t="s">
        <v>2865</v>
      </c>
      <c r="B770" s="2" t="s">
        <v>2430</v>
      </c>
      <c r="C770" s="8" t="s">
        <v>2866</v>
      </c>
      <c r="D770" s="2">
        <v>3</v>
      </c>
      <c r="E770" s="8" t="s">
        <v>10165</v>
      </c>
      <c r="F770" s="2">
        <v>2</v>
      </c>
      <c r="G770" s="8" t="s">
        <v>10167</v>
      </c>
      <c r="H770" s="8" t="s">
        <v>10893</v>
      </c>
      <c r="I770" s="8"/>
      <c r="J770" s="8" t="s">
        <v>10159</v>
      </c>
      <c r="K770" s="8" t="s">
        <v>10893</v>
      </c>
      <c r="L770" s="8" t="str">
        <f>HYPERLINK("https://seichotoushi-hojo.jp/assets/pdf/koufu_3_4ji/outline_178.pdf","PDFを開く")</f>
        <v>PDFを開く</v>
      </c>
      <c r="M770" s="8" t="s">
        <v>2872</v>
      </c>
    </row>
    <row r="771" spans="1:13" ht="66" customHeight="1">
      <c r="A771" s="5" t="s">
        <v>2865</v>
      </c>
      <c r="B771" s="5" t="s">
        <v>2430</v>
      </c>
      <c r="C771" s="9" t="s">
        <v>2866</v>
      </c>
      <c r="D771" s="5">
        <v>3</v>
      </c>
      <c r="E771" s="9" t="s">
        <v>10165</v>
      </c>
      <c r="F771" s="5">
        <v>3</v>
      </c>
      <c r="G771" s="9" t="s">
        <v>10167</v>
      </c>
      <c r="H771" s="9" t="s">
        <v>10894</v>
      </c>
      <c r="I771" s="9"/>
      <c r="J771" s="9" t="s">
        <v>10159</v>
      </c>
      <c r="K771" s="9" t="s">
        <v>10894</v>
      </c>
      <c r="L771" s="9" t="str">
        <f>HYPERLINK("https://seichotoushi-hojo.jp/assets/pdf/koufu_3_4ji/outline_178.pdf","PDFを開く")</f>
        <v>PDFを開く</v>
      </c>
      <c r="M771" s="9" t="s">
        <v>2872</v>
      </c>
    </row>
    <row r="772" spans="1:13" ht="66" customHeight="1">
      <c r="A772" s="2" t="s">
        <v>2865</v>
      </c>
      <c r="B772" s="2" t="s">
        <v>2430</v>
      </c>
      <c r="C772" s="8" t="s">
        <v>2866</v>
      </c>
      <c r="D772" s="2">
        <v>3</v>
      </c>
      <c r="E772" s="8" t="s">
        <v>10165</v>
      </c>
      <c r="F772" s="2">
        <v>4</v>
      </c>
      <c r="G772" s="8" t="s">
        <v>10167</v>
      </c>
      <c r="H772" s="8" t="s">
        <v>10895</v>
      </c>
      <c r="I772" s="8"/>
      <c r="J772" s="8" t="s">
        <v>10159</v>
      </c>
      <c r="K772" s="8" t="s">
        <v>10896</v>
      </c>
      <c r="L772" s="8" t="str">
        <f>HYPERLINK("https://seichotoushi-hojo.jp/assets/pdf/koufu_3_4ji/outline_178.pdf","PDFを開く")</f>
        <v>PDFを開く</v>
      </c>
      <c r="M772" s="8" t="s">
        <v>2872</v>
      </c>
    </row>
    <row r="773" spans="1:13" ht="66" customHeight="1">
      <c r="A773" s="5" t="s">
        <v>2873</v>
      </c>
      <c r="B773" s="5" t="s">
        <v>2430</v>
      </c>
      <c r="C773" s="9" t="s">
        <v>2874</v>
      </c>
      <c r="D773" s="5">
        <v>1</v>
      </c>
      <c r="E773" s="9" t="s">
        <v>10156</v>
      </c>
      <c r="F773" s="5">
        <v>4</v>
      </c>
      <c r="G773" s="9" t="s">
        <v>8581</v>
      </c>
      <c r="H773" s="9" t="s">
        <v>8581</v>
      </c>
      <c r="I773" s="9"/>
      <c r="J773" s="9" t="s">
        <v>10159</v>
      </c>
      <c r="K773" s="9" t="s">
        <v>9875</v>
      </c>
      <c r="L773" s="9" t="str">
        <f>HYPERLINK("https://seichotoushi-hojo.jp/assets/pdf/koufu_3_4ji/outline_179.pdf","PDFを開く")</f>
        <v>PDFを開く</v>
      </c>
      <c r="M773" s="9" t="s">
        <v>2880</v>
      </c>
    </row>
    <row r="774" spans="1:13" ht="66" customHeight="1">
      <c r="A774" s="2" t="s">
        <v>2881</v>
      </c>
      <c r="B774" s="2" t="s">
        <v>2430</v>
      </c>
      <c r="C774" s="8" t="s">
        <v>2882</v>
      </c>
      <c r="D774" s="2">
        <v>1</v>
      </c>
      <c r="E774" s="8" t="s">
        <v>10156</v>
      </c>
      <c r="F774" s="2">
        <v>4</v>
      </c>
      <c r="G774" s="8" t="s">
        <v>8581</v>
      </c>
      <c r="H774" s="8" t="s">
        <v>8581</v>
      </c>
      <c r="I774" s="8"/>
      <c r="J774" s="8" t="s">
        <v>10159</v>
      </c>
      <c r="K774" s="8" t="s">
        <v>2886</v>
      </c>
      <c r="L774" s="8" t="str">
        <f>HYPERLINK("https://seichotoushi-hojo.jp/assets/pdf/koufu_3_4ji/outline_180.pdf","PDFを開く")</f>
        <v>PDFを開く</v>
      </c>
      <c r="M774" s="8" t="s">
        <v>2888</v>
      </c>
    </row>
    <row r="775" spans="1:13" ht="66" customHeight="1">
      <c r="A775" s="5" t="s">
        <v>2889</v>
      </c>
      <c r="B775" s="5" t="s">
        <v>2430</v>
      </c>
      <c r="C775" s="9" t="s">
        <v>2890</v>
      </c>
      <c r="D775" s="5">
        <v>1</v>
      </c>
      <c r="E775" s="9" t="s">
        <v>10156</v>
      </c>
      <c r="F775" s="5">
        <v>4</v>
      </c>
      <c r="G775" s="9" t="s">
        <v>8581</v>
      </c>
      <c r="H775" s="9" t="s">
        <v>8581</v>
      </c>
      <c r="I775" s="9"/>
      <c r="J775" s="9" t="s">
        <v>10159</v>
      </c>
      <c r="K775" s="9" t="s">
        <v>2894</v>
      </c>
      <c r="L775" s="9" t="str">
        <f>HYPERLINK("https://seichotoushi-hojo.jp/assets/pdf/koufu_3_4ji/outline_181.pdf","PDFを開く")</f>
        <v>PDFを開く</v>
      </c>
      <c r="M775" s="9" t="s">
        <v>2896</v>
      </c>
    </row>
    <row r="776" spans="1:13" ht="66" customHeight="1">
      <c r="A776" s="2" t="s">
        <v>2897</v>
      </c>
      <c r="B776" s="2" t="s">
        <v>2430</v>
      </c>
      <c r="C776" s="8" t="s">
        <v>2898</v>
      </c>
      <c r="D776" s="2">
        <v>1</v>
      </c>
      <c r="E776" s="8" t="s">
        <v>10156</v>
      </c>
      <c r="F776" s="2">
        <v>4</v>
      </c>
      <c r="G776" s="8" t="s">
        <v>8581</v>
      </c>
      <c r="H776" s="8" t="s">
        <v>8581</v>
      </c>
      <c r="I776" s="8"/>
      <c r="J776" s="8" t="s">
        <v>10159</v>
      </c>
      <c r="K776" s="8" t="s">
        <v>2900</v>
      </c>
      <c r="L776" s="8" t="str">
        <f>HYPERLINK("https://seichotoushi-hojo.jp/assets/pdf/koufu_3_4ji/outline_182.pdf","PDFを開く")</f>
        <v>PDFを開く</v>
      </c>
      <c r="M776" s="8" t="s">
        <v>2902</v>
      </c>
    </row>
    <row r="777" spans="1:13" ht="66" customHeight="1">
      <c r="A777" s="5" t="s">
        <v>2897</v>
      </c>
      <c r="B777" s="5" t="s">
        <v>2430</v>
      </c>
      <c r="C777" s="9" t="s">
        <v>2898</v>
      </c>
      <c r="D777" s="5">
        <v>1</v>
      </c>
      <c r="E777" s="9" t="s">
        <v>10156</v>
      </c>
      <c r="F777" s="5">
        <v>5</v>
      </c>
      <c r="G777" s="9" t="s">
        <v>10167</v>
      </c>
      <c r="H777" s="9" t="s">
        <v>10564</v>
      </c>
      <c r="I777" s="9"/>
      <c r="J777" s="9" t="s">
        <v>10159</v>
      </c>
      <c r="K777" s="9" t="s">
        <v>10897</v>
      </c>
      <c r="L777" s="9" t="str">
        <f>HYPERLINK("https://seichotoushi-hojo.jp/assets/pdf/koufu_3_4ji/outline_182.pdf","PDFを開く")</f>
        <v>PDFを開く</v>
      </c>
      <c r="M777" s="9" t="s">
        <v>2902</v>
      </c>
    </row>
    <row r="778" spans="1:13" ht="66" customHeight="1">
      <c r="A778" s="2" t="s">
        <v>2903</v>
      </c>
      <c r="B778" s="2" t="s">
        <v>2430</v>
      </c>
      <c r="C778" s="8" t="s">
        <v>2904</v>
      </c>
      <c r="D778" s="2">
        <v>1</v>
      </c>
      <c r="E778" s="8" t="s">
        <v>10156</v>
      </c>
      <c r="F778" s="2">
        <v>4</v>
      </c>
      <c r="G778" s="8" t="s">
        <v>8581</v>
      </c>
      <c r="H778" s="8" t="s">
        <v>8581</v>
      </c>
      <c r="I778" s="8"/>
      <c r="J778" s="8" t="s">
        <v>10159</v>
      </c>
      <c r="K778" s="8" t="s">
        <v>2907</v>
      </c>
      <c r="L778" s="8" t="str">
        <f>HYPERLINK("https://seichotoushi-hojo.jp/assets/pdf/koufu_3_4ji/outline_183.pdf","PDFを開く")</f>
        <v>PDFを開く</v>
      </c>
      <c r="M778" s="8" t="s">
        <v>2909</v>
      </c>
    </row>
    <row r="779" spans="1:13" ht="66" customHeight="1">
      <c r="A779" s="5" t="s">
        <v>2903</v>
      </c>
      <c r="B779" s="5" t="s">
        <v>2430</v>
      </c>
      <c r="C779" s="9" t="s">
        <v>2904</v>
      </c>
      <c r="D779" s="5">
        <v>2</v>
      </c>
      <c r="E779" s="9" t="s">
        <v>10165</v>
      </c>
      <c r="F779" s="5">
        <v>3</v>
      </c>
      <c r="G779" s="9" t="s">
        <v>10167</v>
      </c>
      <c r="H779" s="9" t="s">
        <v>10902</v>
      </c>
      <c r="I779" s="9"/>
      <c r="J779" s="9" t="s">
        <v>10159</v>
      </c>
      <c r="K779" s="9" t="s">
        <v>10903</v>
      </c>
      <c r="L779" s="9" t="str">
        <f>HYPERLINK("https://seichotoushi-hojo.jp/assets/pdf/koufu_3_4ji/outline_183.pdf","PDFを開く")</f>
        <v>PDFを開く</v>
      </c>
      <c r="M779" s="9" t="s">
        <v>2909</v>
      </c>
    </row>
    <row r="780" spans="1:13" ht="66" customHeight="1">
      <c r="A780" s="2" t="s">
        <v>2903</v>
      </c>
      <c r="B780" s="2" t="s">
        <v>2430</v>
      </c>
      <c r="C780" s="8" t="s">
        <v>2904</v>
      </c>
      <c r="D780" s="2">
        <v>4</v>
      </c>
      <c r="E780" s="8" t="s">
        <v>10165</v>
      </c>
      <c r="F780" s="2">
        <v>1</v>
      </c>
      <c r="G780" s="8" t="s">
        <v>10167</v>
      </c>
      <c r="H780" s="8" t="s">
        <v>10904</v>
      </c>
      <c r="I780" s="8"/>
      <c r="J780" s="8" t="s">
        <v>10159</v>
      </c>
      <c r="K780" s="8" t="s">
        <v>10904</v>
      </c>
      <c r="L780" s="8" t="str">
        <f>HYPERLINK("https://seichotoushi-hojo.jp/assets/pdf/koufu_3_4ji/outline_183.pdf","PDFを開く")</f>
        <v>PDFを開く</v>
      </c>
      <c r="M780" s="8" t="s">
        <v>2909</v>
      </c>
    </row>
    <row r="781" spans="1:13" ht="66" customHeight="1">
      <c r="A781" s="5" t="s">
        <v>2903</v>
      </c>
      <c r="B781" s="5" t="s">
        <v>2430</v>
      </c>
      <c r="C781" s="9" t="s">
        <v>2904</v>
      </c>
      <c r="D781" s="5">
        <v>4</v>
      </c>
      <c r="E781" s="9" t="s">
        <v>10165</v>
      </c>
      <c r="F781" s="5">
        <v>2</v>
      </c>
      <c r="G781" s="9" t="s">
        <v>10167</v>
      </c>
      <c r="H781" s="9" t="s">
        <v>10905</v>
      </c>
      <c r="I781" s="9"/>
      <c r="J781" s="9" t="s">
        <v>10159</v>
      </c>
      <c r="K781" s="9" t="s">
        <v>10906</v>
      </c>
      <c r="L781" s="9" t="str">
        <f>HYPERLINK("https://seichotoushi-hojo.jp/assets/pdf/koufu_3_4ji/outline_183.pdf","PDFを開く")</f>
        <v>PDFを開く</v>
      </c>
      <c r="M781" s="9" t="s">
        <v>2909</v>
      </c>
    </row>
    <row r="782" spans="1:13" ht="66" customHeight="1">
      <c r="A782" s="2" t="s">
        <v>2910</v>
      </c>
      <c r="B782" s="2" t="s">
        <v>2430</v>
      </c>
      <c r="C782" s="8" t="s">
        <v>2911</v>
      </c>
      <c r="D782" s="2">
        <v>1</v>
      </c>
      <c r="E782" s="8" t="s">
        <v>10156</v>
      </c>
      <c r="F782" s="2">
        <v>4</v>
      </c>
      <c r="G782" s="8" t="s">
        <v>8581</v>
      </c>
      <c r="H782" s="8" t="s">
        <v>8581</v>
      </c>
      <c r="I782" s="8"/>
      <c r="J782" s="8" t="s">
        <v>10159</v>
      </c>
      <c r="K782" s="8" t="s">
        <v>9911</v>
      </c>
      <c r="L782" s="8" t="str">
        <f>HYPERLINK("https://seichotoushi-hojo.jp/assets/pdf/koufu_3_4ji/outline_184.pdf","PDFを開く")</f>
        <v>PDFを開く</v>
      </c>
      <c r="M782" s="8" t="s">
        <v>2917</v>
      </c>
    </row>
    <row r="783" spans="1:13" ht="66" customHeight="1">
      <c r="A783" s="5" t="s">
        <v>2918</v>
      </c>
      <c r="B783" s="5" t="s">
        <v>2430</v>
      </c>
      <c r="C783" s="9" t="s">
        <v>2919</v>
      </c>
      <c r="D783" s="5">
        <v>1</v>
      </c>
      <c r="E783" s="9" t="s">
        <v>10156</v>
      </c>
      <c r="F783" s="5">
        <v>4</v>
      </c>
      <c r="G783" s="9" t="s">
        <v>8581</v>
      </c>
      <c r="H783" s="9" t="s">
        <v>8581</v>
      </c>
      <c r="I783" s="9"/>
      <c r="J783" s="9" t="s">
        <v>10159</v>
      </c>
      <c r="K783" s="9" t="s">
        <v>2923</v>
      </c>
      <c r="L783" s="9" t="str">
        <f>HYPERLINK("https://seichotoushi-hojo.jp/assets/pdf/koufu_3_4ji/outline_187.pdf","PDFを開く")</f>
        <v>PDFを開く</v>
      </c>
      <c r="M783" s="9" t="s">
        <v>2925</v>
      </c>
    </row>
    <row r="784" spans="1:13" ht="66" customHeight="1">
      <c r="A784" s="2" t="s">
        <v>2926</v>
      </c>
      <c r="B784" s="2" t="s">
        <v>2430</v>
      </c>
      <c r="C784" s="8" t="s">
        <v>2927</v>
      </c>
      <c r="D784" s="2">
        <v>1</v>
      </c>
      <c r="E784" s="8" t="s">
        <v>10156</v>
      </c>
      <c r="F784" s="2">
        <v>4</v>
      </c>
      <c r="G784" s="8" t="s">
        <v>8581</v>
      </c>
      <c r="H784" s="8" t="s">
        <v>8581</v>
      </c>
      <c r="I784" s="8"/>
      <c r="J784" s="8" t="s">
        <v>10159</v>
      </c>
      <c r="K784" s="8" t="s">
        <v>2931</v>
      </c>
      <c r="L784" s="8" t="str">
        <f>HYPERLINK("https://seichotoushi-hojo.jp/assets/pdf/koufu_3_4ji/outline_189.pdf","PDFを開く")</f>
        <v>PDFを開く</v>
      </c>
      <c r="M784" s="8" t="s">
        <v>2934</v>
      </c>
    </row>
    <row r="785" spans="1:13" ht="66" customHeight="1">
      <c r="A785" s="5" t="s">
        <v>2935</v>
      </c>
      <c r="B785" s="5" t="s">
        <v>2430</v>
      </c>
      <c r="C785" s="9" t="s">
        <v>2936</v>
      </c>
      <c r="D785" s="5">
        <v>1</v>
      </c>
      <c r="E785" s="9" t="s">
        <v>10156</v>
      </c>
      <c r="F785" s="5">
        <v>4</v>
      </c>
      <c r="G785" s="9" t="s">
        <v>8581</v>
      </c>
      <c r="H785" s="9" t="s">
        <v>8581</v>
      </c>
      <c r="I785" s="9"/>
      <c r="J785" s="9" t="s">
        <v>10159</v>
      </c>
      <c r="K785" s="9" t="s">
        <v>2940</v>
      </c>
      <c r="L785" s="9" t="str">
        <f>HYPERLINK("https://seichotoushi-hojo.jp/assets/pdf/koufu_3_4ji/outline_191.pdf","PDFを開く")</f>
        <v>PDFを開く</v>
      </c>
      <c r="M785" s="9" t="s">
        <v>2942</v>
      </c>
    </row>
    <row r="786" spans="1:13" ht="66" customHeight="1">
      <c r="A786" s="2" t="s">
        <v>2943</v>
      </c>
      <c r="B786" s="2" t="s">
        <v>2430</v>
      </c>
      <c r="C786" s="8" t="s">
        <v>2944</v>
      </c>
      <c r="D786" s="2">
        <v>1</v>
      </c>
      <c r="E786" s="8" t="s">
        <v>10156</v>
      </c>
      <c r="F786" s="2">
        <v>5</v>
      </c>
      <c r="G786" s="8" t="s">
        <v>8581</v>
      </c>
      <c r="H786" s="8" t="s">
        <v>8581</v>
      </c>
      <c r="I786" s="8"/>
      <c r="J786" s="8" t="s">
        <v>10159</v>
      </c>
      <c r="K786" s="8" t="s">
        <v>9940</v>
      </c>
      <c r="L786" s="8" t="str">
        <f>HYPERLINK("https://seichotoushi-hojo.jp/assets/pdf/koufu_3_4ji/outline_192.pdf","PDFを開く")</f>
        <v>PDFを開く</v>
      </c>
      <c r="M786" s="8" t="s">
        <v>2949</v>
      </c>
    </row>
    <row r="787" spans="1:13" ht="66" customHeight="1">
      <c r="A787" s="5" t="s">
        <v>2943</v>
      </c>
      <c r="B787" s="5" t="s">
        <v>2430</v>
      </c>
      <c r="C787" s="9" t="s">
        <v>2944</v>
      </c>
      <c r="D787" s="5">
        <v>2</v>
      </c>
      <c r="E787" s="9" t="s">
        <v>10165</v>
      </c>
      <c r="F787" s="5">
        <v>1</v>
      </c>
      <c r="G787" s="9" t="s">
        <v>10167</v>
      </c>
      <c r="H787" s="9" t="s">
        <v>10859</v>
      </c>
      <c r="I787" s="9"/>
      <c r="J787" s="9" t="s">
        <v>10159</v>
      </c>
      <c r="K787" s="9" t="s">
        <v>10859</v>
      </c>
      <c r="L787" s="9" t="str">
        <f>HYPERLINK("https://seichotoushi-hojo.jp/assets/pdf/koufu_3_4ji/outline_192.pdf","PDFを開く")</f>
        <v>PDFを開く</v>
      </c>
      <c r="M787" s="9" t="s">
        <v>2949</v>
      </c>
    </row>
    <row r="788" spans="1:13" ht="66" customHeight="1">
      <c r="A788" s="2" t="s">
        <v>2950</v>
      </c>
      <c r="B788" s="2" t="s">
        <v>2430</v>
      </c>
      <c r="C788" s="8" t="s">
        <v>2951</v>
      </c>
      <c r="D788" s="2">
        <v>1</v>
      </c>
      <c r="E788" s="8" t="s">
        <v>10156</v>
      </c>
      <c r="F788" s="2">
        <v>4</v>
      </c>
      <c r="G788" s="8" t="s">
        <v>8581</v>
      </c>
      <c r="H788" s="8" t="s">
        <v>8581</v>
      </c>
      <c r="I788" s="8"/>
      <c r="J788" s="8" t="s">
        <v>10159</v>
      </c>
      <c r="K788" s="8" t="s">
        <v>9948</v>
      </c>
      <c r="L788" s="8" t="str">
        <f>HYPERLINK("https://seichotoushi-hojo.jp/assets/pdf/koufu_3_4ji/outline_193.pdf","PDFを開く")</f>
        <v>PDFを開く</v>
      </c>
      <c r="M788" s="8" t="s">
        <v>2957</v>
      </c>
    </row>
    <row r="789" spans="1:13" ht="66" customHeight="1">
      <c r="A789" s="5" t="s">
        <v>2958</v>
      </c>
      <c r="B789" s="5" t="s">
        <v>2430</v>
      </c>
      <c r="C789" s="9" t="s">
        <v>2959</v>
      </c>
      <c r="D789" s="5">
        <v>1</v>
      </c>
      <c r="E789" s="9" t="s">
        <v>10156</v>
      </c>
      <c r="F789" s="5">
        <v>4</v>
      </c>
      <c r="G789" s="9" t="s">
        <v>8581</v>
      </c>
      <c r="H789" s="9" t="s">
        <v>8581</v>
      </c>
      <c r="I789" s="9"/>
      <c r="J789" s="9" t="s">
        <v>10159</v>
      </c>
      <c r="K789" s="9" t="s">
        <v>9956</v>
      </c>
      <c r="L789" s="9" t="str">
        <f>HYPERLINK("https://seichotoushi-hojo.jp/assets/pdf/koufu_3_4ji/outline_194.pdf","PDFを開く")</f>
        <v>PDFを開く</v>
      </c>
      <c r="M789" s="9" t="s">
        <v>2964</v>
      </c>
    </row>
    <row r="790" spans="1:13" ht="66" customHeight="1">
      <c r="A790" s="2" t="s">
        <v>2958</v>
      </c>
      <c r="B790" s="2" t="s">
        <v>2430</v>
      </c>
      <c r="C790" s="8" t="s">
        <v>2959</v>
      </c>
      <c r="D790" s="2">
        <v>2</v>
      </c>
      <c r="E790" s="8" t="s">
        <v>10165</v>
      </c>
      <c r="F790" s="2">
        <v>1</v>
      </c>
      <c r="G790" s="8" t="s">
        <v>10167</v>
      </c>
      <c r="H790" s="8" t="s">
        <v>10859</v>
      </c>
      <c r="I790" s="8"/>
      <c r="J790" s="8" t="s">
        <v>10159</v>
      </c>
      <c r="K790" s="8" t="s">
        <v>10859</v>
      </c>
      <c r="L790" s="8" t="str">
        <f>HYPERLINK("https://seichotoushi-hojo.jp/assets/pdf/koufu_3_4ji/outline_194.pdf","PDFを開く")</f>
        <v>PDFを開く</v>
      </c>
      <c r="M790" s="8" t="s">
        <v>2964</v>
      </c>
    </row>
    <row r="791" spans="1:13" ht="66" customHeight="1">
      <c r="A791" s="5" t="s">
        <v>2965</v>
      </c>
      <c r="B791" s="5" t="s">
        <v>2430</v>
      </c>
      <c r="C791" s="9" t="s">
        <v>2966</v>
      </c>
      <c r="D791" s="5">
        <v>1</v>
      </c>
      <c r="E791" s="9" t="s">
        <v>10156</v>
      </c>
      <c r="F791" s="5">
        <v>4</v>
      </c>
      <c r="G791" s="9" t="s">
        <v>8581</v>
      </c>
      <c r="H791" s="9" t="s">
        <v>8581</v>
      </c>
      <c r="I791" s="9"/>
      <c r="J791" s="9" t="s">
        <v>10159</v>
      </c>
      <c r="K791" s="9" t="s">
        <v>9964</v>
      </c>
      <c r="L791" s="9" t="str">
        <f>HYPERLINK("https://seichotoushi-hojo.jp/assets/pdf/koufu_3_4ji/outline_195.pdf","PDFを開く")</f>
        <v>PDFを開く</v>
      </c>
      <c r="M791" s="9" t="s">
        <v>2971</v>
      </c>
    </row>
    <row r="792" spans="1:13" ht="66" customHeight="1">
      <c r="A792" s="2" t="s">
        <v>2972</v>
      </c>
      <c r="B792" s="2" t="s">
        <v>2430</v>
      </c>
      <c r="C792" s="8" t="s">
        <v>2973</v>
      </c>
      <c r="D792" s="2">
        <v>1</v>
      </c>
      <c r="E792" s="8" t="s">
        <v>10156</v>
      </c>
      <c r="F792" s="2">
        <v>4</v>
      </c>
      <c r="G792" s="8" t="s">
        <v>8581</v>
      </c>
      <c r="H792" s="8" t="s">
        <v>8581</v>
      </c>
      <c r="I792" s="8"/>
      <c r="J792" s="8" t="s">
        <v>10159</v>
      </c>
      <c r="K792" s="8" t="s">
        <v>2977</v>
      </c>
      <c r="L792" s="8" t="str">
        <f>HYPERLINK("https://seichotoushi-hojo.jp/assets/pdf/koufu_3_4ji/outline_196.pdf","PDFを開く")</f>
        <v>PDFを開く</v>
      </c>
      <c r="M792" s="8" t="s">
        <v>2979</v>
      </c>
    </row>
    <row r="793" spans="1:13" ht="66" customHeight="1">
      <c r="A793" s="5" t="s">
        <v>2972</v>
      </c>
      <c r="B793" s="5" t="s">
        <v>2430</v>
      </c>
      <c r="C793" s="9" t="s">
        <v>2973</v>
      </c>
      <c r="D793" s="5">
        <v>2</v>
      </c>
      <c r="E793" s="9" t="s">
        <v>10165</v>
      </c>
      <c r="F793" s="5">
        <v>1</v>
      </c>
      <c r="G793" s="9" t="s">
        <v>10184</v>
      </c>
      <c r="H793" s="9" t="s">
        <v>10184</v>
      </c>
      <c r="I793" s="9"/>
      <c r="J793" s="9" t="s">
        <v>10181</v>
      </c>
      <c r="K793" s="9" t="s">
        <v>10909</v>
      </c>
      <c r="L793" s="9" t="str">
        <f>HYPERLINK("https://seichotoushi-hojo.jp/assets/pdf/koufu_3_4ji/outline_196.pdf","PDFを開く")</f>
        <v>PDFを開く</v>
      </c>
      <c r="M793" s="9" t="s">
        <v>2979</v>
      </c>
    </row>
    <row r="794" spans="1:13" ht="66" customHeight="1">
      <c r="A794" s="2" t="s">
        <v>2980</v>
      </c>
      <c r="B794" s="2" t="s">
        <v>2430</v>
      </c>
      <c r="C794" s="8" t="s">
        <v>2981</v>
      </c>
      <c r="D794" s="2">
        <v>1</v>
      </c>
      <c r="E794" s="8" t="s">
        <v>10156</v>
      </c>
      <c r="F794" s="2">
        <v>4</v>
      </c>
      <c r="G794" s="8" t="s">
        <v>8581</v>
      </c>
      <c r="H794" s="8" t="s">
        <v>8581</v>
      </c>
      <c r="I794" s="8"/>
      <c r="J794" s="8" t="s">
        <v>10159</v>
      </c>
      <c r="K794" s="8" t="s">
        <v>9979</v>
      </c>
      <c r="L794" s="8" t="str">
        <f>HYPERLINK("https://seichotoushi-hojo.jp/assets/pdf/koufu_3_4ji/outline_199.pdf","PDFを開く")</f>
        <v>PDFを開く</v>
      </c>
      <c r="M794" s="8" t="s">
        <v>2986</v>
      </c>
    </row>
    <row r="795" spans="1:13" ht="66" customHeight="1">
      <c r="A795" s="5" t="s">
        <v>2987</v>
      </c>
      <c r="B795" s="5" t="s">
        <v>2430</v>
      </c>
      <c r="C795" s="9" t="s">
        <v>2988</v>
      </c>
      <c r="D795" s="5">
        <v>1</v>
      </c>
      <c r="E795" s="9" t="s">
        <v>10156</v>
      </c>
      <c r="F795" s="5">
        <v>4</v>
      </c>
      <c r="G795" s="9" t="s">
        <v>8581</v>
      </c>
      <c r="H795" s="9" t="s">
        <v>8581</v>
      </c>
      <c r="I795" s="9"/>
      <c r="J795" s="9" t="s">
        <v>10159</v>
      </c>
      <c r="K795" s="9" t="s">
        <v>2992</v>
      </c>
      <c r="L795" s="9" t="str">
        <f>HYPERLINK("https://seichotoushi-hojo.jp/assets/pdf/koufu_3_4ji/outline_200.pdf","PDFを開く")</f>
        <v>PDFを開く</v>
      </c>
      <c r="M795" s="9" t="s">
        <v>2994</v>
      </c>
    </row>
    <row r="796" spans="1:13" ht="66" customHeight="1">
      <c r="A796" s="2" t="s">
        <v>2995</v>
      </c>
      <c r="B796" s="2" t="s">
        <v>2430</v>
      </c>
      <c r="C796" s="8" t="s">
        <v>2996</v>
      </c>
      <c r="D796" s="2">
        <v>2</v>
      </c>
      <c r="E796" s="8" t="s">
        <v>10156</v>
      </c>
      <c r="F796" s="2">
        <v>3</v>
      </c>
      <c r="G796" s="8" t="s">
        <v>10167</v>
      </c>
      <c r="H796" s="8" t="s">
        <v>10915</v>
      </c>
      <c r="I796" s="8"/>
      <c r="J796" s="8" t="s">
        <v>10159</v>
      </c>
      <c r="K796" s="8" t="s">
        <v>10916</v>
      </c>
      <c r="L796" s="8" t="str">
        <f>HYPERLINK("https://seichotoushi-hojo.jp/assets/pdf/koufu_3_4ji/outline_201.pdf","PDFを開く")</f>
        <v>PDFを開く</v>
      </c>
      <c r="M796" s="8" t="s">
        <v>3001</v>
      </c>
    </row>
    <row r="797" spans="1:13" ht="66" customHeight="1">
      <c r="A797" s="5" t="s">
        <v>2995</v>
      </c>
      <c r="B797" s="5" t="s">
        <v>2430</v>
      </c>
      <c r="C797" s="9" t="s">
        <v>2996</v>
      </c>
      <c r="D797" s="5">
        <v>2</v>
      </c>
      <c r="E797" s="9" t="s">
        <v>10156</v>
      </c>
      <c r="F797" s="5">
        <v>4</v>
      </c>
      <c r="G797" s="9" t="s">
        <v>10167</v>
      </c>
      <c r="H797" s="9" t="s">
        <v>10917</v>
      </c>
      <c r="I797" s="9"/>
      <c r="J797" s="9" t="s">
        <v>10159</v>
      </c>
      <c r="K797" s="9" t="s">
        <v>10918</v>
      </c>
      <c r="L797" s="9" t="str">
        <f>HYPERLINK("https://seichotoushi-hojo.jp/assets/pdf/koufu_3_4ji/outline_201.pdf","PDFを開く")</f>
        <v>PDFを開く</v>
      </c>
      <c r="M797" s="9" t="s">
        <v>3001</v>
      </c>
    </row>
    <row r="798" spans="1:13" ht="66" customHeight="1">
      <c r="A798" s="2" t="s">
        <v>2995</v>
      </c>
      <c r="B798" s="2" t="s">
        <v>2430</v>
      </c>
      <c r="C798" s="8" t="s">
        <v>2996</v>
      </c>
      <c r="D798" s="2">
        <v>3</v>
      </c>
      <c r="E798" s="8" t="s">
        <v>10165</v>
      </c>
      <c r="F798" s="2">
        <v>1</v>
      </c>
      <c r="G798" s="8" t="s">
        <v>10167</v>
      </c>
      <c r="H798" s="8" t="s">
        <v>10775</v>
      </c>
      <c r="I798" s="8"/>
      <c r="J798" s="8" t="s">
        <v>10159</v>
      </c>
      <c r="K798" s="8" t="s">
        <v>10776</v>
      </c>
      <c r="L798" s="8" t="str">
        <f>HYPERLINK("https://seichotoushi-hojo.jp/assets/pdf/koufu_3_4ji/outline_201.pdf","PDFを開く")</f>
        <v>PDFを開く</v>
      </c>
      <c r="M798" s="8" t="s">
        <v>3001</v>
      </c>
    </row>
    <row r="799" spans="1:13" ht="66" customHeight="1">
      <c r="A799" s="5" t="s">
        <v>3002</v>
      </c>
      <c r="B799" s="5" t="s">
        <v>2430</v>
      </c>
      <c r="C799" s="9" t="s">
        <v>3003</v>
      </c>
      <c r="D799" s="5">
        <v>1</v>
      </c>
      <c r="E799" s="9" t="s">
        <v>10156</v>
      </c>
      <c r="F799" s="5">
        <v>4</v>
      </c>
      <c r="G799" s="9" t="s">
        <v>8581</v>
      </c>
      <c r="H799" s="9" t="s">
        <v>8581</v>
      </c>
      <c r="I799" s="9"/>
      <c r="J799" s="9" t="s">
        <v>10159</v>
      </c>
      <c r="K799" s="9" t="s">
        <v>3007</v>
      </c>
      <c r="L799" s="9" t="str">
        <f>HYPERLINK("https://seichotoushi-hojo.jp/assets/pdf/koufu_3_4ji/outline_202.pdf","PDFを開く")</f>
        <v>PDFを開く</v>
      </c>
      <c r="M799" s="9" t="s">
        <v>3009</v>
      </c>
    </row>
    <row r="800" spans="1:13" ht="66" customHeight="1">
      <c r="A800" s="2" t="s">
        <v>3010</v>
      </c>
      <c r="B800" s="2" t="s">
        <v>2430</v>
      </c>
      <c r="C800" s="8" t="s">
        <v>3011</v>
      </c>
      <c r="D800" s="2">
        <v>2</v>
      </c>
      <c r="E800" s="8" t="s">
        <v>10165</v>
      </c>
      <c r="F800" s="2">
        <v>1</v>
      </c>
      <c r="G800" s="8" t="s">
        <v>10157</v>
      </c>
      <c r="H800" s="8" t="s">
        <v>10157</v>
      </c>
      <c r="I800" s="8"/>
      <c r="J800" s="8" t="s">
        <v>10159</v>
      </c>
      <c r="K800" s="8" t="s">
        <v>10005</v>
      </c>
      <c r="L800" s="8" t="str">
        <f>HYPERLINK("https://seichotoushi-hojo.jp/assets/pdf/koufu_3_4ji/outline_204.pdf","PDFを開く")</f>
        <v>PDFを開く</v>
      </c>
      <c r="M800" s="8" t="s">
        <v>3018</v>
      </c>
    </row>
    <row r="801" spans="1:13" ht="66" customHeight="1">
      <c r="A801" s="5" t="s">
        <v>3010</v>
      </c>
      <c r="B801" s="5" t="s">
        <v>2430</v>
      </c>
      <c r="C801" s="9" t="s">
        <v>3011</v>
      </c>
      <c r="D801" s="5">
        <v>2</v>
      </c>
      <c r="E801" s="9" t="s">
        <v>10165</v>
      </c>
      <c r="F801" s="5">
        <v>2</v>
      </c>
      <c r="G801" s="9" t="s">
        <v>10167</v>
      </c>
      <c r="H801" s="9" t="s">
        <v>10919</v>
      </c>
      <c r="I801" s="9"/>
      <c r="J801" s="9" t="s">
        <v>10159</v>
      </c>
      <c r="K801" s="9" t="s">
        <v>10920</v>
      </c>
      <c r="L801" s="9" t="str">
        <f>HYPERLINK("https://seichotoushi-hojo.jp/assets/pdf/koufu_3_4ji/outline_204.pdf","PDFを開く")</f>
        <v>PDFを開く</v>
      </c>
      <c r="M801" s="9" t="s">
        <v>3018</v>
      </c>
    </row>
    <row r="802" spans="1:13" ht="66" customHeight="1">
      <c r="A802" s="2" t="s">
        <v>3019</v>
      </c>
      <c r="B802" s="2" t="s">
        <v>2430</v>
      </c>
      <c r="C802" s="8" t="s">
        <v>3020</v>
      </c>
      <c r="D802" s="2">
        <v>1</v>
      </c>
      <c r="E802" s="8" t="s">
        <v>10156</v>
      </c>
      <c r="F802" s="2">
        <v>4</v>
      </c>
      <c r="G802" s="8" t="s">
        <v>8581</v>
      </c>
      <c r="H802" s="8" t="s">
        <v>8581</v>
      </c>
      <c r="I802" s="8"/>
      <c r="J802" s="8" t="s">
        <v>10159</v>
      </c>
      <c r="K802" s="8" t="s">
        <v>10016</v>
      </c>
      <c r="L802" s="8" t="str">
        <f>HYPERLINK("https://seichotoushi-hojo.jp/assets/pdf/koufu_3_4ji/outline_206.pdf","PDFを開く")</f>
        <v>PDFを開く</v>
      </c>
      <c r="M802" s="8" t="s">
        <v>3025</v>
      </c>
    </row>
    <row r="803" spans="1:13" ht="66" customHeight="1">
      <c r="A803" s="5" t="s">
        <v>3026</v>
      </c>
      <c r="B803" s="5" t="s">
        <v>2430</v>
      </c>
      <c r="C803" s="9" t="s">
        <v>3027</v>
      </c>
      <c r="D803" s="5">
        <v>1</v>
      </c>
      <c r="E803" s="9" t="s">
        <v>10156</v>
      </c>
      <c r="F803" s="5">
        <v>4</v>
      </c>
      <c r="G803" s="9" t="s">
        <v>8581</v>
      </c>
      <c r="H803" s="9" t="s">
        <v>8581</v>
      </c>
      <c r="I803" s="9"/>
      <c r="J803" s="9" t="s">
        <v>10159</v>
      </c>
      <c r="K803" s="9" t="s">
        <v>10024</v>
      </c>
      <c r="L803" s="9" t="str">
        <f>HYPERLINK("https://seichotoushi-hojo.jp/assets/pdf/koufu_3_4ji/outline_207.pdf","PDFを開く")</f>
        <v>PDFを開く</v>
      </c>
      <c r="M803" s="9" t="s">
        <v>3033</v>
      </c>
    </row>
    <row r="804" spans="1:13" ht="66" customHeight="1">
      <c r="A804" s="2" t="s">
        <v>3034</v>
      </c>
      <c r="B804" s="2" t="s">
        <v>2430</v>
      </c>
      <c r="C804" s="8" t="s">
        <v>3035</v>
      </c>
      <c r="D804" s="2">
        <v>1</v>
      </c>
      <c r="E804" s="8" t="s">
        <v>10156</v>
      </c>
      <c r="F804" s="2">
        <v>4</v>
      </c>
      <c r="G804" s="8" t="s">
        <v>8581</v>
      </c>
      <c r="H804" s="8" t="s">
        <v>8581</v>
      </c>
      <c r="I804" s="8"/>
      <c r="J804" s="8" t="s">
        <v>10159</v>
      </c>
      <c r="K804" s="8" t="s">
        <v>3038</v>
      </c>
      <c r="L804" s="8" t="str">
        <f>HYPERLINK("https://seichotoushi-hojo.jp/assets/pdf/koufu_3_4ji/outline_208.pdf","PDFを開く")</f>
        <v>PDFを開く</v>
      </c>
      <c r="M804" s="8" t="s">
        <v>3040</v>
      </c>
    </row>
    <row r="805" spans="1:13" ht="66" customHeight="1">
      <c r="A805" s="5" t="s">
        <v>3034</v>
      </c>
      <c r="B805" s="5" t="s">
        <v>2430</v>
      </c>
      <c r="C805" s="9" t="s">
        <v>3035</v>
      </c>
      <c r="D805" s="5">
        <v>2</v>
      </c>
      <c r="E805" s="9" t="s">
        <v>10165</v>
      </c>
      <c r="F805" s="5">
        <v>1</v>
      </c>
      <c r="G805" s="9" t="s">
        <v>10167</v>
      </c>
      <c r="H805" s="9" t="s">
        <v>10921</v>
      </c>
      <c r="I805" s="9"/>
      <c r="J805" s="9" t="s">
        <v>10159</v>
      </c>
      <c r="K805" s="9" t="s">
        <v>10921</v>
      </c>
      <c r="L805" s="9" t="str">
        <f>HYPERLINK("https://seichotoushi-hojo.jp/assets/pdf/koufu_3_4ji/outline_208.pdf","PDFを開く")</f>
        <v>PDFを開く</v>
      </c>
      <c r="M805" s="9" t="s">
        <v>3040</v>
      </c>
    </row>
    <row r="806" spans="1:13" ht="66" customHeight="1">
      <c r="A806" s="2" t="s">
        <v>3041</v>
      </c>
      <c r="B806" s="2" t="s">
        <v>2430</v>
      </c>
      <c r="C806" s="8" t="s">
        <v>3042</v>
      </c>
      <c r="D806" s="2">
        <v>1</v>
      </c>
      <c r="E806" s="8" t="s">
        <v>10156</v>
      </c>
      <c r="F806" s="2">
        <v>4</v>
      </c>
      <c r="G806" s="8" t="s">
        <v>8581</v>
      </c>
      <c r="H806" s="8" t="s">
        <v>8581</v>
      </c>
      <c r="I806" s="8"/>
      <c r="J806" s="8" t="s">
        <v>10159</v>
      </c>
      <c r="K806" s="8" t="s">
        <v>10039</v>
      </c>
      <c r="L806" s="8" t="str">
        <f>HYPERLINK("https://seichotoushi-hojo.jp/assets/pdf/koufu_3_4ji/outline_210.pdf","PDFを開く")</f>
        <v>PDFを開く</v>
      </c>
      <c r="M806" s="8" t="s">
        <v>3048</v>
      </c>
    </row>
    <row r="807" spans="1:13" ht="66" customHeight="1">
      <c r="A807" s="5" t="s">
        <v>3049</v>
      </c>
      <c r="B807" s="5" t="s">
        <v>2430</v>
      </c>
      <c r="C807" s="9" t="s">
        <v>3050</v>
      </c>
      <c r="D807" s="5">
        <v>1</v>
      </c>
      <c r="E807" s="9" t="s">
        <v>10156</v>
      </c>
      <c r="F807" s="5">
        <v>4</v>
      </c>
      <c r="G807" s="9" t="s">
        <v>8581</v>
      </c>
      <c r="H807" s="9" t="s">
        <v>8581</v>
      </c>
      <c r="I807" s="9"/>
      <c r="J807" s="9" t="s">
        <v>10159</v>
      </c>
      <c r="K807" s="9" t="s">
        <v>3054</v>
      </c>
      <c r="L807" s="9" t="str">
        <f>HYPERLINK("https://seichotoushi-hojo.jp/assets/pdf/koufu_3_4ji/outline_211.pdf","PDFを開く")</f>
        <v>PDFを開く</v>
      </c>
      <c r="M807" s="9" t="s">
        <v>3056</v>
      </c>
    </row>
    <row r="808" spans="1:13" ht="66" customHeight="1">
      <c r="A808" s="2" t="s">
        <v>3057</v>
      </c>
      <c r="B808" s="2" t="s">
        <v>2430</v>
      </c>
      <c r="C808" s="8" t="s">
        <v>3058</v>
      </c>
      <c r="D808" s="2">
        <v>1</v>
      </c>
      <c r="E808" s="8" t="s">
        <v>10156</v>
      </c>
      <c r="F808" s="2">
        <v>4</v>
      </c>
      <c r="G808" s="8" t="s">
        <v>8581</v>
      </c>
      <c r="H808" s="8" t="s">
        <v>8581</v>
      </c>
      <c r="I808" s="8"/>
      <c r="J808" s="8" t="s">
        <v>10159</v>
      </c>
      <c r="K808" s="8" t="s">
        <v>3062</v>
      </c>
      <c r="L808" s="8" t="str">
        <f>HYPERLINK("https://seichotoushi-hojo.jp/assets/pdf/koufu_3_4ji/outline_213.pdf","PDFを開く")</f>
        <v>PDFを開く</v>
      </c>
      <c r="M808" s="8" t="s">
        <v>3064</v>
      </c>
    </row>
    <row r="809" spans="1:13" ht="66" customHeight="1">
      <c r="A809" s="5" t="s">
        <v>3057</v>
      </c>
      <c r="B809" s="5" t="s">
        <v>2430</v>
      </c>
      <c r="C809" s="9" t="s">
        <v>3058</v>
      </c>
      <c r="D809" s="5">
        <v>2</v>
      </c>
      <c r="E809" s="9" t="s">
        <v>10165</v>
      </c>
      <c r="F809" s="5">
        <v>1</v>
      </c>
      <c r="G809" s="9" t="s">
        <v>10167</v>
      </c>
      <c r="H809" s="9" t="s">
        <v>10922</v>
      </c>
      <c r="I809" s="9"/>
      <c r="J809" s="9" t="s">
        <v>10159</v>
      </c>
      <c r="K809" s="9" t="s">
        <v>10923</v>
      </c>
      <c r="L809" s="9" t="str">
        <f>HYPERLINK("https://seichotoushi-hojo.jp/assets/pdf/koufu_3_4ji/outline_213.pdf","PDFを開く")</f>
        <v>PDFを開く</v>
      </c>
      <c r="M809" s="9" t="s">
        <v>3064</v>
      </c>
    </row>
    <row r="810" spans="1:13" ht="66" customHeight="1">
      <c r="A810" s="2" t="s">
        <v>3065</v>
      </c>
      <c r="B810" s="2" t="s">
        <v>2430</v>
      </c>
      <c r="C810" s="8" t="s">
        <v>3066</v>
      </c>
      <c r="D810" s="2">
        <v>1</v>
      </c>
      <c r="E810" s="8" t="s">
        <v>10156</v>
      </c>
      <c r="F810" s="2">
        <v>4</v>
      </c>
      <c r="G810" s="8" t="s">
        <v>8581</v>
      </c>
      <c r="H810" s="8" t="s">
        <v>8581</v>
      </c>
      <c r="I810" s="8"/>
      <c r="J810" s="8" t="s">
        <v>10159</v>
      </c>
      <c r="K810" s="8" t="s">
        <v>3069</v>
      </c>
      <c r="L810" s="8" t="str">
        <f>HYPERLINK("https://seichotoushi-hojo.jp/assets/pdf/koufu_3_4ji/outline_217.pdf","PDFを開く")</f>
        <v>PDFを開く</v>
      </c>
      <c r="M810" s="8" t="s">
        <v>3071</v>
      </c>
    </row>
    <row r="811" spans="1:13" ht="66" customHeight="1">
      <c r="A811" s="5" t="s">
        <v>3072</v>
      </c>
      <c r="B811" s="5" t="s">
        <v>2430</v>
      </c>
      <c r="C811" s="9" t="s">
        <v>3073</v>
      </c>
      <c r="D811" s="5">
        <v>1</v>
      </c>
      <c r="E811" s="9" t="s">
        <v>10156</v>
      </c>
      <c r="F811" s="5">
        <v>5</v>
      </c>
      <c r="G811" s="9" t="s">
        <v>8581</v>
      </c>
      <c r="H811" s="9" t="s">
        <v>8581</v>
      </c>
      <c r="I811" s="9"/>
      <c r="J811" s="9" t="s">
        <v>10159</v>
      </c>
      <c r="K811" s="9" t="s">
        <v>3076</v>
      </c>
      <c r="L811" s="9" t="str">
        <f t="shared" ref="L811:L819" si="21">HYPERLINK("https://seichotoushi-hojo.jp/assets/pdf/koufu_3_4ji/outline_218.pdf","PDFを開く")</f>
        <v>PDFを開く</v>
      </c>
      <c r="M811" s="9" t="s">
        <v>3078</v>
      </c>
    </row>
    <row r="812" spans="1:13" ht="66" customHeight="1">
      <c r="A812" s="2" t="s">
        <v>3072</v>
      </c>
      <c r="B812" s="2" t="s">
        <v>2430</v>
      </c>
      <c r="C812" s="8" t="s">
        <v>3073</v>
      </c>
      <c r="D812" s="2">
        <v>2</v>
      </c>
      <c r="E812" s="8" t="s">
        <v>10156</v>
      </c>
      <c r="F812" s="2">
        <v>1</v>
      </c>
      <c r="G812" s="8" t="s">
        <v>10167</v>
      </c>
      <c r="H812" s="8" t="s">
        <v>10926</v>
      </c>
      <c r="I812" s="8"/>
      <c r="J812" s="8" t="s">
        <v>10159</v>
      </c>
      <c r="K812" s="8" t="s">
        <v>10927</v>
      </c>
      <c r="L812" s="8" t="str">
        <f t="shared" si="21"/>
        <v>PDFを開く</v>
      </c>
      <c r="M812" s="8" t="s">
        <v>3078</v>
      </c>
    </row>
    <row r="813" spans="1:13" ht="66" customHeight="1">
      <c r="A813" s="5" t="s">
        <v>3072</v>
      </c>
      <c r="B813" s="5" t="s">
        <v>2430</v>
      </c>
      <c r="C813" s="9" t="s">
        <v>3073</v>
      </c>
      <c r="D813" s="5">
        <v>3</v>
      </c>
      <c r="E813" s="9" t="s">
        <v>10165</v>
      </c>
      <c r="F813" s="5">
        <v>1</v>
      </c>
      <c r="G813" s="9" t="s">
        <v>10167</v>
      </c>
      <c r="H813" s="9" t="s">
        <v>10928</v>
      </c>
      <c r="I813" s="9" t="s">
        <v>10158</v>
      </c>
      <c r="J813" s="9" t="s">
        <v>10159</v>
      </c>
      <c r="K813" s="9" t="s">
        <v>10929</v>
      </c>
      <c r="L813" s="9" t="str">
        <f t="shared" si="21"/>
        <v>PDFを開く</v>
      </c>
      <c r="M813" s="9" t="s">
        <v>3078</v>
      </c>
    </row>
    <row r="814" spans="1:13" ht="66" customHeight="1">
      <c r="A814" s="2" t="s">
        <v>3072</v>
      </c>
      <c r="B814" s="2" t="s">
        <v>2430</v>
      </c>
      <c r="C814" s="8" t="s">
        <v>3073</v>
      </c>
      <c r="D814" s="2">
        <v>3</v>
      </c>
      <c r="E814" s="8" t="s">
        <v>10165</v>
      </c>
      <c r="F814" s="2">
        <v>2</v>
      </c>
      <c r="G814" s="8" t="s">
        <v>10167</v>
      </c>
      <c r="H814" s="8" t="s">
        <v>10930</v>
      </c>
      <c r="I814" s="8"/>
      <c r="J814" s="8" t="s">
        <v>10159</v>
      </c>
      <c r="K814" s="8" t="s">
        <v>10931</v>
      </c>
      <c r="L814" s="8" t="str">
        <f t="shared" si="21"/>
        <v>PDFを開く</v>
      </c>
      <c r="M814" s="8" t="s">
        <v>3078</v>
      </c>
    </row>
    <row r="815" spans="1:13" ht="66" customHeight="1">
      <c r="A815" s="5" t="s">
        <v>3072</v>
      </c>
      <c r="B815" s="5" t="s">
        <v>2430</v>
      </c>
      <c r="C815" s="9" t="s">
        <v>3073</v>
      </c>
      <c r="D815" s="5">
        <v>3</v>
      </c>
      <c r="E815" s="9" t="s">
        <v>10165</v>
      </c>
      <c r="F815" s="5">
        <v>3</v>
      </c>
      <c r="G815" s="9" t="s">
        <v>10167</v>
      </c>
      <c r="H815" s="9" t="s">
        <v>10859</v>
      </c>
      <c r="I815" s="9"/>
      <c r="J815" s="9" t="s">
        <v>10159</v>
      </c>
      <c r="K815" s="9" t="s">
        <v>10859</v>
      </c>
      <c r="L815" s="9" t="str">
        <f t="shared" si="21"/>
        <v>PDFを開く</v>
      </c>
      <c r="M815" s="9" t="s">
        <v>3078</v>
      </c>
    </row>
    <row r="816" spans="1:13" ht="66" customHeight="1">
      <c r="A816" s="2" t="s">
        <v>3072</v>
      </c>
      <c r="B816" s="2" t="s">
        <v>2430</v>
      </c>
      <c r="C816" s="8" t="s">
        <v>3073</v>
      </c>
      <c r="D816" s="2">
        <v>4</v>
      </c>
      <c r="E816" s="8" t="s">
        <v>10165</v>
      </c>
      <c r="F816" s="2">
        <v>1</v>
      </c>
      <c r="G816" s="8" t="s">
        <v>10167</v>
      </c>
      <c r="H816" s="8" t="s">
        <v>10932</v>
      </c>
      <c r="I816" s="8" t="s">
        <v>10158</v>
      </c>
      <c r="J816" s="8" t="s">
        <v>10159</v>
      </c>
      <c r="K816" s="8" t="s">
        <v>10933</v>
      </c>
      <c r="L816" s="8" t="str">
        <f t="shared" si="21"/>
        <v>PDFを開く</v>
      </c>
      <c r="M816" s="8" t="s">
        <v>3078</v>
      </c>
    </row>
    <row r="817" spans="1:13" ht="66" customHeight="1">
      <c r="A817" s="5" t="s">
        <v>3072</v>
      </c>
      <c r="B817" s="5" t="s">
        <v>2430</v>
      </c>
      <c r="C817" s="9" t="s">
        <v>3073</v>
      </c>
      <c r="D817" s="5">
        <v>4</v>
      </c>
      <c r="E817" s="9" t="s">
        <v>10165</v>
      </c>
      <c r="F817" s="5">
        <v>2</v>
      </c>
      <c r="G817" s="9" t="s">
        <v>10167</v>
      </c>
      <c r="H817" s="9" t="s">
        <v>10934</v>
      </c>
      <c r="I817" s="9"/>
      <c r="J817" s="9" t="s">
        <v>10159</v>
      </c>
      <c r="K817" s="9" t="s">
        <v>10935</v>
      </c>
      <c r="L817" s="9" t="str">
        <f t="shared" si="21"/>
        <v>PDFを開く</v>
      </c>
      <c r="M817" s="9" t="s">
        <v>3078</v>
      </c>
    </row>
    <row r="818" spans="1:13" ht="66" customHeight="1">
      <c r="A818" s="2" t="s">
        <v>3072</v>
      </c>
      <c r="B818" s="2" t="s">
        <v>2430</v>
      </c>
      <c r="C818" s="8" t="s">
        <v>3073</v>
      </c>
      <c r="D818" s="2">
        <v>4</v>
      </c>
      <c r="E818" s="8" t="s">
        <v>10165</v>
      </c>
      <c r="F818" s="2">
        <v>3</v>
      </c>
      <c r="G818" s="8" t="s">
        <v>10167</v>
      </c>
      <c r="H818" s="8" t="s">
        <v>10936</v>
      </c>
      <c r="I818" s="8"/>
      <c r="J818" s="8" t="s">
        <v>10159</v>
      </c>
      <c r="K818" s="8" t="s">
        <v>10937</v>
      </c>
      <c r="L818" s="8" t="str">
        <f t="shared" si="21"/>
        <v>PDFを開く</v>
      </c>
      <c r="M818" s="8" t="s">
        <v>3078</v>
      </c>
    </row>
    <row r="819" spans="1:13" ht="66" customHeight="1">
      <c r="A819" s="5" t="s">
        <v>3072</v>
      </c>
      <c r="B819" s="5" t="s">
        <v>2430</v>
      </c>
      <c r="C819" s="9" t="s">
        <v>3073</v>
      </c>
      <c r="D819" s="5">
        <v>4</v>
      </c>
      <c r="E819" s="9" t="s">
        <v>10165</v>
      </c>
      <c r="F819" s="5">
        <v>4</v>
      </c>
      <c r="G819" s="9" t="s">
        <v>10167</v>
      </c>
      <c r="H819" s="9" t="s">
        <v>10936</v>
      </c>
      <c r="I819" s="9"/>
      <c r="J819" s="9" t="s">
        <v>10159</v>
      </c>
      <c r="K819" s="9" t="s">
        <v>10938</v>
      </c>
      <c r="L819" s="9" t="str">
        <f t="shared" si="21"/>
        <v>PDFを開く</v>
      </c>
      <c r="M819" s="9" t="s">
        <v>3078</v>
      </c>
    </row>
    <row r="820" spans="1:13" ht="66" customHeight="1">
      <c r="A820" s="2" t="s">
        <v>3079</v>
      </c>
      <c r="B820" s="2" t="s">
        <v>2430</v>
      </c>
      <c r="C820" s="8" t="s">
        <v>3080</v>
      </c>
      <c r="D820" s="2">
        <v>1</v>
      </c>
      <c r="E820" s="8" t="s">
        <v>10156</v>
      </c>
      <c r="F820" s="2">
        <v>4</v>
      </c>
      <c r="G820" s="8" t="s">
        <v>8581</v>
      </c>
      <c r="H820" s="8" t="s">
        <v>8581</v>
      </c>
      <c r="I820" s="8"/>
      <c r="J820" s="8" t="s">
        <v>10159</v>
      </c>
      <c r="K820" s="8" t="s">
        <v>3084</v>
      </c>
      <c r="L820" s="8" t="str">
        <f>HYPERLINK("https://seichotoushi-hojo.jp/assets/pdf/koufu_3_4ji/outline_219.pdf","PDFを開く")</f>
        <v>PDFを開く</v>
      </c>
      <c r="M820" s="8" t="s">
        <v>3086</v>
      </c>
    </row>
    <row r="821" spans="1:13" ht="66" customHeight="1">
      <c r="A821" s="5" t="s">
        <v>3087</v>
      </c>
      <c r="B821" s="5" t="s">
        <v>2430</v>
      </c>
      <c r="C821" s="9" t="s">
        <v>3088</v>
      </c>
      <c r="D821" s="5">
        <v>1</v>
      </c>
      <c r="E821" s="9" t="s">
        <v>10156</v>
      </c>
      <c r="F821" s="5">
        <v>4</v>
      </c>
      <c r="G821" s="9" t="s">
        <v>8581</v>
      </c>
      <c r="H821" s="9" t="s">
        <v>8581</v>
      </c>
      <c r="I821" s="9"/>
      <c r="J821" s="9" t="s">
        <v>10159</v>
      </c>
      <c r="K821" s="9" t="s">
        <v>10082</v>
      </c>
      <c r="L821" s="9" t="str">
        <f>HYPERLINK("https://seichotoushi-hojo.jp/assets/pdf/koufu_3_4ji/outline_220.pdf","PDFを開く")</f>
        <v>PDFを開く</v>
      </c>
      <c r="M821" s="9" t="s">
        <v>3093</v>
      </c>
    </row>
    <row r="822" spans="1:13" ht="66" customHeight="1">
      <c r="A822" s="2" t="s">
        <v>3094</v>
      </c>
      <c r="B822" s="2" t="s">
        <v>2430</v>
      </c>
      <c r="C822" s="8" t="s">
        <v>3095</v>
      </c>
      <c r="D822" s="2">
        <v>1</v>
      </c>
      <c r="E822" s="8" t="s">
        <v>10156</v>
      </c>
      <c r="F822" s="2">
        <v>4</v>
      </c>
      <c r="G822" s="8" t="s">
        <v>8581</v>
      </c>
      <c r="H822" s="8" t="s">
        <v>8581</v>
      </c>
      <c r="I822" s="8"/>
      <c r="J822" s="8" t="s">
        <v>10159</v>
      </c>
      <c r="K822" s="8" t="s">
        <v>3099</v>
      </c>
      <c r="L822" s="8" t="str">
        <f>HYPERLINK("https://seichotoushi-hojo.jp/assets/pdf/koufu_3_4ji/outline_221.pdf","PDFを開く")</f>
        <v>PDFを開く</v>
      </c>
      <c r="M822" s="8" t="s">
        <v>3101</v>
      </c>
    </row>
    <row r="823" spans="1:13" ht="66" customHeight="1">
      <c r="A823" s="5" t="s">
        <v>3102</v>
      </c>
      <c r="B823" s="5" t="s">
        <v>2430</v>
      </c>
      <c r="C823" s="9" t="s">
        <v>3103</v>
      </c>
      <c r="D823" s="5">
        <v>1</v>
      </c>
      <c r="E823" s="9" t="s">
        <v>10156</v>
      </c>
      <c r="F823" s="5">
        <v>4</v>
      </c>
      <c r="G823" s="9" t="s">
        <v>8581</v>
      </c>
      <c r="H823" s="9" t="s">
        <v>8581</v>
      </c>
      <c r="I823" s="9"/>
      <c r="J823" s="9" t="s">
        <v>10159</v>
      </c>
      <c r="K823" s="9" t="s">
        <v>3106</v>
      </c>
      <c r="L823" s="9" t="str">
        <f>HYPERLINK("https://seichotoushi-hojo.jp/assets/pdf/koufu_3_4ji/outline_222.pdf","PDFを開く")</f>
        <v>PDFを開く</v>
      </c>
      <c r="M823" s="9" t="s">
        <v>3108</v>
      </c>
    </row>
    <row r="824" spans="1:13" ht="66" customHeight="1">
      <c r="A824" s="2" t="s">
        <v>3102</v>
      </c>
      <c r="B824" s="2" t="s">
        <v>2430</v>
      </c>
      <c r="C824" s="8" t="s">
        <v>3103</v>
      </c>
      <c r="D824" s="2">
        <v>2</v>
      </c>
      <c r="E824" s="8" t="s">
        <v>10165</v>
      </c>
      <c r="F824" s="2">
        <v>1</v>
      </c>
      <c r="G824" s="8" t="s">
        <v>10167</v>
      </c>
      <c r="H824" s="8" t="s">
        <v>10599</v>
      </c>
      <c r="I824" s="8"/>
      <c r="J824" s="8" t="s">
        <v>10159</v>
      </c>
      <c r="K824" s="8" t="s">
        <v>10939</v>
      </c>
      <c r="L824" s="8" t="str">
        <f>HYPERLINK("https://seichotoushi-hojo.jp/assets/pdf/koufu_3_4ji/outline_222.pdf","PDFを開く")</f>
        <v>PDFを開く</v>
      </c>
      <c r="M824" s="8" t="s">
        <v>3108</v>
      </c>
    </row>
    <row r="825" spans="1:13" ht="66" customHeight="1">
      <c r="A825" s="5" t="s">
        <v>3109</v>
      </c>
      <c r="B825" s="5" t="s">
        <v>2430</v>
      </c>
      <c r="C825" s="9" t="s">
        <v>3110</v>
      </c>
      <c r="D825" s="5">
        <v>1</v>
      </c>
      <c r="E825" s="9" t="s">
        <v>10156</v>
      </c>
      <c r="F825" s="5">
        <v>4</v>
      </c>
      <c r="G825" s="9" t="s">
        <v>8581</v>
      </c>
      <c r="H825" s="9" t="s">
        <v>8581</v>
      </c>
      <c r="I825" s="9"/>
      <c r="J825" s="9" t="s">
        <v>10159</v>
      </c>
      <c r="K825" s="9" t="s">
        <v>3113</v>
      </c>
      <c r="L825" s="9" t="str">
        <f>HYPERLINK("https://seichotoushi-hojo.jp/assets/pdf/koufu_3_4ji/outline_223.pdf","PDFを開く")</f>
        <v>PDFを開く</v>
      </c>
      <c r="M825" s="9" t="s">
        <v>3116</v>
      </c>
    </row>
    <row r="826" spans="1:13" ht="66" customHeight="1">
      <c r="A826" s="2" t="s">
        <v>3117</v>
      </c>
      <c r="B826" s="2" t="s">
        <v>2430</v>
      </c>
      <c r="C826" s="8" t="s">
        <v>3118</v>
      </c>
      <c r="D826" s="2">
        <v>1</v>
      </c>
      <c r="E826" s="8" t="s">
        <v>10156</v>
      </c>
      <c r="F826" s="2">
        <v>4</v>
      </c>
      <c r="G826" s="8" t="s">
        <v>8581</v>
      </c>
      <c r="H826" s="8" t="s">
        <v>8581</v>
      </c>
      <c r="I826" s="8"/>
      <c r="J826" s="8" t="s">
        <v>10159</v>
      </c>
      <c r="K826" s="8" t="s">
        <v>3122</v>
      </c>
      <c r="L826" s="8" t="str">
        <f>HYPERLINK("https://seichotoushi-hojo.jp/assets/pdf/koufu_3_4ji/outline_225.pdf","PDFを開く")</f>
        <v>PDFを開く</v>
      </c>
      <c r="M826" s="8" t="s">
        <v>3124</v>
      </c>
    </row>
    <row r="827" spans="1:13" ht="66" customHeight="1">
      <c r="A827" s="5" t="s">
        <v>3125</v>
      </c>
      <c r="B827" s="5" t="s">
        <v>2430</v>
      </c>
      <c r="C827" s="9" t="s">
        <v>3126</v>
      </c>
      <c r="D827" s="5">
        <v>1</v>
      </c>
      <c r="E827" s="9" t="s">
        <v>10156</v>
      </c>
      <c r="F827" s="5">
        <v>4</v>
      </c>
      <c r="G827" s="9" t="s">
        <v>8581</v>
      </c>
      <c r="H827" s="9" t="s">
        <v>8581</v>
      </c>
      <c r="I827" s="9"/>
      <c r="J827" s="9" t="s">
        <v>10159</v>
      </c>
      <c r="K827" s="9" t="s">
        <v>3130</v>
      </c>
      <c r="L827" s="9" t="str">
        <f>HYPERLINK("https://seichotoushi-hojo.jp/assets/pdf/koufu_3_4ji/outline_226.pdf","PDFを開く")</f>
        <v>PDFを開く</v>
      </c>
      <c r="M827" s="9" t="s">
        <v>3132</v>
      </c>
    </row>
    <row r="828" spans="1:13" ht="66" customHeight="1">
      <c r="A828" s="2" t="s">
        <v>3133</v>
      </c>
      <c r="B828" s="2" t="s">
        <v>2430</v>
      </c>
      <c r="C828" s="8" t="s">
        <v>3134</v>
      </c>
      <c r="D828" s="2">
        <v>1</v>
      </c>
      <c r="E828" s="8" t="s">
        <v>10156</v>
      </c>
      <c r="F828" s="2">
        <v>4</v>
      </c>
      <c r="G828" s="8" t="s">
        <v>8581</v>
      </c>
      <c r="H828" s="8" t="s">
        <v>8581</v>
      </c>
      <c r="I828" s="8"/>
      <c r="J828" s="8" t="s">
        <v>10159</v>
      </c>
      <c r="K828" s="8" t="s">
        <v>3138</v>
      </c>
      <c r="L828" s="8" t="str">
        <f>HYPERLINK("https://seichotoushi-hojo.jp/assets/pdf/koufu_3_4ji/outline_227.pdf","PDFを開く")</f>
        <v>PDFを開く</v>
      </c>
      <c r="M828" s="8" t="s">
        <v>3140</v>
      </c>
    </row>
    <row r="829" spans="1:13" ht="66" customHeight="1">
      <c r="A829" s="5" t="s">
        <v>3133</v>
      </c>
      <c r="B829" s="5" t="s">
        <v>2430</v>
      </c>
      <c r="C829" s="9" t="s">
        <v>3134</v>
      </c>
      <c r="D829" s="5">
        <v>2</v>
      </c>
      <c r="E829" s="9" t="s">
        <v>10165</v>
      </c>
      <c r="F829" s="5">
        <v>1</v>
      </c>
      <c r="G829" s="9" t="s">
        <v>10167</v>
      </c>
      <c r="H829" s="9" t="s">
        <v>10940</v>
      </c>
      <c r="I829" s="9"/>
      <c r="J829" s="9" t="s">
        <v>10159</v>
      </c>
      <c r="K829" s="9" t="s">
        <v>10940</v>
      </c>
      <c r="L829" s="9" t="str">
        <f>HYPERLINK("https://seichotoushi-hojo.jp/assets/pdf/koufu_3_4ji/outline_227.pdf","PDFを開く")</f>
        <v>PDFを開く</v>
      </c>
      <c r="M829" s="9" t="s">
        <v>3140</v>
      </c>
    </row>
    <row r="830" spans="1:13" ht="66" customHeight="1">
      <c r="A830" s="2" t="s">
        <v>3141</v>
      </c>
      <c r="B830" s="2" t="s">
        <v>2430</v>
      </c>
      <c r="C830" s="8" t="s">
        <v>3142</v>
      </c>
      <c r="D830" s="2">
        <v>1</v>
      </c>
      <c r="E830" s="8" t="s">
        <v>10156</v>
      </c>
      <c r="F830" s="2">
        <v>2</v>
      </c>
      <c r="G830" s="8" t="s">
        <v>8581</v>
      </c>
      <c r="H830" s="8" t="s">
        <v>8581</v>
      </c>
      <c r="I830" s="8"/>
      <c r="J830" s="8" t="s">
        <v>10159</v>
      </c>
      <c r="K830" s="8" t="s">
        <v>3145</v>
      </c>
      <c r="L830" s="8" t="str">
        <f>HYPERLINK("https://seichotoushi-hojo.jp/assets/pdf/koufu_3_4ji/outline_228.pdf","PDFを開く")</f>
        <v>PDFを開く</v>
      </c>
      <c r="M830" s="8" t="s">
        <v>3148</v>
      </c>
    </row>
    <row r="831" spans="1:13" ht="66" customHeight="1">
      <c r="A831" s="5" t="s">
        <v>3149</v>
      </c>
      <c r="B831" s="5" t="s">
        <v>2430</v>
      </c>
      <c r="C831" s="9" t="s">
        <v>3150</v>
      </c>
      <c r="D831" s="5">
        <v>1</v>
      </c>
      <c r="E831" s="9" t="s">
        <v>10156</v>
      </c>
      <c r="F831" s="5">
        <v>4</v>
      </c>
      <c r="G831" s="9" t="s">
        <v>8581</v>
      </c>
      <c r="H831" s="9" t="s">
        <v>8581</v>
      </c>
      <c r="I831" s="9"/>
      <c r="J831" s="9" t="s">
        <v>10159</v>
      </c>
      <c r="K831" s="9" t="s">
        <v>10136</v>
      </c>
      <c r="L831" s="9" t="str">
        <f>HYPERLINK("https://seichotoushi-hojo.jp/assets/pdf/koufu_3_4ji/outline_230.pdf","PDFを開く")</f>
        <v>PDFを開く</v>
      </c>
      <c r="M831" s="9" t="s">
        <v>3154</v>
      </c>
    </row>
    <row r="832" spans="1:13" ht="66" customHeight="1">
      <c r="A832" s="2" t="s">
        <v>3155</v>
      </c>
      <c r="B832" s="2" t="s">
        <v>2430</v>
      </c>
      <c r="C832" s="8" t="s">
        <v>3156</v>
      </c>
      <c r="D832" s="2">
        <v>1</v>
      </c>
      <c r="E832" s="8" t="s">
        <v>10156</v>
      </c>
      <c r="F832" s="2">
        <v>1</v>
      </c>
      <c r="G832" s="8" t="s">
        <v>10167</v>
      </c>
      <c r="H832" s="8" t="s">
        <v>10941</v>
      </c>
      <c r="I832" s="8"/>
      <c r="J832" s="8" t="s">
        <v>10159</v>
      </c>
      <c r="K832" s="8" t="s">
        <v>10942</v>
      </c>
      <c r="L832" s="8" t="str">
        <f>HYPERLINK("https://seichotoushi-hojo.jp/assets/pdf/koufu_3_4ji/outline_231.pdf","PDFを開く")</f>
        <v>PDFを開く</v>
      </c>
      <c r="M832" s="8" t="s">
        <v>3162</v>
      </c>
    </row>
    <row r="833" spans="1:13" ht="66" customHeight="1">
      <c r="A833" s="5" t="s">
        <v>3155</v>
      </c>
      <c r="B833" s="5" t="s">
        <v>2430</v>
      </c>
      <c r="C833" s="9" t="s">
        <v>3156</v>
      </c>
      <c r="D833" s="5">
        <v>1</v>
      </c>
      <c r="E833" s="9" t="s">
        <v>10156</v>
      </c>
      <c r="F833" s="5">
        <v>3</v>
      </c>
      <c r="G833" s="9" t="s">
        <v>10167</v>
      </c>
      <c r="H833" s="9" t="s">
        <v>10943</v>
      </c>
      <c r="I833" s="9"/>
      <c r="J833" s="9" t="s">
        <v>10159</v>
      </c>
      <c r="K833" s="9" t="s">
        <v>10944</v>
      </c>
      <c r="L833" s="9" t="str">
        <f>HYPERLINK("https://seichotoushi-hojo.jp/assets/pdf/koufu_3_4ji/outline_231.pdf","PDFを開く")</f>
        <v>PDFを開く</v>
      </c>
      <c r="M833" s="9" t="s">
        <v>3162</v>
      </c>
    </row>
    <row r="834" spans="1:13" ht="66" customHeight="1">
      <c r="A834" s="2" t="s">
        <v>3155</v>
      </c>
      <c r="B834" s="2" t="s">
        <v>2430</v>
      </c>
      <c r="C834" s="8" t="s">
        <v>3156</v>
      </c>
      <c r="D834" s="2">
        <v>1</v>
      </c>
      <c r="E834" s="8" t="s">
        <v>10156</v>
      </c>
      <c r="F834" s="2">
        <v>4</v>
      </c>
      <c r="G834" s="8" t="s">
        <v>8581</v>
      </c>
      <c r="H834" s="8" t="s">
        <v>8581</v>
      </c>
      <c r="I834" s="8"/>
      <c r="J834" s="8" t="s">
        <v>10159</v>
      </c>
      <c r="K834" s="8" t="s">
        <v>3160</v>
      </c>
      <c r="L834" s="8" t="str">
        <f>HYPERLINK("https://seichotoushi-hojo.jp/assets/pdf/koufu_3_4ji/outline_231.pdf","PDFを開く")</f>
        <v>PDFを開く</v>
      </c>
      <c r="M834" s="8" t="s">
        <v>3162</v>
      </c>
    </row>
    <row r="835" spans="1:13" ht="66" customHeight="1">
      <c r="A835" s="6" t="s">
        <v>3155</v>
      </c>
      <c r="B835" s="6" t="s">
        <v>2430</v>
      </c>
      <c r="C835" s="10" t="s">
        <v>3156</v>
      </c>
      <c r="D835" s="6">
        <v>2</v>
      </c>
      <c r="E835" s="10" t="s">
        <v>10165</v>
      </c>
      <c r="F835" s="6">
        <v>1</v>
      </c>
      <c r="G835" s="10" t="s">
        <v>10157</v>
      </c>
      <c r="H835" s="10" t="s">
        <v>10157</v>
      </c>
      <c r="I835" s="10"/>
      <c r="J835" s="10" t="s">
        <v>10159</v>
      </c>
      <c r="K835" s="10" t="s">
        <v>10141</v>
      </c>
      <c r="L835" s="10" t="str">
        <f>HYPERLINK("https://seichotoushi-hojo.jp/assets/pdf/koufu_3_4ji/outline_231.pdf","PDFを開く")</f>
        <v>PDFを開く</v>
      </c>
      <c r="M835" s="10" t="s">
        <v>3162</v>
      </c>
    </row>
  </sheetData>
  <mergeCells count="2">
    <mergeCell ref="A1:M1"/>
    <mergeCell ref="A2:M2"/>
  </mergeCells>
  <phoneticPr fontId="8"/>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891"/>
  <sheetViews>
    <sheetView showGridLines="0" workbookViewId="0"/>
  </sheetViews>
  <sheetFormatPr defaultRowHeight="14.25"/>
  <cols>
    <col min="1" max="1" width="19" customWidth="1"/>
    <col min="2" max="2" width="7" customWidth="1"/>
    <col min="3" max="3" width="25" customWidth="1"/>
    <col min="4" max="4" width="8" customWidth="1"/>
    <col min="5" max="5" width="24" customWidth="1"/>
    <col min="6" max="6" width="100" customWidth="1"/>
    <col min="7" max="7" width="48" customWidth="1"/>
  </cols>
  <sheetData>
    <row r="1" spans="1:7" ht="30" customHeight="1">
      <c r="A1" s="24" t="s">
        <v>10947</v>
      </c>
      <c r="B1" s="24"/>
      <c r="C1" s="24"/>
      <c r="D1" s="24"/>
      <c r="E1" s="24"/>
      <c r="F1" s="24"/>
      <c r="G1" s="24"/>
    </row>
    <row r="2" spans="1:7" ht="38.1" customHeight="1">
      <c r="A2" s="25" t="s">
        <v>10948</v>
      </c>
      <c r="B2" s="25"/>
      <c r="C2" s="25"/>
      <c r="D2" s="25"/>
      <c r="E2" s="25"/>
      <c r="F2" s="25"/>
      <c r="G2" s="25"/>
    </row>
    <row r="4" spans="1:7" ht="45.95" customHeight="1">
      <c r="A4" s="1" t="s">
        <v>2</v>
      </c>
      <c r="B4" s="1" t="s">
        <v>3</v>
      </c>
      <c r="C4" s="1" t="s">
        <v>4</v>
      </c>
      <c r="D4" s="1" t="s">
        <v>3165</v>
      </c>
      <c r="E4" s="1" t="s">
        <v>10147</v>
      </c>
      <c r="F4" s="1" t="s">
        <v>10949</v>
      </c>
      <c r="G4" s="1" t="s">
        <v>65</v>
      </c>
    </row>
    <row r="5" spans="1:7" ht="87.95" customHeight="1">
      <c r="A5" s="4" t="s">
        <v>72</v>
      </c>
      <c r="B5" s="4" t="s">
        <v>73</v>
      </c>
      <c r="C5" s="7" t="s">
        <v>74</v>
      </c>
      <c r="D5" s="4">
        <v>1</v>
      </c>
      <c r="E5" s="7" t="s">
        <v>10156</v>
      </c>
      <c r="F5" s="7" t="s">
        <v>10950</v>
      </c>
      <c r="G5" s="7" t="str">
        <f>HYPERLINK("https://seichotoushi-hojo.jp/assets/pdf/koufu/outline_1.pdf","PDFを開く")</f>
        <v>PDFを開く</v>
      </c>
    </row>
    <row r="6" spans="1:7" ht="87.95" customHeight="1">
      <c r="A6" s="2" t="s">
        <v>72</v>
      </c>
      <c r="B6" s="2" t="s">
        <v>73</v>
      </c>
      <c r="C6" s="8" t="s">
        <v>74</v>
      </c>
      <c r="D6" s="2">
        <v>2</v>
      </c>
      <c r="E6" s="8" t="s">
        <v>10165</v>
      </c>
      <c r="F6" s="8" t="s">
        <v>10951</v>
      </c>
      <c r="G6" s="8" t="str">
        <f>HYPERLINK("https://seichotoushi-hojo.jp/assets/pdf/koufu/outline_1.pdf","PDFを開く")</f>
        <v>PDFを開く</v>
      </c>
    </row>
    <row r="7" spans="1:7" ht="87.95" customHeight="1">
      <c r="A7" s="5" t="s">
        <v>93</v>
      </c>
      <c r="B7" s="5" t="s">
        <v>73</v>
      </c>
      <c r="C7" s="9" t="s">
        <v>94</v>
      </c>
      <c r="D7" s="5">
        <v>1</v>
      </c>
      <c r="E7" s="9" t="s">
        <v>10156</v>
      </c>
      <c r="F7" s="9" t="s">
        <v>10952</v>
      </c>
      <c r="G7" s="9" t="str">
        <f>HYPERLINK("https://seichotoushi-hojo.jp/assets/pdf/koufu/outline_10.pdf","PDFを開く")</f>
        <v>PDFを開く</v>
      </c>
    </row>
    <row r="8" spans="1:7" ht="87.95" customHeight="1">
      <c r="A8" s="2" t="s">
        <v>93</v>
      </c>
      <c r="B8" s="2" t="s">
        <v>73</v>
      </c>
      <c r="C8" s="8" t="s">
        <v>94</v>
      </c>
      <c r="D8" s="2">
        <v>2</v>
      </c>
      <c r="E8" s="8" t="s">
        <v>10165</v>
      </c>
      <c r="F8" s="8" t="s">
        <v>10953</v>
      </c>
      <c r="G8" s="8" t="str">
        <f>HYPERLINK("https://seichotoushi-hojo.jp/assets/pdf/koufu/outline_10.pdf","PDFを開く")</f>
        <v>PDFを開く</v>
      </c>
    </row>
    <row r="9" spans="1:7" ht="87.95" customHeight="1">
      <c r="A9" s="5" t="s">
        <v>105</v>
      </c>
      <c r="B9" s="5" t="s">
        <v>73</v>
      </c>
      <c r="C9" s="9" t="s">
        <v>106</v>
      </c>
      <c r="D9" s="5">
        <v>1</v>
      </c>
      <c r="E9" s="9" t="s">
        <v>10156</v>
      </c>
      <c r="F9" s="9" t="s">
        <v>10954</v>
      </c>
      <c r="G9" s="9" t="str">
        <f>HYPERLINK("https://seichotoushi-hojo.jp/assets/pdf/koufu/outline_100.pdf","PDFを開く")</f>
        <v>PDFを開く</v>
      </c>
    </row>
    <row r="10" spans="1:7" ht="87.95" customHeight="1">
      <c r="A10" s="2" t="s">
        <v>105</v>
      </c>
      <c r="B10" s="2" t="s">
        <v>73</v>
      </c>
      <c r="C10" s="8" t="s">
        <v>106</v>
      </c>
      <c r="D10" s="2">
        <v>2</v>
      </c>
      <c r="E10" s="8" t="s">
        <v>10165</v>
      </c>
      <c r="F10" s="8" t="s">
        <v>10955</v>
      </c>
      <c r="G10" s="8" t="str">
        <f>HYPERLINK("https://seichotoushi-hojo.jp/assets/pdf/koufu/outline_100.pdf","PDFを開く")</f>
        <v>PDFを開く</v>
      </c>
    </row>
    <row r="11" spans="1:7" ht="87.95" customHeight="1">
      <c r="A11" s="5" t="s">
        <v>114</v>
      </c>
      <c r="B11" s="5" t="s">
        <v>73</v>
      </c>
      <c r="C11" s="9" t="s">
        <v>115</v>
      </c>
      <c r="D11" s="5">
        <v>1</v>
      </c>
      <c r="E11" s="9" t="s">
        <v>10156</v>
      </c>
      <c r="F11" s="9" t="s">
        <v>10956</v>
      </c>
      <c r="G11" s="9" t="str">
        <f>HYPERLINK("https://seichotoushi-hojo.jp/assets/pdf/koufu/outline_101.pdf","PDFを開く")</f>
        <v>PDFを開く</v>
      </c>
    </row>
    <row r="12" spans="1:7" ht="87.95" customHeight="1">
      <c r="A12" s="2" t="s">
        <v>114</v>
      </c>
      <c r="B12" s="2" t="s">
        <v>73</v>
      </c>
      <c r="C12" s="8" t="s">
        <v>115</v>
      </c>
      <c r="D12" s="2">
        <v>2</v>
      </c>
      <c r="E12" s="8" t="s">
        <v>10165</v>
      </c>
      <c r="F12" s="8" t="s">
        <v>10957</v>
      </c>
      <c r="G12" s="8" t="str">
        <f>HYPERLINK("https://seichotoushi-hojo.jp/assets/pdf/koufu/outline_101.pdf","PDFを開く")</f>
        <v>PDFを開く</v>
      </c>
    </row>
    <row r="13" spans="1:7" ht="87.95" customHeight="1">
      <c r="A13" s="5" t="s">
        <v>114</v>
      </c>
      <c r="B13" s="5" t="s">
        <v>73</v>
      </c>
      <c r="C13" s="9" t="s">
        <v>115</v>
      </c>
      <c r="D13" s="5">
        <v>3</v>
      </c>
      <c r="E13" s="9" t="s">
        <v>10165</v>
      </c>
      <c r="F13" s="9" t="s">
        <v>10958</v>
      </c>
      <c r="G13" s="9" t="str">
        <f>HYPERLINK("https://seichotoushi-hojo.jp/assets/pdf/koufu/outline_101.pdf","PDFを開く")</f>
        <v>PDFを開く</v>
      </c>
    </row>
    <row r="14" spans="1:7" ht="87.95" customHeight="1">
      <c r="A14" s="2" t="s">
        <v>114</v>
      </c>
      <c r="B14" s="2" t="s">
        <v>73</v>
      </c>
      <c r="C14" s="8" t="s">
        <v>115</v>
      </c>
      <c r="D14" s="2">
        <v>4</v>
      </c>
      <c r="E14" s="8" t="s">
        <v>10165</v>
      </c>
      <c r="F14" s="8" t="s">
        <v>10959</v>
      </c>
      <c r="G14" s="8" t="str">
        <f>HYPERLINK("https://seichotoushi-hojo.jp/assets/pdf/koufu/outline_101.pdf","PDFを開く")</f>
        <v>PDFを開く</v>
      </c>
    </row>
    <row r="15" spans="1:7" ht="87.95" customHeight="1">
      <c r="A15" s="5" t="s">
        <v>114</v>
      </c>
      <c r="B15" s="5" t="s">
        <v>73</v>
      </c>
      <c r="C15" s="9" t="s">
        <v>115</v>
      </c>
      <c r="D15" s="5">
        <v>5</v>
      </c>
      <c r="E15" s="9" t="s">
        <v>10165</v>
      </c>
      <c r="F15" s="9" t="s">
        <v>10960</v>
      </c>
      <c r="G15" s="9" t="str">
        <f>HYPERLINK("https://seichotoushi-hojo.jp/assets/pdf/koufu/outline_101.pdf","PDFを開く")</f>
        <v>PDFを開く</v>
      </c>
    </row>
    <row r="16" spans="1:7" ht="87.95" customHeight="1">
      <c r="A16" s="2" t="s">
        <v>125</v>
      </c>
      <c r="B16" s="2" t="s">
        <v>73</v>
      </c>
      <c r="C16" s="8" t="s">
        <v>126</v>
      </c>
      <c r="D16" s="2">
        <v>1</v>
      </c>
      <c r="E16" s="8" t="s">
        <v>10156</v>
      </c>
      <c r="F16" s="8" t="s">
        <v>10961</v>
      </c>
      <c r="G16" s="8" t="str">
        <f>HYPERLINK("https://seichotoushi-hojo.jp/assets/pdf/koufu/outline_102.pdf","PDFを開く")</f>
        <v>PDFを開く</v>
      </c>
    </row>
    <row r="17" spans="1:7" ht="87.95" customHeight="1">
      <c r="A17" s="5" t="s">
        <v>125</v>
      </c>
      <c r="B17" s="5" t="s">
        <v>73</v>
      </c>
      <c r="C17" s="9" t="s">
        <v>126</v>
      </c>
      <c r="D17" s="5">
        <v>2</v>
      </c>
      <c r="E17" s="9" t="s">
        <v>10165</v>
      </c>
      <c r="F17" s="9" t="s">
        <v>10962</v>
      </c>
      <c r="G17" s="9" t="str">
        <f>HYPERLINK("https://seichotoushi-hojo.jp/assets/pdf/koufu/outline_102.pdf","PDFを開く")</f>
        <v>PDFを開く</v>
      </c>
    </row>
    <row r="18" spans="1:7" ht="87.95" customHeight="1">
      <c r="A18" s="2" t="s">
        <v>132</v>
      </c>
      <c r="B18" s="2" t="s">
        <v>73</v>
      </c>
      <c r="C18" s="8" t="s">
        <v>133</v>
      </c>
      <c r="D18" s="2">
        <v>1</v>
      </c>
      <c r="E18" s="8" t="s">
        <v>10156</v>
      </c>
      <c r="F18" s="8" t="s">
        <v>10963</v>
      </c>
      <c r="G18" s="8" t="str">
        <f>HYPERLINK("https://seichotoushi-hojo.jp/assets/pdf/koufu/outline_103.pdf","PDFを開く")</f>
        <v>PDFを開く</v>
      </c>
    </row>
    <row r="19" spans="1:7" ht="87.95" customHeight="1">
      <c r="A19" s="5" t="s">
        <v>132</v>
      </c>
      <c r="B19" s="5" t="s">
        <v>73</v>
      </c>
      <c r="C19" s="9" t="s">
        <v>133</v>
      </c>
      <c r="D19" s="5">
        <v>2</v>
      </c>
      <c r="E19" s="9" t="s">
        <v>10165</v>
      </c>
      <c r="F19" s="9" t="s">
        <v>10964</v>
      </c>
      <c r="G19" s="9" t="str">
        <f>HYPERLINK("https://seichotoushi-hojo.jp/assets/pdf/koufu/outline_103.pdf","PDFを開く")</f>
        <v>PDFを開く</v>
      </c>
    </row>
    <row r="20" spans="1:7" ht="87.95" customHeight="1">
      <c r="A20" s="2" t="s">
        <v>139</v>
      </c>
      <c r="B20" s="2" t="s">
        <v>73</v>
      </c>
      <c r="C20" s="8" t="s">
        <v>140</v>
      </c>
      <c r="D20" s="2">
        <v>1</v>
      </c>
      <c r="E20" s="8" t="s">
        <v>10156</v>
      </c>
      <c r="F20" s="8" t="s">
        <v>10965</v>
      </c>
      <c r="G20" s="8" t="str">
        <f>HYPERLINK("https://seichotoushi-hojo.jp/assets/pdf/koufu/outline_104.pdf","PDFを開く")</f>
        <v>PDFを開く</v>
      </c>
    </row>
    <row r="21" spans="1:7" ht="87.95" customHeight="1">
      <c r="A21" s="5" t="s">
        <v>139</v>
      </c>
      <c r="B21" s="5" t="s">
        <v>73</v>
      </c>
      <c r="C21" s="9" t="s">
        <v>140</v>
      </c>
      <c r="D21" s="5">
        <v>2</v>
      </c>
      <c r="E21" s="9" t="s">
        <v>10165</v>
      </c>
      <c r="F21" s="9" t="s">
        <v>10966</v>
      </c>
      <c r="G21" s="9" t="str">
        <f>HYPERLINK("https://seichotoushi-hojo.jp/assets/pdf/koufu/outline_104.pdf","PDFを開く")</f>
        <v>PDFを開く</v>
      </c>
    </row>
    <row r="22" spans="1:7" ht="87.95" customHeight="1">
      <c r="A22" s="2" t="s">
        <v>146</v>
      </c>
      <c r="B22" s="2" t="s">
        <v>73</v>
      </c>
      <c r="C22" s="8" t="s">
        <v>147</v>
      </c>
      <c r="D22" s="2">
        <v>1</v>
      </c>
      <c r="E22" s="8" t="s">
        <v>10156</v>
      </c>
      <c r="F22" s="8" t="s">
        <v>10967</v>
      </c>
      <c r="G22" s="8" t="str">
        <f>HYPERLINK("https://seichotoushi-hojo.jp/assets/pdf/koufu/outline_105.pdf","PDFを開く")</f>
        <v>PDFを開く</v>
      </c>
    </row>
    <row r="23" spans="1:7" ht="87.95" customHeight="1">
      <c r="A23" s="5" t="s">
        <v>146</v>
      </c>
      <c r="B23" s="5" t="s">
        <v>73</v>
      </c>
      <c r="C23" s="9" t="s">
        <v>147</v>
      </c>
      <c r="D23" s="5">
        <v>2</v>
      </c>
      <c r="E23" s="9" t="s">
        <v>10165</v>
      </c>
      <c r="F23" s="9" t="s">
        <v>10968</v>
      </c>
      <c r="G23" s="9" t="str">
        <f>HYPERLINK("https://seichotoushi-hojo.jp/assets/pdf/koufu/outline_105.pdf","PDFを開く")</f>
        <v>PDFを開く</v>
      </c>
    </row>
    <row r="24" spans="1:7" ht="87.95" customHeight="1">
      <c r="A24" s="2" t="s">
        <v>158</v>
      </c>
      <c r="B24" s="2" t="s">
        <v>73</v>
      </c>
      <c r="C24" s="8" t="s">
        <v>159</v>
      </c>
      <c r="D24" s="2">
        <v>1</v>
      </c>
      <c r="E24" s="8" t="s">
        <v>10156</v>
      </c>
      <c r="F24" s="8" t="s">
        <v>10969</v>
      </c>
      <c r="G24" s="8" t="str">
        <f>HYPERLINK("https://seichotoushi-hojo.jp/assets/pdf/koufu/outline_106.pdf","PDFを開く")</f>
        <v>PDFを開く</v>
      </c>
    </row>
    <row r="25" spans="1:7" ht="87.95" customHeight="1">
      <c r="A25" s="5" t="s">
        <v>158</v>
      </c>
      <c r="B25" s="5" t="s">
        <v>73</v>
      </c>
      <c r="C25" s="9" t="s">
        <v>159</v>
      </c>
      <c r="D25" s="5">
        <v>2</v>
      </c>
      <c r="E25" s="9" t="s">
        <v>10165</v>
      </c>
      <c r="F25" s="9" t="s">
        <v>10970</v>
      </c>
      <c r="G25" s="9" t="str">
        <f>HYPERLINK("https://seichotoushi-hojo.jp/assets/pdf/koufu/outline_106.pdf","PDFを開く")</f>
        <v>PDFを開く</v>
      </c>
    </row>
    <row r="26" spans="1:7" ht="87.95" customHeight="1">
      <c r="A26" s="2" t="s">
        <v>167</v>
      </c>
      <c r="B26" s="2" t="s">
        <v>73</v>
      </c>
      <c r="C26" s="8" t="s">
        <v>168</v>
      </c>
      <c r="D26" s="2">
        <v>1</v>
      </c>
      <c r="E26" s="8" t="s">
        <v>10156</v>
      </c>
      <c r="F26" s="8" t="s">
        <v>10971</v>
      </c>
      <c r="G26" s="8" t="str">
        <f>HYPERLINK("https://seichotoushi-hojo.jp/assets/pdf/koufu/outline_107.pdf","PDFを開く")</f>
        <v>PDFを開く</v>
      </c>
    </row>
    <row r="27" spans="1:7" ht="87.95" customHeight="1">
      <c r="A27" s="5" t="s">
        <v>167</v>
      </c>
      <c r="B27" s="5" t="s">
        <v>73</v>
      </c>
      <c r="C27" s="9" t="s">
        <v>168</v>
      </c>
      <c r="D27" s="5">
        <v>2</v>
      </c>
      <c r="E27" s="9" t="s">
        <v>10165</v>
      </c>
      <c r="F27" s="9" t="s">
        <v>10972</v>
      </c>
      <c r="G27" s="9" t="str">
        <f>HYPERLINK("https://seichotoushi-hojo.jp/assets/pdf/koufu/outline_107.pdf","PDFを開く")</f>
        <v>PDFを開く</v>
      </c>
    </row>
    <row r="28" spans="1:7" ht="87.95" customHeight="1">
      <c r="A28" s="2" t="s">
        <v>175</v>
      </c>
      <c r="B28" s="2" t="s">
        <v>73</v>
      </c>
      <c r="C28" s="8" t="s">
        <v>176</v>
      </c>
      <c r="D28" s="2">
        <v>1</v>
      </c>
      <c r="E28" s="8" t="s">
        <v>10156</v>
      </c>
      <c r="F28" s="8" t="s">
        <v>10973</v>
      </c>
      <c r="G28" s="8" t="str">
        <f>HYPERLINK("https://seichotoushi-hojo.jp/assets/pdf/koufu/outline_108.pdf","PDFを開く")</f>
        <v>PDFを開く</v>
      </c>
    </row>
    <row r="29" spans="1:7" ht="87.95" customHeight="1">
      <c r="A29" s="5" t="s">
        <v>175</v>
      </c>
      <c r="B29" s="5" t="s">
        <v>73</v>
      </c>
      <c r="C29" s="9" t="s">
        <v>176</v>
      </c>
      <c r="D29" s="5">
        <v>2</v>
      </c>
      <c r="E29" s="9" t="s">
        <v>10156</v>
      </c>
      <c r="F29" s="9" t="s">
        <v>10974</v>
      </c>
      <c r="G29" s="9" t="str">
        <f>HYPERLINK("https://seichotoushi-hojo.jp/assets/pdf/koufu/outline_108.pdf","PDFを開く")</f>
        <v>PDFを開く</v>
      </c>
    </row>
    <row r="30" spans="1:7" ht="87.95" customHeight="1">
      <c r="A30" s="2" t="s">
        <v>175</v>
      </c>
      <c r="B30" s="2" t="s">
        <v>73</v>
      </c>
      <c r="C30" s="8" t="s">
        <v>176</v>
      </c>
      <c r="D30" s="2">
        <v>3</v>
      </c>
      <c r="E30" s="8" t="s">
        <v>10156</v>
      </c>
      <c r="F30" s="8" t="s">
        <v>10975</v>
      </c>
      <c r="G30" s="8" t="str">
        <f>HYPERLINK("https://seichotoushi-hojo.jp/assets/pdf/koufu/outline_108.pdf","PDFを開く")</f>
        <v>PDFを開く</v>
      </c>
    </row>
    <row r="31" spans="1:7" ht="87.95" customHeight="1">
      <c r="A31" s="5" t="s">
        <v>175</v>
      </c>
      <c r="B31" s="5" t="s">
        <v>73</v>
      </c>
      <c r="C31" s="9" t="s">
        <v>176</v>
      </c>
      <c r="D31" s="5">
        <v>4</v>
      </c>
      <c r="E31" s="9" t="s">
        <v>10165</v>
      </c>
      <c r="F31" s="9" t="s">
        <v>10976</v>
      </c>
      <c r="G31" s="9" t="str">
        <f>HYPERLINK("https://seichotoushi-hojo.jp/assets/pdf/koufu/outline_108.pdf","PDFを開く")</f>
        <v>PDFを開く</v>
      </c>
    </row>
    <row r="32" spans="1:7" ht="87.95" customHeight="1">
      <c r="A32" s="2" t="s">
        <v>184</v>
      </c>
      <c r="B32" s="2" t="s">
        <v>73</v>
      </c>
      <c r="C32" s="8" t="s">
        <v>185</v>
      </c>
      <c r="D32" s="2">
        <v>1</v>
      </c>
      <c r="E32" s="8" t="s">
        <v>10156</v>
      </c>
      <c r="F32" s="8" t="s">
        <v>10977</v>
      </c>
      <c r="G32" s="8" t="str">
        <f>HYPERLINK("https://seichotoushi-hojo.jp/assets/pdf/koufu/outline_109.pdf","PDFを開く")</f>
        <v>PDFを開く</v>
      </c>
    </row>
    <row r="33" spans="1:7" ht="87.95" customHeight="1">
      <c r="A33" s="5" t="s">
        <v>184</v>
      </c>
      <c r="B33" s="5" t="s">
        <v>73</v>
      </c>
      <c r="C33" s="9" t="s">
        <v>185</v>
      </c>
      <c r="D33" s="5">
        <v>2</v>
      </c>
      <c r="E33" s="9" t="s">
        <v>10165</v>
      </c>
      <c r="F33" s="9" t="s">
        <v>10978</v>
      </c>
      <c r="G33" s="9" t="str">
        <f>HYPERLINK("https://seichotoushi-hojo.jp/assets/pdf/koufu/outline_109.pdf","PDFを開く")</f>
        <v>PDFを開く</v>
      </c>
    </row>
    <row r="34" spans="1:7" ht="87.95" customHeight="1">
      <c r="A34" s="2" t="s">
        <v>195</v>
      </c>
      <c r="B34" s="2" t="s">
        <v>73</v>
      </c>
      <c r="C34" s="8" t="s">
        <v>196</v>
      </c>
      <c r="D34" s="2">
        <v>1</v>
      </c>
      <c r="E34" s="8" t="s">
        <v>10156</v>
      </c>
      <c r="F34" s="8" t="s">
        <v>10979</v>
      </c>
      <c r="G34" s="8" t="str">
        <f>HYPERLINK("https://seichotoushi-hojo.jp/assets/pdf/koufu/outline_11.pdf","PDFを開く")</f>
        <v>PDFを開く</v>
      </c>
    </row>
    <row r="35" spans="1:7" ht="87.95" customHeight="1">
      <c r="A35" s="5" t="s">
        <v>195</v>
      </c>
      <c r="B35" s="5" t="s">
        <v>73</v>
      </c>
      <c r="C35" s="9" t="s">
        <v>196</v>
      </c>
      <c r="D35" s="5">
        <v>2</v>
      </c>
      <c r="E35" s="9" t="s">
        <v>10165</v>
      </c>
      <c r="F35" s="9" t="s">
        <v>10980</v>
      </c>
      <c r="G35" s="9" t="str">
        <f>HYPERLINK("https://seichotoushi-hojo.jp/assets/pdf/koufu/outline_11.pdf","PDFを開く")</f>
        <v>PDFを開く</v>
      </c>
    </row>
    <row r="36" spans="1:7" ht="87.95" customHeight="1">
      <c r="A36" s="2" t="s">
        <v>205</v>
      </c>
      <c r="B36" s="2" t="s">
        <v>73</v>
      </c>
      <c r="C36" s="8" t="s">
        <v>206</v>
      </c>
      <c r="D36" s="2">
        <v>1</v>
      </c>
      <c r="E36" s="8" t="s">
        <v>10156</v>
      </c>
      <c r="F36" s="8" t="s">
        <v>10981</v>
      </c>
      <c r="G36" s="8" t="str">
        <f>HYPERLINK("https://seichotoushi-hojo.jp/assets/pdf/koufu/outline_110.pdf","PDFを開く")</f>
        <v>PDFを開く</v>
      </c>
    </row>
    <row r="37" spans="1:7" ht="87.95" customHeight="1">
      <c r="A37" s="5" t="s">
        <v>205</v>
      </c>
      <c r="B37" s="5" t="s">
        <v>73</v>
      </c>
      <c r="C37" s="9" t="s">
        <v>206</v>
      </c>
      <c r="D37" s="5">
        <v>2</v>
      </c>
      <c r="E37" s="9" t="s">
        <v>10165</v>
      </c>
      <c r="F37" s="9" t="s">
        <v>10982</v>
      </c>
      <c r="G37" s="9" t="str">
        <f>HYPERLINK("https://seichotoushi-hojo.jp/assets/pdf/koufu/outline_110.pdf","PDFを開く")</f>
        <v>PDFを開く</v>
      </c>
    </row>
    <row r="38" spans="1:7" ht="87.95" customHeight="1">
      <c r="A38" s="2" t="s">
        <v>215</v>
      </c>
      <c r="B38" s="2" t="s">
        <v>73</v>
      </c>
      <c r="C38" s="8" t="s">
        <v>216</v>
      </c>
      <c r="D38" s="2">
        <v>1</v>
      </c>
      <c r="E38" s="8" t="s">
        <v>10156</v>
      </c>
      <c r="F38" s="8" t="s">
        <v>10983</v>
      </c>
      <c r="G38" s="8" t="str">
        <f>HYPERLINK("https://seichotoushi-hojo.jp/assets/pdf/koufu/outline_111.pdf","PDFを開く")</f>
        <v>PDFを開く</v>
      </c>
    </row>
    <row r="39" spans="1:7" ht="87.95" customHeight="1">
      <c r="A39" s="5" t="s">
        <v>215</v>
      </c>
      <c r="B39" s="5" t="s">
        <v>73</v>
      </c>
      <c r="C39" s="9" t="s">
        <v>216</v>
      </c>
      <c r="D39" s="5">
        <v>2</v>
      </c>
      <c r="E39" s="9" t="s">
        <v>10165</v>
      </c>
      <c r="F39" s="9" t="s">
        <v>10984</v>
      </c>
      <c r="G39" s="9" t="str">
        <f>HYPERLINK("https://seichotoushi-hojo.jp/assets/pdf/koufu/outline_111.pdf","PDFを開く")</f>
        <v>PDFを開く</v>
      </c>
    </row>
    <row r="40" spans="1:7" ht="87.95" customHeight="1">
      <c r="A40" s="2" t="s">
        <v>223</v>
      </c>
      <c r="B40" s="2" t="s">
        <v>73</v>
      </c>
      <c r="C40" s="8" t="s">
        <v>224</v>
      </c>
      <c r="D40" s="2">
        <v>1</v>
      </c>
      <c r="E40" s="8" t="s">
        <v>10156</v>
      </c>
      <c r="F40" s="8" t="s">
        <v>10985</v>
      </c>
      <c r="G40" s="8" t="str">
        <f>HYPERLINK("https://seichotoushi-hojo.jp/assets/pdf/koufu/outline_112.pdf","PDFを開く")</f>
        <v>PDFを開く</v>
      </c>
    </row>
    <row r="41" spans="1:7" ht="87.95" customHeight="1">
      <c r="A41" s="5" t="s">
        <v>223</v>
      </c>
      <c r="B41" s="5" t="s">
        <v>73</v>
      </c>
      <c r="C41" s="9" t="s">
        <v>224</v>
      </c>
      <c r="D41" s="5">
        <v>2</v>
      </c>
      <c r="E41" s="9" t="s">
        <v>10165</v>
      </c>
      <c r="F41" s="9" t="s">
        <v>10986</v>
      </c>
      <c r="G41" s="9" t="str">
        <f>HYPERLINK("https://seichotoushi-hojo.jp/assets/pdf/koufu/outline_112.pdf","PDFを開く")</f>
        <v>PDFを開く</v>
      </c>
    </row>
    <row r="42" spans="1:7" ht="87.95" customHeight="1">
      <c r="A42" s="2" t="s">
        <v>233</v>
      </c>
      <c r="B42" s="2" t="s">
        <v>73</v>
      </c>
      <c r="C42" s="8" t="s">
        <v>234</v>
      </c>
      <c r="D42" s="2">
        <v>1</v>
      </c>
      <c r="E42" s="8" t="s">
        <v>10156</v>
      </c>
      <c r="F42" s="8" t="s">
        <v>10987</v>
      </c>
      <c r="G42" s="8" t="str">
        <f>HYPERLINK("https://seichotoushi-hojo.jp/assets/pdf/koufu/outline_113.pdf","PDFを開く")</f>
        <v>PDFを開く</v>
      </c>
    </row>
    <row r="43" spans="1:7" ht="87.95" customHeight="1">
      <c r="A43" s="5" t="s">
        <v>233</v>
      </c>
      <c r="B43" s="5" t="s">
        <v>73</v>
      </c>
      <c r="C43" s="9" t="s">
        <v>234</v>
      </c>
      <c r="D43" s="5">
        <v>2</v>
      </c>
      <c r="E43" s="9" t="s">
        <v>10165</v>
      </c>
      <c r="F43" s="9" t="s">
        <v>10988</v>
      </c>
      <c r="G43" s="9" t="str">
        <f>HYPERLINK("https://seichotoushi-hojo.jp/assets/pdf/koufu/outline_113.pdf","PDFを開く")</f>
        <v>PDFを開く</v>
      </c>
    </row>
    <row r="44" spans="1:7" ht="87.95" customHeight="1">
      <c r="A44" s="2" t="s">
        <v>240</v>
      </c>
      <c r="B44" s="2" t="s">
        <v>73</v>
      </c>
      <c r="C44" s="8" t="s">
        <v>241</v>
      </c>
      <c r="D44" s="2">
        <v>1</v>
      </c>
      <c r="E44" s="8" t="s">
        <v>10156</v>
      </c>
      <c r="F44" s="8" t="s">
        <v>10989</v>
      </c>
      <c r="G44" s="8" t="str">
        <f>HYPERLINK("https://seichotoushi-hojo.jp/assets/pdf/koufu/outline_114.pdf","PDFを開く")</f>
        <v>PDFを開く</v>
      </c>
    </row>
    <row r="45" spans="1:7" ht="87.95" customHeight="1">
      <c r="A45" s="5" t="s">
        <v>240</v>
      </c>
      <c r="B45" s="5" t="s">
        <v>73</v>
      </c>
      <c r="C45" s="9" t="s">
        <v>241</v>
      </c>
      <c r="D45" s="5">
        <v>2</v>
      </c>
      <c r="E45" s="9" t="s">
        <v>10165</v>
      </c>
      <c r="F45" s="9" t="s">
        <v>10990</v>
      </c>
      <c r="G45" s="9" t="str">
        <f>HYPERLINK("https://seichotoushi-hojo.jp/assets/pdf/koufu/outline_114.pdf","PDFを開く")</f>
        <v>PDFを開く</v>
      </c>
    </row>
    <row r="46" spans="1:7" ht="87.95" customHeight="1">
      <c r="A46" s="2" t="s">
        <v>248</v>
      </c>
      <c r="B46" s="2" t="s">
        <v>73</v>
      </c>
      <c r="C46" s="8" t="s">
        <v>249</v>
      </c>
      <c r="D46" s="2">
        <v>1</v>
      </c>
      <c r="E46" s="8" t="s">
        <v>10156</v>
      </c>
      <c r="F46" s="8" t="s">
        <v>10991</v>
      </c>
      <c r="G46" s="8" t="str">
        <f>HYPERLINK("https://seichotoushi-hojo.jp/assets/pdf/koufu/outline_115.pdf","PDFを開く")</f>
        <v>PDFを開く</v>
      </c>
    </row>
    <row r="47" spans="1:7" ht="87.95" customHeight="1">
      <c r="A47" s="5" t="s">
        <v>248</v>
      </c>
      <c r="B47" s="5" t="s">
        <v>73</v>
      </c>
      <c r="C47" s="9" t="s">
        <v>249</v>
      </c>
      <c r="D47" s="5">
        <v>2</v>
      </c>
      <c r="E47" s="9" t="s">
        <v>10165</v>
      </c>
      <c r="F47" s="9" t="s">
        <v>10992</v>
      </c>
      <c r="G47" s="9" t="str">
        <f>HYPERLINK("https://seichotoushi-hojo.jp/assets/pdf/koufu/outline_115.pdf","PDFを開く")</f>
        <v>PDFを開く</v>
      </c>
    </row>
    <row r="48" spans="1:7" ht="87.95" customHeight="1">
      <c r="A48" s="2" t="s">
        <v>248</v>
      </c>
      <c r="B48" s="2" t="s">
        <v>73</v>
      </c>
      <c r="C48" s="8" t="s">
        <v>249</v>
      </c>
      <c r="D48" s="2">
        <v>3</v>
      </c>
      <c r="E48" s="8" t="s">
        <v>10165</v>
      </c>
      <c r="F48" s="8" t="s">
        <v>10993</v>
      </c>
      <c r="G48" s="8" t="str">
        <f>HYPERLINK("https://seichotoushi-hojo.jp/assets/pdf/koufu/outline_115.pdf","PDFを開く")</f>
        <v>PDFを開く</v>
      </c>
    </row>
    <row r="49" spans="1:7" ht="87.95" customHeight="1">
      <c r="A49" s="5" t="s">
        <v>248</v>
      </c>
      <c r="B49" s="5" t="s">
        <v>73</v>
      </c>
      <c r="C49" s="9" t="s">
        <v>249</v>
      </c>
      <c r="D49" s="5">
        <v>4</v>
      </c>
      <c r="E49" s="9" t="s">
        <v>10165</v>
      </c>
      <c r="F49" s="9" t="s">
        <v>10994</v>
      </c>
      <c r="G49" s="9" t="str">
        <f>HYPERLINK("https://seichotoushi-hojo.jp/assets/pdf/koufu/outline_115.pdf","PDFを開く")</f>
        <v>PDFを開く</v>
      </c>
    </row>
    <row r="50" spans="1:7" ht="87.95" customHeight="1">
      <c r="A50" s="2" t="s">
        <v>257</v>
      </c>
      <c r="B50" s="2" t="s">
        <v>73</v>
      </c>
      <c r="C50" s="8" t="s">
        <v>258</v>
      </c>
      <c r="D50" s="2">
        <v>1</v>
      </c>
      <c r="E50" s="8" t="s">
        <v>10156</v>
      </c>
      <c r="F50" s="8" t="s">
        <v>10995</v>
      </c>
      <c r="G50" s="8" t="str">
        <f>HYPERLINK("https://seichotoushi-hojo.jp/assets/pdf/koufu/outline_116.pdf","PDFを開く")</f>
        <v>PDFを開く</v>
      </c>
    </row>
    <row r="51" spans="1:7" ht="87.95" customHeight="1">
      <c r="A51" s="5" t="s">
        <v>257</v>
      </c>
      <c r="B51" s="5" t="s">
        <v>73</v>
      </c>
      <c r="C51" s="9" t="s">
        <v>258</v>
      </c>
      <c r="D51" s="5">
        <v>2</v>
      </c>
      <c r="E51" s="9" t="s">
        <v>10165</v>
      </c>
      <c r="F51" s="9" t="s">
        <v>10996</v>
      </c>
      <c r="G51" s="9" t="str">
        <f>HYPERLINK("https://seichotoushi-hojo.jp/assets/pdf/koufu/outline_116.pdf","PDFを開く")</f>
        <v>PDFを開く</v>
      </c>
    </row>
    <row r="52" spans="1:7" ht="87.95" customHeight="1">
      <c r="A52" s="2" t="s">
        <v>265</v>
      </c>
      <c r="B52" s="2" t="s">
        <v>73</v>
      </c>
      <c r="C52" s="8" t="s">
        <v>266</v>
      </c>
      <c r="D52" s="2">
        <v>1</v>
      </c>
      <c r="E52" s="8" t="s">
        <v>10156</v>
      </c>
      <c r="F52" s="8" t="s">
        <v>10997</v>
      </c>
      <c r="G52" s="8" t="str">
        <f>HYPERLINK("https://seichotoushi-hojo.jp/assets/pdf/koufu/outline_117.pdf","PDFを開く")</f>
        <v>PDFを開く</v>
      </c>
    </row>
    <row r="53" spans="1:7" ht="87.95" customHeight="1">
      <c r="A53" s="5" t="s">
        <v>265</v>
      </c>
      <c r="B53" s="5" t="s">
        <v>73</v>
      </c>
      <c r="C53" s="9" t="s">
        <v>266</v>
      </c>
      <c r="D53" s="5">
        <v>2</v>
      </c>
      <c r="E53" s="9" t="s">
        <v>10165</v>
      </c>
      <c r="F53" s="9" t="s">
        <v>10998</v>
      </c>
      <c r="G53" s="9" t="str">
        <f>HYPERLINK("https://seichotoushi-hojo.jp/assets/pdf/koufu/outline_117.pdf","PDFを開く")</f>
        <v>PDFを開く</v>
      </c>
    </row>
    <row r="54" spans="1:7" ht="87.95" customHeight="1">
      <c r="A54" s="2" t="s">
        <v>265</v>
      </c>
      <c r="B54" s="2" t="s">
        <v>73</v>
      </c>
      <c r="C54" s="8" t="s">
        <v>266</v>
      </c>
      <c r="D54" s="2">
        <v>3</v>
      </c>
      <c r="E54" s="8" t="s">
        <v>10165</v>
      </c>
      <c r="F54" s="8" t="s">
        <v>10999</v>
      </c>
      <c r="G54" s="8" t="str">
        <f>HYPERLINK("https://seichotoushi-hojo.jp/assets/pdf/koufu/outline_117.pdf","PDFを開く")</f>
        <v>PDFを開く</v>
      </c>
    </row>
    <row r="55" spans="1:7" ht="87.95" customHeight="1">
      <c r="A55" s="5" t="s">
        <v>265</v>
      </c>
      <c r="B55" s="5" t="s">
        <v>73</v>
      </c>
      <c r="C55" s="9" t="s">
        <v>266</v>
      </c>
      <c r="D55" s="5">
        <v>4</v>
      </c>
      <c r="E55" s="9" t="s">
        <v>10165</v>
      </c>
      <c r="F55" s="9" t="s">
        <v>11000</v>
      </c>
      <c r="G55" s="9" t="str">
        <f>HYPERLINK("https://seichotoushi-hojo.jp/assets/pdf/koufu/outline_117.pdf","PDFを開く")</f>
        <v>PDFを開く</v>
      </c>
    </row>
    <row r="56" spans="1:7" ht="87.95" customHeight="1">
      <c r="A56" s="2" t="s">
        <v>274</v>
      </c>
      <c r="B56" s="2" t="s">
        <v>73</v>
      </c>
      <c r="C56" s="8" t="s">
        <v>275</v>
      </c>
      <c r="D56" s="2">
        <v>1</v>
      </c>
      <c r="E56" s="8" t="s">
        <v>10156</v>
      </c>
      <c r="F56" s="8" t="s">
        <v>11001</v>
      </c>
      <c r="G56" s="8" t="str">
        <f>HYPERLINK("https://seichotoushi-hojo.jp/assets/pdf/koufu/outline_118.pdf","PDFを開く")</f>
        <v>PDFを開く</v>
      </c>
    </row>
    <row r="57" spans="1:7" ht="87.95" customHeight="1">
      <c r="A57" s="5" t="s">
        <v>274</v>
      </c>
      <c r="B57" s="5" t="s">
        <v>73</v>
      </c>
      <c r="C57" s="9" t="s">
        <v>275</v>
      </c>
      <c r="D57" s="5">
        <v>2</v>
      </c>
      <c r="E57" s="9" t="s">
        <v>10156</v>
      </c>
      <c r="F57" s="9" t="s">
        <v>11002</v>
      </c>
      <c r="G57" s="9" t="str">
        <f>HYPERLINK("https://seichotoushi-hojo.jp/assets/pdf/koufu/outline_118.pdf","PDFを開く")</f>
        <v>PDFを開く</v>
      </c>
    </row>
    <row r="58" spans="1:7" ht="87.95" customHeight="1">
      <c r="A58" s="2" t="s">
        <v>274</v>
      </c>
      <c r="B58" s="2" t="s">
        <v>73</v>
      </c>
      <c r="C58" s="8" t="s">
        <v>275</v>
      </c>
      <c r="D58" s="2">
        <v>3</v>
      </c>
      <c r="E58" s="8" t="s">
        <v>10165</v>
      </c>
      <c r="F58" s="8" t="s">
        <v>11003</v>
      </c>
      <c r="G58" s="8" t="str">
        <f>HYPERLINK("https://seichotoushi-hojo.jp/assets/pdf/koufu/outline_118.pdf","PDFを開く")</f>
        <v>PDFを開く</v>
      </c>
    </row>
    <row r="59" spans="1:7" ht="87.95" customHeight="1">
      <c r="A59" s="5" t="s">
        <v>274</v>
      </c>
      <c r="B59" s="5" t="s">
        <v>73</v>
      </c>
      <c r="C59" s="9" t="s">
        <v>275</v>
      </c>
      <c r="D59" s="5">
        <v>4</v>
      </c>
      <c r="E59" s="9" t="s">
        <v>10165</v>
      </c>
      <c r="F59" s="9" t="s">
        <v>11004</v>
      </c>
      <c r="G59" s="9" t="str">
        <f>HYPERLINK("https://seichotoushi-hojo.jp/assets/pdf/koufu/outline_118.pdf","PDFを開く")</f>
        <v>PDFを開く</v>
      </c>
    </row>
    <row r="60" spans="1:7" ht="87.95" customHeight="1">
      <c r="A60" s="2" t="s">
        <v>280</v>
      </c>
      <c r="B60" s="2" t="s">
        <v>73</v>
      </c>
      <c r="C60" s="8" t="s">
        <v>281</v>
      </c>
      <c r="D60" s="2">
        <v>1</v>
      </c>
      <c r="E60" s="8" t="s">
        <v>10156</v>
      </c>
      <c r="F60" s="8" t="s">
        <v>11005</v>
      </c>
      <c r="G60" s="8" t="str">
        <f>HYPERLINK("https://seichotoushi-hojo.jp/assets/pdf/koufu/outline_119.pdf","PDFを開く")</f>
        <v>PDFを開く</v>
      </c>
    </row>
    <row r="61" spans="1:7" ht="87.95" customHeight="1">
      <c r="A61" s="5" t="s">
        <v>280</v>
      </c>
      <c r="B61" s="5" t="s">
        <v>73</v>
      </c>
      <c r="C61" s="9" t="s">
        <v>281</v>
      </c>
      <c r="D61" s="5">
        <v>2</v>
      </c>
      <c r="E61" s="9" t="s">
        <v>10165</v>
      </c>
      <c r="F61" s="9" t="s">
        <v>11006</v>
      </c>
      <c r="G61" s="9" t="str">
        <f>HYPERLINK("https://seichotoushi-hojo.jp/assets/pdf/koufu/outline_119.pdf","PDFを開く")</f>
        <v>PDFを開く</v>
      </c>
    </row>
    <row r="62" spans="1:7" ht="87.95" customHeight="1">
      <c r="A62" s="2" t="s">
        <v>288</v>
      </c>
      <c r="B62" s="2" t="s">
        <v>73</v>
      </c>
      <c r="C62" s="8" t="s">
        <v>289</v>
      </c>
      <c r="D62" s="2">
        <v>1</v>
      </c>
      <c r="E62" s="8" t="s">
        <v>10156</v>
      </c>
      <c r="F62" s="8" t="s">
        <v>11007</v>
      </c>
      <c r="G62" s="8" t="str">
        <f>HYPERLINK("https://seichotoushi-hojo.jp/assets/pdf/koufu/outline_12.pdf","PDFを開く")</f>
        <v>PDFを開く</v>
      </c>
    </row>
    <row r="63" spans="1:7" ht="87.95" customHeight="1">
      <c r="A63" s="5" t="s">
        <v>288</v>
      </c>
      <c r="B63" s="5" t="s">
        <v>73</v>
      </c>
      <c r="C63" s="9" t="s">
        <v>289</v>
      </c>
      <c r="D63" s="5">
        <v>2</v>
      </c>
      <c r="E63" s="9" t="s">
        <v>10165</v>
      </c>
      <c r="F63" s="9" t="s">
        <v>11008</v>
      </c>
      <c r="G63" s="9" t="str">
        <f>HYPERLINK("https://seichotoushi-hojo.jp/assets/pdf/koufu/outline_12.pdf","PDFを開く")</f>
        <v>PDFを開く</v>
      </c>
    </row>
    <row r="64" spans="1:7" ht="87.95" customHeight="1">
      <c r="A64" s="2" t="s">
        <v>297</v>
      </c>
      <c r="B64" s="2" t="s">
        <v>73</v>
      </c>
      <c r="C64" s="8" t="s">
        <v>298</v>
      </c>
      <c r="D64" s="2">
        <v>1</v>
      </c>
      <c r="E64" s="8" t="s">
        <v>10156</v>
      </c>
      <c r="F64" s="8" t="s">
        <v>11009</v>
      </c>
      <c r="G64" s="8" t="str">
        <f>HYPERLINK("https://seichotoushi-hojo.jp/assets/pdf/koufu/outline_120.pdf","PDFを開く")</f>
        <v>PDFを開く</v>
      </c>
    </row>
    <row r="65" spans="1:7" ht="87.95" customHeight="1">
      <c r="A65" s="5" t="s">
        <v>297</v>
      </c>
      <c r="B65" s="5" t="s">
        <v>73</v>
      </c>
      <c r="C65" s="9" t="s">
        <v>298</v>
      </c>
      <c r="D65" s="5">
        <v>2</v>
      </c>
      <c r="E65" s="9" t="s">
        <v>10165</v>
      </c>
      <c r="F65" s="9" t="s">
        <v>11010</v>
      </c>
      <c r="G65" s="9" t="str">
        <f>HYPERLINK("https://seichotoushi-hojo.jp/assets/pdf/koufu/outline_120.pdf","PDFを開く")</f>
        <v>PDFを開く</v>
      </c>
    </row>
    <row r="66" spans="1:7" ht="87.95" customHeight="1">
      <c r="A66" s="2" t="s">
        <v>305</v>
      </c>
      <c r="B66" s="2" t="s">
        <v>73</v>
      </c>
      <c r="C66" s="8" t="s">
        <v>306</v>
      </c>
      <c r="D66" s="2">
        <v>1</v>
      </c>
      <c r="E66" s="8" t="s">
        <v>10156</v>
      </c>
      <c r="F66" s="8" t="s">
        <v>11011</v>
      </c>
      <c r="G66" s="8" t="str">
        <f>HYPERLINK("https://seichotoushi-hojo.jp/assets/pdf/koufu/outline_121.pdf","PDFを開く")</f>
        <v>PDFを開く</v>
      </c>
    </row>
    <row r="67" spans="1:7" ht="87.95" customHeight="1">
      <c r="A67" s="5" t="s">
        <v>305</v>
      </c>
      <c r="B67" s="5" t="s">
        <v>73</v>
      </c>
      <c r="C67" s="9" t="s">
        <v>306</v>
      </c>
      <c r="D67" s="5">
        <v>2</v>
      </c>
      <c r="E67" s="9" t="s">
        <v>10165</v>
      </c>
      <c r="F67" s="9" t="s">
        <v>11012</v>
      </c>
      <c r="G67" s="9" t="str">
        <f>HYPERLINK("https://seichotoushi-hojo.jp/assets/pdf/koufu/outline_121.pdf","PDFを開く")</f>
        <v>PDFを開く</v>
      </c>
    </row>
    <row r="68" spans="1:7" ht="87.95" customHeight="1">
      <c r="A68" s="2" t="s">
        <v>314</v>
      </c>
      <c r="B68" s="2" t="s">
        <v>73</v>
      </c>
      <c r="C68" s="8" t="s">
        <v>315</v>
      </c>
      <c r="D68" s="2">
        <v>1</v>
      </c>
      <c r="E68" s="8" t="s">
        <v>10156</v>
      </c>
      <c r="F68" s="8" t="s">
        <v>11013</v>
      </c>
      <c r="G68" s="8" t="str">
        <f>HYPERLINK("https://seichotoushi-hojo.jp/assets/pdf/koufu/outline_122.pdf","PDFを開く")</f>
        <v>PDFを開く</v>
      </c>
    </row>
    <row r="69" spans="1:7" ht="87.95" customHeight="1">
      <c r="A69" s="5" t="s">
        <v>314</v>
      </c>
      <c r="B69" s="5" t="s">
        <v>73</v>
      </c>
      <c r="C69" s="9" t="s">
        <v>315</v>
      </c>
      <c r="D69" s="5">
        <v>2</v>
      </c>
      <c r="E69" s="9" t="s">
        <v>10165</v>
      </c>
      <c r="F69" s="9" t="s">
        <v>11014</v>
      </c>
      <c r="G69" s="9" t="str">
        <f>HYPERLINK("https://seichotoushi-hojo.jp/assets/pdf/koufu/outline_122.pdf","PDFを開く")</f>
        <v>PDFを開く</v>
      </c>
    </row>
    <row r="70" spans="1:7" ht="87.95" customHeight="1">
      <c r="A70" s="2" t="s">
        <v>323</v>
      </c>
      <c r="B70" s="2" t="s">
        <v>73</v>
      </c>
      <c r="C70" s="8" t="s">
        <v>324</v>
      </c>
      <c r="D70" s="2">
        <v>1</v>
      </c>
      <c r="E70" s="8" t="s">
        <v>10156</v>
      </c>
      <c r="F70" s="8" t="s">
        <v>11015</v>
      </c>
      <c r="G70" s="8" t="str">
        <f>HYPERLINK("https://seichotoushi-hojo.jp/assets/pdf/koufu/outline_123.pdf","PDFを開く")</f>
        <v>PDFを開く</v>
      </c>
    </row>
    <row r="71" spans="1:7" ht="87.95" customHeight="1">
      <c r="A71" s="5" t="s">
        <v>323</v>
      </c>
      <c r="B71" s="5" t="s">
        <v>73</v>
      </c>
      <c r="C71" s="9" t="s">
        <v>324</v>
      </c>
      <c r="D71" s="5">
        <v>2</v>
      </c>
      <c r="E71" s="9" t="s">
        <v>10165</v>
      </c>
      <c r="F71" s="9" t="s">
        <v>11016</v>
      </c>
      <c r="G71" s="9" t="str">
        <f>HYPERLINK("https://seichotoushi-hojo.jp/assets/pdf/koufu/outline_123.pdf","PDFを開く")</f>
        <v>PDFを開く</v>
      </c>
    </row>
    <row r="72" spans="1:7" ht="87.95" customHeight="1">
      <c r="A72" s="2" t="s">
        <v>331</v>
      </c>
      <c r="B72" s="2" t="s">
        <v>73</v>
      </c>
      <c r="C72" s="8" t="s">
        <v>332</v>
      </c>
      <c r="D72" s="2">
        <v>1</v>
      </c>
      <c r="E72" s="8" t="s">
        <v>10156</v>
      </c>
      <c r="F72" s="8" t="s">
        <v>11017</v>
      </c>
      <c r="G72" s="8" t="str">
        <f>HYPERLINK("https://seichotoushi-hojo.jp/assets/pdf/koufu/outline_124.pdf","PDFを開く")</f>
        <v>PDFを開く</v>
      </c>
    </row>
    <row r="73" spans="1:7" ht="87.95" customHeight="1">
      <c r="A73" s="5" t="s">
        <v>331</v>
      </c>
      <c r="B73" s="5" t="s">
        <v>73</v>
      </c>
      <c r="C73" s="9" t="s">
        <v>332</v>
      </c>
      <c r="D73" s="5">
        <v>2</v>
      </c>
      <c r="E73" s="9" t="s">
        <v>10156</v>
      </c>
      <c r="F73" s="9" t="s">
        <v>11018</v>
      </c>
      <c r="G73" s="9" t="str">
        <f>HYPERLINK("https://seichotoushi-hojo.jp/assets/pdf/koufu/outline_124.pdf","PDFを開く")</f>
        <v>PDFを開く</v>
      </c>
    </row>
    <row r="74" spans="1:7" ht="87.95" customHeight="1">
      <c r="A74" s="2" t="s">
        <v>331</v>
      </c>
      <c r="B74" s="2" t="s">
        <v>73</v>
      </c>
      <c r="C74" s="8" t="s">
        <v>332</v>
      </c>
      <c r="D74" s="2">
        <v>3</v>
      </c>
      <c r="E74" s="8" t="s">
        <v>10165</v>
      </c>
      <c r="F74" s="8" t="s">
        <v>11019</v>
      </c>
      <c r="G74" s="8" t="str">
        <f>HYPERLINK("https://seichotoushi-hojo.jp/assets/pdf/koufu/outline_124.pdf","PDFを開く")</f>
        <v>PDFを開く</v>
      </c>
    </row>
    <row r="75" spans="1:7" ht="87.95" customHeight="1">
      <c r="A75" s="5" t="s">
        <v>338</v>
      </c>
      <c r="B75" s="5" t="s">
        <v>73</v>
      </c>
      <c r="C75" s="9" t="s">
        <v>339</v>
      </c>
      <c r="D75" s="5">
        <v>1</v>
      </c>
      <c r="E75" s="9" t="s">
        <v>10156</v>
      </c>
      <c r="F75" s="9" t="s">
        <v>11020</v>
      </c>
      <c r="G75" s="9" t="str">
        <f>HYPERLINK("https://seichotoushi-hojo.jp/assets/pdf/koufu/outline_125.pdf","PDFを開く")</f>
        <v>PDFを開く</v>
      </c>
    </row>
    <row r="76" spans="1:7" ht="87.95" customHeight="1">
      <c r="A76" s="2" t="s">
        <v>338</v>
      </c>
      <c r="B76" s="2" t="s">
        <v>73</v>
      </c>
      <c r="C76" s="8" t="s">
        <v>339</v>
      </c>
      <c r="D76" s="2">
        <v>2</v>
      </c>
      <c r="E76" s="8" t="s">
        <v>10165</v>
      </c>
      <c r="F76" s="8" t="s">
        <v>11021</v>
      </c>
      <c r="G76" s="8" t="str">
        <f>HYPERLINK("https://seichotoushi-hojo.jp/assets/pdf/koufu/outline_125.pdf","PDFを開く")</f>
        <v>PDFを開く</v>
      </c>
    </row>
    <row r="77" spans="1:7" ht="87.95" customHeight="1">
      <c r="A77" s="5" t="s">
        <v>347</v>
      </c>
      <c r="B77" s="5" t="s">
        <v>73</v>
      </c>
      <c r="C77" s="9" t="s">
        <v>348</v>
      </c>
      <c r="D77" s="5">
        <v>1</v>
      </c>
      <c r="E77" s="9" t="s">
        <v>10156</v>
      </c>
      <c r="F77" s="9" t="s">
        <v>11022</v>
      </c>
      <c r="G77" s="9" t="str">
        <f>HYPERLINK("https://seichotoushi-hojo.jp/assets/pdf/koufu/outline_126.pdf","PDFを開く")</f>
        <v>PDFを開く</v>
      </c>
    </row>
    <row r="78" spans="1:7" ht="87.95" customHeight="1">
      <c r="A78" s="2" t="s">
        <v>347</v>
      </c>
      <c r="B78" s="2" t="s">
        <v>73</v>
      </c>
      <c r="C78" s="8" t="s">
        <v>348</v>
      </c>
      <c r="D78" s="2">
        <v>2</v>
      </c>
      <c r="E78" s="8" t="s">
        <v>10165</v>
      </c>
      <c r="F78" s="8" t="s">
        <v>11023</v>
      </c>
      <c r="G78" s="8" t="str">
        <f>HYPERLINK("https://seichotoushi-hojo.jp/assets/pdf/koufu/outline_126.pdf","PDFを開く")</f>
        <v>PDFを開く</v>
      </c>
    </row>
    <row r="79" spans="1:7" ht="87.95" customHeight="1">
      <c r="A79" s="5" t="s">
        <v>354</v>
      </c>
      <c r="B79" s="5" t="s">
        <v>73</v>
      </c>
      <c r="C79" s="9" t="s">
        <v>355</v>
      </c>
      <c r="D79" s="5">
        <v>1</v>
      </c>
      <c r="E79" s="9" t="s">
        <v>10156</v>
      </c>
      <c r="F79" s="9" t="s">
        <v>11024</v>
      </c>
      <c r="G79" s="9" t="str">
        <f>HYPERLINK("https://seichotoushi-hojo.jp/assets/pdf/koufu/outline_127.pdf","PDFを開く")</f>
        <v>PDFを開く</v>
      </c>
    </row>
    <row r="80" spans="1:7" ht="87.95" customHeight="1">
      <c r="A80" s="2" t="s">
        <v>354</v>
      </c>
      <c r="B80" s="2" t="s">
        <v>73</v>
      </c>
      <c r="C80" s="8" t="s">
        <v>355</v>
      </c>
      <c r="D80" s="2">
        <v>2</v>
      </c>
      <c r="E80" s="8" t="s">
        <v>10165</v>
      </c>
      <c r="F80" s="8" t="s">
        <v>11025</v>
      </c>
      <c r="G80" s="8" t="str">
        <f>HYPERLINK("https://seichotoushi-hojo.jp/assets/pdf/koufu/outline_127.pdf","PDFを開く")</f>
        <v>PDFを開く</v>
      </c>
    </row>
    <row r="81" spans="1:7" ht="87.95" customHeight="1">
      <c r="A81" s="5" t="s">
        <v>362</v>
      </c>
      <c r="B81" s="5" t="s">
        <v>73</v>
      </c>
      <c r="C81" s="9" t="s">
        <v>363</v>
      </c>
      <c r="D81" s="5">
        <v>1</v>
      </c>
      <c r="E81" s="9" t="s">
        <v>10156</v>
      </c>
      <c r="F81" s="9" t="s">
        <v>11026</v>
      </c>
      <c r="G81" s="9" t="str">
        <f>HYPERLINK("https://seichotoushi-hojo.jp/assets/pdf/koufu/outline_128.pdf","PDFを開く")</f>
        <v>PDFを開く</v>
      </c>
    </row>
    <row r="82" spans="1:7" ht="87.95" customHeight="1">
      <c r="A82" s="2" t="s">
        <v>362</v>
      </c>
      <c r="B82" s="2" t="s">
        <v>73</v>
      </c>
      <c r="C82" s="8" t="s">
        <v>363</v>
      </c>
      <c r="D82" s="2">
        <v>2</v>
      </c>
      <c r="E82" s="8" t="s">
        <v>10165</v>
      </c>
      <c r="F82" s="8" t="s">
        <v>11027</v>
      </c>
      <c r="G82" s="8" t="str">
        <f>HYPERLINK("https://seichotoushi-hojo.jp/assets/pdf/koufu/outline_128.pdf","PDFを開く")</f>
        <v>PDFを開く</v>
      </c>
    </row>
    <row r="83" spans="1:7" ht="87.95" customHeight="1">
      <c r="A83" s="5" t="s">
        <v>369</v>
      </c>
      <c r="B83" s="5" t="s">
        <v>73</v>
      </c>
      <c r="C83" s="9" t="s">
        <v>370</v>
      </c>
      <c r="D83" s="5">
        <v>1</v>
      </c>
      <c r="E83" s="9" t="s">
        <v>10156</v>
      </c>
      <c r="F83" s="9" t="s">
        <v>11028</v>
      </c>
      <c r="G83" s="9" t="str">
        <f>HYPERLINK("https://seichotoushi-hojo.jp/assets/pdf/koufu/outline_129.pdf","PDFを開く")</f>
        <v>PDFを開く</v>
      </c>
    </row>
    <row r="84" spans="1:7" ht="87.95" customHeight="1">
      <c r="A84" s="2" t="s">
        <v>369</v>
      </c>
      <c r="B84" s="2" t="s">
        <v>73</v>
      </c>
      <c r="C84" s="8" t="s">
        <v>370</v>
      </c>
      <c r="D84" s="2">
        <v>2</v>
      </c>
      <c r="E84" s="8" t="s">
        <v>10165</v>
      </c>
      <c r="F84" s="8" t="s">
        <v>11029</v>
      </c>
      <c r="G84" s="8" t="str">
        <f>HYPERLINK("https://seichotoushi-hojo.jp/assets/pdf/koufu/outline_129.pdf","PDFを開く")</f>
        <v>PDFを開く</v>
      </c>
    </row>
    <row r="85" spans="1:7" ht="87.95" customHeight="1">
      <c r="A85" s="5" t="s">
        <v>378</v>
      </c>
      <c r="B85" s="5" t="s">
        <v>73</v>
      </c>
      <c r="C85" s="9" t="s">
        <v>379</v>
      </c>
      <c r="D85" s="5">
        <v>1</v>
      </c>
      <c r="E85" s="9" t="s">
        <v>10156</v>
      </c>
      <c r="F85" s="9" t="s">
        <v>11030</v>
      </c>
      <c r="G85" s="9" t="str">
        <f>HYPERLINK("https://seichotoushi-hojo.jp/assets/pdf/koufu/outline_13.pdf","PDFを開く")</f>
        <v>PDFを開く</v>
      </c>
    </row>
    <row r="86" spans="1:7" ht="87.95" customHeight="1">
      <c r="A86" s="2" t="s">
        <v>378</v>
      </c>
      <c r="B86" s="2" t="s">
        <v>73</v>
      </c>
      <c r="C86" s="8" t="s">
        <v>379</v>
      </c>
      <c r="D86" s="2">
        <v>2</v>
      </c>
      <c r="E86" s="8" t="s">
        <v>10165</v>
      </c>
      <c r="F86" s="8" t="s">
        <v>11031</v>
      </c>
      <c r="G86" s="8" t="str">
        <f>HYPERLINK("https://seichotoushi-hojo.jp/assets/pdf/koufu/outline_13.pdf","PDFを開く")</f>
        <v>PDFを開く</v>
      </c>
    </row>
    <row r="87" spans="1:7" ht="87.95" customHeight="1">
      <c r="A87" s="5" t="s">
        <v>386</v>
      </c>
      <c r="B87" s="5" t="s">
        <v>73</v>
      </c>
      <c r="C87" s="9" t="s">
        <v>387</v>
      </c>
      <c r="D87" s="5">
        <v>1</v>
      </c>
      <c r="E87" s="9" t="s">
        <v>10156</v>
      </c>
      <c r="F87" s="9" t="s">
        <v>11032</v>
      </c>
      <c r="G87" s="9" t="str">
        <f>HYPERLINK("https://seichotoushi-hojo.jp/assets/pdf/koufu/outline_130.pdf","PDFを開く")</f>
        <v>PDFを開く</v>
      </c>
    </row>
    <row r="88" spans="1:7" ht="87.95" customHeight="1">
      <c r="A88" s="2" t="s">
        <v>386</v>
      </c>
      <c r="B88" s="2" t="s">
        <v>73</v>
      </c>
      <c r="C88" s="8" t="s">
        <v>387</v>
      </c>
      <c r="D88" s="2">
        <v>2</v>
      </c>
      <c r="E88" s="8" t="s">
        <v>10165</v>
      </c>
      <c r="F88" s="8" t="s">
        <v>11033</v>
      </c>
      <c r="G88" s="8" t="str">
        <f>HYPERLINK("https://seichotoushi-hojo.jp/assets/pdf/koufu/outline_130.pdf","PDFを開く")</f>
        <v>PDFを開く</v>
      </c>
    </row>
    <row r="89" spans="1:7" ht="87.95" customHeight="1">
      <c r="A89" s="5" t="s">
        <v>395</v>
      </c>
      <c r="B89" s="5" t="s">
        <v>73</v>
      </c>
      <c r="C89" s="9" t="s">
        <v>396</v>
      </c>
      <c r="D89" s="5">
        <v>1</v>
      </c>
      <c r="E89" s="9" t="s">
        <v>10156</v>
      </c>
      <c r="F89" s="9" t="s">
        <v>11034</v>
      </c>
      <c r="G89" s="9" t="str">
        <f>HYPERLINK("https://seichotoushi-hojo.jp/assets/pdf/koufu/outline_131.pdf","PDFを開く")</f>
        <v>PDFを開く</v>
      </c>
    </row>
    <row r="90" spans="1:7" ht="87.95" customHeight="1">
      <c r="A90" s="2" t="s">
        <v>395</v>
      </c>
      <c r="B90" s="2" t="s">
        <v>73</v>
      </c>
      <c r="C90" s="8" t="s">
        <v>396</v>
      </c>
      <c r="D90" s="2">
        <v>2</v>
      </c>
      <c r="E90" s="8" t="s">
        <v>10165</v>
      </c>
      <c r="F90" s="8" t="s">
        <v>11035</v>
      </c>
      <c r="G90" s="8" t="str">
        <f>HYPERLINK("https://seichotoushi-hojo.jp/assets/pdf/koufu/outline_131.pdf","PDFを開く")</f>
        <v>PDFを開く</v>
      </c>
    </row>
    <row r="91" spans="1:7" ht="87.95" customHeight="1">
      <c r="A91" s="5" t="s">
        <v>404</v>
      </c>
      <c r="B91" s="5" t="s">
        <v>73</v>
      </c>
      <c r="C91" s="9" t="s">
        <v>405</v>
      </c>
      <c r="D91" s="5">
        <v>1</v>
      </c>
      <c r="E91" s="9" t="s">
        <v>10156</v>
      </c>
      <c r="F91" s="9" t="s">
        <v>11036</v>
      </c>
      <c r="G91" s="9" t="str">
        <f>HYPERLINK("https://seichotoushi-hojo.jp/assets/pdf/koufu/outline_132.pdf","PDFを開く")</f>
        <v>PDFを開く</v>
      </c>
    </row>
    <row r="92" spans="1:7" ht="87.95" customHeight="1">
      <c r="A92" s="2" t="s">
        <v>404</v>
      </c>
      <c r="B92" s="2" t="s">
        <v>73</v>
      </c>
      <c r="C92" s="8" t="s">
        <v>405</v>
      </c>
      <c r="D92" s="2">
        <v>2</v>
      </c>
      <c r="E92" s="8" t="s">
        <v>10165</v>
      </c>
      <c r="F92" s="8" t="s">
        <v>11037</v>
      </c>
      <c r="G92" s="8" t="str">
        <f>HYPERLINK("https://seichotoushi-hojo.jp/assets/pdf/koufu/outline_132.pdf","PDFを開く")</f>
        <v>PDFを開く</v>
      </c>
    </row>
    <row r="93" spans="1:7" ht="87.95" customHeight="1">
      <c r="A93" s="5" t="s">
        <v>412</v>
      </c>
      <c r="B93" s="5" t="s">
        <v>73</v>
      </c>
      <c r="C93" s="9" t="s">
        <v>413</v>
      </c>
      <c r="D93" s="5">
        <v>1</v>
      </c>
      <c r="E93" s="9" t="s">
        <v>10156</v>
      </c>
      <c r="F93" s="9" t="s">
        <v>11038</v>
      </c>
      <c r="G93" s="9" t="str">
        <f>HYPERLINK("https://seichotoushi-hojo.jp/assets/pdf/koufu/outline_134.pdf","PDFを開く")</f>
        <v>PDFを開く</v>
      </c>
    </row>
    <row r="94" spans="1:7" ht="87.95" customHeight="1">
      <c r="A94" s="2" t="s">
        <v>412</v>
      </c>
      <c r="B94" s="2" t="s">
        <v>73</v>
      </c>
      <c r="C94" s="8" t="s">
        <v>413</v>
      </c>
      <c r="D94" s="2">
        <v>2</v>
      </c>
      <c r="E94" s="8" t="s">
        <v>10165</v>
      </c>
      <c r="F94" s="8" t="s">
        <v>11039</v>
      </c>
      <c r="G94" s="8" t="str">
        <f>HYPERLINK("https://seichotoushi-hojo.jp/assets/pdf/koufu/outline_134.pdf","PDFを開く")</f>
        <v>PDFを開く</v>
      </c>
    </row>
    <row r="95" spans="1:7" ht="87.95" customHeight="1">
      <c r="A95" s="5" t="s">
        <v>423</v>
      </c>
      <c r="B95" s="5" t="s">
        <v>73</v>
      </c>
      <c r="C95" s="9" t="s">
        <v>424</v>
      </c>
      <c r="D95" s="5">
        <v>1</v>
      </c>
      <c r="E95" s="9" t="s">
        <v>10156</v>
      </c>
      <c r="F95" s="9" t="s">
        <v>11040</v>
      </c>
      <c r="G95" s="9" t="str">
        <f>HYPERLINK("https://seichotoushi-hojo.jp/assets/pdf/koufu/outline_135.pdf","PDFを開く")</f>
        <v>PDFを開く</v>
      </c>
    </row>
    <row r="96" spans="1:7" ht="87.95" customHeight="1">
      <c r="A96" s="2" t="s">
        <v>423</v>
      </c>
      <c r="B96" s="2" t="s">
        <v>73</v>
      </c>
      <c r="C96" s="8" t="s">
        <v>424</v>
      </c>
      <c r="D96" s="2">
        <v>2</v>
      </c>
      <c r="E96" s="8" t="s">
        <v>10165</v>
      </c>
      <c r="F96" s="8" t="s">
        <v>11041</v>
      </c>
      <c r="G96" s="8" t="str">
        <f>HYPERLINK("https://seichotoushi-hojo.jp/assets/pdf/koufu/outline_135.pdf","PDFを開く")</f>
        <v>PDFを開く</v>
      </c>
    </row>
    <row r="97" spans="1:7" ht="87.95" customHeight="1">
      <c r="A97" s="5" t="s">
        <v>431</v>
      </c>
      <c r="B97" s="5" t="s">
        <v>73</v>
      </c>
      <c r="C97" s="9" t="s">
        <v>432</v>
      </c>
      <c r="D97" s="5">
        <v>1</v>
      </c>
      <c r="E97" s="9" t="s">
        <v>10156</v>
      </c>
      <c r="F97" s="9" t="s">
        <v>11042</v>
      </c>
      <c r="G97" s="9" t="str">
        <f>HYPERLINK("https://seichotoushi-hojo.jp/assets/pdf/koufu/outline_136.pdf","PDFを開く")</f>
        <v>PDFを開く</v>
      </c>
    </row>
    <row r="98" spans="1:7" ht="87.95" customHeight="1">
      <c r="A98" s="2" t="s">
        <v>431</v>
      </c>
      <c r="B98" s="2" t="s">
        <v>73</v>
      </c>
      <c r="C98" s="8" t="s">
        <v>432</v>
      </c>
      <c r="D98" s="2">
        <v>2</v>
      </c>
      <c r="E98" s="8" t="s">
        <v>10165</v>
      </c>
      <c r="F98" s="8" t="s">
        <v>11043</v>
      </c>
      <c r="G98" s="8" t="str">
        <f>HYPERLINK("https://seichotoushi-hojo.jp/assets/pdf/koufu/outline_136.pdf","PDFを開く")</f>
        <v>PDFを開く</v>
      </c>
    </row>
    <row r="99" spans="1:7" ht="87.95" customHeight="1">
      <c r="A99" s="5" t="s">
        <v>440</v>
      </c>
      <c r="B99" s="5" t="s">
        <v>73</v>
      </c>
      <c r="C99" s="9" t="s">
        <v>441</v>
      </c>
      <c r="D99" s="5">
        <v>1</v>
      </c>
      <c r="E99" s="9" t="s">
        <v>10156</v>
      </c>
      <c r="F99" s="9" t="s">
        <v>11044</v>
      </c>
      <c r="G99" s="9" t="str">
        <f>HYPERLINK("https://seichotoushi-hojo.jp/assets/pdf/koufu/outline_137.pdf","PDFを開く")</f>
        <v>PDFを開く</v>
      </c>
    </row>
    <row r="100" spans="1:7" ht="87.95" customHeight="1">
      <c r="A100" s="2" t="s">
        <v>440</v>
      </c>
      <c r="B100" s="2" t="s">
        <v>73</v>
      </c>
      <c r="C100" s="8" t="s">
        <v>441</v>
      </c>
      <c r="D100" s="2">
        <v>2</v>
      </c>
      <c r="E100" s="8" t="s">
        <v>10165</v>
      </c>
      <c r="F100" s="8" t="s">
        <v>11045</v>
      </c>
      <c r="G100" s="8" t="str">
        <f>HYPERLINK("https://seichotoushi-hojo.jp/assets/pdf/koufu/outline_137.pdf","PDFを開く")</f>
        <v>PDFを開く</v>
      </c>
    </row>
    <row r="101" spans="1:7" ht="87.95" customHeight="1">
      <c r="A101" s="5" t="s">
        <v>450</v>
      </c>
      <c r="B101" s="5" t="s">
        <v>73</v>
      </c>
      <c r="C101" s="9" t="s">
        <v>451</v>
      </c>
      <c r="D101" s="5">
        <v>1</v>
      </c>
      <c r="E101" s="9" t="s">
        <v>10156</v>
      </c>
      <c r="F101" s="9" t="s">
        <v>11046</v>
      </c>
      <c r="G101" s="9" t="str">
        <f t="shared" ref="G101:G107" si="0">HYPERLINK("https://seichotoushi-hojo.jp/assets/pdf/koufu/outline_138.pdf","PDFを開く")</f>
        <v>PDFを開く</v>
      </c>
    </row>
    <row r="102" spans="1:7" ht="87.95" customHeight="1">
      <c r="A102" s="2" t="s">
        <v>450</v>
      </c>
      <c r="B102" s="2" t="s">
        <v>73</v>
      </c>
      <c r="C102" s="8" t="s">
        <v>451</v>
      </c>
      <c r="D102" s="2">
        <v>2</v>
      </c>
      <c r="E102" s="8" t="s">
        <v>10165</v>
      </c>
      <c r="F102" s="8" t="s">
        <v>11047</v>
      </c>
      <c r="G102" s="8" t="str">
        <f t="shared" si="0"/>
        <v>PDFを開く</v>
      </c>
    </row>
    <row r="103" spans="1:7" ht="87.95" customHeight="1">
      <c r="A103" s="5" t="s">
        <v>450</v>
      </c>
      <c r="B103" s="5" t="s">
        <v>73</v>
      </c>
      <c r="C103" s="9" t="s">
        <v>451</v>
      </c>
      <c r="D103" s="5">
        <v>3</v>
      </c>
      <c r="E103" s="9" t="s">
        <v>10165</v>
      </c>
      <c r="F103" s="9" t="s">
        <v>11048</v>
      </c>
      <c r="G103" s="9" t="str">
        <f t="shared" si="0"/>
        <v>PDFを開く</v>
      </c>
    </row>
    <row r="104" spans="1:7" ht="87.95" customHeight="1">
      <c r="A104" s="2" t="s">
        <v>450</v>
      </c>
      <c r="B104" s="2" t="s">
        <v>73</v>
      </c>
      <c r="C104" s="8" t="s">
        <v>451</v>
      </c>
      <c r="D104" s="2">
        <v>4</v>
      </c>
      <c r="E104" s="8" t="s">
        <v>10165</v>
      </c>
      <c r="F104" s="8" t="s">
        <v>11049</v>
      </c>
      <c r="G104" s="8" t="str">
        <f t="shared" si="0"/>
        <v>PDFを開く</v>
      </c>
    </row>
    <row r="105" spans="1:7" ht="87.95" customHeight="1">
      <c r="A105" s="5" t="s">
        <v>450</v>
      </c>
      <c r="B105" s="5" t="s">
        <v>73</v>
      </c>
      <c r="C105" s="9" t="s">
        <v>451</v>
      </c>
      <c r="D105" s="5">
        <v>5</v>
      </c>
      <c r="E105" s="9" t="s">
        <v>10165</v>
      </c>
      <c r="F105" s="9" t="s">
        <v>11050</v>
      </c>
      <c r="G105" s="9" t="str">
        <f t="shared" si="0"/>
        <v>PDFを開く</v>
      </c>
    </row>
    <row r="106" spans="1:7" ht="87.95" customHeight="1">
      <c r="A106" s="2" t="s">
        <v>450</v>
      </c>
      <c r="B106" s="2" t="s">
        <v>73</v>
      </c>
      <c r="C106" s="8" t="s">
        <v>451</v>
      </c>
      <c r="D106" s="2">
        <v>6</v>
      </c>
      <c r="E106" s="8" t="s">
        <v>10165</v>
      </c>
      <c r="F106" s="8" t="s">
        <v>11051</v>
      </c>
      <c r="G106" s="8" t="str">
        <f t="shared" si="0"/>
        <v>PDFを開く</v>
      </c>
    </row>
    <row r="107" spans="1:7" ht="87.95" customHeight="1">
      <c r="A107" s="5" t="s">
        <v>450</v>
      </c>
      <c r="B107" s="5" t="s">
        <v>73</v>
      </c>
      <c r="C107" s="9" t="s">
        <v>451</v>
      </c>
      <c r="D107" s="5">
        <v>7</v>
      </c>
      <c r="E107" s="9" t="s">
        <v>10165</v>
      </c>
      <c r="F107" s="9" t="s">
        <v>11052</v>
      </c>
      <c r="G107" s="9" t="str">
        <f t="shared" si="0"/>
        <v>PDFを開く</v>
      </c>
    </row>
    <row r="108" spans="1:7" ht="87.95" customHeight="1">
      <c r="A108" s="2" t="s">
        <v>459</v>
      </c>
      <c r="B108" s="2" t="s">
        <v>73</v>
      </c>
      <c r="C108" s="8" t="s">
        <v>460</v>
      </c>
      <c r="D108" s="2">
        <v>1</v>
      </c>
      <c r="E108" s="8" t="s">
        <v>10156</v>
      </c>
      <c r="F108" s="8" t="s">
        <v>11053</v>
      </c>
      <c r="G108" s="8" t="str">
        <f>HYPERLINK("https://seichotoushi-hojo.jp/assets/pdf/koufu/outline_139.pdf","PDFを開く")</f>
        <v>PDFを開く</v>
      </c>
    </row>
    <row r="109" spans="1:7" ht="87.95" customHeight="1">
      <c r="A109" s="5" t="s">
        <v>459</v>
      </c>
      <c r="B109" s="5" t="s">
        <v>73</v>
      </c>
      <c r="C109" s="9" t="s">
        <v>460</v>
      </c>
      <c r="D109" s="5">
        <v>2</v>
      </c>
      <c r="E109" s="9" t="s">
        <v>10165</v>
      </c>
      <c r="F109" s="9" t="s">
        <v>11054</v>
      </c>
      <c r="G109" s="9" t="str">
        <f>HYPERLINK("https://seichotoushi-hojo.jp/assets/pdf/koufu/outline_139.pdf","PDFを開く")</f>
        <v>PDFを開く</v>
      </c>
    </row>
    <row r="110" spans="1:7" ht="87.95" customHeight="1">
      <c r="A110" s="2" t="s">
        <v>467</v>
      </c>
      <c r="B110" s="2" t="s">
        <v>73</v>
      </c>
      <c r="C110" s="8" t="s">
        <v>468</v>
      </c>
      <c r="D110" s="2">
        <v>1</v>
      </c>
      <c r="E110" s="8" t="s">
        <v>10156</v>
      </c>
      <c r="F110" s="8" t="s">
        <v>11055</v>
      </c>
      <c r="G110" s="8" t="str">
        <f>HYPERLINK("https://seichotoushi-hojo.jp/assets/pdf/koufu/outline_14.pdf","PDFを開く")</f>
        <v>PDFを開く</v>
      </c>
    </row>
    <row r="111" spans="1:7" ht="87.95" customHeight="1">
      <c r="A111" s="5" t="s">
        <v>467</v>
      </c>
      <c r="B111" s="5" t="s">
        <v>73</v>
      </c>
      <c r="C111" s="9" t="s">
        <v>468</v>
      </c>
      <c r="D111" s="5">
        <v>2</v>
      </c>
      <c r="E111" s="9" t="s">
        <v>10165</v>
      </c>
      <c r="F111" s="9" t="s">
        <v>11056</v>
      </c>
      <c r="G111" s="9" t="str">
        <f>HYPERLINK("https://seichotoushi-hojo.jp/assets/pdf/koufu/outline_14.pdf","PDFを開く")</f>
        <v>PDFを開く</v>
      </c>
    </row>
    <row r="112" spans="1:7" ht="87.95" customHeight="1">
      <c r="A112" s="2" t="s">
        <v>476</v>
      </c>
      <c r="B112" s="2" t="s">
        <v>73</v>
      </c>
      <c r="C112" s="8" t="s">
        <v>477</v>
      </c>
      <c r="D112" s="2">
        <v>1</v>
      </c>
      <c r="E112" s="8" t="s">
        <v>10156</v>
      </c>
      <c r="F112" s="8" t="s">
        <v>11057</v>
      </c>
      <c r="G112" s="8" t="str">
        <f>HYPERLINK("https://seichotoushi-hojo.jp/assets/pdf/koufu/outline_140.pdf","PDFを開く")</f>
        <v>PDFを開く</v>
      </c>
    </row>
    <row r="113" spans="1:7" ht="87.95" customHeight="1">
      <c r="A113" s="5" t="s">
        <v>476</v>
      </c>
      <c r="B113" s="5" t="s">
        <v>73</v>
      </c>
      <c r="C113" s="9" t="s">
        <v>477</v>
      </c>
      <c r="D113" s="5">
        <v>2</v>
      </c>
      <c r="E113" s="9" t="s">
        <v>10156</v>
      </c>
      <c r="F113" s="9" t="s">
        <v>11058</v>
      </c>
      <c r="G113" s="9" t="str">
        <f>HYPERLINK("https://seichotoushi-hojo.jp/assets/pdf/koufu/outline_140.pdf","PDFを開く")</f>
        <v>PDFを開く</v>
      </c>
    </row>
    <row r="114" spans="1:7" ht="87.95" customHeight="1">
      <c r="A114" s="2" t="s">
        <v>476</v>
      </c>
      <c r="B114" s="2" t="s">
        <v>73</v>
      </c>
      <c r="C114" s="8" t="s">
        <v>477</v>
      </c>
      <c r="D114" s="2">
        <v>3</v>
      </c>
      <c r="E114" s="8" t="s">
        <v>10165</v>
      </c>
      <c r="F114" s="8" t="s">
        <v>11059</v>
      </c>
      <c r="G114" s="8" t="str">
        <f>HYPERLINK("https://seichotoushi-hojo.jp/assets/pdf/koufu/outline_140.pdf","PDFを開く")</f>
        <v>PDFを開く</v>
      </c>
    </row>
    <row r="115" spans="1:7" ht="87.95" customHeight="1">
      <c r="A115" s="5" t="s">
        <v>476</v>
      </c>
      <c r="B115" s="5" t="s">
        <v>73</v>
      </c>
      <c r="C115" s="9" t="s">
        <v>477</v>
      </c>
      <c r="D115" s="5">
        <v>4</v>
      </c>
      <c r="E115" s="9" t="s">
        <v>10165</v>
      </c>
      <c r="F115" s="9" t="s">
        <v>11060</v>
      </c>
      <c r="G115" s="9" t="str">
        <f>HYPERLINK("https://seichotoushi-hojo.jp/assets/pdf/koufu/outline_140.pdf","PDFを開く")</f>
        <v>PDFを開く</v>
      </c>
    </row>
    <row r="116" spans="1:7" ht="87.95" customHeight="1">
      <c r="A116" s="2" t="s">
        <v>485</v>
      </c>
      <c r="B116" s="2" t="s">
        <v>73</v>
      </c>
      <c r="C116" s="8" t="s">
        <v>486</v>
      </c>
      <c r="D116" s="2">
        <v>1</v>
      </c>
      <c r="E116" s="8" t="s">
        <v>10156</v>
      </c>
      <c r="F116" s="8" t="s">
        <v>11061</v>
      </c>
      <c r="G116" s="8" t="str">
        <f>HYPERLINK("https://seichotoushi-hojo.jp/assets/pdf/koufu/outline_141.pdf","PDFを開く")</f>
        <v>PDFを開く</v>
      </c>
    </row>
    <row r="117" spans="1:7" ht="87.95" customHeight="1">
      <c r="A117" s="5" t="s">
        <v>485</v>
      </c>
      <c r="B117" s="5" t="s">
        <v>73</v>
      </c>
      <c r="C117" s="9" t="s">
        <v>486</v>
      </c>
      <c r="D117" s="5">
        <v>2</v>
      </c>
      <c r="E117" s="9" t="s">
        <v>10165</v>
      </c>
      <c r="F117" s="9" t="s">
        <v>11062</v>
      </c>
      <c r="G117" s="9" t="str">
        <f>HYPERLINK("https://seichotoushi-hojo.jp/assets/pdf/koufu/outline_141.pdf","PDFを開く")</f>
        <v>PDFを開く</v>
      </c>
    </row>
    <row r="118" spans="1:7" ht="87.95" customHeight="1">
      <c r="A118" s="2" t="s">
        <v>495</v>
      </c>
      <c r="B118" s="2" t="s">
        <v>73</v>
      </c>
      <c r="C118" s="8" t="s">
        <v>496</v>
      </c>
      <c r="D118" s="2">
        <v>1</v>
      </c>
      <c r="E118" s="8" t="s">
        <v>10156</v>
      </c>
      <c r="F118" s="8" t="s">
        <v>11063</v>
      </c>
      <c r="G118" s="8" t="str">
        <f t="shared" ref="G118:G123" si="1">HYPERLINK("https://seichotoushi-hojo.jp/assets/pdf/koufu/outline_143.pdf","PDFを開く")</f>
        <v>PDFを開く</v>
      </c>
    </row>
    <row r="119" spans="1:7" ht="87.95" customHeight="1">
      <c r="A119" s="5" t="s">
        <v>495</v>
      </c>
      <c r="B119" s="5" t="s">
        <v>73</v>
      </c>
      <c r="C119" s="9" t="s">
        <v>496</v>
      </c>
      <c r="D119" s="5">
        <v>2</v>
      </c>
      <c r="E119" s="9" t="s">
        <v>10165</v>
      </c>
      <c r="F119" s="9" t="s">
        <v>11064</v>
      </c>
      <c r="G119" s="9" t="str">
        <f t="shared" si="1"/>
        <v>PDFを開く</v>
      </c>
    </row>
    <row r="120" spans="1:7" ht="87.95" customHeight="1">
      <c r="A120" s="2" t="s">
        <v>495</v>
      </c>
      <c r="B120" s="2" t="s">
        <v>73</v>
      </c>
      <c r="C120" s="8" t="s">
        <v>496</v>
      </c>
      <c r="D120" s="2">
        <v>3</v>
      </c>
      <c r="E120" s="8" t="s">
        <v>10165</v>
      </c>
      <c r="F120" s="8" t="s">
        <v>11065</v>
      </c>
      <c r="G120" s="8" t="str">
        <f t="shared" si="1"/>
        <v>PDFを開く</v>
      </c>
    </row>
    <row r="121" spans="1:7" ht="87.95" customHeight="1">
      <c r="A121" s="5" t="s">
        <v>495</v>
      </c>
      <c r="B121" s="5" t="s">
        <v>73</v>
      </c>
      <c r="C121" s="9" t="s">
        <v>496</v>
      </c>
      <c r="D121" s="5">
        <v>4</v>
      </c>
      <c r="E121" s="9" t="s">
        <v>10165</v>
      </c>
      <c r="F121" s="9" t="s">
        <v>11066</v>
      </c>
      <c r="G121" s="9" t="str">
        <f t="shared" si="1"/>
        <v>PDFを開く</v>
      </c>
    </row>
    <row r="122" spans="1:7" ht="87.95" customHeight="1">
      <c r="A122" s="2" t="s">
        <v>495</v>
      </c>
      <c r="B122" s="2" t="s">
        <v>73</v>
      </c>
      <c r="C122" s="8" t="s">
        <v>496</v>
      </c>
      <c r="D122" s="2">
        <v>5</v>
      </c>
      <c r="E122" s="8" t="s">
        <v>10165</v>
      </c>
      <c r="F122" s="8" t="s">
        <v>11067</v>
      </c>
      <c r="G122" s="8" t="str">
        <f t="shared" si="1"/>
        <v>PDFを開く</v>
      </c>
    </row>
    <row r="123" spans="1:7" ht="87.95" customHeight="1">
      <c r="A123" s="5" t="s">
        <v>495</v>
      </c>
      <c r="B123" s="5" t="s">
        <v>73</v>
      </c>
      <c r="C123" s="9" t="s">
        <v>496</v>
      </c>
      <c r="D123" s="5">
        <v>6</v>
      </c>
      <c r="E123" s="9" t="s">
        <v>10165</v>
      </c>
      <c r="F123" s="9" t="s">
        <v>11068</v>
      </c>
      <c r="G123" s="9" t="str">
        <f t="shared" si="1"/>
        <v>PDFを開く</v>
      </c>
    </row>
    <row r="124" spans="1:7" ht="87.95" customHeight="1">
      <c r="A124" s="2" t="s">
        <v>504</v>
      </c>
      <c r="B124" s="2" t="s">
        <v>73</v>
      </c>
      <c r="C124" s="8" t="s">
        <v>505</v>
      </c>
      <c r="D124" s="2">
        <v>1</v>
      </c>
      <c r="E124" s="8" t="s">
        <v>10156</v>
      </c>
      <c r="F124" s="8" t="s">
        <v>11069</v>
      </c>
      <c r="G124" s="8" t="str">
        <f>HYPERLINK("https://seichotoushi-hojo.jp/assets/pdf/koufu/outline_145.pdf","PDFを開く")</f>
        <v>PDFを開く</v>
      </c>
    </row>
    <row r="125" spans="1:7" ht="87.95" customHeight="1">
      <c r="A125" s="5" t="s">
        <v>504</v>
      </c>
      <c r="B125" s="5" t="s">
        <v>73</v>
      </c>
      <c r="C125" s="9" t="s">
        <v>505</v>
      </c>
      <c r="D125" s="5">
        <v>2</v>
      </c>
      <c r="E125" s="9" t="s">
        <v>10165</v>
      </c>
      <c r="F125" s="9" t="s">
        <v>11070</v>
      </c>
      <c r="G125" s="9" t="str">
        <f>HYPERLINK("https://seichotoushi-hojo.jp/assets/pdf/koufu/outline_145.pdf","PDFを開く")</f>
        <v>PDFを開く</v>
      </c>
    </row>
    <row r="126" spans="1:7" ht="87.95" customHeight="1">
      <c r="A126" s="2" t="s">
        <v>513</v>
      </c>
      <c r="B126" s="2" t="s">
        <v>73</v>
      </c>
      <c r="C126" s="8" t="s">
        <v>514</v>
      </c>
      <c r="D126" s="2">
        <v>1</v>
      </c>
      <c r="E126" s="8" t="s">
        <v>10156</v>
      </c>
      <c r="F126" s="8" t="s">
        <v>11071</v>
      </c>
      <c r="G126" s="8" t="str">
        <f>HYPERLINK("https://seichotoushi-hojo.jp/assets/pdf/koufu/outline_146.pdf","PDFを開く")</f>
        <v>PDFを開く</v>
      </c>
    </row>
    <row r="127" spans="1:7" ht="87.95" customHeight="1">
      <c r="A127" s="5" t="s">
        <v>513</v>
      </c>
      <c r="B127" s="5" t="s">
        <v>73</v>
      </c>
      <c r="C127" s="9" t="s">
        <v>514</v>
      </c>
      <c r="D127" s="5">
        <v>2</v>
      </c>
      <c r="E127" s="9" t="s">
        <v>10165</v>
      </c>
      <c r="F127" s="9" t="s">
        <v>11072</v>
      </c>
      <c r="G127" s="9" t="str">
        <f>HYPERLINK("https://seichotoushi-hojo.jp/assets/pdf/koufu/outline_146.pdf","PDFを開く")</f>
        <v>PDFを開く</v>
      </c>
    </row>
    <row r="128" spans="1:7" ht="87.95" customHeight="1">
      <c r="A128" s="2" t="s">
        <v>521</v>
      </c>
      <c r="B128" s="2" t="s">
        <v>73</v>
      </c>
      <c r="C128" s="8" t="s">
        <v>522</v>
      </c>
      <c r="D128" s="2">
        <v>1</v>
      </c>
      <c r="E128" s="8" t="s">
        <v>10156</v>
      </c>
      <c r="F128" s="8" t="s">
        <v>11073</v>
      </c>
      <c r="G128" s="8" t="str">
        <f>HYPERLINK("https://seichotoushi-hojo.jp/assets/pdf/koufu/outline_147.pdf","PDFを開く")</f>
        <v>PDFを開く</v>
      </c>
    </row>
    <row r="129" spans="1:7" ht="87.95" customHeight="1">
      <c r="A129" s="5" t="s">
        <v>521</v>
      </c>
      <c r="B129" s="5" t="s">
        <v>73</v>
      </c>
      <c r="C129" s="9" t="s">
        <v>522</v>
      </c>
      <c r="D129" s="5">
        <v>2</v>
      </c>
      <c r="E129" s="9" t="s">
        <v>10165</v>
      </c>
      <c r="F129" s="9" t="s">
        <v>11074</v>
      </c>
      <c r="G129" s="9" t="str">
        <f>HYPERLINK("https://seichotoushi-hojo.jp/assets/pdf/koufu/outline_147.pdf","PDFを開く")</f>
        <v>PDFを開く</v>
      </c>
    </row>
    <row r="130" spans="1:7" ht="87.95" customHeight="1">
      <c r="A130" s="2" t="s">
        <v>530</v>
      </c>
      <c r="B130" s="2" t="s">
        <v>73</v>
      </c>
      <c r="C130" s="8" t="s">
        <v>531</v>
      </c>
      <c r="D130" s="2">
        <v>1</v>
      </c>
      <c r="E130" s="8" t="s">
        <v>10156</v>
      </c>
      <c r="F130" s="8" t="s">
        <v>11075</v>
      </c>
      <c r="G130" s="8" t="str">
        <f>HYPERLINK("https://seichotoushi-hojo.jp/assets/pdf/koufu/outline_148.pdf","PDFを開く")</f>
        <v>PDFを開く</v>
      </c>
    </row>
    <row r="131" spans="1:7" ht="87.95" customHeight="1">
      <c r="A131" s="5" t="s">
        <v>530</v>
      </c>
      <c r="B131" s="5" t="s">
        <v>73</v>
      </c>
      <c r="C131" s="9" t="s">
        <v>531</v>
      </c>
      <c r="D131" s="5">
        <v>2</v>
      </c>
      <c r="E131" s="9" t="s">
        <v>10165</v>
      </c>
      <c r="F131" s="9" t="s">
        <v>11076</v>
      </c>
      <c r="G131" s="9" t="str">
        <f>HYPERLINK("https://seichotoushi-hojo.jp/assets/pdf/koufu/outline_148.pdf","PDFを開く")</f>
        <v>PDFを開く</v>
      </c>
    </row>
    <row r="132" spans="1:7" ht="87.95" customHeight="1">
      <c r="A132" s="2" t="s">
        <v>539</v>
      </c>
      <c r="B132" s="2" t="s">
        <v>73</v>
      </c>
      <c r="C132" s="8" t="s">
        <v>540</v>
      </c>
      <c r="D132" s="2">
        <v>1</v>
      </c>
      <c r="E132" s="8" t="s">
        <v>10156</v>
      </c>
      <c r="F132" s="8" t="s">
        <v>11077</v>
      </c>
      <c r="G132" s="8" t="str">
        <f>HYPERLINK("https://seichotoushi-hojo.jp/assets/pdf/koufu/outline_149.pdf","PDFを開く")</f>
        <v>PDFを開く</v>
      </c>
    </row>
    <row r="133" spans="1:7" ht="87.95" customHeight="1">
      <c r="A133" s="5" t="s">
        <v>539</v>
      </c>
      <c r="B133" s="5" t="s">
        <v>73</v>
      </c>
      <c r="C133" s="9" t="s">
        <v>540</v>
      </c>
      <c r="D133" s="5">
        <v>2</v>
      </c>
      <c r="E133" s="9" t="s">
        <v>10165</v>
      </c>
      <c r="F133" s="9" t="s">
        <v>11078</v>
      </c>
      <c r="G133" s="9" t="str">
        <f>HYPERLINK("https://seichotoushi-hojo.jp/assets/pdf/koufu/outline_149.pdf","PDFを開く")</f>
        <v>PDFを開く</v>
      </c>
    </row>
    <row r="134" spans="1:7" ht="87.95" customHeight="1">
      <c r="A134" s="2" t="s">
        <v>539</v>
      </c>
      <c r="B134" s="2" t="s">
        <v>73</v>
      </c>
      <c r="C134" s="8" t="s">
        <v>540</v>
      </c>
      <c r="D134" s="2">
        <v>3</v>
      </c>
      <c r="E134" s="8" t="s">
        <v>10165</v>
      </c>
      <c r="F134" s="8" t="s">
        <v>11079</v>
      </c>
      <c r="G134" s="8" t="str">
        <f>HYPERLINK("https://seichotoushi-hojo.jp/assets/pdf/koufu/outline_149.pdf","PDFを開く")</f>
        <v>PDFを開く</v>
      </c>
    </row>
    <row r="135" spans="1:7" ht="87.95" customHeight="1">
      <c r="A135" s="5" t="s">
        <v>548</v>
      </c>
      <c r="B135" s="5" t="s">
        <v>73</v>
      </c>
      <c r="C135" s="9" t="s">
        <v>549</v>
      </c>
      <c r="D135" s="5">
        <v>1</v>
      </c>
      <c r="E135" s="9" t="s">
        <v>10156</v>
      </c>
      <c r="F135" s="9" t="s">
        <v>11080</v>
      </c>
      <c r="G135" s="9" t="str">
        <f>HYPERLINK("https://seichotoushi-hojo.jp/assets/pdf/koufu/outline_150.pdf","PDFを開く")</f>
        <v>PDFを開く</v>
      </c>
    </row>
    <row r="136" spans="1:7" ht="87.95" customHeight="1">
      <c r="A136" s="2" t="s">
        <v>548</v>
      </c>
      <c r="B136" s="2" t="s">
        <v>73</v>
      </c>
      <c r="C136" s="8" t="s">
        <v>549</v>
      </c>
      <c r="D136" s="2">
        <v>2</v>
      </c>
      <c r="E136" s="8" t="s">
        <v>10165</v>
      </c>
      <c r="F136" s="8" t="s">
        <v>11081</v>
      </c>
      <c r="G136" s="8" t="str">
        <f>HYPERLINK("https://seichotoushi-hojo.jp/assets/pdf/koufu/outline_150.pdf","PDFを開く")</f>
        <v>PDFを開く</v>
      </c>
    </row>
    <row r="137" spans="1:7" ht="87.95" customHeight="1">
      <c r="A137" s="5" t="s">
        <v>557</v>
      </c>
      <c r="B137" s="5" t="s">
        <v>73</v>
      </c>
      <c r="C137" s="9" t="s">
        <v>558</v>
      </c>
      <c r="D137" s="5">
        <v>1</v>
      </c>
      <c r="E137" s="9" t="s">
        <v>10156</v>
      </c>
      <c r="F137" s="9" t="s">
        <v>11082</v>
      </c>
      <c r="G137" s="9" t="str">
        <f>HYPERLINK("https://seichotoushi-hojo.jp/assets/pdf/koufu/outline_151.pdf","PDFを開く")</f>
        <v>PDFを開く</v>
      </c>
    </row>
    <row r="138" spans="1:7" ht="87.95" customHeight="1">
      <c r="A138" s="2" t="s">
        <v>557</v>
      </c>
      <c r="B138" s="2" t="s">
        <v>73</v>
      </c>
      <c r="C138" s="8" t="s">
        <v>558</v>
      </c>
      <c r="D138" s="2">
        <v>2</v>
      </c>
      <c r="E138" s="8" t="s">
        <v>10165</v>
      </c>
      <c r="F138" s="8" t="s">
        <v>11083</v>
      </c>
      <c r="G138" s="8" t="str">
        <f>HYPERLINK("https://seichotoushi-hojo.jp/assets/pdf/koufu/outline_151.pdf","PDFを開く")</f>
        <v>PDFを開く</v>
      </c>
    </row>
    <row r="139" spans="1:7" ht="87.95" customHeight="1">
      <c r="A139" s="5" t="s">
        <v>565</v>
      </c>
      <c r="B139" s="5" t="s">
        <v>73</v>
      </c>
      <c r="C139" s="9" t="s">
        <v>566</v>
      </c>
      <c r="D139" s="5">
        <v>1</v>
      </c>
      <c r="E139" s="9" t="s">
        <v>10156</v>
      </c>
      <c r="F139" s="9" t="s">
        <v>11084</v>
      </c>
      <c r="G139" s="9" t="str">
        <f>HYPERLINK("https://seichotoushi-hojo.jp/assets/pdf/koufu/outline_152.pdf","PDFを開く")</f>
        <v>PDFを開く</v>
      </c>
    </row>
    <row r="140" spans="1:7" ht="87.95" customHeight="1">
      <c r="A140" s="2" t="s">
        <v>565</v>
      </c>
      <c r="B140" s="2" t="s">
        <v>73</v>
      </c>
      <c r="C140" s="8" t="s">
        <v>566</v>
      </c>
      <c r="D140" s="2">
        <v>2</v>
      </c>
      <c r="E140" s="8" t="s">
        <v>10165</v>
      </c>
      <c r="F140" s="8" t="s">
        <v>11085</v>
      </c>
      <c r="G140" s="8" t="str">
        <f>HYPERLINK("https://seichotoushi-hojo.jp/assets/pdf/koufu/outline_152.pdf","PDFを開く")</f>
        <v>PDFを開く</v>
      </c>
    </row>
    <row r="141" spans="1:7" ht="87.95" customHeight="1">
      <c r="A141" s="5" t="s">
        <v>573</v>
      </c>
      <c r="B141" s="5" t="s">
        <v>73</v>
      </c>
      <c r="C141" s="9" t="s">
        <v>574</v>
      </c>
      <c r="D141" s="5">
        <v>1</v>
      </c>
      <c r="E141" s="9" t="s">
        <v>10156</v>
      </c>
      <c r="F141" s="9" t="s">
        <v>11086</v>
      </c>
      <c r="G141" s="9" t="str">
        <f>HYPERLINK("https://seichotoushi-hojo.jp/assets/pdf/koufu/outline_153.pdf","PDFを開く")</f>
        <v>PDFを開く</v>
      </c>
    </row>
    <row r="142" spans="1:7" ht="87.95" customHeight="1">
      <c r="A142" s="2" t="s">
        <v>573</v>
      </c>
      <c r="B142" s="2" t="s">
        <v>73</v>
      </c>
      <c r="C142" s="8" t="s">
        <v>574</v>
      </c>
      <c r="D142" s="2">
        <v>2</v>
      </c>
      <c r="E142" s="8" t="s">
        <v>10165</v>
      </c>
      <c r="F142" s="8" t="s">
        <v>11087</v>
      </c>
      <c r="G142" s="8" t="str">
        <f>HYPERLINK("https://seichotoushi-hojo.jp/assets/pdf/koufu/outline_153.pdf","PDFを開く")</f>
        <v>PDFを開く</v>
      </c>
    </row>
    <row r="143" spans="1:7" ht="87.95" customHeight="1">
      <c r="A143" s="5" t="s">
        <v>582</v>
      </c>
      <c r="B143" s="5" t="s">
        <v>73</v>
      </c>
      <c r="C143" s="9" t="s">
        <v>583</v>
      </c>
      <c r="D143" s="5">
        <v>1</v>
      </c>
      <c r="E143" s="9" t="s">
        <v>10156</v>
      </c>
      <c r="F143" s="9" t="s">
        <v>11088</v>
      </c>
      <c r="G143" s="9" t="str">
        <f>HYPERLINK("https://seichotoushi-hojo.jp/assets/pdf/koufu/outline_154.pdf","PDFを開く")</f>
        <v>PDFを開く</v>
      </c>
    </row>
    <row r="144" spans="1:7" ht="87.95" customHeight="1">
      <c r="A144" s="2" t="s">
        <v>582</v>
      </c>
      <c r="B144" s="2" t="s">
        <v>73</v>
      </c>
      <c r="C144" s="8" t="s">
        <v>583</v>
      </c>
      <c r="D144" s="2">
        <v>2</v>
      </c>
      <c r="E144" s="8" t="s">
        <v>10165</v>
      </c>
      <c r="F144" s="8" t="s">
        <v>11089</v>
      </c>
      <c r="G144" s="8" t="str">
        <f>HYPERLINK("https://seichotoushi-hojo.jp/assets/pdf/koufu/outline_154.pdf","PDFを開く")</f>
        <v>PDFを開く</v>
      </c>
    </row>
    <row r="145" spans="1:7" ht="87.95" customHeight="1">
      <c r="A145" s="5" t="s">
        <v>592</v>
      </c>
      <c r="B145" s="5" t="s">
        <v>73</v>
      </c>
      <c r="C145" s="9" t="s">
        <v>593</v>
      </c>
      <c r="D145" s="5">
        <v>1</v>
      </c>
      <c r="E145" s="9" t="s">
        <v>10156</v>
      </c>
      <c r="F145" s="9" t="s">
        <v>11090</v>
      </c>
      <c r="G145" s="9" t="str">
        <f>HYPERLINK("https://seichotoushi-hojo.jp/assets/pdf/koufu/outline_155.pdf","PDFを開く")</f>
        <v>PDFを開く</v>
      </c>
    </row>
    <row r="146" spans="1:7" ht="87.95" customHeight="1">
      <c r="A146" s="2" t="s">
        <v>592</v>
      </c>
      <c r="B146" s="2" t="s">
        <v>73</v>
      </c>
      <c r="C146" s="8" t="s">
        <v>593</v>
      </c>
      <c r="D146" s="2">
        <v>2</v>
      </c>
      <c r="E146" s="8" t="s">
        <v>10165</v>
      </c>
      <c r="F146" s="8" t="s">
        <v>11091</v>
      </c>
      <c r="G146" s="8" t="str">
        <f>HYPERLINK("https://seichotoushi-hojo.jp/assets/pdf/koufu/outline_155.pdf","PDFを開く")</f>
        <v>PDFを開く</v>
      </c>
    </row>
    <row r="147" spans="1:7" ht="87.95" customHeight="1">
      <c r="A147" s="5" t="s">
        <v>601</v>
      </c>
      <c r="B147" s="5" t="s">
        <v>73</v>
      </c>
      <c r="C147" s="9" t="s">
        <v>602</v>
      </c>
      <c r="D147" s="5">
        <v>1</v>
      </c>
      <c r="E147" s="9" t="s">
        <v>10156</v>
      </c>
      <c r="F147" s="9" t="s">
        <v>11092</v>
      </c>
      <c r="G147" s="9" t="str">
        <f>HYPERLINK("https://seichotoushi-hojo.jp/assets/pdf/koufu/outline_156.pdf","PDFを開く")</f>
        <v>PDFを開く</v>
      </c>
    </row>
    <row r="148" spans="1:7" ht="87.95" customHeight="1">
      <c r="A148" s="2" t="s">
        <v>601</v>
      </c>
      <c r="B148" s="2" t="s">
        <v>73</v>
      </c>
      <c r="C148" s="8" t="s">
        <v>602</v>
      </c>
      <c r="D148" s="2">
        <v>2</v>
      </c>
      <c r="E148" s="8" t="s">
        <v>10165</v>
      </c>
      <c r="F148" s="8" t="s">
        <v>11093</v>
      </c>
      <c r="G148" s="8" t="str">
        <f>HYPERLINK("https://seichotoushi-hojo.jp/assets/pdf/koufu/outline_156.pdf","PDFを開く")</f>
        <v>PDFを開く</v>
      </c>
    </row>
    <row r="149" spans="1:7" ht="87.95" customHeight="1">
      <c r="A149" s="5" t="s">
        <v>609</v>
      </c>
      <c r="B149" s="5" t="s">
        <v>73</v>
      </c>
      <c r="C149" s="9" t="s">
        <v>610</v>
      </c>
      <c r="D149" s="5">
        <v>1</v>
      </c>
      <c r="E149" s="9" t="s">
        <v>10156</v>
      </c>
      <c r="F149" s="9" t="s">
        <v>11094</v>
      </c>
      <c r="G149" s="9" t="str">
        <f>HYPERLINK("https://seichotoushi-hojo.jp/assets/pdf/koufu/outline_157.pdf","PDFを開く")</f>
        <v>PDFを開く</v>
      </c>
    </row>
    <row r="150" spans="1:7" ht="87.95" customHeight="1">
      <c r="A150" s="2" t="s">
        <v>609</v>
      </c>
      <c r="B150" s="2" t="s">
        <v>73</v>
      </c>
      <c r="C150" s="8" t="s">
        <v>610</v>
      </c>
      <c r="D150" s="2">
        <v>2</v>
      </c>
      <c r="E150" s="8" t="s">
        <v>10165</v>
      </c>
      <c r="F150" s="8" t="s">
        <v>11095</v>
      </c>
      <c r="G150" s="8" t="str">
        <f>HYPERLINK("https://seichotoushi-hojo.jp/assets/pdf/koufu/outline_157.pdf","PDFを開く")</f>
        <v>PDFを開く</v>
      </c>
    </row>
    <row r="151" spans="1:7" ht="87.95" customHeight="1">
      <c r="A151" s="5" t="s">
        <v>609</v>
      </c>
      <c r="B151" s="5" t="s">
        <v>73</v>
      </c>
      <c r="C151" s="9" t="s">
        <v>610</v>
      </c>
      <c r="D151" s="5">
        <v>3</v>
      </c>
      <c r="E151" s="9" t="s">
        <v>10165</v>
      </c>
      <c r="F151" s="9" t="s">
        <v>11096</v>
      </c>
      <c r="G151" s="9" t="str">
        <f>HYPERLINK("https://seichotoushi-hojo.jp/assets/pdf/koufu/outline_157.pdf","PDFを開く")</f>
        <v>PDFを開く</v>
      </c>
    </row>
    <row r="152" spans="1:7" ht="87.95" customHeight="1">
      <c r="A152" s="2" t="s">
        <v>609</v>
      </c>
      <c r="B152" s="2" t="s">
        <v>73</v>
      </c>
      <c r="C152" s="8" t="s">
        <v>610</v>
      </c>
      <c r="D152" s="2">
        <v>4</v>
      </c>
      <c r="E152" s="8" t="s">
        <v>10165</v>
      </c>
      <c r="F152" s="8" t="s">
        <v>11097</v>
      </c>
      <c r="G152" s="8" t="str">
        <f>HYPERLINK("https://seichotoushi-hojo.jp/assets/pdf/koufu/outline_157.pdf","PDFを開く")</f>
        <v>PDFを開く</v>
      </c>
    </row>
    <row r="153" spans="1:7" ht="87.95" customHeight="1">
      <c r="A153" s="5" t="s">
        <v>617</v>
      </c>
      <c r="B153" s="5" t="s">
        <v>73</v>
      </c>
      <c r="C153" s="9" t="s">
        <v>618</v>
      </c>
      <c r="D153" s="5">
        <v>1</v>
      </c>
      <c r="E153" s="9" t="s">
        <v>10156</v>
      </c>
      <c r="F153" s="9" t="s">
        <v>11098</v>
      </c>
      <c r="G153" s="9" t="str">
        <f>HYPERLINK("https://seichotoushi-hojo.jp/assets/pdf/koufu/outline_158.pdf","PDFを開く")</f>
        <v>PDFを開く</v>
      </c>
    </row>
    <row r="154" spans="1:7" ht="87.95" customHeight="1">
      <c r="A154" s="2" t="s">
        <v>617</v>
      </c>
      <c r="B154" s="2" t="s">
        <v>73</v>
      </c>
      <c r="C154" s="8" t="s">
        <v>618</v>
      </c>
      <c r="D154" s="2">
        <v>2</v>
      </c>
      <c r="E154" s="8" t="s">
        <v>10165</v>
      </c>
      <c r="F154" s="8" t="s">
        <v>11099</v>
      </c>
      <c r="G154" s="8" t="str">
        <f>HYPERLINK("https://seichotoushi-hojo.jp/assets/pdf/koufu/outline_158.pdf","PDFを開く")</f>
        <v>PDFを開く</v>
      </c>
    </row>
    <row r="155" spans="1:7" ht="87.95" customHeight="1">
      <c r="A155" s="5" t="s">
        <v>625</v>
      </c>
      <c r="B155" s="5" t="s">
        <v>73</v>
      </c>
      <c r="C155" s="9" t="s">
        <v>626</v>
      </c>
      <c r="D155" s="5">
        <v>1</v>
      </c>
      <c r="E155" s="9" t="s">
        <v>10156</v>
      </c>
      <c r="F155" s="9" t="s">
        <v>11100</v>
      </c>
      <c r="G155" s="9" t="str">
        <f>HYPERLINK("https://seichotoushi-hojo.jp/assets/pdf/koufu/outline_159.pdf","PDFを開く")</f>
        <v>PDFを開く</v>
      </c>
    </row>
    <row r="156" spans="1:7" ht="87.95" customHeight="1">
      <c r="A156" s="2" t="s">
        <v>625</v>
      </c>
      <c r="B156" s="2" t="s">
        <v>73</v>
      </c>
      <c r="C156" s="8" t="s">
        <v>626</v>
      </c>
      <c r="D156" s="2">
        <v>2</v>
      </c>
      <c r="E156" s="8" t="s">
        <v>10165</v>
      </c>
      <c r="F156" s="8" t="s">
        <v>11101</v>
      </c>
      <c r="G156" s="8" t="str">
        <f>HYPERLINK("https://seichotoushi-hojo.jp/assets/pdf/koufu/outline_159.pdf","PDFを開く")</f>
        <v>PDFを開く</v>
      </c>
    </row>
    <row r="157" spans="1:7" ht="87.95" customHeight="1">
      <c r="A157" s="5" t="s">
        <v>625</v>
      </c>
      <c r="B157" s="5" t="s">
        <v>73</v>
      </c>
      <c r="C157" s="9" t="s">
        <v>626</v>
      </c>
      <c r="D157" s="5">
        <v>3</v>
      </c>
      <c r="E157" s="9" t="s">
        <v>10165</v>
      </c>
      <c r="F157" s="9" t="s">
        <v>11102</v>
      </c>
      <c r="G157" s="9" t="str">
        <f>HYPERLINK("https://seichotoushi-hojo.jp/assets/pdf/koufu/outline_159.pdf","PDFを開く")</f>
        <v>PDFを開く</v>
      </c>
    </row>
    <row r="158" spans="1:7" ht="87.95" customHeight="1">
      <c r="A158" s="2" t="s">
        <v>625</v>
      </c>
      <c r="B158" s="2" t="s">
        <v>73</v>
      </c>
      <c r="C158" s="8" t="s">
        <v>626</v>
      </c>
      <c r="D158" s="2">
        <v>4</v>
      </c>
      <c r="E158" s="8" t="s">
        <v>10165</v>
      </c>
      <c r="F158" s="8" t="s">
        <v>11103</v>
      </c>
      <c r="G158" s="8" t="str">
        <f>HYPERLINK("https://seichotoushi-hojo.jp/assets/pdf/koufu/outline_159.pdf","PDFを開く")</f>
        <v>PDFを開く</v>
      </c>
    </row>
    <row r="159" spans="1:7" ht="87.95" customHeight="1">
      <c r="A159" s="5" t="s">
        <v>634</v>
      </c>
      <c r="B159" s="5" t="s">
        <v>73</v>
      </c>
      <c r="C159" s="9" t="s">
        <v>635</v>
      </c>
      <c r="D159" s="5">
        <v>1</v>
      </c>
      <c r="E159" s="9" t="s">
        <v>10156</v>
      </c>
      <c r="F159" s="9" t="s">
        <v>11104</v>
      </c>
      <c r="G159" s="9" t="str">
        <f>HYPERLINK("https://seichotoushi-hojo.jp/assets/pdf/koufu/outline_16.pdf","PDFを開く")</f>
        <v>PDFを開く</v>
      </c>
    </row>
    <row r="160" spans="1:7" ht="87.95" customHeight="1">
      <c r="A160" s="2" t="s">
        <v>634</v>
      </c>
      <c r="B160" s="2" t="s">
        <v>73</v>
      </c>
      <c r="C160" s="8" t="s">
        <v>635</v>
      </c>
      <c r="D160" s="2">
        <v>2</v>
      </c>
      <c r="E160" s="8" t="s">
        <v>10165</v>
      </c>
      <c r="F160" s="8" t="s">
        <v>11105</v>
      </c>
      <c r="G160" s="8" t="str">
        <f>HYPERLINK("https://seichotoushi-hojo.jp/assets/pdf/koufu/outline_16.pdf","PDFを開く")</f>
        <v>PDFを開く</v>
      </c>
    </row>
    <row r="161" spans="1:7" ht="87.95" customHeight="1">
      <c r="A161" s="5" t="s">
        <v>645</v>
      </c>
      <c r="B161" s="5" t="s">
        <v>73</v>
      </c>
      <c r="C161" s="9" t="s">
        <v>646</v>
      </c>
      <c r="D161" s="5">
        <v>1</v>
      </c>
      <c r="E161" s="9" t="s">
        <v>10156</v>
      </c>
      <c r="F161" s="9" t="s">
        <v>11106</v>
      </c>
      <c r="G161" s="9" t="str">
        <f>HYPERLINK("https://seichotoushi-hojo.jp/assets/pdf/koufu/outline_162.pdf","PDFを開く")</f>
        <v>PDFを開く</v>
      </c>
    </row>
    <row r="162" spans="1:7" ht="87.95" customHeight="1">
      <c r="A162" s="2" t="s">
        <v>645</v>
      </c>
      <c r="B162" s="2" t="s">
        <v>73</v>
      </c>
      <c r="C162" s="8" t="s">
        <v>646</v>
      </c>
      <c r="D162" s="2">
        <v>2</v>
      </c>
      <c r="E162" s="8" t="s">
        <v>10165</v>
      </c>
      <c r="F162" s="8" t="s">
        <v>11107</v>
      </c>
      <c r="G162" s="8" t="str">
        <f>HYPERLINK("https://seichotoushi-hojo.jp/assets/pdf/koufu/outline_162.pdf","PDFを開く")</f>
        <v>PDFを開く</v>
      </c>
    </row>
    <row r="163" spans="1:7" ht="87.95" customHeight="1">
      <c r="A163" s="5" t="s">
        <v>653</v>
      </c>
      <c r="B163" s="5" t="s">
        <v>73</v>
      </c>
      <c r="C163" s="9" t="s">
        <v>654</v>
      </c>
      <c r="D163" s="5">
        <v>1</v>
      </c>
      <c r="E163" s="9" t="s">
        <v>10156</v>
      </c>
      <c r="F163" s="9" t="s">
        <v>11108</v>
      </c>
      <c r="G163" s="9" t="str">
        <f>HYPERLINK("https://seichotoushi-hojo.jp/assets/pdf/koufu/outline_164.pdf","PDFを開く")</f>
        <v>PDFを開く</v>
      </c>
    </row>
    <row r="164" spans="1:7" ht="87.95" customHeight="1">
      <c r="A164" s="2" t="s">
        <v>653</v>
      </c>
      <c r="B164" s="2" t="s">
        <v>73</v>
      </c>
      <c r="C164" s="8" t="s">
        <v>654</v>
      </c>
      <c r="D164" s="2">
        <v>2</v>
      </c>
      <c r="E164" s="8" t="s">
        <v>10165</v>
      </c>
      <c r="F164" s="8" t="s">
        <v>11109</v>
      </c>
      <c r="G164" s="8" t="str">
        <f>HYPERLINK("https://seichotoushi-hojo.jp/assets/pdf/koufu/outline_164.pdf","PDFを開く")</f>
        <v>PDFを開く</v>
      </c>
    </row>
    <row r="165" spans="1:7" ht="87.95" customHeight="1">
      <c r="A165" s="5" t="s">
        <v>663</v>
      </c>
      <c r="B165" s="5" t="s">
        <v>73</v>
      </c>
      <c r="C165" s="9" t="s">
        <v>664</v>
      </c>
      <c r="D165" s="5">
        <v>1</v>
      </c>
      <c r="E165" s="9" t="s">
        <v>10156</v>
      </c>
      <c r="F165" s="9" t="s">
        <v>11110</v>
      </c>
      <c r="G165" s="9" t="str">
        <f>HYPERLINK("https://seichotoushi-hojo.jp/assets/pdf/koufu/outline_166.pdf","PDFを開く")</f>
        <v>PDFを開く</v>
      </c>
    </row>
    <row r="166" spans="1:7" ht="87.95" customHeight="1">
      <c r="A166" s="2" t="s">
        <v>663</v>
      </c>
      <c r="B166" s="2" t="s">
        <v>73</v>
      </c>
      <c r="C166" s="8" t="s">
        <v>664</v>
      </c>
      <c r="D166" s="2">
        <v>2</v>
      </c>
      <c r="E166" s="8" t="s">
        <v>10165</v>
      </c>
      <c r="F166" s="8" t="s">
        <v>11111</v>
      </c>
      <c r="G166" s="8" t="str">
        <f>HYPERLINK("https://seichotoushi-hojo.jp/assets/pdf/koufu/outline_166.pdf","PDFを開く")</f>
        <v>PDFを開く</v>
      </c>
    </row>
    <row r="167" spans="1:7" ht="87.95" customHeight="1">
      <c r="A167" s="5" t="s">
        <v>671</v>
      </c>
      <c r="B167" s="5" t="s">
        <v>73</v>
      </c>
      <c r="C167" s="9" t="s">
        <v>672</v>
      </c>
      <c r="D167" s="5">
        <v>1</v>
      </c>
      <c r="E167" s="9" t="s">
        <v>10156</v>
      </c>
      <c r="F167" s="9" t="s">
        <v>11112</v>
      </c>
      <c r="G167" s="9" t="str">
        <f>HYPERLINK("https://seichotoushi-hojo.jp/assets/pdf/koufu/outline_167.pdf","PDFを開く")</f>
        <v>PDFを開く</v>
      </c>
    </row>
    <row r="168" spans="1:7" ht="87.95" customHeight="1">
      <c r="A168" s="2" t="s">
        <v>671</v>
      </c>
      <c r="B168" s="2" t="s">
        <v>73</v>
      </c>
      <c r="C168" s="8" t="s">
        <v>672</v>
      </c>
      <c r="D168" s="2">
        <v>2</v>
      </c>
      <c r="E168" s="8" t="s">
        <v>10165</v>
      </c>
      <c r="F168" s="8" t="s">
        <v>11113</v>
      </c>
      <c r="G168" s="8" t="str">
        <f>HYPERLINK("https://seichotoushi-hojo.jp/assets/pdf/koufu/outline_167.pdf","PDFを開く")</f>
        <v>PDFを開く</v>
      </c>
    </row>
    <row r="169" spans="1:7" ht="87.95" customHeight="1">
      <c r="A169" s="5" t="s">
        <v>680</v>
      </c>
      <c r="B169" s="5" t="s">
        <v>73</v>
      </c>
      <c r="C169" s="9" t="s">
        <v>681</v>
      </c>
      <c r="D169" s="5">
        <v>1</v>
      </c>
      <c r="E169" s="9" t="s">
        <v>10156</v>
      </c>
      <c r="F169" s="9" t="s">
        <v>11114</v>
      </c>
      <c r="G169" s="9" t="str">
        <f>HYPERLINK("https://seichotoushi-hojo.jp/assets/pdf/koufu/outline_168.pdf","PDFを開く")</f>
        <v>PDFを開く</v>
      </c>
    </row>
    <row r="170" spans="1:7" ht="87.95" customHeight="1">
      <c r="A170" s="2" t="s">
        <v>680</v>
      </c>
      <c r="B170" s="2" t="s">
        <v>73</v>
      </c>
      <c r="C170" s="8" t="s">
        <v>681</v>
      </c>
      <c r="D170" s="2">
        <v>2</v>
      </c>
      <c r="E170" s="8" t="s">
        <v>10165</v>
      </c>
      <c r="F170" s="8" t="s">
        <v>11115</v>
      </c>
      <c r="G170" s="8" t="str">
        <f>HYPERLINK("https://seichotoushi-hojo.jp/assets/pdf/koufu/outline_168.pdf","PDFを開く")</f>
        <v>PDFを開く</v>
      </c>
    </row>
    <row r="171" spans="1:7" ht="87.95" customHeight="1">
      <c r="A171" s="5" t="s">
        <v>688</v>
      </c>
      <c r="B171" s="5" t="s">
        <v>73</v>
      </c>
      <c r="C171" s="9" t="s">
        <v>689</v>
      </c>
      <c r="D171" s="5">
        <v>1</v>
      </c>
      <c r="E171" s="9" t="s">
        <v>10156</v>
      </c>
      <c r="F171" s="9" t="s">
        <v>11116</v>
      </c>
      <c r="G171" s="9" t="str">
        <f>HYPERLINK("https://seichotoushi-hojo.jp/assets/pdf/koufu/outline_169.pdf","PDFを開く")</f>
        <v>PDFを開く</v>
      </c>
    </row>
    <row r="172" spans="1:7" ht="87.95" customHeight="1">
      <c r="A172" s="2" t="s">
        <v>688</v>
      </c>
      <c r="B172" s="2" t="s">
        <v>73</v>
      </c>
      <c r="C172" s="8" t="s">
        <v>689</v>
      </c>
      <c r="D172" s="2">
        <v>2</v>
      </c>
      <c r="E172" s="8" t="s">
        <v>10165</v>
      </c>
      <c r="F172" s="8" t="s">
        <v>11117</v>
      </c>
      <c r="G172" s="8" t="str">
        <f>HYPERLINK("https://seichotoushi-hojo.jp/assets/pdf/koufu/outline_169.pdf","PDFを開く")</f>
        <v>PDFを開く</v>
      </c>
    </row>
    <row r="173" spans="1:7" ht="87.95" customHeight="1">
      <c r="A173" s="5" t="s">
        <v>696</v>
      </c>
      <c r="B173" s="5" t="s">
        <v>73</v>
      </c>
      <c r="C173" s="9" t="s">
        <v>697</v>
      </c>
      <c r="D173" s="5">
        <v>1</v>
      </c>
      <c r="E173" s="9" t="s">
        <v>10156</v>
      </c>
      <c r="F173" s="9" t="s">
        <v>11118</v>
      </c>
      <c r="G173" s="9" t="str">
        <f>HYPERLINK("https://seichotoushi-hojo.jp/assets/pdf/koufu/outline_17.pdf","PDFを開く")</f>
        <v>PDFを開く</v>
      </c>
    </row>
    <row r="174" spans="1:7" ht="87.95" customHeight="1">
      <c r="A174" s="2" t="s">
        <v>696</v>
      </c>
      <c r="B174" s="2" t="s">
        <v>73</v>
      </c>
      <c r="C174" s="8" t="s">
        <v>697</v>
      </c>
      <c r="D174" s="2">
        <v>2</v>
      </c>
      <c r="E174" s="8" t="s">
        <v>10165</v>
      </c>
      <c r="F174" s="8" t="s">
        <v>11119</v>
      </c>
      <c r="G174" s="8" t="str">
        <f>HYPERLINK("https://seichotoushi-hojo.jp/assets/pdf/koufu/outline_17.pdf","PDFを開く")</f>
        <v>PDFを開く</v>
      </c>
    </row>
    <row r="175" spans="1:7" ht="87.95" customHeight="1">
      <c r="A175" s="5" t="s">
        <v>705</v>
      </c>
      <c r="B175" s="5" t="s">
        <v>73</v>
      </c>
      <c r="C175" s="9" t="s">
        <v>706</v>
      </c>
      <c r="D175" s="5">
        <v>1</v>
      </c>
      <c r="E175" s="9" t="s">
        <v>10156</v>
      </c>
      <c r="F175" s="9" t="s">
        <v>11120</v>
      </c>
      <c r="G175" s="9" t="str">
        <f>HYPERLINK("https://seichotoushi-hojo.jp/assets/pdf/koufu/outline_170.pdf","PDFを開く")</f>
        <v>PDFを開く</v>
      </c>
    </row>
    <row r="176" spans="1:7" ht="87.95" customHeight="1">
      <c r="A176" s="2" t="s">
        <v>705</v>
      </c>
      <c r="B176" s="2" t="s">
        <v>73</v>
      </c>
      <c r="C176" s="8" t="s">
        <v>706</v>
      </c>
      <c r="D176" s="2">
        <v>2</v>
      </c>
      <c r="E176" s="8" t="s">
        <v>10165</v>
      </c>
      <c r="F176" s="8" t="s">
        <v>11121</v>
      </c>
      <c r="G176" s="8" t="str">
        <f>HYPERLINK("https://seichotoushi-hojo.jp/assets/pdf/koufu/outline_170.pdf","PDFを開く")</f>
        <v>PDFを開く</v>
      </c>
    </row>
    <row r="177" spans="1:7" ht="87.95" customHeight="1">
      <c r="A177" s="5" t="s">
        <v>713</v>
      </c>
      <c r="B177" s="5" t="s">
        <v>73</v>
      </c>
      <c r="C177" s="9" t="s">
        <v>714</v>
      </c>
      <c r="D177" s="5">
        <v>1</v>
      </c>
      <c r="E177" s="9" t="s">
        <v>10156</v>
      </c>
      <c r="F177" s="9" t="s">
        <v>11122</v>
      </c>
      <c r="G177" s="9" t="str">
        <f>HYPERLINK("https://seichotoushi-hojo.jp/assets/pdf/koufu/outline_171.pdf","PDFを開く")</f>
        <v>PDFを開く</v>
      </c>
    </row>
    <row r="178" spans="1:7" ht="87.95" customHeight="1">
      <c r="A178" s="2" t="s">
        <v>713</v>
      </c>
      <c r="B178" s="2" t="s">
        <v>73</v>
      </c>
      <c r="C178" s="8" t="s">
        <v>714</v>
      </c>
      <c r="D178" s="2">
        <v>2</v>
      </c>
      <c r="E178" s="8" t="s">
        <v>10165</v>
      </c>
      <c r="F178" s="8" t="s">
        <v>11123</v>
      </c>
      <c r="G178" s="8" t="str">
        <f>HYPERLINK("https://seichotoushi-hojo.jp/assets/pdf/koufu/outline_171.pdf","PDFを開く")</f>
        <v>PDFを開く</v>
      </c>
    </row>
    <row r="179" spans="1:7" ht="87.95" customHeight="1">
      <c r="A179" s="5" t="s">
        <v>720</v>
      </c>
      <c r="B179" s="5" t="s">
        <v>73</v>
      </c>
      <c r="C179" s="9" t="s">
        <v>721</v>
      </c>
      <c r="D179" s="5">
        <v>1</v>
      </c>
      <c r="E179" s="9" t="s">
        <v>10156</v>
      </c>
      <c r="F179" s="9" t="s">
        <v>11124</v>
      </c>
      <c r="G179" s="9" t="str">
        <f>HYPERLINK("https://seichotoushi-hojo.jp/assets/pdf/koufu/outline_173.pdf","PDFを開く")</f>
        <v>PDFを開く</v>
      </c>
    </row>
    <row r="180" spans="1:7" ht="87.95" customHeight="1">
      <c r="A180" s="2" t="s">
        <v>720</v>
      </c>
      <c r="B180" s="2" t="s">
        <v>73</v>
      </c>
      <c r="C180" s="8" t="s">
        <v>721</v>
      </c>
      <c r="D180" s="2">
        <v>2</v>
      </c>
      <c r="E180" s="8" t="s">
        <v>10165</v>
      </c>
      <c r="F180" s="8" t="s">
        <v>11125</v>
      </c>
      <c r="G180" s="8" t="str">
        <f>HYPERLINK("https://seichotoushi-hojo.jp/assets/pdf/koufu/outline_173.pdf","PDFを開く")</f>
        <v>PDFを開く</v>
      </c>
    </row>
    <row r="181" spans="1:7" ht="87.95" customHeight="1">
      <c r="A181" s="5" t="s">
        <v>728</v>
      </c>
      <c r="B181" s="5" t="s">
        <v>73</v>
      </c>
      <c r="C181" s="9" t="s">
        <v>729</v>
      </c>
      <c r="D181" s="5">
        <v>1</v>
      </c>
      <c r="E181" s="9" t="s">
        <v>10156</v>
      </c>
      <c r="F181" s="9" t="s">
        <v>11126</v>
      </c>
      <c r="G181" s="9" t="str">
        <f t="shared" ref="G181:G187" si="2">HYPERLINK("https://seichotoushi-hojo.jp/assets/pdf/koufu/outline_174.pdf","PDFを開く")</f>
        <v>PDFを開く</v>
      </c>
    </row>
    <row r="182" spans="1:7" ht="87.95" customHeight="1">
      <c r="A182" s="2" t="s">
        <v>728</v>
      </c>
      <c r="B182" s="2" t="s">
        <v>73</v>
      </c>
      <c r="C182" s="8" t="s">
        <v>729</v>
      </c>
      <c r="D182" s="2">
        <v>2</v>
      </c>
      <c r="E182" s="8" t="s">
        <v>10156</v>
      </c>
      <c r="F182" s="8" t="s">
        <v>11127</v>
      </c>
      <c r="G182" s="8" t="str">
        <f t="shared" si="2"/>
        <v>PDFを開く</v>
      </c>
    </row>
    <row r="183" spans="1:7" ht="87.95" customHeight="1">
      <c r="A183" s="5" t="s">
        <v>728</v>
      </c>
      <c r="B183" s="5" t="s">
        <v>73</v>
      </c>
      <c r="C183" s="9" t="s">
        <v>729</v>
      </c>
      <c r="D183" s="5">
        <v>3</v>
      </c>
      <c r="E183" s="9" t="s">
        <v>10165</v>
      </c>
      <c r="F183" s="9" t="s">
        <v>11128</v>
      </c>
      <c r="G183" s="9" t="str">
        <f t="shared" si="2"/>
        <v>PDFを開く</v>
      </c>
    </row>
    <row r="184" spans="1:7" ht="87.95" customHeight="1">
      <c r="A184" s="2" t="s">
        <v>728</v>
      </c>
      <c r="B184" s="2" t="s">
        <v>73</v>
      </c>
      <c r="C184" s="8" t="s">
        <v>729</v>
      </c>
      <c r="D184" s="2">
        <v>4</v>
      </c>
      <c r="E184" s="8" t="s">
        <v>10165</v>
      </c>
      <c r="F184" s="8" t="s">
        <v>11129</v>
      </c>
      <c r="G184" s="8" t="str">
        <f t="shared" si="2"/>
        <v>PDFを開く</v>
      </c>
    </row>
    <row r="185" spans="1:7" ht="87.95" customHeight="1">
      <c r="A185" s="5" t="s">
        <v>728</v>
      </c>
      <c r="B185" s="5" t="s">
        <v>73</v>
      </c>
      <c r="C185" s="9" t="s">
        <v>729</v>
      </c>
      <c r="D185" s="5">
        <v>5</v>
      </c>
      <c r="E185" s="9" t="s">
        <v>10165</v>
      </c>
      <c r="F185" s="9" t="s">
        <v>11130</v>
      </c>
      <c r="G185" s="9" t="str">
        <f t="shared" si="2"/>
        <v>PDFを開く</v>
      </c>
    </row>
    <row r="186" spans="1:7" ht="87.95" customHeight="1">
      <c r="A186" s="2" t="s">
        <v>728</v>
      </c>
      <c r="B186" s="2" t="s">
        <v>73</v>
      </c>
      <c r="C186" s="8" t="s">
        <v>729</v>
      </c>
      <c r="D186" s="2">
        <v>6</v>
      </c>
      <c r="E186" s="8" t="s">
        <v>10165</v>
      </c>
      <c r="F186" s="8" t="s">
        <v>11131</v>
      </c>
      <c r="G186" s="8" t="str">
        <f t="shared" si="2"/>
        <v>PDFを開く</v>
      </c>
    </row>
    <row r="187" spans="1:7" ht="87.95" customHeight="1">
      <c r="A187" s="5" t="s">
        <v>728</v>
      </c>
      <c r="B187" s="5" t="s">
        <v>73</v>
      </c>
      <c r="C187" s="9" t="s">
        <v>729</v>
      </c>
      <c r="D187" s="5">
        <v>7</v>
      </c>
      <c r="E187" s="9" t="s">
        <v>10165</v>
      </c>
      <c r="F187" s="9" t="s">
        <v>11132</v>
      </c>
      <c r="G187" s="9" t="str">
        <f t="shared" si="2"/>
        <v>PDFを開く</v>
      </c>
    </row>
    <row r="188" spans="1:7" ht="87.95" customHeight="1">
      <c r="A188" s="2" t="s">
        <v>736</v>
      </c>
      <c r="B188" s="2" t="s">
        <v>73</v>
      </c>
      <c r="C188" s="8" t="s">
        <v>737</v>
      </c>
      <c r="D188" s="2">
        <v>1</v>
      </c>
      <c r="E188" s="8" t="s">
        <v>10156</v>
      </c>
      <c r="F188" s="8" t="s">
        <v>11133</v>
      </c>
      <c r="G188" s="8" t="str">
        <f>HYPERLINK("https://seichotoushi-hojo.jp/assets/pdf/koufu/outline_177.pdf","PDFを開く")</f>
        <v>PDFを開く</v>
      </c>
    </row>
    <row r="189" spans="1:7" ht="87.95" customHeight="1">
      <c r="A189" s="5" t="s">
        <v>736</v>
      </c>
      <c r="B189" s="5" t="s">
        <v>73</v>
      </c>
      <c r="C189" s="9" t="s">
        <v>737</v>
      </c>
      <c r="D189" s="5">
        <v>2</v>
      </c>
      <c r="E189" s="9" t="s">
        <v>10165</v>
      </c>
      <c r="F189" s="9" t="s">
        <v>11134</v>
      </c>
      <c r="G189" s="9" t="str">
        <f>HYPERLINK("https://seichotoushi-hojo.jp/assets/pdf/koufu/outline_177.pdf","PDFを開く")</f>
        <v>PDFを開く</v>
      </c>
    </row>
    <row r="190" spans="1:7" ht="87.95" customHeight="1">
      <c r="A190" s="2" t="s">
        <v>745</v>
      </c>
      <c r="B190" s="2" t="s">
        <v>73</v>
      </c>
      <c r="C190" s="8" t="s">
        <v>746</v>
      </c>
      <c r="D190" s="2">
        <v>1</v>
      </c>
      <c r="E190" s="8" t="s">
        <v>10156</v>
      </c>
      <c r="F190" s="8" t="s">
        <v>11135</v>
      </c>
      <c r="G190" s="8" t="str">
        <f>HYPERLINK("https://seichotoushi-hojo.jp/assets/pdf/koufu/outline_19.pdf","PDFを開く")</f>
        <v>PDFを開く</v>
      </c>
    </row>
    <row r="191" spans="1:7" ht="87.95" customHeight="1">
      <c r="A191" s="5" t="s">
        <v>745</v>
      </c>
      <c r="B191" s="5" t="s">
        <v>73</v>
      </c>
      <c r="C191" s="9" t="s">
        <v>746</v>
      </c>
      <c r="D191" s="5">
        <v>2</v>
      </c>
      <c r="E191" s="9" t="s">
        <v>10165</v>
      </c>
      <c r="F191" s="9" t="s">
        <v>11136</v>
      </c>
      <c r="G191" s="9" t="str">
        <f>HYPERLINK("https://seichotoushi-hojo.jp/assets/pdf/koufu/outline_19.pdf","PDFを開く")</f>
        <v>PDFを開く</v>
      </c>
    </row>
    <row r="192" spans="1:7" ht="87.95" customHeight="1">
      <c r="A192" s="2" t="s">
        <v>753</v>
      </c>
      <c r="B192" s="2" t="s">
        <v>73</v>
      </c>
      <c r="C192" s="8" t="s">
        <v>754</v>
      </c>
      <c r="D192" s="2">
        <v>1</v>
      </c>
      <c r="E192" s="8" t="s">
        <v>10156</v>
      </c>
      <c r="F192" s="8" t="s">
        <v>11137</v>
      </c>
      <c r="G192" s="8" t="str">
        <f>HYPERLINK("https://seichotoushi-hojo.jp/assets/pdf/koufu/outline_2.pdf","PDFを開く")</f>
        <v>PDFを開く</v>
      </c>
    </row>
    <row r="193" spans="1:7" ht="87.95" customHeight="1">
      <c r="A193" s="5" t="s">
        <v>753</v>
      </c>
      <c r="B193" s="5" t="s">
        <v>73</v>
      </c>
      <c r="C193" s="9" t="s">
        <v>754</v>
      </c>
      <c r="D193" s="5">
        <v>2</v>
      </c>
      <c r="E193" s="9" t="s">
        <v>10165</v>
      </c>
      <c r="F193" s="9" t="s">
        <v>11138</v>
      </c>
      <c r="G193" s="9" t="str">
        <f>HYPERLINK("https://seichotoushi-hojo.jp/assets/pdf/koufu/outline_2.pdf","PDFを開く")</f>
        <v>PDFを開く</v>
      </c>
    </row>
    <row r="194" spans="1:7" ht="87.95" customHeight="1">
      <c r="A194" s="2" t="s">
        <v>761</v>
      </c>
      <c r="B194" s="2" t="s">
        <v>73</v>
      </c>
      <c r="C194" s="8" t="s">
        <v>762</v>
      </c>
      <c r="D194" s="2">
        <v>1</v>
      </c>
      <c r="E194" s="8" t="s">
        <v>10156</v>
      </c>
      <c r="F194" s="8" t="s">
        <v>11139</v>
      </c>
      <c r="G194" s="8" t="str">
        <f>HYPERLINK("https://seichotoushi-hojo.jp/assets/pdf/koufu/outline_20.pdf","PDFを開く")</f>
        <v>PDFを開く</v>
      </c>
    </row>
    <row r="195" spans="1:7" ht="87.95" customHeight="1">
      <c r="A195" s="5" t="s">
        <v>761</v>
      </c>
      <c r="B195" s="5" t="s">
        <v>73</v>
      </c>
      <c r="C195" s="9" t="s">
        <v>762</v>
      </c>
      <c r="D195" s="5">
        <v>2</v>
      </c>
      <c r="E195" s="9" t="s">
        <v>10165</v>
      </c>
      <c r="F195" s="9" t="s">
        <v>11140</v>
      </c>
      <c r="G195" s="9" t="str">
        <f>HYPERLINK("https://seichotoushi-hojo.jp/assets/pdf/koufu/outline_20.pdf","PDFを開く")</f>
        <v>PDFを開く</v>
      </c>
    </row>
    <row r="196" spans="1:7" ht="87.95" customHeight="1">
      <c r="A196" s="2" t="s">
        <v>769</v>
      </c>
      <c r="B196" s="2" t="s">
        <v>73</v>
      </c>
      <c r="C196" s="8" t="s">
        <v>770</v>
      </c>
      <c r="D196" s="2">
        <v>1</v>
      </c>
      <c r="E196" s="8" t="s">
        <v>10156</v>
      </c>
      <c r="F196" s="8" t="s">
        <v>11141</v>
      </c>
      <c r="G196" s="8" t="str">
        <f>HYPERLINK("https://seichotoushi-hojo.jp/assets/pdf/koufu/outline_21.pdf","PDFを開く")</f>
        <v>PDFを開く</v>
      </c>
    </row>
    <row r="197" spans="1:7" ht="87.95" customHeight="1">
      <c r="A197" s="5" t="s">
        <v>769</v>
      </c>
      <c r="B197" s="5" t="s">
        <v>73</v>
      </c>
      <c r="C197" s="9" t="s">
        <v>770</v>
      </c>
      <c r="D197" s="5">
        <v>2</v>
      </c>
      <c r="E197" s="9" t="s">
        <v>10165</v>
      </c>
      <c r="F197" s="9" t="s">
        <v>11142</v>
      </c>
      <c r="G197" s="9" t="str">
        <f>HYPERLINK("https://seichotoushi-hojo.jp/assets/pdf/koufu/outline_21.pdf","PDFを開く")</f>
        <v>PDFを開く</v>
      </c>
    </row>
    <row r="198" spans="1:7" ht="87.95" customHeight="1">
      <c r="A198" s="2" t="s">
        <v>778</v>
      </c>
      <c r="B198" s="2" t="s">
        <v>73</v>
      </c>
      <c r="C198" s="8" t="s">
        <v>779</v>
      </c>
      <c r="D198" s="2">
        <v>1</v>
      </c>
      <c r="E198" s="8" t="s">
        <v>10156</v>
      </c>
      <c r="F198" s="8" t="s">
        <v>11143</v>
      </c>
      <c r="G198" s="8" t="str">
        <f>HYPERLINK("https://seichotoushi-hojo.jp/assets/pdf/koufu/outline_22.pdf","PDFを開く")</f>
        <v>PDFを開く</v>
      </c>
    </row>
    <row r="199" spans="1:7" ht="87.95" customHeight="1">
      <c r="A199" s="5" t="s">
        <v>778</v>
      </c>
      <c r="B199" s="5" t="s">
        <v>73</v>
      </c>
      <c r="C199" s="9" t="s">
        <v>779</v>
      </c>
      <c r="D199" s="5">
        <v>2</v>
      </c>
      <c r="E199" s="9" t="s">
        <v>10165</v>
      </c>
      <c r="F199" s="9" t="s">
        <v>11144</v>
      </c>
      <c r="G199" s="9" t="str">
        <f>HYPERLINK("https://seichotoushi-hojo.jp/assets/pdf/koufu/outline_22.pdf","PDFを開く")</f>
        <v>PDFを開く</v>
      </c>
    </row>
    <row r="200" spans="1:7" ht="87.95" customHeight="1">
      <c r="A200" s="2" t="s">
        <v>784</v>
      </c>
      <c r="B200" s="2" t="s">
        <v>73</v>
      </c>
      <c r="C200" s="8" t="s">
        <v>785</v>
      </c>
      <c r="D200" s="2">
        <v>1</v>
      </c>
      <c r="E200" s="8" t="s">
        <v>10156</v>
      </c>
      <c r="F200" s="8" t="s">
        <v>11145</v>
      </c>
      <c r="G200" s="8" t="str">
        <f>HYPERLINK("https://seichotoushi-hojo.jp/assets/pdf/koufu/outline_23.pdf","PDFを開く")</f>
        <v>PDFを開く</v>
      </c>
    </row>
    <row r="201" spans="1:7" ht="87.95" customHeight="1">
      <c r="A201" s="5" t="s">
        <v>784</v>
      </c>
      <c r="B201" s="5" t="s">
        <v>73</v>
      </c>
      <c r="C201" s="9" t="s">
        <v>785</v>
      </c>
      <c r="D201" s="5">
        <v>2</v>
      </c>
      <c r="E201" s="9" t="s">
        <v>10165</v>
      </c>
      <c r="F201" s="9" t="s">
        <v>11146</v>
      </c>
      <c r="G201" s="9" t="str">
        <f>HYPERLINK("https://seichotoushi-hojo.jp/assets/pdf/koufu/outline_23.pdf","PDFを開く")</f>
        <v>PDFを開く</v>
      </c>
    </row>
    <row r="202" spans="1:7" ht="87.95" customHeight="1">
      <c r="A202" s="2" t="s">
        <v>792</v>
      </c>
      <c r="B202" s="2" t="s">
        <v>73</v>
      </c>
      <c r="C202" s="8" t="s">
        <v>793</v>
      </c>
      <c r="D202" s="2">
        <v>1</v>
      </c>
      <c r="E202" s="8" t="s">
        <v>10156</v>
      </c>
      <c r="F202" s="8" t="s">
        <v>11147</v>
      </c>
      <c r="G202" s="8" t="str">
        <f>HYPERLINK("https://seichotoushi-hojo.jp/assets/pdf/koufu/outline_24.pdf","PDFを開く")</f>
        <v>PDFを開く</v>
      </c>
    </row>
    <row r="203" spans="1:7" ht="87.95" customHeight="1">
      <c r="A203" s="5" t="s">
        <v>792</v>
      </c>
      <c r="B203" s="5" t="s">
        <v>73</v>
      </c>
      <c r="C203" s="9" t="s">
        <v>793</v>
      </c>
      <c r="D203" s="5">
        <v>2</v>
      </c>
      <c r="E203" s="9" t="s">
        <v>10165</v>
      </c>
      <c r="F203" s="9" t="s">
        <v>11148</v>
      </c>
      <c r="G203" s="9" t="str">
        <f>HYPERLINK("https://seichotoushi-hojo.jp/assets/pdf/koufu/outline_24.pdf","PDFを開く")</f>
        <v>PDFを開く</v>
      </c>
    </row>
    <row r="204" spans="1:7" ht="87.95" customHeight="1">
      <c r="A204" s="2" t="s">
        <v>800</v>
      </c>
      <c r="B204" s="2" t="s">
        <v>73</v>
      </c>
      <c r="C204" s="8" t="s">
        <v>801</v>
      </c>
      <c r="D204" s="2">
        <v>1</v>
      </c>
      <c r="E204" s="8" t="s">
        <v>10156</v>
      </c>
      <c r="F204" s="8" t="s">
        <v>11149</v>
      </c>
      <c r="G204" s="8" t="str">
        <f>HYPERLINK("https://seichotoushi-hojo.jp/assets/pdf/koufu/outline_25.pdf","PDFを開く")</f>
        <v>PDFを開く</v>
      </c>
    </row>
    <row r="205" spans="1:7" ht="87.95" customHeight="1">
      <c r="A205" s="5" t="s">
        <v>800</v>
      </c>
      <c r="B205" s="5" t="s">
        <v>73</v>
      </c>
      <c r="C205" s="9" t="s">
        <v>801</v>
      </c>
      <c r="D205" s="5">
        <v>2</v>
      </c>
      <c r="E205" s="9" t="s">
        <v>10165</v>
      </c>
      <c r="F205" s="9" t="s">
        <v>11150</v>
      </c>
      <c r="G205" s="9" t="str">
        <f>HYPERLINK("https://seichotoushi-hojo.jp/assets/pdf/koufu/outline_25.pdf","PDFを開く")</f>
        <v>PDFを開く</v>
      </c>
    </row>
    <row r="206" spans="1:7" ht="87.95" customHeight="1">
      <c r="A206" s="2" t="s">
        <v>808</v>
      </c>
      <c r="B206" s="2" t="s">
        <v>73</v>
      </c>
      <c r="C206" s="8" t="s">
        <v>809</v>
      </c>
      <c r="D206" s="2">
        <v>1</v>
      </c>
      <c r="E206" s="8" t="s">
        <v>10156</v>
      </c>
      <c r="F206" s="8" t="s">
        <v>11151</v>
      </c>
      <c r="G206" s="8" t="str">
        <f>HYPERLINK("https://seichotoushi-hojo.jp/assets/pdf/koufu/outline_26.pdf","PDFを開く")</f>
        <v>PDFを開く</v>
      </c>
    </row>
    <row r="207" spans="1:7" ht="87.95" customHeight="1">
      <c r="A207" s="5" t="s">
        <v>808</v>
      </c>
      <c r="B207" s="5" t="s">
        <v>73</v>
      </c>
      <c r="C207" s="9" t="s">
        <v>809</v>
      </c>
      <c r="D207" s="5">
        <v>2</v>
      </c>
      <c r="E207" s="9" t="s">
        <v>10165</v>
      </c>
      <c r="F207" s="9" t="s">
        <v>11152</v>
      </c>
      <c r="G207" s="9" t="str">
        <f>HYPERLINK("https://seichotoushi-hojo.jp/assets/pdf/koufu/outline_26.pdf","PDFを開く")</f>
        <v>PDFを開く</v>
      </c>
    </row>
    <row r="208" spans="1:7" ht="87.95" customHeight="1">
      <c r="A208" s="2" t="s">
        <v>816</v>
      </c>
      <c r="B208" s="2" t="s">
        <v>73</v>
      </c>
      <c r="C208" s="8" t="s">
        <v>817</v>
      </c>
      <c r="D208" s="2">
        <v>1</v>
      </c>
      <c r="E208" s="8" t="s">
        <v>10156</v>
      </c>
      <c r="F208" s="8" t="s">
        <v>11153</v>
      </c>
      <c r="G208" s="8" t="str">
        <f>HYPERLINK("https://seichotoushi-hojo.jp/assets/pdf/koufu/outline_27.pdf","PDFを開く")</f>
        <v>PDFを開く</v>
      </c>
    </row>
    <row r="209" spans="1:7" ht="87.95" customHeight="1">
      <c r="A209" s="5" t="s">
        <v>816</v>
      </c>
      <c r="B209" s="5" t="s">
        <v>73</v>
      </c>
      <c r="C209" s="9" t="s">
        <v>817</v>
      </c>
      <c r="D209" s="5">
        <v>2</v>
      </c>
      <c r="E209" s="9" t="s">
        <v>10165</v>
      </c>
      <c r="F209" s="9" t="s">
        <v>11154</v>
      </c>
      <c r="G209" s="9" t="str">
        <f>HYPERLINK("https://seichotoushi-hojo.jp/assets/pdf/koufu/outline_27.pdf","PDFを開く")</f>
        <v>PDFを開く</v>
      </c>
    </row>
    <row r="210" spans="1:7" ht="87.95" customHeight="1">
      <c r="A210" s="2" t="s">
        <v>825</v>
      </c>
      <c r="B210" s="2" t="s">
        <v>73</v>
      </c>
      <c r="C210" s="8" t="s">
        <v>826</v>
      </c>
      <c r="D210" s="2">
        <v>1</v>
      </c>
      <c r="E210" s="8" t="s">
        <v>10156</v>
      </c>
      <c r="F210" s="8" t="s">
        <v>11155</v>
      </c>
      <c r="G210" s="8" t="str">
        <f>HYPERLINK("https://seichotoushi-hojo.jp/assets/pdf/koufu/outline_28.pdf","PDFを開く")</f>
        <v>PDFを開く</v>
      </c>
    </row>
    <row r="211" spans="1:7" ht="87.95" customHeight="1">
      <c r="A211" s="5" t="s">
        <v>825</v>
      </c>
      <c r="B211" s="5" t="s">
        <v>73</v>
      </c>
      <c r="C211" s="9" t="s">
        <v>826</v>
      </c>
      <c r="D211" s="5">
        <v>2</v>
      </c>
      <c r="E211" s="9" t="s">
        <v>10165</v>
      </c>
      <c r="F211" s="9" t="s">
        <v>11156</v>
      </c>
      <c r="G211" s="9" t="str">
        <f>HYPERLINK("https://seichotoushi-hojo.jp/assets/pdf/koufu/outline_28.pdf","PDFを開く")</f>
        <v>PDFを開く</v>
      </c>
    </row>
    <row r="212" spans="1:7" ht="87.95" customHeight="1">
      <c r="A212" s="2" t="s">
        <v>832</v>
      </c>
      <c r="B212" s="2" t="s">
        <v>73</v>
      </c>
      <c r="C212" s="8" t="s">
        <v>833</v>
      </c>
      <c r="D212" s="2">
        <v>1</v>
      </c>
      <c r="E212" s="8" t="s">
        <v>10156</v>
      </c>
      <c r="F212" s="8" t="s">
        <v>11157</v>
      </c>
      <c r="G212" s="8" t="str">
        <f>HYPERLINK("https://seichotoushi-hojo.jp/assets/pdf/koufu/outline_29.pdf","PDFを開く")</f>
        <v>PDFを開く</v>
      </c>
    </row>
    <row r="213" spans="1:7" ht="87.95" customHeight="1">
      <c r="A213" s="5" t="s">
        <v>832</v>
      </c>
      <c r="B213" s="5" t="s">
        <v>73</v>
      </c>
      <c r="C213" s="9" t="s">
        <v>833</v>
      </c>
      <c r="D213" s="5">
        <v>2</v>
      </c>
      <c r="E213" s="9" t="s">
        <v>10165</v>
      </c>
      <c r="F213" s="9" t="s">
        <v>11158</v>
      </c>
      <c r="G213" s="9" t="str">
        <f>HYPERLINK("https://seichotoushi-hojo.jp/assets/pdf/koufu/outline_29.pdf","PDFを開く")</f>
        <v>PDFを開く</v>
      </c>
    </row>
    <row r="214" spans="1:7" ht="87.95" customHeight="1">
      <c r="A214" s="2" t="s">
        <v>832</v>
      </c>
      <c r="B214" s="2" t="s">
        <v>73</v>
      </c>
      <c r="C214" s="8" t="s">
        <v>833</v>
      </c>
      <c r="D214" s="2">
        <v>3</v>
      </c>
      <c r="E214" s="8" t="s">
        <v>10165</v>
      </c>
      <c r="F214" s="8" t="s">
        <v>11159</v>
      </c>
      <c r="G214" s="8" t="str">
        <f>HYPERLINK("https://seichotoushi-hojo.jp/assets/pdf/koufu/outline_29.pdf","PDFを開く")</f>
        <v>PDFを開く</v>
      </c>
    </row>
    <row r="215" spans="1:7" ht="87.95" customHeight="1">
      <c r="A215" s="5" t="s">
        <v>839</v>
      </c>
      <c r="B215" s="5" t="s">
        <v>73</v>
      </c>
      <c r="C215" s="9" t="s">
        <v>840</v>
      </c>
      <c r="D215" s="5">
        <v>1</v>
      </c>
      <c r="E215" s="9" t="s">
        <v>10156</v>
      </c>
      <c r="F215" s="9" t="s">
        <v>11160</v>
      </c>
      <c r="G215" s="9" t="str">
        <f>HYPERLINK("https://seichotoushi-hojo.jp/assets/pdf/koufu/outline_3.pdf","PDFを開く")</f>
        <v>PDFを開く</v>
      </c>
    </row>
    <row r="216" spans="1:7" ht="87.95" customHeight="1">
      <c r="A216" s="2" t="s">
        <v>839</v>
      </c>
      <c r="B216" s="2" t="s">
        <v>73</v>
      </c>
      <c r="C216" s="8" t="s">
        <v>840</v>
      </c>
      <c r="D216" s="2">
        <v>2</v>
      </c>
      <c r="E216" s="8" t="s">
        <v>10165</v>
      </c>
      <c r="F216" s="8" t="s">
        <v>11161</v>
      </c>
      <c r="G216" s="8" t="str">
        <f>HYPERLINK("https://seichotoushi-hojo.jp/assets/pdf/koufu/outline_3.pdf","PDFを開く")</f>
        <v>PDFを開く</v>
      </c>
    </row>
    <row r="217" spans="1:7" ht="87.95" customHeight="1">
      <c r="A217" s="5" t="s">
        <v>847</v>
      </c>
      <c r="B217" s="5" t="s">
        <v>73</v>
      </c>
      <c r="C217" s="9" t="s">
        <v>848</v>
      </c>
      <c r="D217" s="5">
        <v>1</v>
      </c>
      <c r="E217" s="9" t="s">
        <v>10156</v>
      </c>
      <c r="F217" s="9" t="s">
        <v>11162</v>
      </c>
      <c r="G217" s="9" t="str">
        <f>HYPERLINK("https://seichotoushi-hojo.jp/assets/pdf/koufu/outline_30.pdf","PDFを開く")</f>
        <v>PDFを開く</v>
      </c>
    </row>
    <row r="218" spans="1:7" ht="87.95" customHeight="1">
      <c r="A218" s="2" t="s">
        <v>847</v>
      </c>
      <c r="B218" s="2" t="s">
        <v>73</v>
      </c>
      <c r="C218" s="8" t="s">
        <v>848</v>
      </c>
      <c r="D218" s="2">
        <v>2</v>
      </c>
      <c r="E218" s="8" t="s">
        <v>10165</v>
      </c>
      <c r="F218" s="8" t="s">
        <v>11163</v>
      </c>
      <c r="G218" s="8" t="str">
        <f>HYPERLINK("https://seichotoushi-hojo.jp/assets/pdf/koufu/outline_30.pdf","PDFを開く")</f>
        <v>PDFを開く</v>
      </c>
    </row>
    <row r="219" spans="1:7" ht="87.95" customHeight="1">
      <c r="A219" s="5" t="s">
        <v>856</v>
      </c>
      <c r="B219" s="5" t="s">
        <v>73</v>
      </c>
      <c r="C219" s="9" t="s">
        <v>857</v>
      </c>
      <c r="D219" s="5">
        <v>1</v>
      </c>
      <c r="E219" s="9" t="s">
        <v>10156</v>
      </c>
      <c r="F219" s="9" t="s">
        <v>11164</v>
      </c>
      <c r="G219" s="9" t="str">
        <f>HYPERLINK("https://seichotoushi-hojo.jp/assets/pdf/koufu/outline_31.pdf","PDFを開く")</f>
        <v>PDFを開く</v>
      </c>
    </row>
    <row r="220" spans="1:7" ht="87.95" customHeight="1">
      <c r="A220" s="2" t="s">
        <v>856</v>
      </c>
      <c r="B220" s="2" t="s">
        <v>73</v>
      </c>
      <c r="C220" s="8" t="s">
        <v>857</v>
      </c>
      <c r="D220" s="2">
        <v>2</v>
      </c>
      <c r="E220" s="8" t="s">
        <v>10165</v>
      </c>
      <c r="F220" s="8" t="s">
        <v>11165</v>
      </c>
      <c r="G220" s="8" t="str">
        <f>HYPERLINK("https://seichotoushi-hojo.jp/assets/pdf/koufu/outline_31.pdf","PDFを開く")</f>
        <v>PDFを開く</v>
      </c>
    </row>
    <row r="221" spans="1:7" ht="87.95" customHeight="1">
      <c r="A221" s="5" t="s">
        <v>864</v>
      </c>
      <c r="B221" s="5" t="s">
        <v>73</v>
      </c>
      <c r="C221" s="9" t="s">
        <v>865</v>
      </c>
      <c r="D221" s="5">
        <v>1</v>
      </c>
      <c r="E221" s="9" t="s">
        <v>10156</v>
      </c>
      <c r="F221" s="9" t="s">
        <v>11166</v>
      </c>
      <c r="G221" s="9" t="str">
        <f>HYPERLINK("https://seichotoushi-hojo.jp/assets/pdf/koufu/outline_32.pdf","PDFを開く")</f>
        <v>PDFを開く</v>
      </c>
    </row>
    <row r="222" spans="1:7" ht="87.95" customHeight="1">
      <c r="A222" s="2" t="s">
        <v>864</v>
      </c>
      <c r="B222" s="2" t="s">
        <v>73</v>
      </c>
      <c r="C222" s="8" t="s">
        <v>865</v>
      </c>
      <c r="D222" s="2">
        <v>2</v>
      </c>
      <c r="E222" s="8" t="s">
        <v>10165</v>
      </c>
      <c r="F222" s="8" t="s">
        <v>11167</v>
      </c>
      <c r="G222" s="8" t="str">
        <f>HYPERLINK("https://seichotoushi-hojo.jp/assets/pdf/koufu/outline_32.pdf","PDFを開く")</f>
        <v>PDFを開く</v>
      </c>
    </row>
    <row r="223" spans="1:7" ht="87.95" customHeight="1">
      <c r="A223" s="5" t="s">
        <v>872</v>
      </c>
      <c r="B223" s="5" t="s">
        <v>73</v>
      </c>
      <c r="C223" s="9" t="s">
        <v>873</v>
      </c>
      <c r="D223" s="5">
        <v>1</v>
      </c>
      <c r="E223" s="9" t="s">
        <v>10156</v>
      </c>
      <c r="F223" s="9" t="s">
        <v>11168</v>
      </c>
      <c r="G223" s="9" t="str">
        <f>HYPERLINK("https://seichotoushi-hojo.jp/assets/pdf/koufu/outline_33.pdf","PDFを開く")</f>
        <v>PDFを開く</v>
      </c>
    </row>
    <row r="224" spans="1:7" ht="87.95" customHeight="1">
      <c r="A224" s="2" t="s">
        <v>872</v>
      </c>
      <c r="B224" s="2" t="s">
        <v>73</v>
      </c>
      <c r="C224" s="8" t="s">
        <v>873</v>
      </c>
      <c r="D224" s="2">
        <v>2</v>
      </c>
      <c r="E224" s="8" t="s">
        <v>10165</v>
      </c>
      <c r="F224" s="8" t="s">
        <v>11169</v>
      </c>
      <c r="G224" s="8" t="str">
        <f>HYPERLINK("https://seichotoushi-hojo.jp/assets/pdf/koufu/outline_33.pdf","PDFを開く")</f>
        <v>PDFを開く</v>
      </c>
    </row>
    <row r="225" spans="1:7" ht="87.95" customHeight="1">
      <c r="A225" s="5" t="s">
        <v>879</v>
      </c>
      <c r="B225" s="5" t="s">
        <v>73</v>
      </c>
      <c r="C225" s="9" t="s">
        <v>880</v>
      </c>
      <c r="D225" s="5">
        <v>1</v>
      </c>
      <c r="E225" s="9" t="s">
        <v>10156</v>
      </c>
      <c r="F225" s="9" t="s">
        <v>11170</v>
      </c>
      <c r="G225" s="9" t="str">
        <f>HYPERLINK("https://seichotoushi-hojo.jp/assets/pdf/koufu/outline_34.pdf","PDFを開く")</f>
        <v>PDFを開く</v>
      </c>
    </row>
    <row r="226" spans="1:7" ht="87.95" customHeight="1">
      <c r="A226" s="2" t="s">
        <v>879</v>
      </c>
      <c r="B226" s="2" t="s">
        <v>73</v>
      </c>
      <c r="C226" s="8" t="s">
        <v>880</v>
      </c>
      <c r="D226" s="2">
        <v>2</v>
      </c>
      <c r="E226" s="8" t="s">
        <v>10165</v>
      </c>
      <c r="F226" s="8" t="s">
        <v>11171</v>
      </c>
      <c r="G226" s="8" t="str">
        <f>HYPERLINK("https://seichotoushi-hojo.jp/assets/pdf/koufu/outline_34.pdf","PDFを開く")</f>
        <v>PDFを開く</v>
      </c>
    </row>
    <row r="227" spans="1:7" ht="87.95" customHeight="1">
      <c r="A227" s="5" t="s">
        <v>887</v>
      </c>
      <c r="B227" s="5" t="s">
        <v>73</v>
      </c>
      <c r="C227" s="9" t="s">
        <v>888</v>
      </c>
      <c r="D227" s="5">
        <v>1</v>
      </c>
      <c r="E227" s="9" t="s">
        <v>10156</v>
      </c>
      <c r="F227" s="9" t="s">
        <v>11172</v>
      </c>
      <c r="G227" s="9" t="str">
        <f>HYPERLINK("https://seichotoushi-hojo.jp/assets/pdf/koufu/outline_35.pdf","PDFを開く")</f>
        <v>PDFを開く</v>
      </c>
    </row>
    <row r="228" spans="1:7" ht="87.95" customHeight="1">
      <c r="A228" s="2" t="s">
        <v>887</v>
      </c>
      <c r="B228" s="2" t="s">
        <v>73</v>
      </c>
      <c r="C228" s="8" t="s">
        <v>888</v>
      </c>
      <c r="D228" s="2">
        <v>2</v>
      </c>
      <c r="E228" s="8" t="s">
        <v>10165</v>
      </c>
      <c r="F228" s="8" t="s">
        <v>11173</v>
      </c>
      <c r="G228" s="8" t="str">
        <f>HYPERLINK("https://seichotoushi-hojo.jp/assets/pdf/koufu/outline_35.pdf","PDFを開く")</f>
        <v>PDFを開く</v>
      </c>
    </row>
    <row r="229" spans="1:7" ht="87.95" customHeight="1">
      <c r="A229" s="5" t="s">
        <v>894</v>
      </c>
      <c r="B229" s="5" t="s">
        <v>73</v>
      </c>
      <c r="C229" s="9" t="s">
        <v>895</v>
      </c>
      <c r="D229" s="5">
        <v>1</v>
      </c>
      <c r="E229" s="9" t="s">
        <v>10156</v>
      </c>
      <c r="F229" s="9" t="s">
        <v>11174</v>
      </c>
      <c r="G229" s="9" t="str">
        <f>HYPERLINK("https://seichotoushi-hojo.jp/assets/pdf/koufu/outline_36.pdf","PDFを開く")</f>
        <v>PDFを開く</v>
      </c>
    </row>
    <row r="230" spans="1:7" ht="87.95" customHeight="1">
      <c r="A230" s="2" t="s">
        <v>894</v>
      </c>
      <c r="B230" s="2" t="s">
        <v>73</v>
      </c>
      <c r="C230" s="8" t="s">
        <v>895</v>
      </c>
      <c r="D230" s="2">
        <v>2</v>
      </c>
      <c r="E230" s="8" t="s">
        <v>10165</v>
      </c>
      <c r="F230" s="8" t="s">
        <v>11175</v>
      </c>
      <c r="G230" s="8" t="str">
        <f>HYPERLINK("https://seichotoushi-hojo.jp/assets/pdf/koufu/outline_36.pdf","PDFを開く")</f>
        <v>PDFを開く</v>
      </c>
    </row>
    <row r="231" spans="1:7" ht="87.95" customHeight="1">
      <c r="A231" s="5" t="s">
        <v>901</v>
      </c>
      <c r="B231" s="5" t="s">
        <v>73</v>
      </c>
      <c r="C231" s="9" t="s">
        <v>902</v>
      </c>
      <c r="D231" s="5">
        <v>1</v>
      </c>
      <c r="E231" s="9" t="s">
        <v>10156</v>
      </c>
      <c r="F231" s="9" t="s">
        <v>11176</v>
      </c>
      <c r="G231" s="9" t="str">
        <f>HYPERLINK("https://seichotoushi-hojo.jp/assets/pdf/koufu/outline_37.pdf","PDFを開く")</f>
        <v>PDFを開く</v>
      </c>
    </row>
    <row r="232" spans="1:7" ht="87.95" customHeight="1">
      <c r="A232" s="2" t="s">
        <v>901</v>
      </c>
      <c r="B232" s="2" t="s">
        <v>73</v>
      </c>
      <c r="C232" s="8" t="s">
        <v>902</v>
      </c>
      <c r="D232" s="2">
        <v>2</v>
      </c>
      <c r="E232" s="8" t="s">
        <v>10165</v>
      </c>
      <c r="F232" s="8" t="s">
        <v>11177</v>
      </c>
      <c r="G232" s="8" t="str">
        <f>HYPERLINK("https://seichotoushi-hojo.jp/assets/pdf/koufu/outline_37.pdf","PDFを開く")</f>
        <v>PDFを開く</v>
      </c>
    </row>
    <row r="233" spans="1:7" ht="87.95" customHeight="1">
      <c r="A233" s="5" t="s">
        <v>909</v>
      </c>
      <c r="B233" s="5" t="s">
        <v>73</v>
      </c>
      <c r="C233" s="9" t="s">
        <v>910</v>
      </c>
      <c r="D233" s="5">
        <v>1</v>
      </c>
      <c r="E233" s="9" t="s">
        <v>10156</v>
      </c>
      <c r="F233" s="9" t="s">
        <v>11178</v>
      </c>
      <c r="G233" s="9" t="str">
        <f>HYPERLINK("https://seichotoushi-hojo.jp/assets/pdf/koufu/outline_38.pdf","PDFを開く")</f>
        <v>PDFを開く</v>
      </c>
    </row>
    <row r="234" spans="1:7" ht="87.95" customHeight="1">
      <c r="A234" s="2" t="s">
        <v>909</v>
      </c>
      <c r="B234" s="2" t="s">
        <v>73</v>
      </c>
      <c r="C234" s="8" t="s">
        <v>910</v>
      </c>
      <c r="D234" s="2">
        <v>2</v>
      </c>
      <c r="E234" s="8" t="s">
        <v>10165</v>
      </c>
      <c r="F234" s="8" t="s">
        <v>11179</v>
      </c>
      <c r="G234" s="8" t="str">
        <f>HYPERLINK("https://seichotoushi-hojo.jp/assets/pdf/koufu/outline_38.pdf","PDFを開く")</f>
        <v>PDFを開く</v>
      </c>
    </row>
    <row r="235" spans="1:7" ht="87.95" customHeight="1">
      <c r="A235" s="5" t="s">
        <v>915</v>
      </c>
      <c r="B235" s="5" t="s">
        <v>73</v>
      </c>
      <c r="C235" s="9" t="s">
        <v>916</v>
      </c>
      <c r="D235" s="5">
        <v>1</v>
      </c>
      <c r="E235" s="9" t="s">
        <v>10156</v>
      </c>
      <c r="F235" s="9" t="s">
        <v>11180</v>
      </c>
      <c r="G235" s="9" t="str">
        <f>HYPERLINK("https://seichotoushi-hojo.jp/assets/pdf/koufu/outline_39.pdf","PDFを開く")</f>
        <v>PDFを開く</v>
      </c>
    </row>
    <row r="236" spans="1:7" ht="87.95" customHeight="1">
      <c r="A236" s="2" t="s">
        <v>915</v>
      </c>
      <c r="B236" s="2" t="s">
        <v>73</v>
      </c>
      <c r="C236" s="8" t="s">
        <v>916</v>
      </c>
      <c r="D236" s="2">
        <v>2</v>
      </c>
      <c r="E236" s="8" t="s">
        <v>10165</v>
      </c>
      <c r="F236" s="8" t="s">
        <v>11181</v>
      </c>
      <c r="G236" s="8" t="str">
        <f>HYPERLINK("https://seichotoushi-hojo.jp/assets/pdf/koufu/outline_39.pdf","PDFを開く")</f>
        <v>PDFを開く</v>
      </c>
    </row>
    <row r="237" spans="1:7" ht="87.95" customHeight="1">
      <c r="A237" s="5" t="s">
        <v>924</v>
      </c>
      <c r="B237" s="5" t="s">
        <v>73</v>
      </c>
      <c r="C237" s="9" t="s">
        <v>925</v>
      </c>
      <c r="D237" s="5">
        <v>1</v>
      </c>
      <c r="E237" s="9" t="s">
        <v>10156</v>
      </c>
      <c r="F237" s="9" t="s">
        <v>11182</v>
      </c>
      <c r="G237" s="9" t="str">
        <f>HYPERLINK("https://seichotoushi-hojo.jp/assets/pdf/koufu/outline_4.pdf","PDFを開く")</f>
        <v>PDFを開く</v>
      </c>
    </row>
    <row r="238" spans="1:7" ht="87.95" customHeight="1">
      <c r="A238" s="2" t="s">
        <v>924</v>
      </c>
      <c r="B238" s="2" t="s">
        <v>73</v>
      </c>
      <c r="C238" s="8" t="s">
        <v>925</v>
      </c>
      <c r="D238" s="2">
        <v>2</v>
      </c>
      <c r="E238" s="8" t="s">
        <v>10165</v>
      </c>
      <c r="F238" s="8" t="s">
        <v>11183</v>
      </c>
      <c r="G238" s="8" t="str">
        <f>HYPERLINK("https://seichotoushi-hojo.jp/assets/pdf/koufu/outline_4.pdf","PDFを開く")</f>
        <v>PDFを開く</v>
      </c>
    </row>
    <row r="239" spans="1:7" ht="87.95" customHeight="1">
      <c r="A239" s="5" t="s">
        <v>931</v>
      </c>
      <c r="B239" s="5" t="s">
        <v>73</v>
      </c>
      <c r="C239" s="9" t="s">
        <v>932</v>
      </c>
      <c r="D239" s="5">
        <v>1</v>
      </c>
      <c r="E239" s="9" t="s">
        <v>10156</v>
      </c>
      <c r="F239" s="9" t="s">
        <v>11184</v>
      </c>
      <c r="G239" s="9" t="str">
        <f>HYPERLINK("https://seichotoushi-hojo.jp/assets/pdf/koufu/outline_40.pdf","PDFを開く")</f>
        <v>PDFを開く</v>
      </c>
    </row>
    <row r="240" spans="1:7" ht="87.95" customHeight="1">
      <c r="A240" s="2" t="s">
        <v>931</v>
      </c>
      <c r="B240" s="2" t="s">
        <v>73</v>
      </c>
      <c r="C240" s="8" t="s">
        <v>932</v>
      </c>
      <c r="D240" s="2">
        <v>2</v>
      </c>
      <c r="E240" s="8" t="s">
        <v>10165</v>
      </c>
      <c r="F240" s="8" t="s">
        <v>11185</v>
      </c>
      <c r="G240" s="8" t="str">
        <f>HYPERLINK("https://seichotoushi-hojo.jp/assets/pdf/koufu/outline_40.pdf","PDFを開く")</f>
        <v>PDFを開く</v>
      </c>
    </row>
    <row r="241" spans="1:7" ht="87.95" customHeight="1">
      <c r="A241" s="5" t="s">
        <v>940</v>
      </c>
      <c r="B241" s="5" t="s">
        <v>73</v>
      </c>
      <c r="C241" s="9" t="s">
        <v>941</v>
      </c>
      <c r="D241" s="5">
        <v>1</v>
      </c>
      <c r="E241" s="9" t="s">
        <v>10156</v>
      </c>
      <c r="F241" s="9" t="s">
        <v>11186</v>
      </c>
      <c r="G241" s="9" t="str">
        <f>HYPERLINK("https://seichotoushi-hojo.jp/assets/pdf/koufu/outline_41.pdf","PDFを開く")</f>
        <v>PDFを開く</v>
      </c>
    </row>
    <row r="242" spans="1:7" ht="87.95" customHeight="1">
      <c r="A242" s="2" t="s">
        <v>940</v>
      </c>
      <c r="B242" s="2" t="s">
        <v>73</v>
      </c>
      <c r="C242" s="8" t="s">
        <v>941</v>
      </c>
      <c r="D242" s="2">
        <v>2</v>
      </c>
      <c r="E242" s="8" t="s">
        <v>10165</v>
      </c>
      <c r="F242" s="8" t="s">
        <v>11187</v>
      </c>
      <c r="G242" s="8" t="str">
        <f>HYPERLINK("https://seichotoushi-hojo.jp/assets/pdf/koufu/outline_41.pdf","PDFを開く")</f>
        <v>PDFを開く</v>
      </c>
    </row>
    <row r="243" spans="1:7" ht="87.95" customHeight="1">
      <c r="A243" s="5" t="s">
        <v>948</v>
      </c>
      <c r="B243" s="5" t="s">
        <v>73</v>
      </c>
      <c r="C243" s="9" t="s">
        <v>949</v>
      </c>
      <c r="D243" s="5">
        <v>1</v>
      </c>
      <c r="E243" s="9" t="s">
        <v>10156</v>
      </c>
      <c r="F243" s="9" t="s">
        <v>11188</v>
      </c>
      <c r="G243" s="9" t="str">
        <f>HYPERLINK("https://seichotoushi-hojo.jp/assets/pdf/koufu/outline_42.pdf","PDFを開く")</f>
        <v>PDFを開く</v>
      </c>
    </row>
    <row r="244" spans="1:7" ht="87.95" customHeight="1">
      <c r="A244" s="2" t="s">
        <v>948</v>
      </c>
      <c r="B244" s="2" t="s">
        <v>73</v>
      </c>
      <c r="C244" s="8" t="s">
        <v>949</v>
      </c>
      <c r="D244" s="2">
        <v>2</v>
      </c>
      <c r="E244" s="8" t="s">
        <v>10165</v>
      </c>
      <c r="F244" s="8" t="s">
        <v>11189</v>
      </c>
      <c r="G244" s="8" t="str">
        <f>HYPERLINK("https://seichotoushi-hojo.jp/assets/pdf/koufu/outline_42.pdf","PDFを開く")</f>
        <v>PDFを開く</v>
      </c>
    </row>
    <row r="245" spans="1:7" ht="87.95" customHeight="1">
      <c r="A245" s="5" t="s">
        <v>955</v>
      </c>
      <c r="B245" s="5" t="s">
        <v>73</v>
      </c>
      <c r="C245" s="9" t="s">
        <v>956</v>
      </c>
      <c r="D245" s="5">
        <v>1</v>
      </c>
      <c r="E245" s="9" t="s">
        <v>10156</v>
      </c>
      <c r="F245" s="9" t="s">
        <v>11190</v>
      </c>
      <c r="G245" s="9" t="str">
        <f>HYPERLINK("https://seichotoushi-hojo.jp/assets/pdf/koufu/outline_43.pdf","PDFを開く")</f>
        <v>PDFを開く</v>
      </c>
    </row>
    <row r="246" spans="1:7" ht="87.95" customHeight="1">
      <c r="A246" s="2" t="s">
        <v>955</v>
      </c>
      <c r="B246" s="2" t="s">
        <v>73</v>
      </c>
      <c r="C246" s="8" t="s">
        <v>956</v>
      </c>
      <c r="D246" s="2">
        <v>2</v>
      </c>
      <c r="E246" s="8" t="s">
        <v>10165</v>
      </c>
      <c r="F246" s="8" t="s">
        <v>11191</v>
      </c>
      <c r="G246" s="8" t="str">
        <f>HYPERLINK("https://seichotoushi-hojo.jp/assets/pdf/koufu/outline_43.pdf","PDFを開く")</f>
        <v>PDFを開く</v>
      </c>
    </row>
    <row r="247" spans="1:7" ht="87.95" customHeight="1">
      <c r="A247" s="5" t="s">
        <v>955</v>
      </c>
      <c r="B247" s="5" t="s">
        <v>73</v>
      </c>
      <c r="C247" s="9" t="s">
        <v>956</v>
      </c>
      <c r="D247" s="5">
        <v>3</v>
      </c>
      <c r="E247" s="9" t="s">
        <v>10165</v>
      </c>
      <c r="F247" s="9" t="s">
        <v>11192</v>
      </c>
      <c r="G247" s="9" t="str">
        <f>HYPERLINK("https://seichotoushi-hojo.jp/assets/pdf/koufu/outline_43.pdf","PDFを開く")</f>
        <v>PDFを開く</v>
      </c>
    </row>
    <row r="248" spans="1:7" ht="87.95" customHeight="1">
      <c r="A248" s="2" t="s">
        <v>965</v>
      </c>
      <c r="B248" s="2" t="s">
        <v>73</v>
      </c>
      <c r="C248" s="8" t="s">
        <v>966</v>
      </c>
      <c r="D248" s="2">
        <v>1</v>
      </c>
      <c r="E248" s="8" t="s">
        <v>10156</v>
      </c>
      <c r="F248" s="8" t="s">
        <v>11193</v>
      </c>
      <c r="G248" s="8" t="str">
        <f>HYPERLINK("https://seichotoushi-hojo.jp/assets/pdf/koufu/outline_45.pdf","PDFを開く")</f>
        <v>PDFを開く</v>
      </c>
    </row>
    <row r="249" spans="1:7" ht="87.95" customHeight="1">
      <c r="A249" s="5" t="s">
        <v>965</v>
      </c>
      <c r="B249" s="5" t="s">
        <v>73</v>
      </c>
      <c r="C249" s="9" t="s">
        <v>966</v>
      </c>
      <c r="D249" s="5">
        <v>2</v>
      </c>
      <c r="E249" s="9" t="s">
        <v>10165</v>
      </c>
      <c r="F249" s="9" t="s">
        <v>11194</v>
      </c>
      <c r="G249" s="9" t="str">
        <f>HYPERLINK("https://seichotoushi-hojo.jp/assets/pdf/koufu/outline_45.pdf","PDFを開く")</f>
        <v>PDFを開く</v>
      </c>
    </row>
    <row r="250" spans="1:7" ht="87.95" customHeight="1">
      <c r="A250" s="2" t="s">
        <v>972</v>
      </c>
      <c r="B250" s="2" t="s">
        <v>73</v>
      </c>
      <c r="C250" s="8" t="s">
        <v>973</v>
      </c>
      <c r="D250" s="2">
        <v>1</v>
      </c>
      <c r="E250" s="8" t="s">
        <v>10156</v>
      </c>
      <c r="F250" s="8" t="s">
        <v>11195</v>
      </c>
      <c r="G250" s="8" t="str">
        <f>HYPERLINK("https://seichotoushi-hojo.jp/assets/pdf/koufu/outline_46.pdf","PDFを開く")</f>
        <v>PDFを開く</v>
      </c>
    </row>
    <row r="251" spans="1:7" ht="87.95" customHeight="1">
      <c r="A251" s="5" t="s">
        <v>972</v>
      </c>
      <c r="B251" s="5" t="s">
        <v>73</v>
      </c>
      <c r="C251" s="9" t="s">
        <v>973</v>
      </c>
      <c r="D251" s="5">
        <v>2</v>
      </c>
      <c r="E251" s="9" t="s">
        <v>10165</v>
      </c>
      <c r="F251" s="9" t="s">
        <v>11196</v>
      </c>
      <c r="G251" s="9" t="str">
        <f>HYPERLINK("https://seichotoushi-hojo.jp/assets/pdf/koufu/outline_46.pdf","PDFを開く")</f>
        <v>PDFを開く</v>
      </c>
    </row>
    <row r="252" spans="1:7" ht="87.95" customHeight="1">
      <c r="A252" s="2" t="s">
        <v>978</v>
      </c>
      <c r="B252" s="2" t="s">
        <v>73</v>
      </c>
      <c r="C252" s="8" t="s">
        <v>979</v>
      </c>
      <c r="D252" s="2">
        <v>1</v>
      </c>
      <c r="E252" s="8" t="s">
        <v>10156</v>
      </c>
      <c r="F252" s="8" t="s">
        <v>11197</v>
      </c>
      <c r="G252" s="8" t="str">
        <f>HYPERLINK("https://seichotoushi-hojo.jp/assets/pdf/koufu/outline_47.pdf","PDFを開く")</f>
        <v>PDFを開く</v>
      </c>
    </row>
    <row r="253" spans="1:7" ht="87.95" customHeight="1">
      <c r="A253" s="5" t="s">
        <v>978</v>
      </c>
      <c r="B253" s="5" t="s">
        <v>73</v>
      </c>
      <c r="C253" s="9" t="s">
        <v>979</v>
      </c>
      <c r="D253" s="5">
        <v>2</v>
      </c>
      <c r="E253" s="9" t="s">
        <v>10165</v>
      </c>
      <c r="F253" s="9" t="s">
        <v>11198</v>
      </c>
      <c r="G253" s="9" t="str">
        <f>HYPERLINK("https://seichotoushi-hojo.jp/assets/pdf/koufu/outline_47.pdf","PDFを開く")</f>
        <v>PDFを開く</v>
      </c>
    </row>
    <row r="254" spans="1:7" ht="87.95" customHeight="1">
      <c r="A254" s="2" t="s">
        <v>985</v>
      </c>
      <c r="B254" s="2" t="s">
        <v>73</v>
      </c>
      <c r="C254" s="8" t="s">
        <v>986</v>
      </c>
      <c r="D254" s="2">
        <v>1</v>
      </c>
      <c r="E254" s="8" t="s">
        <v>10156</v>
      </c>
      <c r="F254" s="8" t="s">
        <v>11199</v>
      </c>
      <c r="G254" s="8" t="str">
        <f>HYPERLINK("https://seichotoushi-hojo.jp/assets/pdf/koufu/outline_48.pdf","PDFを開く")</f>
        <v>PDFを開く</v>
      </c>
    </row>
    <row r="255" spans="1:7" ht="87.95" customHeight="1">
      <c r="A255" s="5" t="s">
        <v>985</v>
      </c>
      <c r="B255" s="5" t="s">
        <v>73</v>
      </c>
      <c r="C255" s="9" t="s">
        <v>986</v>
      </c>
      <c r="D255" s="5">
        <v>2</v>
      </c>
      <c r="E255" s="9" t="s">
        <v>10165</v>
      </c>
      <c r="F255" s="9" t="s">
        <v>11200</v>
      </c>
      <c r="G255" s="9" t="str">
        <f>HYPERLINK("https://seichotoushi-hojo.jp/assets/pdf/koufu/outline_48.pdf","PDFを開く")</f>
        <v>PDFを開く</v>
      </c>
    </row>
    <row r="256" spans="1:7" ht="87.95" customHeight="1">
      <c r="A256" s="2" t="s">
        <v>994</v>
      </c>
      <c r="B256" s="2" t="s">
        <v>73</v>
      </c>
      <c r="C256" s="8" t="s">
        <v>995</v>
      </c>
      <c r="D256" s="2">
        <v>1</v>
      </c>
      <c r="E256" s="8" t="s">
        <v>10156</v>
      </c>
      <c r="F256" s="8" t="s">
        <v>11201</v>
      </c>
      <c r="G256" s="8" t="str">
        <f>HYPERLINK("https://seichotoushi-hojo.jp/assets/pdf/koufu/outline_49.pdf","PDFを開く")</f>
        <v>PDFを開く</v>
      </c>
    </row>
    <row r="257" spans="1:7" ht="87.95" customHeight="1">
      <c r="A257" s="5" t="s">
        <v>994</v>
      </c>
      <c r="B257" s="5" t="s">
        <v>73</v>
      </c>
      <c r="C257" s="9" t="s">
        <v>995</v>
      </c>
      <c r="D257" s="5">
        <v>2</v>
      </c>
      <c r="E257" s="9" t="s">
        <v>10165</v>
      </c>
      <c r="F257" s="9" t="s">
        <v>11202</v>
      </c>
      <c r="G257" s="9" t="str">
        <f>HYPERLINK("https://seichotoushi-hojo.jp/assets/pdf/koufu/outline_49.pdf","PDFを開く")</f>
        <v>PDFを開く</v>
      </c>
    </row>
    <row r="258" spans="1:7" ht="87.95" customHeight="1">
      <c r="A258" s="2" t="s">
        <v>1003</v>
      </c>
      <c r="B258" s="2" t="s">
        <v>73</v>
      </c>
      <c r="C258" s="8" t="s">
        <v>1004</v>
      </c>
      <c r="D258" s="2">
        <v>1</v>
      </c>
      <c r="E258" s="8" t="s">
        <v>10156</v>
      </c>
      <c r="F258" s="8" t="s">
        <v>11203</v>
      </c>
      <c r="G258" s="8" t="str">
        <f>HYPERLINK("https://seichotoushi-hojo.jp/assets/pdf/koufu/outline_5.pdf","PDFを開く")</f>
        <v>PDFを開く</v>
      </c>
    </row>
    <row r="259" spans="1:7" ht="87.95" customHeight="1">
      <c r="A259" s="5" t="s">
        <v>1003</v>
      </c>
      <c r="B259" s="5" t="s">
        <v>73</v>
      </c>
      <c r="C259" s="9" t="s">
        <v>1004</v>
      </c>
      <c r="D259" s="5">
        <v>2</v>
      </c>
      <c r="E259" s="9" t="s">
        <v>10165</v>
      </c>
      <c r="F259" s="9" t="s">
        <v>11204</v>
      </c>
      <c r="G259" s="9" t="str">
        <f>HYPERLINK("https://seichotoushi-hojo.jp/assets/pdf/koufu/outline_5.pdf","PDFを開く")</f>
        <v>PDFを開く</v>
      </c>
    </row>
    <row r="260" spans="1:7" ht="87.95" customHeight="1">
      <c r="A260" s="2" t="s">
        <v>1013</v>
      </c>
      <c r="B260" s="2" t="s">
        <v>73</v>
      </c>
      <c r="C260" s="8" t="s">
        <v>1014</v>
      </c>
      <c r="D260" s="2">
        <v>1</v>
      </c>
      <c r="E260" s="8" t="s">
        <v>10156</v>
      </c>
      <c r="F260" s="8" t="s">
        <v>11205</v>
      </c>
      <c r="G260" s="8" t="str">
        <f>HYPERLINK("https://seichotoushi-hojo.jp/assets/pdf/koufu/outline_50.pdf","PDFを開く")</f>
        <v>PDFを開く</v>
      </c>
    </row>
    <row r="261" spans="1:7" ht="87.95" customHeight="1">
      <c r="A261" s="5" t="s">
        <v>1013</v>
      </c>
      <c r="B261" s="5" t="s">
        <v>73</v>
      </c>
      <c r="C261" s="9" t="s">
        <v>1014</v>
      </c>
      <c r="D261" s="5">
        <v>2</v>
      </c>
      <c r="E261" s="9" t="s">
        <v>10165</v>
      </c>
      <c r="F261" s="9" t="s">
        <v>11206</v>
      </c>
      <c r="G261" s="9" t="str">
        <f>HYPERLINK("https://seichotoushi-hojo.jp/assets/pdf/koufu/outline_50.pdf","PDFを開く")</f>
        <v>PDFを開く</v>
      </c>
    </row>
    <row r="262" spans="1:7" ht="87.95" customHeight="1">
      <c r="A262" s="2" t="s">
        <v>1020</v>
      </c>
      <c r="B262" s="2" t="s">
        <v>73</v>
      </c>
      <c r="C262" s="8" t="s">
        <v>1021</v>
      </c>
      <c r="D262" s="2">
        <v>1</v>
      </c>
      <c r="E262" s="8" t="s">
        <v>10156</v>
      </c>
      <c r="F262" s="8" t="s">
        <v>11207</v>
      </c>
      <c r="G262" s="8" t="str">
        <f>HYPERLINK("https://seichotoushi-hojo.jp/assets/pdf/koufu/outline_51.pdf","PDFを開く")</f>
        <v>PDFを開く</v>
      </c>
    </row>
    <row r="263" spans="1:7" ht="87.95" customHeight="1">
      <c r="A263" s="5" t="s">
        <v>1020</v>
      </c>
      <c r="B263" s="5" t="s">
        <v>73</v>
      </c>
      <c r="C263" s="9" t="s">
        <v>1021</v>
      </c>
      <c r="D263" s="5">
        <v>2</v>
      </c>
      <c r="E263" s="9" t="s">
        <v>10165</v>
      </c>
      <c r="F263" s="9" t="s">
        <v>11208</v>
      </c>
      <c r="G263" s="9" t="str">
        <f>HYPERLINK("https://seichotoushi-hojo.jp/assets/pdf/koufu/outline_51.pdf","PDFを開く")</f>
        <v>PDFを開く</v>
      </c>
    </row>
    <row r="264" spans="1:7" ht="87.95" customHeight="1">
      <c r="A264" s="2" t="s">
        <v>1020</v>
      </c>
      <c r="B264" s="2" t="s">
        <v>73</v>
      </c>
      <c r="C264" s="8" t="s">
        <v>1021</v>
      </c>
      <c r="D264" s="2">
        <v>3</v>
      </c>
      <c r="E264" s="8" t="s">
        <v>10165</v>
      </c>
      <c r="F264" s="8" t="s">
        <v>11209</v>
      </c>
      <c r="G264" s="8" t="str">
        <f>HYPERLINK("https://seichotoushi-hojo.jp/assets/pdf/koufu/outline_51.pdf","PDFを開く")</f>
        <v>PDFを開く</v>
      </c>
    </row>
    <row r="265" spans="1:7" ht="87.95" customHeight="1">
      <c r="A265" s="5" t="s">
        <v>1020</v>
      </c>
      <c r="B265" s="5" t="s">
        <v>73</v>
      </c>
      <c r="C265" s="9" t="s">
        <v>1021</v>
      </c>
      <c r="D265" s="5">
        <v>4</v>
      </c>
      <c r="E265" s="9" t="s">
        <v>10165</v>
      </c>
      <c r="F265" s="9" t="s">
        <v>11210</v>
      </c>
      <c r="G265" s="9" t="str">
        <f>HYPERLINK("https://seichotoushi-hojo.jp/assets/pdf/koufu/outline_51.pdf","PDFを開く")</f>
        <v>PDFを開く</v>
      </c>
    </row>
    <row r="266" spans="1:7" ht="87.95" customHeight="1">
      <c r="A266" s="2" t="s">
        <v>1020</v>
      </c>
      <c r="B266" s="2" t="s">
        <v>73</v>
      </c>
      <c r="C266" s="8" t="s">
        <v>1021</v>
      </c>
      <c r="D266" s="2">
        <v>5</v>
      </c>
      <c r="E266" s="8" t="s">
        <v>10165</v>
      </c>
      <c r="F266" s="8" t="s">
        <v>11211</v>
      </c>
      <c r="G266" s="8" t="str">
        <f>HYPERLINK("https://seichotoushi-hojo.jp/assets/pdf/koufu/outline_51.pdf","PDFを開く")</f>
        <v>PDFを開く</v>
      </c>
    </row>
    <row r="267" spans="1:7" ht="87.95" customHeight="1">
      <c r="A267" s="5" t="s">
        <v>1028</v>
      </c>
      <c r="B267" s="5" t="s">
        <v>73</v>
      </c>
      <c r="C267" s="9" t="s">
        <v>1029</v>
      </c>
      <c r="D267" s="5">
        <v>1</v>
      </c>
      <c r="E267" s="9" t="s">
        <v>10156</v>
      </c>
      <c r="F267" s="9" t="s">
        <v>11212</v>
      </c>
      <c r="G267" s="9" t="str">
        <f>HYPERLINK("https://seichotoushi-hojo.jp/assets/pdf/koufu/outline_52.pdf","PDFを開く")</f>
        <v>PDFを開く</v>
      </c>
    </row>
    <row r="268" spans="1:7" ht="87.95" customHeight="1">
      <c r="A268" s="2" t="s">
        <v>1028</v>
      </c>
      <c r="B268" s="2" t="s">
        <v>73</v>
      </c>
      <c r="C268" s="8" t="s">
        <v>1029</v>
      </c>
      <c r="D268" s="2">
        <v>2</v>
      </c>
      <c r="E268" s="8" t="s">
        <v>10165</v>
      </c>
      <c r="F268" s="8" t="s">
        <v>11213</v>
      </c>
      <c r="G268" s="8" t="str">
        <f>HYPERLINK("https://seichotoushi-hojo.jp/assets/pdf/koufu/outline_52.pdf","PDFを開く")</f>
        <v>PDFを開く</v>
      </c>
    </row>
    <row r="269" spans="1:7" ht="87.95" customHeight="1">
      <c r="A269" s="5" t="s">
        <v>1036</v>
      </c>
      <c r="B269" s="5" t="s">
        <v>73</v>
      </c>
      <c r="C269" s="9" t="s">
        <v>1037</v>
      </c>
      <c r="D269" s="5">
        <v>1</v>
      </c>
      <c r="E269" s="9" t="s">
        <v>10156</v>
      </c>
      <c r="F269" s="9" t="s">
        <v>11214</v>
      </c>
      <c r="G269" s="9" t="str">
        <f>HYPERLINK("https://seichotoushi-hojo.jp/assets/pdf/koufu/outline_53.pdf","PDFを開く")</f>
        <v>PDFを開く</v>
      </c>
    </row>
    <row r="270" spans="1:7" ht="87.95" customHeight="1">
      <c r="A270" s="2" t="s">
        <v>1036</v>
      </c>
      <c r="B270" s="2" t="s">
        <v>73</v>
      </c>
      <c r="C270" s="8" t="s">
        <v>1037</v>
      </c>
      <c r="D270" s="2">
        <v>2</v>
      </c>
      <c r="E270" s="8" t="s">
        <v>10165</v>
      </c>
      <c r="F270" s="8" t="s">
        <v>11215</v>
      </c>
      <c r="G270" s="8" t="str">
        <f>HYPERLINK("https://seichotoushi-hojo.jp/assets/pdf/koufu/outline_53.pdf","PDFを開く")</f>
        <v>PDFを開く</v>
      </c>
    </row>
    <row r="271" spans="1:7" ht="87.95" customHeight="1">
      <c r="A271" s="5" t="s">
        <v>1044</v>
      </c>
      <c r="B271" s="5" t="s">
        <v>73</v>
      </c>
      <c r="C271" s="9" t="s">
        <v>1045</v>
      </c>
      <c r="D271" s="5">
        <v>1</v>
      </c>
      <c r="E271" s="9" t="s">
        <v>10422</v>
      </c>
      <c r="F271" s="9" t="s">
        <v>11216</v>
      </c>
      <c r="G271" s="9" t="str">
        <f>HYPERLINK("https://seichotoushi-hojo.jp/assets/pdf/koufu/outline_55.pdf","PDFを開く")</f>
        <v>PDFを開く</v>
      </c>
    </row>
    <row r="272" spans="1:7" ht="87.95" customHeight="1">
      <c r="A272" s="2" t="s">
        <v>1044</v>
      </c>
      <c r="B272" s="2" t="s">
        <v>73</v>
      </c>
      <c r="C272" s="8" t="s">
        <v>1045</v>
      </c>
      <c r="D272" s="2">
        <v>2</v>
      </c>
      <c r="E272" s="8" t="s">
        <v>10165</v>
      </c>
      <c r="F272" s="8" t="s">
        <v>11217</v>
      </c>
      <c r="G272" s="8" t="str">
        <f>HYPERLINK("https://seichotoushi-hojo.jp/assets/pdf/koufu/outline_55.pdf","PDFを開く")</f>
        <v>PDFを開く</v>
      </c>
    </row>
    <row r="273" spans="1:7" ht="87.95" customHeight="1">
      <c r="A273" s="5" t="s">
        <v>1054</v>
      </c>
      <c r="B273" s="5" t="s">
        <v>73</v>
      </c>
      <c r="C273" s="9" t="s">
        <v>1055</v>
      </c>
      <c r="D273" s="5">
        <v>1</v>
      </c>
      <c r="E273" s="9" t="s">
        <v>10156</v>
      </c>
      <c r="F273" s="9" t="s">
        <v>11218</v>
      </c>
      <c r="G273" s="9" t="str">
        <f>HYPERLINK("https://seichotoushi-hojo.jp/assets/pdf/koufu/outline_56.pdf","PDFを開く")</f>
        <v>PDFを開く</v>
      </c>
    </row>
    <row r="274" spans="1:7" ht="87.95" customHeight="1">
      <c r="A274" s="2" t="s">
        <v>1054</v>
      </c>
      <c r="B274" s="2" t="s">
        <v>73</v>
      </c>
      <c r="C274" s="8" t="s">
        <v>1055</v>
      </c>
      <c r="D274" s="2">
        <v>2</v>
      </c>
      <c r="E274" s="8" t="s">
        <v>10165</v>
      </c>
      <c r="F274" s="8" t="s">
        <v>11219</v>
      </c>
      <c r="G274" s="8" t="str">
        <f>HYPERLINK("https://seichotoushi-hojo.jp/assets/pdf/koufu/outline_56.pdf","PDFを開く")</f>
        <v>PDFを開く</v>
      </c>
    </row>
    <row r="275" spans="1:7" ht="87.95" customHeight="1">
      <c r="A275" s="5" t="s">
        <v>1054</v>
      </c>
      <c r="B275" s="5" t="s">
        <v>73</v>
      </c>
      <c r="C275" s="9" t="s">
        <v>1055</v>
      </c>
      <c r="D275" s="5">
        <v>3</v>
      </c>
      <c r="E275" s="9" t="s">
        <v>10165</v>
      </c>
      <c r="F275" s="9" t="s">
        <v>11220</v>
      </c>
      <c r="G275" s="9" t="str">
        <f>HYPERLINK("https://seichotoushi-hojo.jp/assets/pdf/koufu/outline_56.pdf","PDFを開く")</f>
        <v>PDFを開く</v>
      </c>
    </row>
    <row r="276" spans="1:7" ht="87.95" customHeight="1">
      <c r="A276" s="2" t="s">
        <v>1063</v>
      </c>
      <c r="B276" s="2" t="s">
        <v>73</v>
      </c>
      <c r="C276" s="8" t="s">
        <v>1064</v>
      </c>
      <c r="D276" s="2">
        <v>1</v>
      </c>
      <c r="E276" s="8" t="s">
        <v>10156</v>
      </c>
      <c r="F276" s="8" t="s">
        <v>11221</v>
      </c>
      <c r="G276" s="8" t="str">
        <f>HYPERLINK("https://seichotoushi-hojo.jp/assets/pdf/koufu/outline_58.pdf","PDFを開く")</f>
        <v>PDFを開く</v>
      </c>
    </row>
    <row r="277" spans="1:7" ht="87.95" customHeight="1">
      <c r="A277" s="5" t="s">
        <v>1063</v>
      </c>
      <c r="B277" s="5" t="s">
        <v>73</v>
      </c>
      <c r="C277" s="9" t="s">
        <v>1064</v>
      </c>
      <c r="D277" s="5">
        <v>2</v>
      </c>
      <c r="E277" s="9" t="s">
        <v>10165</v>
      </c>
      <c r="F277" s="9" t="s">
        <v>11222</v>
      </c>
      <c r="G277" s="9" t="str">
        <f>HYPERLINK("https://seichotoushi-hojo.jp/assets/pdf/koufu/outline_58.pdf","PDFを開く")</f>
        <v>PDFを開く</v>
      </c>
    </row>
    <row r="278" spans="1:7" ht="87.95" customHeight="1">
      <c r="A278" s="2" t="s">
        <v>1071</v>
      </c>
      <c r="B278" s="2" t="s">
        <v>73</v>
      </c>
      <c r="C278" s="8" t="s">
        <v>1072</v>
      </c>
      <c r="D278" s="2">
        <v>1</v>
      </c>
      <c r="E278" s="8" t="s">
        <v>10422</v>
      </c>
      <c r="F278" s="8" t="s">
        <v>11223</v>
      </c>
      <c r="G278" s="8" t="str">
        <f>HYPERLINK("https://seichotoushi-hojo.jp/assets/pdf/koufu/outline_61.pdf","PDFを開く")</f>
        <v>PDFを開く</v>
      </c>
    </row>
    <row r="279" spans="1:7" ht="87.95" customHeight="1">
      <c r="A279" s="5" t="s">
        <v>1071</v>
      </c>
      <c r="B279" s="5" t="s">
        <v>73</v>
      </c>
      <c r="C279" s="9" t="s">
        <v>1072</v>
      </c>
      <c r="D279" s="5">
        <v>2</v>
      </c>
      <c r="E279" s="9" t="s">
        <v>10422</v>
      </c>
      <c r="F279" s="9" t="s">
        <v>11224</v>
      </c>
      <c r="G279" s="9" t="str">
        <f>HYPERLINK("https://seichotoushi-hojo.jp/assets/pdf/koufu/outline_61.pdf","PDFを開く")</f>
        <v>PDFを開く</v>
      </c>
    </row>
    <row r="280" spans="1:7" ht="87.95" customHeight="1">
      <c r="A280" s="2" t="s">
        <v>1080</v>
      </c>
      <c r="B280" s="2" t="s">
        <v>73</v>
      </c>
      <c r="C280" s="8" t="s">
        <v>1081</v>
      </c>
      <c r="D280" s="2">
        <v>1</v>
      </c>
      <c r="E280" s="8" t="s">
        <v>10156</v>
      </c>
      <c r="F280" s="8" t="s">
        <v>11225</v>
      </c>
      <c r="G280" s="8" t="str">
        <f>HYPERLINK("https://seichotoushi-hojo.jp/assets/pdf/koufu/outline_62.pdf","PDFを開く")</f>
        <v>PDFを開く</v>
      </c>
    </row>
    <row r="281" spans="1:7" ht="87.95" customHeight="1">
      <c r="A281" s="5" t="s">
        <v>1080</v>
      </c>
      <c r="B281" s="5" t="s">
        <v>73</v>
      </c>
      <c r="C281" s="9" t="s">
        <v>1081</v>
      </c>
      <c r="D281" s="5">
        <v>2</v>
      </c>
      <c r="E281" s="9" t="s">
        <v>10165</v>
      </c>
      <c r="F281" s="9" t="s">
        <v>11226</v>
      </c>
      <c r="G281" s="9" t="str">
        <f>HYPERLINK("https://seichotoushi-hojo.jp/assets/pdf/koufu/outline_62.pdf","PDFを開く")</f>
        <v>PDFを開く</v>
      </c>
    </row>
    <row r="282" spans="1:7" ht="87.95" customHeight="1">
      <c r="A282" s="2" t="s">
        <v>1088</v>
      </c>
      <c r="B282" s="2" t="s">
        <v>73</v>
      </c>
      <c r="C282" s="8" t="s">
        <v>1089</v>
      </c>
      <c r="D282" s="2">
        <v>1</v>
      </c>
      <c r="E282" s="8" t="s">
        <v>10156</v>
      </c>
      <c r="F282" s="8" t="s">
        <v>11227</v>
      </c>
      <c r="G282" s="8" t="str">
        <f>HYPERLINK("https://seichotoushi-hojo.jp/assets/pdf/koufu/outline_63.pdf","PDFを開く")</f>
        <v>PDFを開く</v>
      </c>
    </row>
    <row r="283" spans="1:7" ht="87.95" customHeight="1">
      <c r="A283" s="5" t="s">
        <v>1088</v>
      </c>
      <c r="B283" s="5" t="s">
        <v>73</v>
      </c>
      <c r="C283" s="9" t="s">
        <v>1089</v>
      </c>
      <c r="D283" s="5">
        <v>2</v>
      </c>
      <c r="E283" s="9" t="s">
        <v>10165</v>
      </c>
      <c r="F283" s="9" t="s">
        <v>11228</v>
      </c>
      <c r="G283" s="9" t="str">
        <f>HYPERLINK("https://seichotoushi-hojo.jp/assets/pdf/koufu/outline_63.pdf","PDFを開く")</f>
        <v>PDFを開く</v>
      </c>
    </row>
    <row r="284" spans="1:7" ht="87.95" customHeight="1">
      <c r="A284" s="2" t="s">
        <v>1096</v>
      </c>
      <c r="B284" s="2" t="s">
        <v>73</v>
      </c>
      <c r="C284" s="8" t="s">
        <v>1097</v>
      </c>
      <c r="D284" s="2">
        <v>1</v>
      </c>
      <c r="E284" s="8" t="s">
        <v>10156</v>
      </c>
      <c r="F284" s="8" t="s">
        <v>11229</v>
      </c>
      <c r="G284" s="8" t="str">
        <f>HYPERLINK("https://seichotoushi-hojo.jp/assets/pdf/koufu/outline_65.pdf","PDFを開く")</f>
        <v>PDFを開く</v>
      </c>
    </row>
    <row r="285" spans="1:7" ht="87.95" customHeight="1">
      <c r="A285" s="5" t="s">
        <v>1096</v>
      </c>
      <c r="B285" s="5" t="s">
        <v>73</v>
      </c>
      <c r="C285" s="9" t="s">
        <v>1097</v>
      </c>
      <c r="D285" s="5">
        <v>2</v>
      </c>
      <c r="E285" s="9" t="s">
        <v>10165</v>
      </c>
      <c r="F285" s="9" t="s">
        <v>11230</v>
      </c>
      <c r="G285" s="9" t="str">
        <f>HYPERLINK("https://seichotoushi-hojo.jp/assets/pdf/koufu/outline_65.pdf","PDFを開く")</f>
        <v>PDFを開く</v>
      </c>
    </row>
    <row r="286" spans="1:7" ht="87.95" customHeight="1">
      <c r="A286" s="2" t="s">
        <v>1104</v>
      </c>
      <c r="B286" s="2" t="s">
        <v>73</v>
      </c>
      <c r="C286" s="8" t="s">
        <v>1105</v>
      </c>
      <c r="D286" s="2">
        <v>1</v>
      </c>
      <c r="E286" s="8" t="s">
        <v>10156</v>
      </c>
      <c r="F286" s="8" t="s">
        <v>11231</v>
      </c>
      <c r="G286" s="8" t="str">
        <f>HYPERLINK("https://seichotoushi-hojo.jp/assets/pdf/koufu/outline_66.pdf","PDFを開く")</f>
        <v>PDFを開く</v>
      </c>
    </row>
    <row r="287" spans="1:7" ht="87.95" customHeight="1">
      <c r="A287" s="5" t="s">
        <v>1104</v>
      </c>
      <c r="B287" s="5" t="s">
        <v>73</v>
      </c>
      <c r="C287" s="9" t="s">
        <v>1105</v>
      </c>
      <c r="D287" s="5">
        <v>2</v>
      </c>
      <c r="E287" s="9" t="s">
        <v>10165</v>
      </c>
      <c r="F287" s="9" t="s">
        <v>11232</v>
      </c>
      <c r="G287" s="9" t="str">
        <f>HYPERLINK("https://seichotoushi-hojo.jp/assets/pdf/koufu/outline_66.pdf","PDFを開く")</f>
        <v>PDFを開く</v>
      </c>
    </row>
    <row r="288" spans="1:7" ht="87.95" customHeight="1">
      <c r="A288" s="2" t="s">
        <v>1113</v>
      </c>
      <c r="B288" s="2" t="s">
        <v>73</v>
      </c>
      <c r="C288" s="8" t="s">
        <v>1114</v>
      </c>
      <c r="D288" s="2">
        <v>1</v>
      </c>
      <c r="E288" s="8" t="s">
        <v>10156</v>
      </c>
      <c r="F288" s="8" t="s">
        <v>11233</v>
      </c>
      <c r="G288" s="8" t="str">
        <f>HYPERLINK("https://seichotoushi-hojo.jp/assets/pdf/koufu/outline_67.pdf","PDFを開く")</f>
        <v>PDFを開く</v>
      </c>
    </row>
    <row r="289" spans="1:7" ht="87.95" customHeight="1">
      <c r="A289" s="5" t="s">
        <v>1113</v>
      </c>
      <c r="B289" s="5" t="s">
        <v>73</v>
      </c>
      <c r="C289" s="9" t="s">
        <v>1114</v>
      </c>
      <c r="D289" s="5">
        <v>2</v>
      </c>
      <c r="E289" s="9" t="s">
        <v>10165</v>
      </c>
      <c r="F289" s="9" t="s">
        <v>11234</v>
      </c>
      <c r="G289" s="9" t="str">
        <f>HYPERLINK("https://seichotoushi-hojo.jp/assets/pdf/koufu/outline_67.pdf","PDFを開く")</f>
        <v>PDFを開く</v>
      </c>
    </row>
    <row r="290" spans="1:7" ht="87.95" customHeight="1">
      <c r="A290" s="2" t="s">
        <v>1120</v>
      </c>
      <c r="B290" s="2" t="s">
        <v>73</v>
      </c>
      <c r="C290" s="8" t="s">
        <v>1121</v>
      </c>
      <c r="D290" s="2">
        <v>1</v>
      </c>
      <c r="E290" s="8" t="s">
        <v>10156</v>
      </c>
      <c r="F290" s="8" t="s">
        <v>11235</v>
      </c>
      <c r="G290" s="8" t="str">
        <f>HYPERLINK("https://seichotoushi-hojo.jp/assets/pdf/koufu/outline_68.pdf","PDFを開く")</f>
        <v>PDFを開く</v>
      </c>
    </row>
    <row r="291" spans="1:7" ht="87.95" customHeight="1">
      <c r="A291" s="5" t="s">
        <v>1120</v>
      </c>
      <c r="B291" s="5" t="s">
        <v>73</v>
      </c>
      <c r="C291" s="9" t="s">
        <v>1121</v>
      </c>
      <c r="D291" s="5">
        <v>2</v>
      </c>
      <c r="E291" s="9" t="s">
        <v>10165</v>
      </c>
      <c r="F291" s="9" t="s">
        <v>11236</v>
      </c>
      <c r="G291" s="9" t="str">
        <f>HYPERLINK("https://seichotoushi-hojo.jp/assets/pdf/koufu/outline_68.pdf","PDFを開く")</f>
        <v>PDFを開く</v>
      </c>
    </row>
    <row r="292" spans="1:7" ht="87.95" customHeight="1">
      <c r="A292" s="2" t="s">
        <v>1127</v>
      </c>
      <c r="B292" s="2" t="s">
        <v>73</v>
      </c>
      <c r="C292" s="8" t="s">
        <v>1128</v>
      </c>
      <c r="D292" s="2">
        <v>1</v>
      </c>
      <c r="E292" s="8" t="s">
        <v>10156</v>
      </c>
      <c r="F292" s="8" t="s">
        <v>11237</v>
      </c>
      <c r="G292" s="8" t="str">
        <f>HYPERLINK("https://seichotoushi-hojo.jp/assets/pdf/koufu/outline_69.pdf","PDFを開く")</f>
        <v>PDFを開く</v>
      </c>
    </row>
    <row r="293" spans="1:7" ht="87.95" customHeight="1">
      <c r="A293" s="5" t="s">
        <v>1127</v>
      </c>
      <c r="B293" s="5" t="s">
        <v>73</v>
      </c>
      <c r="C293" s="9" t="s">
        <v>1128</v>
      </c>
      <c r="D293" s="5">
        <v>2</v>
      </c>
      <c r="E293" s="9" t="s">
        <v>10165</v>
      </c>
      <c r="F293" s="9" t="s">
        <v>11238</v>
      </c>
      <c r="G293" s="9" t="str">
        <f>HYPERLINK("https://seichotoushi-hojo.jp/assets/pdf/koufu/outline_69.pdf","PDFを開く")</f>
        <v>PDFを開く</v>
      </c>
    </row>
    <row r="294" spans="1:7" ht="87.95" customHeight="1">
      <c r="A294" s="2" t="s">
        <v>1135</v>
      </c>
      <c r="B294" s="2" t="s">
        <v>73</v>
      </c>
      <c r="C294" s="8" t="s">
        <v>1136</v>
      </c>
      <c r="D294" s="2">
        <v>1</v>
      </c>
      <c r="E294" s="8" t="s">
        <v>10156</v>
      </c>
      <c r="F294" s="8" t="s">
        <v>11239</v>
      </c>
      <c r="G294" s="8" t="str">
        <f>HYPERLINK("https://seichotoushi-hojo.jp/assets/pdf/koufu/outline_7.pdf","PDFを開く")</f>
        <v>PDFを開く</v>
      </c>
    </row>
    <row r="295" spans="1:7" ht="87.95" customHeight="1">
      <c r="A295" s="5" t="s">
        <v>1135</v>
      </c>
      <c r="B295" s="5" t="s">
        <v>73</v>
      </c>
      <c r="C295" s="9" t="s">
        <v>1136</v>
      </c>
      <c r="D295" s="5">
        <v>2</v>
      </c>
      <c r="E295" s="9" t="s">
        <v>10165</v>
      </c>
      <c r="F295" s="9" t="s">
        <v>11240</v>
      </c>
      <c r="G295" s="9" t="str">
        <f>HYPERLINK("https://seichotoushi-hojo.jp/assets/pdf/koufu/outline_7.pdf","PDFを開く")</f>
        <v>PDFを開く</v>
      </c>
    </row>
    <row r="296" spans="1:7" ht="87.95" customHeight="1">
      <c r="A296" s="2" t="s">
        <v>1146</v>
      </c>
      <c r="B296" s="2" t="s">
        <v>73</v>
      </c>
      <c r="C296" s="8" t="s">
        <v>1147</v>
      </c>
      <c r="D296" s="2">
        <v>1</v>
      </c>
      <c r="E296" s="8" t="s">
        <v>10156</v>
      </c>
      <c r="F296" s="8" t="s">
        <v>11241</v>
      </c>
      <c r="G296" s="8" t="str">
        <f>HYPERLINK("https://seichotoushi-hojo.jp/assets/pdf/koufu/outline_70.pdf","PDFを開く")</f>
        <v>PDFを開く</v>
      </c>
    </row>
    <row r="297" spans="1:7" ht="87.95" customHeight="1">
      <c r="A297" s="5" t="s">
        <v>1146</v>
      </c>
      <c r="B297" s="5" t="s">
        <v>73</v>
      </c>
      <c r="C297" s="9" t="s">
        <v>1147</v>
      </c>
      <c r="D297" s="5">
        <v>2</v>
      </c>
      <c r="E297" s="9" t="s">
        <v>10165</v>
      </c>
      <c r="F297" s="9" t="s">
        <v>11242</v>
      </c>
      <c r="G297" s="9" t="str">
        <f>HYPERLINK("https://seichotoushi-hojo.jp/assets/pdf/koufu/outline_70.pdf","PDFを開く")</f>
        <v>PDFを開く</v>
      </c>
    </row>
    <row r="298" spans="1:7" ht="87.95" customHeight="1">
      <c r="A298" s="2" t="s">
        <v>1154</v>
      </c>
      <c r="B298" s="2" t="s">
        <v>73</v>
      </c>
      <c r="C298" s="8" t="s">
        <v>1155</v>
      </c>
      <c r="D298" s="2">
        <v>1</v>
      </c>
      <c r="E298" s="8" t="s">
        <v>10156</v>
      </c>
      <c r="F298" s="8" t="s">
        <v>11243</v>
      </c>
      <c r="G298" s="8" t="str">
        <f>HYPERLINK("https://seichotoushi-hojo.jp/assets/pdf/koufu/outline_71.pdf","PDFを開く")</f>
        <v>PDFを開く</v>
      </c>
    </row>
    <row r="299" spans="1:7" ht="87.95" customHeight="1">
      <c r="A299" s="5" t="s">
        <v>1154</v>
      </c>
      <c r="B299" s="5" t="s">
        <v>73</v>
      </c>
      <c r="C299" s="9" t="s">
        <v>1155</v>
      </c>
      <c r="D299" s="5">
        <v>2</v>
      </c>
      <c r="E299" s="9" t="s">
        <v>10165</v>
      </c>
      <c r="F299" s="9" t="s">
        <v>11244</v>
      </c>
      <c r="G299" s="9" t="str">
        <f>HYPERLINK("https://seichotoushi-hojo.jp/assets/pdf/koufu/outline_71.pdf","PDFを開く")</f>
        <v>PDFを開く</v>
      </c>
    </row>
    <row r="300" spans="1:7" ht="87.95" customHeight="1">
      <c r="A300" s="2" t="s">
        <v>1161</v>
      </c>
      <c r="B300" s="2" t="s">
        <v>73</v>
      </c>
      <c r="C300" s="8" t="s">
        <v>1162</v>
      </c>
      <c r="D300" s="2">
        <v>1</v>
      </c>
      <c r="E300" s="8" t="s">
        <v>10156</v>
      </c>
      <c r="F300" s="8" t="s">
        <v>11245</v>
      </c>
      <c r="G300" s="8" t="str">
        <f>HYPERLINK("https://seichotoushi-hojo.jp/assets/pdf/koufu/outline_72.pdf","PDFを開く")</f>
        <v>PDFを開く</v>
      </c>
    </row>
    <row r="301" spans="1:7" ht="87.95" customHeight="1">
      <c r="A301" s="5" t="s">
        <v>1161</v>
      </c>
      <c r="B301" s="5" t="s">
        <v>73</v>
      </c>
      <c r="C301" s="9" t="s">
        <v>1162</v>
      </c>
      <c r="D301" s="5">
        <v>2</v>
      </c>
      <c r="E301" s="9" t="s">
        <v>10165</v>
      </c>
      <c r="F301" s="9" t="s">
        <v>11246</v>
      </c>
      <c r="G301" s="9" t="str">
        <f>HYPERLINK("https://seichotoushi-hojo.jp/assets/pdf/koufu/outline_72.pdf","PDFを開く")</f>
        <v>PDFを開く</v>
      </c>
    </row>
    <row r="302" spans="1:7" ht="87.95" customHeight="1">
      <c r="A302" s="2" t="s">
        <v>1169</v>
      </c>
      <c r="B302" s="2" t="s">
        <v>73</v>
      </c>
      <c r="C302" s="8" t="s">
        <v>1170</v>
      </c>
      <c r="D302" s="2">
        <v>1</v>
      </c>
      <c r="E302" s="8" t="s">
        <v>10156</v>
      </c>
      <c r="F302" s="8" t="s">
        <v>11247</v>
      </c>
      <c r="G302" s="8" t="str">
        <f>HYPERLINK("https://seichotoushi-hojo.jp/assets/pdf/koufu/outline_73.pdf","PDFを開く")</f>
        <v>PDFを開く</v>
      </c>
    </row>
    <row r="303" spans="1:7" ht="87.95" customHeight="1">
      <c r="A303" s="5" t="s">
        <v>1169</v>
      </c>
      <c r="B303" s="5" t="s">
        <v>73</v>
      </c>
      <c r="C303" s="9" t="s">
        <v>1170</v>
      </c>
      <c r="D303" s="5">
        <v>2</v>
      </c>
      <c r="E303" s="9" t="s">
        <v>10165</v>
      </c>
      <c r="F303" s="9" t="s">
        <v>11248</v>
      </c>
      <c r="G303" s="9" t="str">
        <f>HYPERLINK("https://seichotoushi-hojo.jp/assets/pdf/koufu/outline_73.pdf","PDFを開く")</f>
        <v>PDFを開く</v>
      </c>
    </row>
    <row r="304" spans="1:7" ht="87.95" customHeight="1">
      <c r="A304" s="2" t="s">
        <v>1178</v>
      </c>
      <c r="B304" s="2" t="s">
        <v>73</v>
      </c>
      <c r="C304" s="8" t="s">
        <v>1179</v>
      </c>
      <c r="D304" s="2">
        <v>1</v>
      </c>
      <c r="E304" s="8" t="s">
        <v>10156</v>
      </c>
      <c r="F304" s="8" t="s">
        <v>11249</v>
      </c>
      <c r="G304" s="8" t="str">
        <f>HYPERLINK("https://seichotoushi-hojo.jp/assets/pdf/koufu/outline_74.pdf","PDFを開く")</f>
        <v>PDFを開く</v>
      </c>
    </row>
    <row r="305" spans="1:7" ht="87.95" customHeight="1">
      <c r="A305" s="5" t="s">
        <v>1178</v>
      </c>
      <c r="B305" s="5" t="s">
        <v>73</v>
      </c>
      <c r="C305" s="9" t="s">
        <v>1179</v>
      </c>
      <c r="D305" s="5">
        <v>2</v>
      </c>
      <c r="E305" s="9" t="s">
        <v>10165</v>
      </c>
      <c r="F305" s="9" t="s">
        <v>11250</v>
      </c>
      <c r="G305" s="9" t="str">
        <f>HYPERLINK("https://seichotoushi-hojo.jp/assets/pdf/koufu/outline_74.pdf","PDFを開く")</f>
        <v>PDFを開く</v>
      </c>
    </row>
    <row r="306" spans="1:7" ht="87.95" customHeight="1">
      <c r="A306" s="2" t="s">
        <v>1185</v>
      </c>
      <c r="B306" s="2" t="s">
        <v>73</v>
      </c>
      <c r="C306" s="8" t="s">
        <v>1186</v>
      </c>
      <c r="D306" s="2">
        <v>1</v>
      </c>
      <c r="E306" s="8" t="s">
        <v>10156</v>
      </c>
      <c r="F306" s="8" t="s">
        <v>11251</v>
      </c>
      <c r="G306" s="8" t="str">
        <f>HYPERLINK("https://seichotoushi-hojo.jp/assets/pdf/koufu/outline_75.pdf","PDFを開く")</f>
        <v>PDFを開く</v>
      </c>
    </row>
    <row r="307" spans="1:7" ht="87.95" customHeight="1">
      <c r="A307" s="5" t="s">
        <v>1185</v>
      </c>
      <c r="B307" s="5" t="s">
        <v>73</v>
      </c>
      <c r="C307" s="9" t="s">
        <v>1186</v>
      </c>
      <c r="D307" s="5">
        <v>2</v>
      </c>
      <c r="E307" s="9" t="s">
        <v>10165</v>
      </c>
      <c r="F307" s="9" t="s">
        <v>11252</v>
      </c>
      <c r="G307" s="9" t="str">
        <f>HYPERLINK("https://seichotoushi-hojo.jp/assets/pdf/koufu/outline_75.pdf","PDFを開く")</f>
        <v>PDFを開く</v>
      </c>
    </row>
    <row r="308" spans="1:7" ht="87.95" customHeight="1">
      <c r="A308" s="2" t="s">
        <v>1193</v>
      </c>
      <c r="B308" s="2" t="s">
        <v>73</v>
      </c>
      <c r="C308" s="8" t="s">
        <v>1194</v>
      </c>
      <c r="D308" s="2">
        <v>1</v>
      </c>
      <c r="E308" s="8" t="s">
        <v>10156</v>
      </c>
      <c r="F308" s="8" t="s">
        <v>11253</v>
      </c>
      <c r="G308" s="8" t="str">
        <f>HYPERLINK("https://seichotoushi-hojo.jp/assets/pdf/koufu/outline_76.pdf","PDFを開く")</f>
        <v>PDFを開く</v>
      </c>
    </row>
    <row r="309" spans="1:7" ht="87.95" customHeight="1">
      <c r="A309" s="5" t="s">
        <v>1193</v>
      </c>
      <c r="B309" s="5" t="s">
        <v>73</v>
      </c>
      <c r="C309" s="9" t="s">
        <v>1194</v>
      </c>
      <c r="D309" s="5">
        <v>2</v>
      </c>
      <c r="E309" s="9" t="s">
        <v>10156</v>
      </c>
      <c r="F309" s="9" t="s">
        <v>11254</v>
      </c>
      <c r="G309" s="9" t="str">
        <f>HYPERLINK("https://seichotoushi-hojo.jp/assets/pdf/koufu/outline_76.pdf","PDFを開く")</f>
        <v>PDFを開く</v>
      </c>
    </row>
    <row r="310" spans="1:7" ht="87.95" customHeight="1">
      <c r="A310" s="2" t="s">
        <v>1193</v>
      </c>
      <c r="B310" s="2" t="s">
        <v>73</v>
      </c>
      <c r="C310" s="8" t="s">
        <v>1194</v>
      </c>
      <c r="D310" s="2">
        <v>3</v>
      </c>
      <c r="E310" s="8" t="s">
        <v>10156</v>
      </c>
      <c r="F310" s="8" t="s">
        <v>11255</v>
      </c>
      <c r="G310" s="8" t="str">
        <f>HYPERLINK("https://seichotoushi-hojo.jp/assets/pdf/koufu/outline_76.pdf","PDFを開く")</f>
        <v>PDFを開く</v>
      </c>
    </row>
    <row r="311" spans="1:7" ht="87.95" customHeight="1">
      <c r="A311" s="5" t="s">
        <v>1193</v>
      </c>
      <c r="B311" s="5" t="s">
        <v>73</v>
      </c>
      <c r="C311" s="9" t="s">
        <v>1194</v>
      </c>
      <c r="D311" s="5">
        <v>4</v>
      </c>
      <c r="E311" s="9" t="s">
        <v>10165</v>
      </c>
      <c r="F311" s="9" t="s">
        <v>11256</v>
      </c>
      <c r="G311" s="9" t="str">
        <f>HYPERLINK("https://seichotoushi-hojo.jp/assets/pdf/koufu/outline_76.pdf","PDFを開く")</f>
        <v>PDFを開く</v>
      </c>
    </row>
    <row r="312" spans="1:7" ht="87.95" customHeight="1">
      <c r="A312" s="2" t="s">
        <v>1203</v>
      </c>
      <c r="B312" s="2" t="s">
        <v>73</v>
      </c>
      <c r="C312" s="8" t="s">
        <v>1204</v>
      </c>
      <c r="D312" s="2">
        <v>1</v>
      </c>
      <c r="E312" s="8" t="s">
        <v>10156</v>
      </c>
      <c r="F312" s="8" t="s">
        <v>11257</v>
      </c>
      <c r="G312" s="8" t="str">
        <f>HYPERLINK("https://seichotoushi-hojo.jp/assets/pdf/koufu/outline_77.pdf","PDFを開く")</f>
        <v>PDFを開く</v>
      </c>
    </row>
    <row r="313" spans="1:7" ht="87.95" customHeight="1">
      <c r="A313" s="5" t="s">
        <v>1203</v>
      </c>
      <c r="B313" s="5" t="s">
        <v>73</v>
      </c>
      <c r="C313" s="9" t="s">
        <v>1204</v>
      </c>
      <c r="D313" s="5">
        <v>2</v>
      </c>
      <c r="E313" s="9" t="s">
        <v>10165</v>
      </c>
      <c r="F313" s="9" t="s">
        <v>11258</v>
      </c>
      <c r="G313" s="9" t="str">
        <f>HYPERLINK("https://seichotoushi-hojo.jp/assets/pdf/koufu/outline_77.pdf","PDFを開く")</f>
        <v>PDFを開く</v>
      </c>
    </row>
    <row r="314" spans="1:7" ht="87.95" customHeight="1">
      <c r="A314" s="2" t="s">
        <v>1211</v>
      </c>
      <c r="B314" s="2" t="s">
        <v>73</v>
      </c>
      <c r="C314" s="8" t="s">
        <v>1212</v>
      </c>
      <c r="D314" s="2">
        <v>1</v>
      </c>
      <c r="E314" s="8" t="s">
        <v>10156</v>
      </c>
      <c r="F314" s="8" t="s">
        <v>11259</v>
      </c>
      <c r="G314" s="8" t="str">
        <f>HYPERLINK("https://seichotoushi-hojo.jp/assets/pdf/koufu/outline_78.pdf","PDFを開く")</f>
        <v>PDFを開く</v>
      </c>
    </row>
    <row r="315" spans="1:7" ht="87.95" customHeight="1">
      <c r="A315" s="5" t="s">
        <v>1211</v>
      </c>
      <c r="B315" s="5" t="s">
        <v>73</v>
      </c>
      <c r="C315" s="9" t="s">
        <v>1212</v>
      </c>
      <c r="D315" s="5">
        <v>2</v>
      </c>
      <c r="E315" s="9" t="s">
        <v>10165</v>
      </c>
      <c r="F315" s="9" t="s">
        <v>11260</v>
      </c>
      <c r="G315" s="9" t="str">
        <f>HYPERLINK("https://seichotoushi-hojo.jp/assets/pdf/koufu/outline_78.pdf","PDFを開く")</f>
        <v>PDFを開く</v>
      </c>
    </row>
    <row r="316" spans="1:7" ht="87.95" customHeight="1">
      <c r="A316" s="2" t="s">
        <v>1219</v>
      </c>
      <c r="B316" s="2" t="s">
        <v>73</v>
      </c>
      <c r="C316" s="8" t="s">
        <v>1220</v>
      </c>
      <c r="D316" s="2">
        <v>1</v>
      </c>
      <c r="E316" s="8" t="s">
        <v>10156</v>
      </c>
      <c r="F316" s="8" t="s">
        <v>11261</v>
      </c>
      <c r="G316" s="8" t="str">
        <f>HYPERLINK("https://seichotoushi-hojo.jp/assets/pdf/koufu/outline_79.pdf","PDFを開く")</f>
        <v>PDFを開く</v>
      </c>
    </row>
    <row r="317" spans="1:7" ht="87.95" customHeight="1">
      <c r="A317" s="5" t="s">
        <v>1219</v>
      </c>
      <c r="B317" s="5" t="s">
        <v>73</v>
      </c>
      <c r="C317" s="9" t="s">
        <v>1220</v>
      </c>
      <c r="D317" s="5">
        <v>2</v>
      </c>
      <c r="E317" s="9" t="s">
        <v>10165</v>
      </c>
      <c r="F317" s="9" t="s">
        <v>11262</v>
      </c>
      <c r="G317" s="9" t="str">
        <f>HYPERLINK("https://seichotoushi-hojo.jp/assets/pdf/koufu/outline_79.pdf","PDFを開く")</f>
        <v>PDFを開く</v>
      </c>
    </row>
    <row r="318" spans="1:7" ht="87.95" customHeight="1">
      <c r="A318" s="2" t="s">
        <v>1226</v>
      </c>
      <c r="B318" s="2" t="s">
        <v>73</v>
      </c>
      <c r="C318" s="8" t="s">
        <v>1227</v>
      </c>
      <c r="D318" s="2">
        <v>1</v>
      </c>
      <c r="E318" s="8" t="s">
        <v>10156</v>
      </c>
      <c r="F318" s="8" t="s">
        <v>11263</v>
      </c>
      <c r="G318" s="8" t="str">
        <f>HYPERLINK("https://seichotoushi-hojo.jp/assets/pdf/koufu/outline_8.pdf","PDFを開く")</f>
        <v>PDFを開く</v>
      </c>
    </row>
    <row r="319" spans="1:7" ht="87.95" customHeight="1">
      <c r="A319" s="5" t="s">
        <v>1226</v>
      </c>
      <c r="B319" s="5" t="s">
        <v>73</v>
      </c>
      <c r="C319" s="9" t="s">
        <v>1227</v>
      </c>
      <c r="D319" s="5">
        <v>2</v>
      </c>
      <c r="E319" s="9" t="s">
        <v>10165</v>
      </c>
      <c r="F319" s="9" t="s">
        <v>11264</v>
      </c>
      <c r="G319" s="9" t="str">
        <f>HYPERLINK("https://seichotoushi-hojo.jp/assets/pdf/koufu/outline_8.pdf","PDFを開く")</f>
        <v>PDFを開く</v>
      </c>
    </row>
    <row r="320" spans="1:7" ht="87.95" customHeight="1">
      <c r="A320" s="2" t="s">
        <v>1233</v>
      </c>
      <c r="B320" s="2" t="s">
        <v>73</v>
      </c>
      <c r="C320" s="8" t="s">
        <v>1234</v>
      </c>
      <c r="D320" s="2">
        <v>1</v>
      </c>
      <c r="E320" s="8" t="s">
        <v>10156</v>
      </c>
      <c r="F320" s="8" t="s">
        <v>11265</v>
      </c>
      <c r="G320" s="8" t="str">
        <f>HYPERLINK("https://seichotoushi-hojo.jp/assets/pdf/koufu/outline_80.pdf","PDFを開く")</f>
        <v>PDFを開く</v>
      </c>
    </row>
    <row r="321" spans="1:7" ht="87.95" customHeight="1">
      <c r="A321" s="5" t="s">
        <v>1233</v>
      </c>
      <c r="B321" s="5" t="s">
        <v>73</v>
      </c>
      <c r="C321" s="9" t="s">
        <v>1234</v>
      </c>
      <c r="D321" s="5">
        <v>2</v>
      </c>
      <c r="E321" s="9" t="s">
        <v>10165</v>
      </c>
      <c r="F321" s="9" t="s">
        <v>11266</v>
      </c>
      <c r="G321" s="9" t="str">
        <f>HYPERLINK("https://seichotoushi-hojo.jp/assets/pdf/koufu/outline_80.pdf","PDFを開く")</f>
        <v>PDFを開く</v>
      </c>
    </row>
    <row r="322" spans="1:7" ht="87.95" customHeight="1">
      <c r="A322" s="2" t="s">
        <v>1240</v>
      </c>
      <c r="B322" s="2" t="s">
        <v>73</v>
      </c>
      <c r="C322" s="8" t="s">
        <v>1241</v>
      </c>
      <c r="D322" s="2">
        <v>1</v>
      </c>
      <c r="E322" s="8" t="s">
        <v>10156</v>
      </c>
      <c r="F322" s="8" t="s">
        <v>11267</v>
      </c>
      <c r="G322" s="8" t="str">
        <f>HYPERLINK("https://seichotoushi-hojo.jp/assets/pdf/koufu/outline_81.pdf","PDFを開く")</f>
        <v>PDFを開く</v>
      </c>
    </row>
    <row r="323" spans="1:7" ht="87.95" customHeight="1">
      <c r="A323" s="5" t="s">
        <v>1240</v>
      </c>
      <c r="B323" s="5" t="s">
        <v>73</v>
      </c>
      <c r="C323" s="9" t="s">
        <v>1241</v>
      </c>
      <c r="D323" s="5">
        <v>2</v>
      </c>
      <c r="E323" s="9" t="s">
        <v>10165</v>
      </c>
      <c r="F323" s="9" t="s">
        <v>11268</v>
      </c>
      <c r="G323" s="9" t="str">
        <f>HYPERLINK("https://seichotoushi-hojo.jp/assets/pdf/koufu/outline_81.pdf","PDFを開く")</f>
        <v>PDFを開く</v>
      </c>
    </row>
    <row r="324" spans="1:7" ht="87.95" customHeight="1">
      <c r="A324" s="2" t="s">
        <v>1248</v>
      </c>
      <c r="B324" s="2" t="s">
        <v>73</v>
      </c>
      <c r="C324" s="8" t="s">
        <v>1249</v>
      </c>
      <c r="D324" s="2">
        <v>1</v>
      </c>
      <c r="E324" s="8" t="s">
        <v>10156</v>
      </c>
      <c r="F324" s="8" t="s">
        <v>11269</v>
      </c>
      <c r="G324" s="8" t="str">
        <f>HYPERLINK("https://seichotoushi-hojo.jp/assets/pdf/koufu/outline_82.pdf","PDFを開く")</f>
        <v>PDFを開く</v>
      </c>
    </row>
    <row r="325" spans="1:7" ht="87.95" customHeight="1">
      <c r="A325" s="5" t="s">
        <v>1248</v>
      </c>
      <c r="B325" s="5" t="s">
        <v>73</v>
      </c>
      <c r="C325" s="9" t="s">
        <v>1249</v>
      </c>
      <c r="D325" s="5">
        <v>2</v>
      </c>
      <c r="E325" s="9" t="s">
        <v>10165</v>
      </c>
      <c r="F325" s="9" t="s">
        <v>11270</v>
      </c>
      <c r="G325" s="9" t="str">
        <f>HYPERLINK("https://seichotoushi-hojo.jp/assets/pdf/koufu/outline_82.pdf","PDFを開く")</f>
        <v>PDFを開く</v>
      </c>
    </row>
    <row r="326" spans="1:7" ht="87.95" customHeight="1">
      <c r="A326" s="2" t="s">
        <v>1255</v>
      </c>
      <c r="B326" s="2" t="s">
        <v>73</v>
      </c>
      <c r="C326" s="8" t="s">
        <v>1256</v>
      </c>
      <c r="D326" s="2">
        <v>1</v>
      </c>
      <c r="E326" s="8" t="s">
        <v>10156</v>
      </c>
      <c r="F326" s="8" t="s">
        <v>11271</v>
      </c>
      <c r="G326" s="8" t="str">
        <f>HYPERLINK("https://seichotoushi-hojo.jp/assets/pdf/koufu/outline_83.pdf","PDFを開く")</f>
        <v>PDFを開く</v>
      </c>
    </row>
    <row r="327" spans="1:7" ht="87.95" customHeight="1">
      <c r="A327" s="5" t="s">
        <v>1255</v>
      </c>
      <c r="B327" s="5" t="s">
        <v>73</v>
      </c>
      <c r="C327" s="9" t="s">
        <v>1256</v>
      </c>
      <c r="D327" s="5">
        <v>2</v>
      </c>
      <c r="E327" s="9" t="s">
        <v>10165</v>
      </c>
      <c r="F327" s="9" t="s">
        <v>11272</v>
      </c>
      <c r="G327" s="9" t="str">
        <f>HYPERLINK("https://seichotoushi-hojo.jp/assets/pdf/koufu/outline_83.pdf","PDFを開く")</f>
        <v>PDFを開く</v>
      </c>
    </row>
    <row r="328" spans="1:7" ht="87.95" customHeight="1">
      <c r="A328" s="2" t="s">
        <v>1263</v>
      </c>
      <c r="B328" s="2" t="s">
        <v>73</v>
      </c>
      <c r="C328" s="8" t="s">
        <v>1264</v>
      </c>
      <c r="D328" s="2">
        <v>1</v>
      </c>
      <c r="E328" s="8" t="s">
        <v>10156</v>
      </c>
      <c r="F328" s="8" t="s">
        <v>11273</v>
      </c>
      <c r="G328" s="8" t="str">
        <f>HYPERLINK("https://seichotoushi-hojo.jp/assets/pdf/koufu/outline_84.pdf","PDFを開く")</f>
        <v>PDFを開く</v>
      </c>
    </row>
    <row r="329" spans="1:7" ht="87.95" customHeight="1">
      <c r="A329" s="5" t="s">
        <v>1263</v>
      </c>
      <c r="B329" s="5" t="s">
        <v>73</v>
      </c>
      <c r="C329" s="9" t="s">
        <v>1264</v>
      </c>
      <c r="D329" s="5">
        <v>2</v>
      </c>
      <c r="E329" s="9" t="s">
        <v>10165</v>
      </c>
      <c r="F329" s="9" t="s">
        <v>11274</v>
      </c>
      <c r="G329" s="9" t="str">
        <f>HYPERLINK("https://seichotoushi-hojo.jp/assets/pdf/koufu/outline_84.pdf","PDFを開く")</f>
        <v>PDFを開く</v>
      </c>
    </row>
    <row r="330" spans="1:7" ht="87.95" customHeight="1">
      <c r="A330" s="2" t="s">
        <v>1272</v>
      </c>
      <c r="B330" s="2" t="s">
        <v>73</v>
      </c>
      <c r="C330" s="8" t="s">
        <v>1273</v>
      </c>
      <c r="D330" s="2">
        <v>1</v>
      </c>
      <c r="E330" s="8" t="s">
        <v>10156</v>
      </c>
      <c r="F330" s="8" t="s">
        <v>11275</v>
      </c>
      <c r="G330" s="8" t="str">
        <f>HYPERLINK("https://seichotoushi-hojo.jp/assets/pdf/koufu/outline_85.pdf","PDFを開く")</f>
        <v>PDFを開く</v>
      </c>
    </row>
    <row r="331" spans="1:7" ht="87.95" customHeight="1">
      <c r="A331" s="5" t="s">
        <v>1272</v>
      </c>
      <c r="B331" s="5" t="s">
        <v>73</v>
      </c>
      <c r="C331" s="9" t="s">
        <v>1273</v>
      </c>
      <c r="D331" s="5">
        <v>2</v>
      </c>
      <c r="E331" s="9" t="s">
        <v>10165</v>
      </c>
      <c r="F331" s="9" t="s">
        <v>11276</v>
      </c>
      <c r="G331" s="9" t="str">
        <f>HYPERLINK("https://seichotoushi-hojo.jp/assets/pdf/koufu/outline_85.pdf","PDFを開く")</f>
        <v>PDFを開く</v>
      </c>
    </row>
    <row r="332" spans="1:7" ht="87.95" customHeight="1">
      <c r="A332" s="2" t="s">
        <v>1281</v>
      </c>
      <c r="B332" s="2" t="s">
        <v>73</v>
      </c>
      <c r="C332" s="8" t="s">
        <v>1282</v>
      </c>
      <c r="D332" s="2">
        <v>1</v>
      </c>
      <c r="E332" s="8" t="s">
        <v>10422</v>
      </c>
      <c r="F332" s="8" t="s">
        <v>1282</v>
      </c>
      <c r="G332" s="8" t="str">
        <f>HYPERLINK("https://seichotoushi-hojo.jp/assets/pdf/koufu/outline_86.pdf","PDFを開く")</f>
        <v>PDFを開く</v>
      </c>
    </row>
    <row r="333" spans="1:7" ht="87.95" customHeight="1">
      <c r="A333" s="5" t="s">
        <v>1281</v>
      </c>
      <c r="B333" s="5" t="s">
        <v>73</v>
      </c>
      <c r="C333" s="9" t="s">
        <v>1282</v>
      </c>
      <c r="D333" s="5">
        <v>2</v>
      </c>
      <c r="E333" s="9" t="s">
        <v>10422</v>
      </c>
      <c r="F333" s="9" t="s">
        <v>11277</v>
      </c>
      <c r="G333" s="9" t="str">
        <f>HYPERLINK("https://seichotoushi-hojo.jp/assets/pdf/koufu/outline_86.pdf","PDFを開く")</f>
        <v>PDFを開く</v>
      </c>
    </row>
    <row r="334" spans="1:7" ht="87.95" customHeight="1">
      <c r="A334" s="2" t="s">
        <v>1287</v>
      </c>
      <c r="B334" s="2" t="s">
        <v>73</v>
      </c>
      <c r="C334" s="8" t="s">
        <v>1288</v>
      </c>
      <c r="D334" s="2">
        <v>1</v>
      </c>
      <c r="E334" s="8" t="s">
        <v>10156</v>
      </c>
      <c r="F334" s="8" t="s">
        <v>11278</v>
      </c>
      <c r="G334" s="8" t="str">
        <f>HYPERLINK("https://seichotoushi-hojo.jp/assets/pdf/koufu/outline_87.pdf","PDFを開く")</f>
        <v>PDFを開く</v>
      </c>
    </row>
    <row r="335" spans="1:7" ht="87.95" customHeight="1">
      <c r="A335" s="5" t="s">
        <v>1287</v>
      </c>
      <c r="B335" s="5" t="s">
        <v>73</v>
      </c>
      <c r="C335" s="9" t="s">
        <v>1288</v>
      </c>
      <c r="D335" s="5">
        <v>2</v>
      </c>
      <c r="E335" s="9" t="s">
        <v>10165</v>
      </c>
      <c r="F335" s="9" t="s">
        <v>11279</v>
      </c>
      <c r="G335" s="9" t="str">
        <f>HYPERLINK("https://seichotoushi-hojo.jp/assets/pdf/koufu/outline_87.pdf","PDFを開く")</f>
        <v>PDFを開く</v>
      </c>
    </row>
    <row r="336" spans="1:7" ht="87.95" customHeight="1">
      <c r="A336" s="2" t="s">
        <v>1294</v>
      </c>
      <c r="B336" s="2" t="s">
        <v>73</v>
      </c>
      <c r="C336" s="8" t="s">
        <v>1295</v>
      </c>
      <c r="D336" s="2">
        <v>1</v>
      </c>
      <c r="E336" s="8" t="s">
        <v>10156</v>
      </c>
      <c r="F336" s="8" t="s">
        <v>11280</v>
      </c>
      <c r="G336" s="8" t="str">
        <f>HYPERLINK("https://seichotoushi-hojo.jp/assets/pdf/koufu/outline_88.pdf","PDFを開く")</f>
        <v>PDFを開く</v>
      </c>
    </row>
    <row r="337" spans="1:7" ht="87.95" customHeight="1">
      <c r="A337" s="5" t="s">
        <v>1294</v>
      </c>
      <c r="B337" s="5" t="s">
        <v>73</v>
      </c>
      <c r="C337" s="9" t="s">
        <v>1295</v>
      </c>
      <c r="D337" s="5">
        <v>2</v>
      </c>
      <c r="E337" s="9" t="s">
        <v>10165</v>
      </c>
      <c r="F337" s="9" t="s">
        <v>11281</v>
      </c>
      <c r="G337" s="9" t="str">
        <f>HYPERLINK("https://seichotoushi-hojo.jp/assets/pdf/koufu/outline_88.pdf","PDFを開く")</f>
        <v>PDFを開く</v>
      </c>
    </row>
    <row r="338" spans="1:7" ht="87.95" customHeight="1">
      <c r="A338" s="2" t="s">
        <v>1303</v>
      </c>
      <c r="B338" s="2" t="s">
        <v>73</v>
      </c>
      <c r="C338" s="8" t="s">
        <v>1304</v>
      </c>
      <c r="D338" s="2">
        <v>1</v>
      </c>
      <c r="E338" s="8" t="s">
        <v>10156</v>
      </c>
      <c r="F338" s="8" t="s">
        <v>11282</v>
      </c>
      <c r="G338" s="8" t="str">
        <f>HYPERLINK("https://seichotoushi-hojo.jp/assets/pdf/koufu/outline_89.pdf","PDFを開く")</f>
        <v>PDFを開く</v>
      </c>
    </row>
    <row r="339" spans="1:7" ht="87.95" customHeight="1">
      <c r="A339" s="5" t="s">
        <v>1303</v>
      </c>
      <c r="B339" s="5" t="s">
        <v>73</v>
      </c>
      <c r="C339" s="9" t="s">
        <v>1304</v>
      </c>
      <c r="D339" s="5">
        <v>2</v>
      </c>
      <c r="E339" s="9" t="s">
        <v>10165</v>
      </c>
      <c r="F339" s="9" t="s">
        <v>11283</v>
      </c>
      <c r="G339" s="9" t="str">
        <f>HYPERLINK("https://seichotoushi-hojo.jp/assets/pdf/koufu/outline_89.pdf","PDFを開く")</f>
        <v>PDFを開く</v>
      </c>
    </row>
    <row r="340" spans="1:7" ht="87.95" customHeight="1">
      <c r="A340" s="2" t="s">
        <v>1311</v>
      </c>
      <c r="B340" s="2" t="s">
        <v>73</v>
      </c>
      <c r="C340" s="8" t="s">
        <v>1312</v>
      </c>
      <c r="D340" s="2">
        <v>1</v>
      </c>
      <c r="E340" s="8" t="s">
        <v>10156</v>
      </c>
      <c r="F340" s="8" t="s">
        <v>11284</v>
      </c>
      <c r="G340" s="8" t="str">
        <f>HYPERLINK("https://seichotoushi-hojo.jp/assets/pdf/koufu/outline_9.pdf","PDFを開く")</f>
        <v>PDFを開く</v>
      </c>
    </row>
    <row r="341" spans="1:7" ht="87.95" customHeight="1">
      <c r="A341" s="5" t="s">
        <v>1311</v>
      </c>
      <c r="B341" s="5" t="s">
        <v>73</v>
      </c>
      <c r="C341" s="9" t="s">
        <v>1312</v>
      </c>
      <c r="D341" s="5">
        <v>2</v>
      </c>
      <c r="E341" s="9" t="s">
        <v>10165</v>
      </c>
      <c r="F341" s="9" t="s">
        <v>11285</v>
      </c>
      <c r="G341" s="9" t="str">
        <f>HYPERLINK("https://seichotoushi-hojo.jp/assets/pdf/koufu/outline_9.pdf","PDFを開く")</f>
        <v>PDFを開く</v>
      </c>
    </row>
    <row r="342" spans="1:7" ht="87.95" customHeight="1">
      <c r="A342" s="2" t="s">
        <v>1318</v>
      </c>
      <c r="B342" s="2" t="s">
        <v>73</v>
      </c>
      <c r="C342" s="8" t="s">
        <v>1319</v>
      </c>
      <c r="D342" s="2">
        <v>1</v>
      </c>
      <c r="E342" s="8" t="s">
        <v>10422</v>
      </c>
      <c r="F342" s="8" t="s">
        <v>1319</v>
      </c>
      <c r="G342" s="8" t="str">
        <f>HYPERLINK("https://seichotoushi-hojo.jp/assets/pdf/koufu/outline_91.pdf","PDFを開く")</f>
        <v>PDFを開く</v>
      </c>
    </row>
    <row r="343" spans="1:7" ht="87.95" customHeight="1">
      <c r="A343" s="5" t="s">
        <v>1318</v>
      </c>
      <c r="B343" s="5" t="s">
        <v>73</v>
      </c>
      <c r="C343" s="9" t="s">
        <v>1319</v>
      </c>
      <c r="D343" s="5">
        <v>2</v>
      </c>
      <c r="E343" s="9" t="s">
        <v>10165</v>
      </c>
      <c r="F343" s="9" t="s">
        <v>11286</v>
      </c>
      <c r="G343" s="9" t="str">
        <f>HYPERLINK("https://seichotoushi-hojo.jp/assets/pdf/koufu/outline_91.pdf","PDFを開く")</f>
        <v>PDFを開く</v>
      </c>
    </row>
    <row r="344" spans="1:7" ht="87.95" customHeight="1">
      <c r="A344" s="2" t="s">
        <v>1328</v>
      </c>
      <c r="B344" s="2" t="s">
        <v>73</v>
      </c>
      <c r="C344" s="8" t="s">
        <v>1329</v>
      </c>
      <c r="D344" s="2">
        <v>1</v>
      </c>
      <c r="E344" s="8" t="s">
        <v>10156</v>
      </c>
      <c r="F344" s="8" t="s">
        <v>11287</v>
      </c>
      <c r="G344" s="8" t="str">
        <f>HYPERLINK("https://seichotoushi-hojo.jp/assets/pdf/koufu/outline_92.pdf","PDFを開く")</f>
        <v>PDFを開く</v>
      </c>
    </row>
    <row r="345" spans="1:7" ht="87.95" customHeight="1">
      <c r="A345" s="5" t="s">
        <v>1328</v>
      </c>
      <c r="B345" s="5" t="s">
        <v>73</v>
      </c>
      <c r="C345" s="9" t="s">
        <v>1329</v>
      </c>
      <c r="D345" s="5">
        <v>2</v>
      </c>
      <c r="E345" s="9" t="s">
        <v>10165</v>
      </c>
      <c r="F345" s="9" t="s">
        <v>11288</v>
      </c>
      <c r="G345" s="9" t="str">
        <f>HYPERLINK("https://seichotoushi-hojo.jp/assets/pdf/koufu/outline_92.pdf","PDFを開く")</f>
        <v>PDFを開く</v>
      </c>
    </row>
    <row r="346" spans="1:7" ht="87.95" customHeight="1">
      <c r="A346" s="2" t="s">
        <v>1335</v>
      </c>
      <c r="B346" s="2" t="s">
        <v>73</v>
      </c>
      <c r="C346" s="8" t="s">
        <v>1336</v>
      </c>
      <c r="D346" s="2">
        <v>1</v>
      </c>
      <c r="E346" s="8" t="s">
        <v>10156</v>
      </c>
      <c r="F346" s="8" t="s">
        <v>11289</v>
      </c>
      <c r="G346" s="8" t="str">
        <f>HYPERLINK("https://seichotoushi-hojo.jp/assets/pdf/koufu/outline_93.pdf","PDFを開く")</f>
        <v>PDFを開く</v>
      </c>
    </row>
    <row r="347" spans="1:7" ht="87.95" customHeight="1">
      <c r="A347" s="5" t="s">
        <v>1335</v>
      </c>
      <c r="B347" s="5" t="s">
        <v>73</v>
      </c>
      <c r="C347" s="9" t="s">
        <v>1336</v>
      </c>
      <c r="D347" s="5">
        <v>2</v>
      </c>
      <c r="E347" s="9" t="s">
        <v>10165</v>
      </c>
      <c r="F347" s="9" t="s">
        <v>11290</v>
      </c>
      <c r="G347" s="9" t="str">
        <f>HYPERLINK("https://seichotoushi-hojo.jp/assets/pdf/koufu/outline_93.pdf","PDFを開く")</f>
        <v>PDFを開く</v>
      </c>
    </row>
    <row r="348" spans="1:7" ht="87.95" customHeight="1">
      <c r="A348" s="2" t="s">
        <v>1343</v>
      </c>
      <c r="B348" s="2" t="s">
        <v>73</v>
      </c>
      <c r="C348" s="8" t="s">
        <v>1344</v>
      </c>
      <c r="D348" s="2">
        <v>1</v>
      </c>
      <c r="E348" s="8" t="s">
        <v>10156</v>
      </c>
      <c r="F348" s="8" t="s">
        <v>11291</v>
      </c>
      <c r="G348" s="8" t="str">
        <f>HYPERLINK("https://seichotoushi-hojo.jp/assets/pdf/koufu/outline_94.pdf","PDFを開く")</f>
        <v>PDFを開く</v>
      </c>
    </row>
    <row r="349" spans="1:7" ht="87.95" customHeight="1">
      <c r="A349" s="5" t="s">
        <v>1343</v>
      </c>
      <c r="B349" s="5" t="s">
        <v>73</v>
      </c>
      <c r="C349" s="9" t="s">
        <v>1344</v>
      </c>
      <c r="D349" s="5">
        <v>2</v>
      </c>
      <c r="E349" s="9" t="s">
        <v>10165</v>
      </c>
      <c r="F349" s="9" t="s">
        <v>11292</v>
      </c>
      <c r="G349" s="9" t="str">
        <f>HYPERLINK("https://seichotoushi-hojo.jp/assets/pdf/koufu/outline_94.pdf","PDFを開く")</f>
        <v>PDFを開く</v>
      </c>
    </row>
    <row r="350" spans="1:7" ht="87.95" customHeight="1">
      <c r="A350" s="2" t="s">
        <v>1350</v>
      </c>
      <c r="B350" s="2" t="s">
        <v>73</v>
      </c>
      <c r="C350" s="8" t="s">
        <v>1351</v>
      </c>
      <c r="D350" s="2">
        <v>1</v>
      </c>
      <c r="E350" s="8" t="s">
        <v>10156</v>
      </c>
      <c r="F350" s="8" t="s">
        <v>11293</v>
      </c>
      <c r="G350" s="8" t="str">
        <f>HYPERLINK("https://seichotoushi-hojo.jp/assets/pdf/koufu/outline_95.pdf","PDFを開く")</f>
        <v>PDFを開く</v>
      </c>
    </row>
    <row r="351" spans="1:7" ht="87.95" customHeight="1">
      <c r="A351" s="5" t="s">
        <v>1350</v>
      </c>
      <c r="B351" s="5" t="s">
        <v>73</v>
      </c>
      <c r="C351" s="9" t="s">
        <v>1351</v>
      </c>
      <c r="D351" s="5">
        <v>2</v>
      </c>
      <c r="E351" s="9" t="s">
        <v>10165</v>
      </c>
      <c r="F351" s="9" t="s">
        <v>11294</v>
      </c>
      <c r="G351" s="9" t="str">
        <f>HYPERLINK("https://seichotoushi-hojo.jp/assets/pdf/koufu/outline_95.pdf","PDFを開く")</f>
        <v>PDFを開く</v>
      </c>
    </row>
    <row r="352" spans="1:7" ht="87.95" customHeight="1">
      <c r="A352" s="2" t="s">
        <v>1358</v>
      </c>
      <c r="B352" s="2" t="s">
        <v>73</v>
      </c>
      <c r="C352" s="8" t="s">
        <v>1359</v>
      </c>
      <c r="D352" s="2">
        <v>1</v>
      </c>
      <c r="E352" s="8" t="s">
        <v>10156</v>
      </c>
      <c r="F352" s="8" t="s">
        <v>11295</v>
      </c>
      <c r="G352" s="8" t="str">
        <f>HYPERLINK("https://seichotoushi-hojo.jp/assets/pdf/koufu/outline_96.pdf","PDFを開く")</f>
        <v>PDFを開く</v>
      </c>
    </row>
    <row r="353" spans="1:7" ht="87.95" customHeight="1">
      <c r="A353" s="5" t="s">
        <v>1358</v>
      </c>
      <c r="B353" s="5" t="s">
        <v>73</v>
      </c>
      <c r="C353" s="9" t="s">
        <v>1359</v>
      </c>
      <c r="D353" s="5">
        <v>2</v>
      </c>
      <c r="E353" s="9" t="s">
        <v>10165</v>
      </c>
      <c r="F353" s="9" t="s">
        <v>11296</v>
      </c>
      <c r="G353" s="9" t="str">
        <f>HYPERLINK("https://seichotoushi-hojo.jp/assets/pdf/koufu/outline_96.pdf","PDFを開く")</f>
        <v>PDFを開く</v>
      </c>
    </row>
    <row r="354" spans="1:7" ht="87.95" customHeight="1">
      <c r="A354" s="2" t="s">
        <v>1367</v>
      </c>
      <c r="B354" s="2" t="s">
        <v>73</v>
      </c>
      <c r="C354" s="8" t="s">
        <v>1368</v>
      </c>
      <c r="D354" s="2">
        <v>1</v>
      </c>
      <c r="E354" s="8" t="s">
        <v>10156</v>
      </c>
      <c r="F354" s="8" t="s">
        <v>11297</v>
      </c>
      <c r="G354" s="8" t="str">
        <f>HYPERLINK("https://seichotoushi-hojo.jp/assets/pdf/koufu/outline_97.pdf","PDFを開く")</f>
        <v>PDFを開く</v>
      </c>
    </row>
    <row r="355" spans="1:7" ht="87.95" customHeight="1">
      <c r="A355" s="5" t="s">
        <v>1367</v>
      </c>
      <c r="B355" s="5" t="s">
        <v>73</v>
      </c>
      <c r="C355" s="9" t="s">
        <v>1368</v>
      </c>
      <c r="D355" s="5">
        <v>2</v>
      </c>
      <c r="E355" s="9" t="s">
        <v>10156</v>
      </c>
      <c r="F355" s="9" t="s">
        <v>11298</v>
      </c>
      <c r="G355" s="9" t="str">
        <f>HYPERLINK("https://seichotoushi-hojo.jp/assets/pdf/koufu/outline_97.pdf","PDFを開く")</f>
        <v>PDFを開く</v>
      </c>
    </row>
    <row r="356" spans="1:7" ht="87.95" customHeight="1">
      <c r="A356" s="2" t="s">
        <v>1367</v>
      </c>
      <c r="B356" s="2" t="s">
        <v>73</v>
      </c>
      <c r="C356" s="8" t="s">
        <v>1368</v>
      </c>
      <c r="D356" s="2">
        <v>3</v>
      </c>
      <c r="E356" s="8" t="s">
        <v>10156</v>
      </c>
      <c r="F356" s="8" t="s">
        <v>11299</v>
      </c>
      <c r="G356" s="8" t="str">
        <f>HYPERLINK("https://seichotoushi-hojo.jp/assets/pdf/koufu/outline_97.pdf","PDFを開く")</f>
        <v>PDFを開く</v>
      </c>
    </row>
    <row r="357" spans="1:7" ht="87.95" customHeight="1">
      <c r="A357" s="5" t="s">
        <v>1367</v>
      </c>
      <c r="B357" s="5" t="s">
        <v>73</v>
      </c>
      <c r="C357" s="9" t="s">
        <v>1368</v>
      </c>
      <c r="D357" s="5">
        <v>4</v>
      </c>
      <c r="E357" s="9" t="s">
        <v>10156</v>
      </c>
      <c r="F357" s="9" t="s">
        <v>11300</v>
      </c>
      <c r="G357" s="9" t="str">
        <f>HYPERLINK("https://seichotoushi-hojo.jp/assets/pdf/koufu/outline_97.pdf","PDFを開く")</f>
        <v>PDFを開く</v>
      </c>
    </row>
    <row r="358" spans="1:7" ht="87.95" customHeight="1">
      <c r="A358" s="2" t="s">
        <v>1367</v>
      </c>
      <c r="B358" s="2" t="s">
        <v>73</v>
      </c>
      <c r="C358" s="8" t="s">
        <v>1368</v>
      </c>
      <c r="D358" s="2">
        <v>5</v>
      </c>
      <c r="E358" s="8" t="s">
        <v>10165</v>
      </c>
      <c r="F358" s="8" t="s">
        <v>11301</v>
      </c>
      <c r="G358" s="8" t="str">
        <f>HYPERLINK("https://seichotoushi-hojo.jp/assets/pdf/koufu/outline_97.pdf","PDFを開く")</f>
        <v>PDFを開く</v>
      </c>
    </row>
    <row r="359" spans="1:7" ht="87.95" customHeight="1">
      <c r="A359" s="5" t="s">
        <v>1377</v>
      </c>
      <c r="B359" s="5" t="s">
        <v>73</v>
      </c>
      <c r="C359" s="9" t="s">
        <v>1378</v>
      </c>
      <c r="D359" s="5">
        <v>1</v>
      </c>
      <c r="E359" s="9" t="s">
        <v>10156</v>
      </c>
      <c r="F359" s="9" t="s">
        <v>11302</v>
      </c>
      <c r="G359" s="9" t="str">
        <f>HYPERLINK("https://seichotoushi-hojo.jp/assets/pdf/koufu/outline_99.pdf","PDFを開く")</f>
        <v>PDFを開く</v>
      </c>
    </row>
    <row r="360" spans="1:7" ht="87.95" customHeight="1">
      <c r="A360" s="2" t="s">
        <v>1377</v>
      </c>
      <c r="B360" s="2" t="s">
        <v>73</v>
      </c>
      <c r="C360" s="8" t="s">
        <v>1378</v>
      </c>
      <c r="D360" s="2">
        <v>2</v>
      </c>
      <c r="E360" s="8" t="s">
        <v>10165</v>
      </c>
      <c r="F360" s="8" t="s">
        <v>11303</v>
      </c>
      <c r="G360" s="8" t="str">
        <f>HYPERLINK("https://seichotoushi-hojo.jp/assets/pdf/koufu/outline_99.pdf","PDFを開く")</f>
        <v>PDFを開く</v>
      </c>
    </row>
    <row r="361" spans="1:7" ht="87.95" customHeight="1">
      <c r="A361" s="5" t="s">
        <v>1385</v>
      </c>
      <c r="B361" s="5" t="s">
        <v>1386</v>
      </c>
      <c r="C361" s="9" t="s">
        <v>1387</v>
      </c>
      <c r="D361" s="5">
        <v>1</v>
      </c>
      <c r="E361" s="9" t="s">
        <v>10156</v>
      </c>
      <c r="F361" s="9" t="s">
        <v>11304</v>
      </c>
      <c r="G361" s="9" t="str">
        <f>HYPERLINK("https://seichotoushi-hojo.jp/assets/pdf/koufu/outline__179.pdf","PDFを開く")</f>
        <v>PDFを開く</v>
      </c>
    </row>
    <row r="362" spans="1:7" ht="87.95" customHeight="1">
      <c r="A362" s="2" t="s">
        <v>1385</v>
      </c>
      <c r="B362" s="2" t="s">
        <v>1386</v>
      </c>
      <c r="C362" s="8" t="s">
        <v>1387</v>
      </c>
      <c r="D362" s="2">
        <v>2</v>
      </c>
      <c r="E362" s="8" t="s">
        <v>10165</v>
      </c>
      <c r="F362" s="8" t="s">
        <v>11305</v>
      </c>
      <c r="G362" s="8" t="str">
        <f>HYPERLINK("https://seichotoushi-hojo.jp/assets/pdf/koufu/outline__179.pdf","PDFを開く")</f>
        <v>PDFを開く</v>
      </c>
    </row>
    <row r="363" spans="1:7" ht="87.95" customHeight="1">
      <c r="A363" s="5" t="s">
        <v>1395</v>
      </c>
      <c r="B363" s="5" t="s">
        <v>1386</v>
      </c>
      <c r="C363" s="9" t="s">
        <v>1396</v>
      </c>
      <c r="D363" s="5">
        <v>1</v>
      </c>
      <c r="E363" s="9" t="s">
        <v>10156</v>
      </c>
      <c r="F363" s="9" t="s">
        <v>11306</v>
      </c>
      <c r="G363" s="9" t="str">
        <f t="shared" ref="G363:G371" si="3">HYPERLINK("https://seichotoushi-hojo.jp/assets/pdf/koufu/outline__181.pdf","PDFを開く")</f>
        <v>PDFを開く</v>
      </c>
    </row>
    <row r="364" spans="1:7" ht="87.95" customHeight="1">
      <c r="A364" s="2" t="s">
        <v>1395</v>
      </c>
      <c r="B364" s="2" t="s">
        <v>1386</v>
      </c>
      <c r="C364" s="8" t="s">
        <v>1396</v>
      </c>
      <c r="D364" s="2">
        <v>2</v>
      </c>
      <c r="E364" s="8" t="s">
        <v>10156</v>
      </c>
      <c r="F364" s="8" t="s">
        <v>1396</v>
      </c>
      <c r="G364" s="8" t="str">
        <f t="shared" si="3"/>
        <v>PDFを開く</v>
      </c>
    </row>
    <row r="365" spans="1:7" ht="87.95" customHeight="1">
      <c r="A365" s="5" t="s">
        <v>1395</v>
      </c>
      <c r="B365" s="5" t="s">
        <v>1386</v>
      </c>
      <c r="C365" s="9" t="s">
        <v>1396</v>
      </c>
      <c r="D365" s="5">
        <v>3</v>
      </c>
      <c r="E365" s="9" t="s">
        <v>10156</v>
      </c>
      <c r="F365" s="9" t="s">
        <v>11307</v>
      </c>
      <c r="G365" s="9" t="str">
        <f t="shared" si="3"/>
        <v>PDFを開く</v>
      </c>
    </row>
    <row r="366" spans="1:7" ht="87.95" customHeight="1">
      <c r="A366" s="2" t="s">
        <v>1395</v>
      </c>
      <c r="B366" s="2" t="s">
        <v>1386</v>
      </c>
      <c r="C366" s="8" t="s">
        <v>1396</v>
      </c>
      <c r="D366" s="2">
        <v>4</v>
      </c>
      <c r="E366" s="8" t="s">
        <v>10156</v>
      </c>
      <c r="F366" s="8" t="s">
        <v>11308</v>
      </c>
      <c r="G366" s="8" t="str">
        <f t="shared" si="3"/>
        <v>PDFを開く</v>
      </c>
    </row>
    <row r="367" spans="1:7" ht="87.95" customHeight="1">
      <c r="A367" s="5" t="s">
        <v>1395</v>
      </c>
      <c r="B367" s="5" t="s">
        <v>1386</v>
      </c>
      <c r="C367" s="9" t="s">
        <v>1396</v>
      </c>
      <c r="D367" s="5">
        <v>5</v>
      </c>
      <c r="E367" s="9" t="s">
        <v>10156</v>
      </c>
      <c r="F367" s="9" t="s">
        <v>11309</v>
      </c>
      <c r="G367" s="9" t="str">
        <f t="shared" si="3"/>
        <v>PDFを開く</v>
      </c>
    </row>
    <row r="368" spans="1:7" ht="87.95" customHeight="1">
      <c r="A368" s="2" t="s">
        <v>1395</v>
      </c>
      <c r="B368" s="2" t="s">
        <v>1386</v>
      </c>
      <c r="C368" s="8" t="s">
        <v>1396</v>
      </c>
      <c r="D368" s="2">
        <v>6</v>
      </c>
      <c r="E368" s="8" t="s">
        <v>10165</v>
      </c>
      <c r="F368" s="8" t="s">
        <v>11310</v>
      </c>
      <c r="G368" s="8" t="str">
        <f t="shared" si="3"/>
        <v>PDFを開く</v>
      </c>
    </row>
    <row r="369" spans="1:7" ht="87.95" customHeight="1">
      <c r="A369" s="5" t="s">
        <v>1395</v>
      </c>
      <c r="B369" s="5" t="s">
        <v>1386</v>
      </c>
      <c r="C369" s="9" t="s">
        <v>1396</v>
      </c>
      <c r="D369" s="5">
        <v>7</v>
      </c>
      <c r="E369" s="9" t="s">
        <v>10165</v>
      </c>
      <c r="F369" s="9" t="s">
        <v>11311</v>
      </c>
      <c r="G369" s="9" t="str">
        <f t="shared" si="3"/>
        <v>PDFを開く</v>
      </c>
    </row>
    <row r="370" spans="1:7" ht="87.95" customHeight="1">
      <c r="A370" s="2" t="s">
        <v>1395</v>
      </c>
      <c r="B370" s="2" t="s">
        <v>1386</v>
      </c>
      <c r="C370" s="8" t="s">
        <v>1396</v>
      </c>
      <c r="D370" s="2">
        <v>8</v>
      </c>
      <c r="E370" s="8" t="s">
        <v>10165</v>
      </c>
      <c r="F370" s="8" t="s">
        <v>11312</v>
      </c>
      <c r="G370" s="8" t="str">
        <f t="shared" si="3"/>
        <v>PDFを開く</v>
      </c>
    </row>
    <row r="371" spans="1:7" ht="87.95" customHeight="1">
      <c r="A371" s="5" t="s">
        <v>1395</v>
      </c>
      <c r="B371" s="5" t="s">
        <v>1386</v>
      </c>
      <c r="C371" s="9" t="s">
        <v>1396</v>
      </c>
      <c r="D371" s="5">
        <v>9</v>
      </c>
      <c r="E371" s="9" t="s">
        <v>10165</v>
      </c>
      <c r="F371" s="9" t="s">
        <v>11313</v>
      </c>
      <c r="G371" s="9" t="str">
        <f t="shared" si="3"/>
        <v>PDFを開く</v>
      </c>
    </row>
    <row r="372" spans="1:7" ht="87.95" customHeight="1">
      <c r="A372" s="2" t="s">
        <v>1405</v>
      </c>
      <c r="B372" s="2" t="s">
        <v>1386</v>
      </c>
      <c r="C372" s="8" t="s">
        <v>1406</v>
      </c>
      <c r="D372" s="2">
        <v>1</v>
      </c>
      <c r="E372" s="8" t="s">
        <v>10156</v>
      </c>
      <c r="F372" s="8" t="s">
        <v>11314</v>
      </c>
      <c r="G372" s="8" t="str">
        <f>HYPERLINK("https://seichotoushi-hojo.jp/assets/pdf/koufu/outline__182.pdf","PDFを開く")</f>
        <v>PDFを開く</v>
      </c>
    </row>
    <row r="373" spans="1:7" ht="87.95" customHeight="1">
      <c r="A373" s="5" t="s">
        <v>1405</v>
      </c>
      <c r="B373" s="5" t="s">
        <v>1386</v>
      </c>
      <c r="C373" s="9" t="s">
        <v>1406</v>
      </c>
      <c r="D373" s="5">
        <v>2</v>
      </c>
      <c r="E373" s="9" t="s">
        <v>10165</v>
      </c>
      <c r="F373" s="9" t="s">
        <v>11315</v>
      </c>
      <c r="G373" s="9" t="str">
        <f>HYPERLINK("https://seichotoushi-hojo.jp/assets/pdf/koufu/outline__182.pdf","PDFを開く")</f>
        <v>PDFを開く</v>
      </c>
    </row>
    <row r="374" spans="1:7" ht="87.95" customHeight="1">
      <c r="A374" s="2" t="s">
        <v>1414</v>
      </c>
      <c r="B374" s="2" t="s">
        <v>1386</v>
      </c>
      <c r="C374" s="8" t="s">
        <v>1415</v>
      </c>
      <c r="D374" s="2">
        <v>1</v>
      </c>
      <c r="E374" s="8" t="s">
        <v>10156</v>
      </c>
      <c r="F374" s="8" t="s">
        <v>11316</v>
      </c>
      <c r="G374" s="8" t="str">
        <f>HYPERLINK("https://seichotoushi-hojo.jp/assets/pdf/koufu/outline__183.pdf","PDFを開く")</f>
        <v>PDFを開く</v>
      </c>
    </row>
    <row r="375" spans="1:7" ht="87.95" customHeight="1">
      <c r="A375" s="5" t="s">
        <v>1414</v>
      </c>
      <c r="B375" s="5" t="s">
        <v>1386</v>
      </c>
      <c r="C375" s="9" t="s">
        <v>1415</v>
      </c>
      <c r="D375" s="5">
        <v>2</v>
      </c>
      <c r="E375" s="9" t="s">
        <v>10165</v>
      </c>
      <c r="F375" s="9" t="s">
        <v>11317</v>
      </c>
      <c r="G375" s="9" t="str">
        <f>HYPERLINK("https://seichotoushi-hojo.jp/assets/pdf/koufu/outline__183.pdf","PDFを開く")</f>
        <v>PDFを開く</v>
      </c>
    </row>
    <row r="376" spans="1:7" ht="87.95" customHeight="1">
      <c r="A376" s="2" t="s">
        <v>1422</v>
      </c>
      <c r="B376" s="2" t="s">
        <v>1386</v>
      </c>
      <c r="C376" s="8" t="s">
        <v>1423</v>
      </c>
      <c r="D376" s="2">
        <v>1</v>
      </c>
      <c r="E376" s="8" t="s">
        <v>10156</v>
      </c>
      <c r="F376" s="8" t="s">
        <v>11318</v>
      </c>
      <c r="G376" s="8" t="str">
        <f>HYPERLINK("https://seichotoushi-hojo.jp/assets/pdf/koufu/outline__184.pdf","PDFを開く")</f>
        <v>PDFを開く</v>
      </c>
    </row>
    <row r="377" spans="1:7" ht="87.95" customHeight="1">
      <c r="A377" s="5" t="s">
        <v>1422</v>
      </c>
      <c r="B377" s="5" t="s">
        <v>1386</v>
      </c>
      <c r="C377" s="9" t="s">
        <v>1423</v>
      </c>
      <c r="D377" s="5">
        <v>2</v>
      </c>
      <c r="E377" s="9" t="s">
        <v>10165</v>
      </c>
      <c r="F377" s="9" t="s">
        <v>11319</v>
      </c>
      <c r="G377" s="9" t="str">
        <f>HYPERLINK("https://seichotoushi-hojo.jp/assets/pdf/koufu/outline__184.pdf","PDFを開く")</f>
        <v>PDFを開く</v>
      </c>
    </row>
    <row r="378" spans="1:7" ht="87.95" customHeight="1">
      <c r="A378" s="2" t="s">
        <v>1422</v>
      </c>
      <c r="B378" s="2" t="s">
        <v>1386</v>
      </c>
      <c r="C378" s="8" t="s">
        <v>1423</v>
      </c>
      <c r="D378" s="2">
        <v>3</v>
      </c>
      <c r="E378" s="8" t="s">
        <v>10165</v>
      </c>
      <c r="F378" s="8" t="s">
        <v>11320</v>
      </c>
      <c r="G378" s="8" t="str">
        <f>HYPERLINK("https://seichotoushi-hojo.jp/assets/pdf/koufu/outline__184.pdf","PDFを開く")</f>
        <v>PDFを開く</v>
      </c>
    </row>
    <row r="379" spans="1:7" ht="87.95" customHeight="1">
      <c r="A379" s="5" t="s">
        <v>1422</v>
      </c>
      <c r="B379" s="5" t="s">
        <v>1386</v>
      </c>
      <c r="C379" s="9" t="s">
        <v>1423</v>
      </c>
      <c r="D379" s="5">
        <v>4</v>
      </c>
      <c r="E379" s="9" t="s">
        <v>10165</v>
      </c>
      <c r="F379" s="9" t="s">
        <v>11321</v>
      </c>
      <c r="G379" s="9" t="str">
        <f>HYPERLINK("https://seichotoushi-hojo.jp/assets/pdf/koufu/outline__184.pdf","PDFを開く")</f>
        <v>PDFを開く</v>
      </c>
    </row>
    <row r="380" spans="1:7" ht="87.95" customHeight="1">
      <c r="A380" s="2" t="s">
        <v>1431</v>
      </c>
      <c r="B380" s="2" t="s">
        <v>1386</v>
      </c>
      <c r="C380" s="8" t="s">
        <v>1432</v>
      </c>
      <c r="D380" s="2">
        <v>1</v>
      </c>
      <c r="E380" s="8" t="s">
        <v>10156</v>
      </c>
      <c r="F380" s="8" t="s">
        <v>11322</v>
      </c>
      <c r="G380" s="8" t="str">
        <f>HYPERLINK("https://seichotoushi-hojo.jp/assets/pdf/koufu/outline__188.pdf","PDFを開く")</f>
        <v>PDFを開く</v>
      </c>
    </row>
    <row r="381" spans="1:7" ht="87.95" customHeight="1">
      <c r="A381" s="5" t="s">
        <v>1431</v>
      </c>
      <c r="B381" s="5" t="s">
        <v>1386</v>
      </c>
      <c r="C381" s="9" t="s">
        <v>1432</v>
      </c>
      <c r="D381" s="5">
        <v>2</v>
      </c>
      <c r="E381" s="9" t="s">
        <v>10165</v>
      </c>
      <c r="F381" s="9" t="s">
        <v>11323</v>
      </c>
      <c r="G381" s="9" t="str">
        <f>HYPERLINK("https://seichotoushi-hojo.jp/assets/pdf/koufu/outline__188.pdf","PDFを開く")</f>
        <v>PDFを開く</v>
      </c>
    </row>
    <row r="382" spans="1:7" ht="87.95" customHeight="1">
      <c r="A382" s="2" t="s">
        <v>1440</v>
      </c>
      <c r="B382" s="2" t="s">
        <v>1386</v>
      </c>
      <c r="C382" s="8" t="s">
        <v>1441</v>
      </c>
      <c r="D382" s="2">
        <v>1</v>
      </c>
      <c r="E382" s="8" t="s">
        <v>10156</v>
      </c>
      <c r="F382" s="8" t="s">
        <v>11324</v>
      </c>
      <c r="G382" s="8" t="str">
        <f>HYPERLINK("https://seichotoushi-hojo.jp/assets/pdf/koufu/outline__189.pdf","PDFを開く")</f>
        <v>PDFを開く</v>
      </c>
    </row>
    <row r="383" spans="1:7" ht="87.95" customHeight="1">
      <c r="A383" s="5" t="s">
        <v>1440</v>
      </c>
      <c r="B383" s="5" t="s">
        <v>1386</v>
      </c>
      <c r="C383" s="9" t="s">
        <v>1441</v>
      </c>
      <c r="D383" s="5">
        <v>2</v>
      </c>
      <c r="E383" s="9" t="s">
        <v>10165</v>
      </c>
      <c r="F383" s="9" t="s">
        <v>11325</v>
      </c>
      <c r="G383" s="9" t="str">
        <f>HYPERLINK("https://seichotoushi-hojo.jp/assets/pdf/koufu/outline__189.pdf","PDFを開く")</f>
        <v>PDFを開く</v>
      </c>
    </row>
    <row r="384" spans="1:7" ht="87.95" customHeight="1">
      <c r="A384" s="2" t="s">
        <v>1449</v>
      </c>
      <c r="B384" s="2" t="s">
        <v>1386</v>
      </c>
      <c r="C384" s="8" t="s">
        <v>1450</v>
      </c>
      <c r="D384" s="2">
        <v>1</v>
      </c>
      <c r="E384" s="8" t="s">
        <v>10156</v>
      </c>
      <c r="F384" s="8" t="s">
        <v>11326</v>
      </c>
      <c r="G384" s="8" t="str">
        <f>HYPERLINK("https://seichotoushi-hojo.jp/assets/pdf/koufu/outline__190.pdf","PDFを開く")</f>
        <v>PDFを開く</v>
      </c>
    </row>
    <row r="385" spans="1:7" ht="87.95" customHeight="1">
      <c r="A385" s="5" t="s">
        <v>1449</v>
      </c>
      <c r="B385" s="5" t="s">
        <v>1386</v>
      </c>
      <c r="C385" s="9" t="s">
        <v>1450</v>
      </c>
      <c r="D385" s="5">
        <v>2</v>
      </c>
      <c r="E385" s="9" t="s">
        <v>10165</v>
      </c>
      <c r="F385" s="9" t="s">
        <v>11327</v>
      </c>
      <c r="G385" s="9" t="str">
        <f>HYPERLINK("https://seichotoushi-hojo.jp/assets/pdf/koufu/outline__190.pdf","PDFを開く")</f>
        <v>PDFを開く</v>
      </c>
    </row>
    <row r="386" spans="1:7" ht="87.95" customHeight="1">
      <c r="A386" s="2" t="s">
        <v>1458</v>
      </c>
      <c r="B386" s="2" t="s">
        <v>1386</v>
      </c>
      <c r="C386" s="8" t="s">
        <v>1459</v>
      </c>
      <c r="D386" s="2">
        <v>1</v>
      </c>
      <c r="E386" s="8" t="s">
        <v>10156</v>
      </c>
      <c r="F386" s="8" t="s">
        <v>11328</v>
      </c>
      <c r="G386" s="8" t="str">
        <f>HYPERLINK("https://seichotoushi-hojo.jp/assets/pdf/koufu/outline__191.pdf","PDFを開く")</f>
        <v>PDFを開く</v>
      </c>
    </row>
    <row r="387" spans="1:7" ht="87.95" customHeight="1">
      <c r="A387" s="5" t="s">
        <v>1458</v>
      </c>
      <c r="B387" s="5" t="s">
        <v>1386</v>
      </c>
      <c r="C387" s="9" t="s">
        <v>1459</v>
      </c>
      <c r="D387" s="5">
        <v>2</v>
      </c>
      <c r="E387" s="9" t="s">
        <v>10165</v>
      </c>
      <c r="F387" s="9" t="s">
        <v>11329</v>
      </c>
      <c r="G387" s="9" t="str">
        <f>HYPERLINK("https://seichotoushi-hojo.jp/assets/pdf/koufu/outline__191.pdf","PDFを開く")</f>
        <v>PDFを開く</v>
      </c>
    </row>
    <row r="388" spans="1:7" ht="87.95" customHeight="1">
      <c r="A388" s="2" t="s">
        <v>1458</v>
      </c>
      <c r="B388" s="2" t="s">
        <v>1386</v>
      </c>
      <c r="C388" s="8" t="s">
        <v>1459</v>
      </c>
      <c r="D388" s="2">
        <v>3</v>
      </c>
      <c r="E388" s="8" t="s">
        <v>10165</v>
      </c>
      <c r="F388" s="8" t="s">
        <v>11330</v>
      </c>
      <c r="G388" s="8" t="str">
        <f>HYPERLINK("https://seichotoushi-hojo.jp/assets/pdf/koufu/outline__191.pdf","PDFを開く")</f>
        <v>PDFを開く</v>
      </c>
    </row>
    <row r="389" spans="1:7" ht="87.95" customHeight="1">
      <c r="A389" s="5" t="s">
        <v>1467</v>
      </c>
      <c r="B389" s="5" t="s">
        <v>1386</v>
      </c>
      <c r="C389" s="9" t="s">
        <v>1468</v>
      </c>
      <c r="D389" s="5">
        <v>1</v>
      </c>
      <c r="E389" s="9" t="s">
        <v>10156</v>
      </c>
      <c r="F389" s="9" t="s">
        <v>11331</v>
      </c>
      <c r="G389" s="9" t="str">
        <f>HYPERLINK("https://seichotoushi-hojo.jp/assets/pdf/koufu/outline__192.pdf","PDFを開く")</f>
        <v>PDFを開く</v>
      </c>
    </row>
    <row r="390" spans="1:7" ht="87.95" customHeight="1">
      <c r="A390" s="2" t="s">
        <v>1467</v>
      </c>
      <c r="B390" s="2" t="s">
        <v>1386</v>
      </c>
      <c r="C390" s="8" t="s">
        <v>1468</v>
      </c>
      <c r="D390" s="2">
        <v>2</v>
      </c>
      <c r="E390" s="8" t="s">
        <v>10165</v>
      </c>
      <c r="F390" s="8" t="s">
        <v>11332</v>
      </c>
      <c r="G390" s="8" t="str">
        <f>HYPERLINK("https://seichotoushi-hojo.jp/assets/pdf/koufu/outline__192.pdf","PDFを開く")</f>
        <v>PDFを開く</v>
      </c>
    </row>
    <row r="391" spans="1:7" ht="87.95" customHeight="1">
      <c r="A391" s="5" t="s">
        <v>1474</v>
      </c>
      <c r="B391" s="5" t="s">
        <v>1386</v>
      </c>
      <c r="C391" s="9" t="s">
        <v>1475</v>
      </c>
      <c r="D391" s="5">
        <v>1</v>
      </c>
      <c r="E391" s="9" t="s">
        <v>10156</v>
      </c>
      <c r="F391" s="9" t="s">
        <v>11333</v>
      </c>
      <c r="G391" s="9" t="str">
        <f>HYPERLINK("https://seichotoushi-hojo.jp/assets/pdf/koufu/outline__194.pdf","PDFを開く")</f>
        <v>PDFを開く</v>
      </c>
    </row>
    <row r="392" spans="1:7" ht="87.95" customHeight="1">
      <c r="A392" s="2" t="s">
        <v>1474</v>
      </c>
      <c r="B392" s="2" t="s">
        <v>1386</v>
      </c>
      <c r="C392" s="8" t="s">
        <v>1475</v>
      </c>
      <c r="D392" s="2">
        <v>2</v>
      </c>
      <c r="E392" s="8" t="s">
        <v>10165</v>
      </c>
      <c r="F392" s="8" t="s">
        <v>11334</v>
      </c>
      <c r="G392" s="8" t="str">
        <f>HYPERLINK("https://seichotoushi-hojo.jp/assets/pdf/koufu/outline__194.pdf","PDFを開く")</f>
        <v>PDFを開く</v>
      </c>
    </row>
    <row r="393" spans="1:7" ht="87.95" customHeight="1">
      <c r="A393" s="5" t="s">
        <v>1483</v>
      </c>
      <c r="B393" s="5" t="s">
        <v>1386</v>
      </c>
      <c r="C393" s="9" t="s">
        <v>1484</v>
      </c>
      <c r="D393" s="5">
        <v>1</v>
      </c>
      <c r="E393" s="9" t="s">
        <v>10156</v>
      </c>
      <c r="F393" s="9" t="s">
        <v>11335</v>
      </c>
      <c r="G393" s="9" t="str">
        <f>HYPERLINK("https://seichotoushi-hojo.jp/assets/pdf/koufu/outline__195.pdf","PDFを開く")</f>
        <v>PDFを開く</v>
      </c>
    </row>
    <row r="394" spans="1:7" ht="87.95" customHeight="1">
      <c r="A394" s="2" t="s">
        <v>1483</v>
      </c>
      <c r="B394" s="2" t="s">
        <v>1386</v>
      </c>
      <c r="C394" s="8" t="s">
        <v>1484</v>
      </c>
      <c r="D394" s="2">
        <v>2</v>
      </c>
      <c r="E394" s="8" t="s">
        <v>10165</v>
      </c>
      <c r="F394" s="8" t="s">
        <v>11336</v>
      </c>
      <c r="G394" s="8" t="str">
        <f>HYPERLINK("https://seichotoushi-hojo.jp/assets/pdf/koufu/outline__195.pdf","PDFを開く")</f>
        <v>PDFを開く</v>
      </c>
    </row>
    <row r="395" spans="1:7" ht="87.95" customHeight="1">
      <c r="A395" s="5" t="s">
        <v>1491</v>
      </c>
      <c r="B395" s="5" t="s">
        <v>1386</v>
      </c>
      <c r="C395" s="9" t="s">
        <v>1492</v>
      </c>
      <c r="D395" s="5">
        <v>1</v>
      </c>
      <c r="E395" s="9" t="s">
        <v>10156</v>
      </c>
      <c r="F395" s="9" t="s">
        <v>11337</v>
      </c>
      <c r="G395" s="9" t="str">
        <f>HYPERLINK("https://seichotoushi-hojo.jp/assets/pdf/koufu/outline__196.pdf","PDFを開く")</f>
        <v>PDFを開く</v>
      </c>
    </row>
    <row r="396" spans="1:7" ht="87.95" customHeight="1">
      <c r="A396" s="2" t="s">
        <v>1491</v>
      </c>
      <c r="B396" s="2" t="s">
        <v>1386</v>
      </c>
      <c r="C396" s="8" t="s">
        <v>1492</v>
      </c>
      <c r="D396" s="2">
        <v>2</v>
      </c>
      <c r="E396" s="8" t="s">
        <v>10165</v>
      </c>
      <c r="F396" s="8" t="s">
        <v>11338</v>
      </c>
      <c r="G396" s="8" t="str">
        <f>HYPERLINK("https://seichotoushi-hojo.jp/assets/pdf/koufu/outline__196.pdf","PDFを開く")</f>
        <v>PDFを開く</v>
      </c>
    </row>
    <row r="397" spans="1:7" ht="87.95" customHeight="1">
      <c r="A397" s="5" t="s">
        <v>1499</v>
      </c>
      <c r="B397" s="5" t="s">
        <v>1386</v>
      </c>
      <c r="C397" s="9" t="s">
        <v>1500</v>
      </c>
      <c r="D397" s="5">
        <v>1</v>
      </c>
      <c r="E397" s="9" t="s">
        <v>10156</v>
      </c>
      <c r="F397" s="9" t="s">
        <v>11339</v>
      </c>
      <c r="G397" s="9" t="str">
        <f>HYPERLINK("https://seichotoushi-hojo.jp/assets/pdf/koufu/outline__197.pdf","PDFを開く")</f>
        <v>PDFを開く</v>
      </c>
    </row>
    <row r="398" spans="1:7" ht="87.95" customHeight="1">
      <c r="A398" s="2" t="s">
        <v>1499</v>
      </c>
      <c r="B398" s="2" t="s">
        <v>1386</v>
      </c>
      <c r="C398" s="8" t="s">
        <v>1500</v>
      </c>
      <c r="D398" s="2">
        <v>2</v>
      </c>
      <c r="E398" s="8" t="s">
        <v>10165</v>
      </c>
      <c r="F398" s="8" t="s">
        <v>11340</v>
      </c>
      <c r="G398" s="8" t="str">
        <f>HYPERLINK("https://seichotoushi-hojo.jp/assets/pdf/koufu/outline__197.pdf","PDFを開く")</f>
        <v>PDFを開く</v>
      </c>
    </row>
    <row r="399" spans="1:7" ht="87.95" customHeight="1">
      <c r="A399" s="5" t="s">
        <v>1506</v>
      </c>
      <c r="B399" s="5" t="s">
        <v>1386</v>
      </c>
      <c r="C399" s="9" t="s">
        <v>1507</v>
      </c>
      <c r="D399" s="5">
        <v>1</v>
      </c>
      <c r="E399" s="9" t="s">
        <v>10156</v>
      </c>
      <c r="F399" s="9" t="s">
        <v>11341</v>
      </c>
      <c r="G399" s="9" t="str">
        <f>HYPERLINK("https://seichotoushi-hojo.jp/assets/pdf/koufu/outline__198.pdf","PDFを開く")</f>
        <v>PDFを開く</v>
      </c>
    </row>
    <row r="400" spans="1:7" ht="87.95" customHeight="1">
      <c r="A400" s="2" t="s">
        <v>1506</v>
      </c>
      <c r="B400" s="2" t="s">
        <v>1386</v>
      </c>
      <c r="C400" s="8" t="s">
        <v>1507</v>
      </c>
      <c r="D400" s="2">
        <v>2</v>
      </c>
      <c r="E400" s="8" t="s">
        <v>10165</v>
      </c>
      <c r="F400" s="8" t="s">
        <v>11342</v>
      </c>
      <c r="G400" s="8" t="str">
        <f>HYPERLINK("https://seichotoushi-hojo.jp/assets/pdf/koufu/outline__198.pdf","PDFを開く")</f>
        <v>PDFを開く</v>
      </c>
    </row>
    <row r="401" spans="1:7" ht="87.95" customHeight="1">
      <c r="A401" s="5" t="s">
        <v>1514</v>
      </c>
      <c r="B401" s="5" t="s">
        <v>1386</v>
      </c>
      <c r="C401" s="9" t="s">
        <v>1515</v>
      </c>
      <c r="D401" s="5">
        <v>1</v>
      </c>
      <c r="E401" s="9" t="s">
        <v>10156</v>
      </c>
      <c r="F401" s="9" t="s">
        <v>11343</v>
      </c>
      <c r="G401" s="9" t="str">
        <f>HYPERLINK("https://seichotoushi-hojo.jp/assets/pdf/koufu/outline__199.pdf","PDFを開く")</f>
        <v>PDFを開く</v>
      </c>
    </row>
    <row r="402" spans="1:7" ht="87.95" customHeight="1">
      <c r="A402" s="2" t="s">
        <v>1514</v>
      </c>
      <c r="B402" s="2" t="s">
        <v>1386</v>
      </c>
      <c r="C402" s="8" t="s">
        <v>1515</v>
      </c>
      <c r="D402" s="2">
        <v>2</v>
      </c>
      <c r="E402" s="8" t="s">
        <v>10156</v>
      </c>
      <c r="F402" s="8" t="s">
        <v>11344</v>
      </c>
      <c r="G402" s="8" t="str">
        <f>HYPERLINK("https://seichotoushi-hojo.jp/assets/pdf/koufu/outline__199.pdf","PDFを開く")</f>
        <v>PDFを開く</v>
      </c>
    </row>
    <row r="403" spans="1:7" ht="87.95" customHeight="1">
      <c r="A403" s="5" t="s">
        <v>1514</v>
      </c>
      <c r="B403" s="5" t="s">
        <v>1386</v>
      </c>
      <c r="C403" s="9" t="s">
        <v>1515</v>
      </c>
      <c r="D403" s="5">
        <v>3</v>
      </c>
      <c r="E403" s="9" t="s">
        <v>10165</v>
      </c>
      <c r="F403" s="9" t="s">
        <v>11345</v>
      </c>
      <c r="G403" s="9" t="str">
        <f>HYPERLINK("https://seichotoushi-hojo.jp/assets/pdf/koufu/outline__199.pdf","PDFを開く")</f>
        <v>PDFを開く</v>
      </c>
    </row>
    <row r="404" spans="1:7" ht="87.95" customHeight="1">
      <c r="A404" s="2" t="s">
        <v>1522</v>
      </c>
      <c r="B404" s="2" t="s">
        <v>1386</v>
      </c>
      <c r="C404" s="8" t="s">
        <v>1523</v>
      </c>
      <c r="D404" s="2">
        <v>1</v>
      </c>
      <c r="E404" s="8" t="s">
        <v>10156</v>
      </c>
      <c r="F404" s="8" t="s">
        <v>11346</v>
      </c>
      <c r="G404" s="8" t="str">
        <f>HYPERLINK("https://seichotoushi-hojo.jp/assets/pdf/koufu/outline__200.pdf","PDFを開く")</f>
        <v>PDFを開く</v>
      </c>
    </row>
    <row r="405" spans="1:7" ht="87.95" customHeight="1">
      <c r="A405" s="5" t="s">
        <v>1522</v>
      </c>
      <c r="B405" s="5" t="s">
        <v>1386</v>
      </c>
      <c r="C405" s="9" t="s">
        <v>1523</v>
      </c>
      <c r="D405" s="5">
        <v>2</v>
      </c>
      <c r="E405" s="9" t="s">
        <v>10165</v>
      </c>
      <c r="F405" s="9" t="s">
        <v>11347</v>
      </c>
      <c r="G405" s="9" t="str">
        <f>HYPERLINK("https://seichotoushi-hojo.jp/assets/pdf/koufu/outline__200.pdf","PDFを開く")</f>
        <v>PDFを開く</v>
      </c>
    </row>
    <row r="406" spans="1:7" ht="87.95" customHeight="1">
      <c r="A406" s="2" t="s">
        <v>1528</v>
      </c>
      <c r="B406" s="2" t="s">
        <v>1386</v>
      </c>
      <c r="C406" s="8" t="s">
        <v>1529</v>
      </c>
      <c r="D406" s="2">
        <v>1</v>
      </c>
      <c r="E406" s="8" t="s">
        <v>10156</v>
      </c>
      <c r="F406" s="8" t="s">
        <v>11348</v>
      </c>
      <c r="G406" s="8" t="str">
        <f>HYPERLINK("https://seichotoushi-hojo.jp/assets/pdf/koufu/outline__201.pdf","PDFを開く")</f>
        <v>PDFを開く</v>
      </c>
    </row>
    <row r="407" spans="1:7" ht="87.95" customHeight="1">
      <c r="A407" s="5" t="s">
        <v>1528</v>
      </c>
      <c r="B407" s="5" t="s">
        <v>1386</v>
      </c>
      <c r="C407" s="9" t="s">
        <v>1529</v>
      </c>
      <c r="D407" s="5">
        <v>2</v>
      </c>
      <c r="E407" s="9" t="s">
        <v>10165</v>
      </c>
      <c r="F407" s="9" t="s">
        <v>11349</v>
      </c>
      <c r="G407" s="9" t="str">
        <f>HYPERLINK("https://seichotoushi-hojo.jp/assets/pdf/koufu/outline__201.pdf","PDFを開く")</f>
        <v>PDFを開く</v>
      </c>
    </row>
    <row r="408" spans="1:7" ht="87.95" customHeight="1">
      <c r="A408" s="2" t="s">
        <v>1535</v>
      </c>
      <c r="B408" s="2" t="s">
        <v>1386</v>
      </c>
      <c r="C408" s="8" t="s">
        <v>1536</v>
      </c>
      <c r="D408" s="2">
        <v>1</v>
      </c>
      <c r="E408" s="8" t="s">
        <v>10156</v>
      </c>
      <c r="F408" s="8" t="s">
        <v>11350</v>
      </c>
      <c r="G408" s="8" t="str">
        <f>HYPERLINK("https://seichotoushi-hojo.jp/assets/pdf/koufu/outline__202.pdf","PDFを開く")</f>
        <v>PDFを開く</v>
      </c>
    </row>
    <row r="409" spans="1:7" ht="87.95" customHeight="1">
      <c r="A409" s="5" t="s">
        <v>1535</v>
      </c>
      <c r="B409" s="5" t="s">
        <v>1386</v>
      </c>
      <c r="C409" s="9" t="s">
        <v>1536</v>
      </c>
      <c r="D409" s="5">
        <v>2</v>
      </c>
      <c r="E409" s="9" t="s">
        <v>10165</v>
      </c>
      <c r="F409" s="9" t="s">
        <v>11351</v>
      </c>
      <c r="G409" s="9" t="str">
        <f>HYPERLINK("https://seichotoushi-hojo.jp/assets/pdf/koufu/outline__202.pdf","PDFを開く")</f>
        <v>PDFを開く</v>
      </c>
    </row>
    <row r="410" spans="1:7" ht="87.95" customHeight="1">
      <c r="A410" s="2" t="s">
        <v>1535</v>
      </c>
      <c r="B410" s="2" t="s">
        <v>1386</v>
      </c>
      <c r="C410" s="8" t="s">
        <v>1536</v>
      </c>
      <c r="D410" s="2">
        <v>3</v>
      </c>
      <c r="E410" s="8" t="s">
        <v>10165</v>
      </c>
      <c r="F410" s="8" t="s">
        <v>11352</v>
      </c>
      <c r="G410" s="8" t="str">
        <f>HYPERLINK("https://seichotoushi-hojo.jp/assets/pdf/koufu/outline__202.pdf","PDFを開く")</f>
        <v>PDFを開く</v>
      </c>
    </row>
    <row r="411" spans="1:7" ht="87.95" customHeight="1">
      <c r="A411" s="5" t="s">
        <v>1543</v>
      </c>
      <c r="B411" s="5" t="s">
        <v>1386</v>
      </c>
      <c r="C411" s="9" t="s">
        <v>1544</v>
      </c>
      <c r="D411" s="5">
        <v>1</v>
      </c>
      <c r="E411" s="9" t="s">
        <v>10156</v>
      </c>
      <c r="F411" s="9" t="s">
        <v>11353</v>
      </c>
      <c r="G411" s="9" t="str">
        <f>HYPERLINK("https://seichotoushi-hojo.jp/assets/pdf/koufu/outline__203.pdf","PDFを開く")</f>
        <v>PDFを開く</v>
      </c>
    </row>
    <row r="412" spans="1:7" ht="87.95" customHeight="1">
      <c r="A412" s="2" t="s">
        <v>1543</v>
      </c>
      <c r="B412" s="2" t="s">
        <v>1386</v>
      </c>
      <c r="C412" s="8" t="s">
        <v>1544</v>
      </c>
      <c r="D412" s="2">
        <v>2</v>
      </c>
      <c r="E412" s="8" t="s">
        <v>10165</v>
      </c>
      <c r="F412" s="8" t="s">
        <v>11354</v>
      </c>
      <c r="G412" s="8" t="str">
        <f>HYPERLINK("https://seichotoushi-hojo.jp/assets/pdf/koufu/outline__203.pdf","PDFを開く")</f>
        <v>PDFを開く</v>
      </c>
    </row>
    <row r="413" spans="1:7" ht="87.95" customHeight="1">
      <c r="A413" s="5" t="s">
        <v>1543</v>
      </c>
      <c r="B413" s="5" t="s">
        <v>1386</v>
      </c>
      <c r="C413" s="9" t="s">
        <v>1544</v>
      </c>
      <c r="D413" s="5">
        <v>3</v>
      </c>
      <c r="E413" s="9" t="s">
        <v>10165</v>
      </c>
      <c r="F413" s="9" t="s">
        <v>11355</v>
      </c>
      <c r="G413" s="9" t="str">
        <f>HYPERLINK("https://seichotoushi-hojo.jp/assets/pdf/koufu/outline__203.pdf","PDFを開く")</f>
        <v>PDFを開く</v>
      </c>
    </row>
    <row r="414" spans="1:7" ht="87.95" customHeight="1">
      <c r="A414" s="2" t="s">
        <v>1551</v>
      </c>
      <c r="B414" s="2" t="s">
        <v>1386</v>
      </c>
      <c r="C414" s="8" t="s">
        <v>1552</v>
      </c>
      <c r="D414" s="2">
        <v>1</v>
      </c>
      <c r="E414" s="8" t="s">
        <v>10156</v>
      </c>
      <c r="F414" s="8" t="s">
        <v>11356</v>
      </c>
      <c r="G414" s="8" t="str">
        <f>HYPERLINK("https://seichotoushi-hojo.jp/assets/pdf/koufu/outline__204.pdf","PDFを開く")</f>
        <v>PDFを開く</v>
      </c>
    </row>
    <row r="415" spans="1:7" ht="87.95" customHeight="1">
      <c r="A415" s="5" t="s">
        <v>1551</v>
      </c>
      <c r="B415" s="5" t="s">
        <v>1386</v>
      </c>
      <c r="C415" s="9" t="s">
        <v>1552</v>
      </c>
      <c r="D415" s="5">
        <v>2</v>
      </c>
      <c r="E415" s="9" t="s">
        <v>10165</v>
      </c>
      <c r="F415" s="9" t="s">
        <v>11357</v>
      </c>
      <c r="G415" s="9" t="str">
        <f>HYPERLINK("https://seichotoushi-hojo.jp/assets/pdf/koufu/outline__204.pdf","PDFを開く")</f>
        <v>PDFを開く</v>
      </c>
    </row>
    <row r="416" spans="1:7" ht="87.95" customHeight="1">
      <c r="A416" s="2" t="s">
        <v>1560</v>
      </c>
      <c r="B416" s="2" t="s">
        <v>1386</v>
      </c>
      <c r="C416" s="8" t="s">
        <v>1561</v>
      </c>
      <c r="D416" s="2">
        <v>1</v>
      </c>
      <c r="E416" s="8" t="s">
        <v>10156</v>
      </c>
      <c r="F416" s="8" t="s">
        <v>11358</v>
      </c>
      <c r="G416" s="8" t="str">
        <f>HYPERLINK("https://seichotoushi-hojo.jp/assets/pdf/koufu/outline__205.pdf","PDFを開く")</f>
        <v>PDFを開く</v>
      </c>
    </row>
    <row r="417" spans="1:7" ht="87.95" customHeight="1">
      <c r="A417" s="5" t="s">
        <v>1560</v>
      </c>
      <c r="B417" s="5" t="s">
        <v>1386</v>
      </c>
      <c r="C417" s="9" t="s">
        <v>1561</v>
      </c>
      <c r="D417" s="5">
        <v>2</v>
      </c>
      <c r="E417" s="9" t="s">
        <v>10165</v>
      </c>
      <c r="F417" s="9" t="s">
        <v>11359</v>
      </c>
      <c r="G417" s="9" t="str">
        <f>HYPERLINK("https://seichotoushi-hojo.jp/assets/pdf/koufu/outline__205.pdf","PDFを開く")</f>
        <v>PDFを開く</v>
      </c>
    </row>
    <row r="418" spans="1:7" ht="87.95" customHeight="1">
      <c r="A418" s="2" t="s">
        <v>1569</v>
      </c>
      <c r="B418" s="2" t="s">
        <v>1386</v>
      </c>
      <c r="C418" s="8" t="s">
        <v>1570</v>
      </c>
      <c r="D418" s="2">
        <v>1</v>
      </c>
      <c r="E418" s="8" t="s">
        <v>10156</v>
      </c>
      <c r="F418" s="8" t="s">
        <v>11360</v>
      </c>
      <c r="G418" s="8" t="str">
        <f>HYPERLINK("https://seichotoushi-hojo.jp/assets/pdf/koufu/outline__206.pdf","PDFを開く")</f>
        <v>PDFを開く</v>
      </c>
    </row>
    <row r="419" spans="1:7" ht="87.95" customHeight="1">
      <c r="A419" s="5" t="s">
        <v>1569</v>
      </c>
      <c r="B419" s="5" t="s">
        <v>1386</v>
      </c>
      <c r="C419" s="9" t="s">
        <v>1570</v>
      </c>
      <c r="D419" s="5">
        <v>2</v>
      </c>
      <c r="E419" s="9" t="s">
        <v>10165</v>
      </c>
      <c r="F419" s="9" t="s">
        <v>11361</v>
      </c>
      <c r="G419" s="9" t="str">
        <f>HYPERLINK("https://seichotoushi-hojo.jp/assets/pdf/koufu/outline__206.pdf","PDFを開く")</f>
        <v>PDFを開く</v>
      </c>
    </row>
    <row r="420" spans="1:7" ht="87.95" customHeight="1">
      <c r="A420" s="2" t="s">
        <v>1576</v>
      </c>
      <c r="B420" s="2" t="s">
        <v>1386</v>
      </c>
      <c r="C420" s="8" t="s">
        <v>1577</v>
      </c>
      <c r="D420" s="2">
        <v>1</v>
      </c>
      <c r="E420" s="8" t="s">
        <v>10156</v>
      </c>
      <c r="F420" s="8" t="s">
        <v>8613</v>
      </c>
      <c r="G420" s="8" t="str">
        <f>HYPERLINK("https://seichotoushi-hojo.jp/assets/pdf/koufu/outline__207.pdf","PDFを開く")</f>
        <v>PDFを開く</v>
      </c>
    </row>
    <row r="421" spans="1:7" ht="87.95" customHeight="1">
      <c r="A421" s="5" t="s">
        <v>1576</v>
      </c>
      <c r="B421" s="5" t="s">
        <v>1386</v>
      </c>
      <c r="C421" s="9" t="s">
        <v>1577</v>
      </c>
      <c r="D421" s="5">
        <v>2</v>
      </c>
      <c r="E421" s="9" t="s">
        <v>10165</v>
      </c>
      <c r="F421" s="9" t="s">
        <v>11362</v>
      </c>
      <c r="G421" s="9" t="str">
        <f>HYPERLINK("https://seichotoushi-hojo.jp/assets/pdf/koufu/outline__207.pdf","PDFを開く")</f>
        <v>PDFを開く</v>
      </c>
    </row>
    <row r="422" spans="1:7" ht="87.95" customHeight="1">
      <c r="A422" s="2" t="s">
        <v>1584</v>
      </c>
      <c r="B422" s="2" t="s">
        <v>1386</v>
      </c>
      <c r="C422" s="8" t="s">
        <v>1585</v>
      </c>
      <c r="D422" s="2">
        <v>1</v>
      </c>
      <c r="E422" s="8" t="s">
        <v>10156</v>
      </c>
      <c r="F422" s="8" t="s">
        <v>11363</v>
      </c>
      <c r="G422" s="8" t="str">
        <f>HYPERLINK("https://seichotoushi-hojo.jp/assets/pdf/koufu/outline__208.pdf","PDFを開く")</f>
        <v>PDFを開く</v>
      </c>
    </row>
    <row r="423" spans="1:7" ht="87.95" customHeight="1">
      <c r="A423" s="5" t="s">
        <v>1584</v>
      </c>
      <c r="B423" s="5" t="s">
        <v>1386</v>
      </c>
      <c r="C423" s="9" t="s">
        <v>1585</v>
      </c>
      <c r="D423" s="5">
        <v>2</v>
      </c>
      <c r="E423" s="9" t="s">
        <v>10165</v>
      </c>
      <c r="F423" s="9" t="s">
        <v>11364</v>
      </c>
      <c r="G423" s="9" t="str">
        <f>HYPERLINK("https://seichotoushi-hojo.jp/assets/pdf/koufu/outline__208.pdf","PDFを開く")</f>
        <v>PDFを開く</v>
      </c>
    </row>
    <row r="424" spans="1:7" ht="87.95" customHeight="1">
      <c r="A424" s="2" t="s">
        <v>1594</v>
      </c>
      <c r="B424" s="2" t="s">
        <v>1595</v>
      </c>
      <c r="C424" s="8" t="s">
        <v>1596</v>
      </c>
      <c r="D424" s="2">
        <v>1</v>
      </c>
      <c r="E424" s="8" t="s">
        <v>10156</v>
      </c>
      <c r="F424" s="8" t="s">
        <v>11365</v>
      </c>
      <c r="G424" s="8" t="str">
        <f>HYPERLINK("https://seichotoushi-hojo.jp/assets/pdf/koufu_3_4ji/outline_1.pdf","PDFを開く")</f>
        <v>PDFを開く</v>
      </c>
    </row>
    <row r="425" spans="1:7" ht="87.95" customHeight="1">
      <c r="A425" s="5" t="s">
        <v>1594</v>
      </c>
      <c r="B425" s="5" t="s">
        <v>1595</v>
      </c>
      <c r="C425" s="9" t="s">
        <v>1596</v>
      </c>
      <c r="D425" s="5">
        <v>2</v>
      </c>
      <c r="E425" s="9" t="s">
        <v>10165</v>
      </c>
      <c r="F425" s="9" t="s">
        <v>11366</v>
      </c>
      <c r="G425" s="9" t="str">
        <f>HYPERLINK("https://seichotoushi-hojo.jp/assets/pdf/koufu_3_4ji/outline_1.pdf","PDFを開く")</f>
        <v>PDFを開く</v>
      </c>
    </row>
    <row r="426" spans="1:7" ht="87.95" customHeight="1">
      <c r="A426" s="2" t="s">
        <v>1603</v>
      </c>
      <c r="B426" s="2" t="s">
        <v>1595</v>
      </c>
      <c r="C426" s="8" t="s">
        <v>1604</v>
      </c>
      <c r="D426" s="2">
        <v>1</v>
      </c>
      <c r="E426" s="8" t="s">
        <v>10156</v>
      </c>
      <c r="F426" s="8" t="s">
        <v>11367</v>
      </c>
      <c r="G426" s="8" t="str">
        <f>HYPERLINK("https://seichotoushi-hojo.jp/assets/pdf/koufu_3_4ji/outline_101.pdf","PDFを開く")</f>
        <v>PDFを開く</v>
      </c>
    </row>
    <row r="427" spans="1:7" ht="87.95" customHeight="1">
      <c r="A427" s="5" t="s">
        <v>1603</v>
      </c>
      <c r="B427" s="5" t="s">
        <v>1595</v>
      </c>
      <c r="C427" s="9" t="s">
        <v>1604</v>
      </c>
      <c r="D427" s="5">
        <v>2</v>
      </c>
      <c r="E427" s="9" t="s">
        <v>10165</v>
      </c>
      <c r="F427" s="9" t="s">
        <v>11368</v>
      </c>
      <c r="G427" s="9" t="str">
        <f>HYPERLINK("https://seichotoushi-hojo.jp/assets/pdf/koufu_3_4ji/outline_101.pdf","PDFを開く")</f>
        <v>PDFを開く</v>
      </c>
    </row>
    <row r="428" spans="1:7" ht="87.95" customHeight="1">
      <c r="A428" s="2" t="s">
        <v>1609</v>
      </c>
      <c r="B428" s="2" t="s">
        <v>1595</v>
      </c>
      <c r="C428" s="8" t="s">
        <v>1610</v>
      </c>
      <c r="D428" s="2">
        <v>1</v>
      </c>
      <c r="E428" s="8" t="s">
        <v>10156</v>
      </c>
      <c r="F428" s="8" t="s">
        <v>11369</v>
      </c>
      <c r="G428" s="8" t="str">
        <f>HYPERLINK("https://seichotoushi-hojo.jp/assets/pdf/koufu_3_4ji/outline_103.pdf","PDFを開く")</f>
        <v>PDFを開く</v>
      </c>
    </row>
    <row r="429" spans="1:7" ht="87.95" customHeight="1">
      <c r="A429" s="5" t="s">
        <v>1609</v>
      </c>
      <c r="B429" s="5" t="s">
        <v>1595</v>
      </c>
      <c r="C429" s="9" t="s">
        <v>1610</v>
      </c>
      <c r="D429" s="5">
        <v>2</v>
      </c>
      <c r="E429" s="9" t="s">
        <v>10156</v>
      </c>
      <c r="F429" s="9" t="s">
        <v>11370</v>
      </c>
      <c r="G429" s="9" t="str">
        <f>HYPERLINK("https://seichotoushi-hojo.jp/assets/pdf/koufu_3_4ji/outline_103.pdf","PDFを開く")</f>
        <v>PDFを開く</v>
      </c>
    </row>
    <row r="430" spans="1:7" ht="87.95" customHeight="1">
      <c r="A430" s="2" t="s">
        <v>1617</v>
      </c>
      <c r="B430" s="2" t="s">
        <v>1595</v>
      </c>
      <c r="C430" s="8" t="s">
        <v>1618</v>
      </c>
      <c r="D430" s="2">
        <v>1</v>
      </c>
      <c r="E430" s="8" t="s">
        <v>10156</v>
      </c>
      <c r="F430" s="8" t="s">
        <v>11371</v>
      </c>
      <c r="G430" s="8" t="str">
        <f>HYPERLINK("https://seichotoushi-hojo.jp/assets/pdf/koufu_3_4ji/outline_104.pdf","PDFを開く")</f>
        <v>PDFを開く</v>
      </c>
    </row>
    <row r="431" spans="1:7" ht="87.95" customHeight="1">
      <c r="A431" s="5" t="s">
        <v>1617</v>
      </c>
      <c r="B431" s="5" t="s">
        <v>1595</v>
      </c>
      <c r="C431" s="9" t="s">
        <v>1618</v>
      </c>
      <c r="D431" s="5">
        <v>2</v>
      </c>
      <c r="E431" s="9" t="s">
        <v>10156</v>
      </c>
      <c r="F431" s="9" t="s">
        <v>11372</v>
      </c>
      <c r="G431" s="9" t="str">
        <f>HYPERLINK("https://seichotoushi-hojo.jp/assets/pdf/koufu_3_4ji/outline_104.pdf","PDFを開く")</f>
        <v>PDFを開く</v>
      </c>
    </row>
    <row r="432" spans="1:7" ht="87.95" customHeight="1">
      <c r="A432" s="2" t="s">
        <v>1617</v>
      </c>
      <c r="B432" s="2" t="s">
        <v>1595</v>
      </c>
      <c r="C432" s="8" t="s">
        <v>1618</v>
      </c>
      <c r="D432" s="2">
        <v>3</v>
      </c>
      <c r="E432" s="8" t="s">
        <v>10165</v>
      </c>
      <c r="F432" s="8" t="s">
        <v>11373</v>
      </c>
      <c r="G432" s="8" t="str">
        <f>HYPERLINK("https://seichotoushi-hojo.jp/assets/pdf/koufu_3_4ji/outline_104.pdf","PDFを開く")</f>
        <v>PDFを開く</v>
      </c>
    </row>
    <row r="433" spans="1:7" ht="87.95" customHeight="1">
      <c r="A433" s="5" t="s">
        <v>1625</v>
      </c>
      <c r="B433" s="5" t="s">
        <v>1595</v>
      </c>
      <c r="C433" s="9" t="s">
        <v>1626</v>
      </c>
      <c r="D433" s="5">
        <v>1</v>
      </c>
      <c r="E433" s="9" t="s">
        <v>10156</v>
      </c>
      <c r="F433" s="9" t="s">
        <v>11374</v>
      </c>
      <c r="G433" s="9" t="str">
        <f>HYPERLINK("https://seichotoushi-hojo.jp/assets/pdf/koufu_3_4ji/outline_105.pdf","PDFを開く")</f>
        <v>PDFを開く</v>
      </c>
    </row>
    <row r="434" spans="1:7" ht="87.95" customHeight="1">
      <c r="A434" s="2" t="s">
        <v>1625</v>
      </c>
      <c r="B434" s="2" t="s">
        <v>1595</v>
      </c>
      <c r="C434" s="8" t="s">
        <v>1626</v>
      </c>
      <c r="D434" s="2">
        <v>2</v>
      </c>
      <c r="E434" s="8" t="s">
        <v>10165</v>
      </c>
      <c r="F434" s="8" t="s">
        <v>11375</v>
      </c>
      <c r="G434" s="8" t="str">
        <f>HYPERLINK("https://seichotoushi-hojo.jp/assets/pdf/koufu_3_4ji/outline_105.pdf","PDFを開く")</f>
        <v>PDFを開く</v>
      </c>
    </row>
    <row r="435" spans="1:7" ht="87.95" customHeight="1">
      <c r="A435" s="5" t="s">
        <v>1632</v>
      </c>
      <c r="B435" s="5" t="s">
        <v>1595</v>
      </c>
      <c r="C435" s="9" t="s">
        <v>1633</v>
      </c>
      <c r="D435" s="5">
        <v>1</v>
      </c>
      <c r="E435" s="9" t="s">
        <v>10156</v>
      </c>
      <c r="F435" s="9" t="s">
        <v>11376</v>
      </c>
      <c r="G435" s="9" t="str">
        <f>HYPERLINK("https://seichotoushi-hojo.jp/assets/pdf/koufu_3_4ji/outline_106.pdf","PDFを開く")</f>
        <v>PDFを開く</v>
      </c>
    </row>
    <row r="436" spans="1:7" ht="87.95" customHeight="1">
      <c r="A436" s="2" t="s">
        <v>1632</v>
      </c>
      <c r="B436" s="2" t="s">
        <v>1595</v>
      </c>
      <c r="C436" s="8" t="s">
        <v>1633</v>
      </c>
      <c r="D436" s="2">
        <v>2</v>
      </c>
      <c r="E436" s="8" t="s">
        <v>10165</v>
      </c>
      <c r="F436" s="8" t="s">
        <v>11377</v>
      </c>
      <c r="G436" s="8" t="str">
        <f>HYPERLINK("https://seichotoushi-hojo.jp/assets/pdf/koufu_3_4ji/outline_106.pdf","PDFを開く")</f>
        <v>PDFを開く</v>
      </c>
    </row>
    <row r="437" spans="1:7" ht="87.95" customHeight="1">
      <c r="A437" s="5" t="s">
        <v>1640</v>
      </c>
      <c r="B437" s="5" t="s">
        <v>1595</v>
      </c>
      <c r="C437" s="9" t="s">
        <v>1641</v>
      </c>
      <c r="D437" s="5">
        <v>1</v>
      </c>
      <c r="E437" s="9" t="s">
        <v>10156</v>
      </c>
      <c r="F437" s="9" t="s">
        <v>11378</v>
      </c>
      <c r="G437" s="9" t="str">
        <f>HYPERLINK("https://seichotoushi-hojo.jp/assets/pdf/koufu_3_4ji/outline_108.pdf","PDFを開く")</f>
        <v>PDFを開く</v>
      </c>
    </row>
    <row r="438" spans="1:7" ht="87.95" customHeight="1">
      <c r="A438" s="2" t="s">
        <v>1640</v>
      </c>
      <c r="B438" s="2" t="s">
        <v>1595</v>
      </c>
      <c r="C438" s="8" t="s">
        <v>1641</v>
      </c>
      <c r="D438" s="2">
        <v>2</v>
      </c>
      <c r="E438" s="8" t="s">
        <v>10165</v>
      </c>
      <c r="F438" s="8" t="s">
        <v>11379</v>
      </c>
      <c r="G438" s="8" t="str">
        <f>HYPERLINK("https://seichotoushi-hojo.jp/assets/pdf/koufu_3_4ji/outline_108.pdf","PDFを開く")</f>
        <v>PDFを開く</v>
      </c>
    </row>
    <row r="439" spans="1:7" ht="87.95" customHeight="1">
      <c r="A439" s="5" t="s">
        <v>1649</v>
      </c>
      <c r="B439" s="5" t="s">
        <v>1595</v>
      </c>
      <c r="C439" s="9" t="s">
        <v>1650</v>
      </c>
      <c r="D439" s="5">
        <v>1</v>
      </c>
      <c r="E439" s="9" t="s">
        <v>10156</v>
      </c>
      <c r="F439" s="9" t="s">
        <v>11380</v>
      </c>
      <c r="G439" s="9" t="str">
        <f>HYPERLINK("https://seichotoushi-hojo.jp/assets/pdf/koufu_3_4ji/outline_109.pdf","PDFを開く")</f>
        <v>PDFを開く</v>
      </c>
    </row>
    <row r="440" spans="1:7" ht="87.95" customHeight="1">
      <c r="A440" s="2" t="s">
        <v>1649</v>
      </c>
      <c r="B440" s="2" t="s">
        <v>1595</v>
      </c>
      <c r="C440" s="8" t="s">
        <v>1650</v>
      </c>
      <c r="D440" s="2">
        <v>2</v>
      </c>
      <c r="E440" s="8" t="s">
        <v>10165</v>
      </c>
      <c r="F440" s="8" t="s">
        <v>11381</v>
      </c>
      <c r="G440" s="8" t="str">
        <f>HYPERLINK("https://seichotoushi-hojo.jp/assets/pdf/koufu_3_4ji/outline_109.pdf","PDFを開く")</f>
        <v>PDFを開く</v>
      </c>
    </row>
    <row r="441" spans="1:7" ht="87.95" customHeight="1">
      <c r="A441" s="5" t="s">
        <v>1656</v>
      </c>
      <c r="B441" s="5" t="s">
        <v>1595</v>
      </c>
      <c r="C441" s="9" t="s">
        <v>1657</v>
      </c>
      <c r="D441" s="5">
        <v>1</v>
      </c>
      <c r="E441" s="9" t="s">
        <v>10156</v>
      </c>
      <c r="F441" s="9" t="s">
        <v>11382</v>
      </c>
      <c r="G441" s="9" t="str">
        <f>HYPERLINK("https://seichotoushi-hojo.jp/assets/pdf/koufu_3_4ji/outline_11.pdf","PDFを開く")</f>
        <v>PDFを開く</v>
      </c>
    </row>
    <row r="442" spans="1:7" ht="87.95" customHeight="1">
      <c r="A442" s="2" t="s">
        <v>1656</v>
      </c>
      <c r="B442" s="2" t="s">
        <v>1595</v>
      </c>
      <c r="C442" s="8" t="s">
        <v>1657</v>
      </c>
      <c r="D442" s="2">
        <v>2</v>
      </c>
      <c r="E442" s="8" t="s">
        <v>10165</v>
      </c>
      <c r="F442" s="8" t="s">
        <v>11383</v>
      </c>
      <c r="G442" s="8" t="str">
        <f>HYPERLINK("https://seichotoushi-hojo.jp/assets/pdf/koufu_3_4ji/outline_11.pdf","PDFを開く")</f>
        <v>PDFを開く</v>
      </c>
    </row>
    <row r="443" spans="1:7" ht="87.95" customHeight="1">
      <c r="A443" s="5" t="s">
        <v>1663</v>
      </c>
      <c r="B443" s="5" t="s">
        <v>1595</v>
      </c>
      <c r="C443" s="9" t="s">
        <v>1664</v>
      </c>
      <c r="D443" s="5">
        <v>1</v>
      </c>
      <c r="E443" s="9" t="s">
        <v>10156</v>
      </c>
      <c r="F443" s="9" t="s">
        <v>11384</v>
      </c>
      <c r="G443" s="9" t="str">
        <f>HYPERLINK("https://seichotoushi-hojo.jp/assets/pdf/koufu_3_4ji/outline_110.pdf","PDFを開く")</f>
        <v>PDFを開く</v>
      </c>
    </row>
    <row r="444" spans="1:7" ht="87.95" customHeight="1">
      <c r="A444" s="2" t="s">
        <v>1663</v>
      </c>
      <c r="B444" s="2" t="s">
        <v>1595</v>
      </c>
      <c r="C444" s="8" t="s">
        <v>1664</v>
      </c>
      <c r="D444" s="2">
        <v>2</v>
      </c>
      <c r="E444" s="8" t="s">
        <v>10165</v>
      </c>
      <c r="F444" s="8" t="s">
        <v>11385</v>
      </c>
      <c r="G444" s="8" t="str">
        <f>HYPERLINK("https://seichotoushi-hojo.jp/assets/pdf/koufu_3_4ji/outline_110.pdf","PDFを開く")</f>
        <v>PDFを開く</v>
      </c>
    </row>
    <row r="445" spans="1:7" ht="87.95" customHeight="1">
      <c r="A445" s="5" t="s">
        <v>1670</v>
      </c>
      <c r="B445" s="5" t="s">
        <v>1595</v>
      </c>
      <c r="C445" s="9" t="s">
        <v>1671</v>
      </c>
      <c r="D445" s="5">
        <v>1</v>
      </c>
      <c r="E445" s="9" t="s">
        <v>10156</v>
      </c>
      <c r="F445" s="9" t="s">
        <v>11386</v>
      </c>
      <c r="G445" s="9" t="str">
        <f>HYPERLINK("https://seichotoushi-hojo.jp/assets/pdf/koufu_3_4ji/outline_12.pdf","PDFを開く")</f>
        <v>PDFを開く</v>
      </c>
    </row>
    <row r="446" spans="1:7" ht="87.95" customHeight="1">
      <c r="A446" s="2" t="s">
        <v>1670</v>
      </c>
      <c r="B446" s="2" t="s">
        <v>1595</v>
      </c>
      <c r="C446" s="8" t="s">
        <v>1671</v>
      </c>
      <c r="D446" s="2">
        <v>2</v>
      </c>
      <c r="E446" s="8" t="s">
        <v>10165</v>
      </c>
      <c r="F446" s="8" t="s">
        <v>11387</v>
      </c>
      <c r="G446" s="8" t="str">
        <f>HYPERLINK("https://seichotoushi-hojo.jp/assets/pdf/koufu_3_4ji/outline_12.pdf","PDFを開く")</f>
        <v>PDFを開く</v>
      </c>
    </row>
    <row r="447" spans="1:7" ht="87.95" customHeight="1">
      <c r="A447" s="5" t="s">
        <v>1670</v>
      </c>
      <c r="B447" s="5" t="s">
        <v>1595</v>
      </c>
      <c r="C447" s="9" t="s">
        <v>1671</v>
      </c>
      <c r="D447" s="5">
        <v>3</v>
      </c>
      <c r="E447" s="9" t="s">
        <v>10165</v>
      </c>
      <c r="F447" s="9" t="s">
        <v>11388</v>
      </c>
      <c r="G447" s="9" t="str">
        <f>HYPERLINK("https://seichotoushi-hojo.jp/assets/pdf/koufu_3_4ji/outline_12.pdf","PDFを開く")</f>
        <v>PDFを開く</v>
      </c>
    </row>
    <row r="448" spans="1:7" ht="87.95" customHeight="1">
      <c r="A448" s="2" t="s">
        <v>1677</v>
      </c>
      <c r="B448" s="2" t="s">
        <v>1595</v>
      </c>
      <c r="C448" s="8" t="s">
        <v>1678</v>
      </c>
      <c r="D448" s="2">
        <v>1</v>
      </c>
      <c r="E448" s="8" t="s">
        <v>10156</v>
      </c>
      <c r="F448" s="8" t="s">
        <v>11389</v>
      </c>
      <c r="G448" s="8" t="str">
        <f>HYPERLINK("https://seichotoushi-hojo.jp/assets/pdf/koufu_3_4ji/outline_123.pdf","PDFを開く")</f>
        <v>PDFを開く</v>
      </c>
    </row>
    <row r="449" spans="1:7" ht="87.95" customHeight="1">
      <c r="A449" s="5" t="s">
        <v>1677</v>
      </c>
      <c r="B449" s="5" t="s">
        <v>1595</v>
      </c>
      <c r="C449" s="9" t="s">
        <v>1678</v>
      </c>
      <c r="D449" s="5">
        <v>2</v>
      </c>
      <c r="E449" s="9" t="s">
        <v>10165</v>
      </c>
      <c r="F449" s="9" t="s">
        <v>11390</v>
      </c>
      <c r="G449" s="9" t="str">
        <f>HYPERLINK("https://seichotoushi-hojo.jp/assets/pdf/koufu_3_4ji/outline_123.pdf","PDFを開く")</f>
        <v>PDFを開く</v>
      </c>
    </row>
    <row r="450" spans="1:7" ht="87.95" customHeight="1">
      <c r="A450" s="2" t="s">
        <v>1685</v>
      </c>
      <c r="B450" s="2" t="s">
        <v>1595</v>
      </c>
      <c r="C450" s="8" t="s">
        <v>1686</v>
      </c>
      <c r="D450" s="2">
        <v>1</v>
      </c>
      <c r="E450" s="8" t="s">
        <v>10156</v>
      </c>
      <c r="F450" s="8" t="s">
        <v>11391</v>
      </c>
      <c r="G450" s="8" t="str">
        <f>HYPERLINK("https://seichotoushi-hojo.jp/assets/pdf/koufu_3_4ji/outline_128.pdf","PDFを開く")</f>
        <v>PDFを開く</v>
      </c>
    </row>
    <row r="451" spans="1:7" ht="87.95" customHeight="1">
      <c r="A451" s="5" t="s">
        <v>1685</v>
      </c>
      <c r="B451" s="5" t="s">
        <v>1595</v>
      </c>
      <c r="C451" s="9" t="s">
        <v>1686</v>
      </c>
      <c r="D451" s="5">
        <v>2</v>
      </c>
      <c r="E451" s="9" t="s">
        <v>10165</v>
      </c>
      <c r="F451" s="9" t="s">
        <v>11392</v>
      </c>
      <c r="G451" s="9" t="str">
        <f>HYPERLINK("https://seichotoushi-hojo.jp/assets/pdf/koufu_3_4ji/outline_128.pdf","PDFを開く")</f>
        <v>PDFを開く</v>
      </c>
    </row>
    <row r="452" spans="1:7" ht="87.95" customHeight="1">
      <c r="A452" s="2" t="s">
        <v>1693</v>
      </c>
      <c r="B452" s="2" t="s">
        <v>1595</v>
      </c>
      <c r="C452" s="8" t="s">
        <v>1694</v>
      </c>
      <c r="D452" s="2">
        <v>1</v>
      </c>
      <c r="E452" s="8" t="s">
        <v>10156</v>
      </c>
      <c r="F452" s="8" t="s">
        <v>11393</v>
      </c>
      <c r="G452" s="8" t="str">
        <f>HYPERLINK("https://seichotoushi-hojo.jp/assets/pdf/koufu_3_4ji/outline_13.pdf","PDFを開く")</f>
        <v>PDFを開く</v>
      </c>
    </row>
    <row r="453" spans="1:7" ht="87.95" customHeight="1">
      <c r="A453" s="5" t="s">
        <v>1693</v>
      </c>
      <c r="B453" s="5" t="s">
        <v>1595</v>
      </c>
      <c r="C453" s="9" t="s">
        <v>1694</v>
      </c>
      <c r="D453" s="5">
        <v>2</v>
      </c>
      <c r="E453" s="9" t="s">
        <v>10165</v>
      </c>
      <c r="F453" s="9" t="s">
        <v>11394</v>
      </c>
      <c r="G453" s="9" t="str">
        <f>HYPERLINK("https://seichotoushi-hojo.jp/assets/pdf/koufu_3_4ji/outline_13.pdf","PDFを開く")</f>
        <v>PDFを開く</v>
      </c>
    </row>
    <row r="454" spans="1:7" ht="87.95" customHeight="1">
      <c r="A454" s="2" t="s">
        <v>1702</v>
      </c>
      <c r="B454" s="2" t="s">
        <v>1595</v>
      </c>
      <c r="C454" s="8" t="s">
        <v>1703</v>
      </c>
      <c r="D454" s="2">
        <v>1</v>
      </c>
      <c r="E454" s="8" t="s">
        <v>10156</v>
      </c>
      <c r="F454" s="8" t="s">
        <v>11395</v>
      </c>
      <c r="G454" s="8" t="str">
        <f>HYPERLINK("https://seichotoushi-hojo.jp/assets/pdf/koufu_3_4ji/outline_14.pdf","PDFを開く")</f>
        <v>PDFを開く</v>
      </c>
    </row>
    <row r="455" spans="1:7" ht="87.95" customHeight="1">
      <c r="A455" s="5" t="s">
        <v>1702</v>
      </c>
      <c r="B455" s="5" t="s">
        <v>1595</v>
      </c>
      <c r="C455" s="9" t="s">
        <v>1703</v>
      </c>
      <c r="D455" s="5">
        <v>2</v>
      </c>
      <c r="E455" s="9" t="s">
        <v>10165</v>
      </c>
      <c r="F455" s="9" t="s">
        <v>11396</v>
      </c>
      <c r="G455" s="9" t="str">
        <f>HYPERLINK("https://seichotoushi-hojo.jp/assets/pdf/koufu_3_4ji/outline_14.pdf","PDFを開く")</f>
        <v>PDFを開く</v>
      </c>
    </row>
    <row r="456" spans="1:7" ht="87.95" customHeight="1">
      <c r="A456" s="2" t="s">
        <v>1711</v>
      </c>
      <c r="B456" s="2" t="s">
        <v>1595</v>
      </c>
      <c r="C456" s="8" t="s">
        <v>1712</v>
      </c>
      <c r="D456" s="2">
        <v>1</v>
      </c>
      <c r="E456" s="8" t="s">
        <v>10156</v>
      </c>
      <c r="F456" s="8" t="s">
        <v>11397</v>
      </c>
      <c r="G456" s="8" t="str">
        <f>HYPERLINK("https://seichotoushi-hojo.jp/assets/pdf/koufu_3_4ji/outline_140.pdf","PDFを開く")</f>
        <v>PDFを開く</v>
      </c>
    </row>
    <row r="457" spans="1:7" ht="87.95" customHeight="1">
      <c r="A457" s="5" t="s">
        <v>1711</v>
      </c>
      <c r="B457" s="5" t="s">
        <v>1595</v>
      </c>
      <c r="C457" s="9" t="s">
        <v>1712</v>
      </c>
      <c r="D457" s="5">
        <v>2</v>
      </c>
      <c r="E457" s="9" t="s">
        <v>10165</v>
      </c>
      <c r="F457" s="9" t="s">
        <v>11398</v>
      </c>
      <c r="G457" s="9" t="str">
        <f>HYPERLINK("https://seichotoushi-hojo.jp/assets/pdf/koufu_3_4ji/outline_140.pdf","PDFを開く")</f>
        <v>PDFを開く</v>
      </c>
    </row>
    <row r="458" spans="1:7" ht="87.95" customHeight="1">
      <c r="A458" s="2" t="s">
        <v>1719</v>
      </c>
      <c r="B458" s="2" t="s">
        <v>1595</v>
      </c>
      <c r="C458" s="8" t="s">
        <v>1720</v>
      </c>
      <c r="D458" s="2">
        <v>1</v>
      </c>
      <c r="E458" s="8" t="s">
        <v>10156</v>
      </c>
      <c r="F458" s="8" t="s">
        <v>11399</v>
      </c>
      <c r="G458" s="8" t="str">
        <f>HYPERLINK("https://seichotoushi-hojo.jp/assets/pdf/koufu_3_4ji/outline_15.pdf","PDFを開く")</f>
        <v>PDFを開く</v>
      </c>
    </row>
    <row r="459" spans="1:7" ht="87.95" customHeight="1">
      <c r="A459" s="5" t="s">
        <v>1719</v>
      </c>
      <c r="B459" s="5" t="s">
        <v>1595</v>
      </c>
      <c r="C459" s="9" t="s">
        <v>1720</v>
      </c>
      <c r="D459" s="5">
        <v>2</v>
      </c>
      <c r="E459" s="9" t="s">
        <v>10165</v>
      </c>
      <c r="F459" s="9" t="s">
        <v>11400</v>
      </c>
      <c r="G459" s="9" t="str">
        <f>HYPERLINK("https://seichotoushi-hojo.jp/assets/pdf/koufu_3_4ji/outline_15.pdf","PDFを開く")</f>
        <v>PDFを開く</v>
      </c>
    </row>
    <row r="460" spans="1:7" ht="87.95" customHeight="1">
      <c r="A460" s="2" t="s">
        <v>1727</v>
      </c>
      <c r="B460" s="2" t="s">
        <v>1595</v>
      </c>
      <c r="C460" s="8" t="s">
        <v>1728</v>
      </c>
      <c r="D460" s="2">
        <v>1</v>
      </c>
      <c r="E460" s="8" t="s">
        <v>10156</v>
      </c>
      <c r="F460" s="8" t="s">
        <v>11401</v>
      </c>
      <c r="G460" s="8" t="str">
        <f>HYPERLINK("https://seichotoushi-hojo.jp/assets/pdf/koufu_3_4ji/outline_151.pdf","PDFを開く")</f>
        <v>PDFを開く</v>
      </c>
    </row>
    <row r="461" spans="1:7" ht="87.95" customHeight="1">
      <c r="A461" s="5" t="s">
        <v>1727</v>
      </c>
      <c r="B461" s="5" t="s">
        <v>1595</v>
      </c>
      <c r="C461" s="9" t="s">
        <v>1728</v>
      </c>
      <c r="D461" s="5">
        <v>2</v>
      </c>
      <c r="E461" s="9" t="s">
        <v>10165</v>
      </c>
      <c r="F461" s="9" t="s">
        <v>11402</v>
      </c>
      <c r="G461" s="9" t="str">
        <f>HYPERLINK("https://seichotoushi-hojo.jp/assets/pdf/koufu_3_4ji/outline_151.pdf","PDFを開く")</f>
        <v>PDFを開く</v>
      </c>
    </row>
    <row r="462" spans="1:7" ht="87.95" customHeight="1">
      <c r="A462" s="2" t="s">
        <v>1734</v>
      </c>
      <c r="B462" s="2" t="s">
        <v>1595</v>
      </c>
      <c r="C462" s="8" t="s">
        <v>1735</v>
      </c>
      <c r="D462" s="2">
        <v>1</v>
      </c>
      <c r="E462" s="8" t="s">
        <v>10156</v>
      </c>
      <c r="F462" s="8" t="s">
        <v>11403</v>
      </c>
      <c r="G462" s="8" t="str">
        <f>HYPERLINK("https://seichotoushi-hojo.jp/assets/pdf/koufu_3_4ji/outline_16.pdf","PDFを開く")</f>
        <v>PDFを開く</v>
      </c>
    </row>
    <row r="463" spans="1:7" ht="87.95" customHeight="1">
      <c r="A463" s="5" t="s">
        <v>1734</v>
      </c>
      <c r="B463" s="5" t="s">
        <v>1595</v>
      </c>
      <c r="C463" s="9" t="s">
        <v>1735</v>
      </c>
      <c r="D463" s="5">
        <v>2</v>
      </c>
      <c r="E463" s="9" t="s">
        <v>10165</v>
      </c>
      <c r="F463" s="9" t="s">
        <v>11404</v>
      </c>
      <c r="G463" s="9" t="str">
        <f>HYPERLINK("https://seichotoushi-hojo.jp/assets/pdf/koufu_3_4ji/outline_16.pdf","PDFを開く")</f>
        <v>PDFを開く</v>
      </c>
    </row>
    <row r="464" spans="1:7" ht="87.95" customHeight="1">
      <c r="A464" s="2" t="s">
        <v>1740</v>
      </c>
      <c r="B464" s="2" t="s">
        <v>1595</v>
      </c>
      <c r="C464" s="8" t="s">
        <v>1741</v>
      </c>
      <c r="D464" s="2">
        <v>1</v>
      </c>
      <c r="E464" s="8" t="s">
        <v>10156</v>
      </c>
      <c r="F464" s="8" t="s">
        <v>11405</v>
      </c>
      <c r="G464" s="8" t="str">
        <f>HYPERLINK("https://seichotoushi-hojo.jp/assets/pdf/koufu_3_4ji/outline_17.pdf","PDFを開く")</f>
        <v>PDFを開く</v>
      </c>
    </row>
    <row r="465" spans="1:7" ht="87.95" customHeight="1">
      <c r="A465" s="5" t="s">
        <v>1740</v>
      </c>
      <c r="B465" s="5" t="s">
        <v>1595</v>
      </c>
      <c r="C465" s="9" t="s">
        <v>1741</v>
      </c>
      <c r="D465" s="5">
        <v>2</v>
      </c>
      <c r="E465" s="9" t="s">
        <v>10165</v>
      </c>
      <c r="F465" s="9" t="s">
        <v>11406</v>
      </c>
      <c r="G465" s="9" t="str">
        <f>HYPERLINK("https://seichotoushi-hojo.jp/assets/pdf/koufu_3_4ji/outline_17.pdf","PDFを開く")</f>
        <v>PDFを開く</v>
      </c>
    </row>
    <row r="466" spans="1:7" ht="87.95" customHeight="1">
      <c r="A466" s="2" t="s">
        <v>1748</v>
      </c>
      <c r="B466" s="2" t="s">
        <v>1595</v>
      </c>
      <c r="C466" s="8" t="s">
        <v>1749</v>
      </c>
      <c r="D466" s="2">
        <v>1</v>
      </c>
      <c r="E466" s="8" t="s">
        <v>10156</v>
      </c>
      <c r="F466" s="8" t="s">
        <v>11407</v>
      </c>
      <c r="G466" s="8" t="str">
        <f>HYPERLINK("https://seichotoushi-hojo.jp/assets/pdf/koufu_3_4ji/outline_173.pdf","PDFを開く")</f>
        <v>PDFを開く</v>
      </c>
    </row>
    <row r="467" spans="1:7" ht="87.95" customHeight="1">
      <c r="A467" s="5" t="s">
        <v>1748</v>
      </c>
      <c r="B467" s="5" t="s">
        <v>1595</v>
      </c>
      <c r="C467" s="9" t="s">
        <v>1749</v>
      </c>
      <c r="D467" s="5">
        <v>2</v>
      </c>
      <c r="E467" s="9" t="s">
        <v>10165</v>
      </c>
      <c r="F467" s="9" t="s">
        <v>11408</v>
      </c>
      <c r="G467" s="9" t="str">
        <f>HYPERLINK("https://seichotoushi-hojo.jp/assets/pdf/koufu_3_4ji/outline_173.pdf","PDFを開く")</f>
        <v>PDFを開く</v>
      </c>
    </row>
    <row r="468" spans="1:7" ht="87.95" customHeight="1">
      <c r="A468" s="2" t="s">
        <v>1755</v>
      </c>
      <c r="B468" s="2" t="s">
        <v>1595</v>
      </c>
      <c r="C468" s="8" t="s">
        <v>1756</v>
      </c>
      <c r="D468" s="2">
        <v>1</v>
      </c>
      <c r="E468" s="8" t="s">
        <v>10156</v>
      </c>
      <c r="F468" s="8" t="s">
        <v>11409</v>
      </c>
      <c r="G468" s="8" t="str">
        <f>HYPERLINK("https://seichotoushi-hojo.jp/assets/pdf/koufu_3_4ji/outline_18.pdf","PDFを開く")</f>
        <v>PDFを開く</v>
      </c>
    </row>
    <row r="469" spans="1:7" ht="87.95" customHeight="1">
      <c r="A469" s="5" t="s">
        <v>1755</v>
      </c>
      <c r="B469" s="5" t="s">
        <v>1595</v>
      </c>
      <c r="C469" s="9" t="s">
        <v>1756</v>
      </c>
      <c r="D469" s="5">
        <v>2</v>
      </c>
      <c r="E469" s="9" t="s">
        <v>10165</v>
      </c>
      <c r="F469" s="9" t="s">
        <v>11410</v>
      </c>
      <c r="G469" s="9" t="str">
        <f>HYPERLINK("https://seichotoushi-hojo.jp/assets/pdf/koufu_3_4ji/outline_18.pdf","PDFを開く")</f>
        <v>PDFを開く</v>
      </c>
    </row>
    <row r="470" spans="1:7" ht="87.95" customHeight="1">
      <c r="A470" s="2" t="s">
        <v>1761</v>
      </c>
      <c r="B470" s="2" t="s">
        <v>1595</v>
      </c>
      <c r="C470" s="8" t="s">
        <v>1762</v>
      </c>
      <c r="D470" s="2">
        <v>1</v>
      </c>
      <c r="E470" s="8" t="s">
        <v>10156</v>
      </c>
      <c r="F470" s="8" t="s">
        <v>11411</v>
      </c>
      <c r="G470" s="8" t="str">
        <f>HYPERLINK("https://seichotoushi-hojo.jp/assets/pdf/koufu_3_4ji/outline_185.pdf","PDFを開く")</f>
        <v>PDFを開く</v>
      </c>
    </row>
    <row r="471" spans="1:7" ht="87.95" customHeight="1">
      <c r="A471" s="5" t="s">
        <v>1761</v>
      </c>
      <c r="B471" s="5" t="s">
        <v>1595</v>
      </c>
      <c r="C471" s="9" t="s">
        <v>1762</v>
      </c>
      <c r="D471" s="5">
        <v>2</v>
      </c>
      <c r="E471" s="9" t="s">
        <v>10165</v>
      </c>
      <c r="F471" s="9" t="s">
        <v>11412</v>
      </c>
      <c r="G471" s="9" t="str">
        <f>HYPERLINK("https://seichotoushi-hojo.jp/assets/pdf/koufu_3_4ji/outline_185.pdf","PDFを開く")</f>
        <v>PDFを開く</v>
      </c>
    </row>
    <row r="472" spans="1:7" ht="87.95" customHeight="1">
      <c r="A472" s="2" t="s">
        <v>1769</v>
      </c>
      <c r="B472" s="2" t="s">
        <v>1595</v>
      </c>
      <c r="C472" s="8" t="s">
        <v>1770</v>
      </c>
      <c r="D472" s="2">
        <v>1</v>
      </c>
      <c r="E472" s="8" t="s">
        <v>10156</v>
      </c>
      <c r="F472" s="8" t="s">
        <v>11413</v>
      </c>
      <c r="G472" s="8" t="str">
        <f>HYPERLINK("https://seichotoushi-hojo.jp/assets/pdf/koufu_3_4ji/outline_186.pdf","PDFを開く")</f>
        <v>PDFを開く</v>
      </c>
    </row>
    <row r="473" spans="1:7" ht="87.95" customHeight="1">
      <c r="A473" s="5" t="s">
        <v>1769</v>
      </c>
      <c r="B473" s="5" t="s">
        <v>1595</v>
      </c>
      <c r="C473" s="9" t="s">
        <v>1770</v>
      </c>
      <c r="D473" s="5">
        <v>2</v>
      </c>
      <c r="E473" s="9" t="s">
        <v>10165</v>
      </c>
      <c r="F473" s="9" t="s">
        <v>11414</v>
      </c>
      <c r="G473" s="9" t="str">
        <f>HYPERLINK("https://seichotoushi-hojo.jp/assets/pdf/koufu_3_4ji/outline_186.pdf","PDFを開く")</f>
        <v>PDFを開く</v>
      </c>
    </row>
    <row r="474" spans="1:7" ht="87.95" customHeight="1">
      <c r="A474" s="2" t="s">
        <v>1776</v>
      </c>
      <c r="B474" s="2" t="s">
        <v>1595</v>
      </c>
      <c r="C474" s="8" t="s">
        <v>1777</v>
      </c>
      <c r="D474" s="2">
        <v>1</v>
      </c>
      <c r="E474" s="8" t="s">
        <v>10156</v>
      </c>
      <c r="F474" s="8" t="s">
        <v>11415</v>
      </c>
      <c r="G474" s="8" t="str">
        <f>HYPERLINK("https://seichotoushi-hojo.jp/assets/pdf/koufu_3_4ji/outline_188.pdf","PDFを開く")</f>
        <v>PDFを開く</v>
      </c>
    </row>
    <row r="475" spans="1:7" ht="87.95" customHeight="1">
      <c r="A475" s="5" t="s">
        <v>1776</v>
      </c>
      <c r="B475" s="5" t="s">
        <v>1595</v>
      </c>
      <c r="C475" s="9" t="s">
        <v>1777</v>
      </c>
      <c r="D475" s="5">
        <v>2</v>
      </c>
      <c r="E475" s="9" t="s">
        <v>10165</v>
      </c>
      <c r="F475" s="9" t="s">
        <v>11416</v>
      </c>
      <c r="G475" s="9" t="str">
        <f>HYPERLINK("https://seichotoushi-hojo.jp/assets/pdf/koufu_3_4ji/outline_188.pdf","PDFを開く")</f>
        <v>PDFを開く</v>
      </c>
    </row>
    <row r="476" spans="1:7" ht="87.95" customHeight="1">
      <c r="A476" s="2" t="s">
        <v>1784</v>
      </c>
      <c r="B476" s="2" t="s">
        <v>1595</v>
      </c>
      <c r="C476" s="8" t="s">
        <v>1785</v>
      </c>
      <c r="D476" s="2">
        <v>1</v>
      </c>
      <c r="E476" s="8" t="s">
        <v>10156</v>
      </c>
      <c r="F476" s="8" t="s">
        <v>11417</v>
      </c>
      <c r="G476" s="8" t="str">
        <f>HYPERLINK("https://seichotoushi-hojo.jp/assets/pdf/koufu_3_4ji/outline_19.pdf","PDFを開く")</f>
        <v>PDFを開く</v>
      </c>
    </row>
    <row r="477" spans="1:7" ht="87.95" customHeight="1">
      <c r="A477" s="5" t="s">
        <v>1784</v>
      </c>
      <c r="B477" s="5" t="s">
        <v>1595</v>
      </c>
      <c r="C477" s="9" t="s">
        <v>1785</v>
      </c>
      <c r="D477" s="5">
        <v>2</v>
      </c>
      <c r="E477" s="9" t="s">
        <v>10165</v>
      </c>
      <c r="F477" s="9" t="s">
        <v>11418</v>
      </c>
      <c r="G477" s="9" t="str">
        <f>HYPERLINK("https://seichotoushi-hojo.jp/assets/pdf/koufu_3_4ji/outline_19.pdf","PDFを開く")</f>
        <v>PDFを開く</v>
      </c>
    </row>
    <row r="478" spans="1:7" ht="87.95" customHeight="1">
      <c r="A478" s="2" t="s">
        <v>1791</v>
      </c>
      <c r="B478" s="2" t="s">
        <v>1595</v>
      </c>
      <c r="C478" s="8" t="s">
        <v>1792</v>
      </c>
      <c r="D478" s="2">
        <v>1</v>
      </c>
      <c r="E478" s="8" t="s">
        <v>10156</v>
      </c>
      <c r="F478" s="8" t="s">
        <v>11419</v>
      </c>
      <c r="G478" s="8" t="str">
        <f>HYPERLINK("https://seichotoushi-hojo.jp/assets/pdf/koufu_3_4ji/outline_190.pdf","PDFを開く")</f>
        <v>PDFを開く</v>
      </c>
    </row>
    <row r="479" spans="1:7" ht="87.95" customHeight="1">
      <c r="A479" s="5" t="s">
        <v>1791</v>
      </c>
      <c r="B479" s="5" t="s">
        <v>1595</v>
      </c>
      <c r="C479" s="9" t="s">
        <v>1792</v>
      </c>
      <c r="D479" s="5">
        <v>2</v>
      </c>
      <c r="E479" s="9" t="s">
        <v>10165</v>
      </c>
      <c r="F479" s="9" t="s">
        <v>11420</v>
      </c>
      <c r="G479" s="9" t="str">
        <f>HYPERLINK("https://seichotoushi-hojo.jp/assets/pdf/koufu_3_4ji/outline_190.pdf","PDFを開く")</f>
        <v>PDFを開く</v>
      </c>
    </row>
    <row r="480" spans="1:7" ht="87.95" customHeight="1">
      <c r="A480" s="2" t="s">
        <v>1798</v>
      </c>
      <c r="B480" s="2" t="s">
        <v>1595</v>
      </c>
      <c r="C480" s="8" t="s">
        <v>1799</v>
      </c>
      <c r="D480" s="2">
        <v>1</v>
      </c>
      <c r="E480" s="8" t="s">
        <v>10156</v>
      </c>
      <c r="F480" s="8" t="s">
        <v>11421</v>
      </c>
      <c r="G480" s="8" t="str">
        <f>HYPERLINK("https://seichotoushi-hojo.jp/assets/pdf/koufu_3_4ji/outline_197.pdf","PDFを開く")</f>
        <v>PDFを開く</v>
      </c>
    </row>
    <row r="481" spans="1:7" ht="87.95" customHeight="1">
      <c r="A481" s="5" t="s">
        <v>1798</v>
      </c>
      <c r="B481" s="5" t="s">
        <v>1595</v>
      </c>
      <c r="C481" s="9" t="s">
        <v>1799</v>
      </c>
      <c r="D481" s="5">
        <v>2</v>
      </c>
      <c r="E481" s="9" t="s">
        <v>10165</v>
      </c>
      <c r="F481" s="9" t="s">
        <v>11422</v>
      </c>
      <c r="G481" s="9" t="str">
        <f>HYPERLINK("https://seichotoushi-hojo.jp/assets/pdf/koufu_3_4ji/outline_197.pdf","PDFを開く")</f>
        <v>PDFを開く</v>
      </c>
    </row>
    <row r="482" spans="1:7" ht="87.95" customHeight="1">
      <c r="A482" s="2" t="s">
        <v>1806</v>
      </c>
      <c r="B482" s="2" t="s">
        <v>1595</v>
      </c>
      <c r="C482" s="8" t="s">
        <v>1807</v>
      </c>
      <c r="D482" s="2">
        <v>1</v>
      </c>
      <c r="E482" s="8" t="s">
        <v>10156</v>
      </c>
      <c r="F482" s="8" t="s">
        <v>11423</v>
      </c>
      <c r="G482" s="8" t="str">
        <f>HYPERLINK("https://seichotoushi-hojo.jp/assets/pdf/koufu_3_4ji/outline_2.pdf","PDFを開く")</f>
        <v>PDFを開く</v>
      </c>
    </row>
    <row r="483" spans="1:7" ht="87.95" customHeight="1">
      <c r="A483" s="5" t="s">
        <v>1806</v>
      </c>
      <c r="B483" s="5" t="s">
        <v>1595</v>
      </c>
      <c r="C483" s="9" t="s">
        <v>1807</v>
      </c>
      <c r="D483" s="5">
        <v>2</v>
      </c>
      <c r="E483" s="9" t="s">
        <v>10165</v>
      </c>
      <c r="F483" s="9" t="s">
        <v>11424</v>
      </c>
      <c r="G483" s="9" t="str">
        <f>HYPERLINK("https://seichotoushi-hojo.jp/assets/pdf/koufu_3_4ji/outline_2.pdf","PDFを開く")</f>
        <v>PDFを開く</v>
      </c>
    </row>
    <row r="484" spans="1:7" ht="87.95" customHeight="1">
      <c r="A484" s="2" t="s">
        <v>1813</v>
      </c>
      <c r="B484" s="2" t="s">
        <v>1595</v>
      </c>
      <c r="C484" s="8" t="s">
        <v>1814</v>
      </c>
      <c r="D484" s="2">
        <v>1</v>
      </c>
      <c r="E484" s="8" t="s">
        <v>10156</v>
      </c>
      <c r="F484" s="8" t="s">
        <v>11425</v>
      </c>
      <c r="G484" s="8" t="str">
        <f>HYPERLINK("https://seichotoushi-hojo.jp/assets/pdf/koufu_3_4ji/outline_205.pdf","PDFを開く")</f>
        <v>PDFを開く</v>
      </c>
    </row>
    <row r="485" spans="1:7" ht="87.95" customHeight="1">
      <c r="A485" s="5" t="s">
        <v>1813</v>
      </c>
      <c r="B485" s="5" t="s">
        <v>1595</v>
      </c>
      <c r="C485" s="9" t="s">
        <v>1814</v>
      </c>
      <c r="D485" s="5">
        <v>2</v>
      </c>
      <c r="E485" s="9" t="s">
        <v>10165</v>
      </c>
      <c r="F485" s="9" t="s">
        <v>11426</v>
      </c>
      <c r="G485" s="9" t="str">
        <f>HYPERLINK("https://seichotoushi-hojo.jp/assets/pdf/koufu_3_4ji/outline_205.pdf","PDFを開く")</f>
        <v>PDFを開く</v>
      </c>
    </row>
    <row r="486" spans="1:7" ht="87.95" customHeight="1">
      <c r="A486" s="2" t="s">
        <v>1821</v>
      </c>
      <c r="B486" s="2" t="s">
        <v>1595</v>
      </c>
      <c r="C486" s="8" t="s">
        <v>1822</v>
      </c>
      <c r="D486" s="2">
        <v>1</v>
      </c>
      <c r="E486" s="8" t="s">
        <v>10156</v>
      </c>
      <c r="F486" s="8" t="s">
        <v>11427</v>
      </c>
      <c r="G486" s="8" t="str">
        <f>HYPERLINK("https://seichotoushi-hojo.jp/assets/pdf/koufu_3_4ji/outline_209.pdf","PDFを開く")</f>
        <v>PDFを開く</v>
      </c>
    </row>
    <row r="487" spans="1:7" ht="87.95" customHeight="1">
      <c r="A487" s="5" t="s">
        <v>1821</v>
      </c>
      <c r="B487" s="5" t="s">
        <v>1595</v>
      </c>
      <c r="C487" s="9" t="s">
        <v>1822</v>
      </c>
      <c r="D487" s="5">
        <v>2</v>
      </c>
      <c r="E487" s="9" t="s">
        <v>10165</v>
      </c>
      <c r="F487" s="9" t="s">
        <v>11428</v>
      </c>
      <c r="G487" s="9" t="str">
        <f>HYPERLINK("https://seichotoushi-hojo.jp/assets/pdf/koufu_3_4ji/outline_209.pdf","PDFを開く")</f>
        <v>PDFを開く</v>
      </c>
    </row>
    <row r="488" spans="1:7" ht="87.95" customHeight="1">
      <c r="A488" s="2" t="s">
        <v>1821</v>
      </c>
      <c r="B488" s="2" t="s">
        <v>1595</v>
      </c>
      <c r="C488" s="8" t="s">
        <v>1822</v>
      </c>
      <c r="D488" s="2">
        <v>3</v>
      </c>
      <c r="E488" s="8" t="s">
        <v>10165</v>
      </c>
      <c r="F488" s="8" t="s">
        <v>11429</v>
      </c>
      <c r="G488" s="8" t="str">
        <f>HYPERLINK("https://seichotoushi-hojo.jp/assets/pdf/koufu_3_4ji/outline_209.pdf","PDFを開く")</f>
        <v>PDFを開く</v>
      </c>
    </row>
    <row r="489" spans="1:7" ht="87.95" customHeight="1">
      <c r="A489" s="5" t="s">
        <v>1821</v>
      </c>
      <c r="B489" s="5" t="s">
        <v>1595</v>
      </c>
      <c r="C489" s="9" t="s">
        <v>1822</v>
      </c>
      <c r="D489" s="5">
        <v>4</v>
      </c>
      <c r="E489" s="9" t="s">
        <v>10165</v>
      </c>
      <c r="F489" s="9" t="s">
        <v>11430</v>
      </c>
      <c r="G489" s="9" t="str">
        <f>HYPERLINK("https://seichotoushi-hojo.jp/assets/pdf/koufu_3_4ji/outline_209.pdf","PDFを開く")</f>
        <v>PDFを開く</v>
      </c>
    </row>
    <row r="490" spans="1:7" ht="87.95" customHeight="1">
      <c r="A490" s="2" t="s">
        <v>1830</v>
      </c>
      <c r="B490" s="2" t="s">
        <v>1595</v>
      </c>
      <c r="C490" s="8" t="s">
        <v>1831</v>
      </c>
      <c r="D490" s="2">
        <v>1</v>
      </c>
      <c r="E490" s="8" t="s">
        <v>10156</v>
      </c>
      <c r="F490" s="8" t="s">
        <v>11431</v>
      </c>
      <c r="G490" s="8" t="str">
        <f>HYPERLINK("https://seichotoushi-hojo.jp/assets/pdf/koufu_3_4ji/outline_21.pdf","PDFを開く")</f>
        <v>PDFを開く</v>
      </c>
    </row>
    <row r="491" spans="1:7" ht="87.95" customHeight="1">
      <c r="A491" s="5" t="s">
        <v>1830</v>
      </c>
      <c r="B491" s="5" t="s">
        <v>1595</v>
      </c>
      <c r="C491" s="9" t="s">
        <v>1831</v>
      </c>
      <c r="D491" s="5">
        <v>2</v>
      </c>
      <c r="E491" s="9" t="s">
        <v>10165</v>
      </c>
      <c r="F491" s="9" t="s">
        <v>11432</v>
      </c>
      <c r="G491" s="9" t="str">
        <f>HYPERLINK("https://seichotoushi-hojo.jp/assets/pdf/koufu_3_4ji/outline_21.pdf","PDFを開く")</f>
        <v>PDFを開く</v>
      </c>
    </row>
    <row r="492" spans="1:7" ht="87.95" customHeight="1">
      <c r="A492" s="2" t="s">
        <v>1837</v>
      </c>
      <c r="B492" s="2" t="s">
        <v>1595</v>
      </c>
      <c r="C492" s="8" t="s">
        <v>1838</v>
      </c>
      <c r="D492" s="2">
        <v>1</v>
      </c>
      <c r="E492" s="8" t="s">
        <v>10156</v>
      </c>
      <c r="F492" s="8" t="s">
        <v>11433</v>
      </c>
      <c r="G492" s="8" t="str">
        <f>HYPERLINK("https://seichotoushi-hojo.jp/assets/pdf/koufu_3_4ji/outline_212.pdf","PDFを開く")</f>
        <v>PDFを開く</v>
      </c>
    </row>
    <row r="493" spans="1:7" ht="87.95" customHeight="1">
      <c r="A493" s="5" t="s">
        <v>1837</v>
      </c>
      <c r="B493" s="5" t="s">
        <v>1595</v>
      </c>
      <c r="C493" s="9" t="s">
        <v>1838</v>
      </c>
      <c r="D493" s="5">
        <v>2</v>
      </c>
      <c r="E493" s="9" t="s">
        <v>10165</v>
      </c>
      <c r="F493" s="9" t="s">
        <v>11434</v>
      </c>
      <c r="G493" s="9" t="str">
        <f>HYPERLINK("https://seichotoushi-hojo.jp/assets/pdf/koufu_3_4ji/outline_212.pdf","PDFを開く")</f>
        <v>PDFを開く</v>
      </c>
    </row>
    <row r="494" spans="1:7" ht="87.95" customHeight="1">
      <c r="A494" s="2" t="s">
        <v>1843</v>
      </c>
      <c r="B494" s="2" t="s">
        <v>1595</v>
      </c>
      <c r="C494" s="8" t="s">
        <v>1844</v>
      </c>
      <c r="D494" s="2">
        <v>1</v>
      </c>
      <c r="E494" s="8" t="s">
        <v>10156</v>
      </c>
      <c r="F494" s="8" t="s">
        <v>8888</v>
      </c>
      <c r="G494" s="8" t="str">
        <f>HYPERLINK("https://seichotoushi-hojo.jp/assets/pdf/koufu_3_4ji/outline_214.pdf","PDFを開く")</f>
        <v>PDFを開く</v>
      </c>
    </row>
    <row r="495" spans="1:7" ht="87.95" customHeight="1">
      <c r="A495" s="5" t="s">
        <v>1843</v>
      </c>
      <c r="B495" s="5" t="s">
        <v>1595</v>
      </c>
      <c r="C495" s="9" t="s">
        <v>1844</v>
      </c>
      <c r="D495" s="5">
        <v>2</v>
      </c>
      <c r="E495" s="9" t="s">
        <v>10165</v>
      </c>
      <c r="F495" s="9" t="s">
        <v>11435</v>
      </c>
      <c r="G495" s="9" t="str">
        <f>HYPERLINK("https://seichotoushi-hojo.jp/assets/pdf/koufu_3_4ji/outline_214.pdf","PDFを開く")</f>
        <v>PDFを開く</v>
      </c>
    </row>
    <row r="496" spans="1:7" ht="87.95" customHeight="1">
      <c r="A496" s="2" t="s">
        <v>1852</v>
      </c>
      <c r="B496" s="2" t="s">
        <v>1595</v>
      </c>
      <c r="C496" s="8" t="s">
        <v>1853</v>
      </c>
      <c r="D496" s="2">
        <v>1</v>
      </c>
      <c r="E496" s="8" t="s">
        <v>10156</v>
      </c>
      <c r="F496" s="8" t="s">
        <v>11436</v>
      </c>
      <c r="G496" s="8" t="str">
        <f>HYPERLINK("https://seichotoushi-hojo.jp/assets/pdf/koufu_3_4ji/outline_215.pdf","PDFを開く")</f>
        <v>PDFを開く</v>
      </c>
    </row>
    <row r="497" spans="1:7" ht="87.95" customHeight="1">
      <c r="A497" s="5" t="s">
        <v>1852</v>
      </c>
      <c r="B497" s="5" t="s">
        <v>1595</v>
      </c>
      <c r="C497" s="9" t="s">
        <v>1853</v>
      </c>
      <c r="D497" s="5">
        <v>2</v>
      </c>
      <c r="E497" s="9" t="s">
        <v>10165</v>
      </c>
      <c r="F497" s="9" t="s">
        <v>11437</v>
      </c>
      <c r="G497" s="9" t="str">
        <f>HYPERLINK("https://seichotoushi-hojo.jp/assets/pdf/koufu_3_4ji/outline_215.pdf","PDFを開く")</f>
        <v>PDFを開く</v>
      </c>
    </row>
    <row r="498" spans="1:7" ht="87.95" customHeight="1">
      <c r="A498" s="2" t="s">
        <v>1859</v>
      </c>
      <c r="B498" s="2" t="s">
        <v>1595</v>
      </c>
      <c r="C498" s="8" t="s">
        <v>1860</v>
      </c>
      <c r="D498" s="2">
        <v>1</v>
      </c>
      <c r="E498" s="8" t="s">
        <v>10156</v>
      </c>
      <c r="F498" s="8" t="s">
        <v>11438</v>
      </c>
      <c r="G498" s="8" t="str">
        <f>HYPERLINK("https://seichotoushi-hojo.jp/assets/pdf/koufu_3_4ji/outline_216.pdf","PDFを開く")</f>
        <v>PDFを開く</v>
      </c>
    </row>
    <row r="499" spans="1:7" ht="87.95" customHeight="1">
      <c r="A499" s="5" t="s">
        <v>1859</v>
      </c>
      <c r="B499" s="5" t="s">
        <v>1595</v>
      </c>
      <c r="C499" s="9" t="s">
        <v>1860</v>
      </c>
      <c r="D499" s="5">
        <v>2</v>
      </c>
      <c r="E499" s="9" t="s">
        <v>10165</v>
      </c>
      <c r="F499" s="9" t="s">
        <v>11439</v>
      </c>
      <c r="G499" s="9" t="str">
        <f>HYPERLINK("https://seichotoushi-hojo.jp/assets/pdf/koufu_3_4ji/outline_216.pdf","PDFを開く")</f>
        <v>PDFを開く</v>
      </c>
    </row>
    <row r="500" spans="1:7" ht="87.95" customHeight="1">
      <c r="A500" s="2" t="s">
        <v>1867</v>
      </c>
      <c r="B500" s="2" t="s">
        <v>1595</v>
      </c>
      <c r="C500" s="8" t="s">
        <v>1868</v>
      </c>
      <c r="D500" s="2">
        <v>1</v>
      </c>
      <c r="E500" s="8" t="s">
        <v>10156</v>
      </c>
      <c r="F500" s="8" t="s">
        <v>11440</v>
      </c>
      <c r="G500" s="8" t="str">
        <f>HYPERLINK("https://seichotoushi-hojo.jp/assets/pdf/koufu_3_4ji/outline_22.pdf","PDFを開く")</f>
        <v>PDFを開く</v>
      </c>
    </row>
    <row r="501" spans="1:7" ht="87.95" customHeight="1">
      <c r="A501" s="5" t="s">
        <v>1867</v>
      </c>
      <c r="B501" s="5" t="s">
        <v>1595</v>
      </c>
      <c r="C501" s="9" t="s">
        <v>1868</v>
      </c>
      <c r="D501" s="5">
        <v>2</v>
      </c>
      <c r="E501" s="9" t="s">
        <v>10165</v>
      </c>
      <c r="F501" s="9" t="s">
        <v>11441</v>
      </c>
      <c r="G501" s="9" t="str">
        <f>HYPERLINK("https://seichotoushi-hojo.jp/assets/pdf/koufu_3_4ji/outline_22.pdf","PDFを開く")</f>
        <v>PDFを開く</v>
      </c>
    </row>
    <row r="502" spans="1:7" ht="87.95" customHeight="1">
      <c r="A502" s="2" t="s">
        <v>1874</v>
      </c>
      <c r="B502" s="2" t="s">
        <v>1595</v>
      </c>
      <c r="C502" s="8" t="s">
        <v>1875</v>
      </c>
      <c r="D502" s="2">
        <v>1</v>
      </c>
      <c r="E502" s="8" t="s">
        <v>10156</v>
      </c>
      <c r="F502" s="8" t="s">
        <v>11442</v>
      </c>
      <c r="G502" s="8" t="str">
        <f>HYPERLINK("https://seichotoushi-hojo.jp/assets/pdf/koufu_3_4ji/outline_229.pdf","PDFを開く")</f>
        <v>PDFを開く</v>
      </c>
    </row>
    <row r="503" spans="1:7" ht="87.95" customHeight="1">
      <c r="A503" s="5" t="s">
        <v>1874</v>
      </c>
      <c r="B503" s="5" t="s">
        <v>1595</v>
      </c>
      <c r="C503" s="9" t="s">
        <v>1875</v>
      </c>
      <c r="D503" s="5">
        <v>2</v>
      </c>
      <c r="E503" s="9" t="s">
        <v>10165</v>
      </c>
      <c r="F503" s="9" t="s">
        <v>11443</v>
      </c>
      <c r="G503" s="9" t="str">
        <f>HYPERLINK("https://seichotoushi-hojo.jp/assets/pdf/koufu_3_4ji/outline_229.pdf","PDFを開く")</f>
        <v>PDFを開く</v>
      </c>
    </row>
    <row r="504" spans="1:7" ht="87.95" customHeight="1">
      <c r="A504" s="2" t="s">
        <v>1881</v>
      </c>
      <c r="B504" s="2" t="s">
        <v>1595</v>
      </c>
      <c r="C504" s="8" t="s">
        <v>1882</v>
      </c>
      <c r="D504" s="2">
        <v>1</v>
      </c>
      <c r="E504" s="8" t="s">
        <v>10156</v>
      </c>
      <c r="F504" s="8" t="s">
        <v>11444</v>
      </c>
      <c r="G504" s="8" t="str">
        <f>HYPERLINK("https://seichotoushi-hojo.jp/assets/pdf/koufu_3_4ji/outline_23.pdf","PDFを開く")</f>
        <v>PDFを開く</v>
      </c>
    </row>
    <row r="505" spans="1:7" ht="87.95" customHeight="1">
      <c r="A505" s="5" t="s">
        <v>1881</v>
      </c>
      <c r="B505" s="5" t="s">
        <v>1595</v>
      </c>
      <c r="C505" s="9" t="s">
        <v>1882</v>
      </c>
      <c r="D505" s="5">
        <v>2</v>
      </c>
      <c r="E505" s="9" t="s">
        <v>10165</v>
      </c>
      <c r="F505" s="9" t="s">
        <v>11445</v>
      </c>
      <c r="G505" s="9" t="str">
        <f>HYPERLINK("https://seichotoushi-hojo.jp/assets/pdf/koufu_3_4ji/outline_23.pdf","PDFを開く")</f>
        <v>PDFを開く</v>
      </c>
    </row>
    <row r="506" spans="1:7" ht="87.95" customHeight="1">
      <c r="A506" s="2" t="s">
        <v>1888</v>
      </c>
      <c r="B506" s="2" t="s">
        <v>1595</v>
      </c>
      <c r="C506" s="8" t="s">
        <v>1889</v>
      </c>
      <c r="D506" s="2">
        <v>1</v>
      </c>
      <c r="E506" s="8" t="s">
        <v>10156</v>
      </c>
      <c r="F506" s="8" t="s">
        <v>11446</v>
      </c>
      <c r="G506" s="8" t="str">
        <f>HYPERLINK("https://seichotoushi-hojo.jp/assets/pdf/koufu_3_4ji/outline_232.pdf","PDFを開く")</f>
        <v>PDFを開く</v>
      </c>
    </row>
    <row r="507" spans="1:7" ht="87.95" customHeight="1">
      <c r="A507" s="5" t="s">
        <v>1888</v>
      </c>
      <c r="B507" s="5" t="s">
        <v>1595</v>
      </c>
      <c r="C507" s="9" t="s">
        <v>1889</v>
      </c>
      <c r="D507" s="5">
        <v>2</v>
      </c>
      <c r="E507" s="9" t="s">
        <v>10165</v>
      </c>
      <c r="F507" s="9" t="s">
        <v>11447</v>
      </c>
      <c r="G507" s="9" t="str">
        <f>HYPERLINK("https://seichotoushi-hojo.jp/assets/pdf/koufu_3_4ji/outline_232.pdf","PDFを開く")</f>
        <v>PDFを開く</v>
      </c>
    </row>
    <row r="508" spans="1:7" ht="87.95" customHeight="1">
      <c r="A508" s="2" t="s">
        <v>1897</v>
      </c>
      <c r="B508" s="2" t="s">
        <v>1595</v>
      </c>
      <c r="C508" s="8" t="s">
        <v>1898</v>
      </c>
      <c r="D508" s="2">
        <v>1</v>
      </c>
      <c r="E508" s="8" t="s">
        <v>10156</v>
      </c>
      <c r="F508" s="8" t="s">
        <v>11448</v>
      </c>
      <c r="G508" s="8" t="str">
        <f>HYPERLINK("https://seichotoushi-hojo.jp/assets/pdf/koufu_3_4ji/outline_234.pdf","PDFを開く")</f>
        <v>PDFを開く</v>
      </c>
    </row>
    <row r="509" spans="1:7" ht="87.95" customHeight="1">
      <c r="A509" s="5" t="s">
        <v>1897</v>
      </c>
      <c r="B509" s="5" t="s">
        <v>1595</v>
      </c>
      <c r="C509" s="9" t="s">
        <v>1898</v>
      </c>
      <c r="D509" s="5">
        <v>2</v>
      </c>
      <c r="E509" s="9" t="s">
        <v>10165</v>
      </c>
      <c r="F509" s="9" t="s">
        <v>11449</v>
      </c>
      <c r="G509" s="9" t="str">
        <f>HYPERLINK("https://seichotoushi-hojo.jp/assets/pdf/koufu_3_4ji/outline_234.pdf","PDFを開く")</f>
        <v>PDFを開く</v>
      </c>
    </row>
    <row r="510" spans="1:7" ht="87.95" customHeight="1">
      <c r="A510" s="2" t="s">
        <v>1904</v>
      </c>
      <c r="B510" s="2" t="s">
        <v>1595</v>
      </c>
      <c r="C510" s="8" t="s">
        <v>1905</v>
      </c>
      <c r="D510" s="2">
        <v>1</v>
      </c>
      <c r="E510" s="8" t="s">
        <v>10156</v>
      </c>
      <c r="F510" s="8" t="s">
        <v>11450</v>
      </c>
      <c r="G510" s="8" t="str">
        <f>HYPERLINK("https://seichotoushi-hojo.jp/assets/pdf/koufu_3_4ji/outline_24.pdf","PDFを開く")</f>
        <v>PDFを開く</v>
      </c>
    </row>
    <row r="511" spans="1:7" ht="87.95" customHeight="1">
      <c r="A511" s="5" t="s">
        <v>1904</v>
      </c>
      <c r="B511" s="5" t="s">
        <v>1595</v>
      </c>
      <c r="C511" s="9" t="s">
        <v>1905</v>
      </c>
      <c r="D511" s="5">
        <v>2</v>
      </c>
      <c r="E511" s="9" t="s">
        <v>10165</v>
      </c>
      <c r="F511" s="9" t="s">
        <v>11451</v>
      </c>
      <c r="G511" s="9" t="str">
        <f>HYPERLINK("https://seichotoushi-hojo.jp/assets/pdf/koufu_3_4ji/outline_24.pdf","PDFを開く")</f>
        <v>PDFを開く</v>
      </c>
    </row>
    <row r="512" spans="1:7" ht="87.95" customHeight="1">
      <c r="A512" s="2" t="s">
        <v>1912</v>
      </c>
      <c r="B512" s="2" t="s">
        <v>1595</v>
      </c>
      <c r="C512" s="8" t="s">
        <v>1913</v>
      </c>
      <c r="D512" s="2">
        <v>1</v>
      </c>
      <c r="E512" s="8" t="s">
        <v>10156</v>
      </c>
      <c r="F512" s="8" t="s">
        <v>11452</v>
      </c>
      <c r="G512" s="8" t="str">
        <f>HYPERLINK("https://seichotoushi-hojo.jp/assets/pdf/koufu_3_4ji/outline_25.pdf","PDFを開く")</f>
        <v>PDFを開く</v>
      </c>
    </row>
    <row r="513" spans="1:7" ht="87.95" customHeight="1">
      <c r="A513" s="5" t="s">
        <v>1912</v>
      </c>
      <c r="B513" s="5" t="s">
        <v>1595</v>
      </c>
      <c r="C513" s="9" t="s">
        <v>1913</v>
      </c>
      <c r="D513" s="5">
        <v>2</v>
      </c>
      <c r="E513" s="9" t="s">
        <v>10156</v>
      </c>
      <c r="F513" s="9" t="s">
        <v>11453</v>
      </c>
      <c r="G513" s="9" t="str">
        <f>HYPERLINK("https://seichotoushi-hojo.jp/assets/pdf/koufu_3_4ji/outline_25.pdf","PDFを開く")</f>
        <v>PDFを開く</v>
      </c>
    </row>
    <row r="514" spans="1:7" ht="87.95" customHeight="1">
      <c r="A514" s="2" t="s">
        <v>1912</v>
      </c>
      <c r="B514" s="2" t="s">
        <v>1595</v>
      </c>
      <c r="C514" s="8" t="s">
        <v>1913</v>
      </c>
      <c r="D514" s="2">
        <v>3</v>
      </c>
      <c r="E514" s="8" t="s">
        <v>10156</v>
      </c>
      <c r="F514" s="8" t="s">
        <v>11454</v>
      </c>
      <c r="G514" s="8" t="str">
        <f>HYPERLINK("https://seichotoushi-hojo.jp/assets/pdf/koufu_3_4ji/outline_25.pdf","PDFを開く")</f>
        <v>PDFを開く</v>
      </c>
    </row>
    <row r="515" spans="1:7" ht="87.95" customHeight="1">
      <c r="A515" s="5" t="s">
        <v>1912</v>
      </c>
      <c r="B515" s="5" t="s">
        <v>1595</v>
      </c>
      <c r="C515" s="9" t="s">
        <v>1913</v>
      </c>
      <c r="D515" s="5">
        <v>4</v>
      </c>
      <c r="E515" s="9" t="s">
        <v>10165</v>
      </c>
      <c r="F515" s="9" t="s">
        <v>11455</v>
      </c>
      <c r="G515" s="9" t="str">
        <f>HYPERLINK("https://seichotoushi-hojo.jp/assets/pdf/koufu_3_4ji/outline_25.pdf","PDFを開く")</f>
        <v>PDFを開く</v>
      </c>
    </row>
    <row r="516" spans="1:7" ht="87.95" customHeight="1">
      <c r="A516" s="2" t="s">
        <v>1912</v>
      </c>
      <c r="B516" s="2" t="s">
        <v>1595</v>
      </c>
      <c r="C516" s="8" t="s">
        <v>1913</v>
      </c>
      <c r="D516" s="2">
        <v>5</v>
      </c>
      <c r="E516" s="8" t="s">
        <v>10165</v>
      </c>
      <c r="F516" s="8" t="s">
        <v>11456</v>
      </c>
      <c r="G516" s="8" t="str">
        <f>HYPERLINK("https://seichotoushi-hojo.jp/assets/pdf/koufu_3_4ji/outline_25.pdf","PDFを開く")</f>
        <v>PDFを開く</v>
      </c>
    </row>
    <row r="517" spans="1:7" ht="87.95" customHeight="1">
      <c r="A517" s="5" t="s">
        <v>1918</v>
      </c>
      <c r="B517" s="5" t="s">
        <v>1595</v>
      </c>
      <c r="C517" s="9" t="s">
        <v>1919</v>
      </c>
      <c r="D517" s="5">
        <v>1</v>
      </c>
      <c r="E517" s="9" t="s">
        <v>10156</v>
      </c>
      <c r="F517" s="9" t="s">
        <v>11457</v>
      </c>
      <c r="G517" s="9" t="str">
        <f>HYPERLINK("https://seichotoushi-hojo.jp/assets/pdf/koufu_3_4ji/outline_26.pdf","PDFを開く")</f>
        <v>PDFを開く</v>
      </c>
    </row>
    <row r="518" spans="1:7" ht="87.95" customHeight="1">
      <c r="A518" s="2" t="s">
        <v>1918</v>
      </c>
      <c r="B518" s="2" t="s">
        <v>1595</v>
      </c>
      <c r="C518" s="8" t="s">
        <v>1919</v>
      </c>
      <c r="D518" s="2">
        <v>2</v>
      </c>
      <c r="E518" s="8" t="s">
        <v>10165</v>
      </c>
      <c r="F518" s="8" t="s">
        <v>11458</v>
      </c>
      <c r="G518" s="8" t="str">
        <f>HYPERLINK("https://seichotoushi-hojo.jp/assets/pdf/koufu_3_4ji/outline_26.pdf","PDFを開く")</f>
        <v>PDFを開く</v>
      </c>
    </row>
    <row r="519" spans="1:7" ht="87.95" customHeight="1">
      <c r="A519" s="5" t="s">
        <v>1927</v>
      </c>
      <c r="B519" s="5" t="s">
        <v>1595</v>
      </c>
      <c r="C519" s="9" t="s">
        <v>1928</v>
      </c>
      <c r="D519" s="5">
        <v>1</v>
      </c>
      <c r="E519" s="9" t="s">
        <v>10156</v>
      </c>
      <c r="F519" s="9" t="s">
        <v>11459</v>
      </c>
      <c r="G519" s="9" t="str">
        <f>HYPERLINK("https://seichotoushi-hojo.jp/assets/pdf/koufu_3_4ji/outline_27.pdf","PDFを開く")</f>
        <v>PDFを開く</v>
      </c>
    </row>
    <row r="520" spans="1:7" ht="87.95" customHeight="1">
      <c r="A520" s="2" t="s">
        <v>1927</v>
      </c>
      <c r="B520" s="2" t="s">
        <v>1595</v>
      </c>
      <c r="C520" s="8" t="s">
        <v>1928</v>
      </c>
      <c r="D520" s="2">
        <v>2</v>
      </c>
      <c r="E520" s="8" t="s">
        <v>10165</v>
      </c>
      <c r="F520" s="8" t="s">
        <v>11460</v>
      </c>
      <c r="G520" s="8" t="str">
        <f>HYPERLINK("https://seichotoushi-hojo.jp/assets/pdf/koufu_3_4ji/outline_27.pdf","PDFを開く")</f>
        <v>PDFを開く</v>
      </c>
    </row>
    <row r="521" spans="1:7" ht="87.95" customHeight="1">
      <c r="A521" s="5" t="s">
        <v>1936</v>
      </c>
      <c r="B521" s="5" t="s">
        <v>1595</v>
      </c>
      <c r="C521" s="9" t="s">
        <v>1937</v>
      </c>
      <c r="D521" s="5">
        <v>1</v>
      </c>
      <c r="E521" s="9" t="s">
        <v>10156</v>
      </c>
      <c r="F521" s="9" t="s">
        <v>11461</v>
      </c>
      <c r="G521" s="9" t="str">
        <f>HYPERLINK("https://seichotoushi-hojo.jp/assets/pdf/koufu_3_4ji/outline_3.pdf","PDFを開く")</f>
        <v>PDFを開く</v>
      </c>
    </row>
    <row r="522" spans="1:7" ht="87.95" customHeight="1">
      <c r="A522" s="2" t="s">
        <v>1936</v>
      </c>
      <c r="B522" s="2" t="s">
        <v>1595</v>
      </c>
      <c r="C522" s="8" t="s">
        <v>1937</v>
      </c>
      <c r="D522" s="2">
        <v>2</v>
      </c>
      <c r="E522" s="8" t="s">
        <v>10156</v>
      </c>
      <c r="F522" s="8" t="s">
        <v>11462</v>
      </c>
      <c r="G522" s="8" t="str">
        <f>HYPERLINK("https://seichotoushi-hojo.jp/assets/pdf/koufu_3_4ji/outline_3.pdf","PDFを開く")</f>
        <v>PDFを開く</v>
      </c>
    </row>
    <row r="523" spans="1:7" ht="87.95" customHeight="1">
      <c r="A523" s="5" t="s">
        <v>1936</v>
      </c>
      <c r="B523" s="5" t="s">
        <v>1595</v>
      </c>
      <c r="C523" s="9" t="s">
        <v>1937</v>
      </c>
      <c r="D523" s="5">
        <v>3</v>
      </c>
      <c r="E523" s="9" t="s">
        <v>10165</v>
      </c>
      <c r="F523" s="9" t="s">
        <v>11463</v>
      </c>
      <c r="G523" s="9" t="str">
        <f>HYPERLINK("https://seichotoushi-hojo.jp/assets/pdf/koufu_3_4ji/outline_3.pdf","PDFを開く")</f>
        <v>PDFを開く</v>
      </c>
    </row>
    <row r="524" spans="1:7" ht="87.95" customHeight="1">
      <c r="A524" s="2" t="s">
        <v>1936</v>
      </c>
      <c r="B524" s="2" t="s">
        <v>1595</v>
      </c>
      <c r="C524" s="8" t="s">
        <v>1937</v>
      </c>
      <c r="D524" s="2">
        <v>4</v>
      </c>
      <c r="E524" s="8" t="s">
        <v>10165</v>
      </c>
      <c r="F524" s="8" t="s">
        <v>11464</v>
      </c>
      <c r="G524" s="8" t="str">
        <f>HYPERLINK("https://seichotoushi-hojo.jp/assets/pdf/koufu_3_4ji/outline_3.pdf","PDFを開く")</f>
        <v>PDFを開く</v>
      </c>
    </row>
    <row r="525" spans="1:7" ht="87.95" customHeight="1">
      <c r="A525" s="5" t="s">
        <v>1936</v>
      </c>
      <c r="B525" s="5" t="s">
        <v>1595</v>
      </c>
      <c r="C525" s="9" t="s">
        <v>1937</v>
      </c>
      <c r="D525" s="5">
        <v>5</v>
      </c>
      <c r="E525" s="9" t="s">
        <v>10165</v>
      </c>
      <c r="F525" s="9" t="s">
        <v>11465</v>
      </c>
      <c r="G525" s="9" t="str">
        <f>HYPERLINK("https://seichotoushi-hojo.jp/assets/pdf/koufu_3_4ji/outline_3.pdf","PDFを開く")</f>
        <v>PDFを開く</v>
      </c>
    </row>
    <row r="526" spans="1:7" ht="87.95" customHeight="1">
      <c r="A526" s="2" t="s">
        <v>1944</v>
      </c>
      <c r="B526" s="2" t="s">
        <v>1595</v>
      </c>
      <c r="C526" s="8" t="s">
        <v>1945</v>
      </c>
      <c r="D526" s="2">
        <v>1</v>
      </c>
      <c r="E526" s="8" t="s">
        <v>10156</v>
      </c>
      <c r="F526" s="8" t="s">
        <v>11466</v>
      </c>
      <c r="G526" s="8" t="str">
        <f>HYPERLINK("https://seichotoushi-hojo.jp/assets/pdf/koufu_3_4ji/outline_30.pdf","PDFを開く")</f>
        <v>PDFを開く</v>
      </c>
    </row>
    <row r="527" spans="1:7" ht="87.95" customHeight="1">
      <c r="A527" s="5" t="s">
        <v>1944</v>
      </c>
      <c r="B527" s="5" t="s">
        <v>1595</v>
      </c>
      <c r="C527" s="9" t="s">
        <v>1945</v>
      </c>
      <c r="D527" s="5">
        <v>2</v>
      </c>
      <c r="E527" s="9" t="s">
        <v>10165</v>
      </c>
      <c r="F527" s="9" t="s">
        <v>11467</v>
      </c>
      <c r="G527" s="9" t="str">
        <f>HYPERLINK("https://seichotoushi-hojo.jp/assets/pdf/koufu_3_4ji/outline_30.pdf","PDFを開く")</f>
        <v>PDFを開く</v>
      </c>
    </row>
    <row r="528" spans="1:7" ht="87.95" customHeight="1">
      <c r="A528" s="2" t="s">
        <v>1952</v>
      </c>
      <c r="B528" s="2" t="s">
        <v>1595</v>
      </c>
      <c r="C528" s="8" t="s">
        <v>1953</v>
      </c>
      <c r="D528" s="2">
        <v>1</v>
      </c>
      <c r="E528" s="8" t="s">
        <v>10156</v>
      </c>
      <c r="F528" s="8" t="s">
        <v>11468</v>
      </c>
      <c r="G528" s="8" t="str">
        <f>HYPERLINK("https://seichotoushi-hojo.jp/assets/pdf/koufu_3_4ji/outline_31.pdf","PDFを開く")</f>
        <v>PDFを開く</v>
      </c>
    </row>
    <row r="529" spans="1:7" ht="87.95" customHeight="1">
      <c r="A529" s="5" t="s">
        <v>1952</v>
      </c>
      <c r="B529" s="5" t="s">
        <v>1595</v>
      </c>
      <c r="C529" s="9" t="s">
        <v>1953</v>
      </c>
      <c r="D529" s="5">
        <v>2</v>
      </c>
      <c r="E529" s="9" t="s">
        <v>10165</v>
      </c>
      <c r="F529" s="9" t="s">
        <v>11469</v>
      </c>
      <c r="G529" s="9" t="str">
        <f>HYPERLINK("https://seichotoushi-hojo.jp/assets/pdf/koufu_3_4ji/outline_31.pdf","PDFを開く")</f>
        <v>PDFを開く</v>
      </c>
    </row>
    <row r="530" spans="1:7" ht="87.95" customHeight="1">
      <c r="A530" s="2" t="s">
        <v>1960</v>
      </c>
      <c r="B530" s="2" t="s">
        <v>1595</v>
      </c>
      <c r="C530" s="8" t="s">
        <v>1961</v>
      </c>
      <c r="D530" s="2">
        <v>1</v>
      </c>
      <c r="E530" s="8" t="s">
        <v>10156</v>
      </c>
      <c r="F530" s="8" t="s">
        <v>11470</v>
      </c>
      <c r="G530" s="8" t="str">
        <f>HYPERLINK("https://seichotoushi-hojo.jp/assets/pdf/koufu_3_4ji/outline_32.pdf","PDFを開く")</f>
        <v>PDFを開く</v>
      </c>
    </row>
    <row r="531" spans="1:7" ht="87.95" customHeight="1">
      <c r="A531" s="5" t="s">
        <v>1960</v>
      </c>
      <c r="B531" s="5" t="s">
        <v>1595</v>
      </c>
      <c r="C531" s="9" t="s">
        <v>1961</v>
      </c>
      <c r="D531" s="5">
        <v>2</v>
      </c>
      <c r="E531" s="9" t="s">
        <v>10165</v>
      </c>
      <c r="F531" s="9" t="s">
        <v>11471</v>
      </c>
      <c r="G531" s="9" t="str">
        <f>HYPERLINK("https://seichotoushi-hojo.jp/assets/pdf/koufu_3_4ji/outline_32.pdf","PDFを開く")</f>
        <v>PDFを開く</v>
      </c>
    </row>
    <row r="532" spans="1:7" ht="87.95" customHeight="1">
      <c r="A532" s="2" t="s">
        <v>1960</v>
      </c>
      <c r="B532" s="2" t="s">
        <v>1595</v>
      </c>
      <c r="C532" s="8" t="s">
        <v>1961</v>
      </c>
      <c r="D532" s="2">
        <v>3</v>
      </c>
      <c r="E532" s="8" t="s">
        <v>10165</v>
      </c>
      <c r="F532" s="8" t="s">
        <v>11472</v>
      </c>
      <c r="G532" s="8" t="str">
        <f>HYPERLINK("https://seichotoushi-hojo.jp/assets/pdf/koufu_3_4ji/outline_32.pdf","PDFを開く")</f>
        <v>PDFを開く</v>
      </c>
    </row>
    <row r="533" spans="1:7" ht="87.95" customHeight="1">
      <c r="A533" s="5" t="s">
        <v>1960</v>
      </c>
      <c r="B533" s="5" t="s">
        <v>1595</v>
      </c>
      <c r="C533" s="9" t="s">
        <v>1961</v>
      </c>
      <c r="D533" s="5">
        <v>4</v>
      </c>
      <c r="E533" s="9" t="s">
        <v>10165</v>
      </c>
      <c r="F533" s="9" t="s">
        <v>11473</v>
      </c>
      <c r="G533" s="9" t="str">
        <f>HYPERLINK("https://seichotoushi-hojo.jp/assets/pdf/koufu_3_4ji/outline_32.pdf","PDFを開く")</f>
        <v>PDFを開く</v>
      </c>
    </row>
    <row r="534" spans="1:7" ht="87.95" customHeight="1">
      <c r="A534" s="2" t="s">
        <v>1968</v>
      </c>
      <c r="B534" s="2" t="s">
        <v>1595</v>
      </c>
      <c r="C534" s="8" t="s">
        <v>1969</v>
      </c>
      <c r="D534" s="2">
        <v>1</v>
      </c>
      <c r="E534" s="8" t="s">
        <v>10156</v>
      </c>
      <c r="F534" s="8" t="s">
        <v>11474</v>
      </c>
      <c r="G534" s="8" t="str">
        <f>HYPERLINK("https://seichotoushi-hojo.jp/assets/pdf/koufu_3_4ji/outline_33.pdf","PDFを開く")</f>
        <v>PDFを開く</v>
      </c>
    </row>
    <row r="535" spans="1:7" ht="87.95" customHeight="1">
      <c r="A535" s="5" t="s">
        <v>1968</v>
      </c>
      <c r="B535" s="5" t="s">
        <v>1595</v>
      </c>
      <c r="C535" s="9" t="s">
        <v>1969</v>
      </c>
      <c r="D535" s="5">
        <v>2</v>
      </c>
      <c r="E535" s="9" t="s">
        <v>10165</v>
      </c>
      <c r="F535" s="9" t="s">
        <v>11475</v>
      </c>
      <c r="G535" s="9" t="str">
        <f>HYPERLINK("https://seichotoushi-hojo.jp/assets/pdf/koufu_3_4ji/outline_33.pdf","PDFを開く")</f>
        <v>PDFを開く</v>
      </c>
    </row>
    <row r="536" spans="1:7" ht="87.95" customHeight="1">
      <c r="A536" s="2" t="s">
        <v>1975</v>
      </c>
      <c r="B536" s="2" t="s">
        <v>1595</v>
      </c>
      <c r="C536" s="8" t="s">
        <v>1976</v>
      </c>
      <c r="D536" s="2">
        <v>1</v>
      </c>
      <c r="E536" s="8" t="s">
        <v>10156</v>
      </c>
      <c r="F536" s="8" t="s">
        <v>11476</v>
      </c>
      <c r="G536" s="8" t="str">
        <f>HYPERLINK("https://seichotoushi-hojo.jp/assets/pdf/koufu_3_4ji/outline_34.pdf","PDFを開く")</f>
        <v>PDFを開く</v>
      </c>
    </row>
    <row r="537" spans="1:7" ht="87.95" customHeight="1">
      <c r="A537" s="5" t="s">
        <v>1975</v>
      </c>
      <c r="B537" s="5" t="s">
        <v>1595</v>
      </c>
      <c r="C537" s="9" t="s">
        <v>1976</v>
      </c>
      <c r="D537" s="5">
        <v>2</v>
      </c>
      <c r="E537" s="9" t="s">
        <v>10165</v>
      </c>
      <c r="F537" s="9" t="s">
        <v>11477</v>
      </c>
      <c r="G537" s="9" t="str">
        <f>HYPERLINK("https://seichotoushi-hojo.jp/assets/pdf/koufu_3_4ji/outline_34.pdf","PDFを開く")</f>
        <v>PDFを開く</v>
      </c>
    </row>
    <row r="538" spans="1:7" ht="87.95" customHeight="1">
      <c r="A538" s="2" t="s">
        <v>1983</v>
      </c>
      <c r="B538" s="2" t="s">
        <v>1595</v>
      </c>
      <c r="C538" s="8" t="s">
        <v>1984</v>
      </c>
      <c r="D538" s="2">
        <v>1</v>
      </c>
      <c r="E538" s="8" t="s">
        <v>10156</v>
      </c>
      <c r="F538" s="8" t="s">
        <v>11478</v>
      </c>
      <c r="G538" s="8" t="str">
        <f>HYPERLINK("https://seichotoushi-hojo.jp/assets/pdf/koufu_3_4ji/outline_35.pdf","PDFを開く")</f>
        <v>PDFを開く</v>
      </c>
    </row>
    <row r="539" spans="1:7" ht="87.95" customHeight="1">
      <c r="A539" s="5" t="s">
        <v>1983</v>
      </c>
      <c r="B539" s="5" t="s">
        <v>1595</v>
      </c>
      <c r="C539" s="9" t="s">
        <v>1984</v>
      </c>
      <c r="D539" s="5">
        <v>2</v>
      </c>
      <c r="E539" s="9" t="s">
        <v>10165</v>
      </c>
      <c r="F539" s="9" t="s">
        <v>11479</v>
      </c>
      <c r="G539" s="9" t="str">
        <f>HYPERLINK("https://seichotoushi-hojo.jp/assets/pdf/koufu_3_4ji/outline_35.pdf","PDFを開く")</f>
        <v>PDFを開く</v>
      </c>
    </row>
    <row r="540" spans="1:7" ht="87.95" customHeight="1">
      <c r="A540" s="2" t="s">
        <v>1983</v>
      </c>
      <c r="B540" s="2" t="s">
        <v>1595</v>
      </c>
      <c r="C540" s="8" t="s">
        <v>1984</v>
      </c>
      <c r="D540" s="2">
        <v>3</v>
      </c>
      <c r="E540" s="8" t="s">
        <v>10165</v>
      </c>
      <c r="F540" s="8" t="s">
        <v>11480</v>
      </c>
      <c r="G540" s="8" t="str">
        <f>HYPERLINK("https://seichotoushi-hojo.jp/assets/pdf/koufu_3_4ji/outline_35.pdf","PDFを開く")</f>
        <v>PDFを開く</v>
      </c>
    </row>
    <row r="541" spans="1:7" ht="87.95" customHeight="1">
      <c r="A541" s="5" t="s">
        <v>1983</v>
      </c>
      <c r="B541" s="5" t="s">
        <v>1595</v>
      </c>
      <c r="C541" s="9" t="s">
        <v>1984</v>
      </c>
      <c r="D541" s="5">
        <v>4</v>
      </c>
      <c r="E541" s="9" t="s">
        <v>10165</v>
      </c>
      <c r="F541" s="9" t="s">
        <v>11481</v>
      </c>
      <c r="G541" s="9" t="str">
        <f>HYPERLINK("https://seichotoushi-hojo.jp/assets/pdf/koufu_3_4ji/outline_35.pdf","PDFを開く")</f>
        <v>PDFを開く</v>
      </c>
    </row>
    <row r="542" spans="1:7" ht="87.95" customHeight="1">
      <c r="A542" s="2" t="s">
        <v>1983</v>
      </c>
      <c r="B542" s="2" t="s">
        <v>1595</v>
      </c>
      <c r="C542" s="8" t="s">
        <v>1984</v>
      </c>
      <c r="D542" s="2">
        <v>5</v>
      </c>
      <c r="E542" s="8" t="s">
        <v>10165</v>
      </c>
      <c r="F542" s="8" t="s">
        <v>11482</v>
      </c>
      <c r="G542" s="8" t="str">
        <f>HYPERLINK("https://seichotoushi-hojo.jp/assets/pdf/koufu_3_4ji/outline_35.pdf","PDFを開く")</f>
        <v>PDFを開く</v>
      </c>
    </row>
    <row r="543" spans="1:7" ht="87.95" customHeight="1">
      <c r="A543" s="5" t="s">
        <v>1992</v>
      </c>
      <c r="B543" s="5" t="s">
        <v>1595</v>
      </c>
      <c r="C543" s="9" t="s">
        <v>1993</v>
      </c>
      <c r="D543" s="5">
        <v>1</v>
      </c>
      <c r="E543" s="9" t="s">
        <v>10422</v>
      </c>
      <c r="F543" s="9" t="s">
        <v>1993</v>
      </c>
      <c r="G543" s="9" t="str">
        <f>HYPERLINK("https://seichotoushi-hojo.jp/assets/pdf/koufu_3_4ji/outline_37.pdf","PDFを開く")</f>
        <v>PDFを開く</v>
      </c>
    </row>
    <row r="544" spans="1:7" ht="87.95" customHeight="1">
      <c r="A544" s="2" t="s">
        <v>1992</v>
      </c>
      <c r="B544" s="2" t="s">
        <v>1595</v>
      </c>
      <c r="C544" s="8" t="s">
        <v>1993</v>
      </c>
      <c r="D544" s="2">
        <v>2</v>
      </c>
      <c r="E544" s="8" t="s">
        <v>10422</v>
      </c>
      <c r="F544" s="8" t="s">
        <v>11483</v>
      </c>
      <c r="G544" s="8" t="str">
        <f>HYPERLINK("https://seichotoushi-hojo.jp/assets/pdf/koufu_3_4ji/outline_37.pdf","PDFを開く")</f>
        <v>PDFを開く</v>
      </c>
    </row>
    <row r="545" spans="1:7" ht="87.95" customHeight="1">
      <c r="A545" s="5" t="s">
        <v>2001</v>
      </c>
      <c r="B545" s="5" t="s">
        <v>1595</v>
      </c>
      <c r="C545" s="9" t="s">
        <v>2002</v>
      </c>
      <c r="D545" s="5">
        <v>1</v>
      </c>
      <c r="E545" s="9" t="s">
        <v>10156</v>
      </c>
      <c r="F545" s="9" t="s">
        <v>11484</v>
      </c>
      <c r="G545" s="9" t="str">
        <f>HYPERLINK("https://seichotoushi-hojo.jp/assets/pdf/koufu_3_4ji/outline_39.pdf","PDFを開く")</f>
        <v>PDFを開く</v>
      </c>
    </row>
    <row r="546" spans="1:7" ht="87.95" customHeight="1">
      <c r="A546" s="2" t="s">
        <v>2001</v>
      </c>
      <c r="B546" s="2" t="s">
        <v>1595</v>
      </c>
      <c r="C546" s="8" t="s">
        <v>2002</v>
      </c>
      <c r="D546" s="2">
        <v>2</v>
      </c>
      <c r="E546" s="8" t="s">
        <v>10165</v>
      </c>
      <c r="F546" s="8" t="s">
        <v>11485</v>
      </c>
      <c r="G546" s="8" t="str">
        <f>HYPERLINK("https://seichotoushi-hojo.jp/assets/pdf/koufu_3_4ji/outline_39.pdf","PDFを開く")</f>
        <v>PDFを開く</v>
      </c>
    </row>
    <row r="547" spans="1:7" ht="87.95" customHeight="1">
      <c r="A547" s="5" t="s">
        <v>2010</v>
      </c>
      <c r="B547" s="5" t="s">
        <v>1595</v>
      </c>
      <c r="C547" s="9" t="s">
        <v>2011</v>
      </c>
      <c r="D547" s="5">
        <v>1</v>
      </c>
      <c r="E547" s="9" t="s">
        <v>10156</v>
      </c>
      <c r="F547" s="9" t="s">
        <v>11486</v>
      </c>
      <c r="G547" s="9" t="str">
        <f>HYPERLINK("https://seichotoushi-hojo.jp/assets/pdf/koufu_3_4ji/outline_40.pdf","PDFを開く")</f>
        <v>PDFを開く</v>
      </c>
    </row>
    <row r="548" spans="1:7" ht="87.95" customHeight="1">
      <c r="A548" s="2" t="s">
        <v>2010</v>
      </c>
      <c r="B548" s="2" t="s">
        <v>1595</v>
      </c>
      <c r="C548" s="8" t="s">
        <v>2011</v>
      </c>
      <c r="D548" s="2">
        <v>2</v>
      </c>
      <c r="E548" s="8" t="s">
        <v>10165</v>
      </c>
      <c r="F548" s="8" t="s">
        <v>11487</v>
      </c>
      <c r="G548" s="8" t="str">
        <f>HYPERLINK("https://seichotoushi-hojo.jp/assets/pdf/koufu_3_4ji/outline_40.pdf","PDFを開く")</f>
        <v>PDFを開く</v>
      </c>
    </row>
    <row r="549" spans="1:7" ht="87.95" customHeight="1">
      <c r="A549" s="5" t="s">
        <v>2018</v>
      </c>
      <c r="B549" s="5" t="s">
        <v>1595</v>
      </c>
      <c r="C549" s="9" t="s">
        <v>2019</v>
      </c>
      <c r="D549" s="5">
        <v>1</v>
      </c>
      <c r="E549" s="9" t="s">
        <v>10156</v>
      </c>
      <c r="F549" s="9" t="s">
        <v>11488</v>
      </c>
      <c r="G549" s="9" t="str">
        <f>HYPERLINK("https://seichotoushi-hojo.jp/assets/pdf/koufu_3_4ji/outline_41.pdf","PDFを開く")</f>
        <v>PDFを開く</v>
      </c>
    </row>
    <row r="550" spans="1:7" ht="87.95" customHeight="1">
      <c r="A550" s="2" t="s">
        <v>2018</v>
      </c>
      <c r="B550" s="2" t="s">
        <v>1595</v>
      </c>
      <c r="C550" s="8" t="s">
        <v>2019</v>
      </c>
      <c r="D550" s="2">
        <v>2</v>
      </c>
      <c r="E550" s="8" t="s">
        <v>10165</v>
      </c>
      <c r="F550" s="8" t="s">
        <v>11489</v>
      </c>
      <c r="G550" s="8" t="str">
        <f>HYPERLINK("https://seichotoushi-hojo.jp/assets/pdf/koufu_3_4ji/outline_41.pdf","PDFを開く")</f>
        <v>PDFを開く</v>
      </c>
    </row>
    <row r="551" spans="1:7" ht="87.95" customHeight="1">
      <c r="A551" s="5" t="s">
        <v>2018</v>
      </c>
      <c r="B551" s="5" t="s">
        <v>1595</v>
      </c>
      <c r="C551" s="9" t="s">
        <v>2019</v>
      </c>
      <c r="D551" s="5">
        <v>3</v>
      </c>
      <c r="E551" s="9" t="s">
        <v>10165</v>
      </c>
      <c r="F551" s="9" t="s">
        <v>11490</v>
      </c>
      <c r="G551" s="9" t="str">
        <f>HYPERLINK("https://seichotoushi-hojo.jp/assets/pdf/koufu_3_4ji/outline_41.pdf","PDFを開く")</f>
        <v>PDFを開く</v>
      </c>
    </row>
    <row r="552" spans="1:7" ht="87.95" customHeight="1">
      <c r="A552" s="2" t="s">
        <v>2026</v>
      </c>
      <c r="B552" s="2" t="s">
        <v>1595</v>
      </c>
      <c r="C552" s="8" t="s">
        <v>2027</v>
      </c>
      <c r="D552" s="2">
        <v>1</v>
      </c>
      <c r="E552" s="8" t="s">
        <v>10156</v>
      </c>
      <c r="F552" s="8" t="s">
        <v>11491</v>
      </c>
      <c r="G552" s="8" t="str">
        <f>HYPERLINK("https://seichotoushi-hojo.jp/assets/pdf/koufu_3_4ji/outline_42.pdf","PDFを開く")</f>
        <v>PDFを開く</v>
      </c>
    </row>
    <row r="553" spans="1:7" ht="87.95" customHeight="1">
      <c r="A553" s="5" t="s">
        <v>2026</v>
      </c>
      <c r="B553" s="5" t="s">
        <v>1595</v>
      </c>
      <c r="C553" s="9" t="s">
        <v>2027</v>
      </c>
      <c r="D553" s="5">
        <v>2</v>
      </c>
      <c r="E553" s="9" t="s">
        <v>10165</v>
      </c>
      <c r="F553" s="9" t="s">
        <v>11492</v>
      </c>
      <c r="G553" s="9" t="str">
        <f>HYPERLINK("https://seichotoushi-hojo.jp/assets/pdf/koufu_3_4ji/outline_42.pdf","PDFを開く")</f>
        <v>PDFを開く</v>
      </c>
    </row>
    <row r="554" spans="1:7" ht="87.95" customHeight="1">
      <c r="A554" s="2" t="s">
        <v>2034</v>
      </c>
      <c r="B554" s="2" t="s">
        <v>1595</v>
      </c>
      <c r="C554" s="8" t="s">
        <v>2035</v>
      </c>
      <c r="D554" s="2">
        <v>1</v>
      </c>
      <c r="E554" s="8" t="s">
        <v>10704</v>
      </c>
      <c r="F554" s="8" t="s">
        <v>11493</v>
      </c>
      <c r="G554" s="8" t="str">
        <f>HYPERLINK("https://seichotoushi-hojo.jp/assets/pdf/koufu_3_4ji/outline_43.pdf","PDFを開く")</f>
        <v>PDFを開く</v>
      </c>
    </row>
    <row r="555" spans="1:7" ht="87.95" customHeight="1">
      <c r="A555" s="5" t="s">
        <v>2034</v>
      </c>
      <c r="B555" s="5" t="s">
        <v>1595</v>
      </c>
      <c r="C555" s="9" t="s">
        <v>2035</v>
      </c>
      <c r="D555" s="5">
        <v>2</v>
      </c>
      <c r="E555" s="9" t="s">
        <v>10704</v>
      </c>
      <c r="F555" s="9" t="s">
        <v>11494</v>
      </c>
      <c r="G555" s="9" t="str">
        <f>HYPERLINK("https://seichotoushi-hojo.jp/assets/pdf/koufu_3_4ji/outline_43.pdf","PDFを開く")</f>
        <v>PDFを開く</v>
      </c>
    </row>
    <row r="556" spans="1:7" ht="87.95" customHeight="1">
      <c r="A556" s="2" t="s">
        <v>2034</v>
      </c>
      <c r="B556" s="2" t="s">
        <v>1595</v>
      </c>
      <c r="C556" s="8" t="s">
        <v>2035</v>
      </c>
      <c r="D556" s="2">
        <v>3</v>
      </c>
      <c r="E556" s="8" t="s">
        <v>10704</v>
      </c>
      <c r="F556" s="8" t="s">
        <v>11495</v>
      </c>
      <c r="G556" s="8" t="str">
        <f>HYPERLINK("https://seichotoushi-hojo.jp/assets/pdf/koufu_3_4ji/outline_43.pdf","PDFを開く")</f>
        <v>PDFを開く</v>
      </c>
    </row>
    <row r="557" spans="1:7" ht="87.95" customHeight="1">
      <c r="A557" s="5" t="s">
        <v>2034</v>
      </c>
      <c r="B557" s="5" t="s">
        <v>1595</v>
      </c>
      <c r="C557" s="9" t="s">
        <v>2035</v>
      </c>
      <c r="D557" s="5">
        <v>4</v>
      </c>
      <c r="E557" s="9" t="s">
        <v>10156</v>
      </c>
      <c r="F557" s="9" t="s">
        <v>11496</v>
      </c>
      <c r="G557" s="9" t="str">
        <f>HYPERLINK("https://seichotoushi-hojo.jp/assets/pdf/koufu_3_4ji/outline_43.pdf","PDFを開く")</f>
        <v>PDFを開く</v>
      </c>
    </row>
    <row r="558" spans="1:7" ht="87.95" customHeight="1">
      <c r="A558" s="2" t="s">
        <v>2034</v>
      </c>
      <c r="B558" s="2" t="s">
        <v>1595</v>
      </c>
      <c r="C558" s="8" t="s">
        <v>2035</v>
      </c>
      <c r="D558" s="2">
        <v>5</v>
      </c>
      <c r="E558" s="8" t="s">
        <v>10165</v>
      </c>
      <c r="F558" s="8" t="s">
        <v>11497</v>
      </c>
      <c r="G558" s="8" t="str">
        <f>HYPERLINK("https://seichotoushi-hojo.jp/assets/pdf/koufu_3_4ji/outline_43.pdf","PDFを開く")</f>
        <v>PDFを開く</v>
      </c>
    </row>
    <row r="559" spans="1:7" ht="87.95" customHeight="1">
      <c r="A559" s="5" t="s">
        <v>2043</v>
      </c>
      <c r="B559" s="5" t="s">
        <v>1595</v>
      </c>
      <c r="C559" s="9" t="s">
        <v>2044</v>
      </c>
      <c r="D559" s="5">
        <v>1</v>
      </c>
      <c r="E559" s="9" t="s">
        <v>10156</v>
      </c>
      <c r="F559" s="9" t="s">
        <v>11498</v>
      </c>
      <c r="G559" s="9" t="str">
        <f>HYPERLINK("https://seichotoushi-hojo.jp/assets/pdf/koufu_3_4ji/outline_44.pdf","PDFを開く")</f>
        <v>PDFを開く</v>
      </c>
    </row>
    <row r="560" spans="1:7" ht="87.95" customHeight="1">
      <c r="A560" s="2" t="s">
        <v>2043</v>
      </c>
      <c r="B560" s="2" t="s">
        <v>1595</v>
      </c>
      <c r="C560" s="8" t="s">
        <v>2044</v>
      </c>
      <c r="D560" s="2">
        <v>2</v>
      </c>
      <c r="E560" s="8" t="s">
        <v>10165</v>
      </c>
      <c r="F560" s="8" t="s">
        <v>11499</v>
      </c>
      <c r="G560" s="8" t="str">
        <f>HYPERLINK("https://seichotoushi-hojo.jp/assets/pdf/koufu_3_4ji/outline_44.pdf","PDFを開く")</f>
        <v>PDFを開く</v>
      </c>
    </row>
    <row r="561" spans="1:7" ht="87.95" customHeight="1">
      <c r="A561" s="5" t="s">
        <v>2043</v>
      </c>
      <c r="B561" s="5" t="s">
        <v>1595</v>
      </c>
      <c r="C561" s="9" t="s">
        <v>2044</v>
      </c>
      <c r="D561" s="5">
        <v>3</v>
      </c>
      <c r="E561" s="9" t="s">
        <v>10165</v>
      </c>
      <c r="F561" s="9" t="s">
        <v>11500</v>
      </c>
      <c r="G561" s="9" t="str">
        <f>HYPERLINK("https://seichotoushi-hojo.jp/assets/pdf/koufu_3_4ji/outline_44.pdf","PDFを開く")</f>
        <v>PDFを開く</v>
      </c>
    </row>
    <row r="562" spans="1:7" ht="87.95" customHeight="1">
      <c r="A562" s="2" t="s">
        <v>2043</v>
      </c>
      <c r="B562" s="2" t="s">
        <v>1595</v>
      </c>
      <c r="C562" s="8" t="s">
        <v>2044</v>
      </c>
      <c r="D562" s="2">
        <v>4</v>
      </c>
      <c r="E562" s="8" t="s">
        <v>10165</v>
      </c>
      <c r="F562" s="8" t="s">
        <v>11501</v>
      </c>
      <c r="G562" s="8" t="str">
        <f>HYPERLINK("https://seichotoushi-hojo.jp/assets/pdf/koufu_3_4ji/outline_44.pdf","PDFを開く")</f>
        <v>PDFを開く</v>
      </c>
    </row>
    <row r="563" spans="1:7" ht="87.95" customHeight="1">
      <c r="A563" s="5" t="s">
        <v>2050</v>
      </c>
      <c r="B563" s="5" t="s">
        <v>1595</v>
      </c>
      <c r="C563" s="9" t="s">
        <v>2051</v>
      </c>
      <c r="D563" s="5">
        <v>1</v>
      </c>
      <c r="E563" s="9" t="s">
        <v>10156</v>
      </c>
      <c r="F563" s="9" t="s">
        <v>11502</v>
      </c>
      <c r="G563" s="9" t="str">
        <f>HYPERLINK("https://seichotoushi-hojo.jp/assets/pdf/koufu_3_4ji/outline_45.pdf","PDFを開く")</f>
        <v>PDFを開く</v>
      </c>
    </row>
    <row r="564" spans="1:7" ht="87.95" customHeight="1">
      <c r="A564" s="2" t="s">
        <v>2050</v>
      </c>
      <c r="B564" s="2" t="s">
        <v>1595</v>
      </c>
      <c r="C564" s="8" t="s">
        <v>2051</v>
      </c>
      <c r="D564" s="2">
        <v>2</v>
      </c>
      <c r="E564" s="8" t="s">
        <v>10165</v>
      </c>
      <c r="F564" s="8" t="s">
        <v>11503</v>
      </c>
      <c r="G564" s="8" t="str">
        <f>HYPERLINK("https://seichotoushi-hojo.jp/assets/pdf/koufu_3_4ji/outline_45.pdf","PDFを開く")</f>
        <v>PDFを開く</v>
      </c>
    </row>
    <row r="565" spans="1:7" ht="87.95" customHeight="1">
      <c r="A565" s="5" t="s">
        <v>2058</v>
      </c>
      <c r="B565" s="5" t="s">
        <v>1595</v>
      </c>
      <c r="C565" s="9" t="s">
        <v>2059</v>
      </c>
      <c r="D565" s="5">
        <v>1</v>
      </c>
      <c r="E565" s="9" t="s">
        <v>10156</v>
      </c>
      <c r="F565" s="9" t="s">
        <v>11504</v>
      </c>
      <c r="G565" s="9" t="str">
        <f>HYPERLINK("https://seichotoushi-hojo.jp/assets/pdf/koufu_3_4ji/outline_46.pdf","PDFを開く")</f>
        <v>PDFを開く</v>
      </c>
    </row>
    <row r="566" spans="1:7" ht="87.95" customHeight="1">
      <c r="A566" s="2" t="s">
        <v>2058</v>
      </c>
      <c r="B566" s="2" t="s">
        <v>1595</v>
      </c>
      <c r="C566" s="8" t="s">
        <v>2059</v>
      </c>
      <c r="D566" s="2">
        <v>2</v>
      </c>
      <c r="E566" s="8" t="s">
        <v>10165</v>
      </c>
      <c r="F566" s="8" t="s">
        <v>11505</v>
      </c>
      <c r="G566" s="8" t="str">
        <f>HYPERLINK("https://seichotoushi-hojo.jp/assets/pdf/koufu_3_4ji/outline_46.pdf","PDFを開く")</f>
        <v>PDFを開く</v>
      </c>
    </row>
    <row r="567" spans="1:7" ht="87.95" customHeight="1">
      <c r="A567" s="5" t="s">
        <v>2066</v>
      </c>
      <c r="B567" s="5" t="s">
        <v>1595</v>
      </c>
      <c r="C567" s="9" t="s">
        <v>2067</v>
      </c>
      <c r="D567" s="5">
        <v>1</v>
      </c>
      <c r="E567" s="9" t="s">
        <v>10156</v>
      </c>
      <c r="F567" s="9" t="s">
        <v>11506</v>
      </c>
      <c r="G567" s="9" t="str">
        <f>HYPERLINK("https://seichotoushi-hojo.jp/assets/pdf/koufu_3_4ji/outline_47.pdf","PDFを開く")</f>
        <v>PDFを開く</v>
      </c>
    </row>
    <row r="568" spans="1:7" ht="87.95" customHeight="1">
      <c r="A568" s="2" t="s">
        <v>2066</v>
      </c>
      <c r="B568" s="2" t="s">
        <v>1595</v>
      </c>
      <c r="C568" s="8" t="s">
        <v>2067</v>
      </c>
      <c r="D568" s="2">
        <v>2</v>
      </c>
      <c r="E568" s="8" t="s">
        <v>10165</v>
      </c>
      <c r="F568" s="8" t="s">
        <v>11507</v>
      </c>
      <c r="G568" s="8" t="str">
        <f>HYPERLINK("https://seichotoushi-hojo.jp/assets/pdf/koufu_3_4ji/outline_47.pdf","PDFを開く")</f>
        <v>PDFを開く</v>
      </c>
    </row>
    <row r="569" spans="1:7" ht="87.95" customHeight="1">
      <c r="A569" s="5" t="s">
        <v>2073</v>
      </c>
      <c r="B569" s="5" t="s">
        <v>1595</v>
      </c>
      <c r="C569" s="9" t="s">
        <v>2074</v>
      </c>
      <c r="D569" s="5">
        <v>1</v>
      </c>
      <c r="E569" s="9" t="s">
        <v>10156</v>
      </c>
      <c r="F569" s="9" t="s">
        <v>11508</v>
      </c>
      <c r="G569" s="9" t="str">
        <f>HYPERLINK("https://seichotoushi-hojo.jp/assets/pdf/koufu_3_4ji/outline_48.pdf","PDFを開く")</f>
        <v>PDFを開く</v>
      </c>
    </row>
    <row r="570" spans="1:7" ht="87.95" customHeight="1">
      <c r="A570" s="2" t="s">
        <v>2073</v>
      </c>
      <c r="B570" s="2" t="s">
        <v>1595</v>
      </c>
      <c r="C570" s="8" t="s">
        <v>2074</v>
      </c>
      <c r="D570" s="2">
        <v>2</v>
      </c>
      <c r="E570" s="8" t="s">
        <v>10165</v>
      </c>
      <c r="F570" s="8" t="s">
        <v>11509</v>
      </c>
      <c r="G570" s="8" t="str">
        <f>HYPERLINK("https://seichotoushi-hojo.jp/assets/pdf/koufu_3_4ji/outline_48.pdf","PDFを開く")</f>
        <v>PDFを開く</v>
      </c>
    </row>
    <row r="571" spans="1:7" ht="87.95" customHeight="1">
      <c r="A571" s="5" t="s">
        <v>2081</v>
      </c>
      <c r="B571" s="5" t="s">
        <v>1595</v>
      </c>
      <c r="C571" s="9" t="s">
        <v>2082</v>
      </c>
      <c r="D571" s="5">
        <v>1</v>
      </c>
      <c r="E571" s="9" t="s">
        <v>10156</v>
      </c>
      <c r="F571" s="9" t="s">
        <v>11510</v>
      </c>
      <c r="G571" s="9" t="str">
        <f>HYPERLINK("https://seichotoushi-hojo.jp/assets/pdf/koufu_3_4ji/outline_49.pdf","PDFを開く")</f>
        <v>PDFを開く</v>
      </c>
    </row>
    <row r="572" spans="1:7" ht="87.95" customHeight="1">
      <c r="A572" s="2" t="s">
        <v>2081</v>
      </c>
      <c r="B572" s="2" t="s">
        <v>1595</v>
      </c>
      <c r="C572" s="8" t="s">
        <v>2082</v>
      </c>
      <c r="D572" s="2">
        <v>2</v>
      </c>
      <c r="E572" s="8" t="s">
        <v>10165</v>
      </c>
      <c r="F572" s="8" t="s">
        <v>11511</v>
      </c>
      <c r="G572" s="8" t="str">
        <f>HYPERLINK("https://seichotoushi-hojo.jp/assets/pdf/koufu_3_4ji/outline_49.pdf","PDFを開く")</f>
        <v>PDFを開く</v>
      </c>
    </row>
    <row r="573" spans="1:7" ht="87.95" customHeight="1">
      <c r="A573" s="5" t="s">
        <v>2090</v>
      </c>
      <c r="B573" s="5" t="s">
        <v>1595</v>
      </c>
      <c r="C573" s="9" t="s">
        <v>2091</v>
      </c>
      <c r="D573" s="5">
        <v>1</v>
      </c>
      <c r="E573" s="9" t="s">
        <v>10156</v>
      </c>
      <c r="F573" s="9" t="s">
        <v>11512</v>
      </c>
      <c r="G573" s="9" t="str">
        <f>HYPERLINK("https://seichotoushi-hojo.jp/assets/pdf/koufu_3_4ji/outline_5.pdf","PDFを開く")</f>
        <v>PDFを開く</v>
      </c>
    </row>
    <row r="574" spans="1:7" ht="87.95" customHeight="1">
      <c r="A574" s="2" t="s">
        <v>2090</v>
      </c>
      <c r="B574" s="2" t="s">
        <v>1595</v>
      </c>
      <c r="C574" s="8" t="s">
        <v>2091</v>
      </c>
      <c r="D574" s="2">
        <v>2</v>
      </c>
      <c r="E574" s="8" t="s">
        <v>10165</v>
      </c>
      <c r="F574" s="8" t="s">
        <v>11513</v>
      </c>
      <c r="G574" s="8" t="str">
        <f>HYPERLINK("https://seichotoushi-hojo.jp/assets/pdf/koufu_3_4ji/outline_5.pdf","PDFを開く")</f>
        <v>PDFを開く</v>
      </c>
    </row>
    <row r="575" spans="1:7" ht="87.95" customHeight="1">
      <c r="A575" s="5" t="s">
        <v>2098</v>
      </c>
      <c r="B575" s="5" t="s">
        <v>1595</v>
      </c>
      <c r="C575" s="9" t="s">
        <v>2099</v>
      </c>
      <c r="D575" s="5">
        <v>1</v>
      </c>
      <c r="E575" s="9" t="s">
        <v>10704</v>
      </c>
      <c r="F575" s="9" t="s">
        <v>11514</v>
      </c>
      <c r="G575" s="9" t="str">
        <f>HYPERLINK("https://seichotoushi-hojo.jp/assets/pdf/koufu_3_4ji/outline_51.pdf","PDFを開く")</f>
        <v>PDFを開く</v>
      </c>
    </row>
    <row r="576" spans="1:7" ht="87.95" customHeight="1">
      <c r="A576" s="2" t="s">
        <v>2098</v>
      </c>
      <c r="B576" s="2" t="s">
        <v>1595</v>
      </c>
      <c r="C576" s="8" t="s">
        <v>2099</v>
      </c>
      <c r="D576" s="2">
        <v>2</v>
      </c>
      <c r="E576" s="8" t="s">
        <v>10156</v>
      </c>
      <c r="F576" s="8" t="s">
        <v>11515</v>
      </c>
      <c r="G576" s="8" t="str">
        <f>HYPERLINK("https://seichotoushi-hojo.jp/assets/pdf/koufu_3_4ji/outline_51.pdf","PDFを開く")</f>
        <v>PDFを開く</v>
      </c>
    </row>
    <row r="577" spans="1:7" ht="87.95" customHeight="1">
      <c r="A577" s="5" t="s">
        <v>2098</v>
      </c>
      <c r="B577" s="5" t="s">
        <v>1595</v>
      </c>
      <c r="C577" s="9" t="s">
        <v>2099</v>
      </c>
      <c r="D577" s="5">
        <v>3</v>
      </c>
      <c r="E577" s="9" t="s">
        <v>10165</v>
      </c>
      <c r="F577" s="9" t="s">
        <v>11516</v>
      </c>
      <c r="G577" s="9" t="str">
        <f>HYPERLINK("https://seichotoushi-hojo.jp/assets/pdf/koufu_3_4ji/outline_51.pdf","PDFを開く")</f>
        <v>PDFを開く</v>
      </c>
    </row>
    <row r="578" spans="1:7" ht="87.95" customHeight="1">
      <c r="A578" s="2" t="s">
        <v>2105</v>
      </c>
      <c r="B578" s="2" t="s">
        <v>1595</v>
      </c>
      <c r="C578" s="8" t="s">
        <v>2106</v>
      </c>
      <c r="D578" s="2">
        <v>1</v>
      </c>
      <c r="E578" s="8" t="s">
        <v>10156</v>
      </c>
      <c r="F578" s="8" t="s">
        <v>11517</v>
      </c>
      <c r="G578" s="8" t="str">
        <f>HYPERLINK("https://seichotoushi-hojo.jp/assets/pdf/koufu_3_4ji/outline_52.pdf","PDFを開く")</f>
        <v>PDFを開く</v>
      </c>
    </row>
    <row r="579" spans="1:7" ht="87.95" customHeight="1">
      <c r="A579" s="5" t="s">
        <v>2105</v>
      </c>
      <c r="B579" s="5" t="s">
        <v>1595</v>
      </c>
      <c r="C579" s="9" t="s">
        <v>2106</v>
      </c>
      <c r="D579" s="5">
        <v>2</v>
      </c>
      <c r="E579" s="9" t="s">
        <v>10165</v>
      </c>
      <c r="F579" s="9" t="s">
        <v>11518</v>
      </c>
      <c r="G579" s="9" t="str">
        <f>HYPERLINK("https://seichotoushi-hojo.jp/assets/pdf/koufu_3_4ji/outline_52.pdf","PDFを開く")</f>
        <v>PDFを開く</v>
      </c>
    </row>
    <row r="580" spans="1:7" ht="87.95" customHeight="1">
      <c r="A580" s="2" t="s">
        <v>2114</v>
      </c>
      <c r="B580" s="2" t="s">
        <v>1595</v>
      </c>
      <c r="C580" s="8" t="s">
        <v>2115</v>
      </c>
      <c r="D580" s="2">
        <v>1</v>
      </c>
      <c r="E580" s="8" t="s">
        <v>10156</v>
      </c>
      <c r="F580" s="8" t="s">
        <v>11519</v>
      </c>
      <c r="G580" s="8" t="str">
        <f>HYPERLINK("https://seichotoushi-hojo.jp/assets/pdf/koufu_3_4ji/outline_58.pdf","PDFを開く")</f>
        <v>PDFを開く</v>
      </c>
    </row>
    <row r="581" spans="1:7" ht="87.95" customHeight="1">
      <c r="A581" s="5" t="s">
        <v>2114</v>
      </c>
      <c r="B581" s="5" t="s">
        <v>1595</v>
      </c>
      <c r="C581" s="9" t="s">
        <v>2115</v>
      </c>
      <c r="D581" s="5">
        <v>2</v>
      </c>
      <c r="E581" s="9" t="s">
        <v>10165</v>
      </c>
      <c r="F581" s="9" t="s">
        <v>11520</v>
      </c>
      <c r="G581" s="9" t="str">
        <f>HYPERLINK("https://seichotoushi-hojo.jp/assets/pdf/koufu_3_4ji/outline_58.pdf","PDFを開く")</f>
        <v>PDFを開く</v>
      </c>
    </row>
    <row r="582" spans="1:7" ht="87.95" customHeight="1">
      <c r="A582" s="2" t="s">
        <v>2123</v>
      </c>
      <c r="B582" s="2" t="s">
        <v>1595</v>
      </c>
      <c r="C582" s="8" t="s">
        <v>2124</v>
      </c>
      <c r="D582" s="2">
        <v>1</v>
      </c>
      <c r="E582" s="8" t="s">
        <v>10156</v>
      </c>
      <c r="F582" s="8" t="s">
        <v>11521</v>
      </c>
      <c r="G582" s="8" t="str">
        <f>HYPERLINK("https://seichotoushi-hojo.jp/assets/pdf/koufu_3_4ji/outline_6.pdf","PDFを開く")</f>
        <v>PDFを開く</v>
      </c>
    </row>
    <row r="583" spans="1:7" ht="87.95" customHeight="1">
      <c r="A583" s="5" t="s">
        <v>2123</v>
      </c>
      <c r="B583" s="5" t="s">
        <v>1595</v>
      </c>
      <c r="C583" s="9" t="s">
        <v>2124</v>
      </c>
      <c r="D583" s="5">
        <v>2</v>
      </c>
      <c r="E583" s="9" t="s">
        <v>10165</v>
      </c>
      <c r="F583" s="9" t="s">
        <v>11522</v>
      </c>
      <c r="G583" s="9" t="str">
        <f>HYPERLINK("https://seichotoushi-hojo.jp/assets/pdf/koufu_3_4ji/outline_6.pdf","PDFを開く")</f>
        <v>PDFを開く</v>
      </c>
    </row>
    <row r="584" spans="1:7" ht="87.95" customHeight="1">
      <c r="A584" s="2" t="s">
        <v>2132</v>
      </c>
      <c r="B584" s="2" t="s">
        <v>1595</v>
      </c>
      <c r="C584" s="8" t="s">
        <v>2133</v>
      </c>
      <c r="D584" s="2">
        <v>1</v>
      </c>
      <c r="E584" s="8" t="s">
        <v>10704</v>
      </c>
      <c r="F584" s="8" t="s">
        <v>11523</v>
      </c>
      <c r="G584" s="8" t="str">
        <f t="shared" ref="G584:G589" si="4">HYPERLINK("https://seichotoushi-hojo.jp/assets/pdf/koufu_3_4ji/outline_60.pdf","PDFを開く")</f>
        <v>PDFを開く</v>
      </c>
    </row>
    <row r="585" spans="1:7" ht="87.95" customHeight="1">
      <c r="A585" s="5" t="s">
        <v>2132</v>
      </c>
      <c r="B585" s="5" t="s">
        <v>1595</v>
      </c>
      <c r="C585" s="9" t="s">
        <v>2133</v>
      </c>
      <c r="D585" s="5">
        <v>2</v>
      </c>
      <c r="E585" s="9" t="s">
        <v>10704</v>
      </c>
      <c r="F585" s="9" t="s">
        <v>11524</v>
      </c>
      <c r="G585" s="9" t="str">
        <f t="shared" si="4"/>
        <v>PDFを開く</v>
      </c>
    </row>
    <row r="586" spans="1:7" ht="87.95" customHeight="1">
      <c r="A586" s="2" t="s">
        <v>2132</v>
      </c>
      <c r="B586" s="2" t="s">
        <v>1595</v>
      </c>
      <c r="C586" s="8" t="s">
        <v>2133</v>
      </c>
      <c r="D586" s="2">
        <v>3</v>
      </c>
      <c r="E586" s="8" t="s">
        <v>10156</v>
      </c>
      <c r="F586" s="8" t="s">
        <v>11525</v>
      </c>
      <c r="G586" s="8" t="str">
        <f t="shared" si="4"/>
        <v>PDFを開く</v>
      </c>
    </row>
    <row r="587" spans="1:7" ht="87.95" customHeight="1">
      <c r="A587" s="5" t="s">
        <v>2132</v>
      </c>
      <c r="B587" s="5" t="s">
        <v>1595</v>
      </c>
      <c r="C587" s="9" t="s">
        <v>2133</v>
      </c>
      <c r="D587" s="5">
        <v>4</v>
      </c>
      <c r="E587" s="9" t="s">
        <v>10165</v>
      </c>
      <c r="F587" s="9" t="s">
        <v>11526</v>
      </c>
      <c r="G587" s="9" t="str">
        <f t="shared" si="4"/>
        <v>PDFを開く</v>
      </c>
    </row>
    <row r="588" spans="1:7" ht="87.95" customHeight="1">
      <c r="A588" s="2" t="s">
        <v>2132</v>
      </c>
      <c r="B588" s="2" t="s">
        <v>1595</v>
      </c>
      <c r="C588" s="8" t="s">
        <v>2133</v>
      </c>
      <c r="D588" s="2">
        <v>5</v>
      </c>
      <c r="E588" s="8" t="s">
        <v>10165</v>
      </c>
      <c r="F588" s="8" t="s">
        <v>11527</v>
      </c>
      <c r="G588" s="8" t="str">
        <f t="shared" si="4"/>
        <v>PDFを開く</v>
      </c>
    </row>
    <row r="589" spans="1:7" ht="87.95" customHeight="1">
      <c r="A589" s="5" t="s">
        <v>2132</v>
      </c>
      <c r="B589" s="5" t="s">
        <v>1595</v>
      </c>
      <c r="C589" s="9" t="s">
        <v>2133</v>
      </c>
      <c r="D589" s="5">
        <v>6</v>
      </c>
      <c r="E589" s="9" t="s">
        <v>10165</v>
      </c>
      <c r="F589" s="9" t="s">
        <v>11528</v>
      </c>
      <c r="G589" s="9" t="str">
        <f t="shared" si="4"/>
        <v>PDFを開く</v>
      </c>
    </row>
    <row r="590" spans="1:7" ht="87.95" customHeight="1">
      <c r="A590" s="2" t="s">
        <v>2138</v>
      </c>
      <c r="B590" s="2" t="s">
        <v>1595</v>
      </c>
      <c r="C590" s="8" t="s">
        <v>2139</v>
      </c>
      <c r="D590" s="2">
        <v>1</v>
      </c>
      <c r="E590" s="8" t="s">
        <v>10156</v>
      </c>
      <c r="F590" s="8" t="s">
        <v>11529</v>
      </c>
      <c r="G590" s="8" t="str">
        <f>HYPERLINK("https://seichotoushi-hojo.jp/assets/pdf/koufu_3_4ji/outline_61.pdf","PDFを開く")</f>
        <v>PDFを開く</v>
      </c>
    </row>
    <row r="591" spans="1:7" ht="87.95" customHeight="1">
      <c r="A591" s="5" t="s">
        <v>2138</v>
      </c>
      <c r="B591" s="5" t="s">
        <v>1595</v>
      </c>
      <c r="C591" s="9" t="s">
        <v>2139</v>
      </c>
      <c r="D591" s="5">
        <v>2</v>
      </c>
      <c r="E591" s="9" t="s">
        <v>10165</v>
      </c>
      <c r="F591" s="9" t="s">
        <v>11530</v>
      </c>
      <c r="G591" s="9" t="str">
        <f>HYPERLINK("https://seichotoushi-hojo.jp/assets/pdf/koufu_3_4ji/outline_61.pdf","PDFを開く")</f>
        <v>PDFを開く</v>
      </c>
    </row>
    <row r="592" spans="1:7" ht="87.95" customHeight="1">
      <c r="A592" s="2" t="s">
        <v>2145</v>
      </c>
      <c r="B592" s="2" t="s">
        <v>1595</v>
      </c>
      <c r="C592" s="8" t="s">
        <v>2146</v>
      </c>
      <c r="D592" s="2">
        <v>1</v>
      </c>
      <c r="E592" s="8" t="s">
        <v>10156</v>
      </c>
      <c r="F592" s="8" t="s">
        <v>11531</v>
      </c>
      <c r="G592" s="8" t="str">
        <f>HYPERLINK("https://seichotoushi-hojo.jp/assets/pdf/koufu_3_4ji/outline_62.pdf","PDFを開く")</f>
        <v>PDFを開く</v>
      </c>
    </row>
    <row r="593" spans="1:7" ht="87.95" customHeight="1">
      <c r="A593" s="5" t="s">
        <v>2145</v>
      </c>
      <c r="B593" s="5" t="s">
        <v>1595</v>
      </c>
      <c r="C593" s="9" t="s">
        <v>2146</v>
      </c>
      <c r="D593" s="5">
        <v>2</v>
      </c>
      <c r="E593" s="9" t="s">
        <v>10165</v>
      </c>
      <c r="F593" s="9" t="s">
        <v>11532</v>
      </c>
      <c r="G593" s="9" t="str">
        <f>HYPERLINK("https://seichotoushi-hojo.jp/assets/pdf/koufu_3_4ji/outline_62.pdf","PDFを開く")</f>
        <v>PDFを開く</v>
      </c>
    </row>
    <row r="594" spans="1:7" ht="87.95" customHeight="1">
      <c r="A594" s="2" t="s">
        <v>2152</v>
      </c>
      <c r="B594" s="2" t="s">
        <v>1595</v>
      </c>
      <c r="C594" s="8" t="s">
        <v>2153</v>
      </c>
      <c r="D594" s="2">
        <v>1</v>
      </c>
      <c r="E594" s="8" t="s">
        <v>10156</v>
      </c>
      <c r="F594" s="8" t="s">
        <v>11533</v>
      </c>
      <c r="G594" s="8" t="str">
        <f>HYPERLINK("https://seichotoushi-hojo.jp/assets/pdf/koufu_3_4ji/outline_63.pdf","PDFを開く")</f>
        <v>PDFを開く</v>
      </c>
    </row>
    <row r="595" spans="1:7" ht="87.95" customHeight="1">
      <c r="A595" s="5" t="s">
        <v>2152</v>
      </c>
      <c r="B595" s="5" t="s">
        <v>1595</v>
      </c>
      <c r="C595" s="9" t="s">
        <v>2153</v>
      </c>
      <c r="D595" s="5">
        <v>2</v>
      </c>
      <c r="E595" s="9" t="s">
        <v>10156</v>
      </c>
      <c r="F595" s="9" t="s">
        <v>11534</v>
      </c>
      <c r="G595" s="9" t="str">
        <f>HYPERLINK("https://seichotoushi-hojo.jp/assets/pdf/koufu_3_4ji/outline_63.pdf","PDFを開く")</f>
        <v>PDFを開く</v>
      </c>
    </row>
    <row r="596" spans="1:7" ht="87.95" customHeight="1">
      <c r="A596" s="2" t="s">
        <v>2152</v>
      </c>
      <c r="B596" s="2" t="s">
        <v>1595</v>
      </c>
      <c r="C596" s="8" t="s">
        <v>2153</v>
      </c>
      <c r="D596" s="2">
        <v>3</v>
      </c>
      <c r="E596" s="8" t="s">
        <v>10165</v>
      </c>
      <c r="F596" s="8" t="s">
        <v>11535</v>
      </c>
      <c r="G596" s="8" t="str">
        <f>HYPERLINK("https://seichotoushi-hojo.jp/assets/pdf/koufu_3_4ji/outline_63.pdf","PDFを開く")</f>
        <v>PDFを開く</v>
      </c>
    </row>
    <row r="597" spans="1:7" ht="87.95" customHeight="1">
      <c r="A597" s="5" t="s">
        <v>2162</v>
      </c>
      <c r="B597" s="5" t="s">
        <v>1595</v>
      </c>
      <c r="C597" s="9" t="s">
        <v>2163</v>
      </c>
      <c r="D597" s="5">
        <v>1</v>
      </c>
      <c r="E597" s="9" t="s">
        <v>10156</v>
      </c>
      <c r="F597" s="9" t="s">
        <v>11536</v>
      </c>
      <c r="G597" s="9" t="str">
        <f>HYPERLINK("https://seichotoushi-hojo.jp/assets/pdf/koufu_3_4ji/outline_65.pdf","PDFを開く")</f>
        <v>PDFを開く</v>
      </c>
    </row>
    <row r="598" spans="1:7" ht="87.95" customHeight="1">
      <c r="A598" s="2" t="s">
        <v>2162</v>
      </c>
      <c r="B598" s="2" t="s">
        <v>1595</v>
      </c>
      <c r="C598" s="8" t="s">
        <v>2163</v>
      </c>
      <c r="D598" s="2">
        <v>2</v>
      </c>
      <c r="E598" s="8" t="s">
        <v>10165</v>
      </c>
      <c r="F598" s="8" t="s">
        <v>11537</v>
      </c>
      <c r="G598" s="8" t="str">
        <f>HYPERLINK("https://seichotoushi-hojo.jp/assets/pdf/koufu_3_4ji/outline_65.pdf","PDFを開く")</f>
        <v>PDFを開く</v>
      </c>
    </row>
    <row r="599" spans="1:7" ht="87.95" customHeight="1">
      <c r="A599" s="5" t="s">
        <v>2168</v>
      </c>
      <c r="B599" s="5" t="s">
        <v>1595</v>
      </c>
      <c r="C599" s="9" t="s">
        <v>2169</v>
      </c>
      <c r="D599" s="5">
        <v>1</v>
      </c>
      <c r="E599" s="9" t="s">
        <v>10156</v>
      </c>
      <c r="F599" s="9" t="s">
        <v>11538</v>
      </c>
      <c r="G599" s="9" t="str">
        <f>HYPERLINK("https://seichotoushi-hojo.jp/assets/pdf/koufu_3_4ji/outline_66.pdf","PDFを開く")</f>
        <v>PDFを開く</v>
      </c>
    </row>
    <row r="600" spans="1:7" ht="87.95" customHeight="1">
      <c r="A600" s="2" t="s">
        <v>2168</v>
      </c>
      <c r="B600" s="2" t="s">
        <v>1595</v>
      </c>
      <c r="C600" s="8" t="s">
        <v>2169</v>
      </c>
      <c r="D600" s="2">
        <v>2</v>
      </c>
      <c r="E600" s="8" t="s">
        <v>10165</v>
      </c>
      <c r="F600" s="8" t="s">
        <v>11539</v>
      </c>
      <c r="G600" s="8" t="str">
        <f>HYPERLINK("https://seichotoushi-hojo.jp/assets/pdf/koufu_3_4ji/outline_66.pdf","PDFを開く")</f>
        <v>PDFを開く</v>
      </c>
    </row>
    <row r="601" spans="1:7" ht="87.95" customHeight="1">
      <c r="A601" s="5" t="s">
        <v>2177</v>
      </c>
      <c r="B601" s="5" t="s">
        <v>1595</v>
      </c>
      <c r="C601" s="9" t="s">
        <v>2178</v>
      </c>
      <c r="D601" s="5">
        <v>1</v>
      </c>
      <c r="E601" s="9" t="s">
        <v>10156</v>
      </c>
      <c r="F601" s="9" t="s">
        <v>11540</v>
      </c>
      <c r="G601" s="9" t="str">
        <f>HYPERLINK("https://seichotoushi-hojo.jp/assets/pdf/koufu_3_4ji/outline_67.pdf","PDFを開く")</f>
        <v>PDFを開く</v>
      </c>
    </row>
    <row r="602" spans="1:7" ht="87.95" customHeight="1">
      <c r="A602" s="2" t="s">
        <v>2177</v>
      </c>
      <c r="B602" s="2" t="s">
        <v>1595</v>
      </c>
      <c r="C602" s="8" t="s">
        <v>2178</v>
      </c>
      <c r="D602" s="2">
        <v>2</v>
      </c>
      <c r="E602" s="8" t="s">
        <v>10156</v>
      </c>
      <c r="F602" s="8" t="s">
        <v>11541</v>
      </c>
      <c r="G602" s="8" t="str">
        <f>HYPERLINK("https://seichotoushi-hojo.jp/assets/pdf/koufu_3_4ji/outline_67.pdf","PDFを開く")</f>
        <v>PDFを開く</v>
      </c>
    </row>
    <row r="603" spans="1:7" ht="87.95" customHeight="1">
      <c r="A603" s="5" t="s">
        <v>2177</v>
      </c>
      <c r="B603" s="5" t="s">
        <v>1595</v>
      </c>
      <c r="C603" s="9" t="s">
        <v>2178</v>
      </c>
      <c r="D603" s="5">
        <v>3</v>
      </c>
      <c r="E603" s="9" t="s">
        <v>10156</v>
      </c>
      <c r="F603" s="9" t="s">
        <v>11542</v>
      </c>
      <c r="G603" s="9" t="str">
        <f>HYPERLINK("https://seichotoushi-hojo.jp/assets/pdf/koufu_3_4ji/outline_67.pdf","PDFを開く")</f>
        <v>PDFを開く</v>
      </c>
    </row>
    <row r="604" spans="1:7" ht="87.95" customHeight="1">
      <c r="A604" s="2" t="s">
        <v>2177</v>
      </c>
      <c r="B604" s="2" t="s">
        <v>1595</v>
      </c>
      <c r="C604" s="8" t="s">
        <v>2178</v>
      </c>
      <c r="D604" s="2">
        <v>4</v>
      </c>
      <c r="E604" s="8" t="s">
        <v>10156</v>
      </c>
      <c r="F604" s="8" t="s">
        <v>11543</v>
      </c>
      <c r="G604" s="8" t="str">
        <f>HYPERLINK("https://seichotoushi-hojo.jp/assets/pdf/koufu_3_4ji/outline_67.pdf","PDFを開く")</f>
        <v>PDFを開く</v>
      </c>
    </row>
    <row r="605" spans="1:7" ht="87.95" customHeight="1">
      <c r="A605" s="5" t="s">
        <v>2177</v>
      </c>
      <c r="B605" s="5" t="s">
        <v>1595</v>
      </c>
      <c r="C605" s="9" t="s">
        <v>2178</v>
      </c>
      <c r="D605" s="5">
        <v>5</v>
      </c>
      <c r="E605" s="9" t="s">
        <v>10165</v>
      </c>
      <c r="F605" s="9" t="s">
        <v>11544</v>
      </c>
      <c r="G605" s="9" t="str">
        <f>HYPERLINK("https://seichotoushi-hojo.jp/assets/pdf/koufu_3_4ji/outline_67.pdf","PDFを開く")</f>
        <v>PDFを開く</v>
      </c>
    </row>
    <row r="606" spans="1:7" ht="87.95" customHeight="1">
      <c r="A606" s="2" t="s">
        <v>2185</v>
      </c>
      <c r="B606" s="2" t="s">
        <v>1595</v>
      </c>
      <c r="C606" s="8" t="s">
        <v>2186</v>
      </c>
      <c r="D606" s="2">
        <v>1</v>
      </c>
      <c r="E606" s="8" t="s">
        <v>10156</v>
      </c>
      <c r="F606" s="8" t="s">
        <v>11545</v>
      </c>
      <c r="G606" s="8" t="str">
        <f>HYPERLINK("https://seichotoushi-hojo.jp/assets/pdf/koufu_3_4ji/outline_68.pdf","PDFを開く")</f>
        <v>PDFを開く</v>
      </c>
    </row>
    <row r="607" spans="1:7" ht="87.95" customHeight="1">
      <c r="A607" s="5" t="s">
        <v>2185</v>
      </c>
      <c r="B607" s="5" t="s">
        <v>1595</v>
      </c>
      <c r="C607" s="9" t="s">
        <v>2186</v>
      </c>
      <c r="D607" s="5">
        <v>2</v>
      </c>
      <c r="E607" s="9" t="s">
        <v>10165</v>
      </c>
      <c r="F607" s="9" t="s">
        <v>11546</v>
      </c>
      <c r="G607" s="9" t="str">
        <f>HYPERLINK("https://seichotoushi-hojo.jp/assets/pdf/koufu_3_4ji/outline_68.pdf","PDFを開く")</f>
        <v>PDFを開く</v>
      </c>
    </row>
    <row r="608" spans="1:7" ht="87.95" customHeight="1">
      <c r="A608" s="2" t="s">
        <v>2193</v>
      </c>
      <c r="B608" s="2" t="s">
        <v>1595</v>
      </c>
      <c r="C608" s="8" t="s">
        <v>2194</v>
      </c>
      <c r="D608" s="2">
        <v>1</v>
      </c>
      <c r="E608" s="8" t="s">
        <v>10156</v>
      </c>
      <c r="F608" s="8" t="s">
        <v>11547</v>
      </c>
      <c r="G608" s="8" t="str">
        <f>HYPERLINK("https://seichotoushi-hojo.jp/assets/pdf/koufu_3_4ji/outline_69.pdf","PDFを開く")</f>
        <v>PDFを開く</v>
      </c>
    </row>
    <row r="609" spans="1:7" ht="87.95" customHeight="1">
      <c r="A609" s="5" t="s">
        <v>2193</v>
      </c>
      <c r="B609" s="5" t="s">
        <v>1595</v>
      </c>
      <c r="C609" s="9" t="s">
        <v>2194</v>
      </c>
      <c r="D609" s="5">
        <v>2</v>
      </c>
      <c r="E609" s="9" t="s">
        <v>10165</v>
      </c>
      <c r="F609" s="9" t="s">
        <v>11548</v>
      </c>
      <c r="G609" s="9" t="str">
        <f>HYPERLINK("https://seichotoushi-hojo.jp/assets/pdf/koufu_3_4ji/outline_69.pdf","PDFを開く")</f>
        <v>PDFを開く</v>
      </c>
    </row>
    <row r="610" spans="1:7" ht="87.95" customHeight="1">
      <c r="A610" s="2" t="s">
        <v>2200</v>
      </c>
      <c r="B610" s="2" t="s">
        <v>1595</v>
      </c>
      <c r="C610" s="8" t="s">
        <v>706</v>
      </c>
      <c r="D610" s="2">
        <v>1</v>
      </c>
      <c r="E610" s="8" t="s">
        <v>10156</v>
      </c>
      <c r="F610" s="8" t="s">
        <v>11549</v>
      </c>
      <c r="G610" s="8" t="str">
        <f>HYPERLINK("https://seichotoushi-hojo.jp/assets/pdf/koufu_3_4ji/outline_70.pdf","PDFを開く")</f>
        <v>PDFを開く</v>
      </c>
    </row>
    <row r="611" spans="1:7" ht="87.95" customHeight="1">
      <c r="A611" s="5" t="s">
        <v>2200</v>
      </c>
      <c r="B611" s="5" t="s">
        <v>1595</v>
      </c>
      <c r="C611" s="9" t="s">
        <v>706</v>
      </c>
      <c r="D611" s="5">
        <v>2</v>
      </c>
      <c r="E611" s="9" t="s">
        <v>10165</v>
      </c>
      <c r="F611" s="9" t="s">
        <v>11550</v>
      </c>
      <c r="G611" s="9" t="str">
        <f>HYPERLINK("https://seichotoushi-hojo.jp/assets/pdf/koufu_3_4ji/outline_70.pdf","PDFを開く")</f>
        <v>PDFを開く</v>
      </c>
    </row>
    <row r="612" spans="1:7" ht="87.95" customHeight="1">
      <c r="A612" s="2" t="s">
        <v>2207</v>
      </c>
      <c r="B612" s="2" t="s">
        <v>1595</v>
      </c>
      <c r="C612" s="8" t="s">
        <v>2208</v>
      </c>
      <c r="D612" s="2">
        <v>1</v>
      </c>
      <c r="E612" s="8" t="s">
        <v>10156</v>
      </c>
      <c r="F612" s="8" t="s">
        <v>11551</v>
      </c>
      <c r="G612" s="8" t="str">
        <f>HYPERLINK("https://seichotoushi-hojo.jp/assets/pdf/koufu_3_4ji/outline_71.pdf","PDFを開く")</f>
        <v>PDFを開く</v>
      </c>
    </row>
    <row r="613" spans="1:7" ht="87.95" customHeight="1">
      <c r="A613" s="5" t="s">
        <v>2207</v>
      </c>
      <c r="B613" s="5" t="s">
        <v>1595</v>
      </c>
      <c r="C613" s="9" t="s">
        <v>2208</v>
      </c>
      <c r="D613" s="5">
        <v>2</v>
      </c>
      <c r="E613" s="9" t="s">
        <v>10165</v>
      </c>
      <c r="F613" s="9" t="s">
        <v>11552</v>
      </c>
      <c r="G613" s="9" t="str">
        <f>HYPERLINK("https://seichotoushi-hojo.jp/assets/pdf/koufu_3_4ji/outline_71.pdf","PDFを開く")</f>
        <v>PDFを開く</v>
      </c>
    </row>
    <row r="614" spans="1:7" ht="87.95" customHeight="1">
      <c r="A614" s="2" t="s">
        <v>2215</v>
      </c>
      <c r="B614" s="2" t="s">
        <v>1595</v>
      </c>
      <c r="C614" s="8" t="s">
        <v>2216</v>
      </c>
      <c r="D614" s="2">
        <v>1</v>
      </c>
      <c r="E614" s="8" t="s">
        <v>10156</v>
      </c>
      <c r="F614" s="8" t="s">
        <v>11553</v>
      </c>
      <c r="G614" s="8" t="str">
        <f>HYPERLINK("https://seichotoushi-hojo.jp/assets/pdf/koufu_3_4ji/outline_72.pdf","PDFを開く")</f>
        <v>PDFを開く</v>
      </c>
    </row>
    <row r="615" spans="1:7" ht="87.95" customHeight="1">
      <c r="A615" s="5" t="s">
        <v>2215</v>
      </c>
      <c r="B615" s="5" t="s">
        <v>1595</v>
      </c>
      <c r="C615" s="9" t="s">
        <v>2216</v>
      </c>
      <c r="D615" s="5">
        <v>2</v>
      </c>
      <c r="E615" s="9" t="s">
        <v>10165</v>
      </c>
      <c r="F615" s="9" t="s">
        <v>11554</v>
      </c>
      <c r="G615" s="9" t="str">
        <f>HYPERLINK("https://seichotoushi-hojo.jp/assets/pdf/koufu_3_4ji/outline_72.pdf","PDFを開く")</f>
        <v>PDFを開く</v>
      </c>
    </row>
    <row r="616" spans="1:7" ht="87.95" customHeight="1">
      <c r="A616" s="2" t="s">
        <v>2222</v>
      </c>
      <c r="B616" s="2" t="s">
        <v>1595</v>
      </c>
      <c r="C616" s="8" t="s">
        <v>2223</v>
      </c>
      <c r="D616" s="2">
        <v>1</v>
      </c>
      <c r="E616" s="8" t="s">
        <v>10156</v>
      </c>
      <c r="F616" s="8" t="s">
        <v>11555</v>
      </c>
      <c r="G616" s="8" t="str">
        <f>HYPERLINK("https://seichotoushi-hojo.jp/assets/pdf/koufu_3_4ji/outline_73.pdf","PDFを開く")</f>
        <v>PDFを開く</v>
      </c>
    </row>
    <row r="617" spans="1:7" ht="87.95" customHeight="1">
      <c r="A617" s="5" t="s">
        <v>2222</v>
      </c>
      <c r="B617" s="5" t="s">
        <v>1595</v>
      </c>
      <c r="C617" s="9" t="s">
        <v>2223</v>
      </c>
      <c r="D617" s="5">
        <v>2</v>
      </c>
      <c r="E617" s="9" t="s">
        <v>10156</v>
      </c>
      <c r="F617" s="9" t="s">
        <v>11556</v>
      </c>
      <c r="G617" s="9" t="str">
        <f>HYPERLINK("https://seichotoushi-hojo.jp/assets/pdf/koufu_3_4ji/outline_73.pdf","PDFを開く")</f>
        <v>PDFを開く</v>
      </c>
    </row>
    <row r="618" spans="1:7" ht="87.95" customHeight="1">
      <c r="A618" s="2" t="s">
        <v>2222</v>
      </c>
      <c r="B618" s="2" t="s">
        <v>1595</v>
      </c>
      <c r="C618" s="8" t="s">
        <v>2223</v>
      </c>
      <c r="D618" s="2">
        <v>3</v>
      </c>
      <c r="E618" s="8" t="s">
        <v>10165</v>
      </c>
      <c r="F618" s="8" t="s">
        <v>11557</v>
      </c>
      <c r="G618" s="8" t="str">
        <f>HYPERLINK("https://seichotoushi-hojo.jp/assets/pdf/koufu_3_4ji/outline_73.pdf","PDFを開く")</f>
        <v>PDFを開く</v>
      </c>
    </row>
    <row r="619" spans="1:7" ht="87.95" customHeight="1">
      <c r="A619" s="5" t="s">
        <v>2222</v>
      </c>
      <c r="B619" s="5" t="s">
        <v>1595</v>
      </c>
      <c r="C619" s="9" t="s">
        <v>2223</v>
      </c>
      <c r="D619" s="5">
        <v>4</v>
      </c>
      <c r="E619" s="9" t="s">
        <v>10165</v>
      </c>
      <c r="F619" s="9" t="s">
        <v>11558</v>
      </c>
      <c r="G619" s="9" t="str">
        <f>HYPERLINK("https://seichotoushi-hojo.jp/assets/pdf/koufu_3_4ji/outline_73.pdf","PDFを開く")</f>
        <v>PDFを開く</v>
      </c>
    </row>
    <row r="620" spans="1:7" ht="87.95" customHeight="1">
      <c r="A620" s="2" t="s">
        <v>2228</v>
      </c>
      <c r="B620" s="2" t="s">
        <v>1595</v>
      </c>
      <c r="C620" s="8" t="s">
        <v>2229</v>
      </c>
      <c r="D620" s="2">
        <v>1</v>
      </c>
      <c r="E620" s="8" t="s">
        <v>10156</v>
      </c>
      <c r="F620" s="8" t="s">
        <v>11559</v>
      </c>
      <c r="G620" s="8" t="str">
        <f>HYPERLINK("https://seichotoushi-hojo.jp/assets/pdf/koufu_3_4ji/outline_74.pdf","PDFを開く")</f>
        <v>PDFを開く</v>
      </c>
    </row>
    <row r="621" spans="1:7" ht="87.95" customHeight="1">
      <c r="A621" s="5" t="s">
        <v>2228</v>
      </c>
      <c r="B621" s="5" t="s">
        <v>1595</v>
      </c>
      <c r="C621" s="9" t="s">
        <v>2229</v>
      </c>
      <c r="D621" s="5">
        <v>2</v>
      </c>
      <c r="E621" s="9" t="s">
        <v>10156</v>
      </c>
      <c r="F621" s="9" t="s">
        <v>11560</v>
      </c>
      <c r="G621" s="9" t="str">
        <f>HYPERLINK("https://seichotoushi-hojo.jp/assets/pdf/koufu_3_4ji/outline_74.pdf","PDFを開く")</f>
        <v>PDFを開く</v>
      </c>
    </row>
    <row r="622" spans="1:7" ht="87.95" customHeight="1">
      <c r="A622" s="2" t="s">
        <v>2228</v>
      </c>
      <c r="B622" s="2" t="s">
        <v>1595</v>
      </c>
      <c r="C622" s="8" t="s">
        <v>2229</v>
      </c>
      <c r="D622" s="2">
        <v>3</v>
      </c>
      <c r="E622" s="8" t="s">
        <v>10165</v>
      </c>
      <c r="F622" s="8" t="s">
        <v>11561</v>
      </c>
      <c r="G622" s="8" t="str">
        <f>HYPERLINK("https://seichotoushi-hojo.jp/assets/pdf/koufu_3_4ji/outline_74.pdf","PDFを開く")</f>
        <v>PDFを開く</v>
      </c>
    </row>
    <row r="623" spans="1:7" ht="87.95" customHeight="1">
      <c r="A623" s="5" t="s">
        <v>2237</v>
      </c>
      <c r="B623" s="5" t="s">
        <v>1595</v>
      </c>
      <c r="C623" s="9" t="s">
        <v>2238</v>
      </c>
      <c r="D623" s="5">
        <v>1</v>
      </c>
      <c r="E623" s="9" t="s">
        <v>10156</v>
      </c>
      <c r="F623" s="9" t="s">
        <v>11562</v>
      </c>
      <c r="G623" s="9" t="str">
        <f>HYPERLINK("https://seichotoushi-hojo.jp/assets/pdf/koufu_3_4ji/outline_77.pdf","PDFを開く")</f>
        <v>PDFを開く</v>
      </c>
    </row>
    <row r="624" spans="1:7" ht="87.95" customHeight="1">
      <c r="A624" s="2" t="s">
        <v>2237</v>
      </c>
      <c r="B624" s="2" t="s">
        <v>1595</v>
      </c>
      <c r="C624" s="8" t="s">
        <v>2238</v>
      </c>
      <c r="D624" s="2">
        <v>2</v>
      </c>
      <c r="E624" s="8" t="s">
        <v>10165</v>
      </c>
      <c r="F624" s="8" t="s">
        <v>11563</v>
      </c>
      <c r="G624" s="8" t="str">
        <f>HYPERLINK("https://seichotoushi-hojo.jp/assets/pdf/koufu_3_4ji/outline_77.pdf","PDFを開く")</f>
        <v>PDFを開く</v>
      </c>
    </row>
    <row r="625" spans="1:7" ht="87.95" customHeight="1">
      <c r="A625" s="5" t="s">
        <v>2245</v>
      </c>
      <c r="B625" s="5" t="s">
        <v>1595</v>
      </c>
      <c r="C625" s="9" t="s">
        <v>2246</v>
      </c>
      <c r="D625" s="5">
        <v>1</v>
      </c>
      <c r="E625" s="9" t="s">
        <v>10156</v>
      </c>
      <c r="F625" s="9" t="s">
        <v>11564</v>
      </c>
      <c r="G625" s="9" t="str">
        <f>HYPERLINK("https://seichotoushi-hojo.jp/assets/pdf/koufu_3_4ji/outline_78.pdf","PDFを開く")</f>
        <v>PDFを開く</v>
      </c>
    </row>
    <row r="626" spans="1:7" ht="87.95" customHeight="1">
      <c r="A626" s="2" t="s">
        <v>2245</v>
      </c>
      <c r="B626" s="2" t="s">
        <v>1595</v>
      </c>
      <c r="C626" s="8" t="s">
        <v>2246</v>
      </c>
      <c r="D626" s="2">
        <v>2</v>
      </c>
      <c r="E626" s="8" t="s">
        <v>10165</v>
      </c>
      <c r="F626" s="8" t="s">
        <v>11565</v>
      </c>
      <c r="G626" s="8" t="str">
        <f>HYPERLINK("https://seichotoushi-hojo.jp/assets/pdf/koufu_3_4ji/outline_78.pdf","PDFを開く")</f>
        <v>PDFを開く</v>
      </c>
    </row>
    <row r="627" spans="1:7" ht="87.95" customHeight="1">
      <c r="A627" s="5" t="s">
        <v>2252</v>
      </c>
      <c r="B627" s="5" t="s">
        <v>1595</v>
      </c>
      <c r="C627" s="9" t="s">
        <v>2253</v>
      </c>
      <c r="D627" s="5">
        <v>1</v>
      </c>
      <c r="E627" s="9" t="s">
        <v>10156</v>
      </c>
      <c r="F627" s="9" t="s">
        <v>11566</v>
      </c>
      <c r="G627" s="9" t="str">
        <f>HYPERLINK("https://seichotoushi-hojo.jp/assets/pdf/koufu_3_4ji/outline_79.pdf","PDFを開く")</f>
        <v>PDFを開く</v>
      </c>
    </row>
    <row r="628" spans="1:7" ht="87.95" customHeight="1">
      <c r="A628" s="2" t="s">
        <v>2252</v>
      </c>
      <c r="B628" s="2" t="s">
        <v>1595</v>
      </c>
      <c r="C628" s="8" t="s">
        <v>2253</v>
      </c>
      <c r="D628" s="2">
        <v>2</v>
      </c>
      <c r="E628" s="8" t="s">
        <v>10165</v>
      </c>
      <c r="F628" s="8" t="s">
        <v>11567</v>
      </c>
      <c r="G628" s="8" t="str">
        <f>HYPERLINK("https://seichotoushi-hojo.jp/assets/pdf/koufu_3_4ji/outline_79.pdf","PDFを開く")</f>
        <v>PDFを開く</v>
      </c>
    </row>
    <row r="629" spans="1:7" ht="87.95" customHeight="1">
      <c r="A629" s="5" t="s">
        <v>2252</v>
      </c>
      <c r="B629" s="5" t="s">
        <v>1595</v>
      </c>
      <c r="C629" s="9" t="s">
        <v>2253</v>
      </c>
      <c r="D629" s="5">
        <v>3</v>
      </c>
      <c r="E629" s="9" t="s">
        <v>10165</v>
      </c>
      <c r="F629" s="9" t="s">
        <v>11568</v>
      </c>
      <c r="G629" s="9" t="str">
        <f>HYPERLINK("https://seichotoushi-hojo.jp/assets/pdf/koufu_3_4ji/outline_79.pdf","PDFを開く")</f>
        <v>PDFを開く</v>
      </c>
    </row>
    <row r="630" spans="1:7" ht="87.95" customHeight="1">
      <c r="A630" s="2" t="s">
        <v>2259</v>
      </c>
      <c r="B630" s="2" t="s">
        <v>1595</v>
      </c>
      <c r="C630" s="8" t="s">
        <v>2260</v>
      </c>
      <c r="D630" s="2">
        <v>1</v>
      </c>
      <c r="E630" s="8" t="s">
        <v>10156</v>
      </c>
      <c r="F630" s="8" t="s">
        <v>11569</v>
      </c>
      <c r="G630" s="8" t="str">
        <f>HYPERLINK("https://seichotoushi-hojo.jp/assets/pdf/koufu_3_4ji/outline_8.pdf","PDFを開く")</f>
        <v>PDFを開く</v>
      </c>
    </row>
    <row r="631" spans="1:7" ht="87.95" customHeight="1">
      <c r="A631" s="5" t="s">
        <v>2259</v>
      </c>
      <c r="B631" s="5" t="s">
        <v>1595</v>
      </c>
      <c r="C631" s="9" t="s">
        <v>2260</v>
      </c>
      <c r="D631" s="5">
        <v>2</v>
      </c>
      <c r="E631" s="9" t="s">
        <v>10165</v>
      </c>
      <c r="F631" s="9" t="s">
        <v>11570</v>
      </c>
      <c r="G631" s="9" t="str">
        <f>HYPERLINK("https://seichotoushi-hojo.jp/assets/pdf/koufu_3_4ji/outline_8.pdf","PDFを開く")</f>
        <v>PDFを開く</v>
      </c>
    </row>
    <row r="632" spans="1:7" ht="87.95" customHeight="1">
      <c r="A632" s="2" t="s">
        <v>2266</v>
      </c>
      <c r="B632" s="2" t="s">
        <v>1595</v>
      </c>
      <c r="C632" s="8" t="s">
        <v>2267</v>
      </c>
      <c r="D632" s="2">
        <v>1</v>
      </c>
      <c r="E632" s="8" t="s">
        <v>10156</v>
      </c>
      <c r="F632" s="8" t="s">
        <v>11571</v>
      </c>
      <c r="G632" s="8" t="str">
        <f>HYPERLINK("https://seichotoushi-hojo.jp/assets/pdf/koufu_3_4ji/outline_80.pdf","PDFを開く")</f>
        <v>PDFを開く</v>
      </c>
    </row>
    <row r="633" spans="1:7" ht="87.95" customHeight="1">
      <c r="A633" s="5" t="s">
        <v>2266</v>
      </c>
      <c r="B633" s="5" t="s">
        <v>1595</v>
      </c>
      <c r="C633" s="9" t="s">
        <v>2267</v>
      </c>
      <c r="D633" s="5">
        <v>2</v>
      </c>
      <c r="E633" s="9" t="s">
        <v>10165</v>
      </c>
      <c r="F633" s="9" t="s">
        <v>11572</v>
      </c>
      <c r="G633" s="9" t="str">
        <f>HYPERLINK("https://seichotoushi-hojo.jp/assets/pdf/koufu_3_4ji/outline_80.pdf","PDFを開く")</f>
        <v>PDFを開く</v>
      </c>
    </row>
    <row r="634" spans="1:7" ht="87.95" customHeight="1">
      <c r="A634" s="2" t="s">
        <v>2274</v>
      </c>
      <c r="B634" s="2" t="s">
        <v>1595</v>
      </c>
      <c r="C634" s="8" t="s">
        <v>2275</v>
      </c>
      <c r="D634" s="2">
        <v>1</v>
      </c>
      <c r="E634" s="8" t="s">
        <v>10156</v>
      </c>
      <c r="F634" s="8" t="s">
        <v>11573</v>
      </c>
      <c r="G634" s="8" t="str">
        <f>HYPERLINK("https://seichotoushi-hojo.jp/assets/pdf/koufu_3_4ji/outline_81.pdf","PDFを開く")</f>
        <v>PDFを開く</v>
      </c>
    </row>
    <row r="635" spans="1:7" ht="87.95" customHeight="1">
      <c r="A635" s="5" t="s">
        <v>2274</v>
      </c>
      <c r="B635" s="5" t="s">
        <v>1595</v>
      </c>
      <c r="C635" s="9" t="s">
        <v>2275</v>
      </c>
      <c r="D635" s="5">
        <v>2</v>
      </c>
      <c r="E635" s="9" t="s">
        <v>10165</v>
      </c>
      <c r="F635" s="9" t="s">
        <v>11574</v>
      </c>
      <c r="G635" s="9" t="str">
        <f>HYPERLINK("https://seichotoushi-hojo.jp/assets/pdf/koufu_3_4ji/outline_81.pdf","PDFを開く")</f>
        <v>PDFを開く</v>
      </c>
    </row>
    <row r="636" spans="1:7" ht="87.95" customHeight="1">
      <c r="A636" s="2" t="s">
        <v>2283</v>
      </c>
      <c r="B636" s="2" t="s">
        <v>1595</v>
      </c>
      <c r="C636" s="8" t="s">
        <v>2284</v>
      </c>
      <c r="D636" s="2">
        <v>1</v>
      </c>
      <c r="E636" s="8" t="s">
        <v>10156</v>
      </c>
      <c r="F636" s="8" t="s">
        <v>11575</v>
      </c>
      <c r="G636" s="8" t="str">
        <f>HYPERLINK("https://seichotoushi-hojo.jp/assets/pdf/koufu_3_4ji/outline_82.pdf","PDFを開く")</f>
        <v>PDFを開く</v>
      </c>
    </row>
    <row r="637" spans="1:7" ht="87.95" customHeight="1">
      <c r="A637" s="5" t="s">
        <v>2283</v>
      </c>
      <c r="B637" s="5" t="s">
        <v>1595</v>
      </c>
      <c r="C637" s="9" t="s">
        <v>2284</v>
      </c>
      <c r="D637" s="5">
        <v>2</v>
      </c>
      <c r="E637" s="9" t="s">
        <v>10165</v>
      </c>
      <c r="F637" s="9" t="s">
        <v>11576</v>
      </c>
      <c r="G637" s="9" t="str">
        <f>HYPERLINK("https://seichotoushi-hojo.jp/assets/pdf/koufu_3_4ji/outline_82.pdf","PDFを開く")</f>
        <v>PDFを開く</v>
      </c>
    </row>
    <row r="638" spans="1:7" ht="87.95" customHeight="1">
      <c r="A638" s="2" t="s">
        <v>2291</v>
      </c>
      <c r="B638" s="2" t="s">
        <v>1595</v>
      </c>
      <c r="C638" s="8" t="s">
        <v>2292</v>
      </c>
      <c r="D638" s="2">
        <v>1</v>
      </c>
      <c r="E638" s="8" t="s">
        <v>10156</v>
      </c>
      <c r="F638" s="8" t="s">
        <v>11577</v>
      </c>
      <c r="G638" s="8" t="str">
        <f>HYPERLINK("https://seichotoushi-hojo.jp/assets/pdf/koufu_3_4ji/outline_83.pdf","PDFを開く")</f>
        <v>PDFを開く</v>
      </c>
    </row>
    <row r="639" spans="1:7" ht="87.95" customHeight="1">
      <c r="A639" s="5" t="s">
        <v>2291</v>
      </c>
      <c r="B639" s="5" t="s">
        <v>1595</v>
      </c>
      <c r="C639" s="9" t="s">
        <v>2292</v>
      </c>
      <c r="D639" s="5">
        <v>2</v>
      </c>
      <c r="E639" s="9" t="s">
        <v>10165</v>
      </c>
      <c r="F639" s="9" t="s">
        <v>11578</v>
      </c>
      <c r="G639" s="9" t="str">
        <f>HYPERLINK("https://seichotoushi-hojo.jp/assets/pdf/koufu_3_4ji/outline_83.pdf","PDFを開く")</f>
        <v>PDFを開く</v>
      </c>
    </row>
    <row r="640" spans="1:7" ht="87.95" customHeight="1">
      <c r="A640" s="2" t="s">
        <v>2291</v>
      </c>
      <c r="B640" s="2" t="s">
        <v>1595</v>
      </c>
      <c r="C640" s="8" t="s">
        <v>2292</v>
      </c>
      <c r="D640" s="2">
        <v>3</v>
      </c>
      <c r="E640" s="8" t="s">
        <v>10165</v>
      </c>
      <c r="F640" s="8" t="s">
        <v>11579</v>
      </c>
      <c r="G640" s="8" t="str">
        <f>HYPERLINK("https://seichotoushi-hojo.jp/assets/pdf/koufu_3_4ji/outline_83.pdf","PDFを開く")</f>
        <v>PDFを開く</v>
      </c>
    </row>
    <row r="641" spans="1:7" ht="87.95" customHeight="1">
      <c r="A641" s="5" t="s">
        <v>2291</v>
      </c>
      <c r="B641" s="5" t="s">
        <v>1595</v>
      </c>
      <c r="C641" s="9" t="s">
        <v>2292</v>
      </c>
      <c r="D641" s="5">
        <v>4</v>
      </c>
      <c r="E641" s="9" t="s">
        <v>10165</v>
      </c>
      <c r="F641" s="9" t="s">
        <v>11580</v>
      </c>
      <c r="G641" s="9" t="str">
        <f>HYPERLINK("https://seichotoushi-hojo.jp/assets/pdf/koufu_3_4ji/outline_83.pdf","PDFを開く")</f>
        <v>PDFを開く</v>
      </c>
    </row>
    <row r="642" spans="1:7" ht="87.95" customHeight="1">
      <c r="A642" s="2" t="s">
        <v>2298</v>
      </c>
      <c r="B642" s="2" t="s">
        <v>1595</v>
      </c>
      <c r="C642" s="8" t="s">
        <v>2299</v>
      </c>
      <c r="D642" s="2">
        <v>1</v>
      </c>
      <c r="E642" s="8" t="s">
        <v>10156</v>
      </c>
      <c r="F642" s="8" t="s">
        <v>11581</v>
      </c>
      <c r="G642" s="8" t="str">
        <f>HYPERLINK("https://seichotoushi-hojo.jp/assets/pdf/koufu_3_4ji/outline_84.pdf","PDFを開く")</f>
        <v>PDFを開く</v>
      </c>
    </row>
    <row r="643" spans="1:7" ht="87.95" customHeight="1">
      <c r="A643" s="5" t="s">
        <v>2298</v>
      </c>
      <c r="B643" s="5" t="s">
        <v>1595</v>
      </c>
      <c r="C643" s="9" t="s">
        <v>2299</v>
      </c>
      <c r="D643" s="5">
        <v>2</v>
      </c>
      <c r="E643" s="9" t="s">
        <v>10165</v>
      </c>
      <c r="F643" s="9" t="s">
        <v>11582</v>
      </c>
      <c r="G643" s="9" t="str">
        <f>HYPERLINK("https://seichotoushi-hojo.jp/assets/pdf/koufu_3_4ji/outline_84.pdf","PDFを開く")</f>
        <v>PDFを開く</v>
      </c>
    </row>
    <row r="644" spans="1:7" ht="87.95" customHeight="1">
      <c r="A644" s="2" t="s">
        <v>2298</v>
      </c>
      <c r="B644" s="2" t="s">
        <v>1595</v>
      </c>
      <c r="C644" s="8" t="s">
        <v>2299</v>
      </c>
      <c r="D644" s="2">
        <v>3</v>
      </c>
      <c r="E644" s="8" t="s">
        <v>10165</v>
      </c>
      <c r="F644" s="8" t="s">
        <v>11583</v>
      </c>
      <c r="G644" s="8" t="str">
        <f>HYPERLINK("https://seichotoushi-hojo.jp/assets/pdf/koufu_3_4ji/outline_84.pdf","PDFを開く")</f>
        <v>PDFを開く</v>
      </c>
    </row>
    <row r="645" spans="1:7" ht="87.95" customHeight="1">
      <c r="A645" s="5" t="s">
        <v>2305</v>
      </c>
      <c r="B645" s="5" t="s">
        <v>1595</v>
      </c>
      <c r="C645" s="9" t="s">
        <v>2306</v>
      </c>
      <c r="D645" s="5">
        <v>1</v>
      </c>
      <c r="E645" s="9" t="s">
        <v>10156</v>
      </c>
      <c r="F645" s="9" t="s">
        <v>11584</v>
      </c>
      <c r="G645" s="9" t="str">
        <f>HYPERLINK("https://seichotoushi-hojo.jp/assets/pdf/koufu_3_4ji/outline_85.pdf","PDFを開く")</f>
        <v>PDFを開く</v>
      </c>
    </row>
    <row r="646" spans="1:7" ht="87.95" customHeight="1">
      <c r="A646" s="2" t="s">
        <v>2305</v>
      </c>
      <c r="B646" s="2" t="s">
        <v>1595</v>
      </c>
      <c r="C646" s="8" t="s">
        <v>2306</v>
      </c>
      <c r="D646" s="2">
        <v>2</v>
      </c>
      <c r="E646" s="8" t="s">
        <v>10165</v>
      </c>
      <c r="F646" s="8" t="s">
        <v>11585</v>
      </c>
      <c r="G646" s="8" t="str">
        <f>HYPERLINK("https://seichotoushi-hojo.jp/assets/pdf/koufu_3_4ji/outline_85.pdf","PDFを開く")</f>
        <v>PDFを開く</v>
      </c>
    </row>
    <row r="647" spans="1:7" ht="87.95" customHeight="1">
      <c r="A647" s="5" t="s">
        <v>2313</v>
      </c>
      <c r="B647" s="5" t="s">
        <v>1595</v>
      </c>
      <c r="C647" s="9" t="s">
        <v>2314</v>
      </c>
      <c r="D647" s="5">
        <v>1</v>
      </c>
      <c r="E647" s="9" t="s">
        <v>10156</v>
      </c>
      <c r="F647" s="9" t="s">
        <v>11586</v>
      </c>
      <c r="G647" s="9" t="str">
        <f>HYPERLINK("https://seichotoushi-hojo.jp/assets/pdf/koufu_3_4ji/outline_86.pdf","PDFを開く")</f>
        <v>PDFを開く</v>
      </c>
    </row>
    <row r="648" spans="1:7" ht="87.95" customHeight="1">
      <c r="A648" s="2" t="s">
        <v>2313</v>
      </c>
      <c r="B648" s="2" t="s">
        <v>1595</v>
      </c>
      <c r="C648" s="8" t="s">
        <v>2314</v>
      </c>
      <c r="D648" s="2">
        <v>2</v>
      </c>
      <c r="E648" s="8" t="s">
        <v>10165</v>
      </c>
      <c r="F648" s="8" t="s">
        <v>11587</v>
      </c>
      <c r="G648" s="8" t="str">
        <f>HYPERLINK("https://seichotoushi-hojo.jp/assets/pdf/koufu_3_4ji/outline_86.pdf","PDFを開く")</f>
        <v>PDFを開く</v>
      </c>
    </row>
    <row r="649" spans="1:7" ht="87.95" customHeight="1">
      <c r="A649" s="5" t="s">
        <v>2320</v>
      </c>
      <c r="B649" s="5" t="s">
        <v>1595</v>
      </c>
      <c r="C649" s="9" t="s">
        <v>2321</v>
      </c>
      <c r="D649" s="5">
        <v>1</v>
      </c>
      <c r="E649" s="9" t="s">
        <v>10156</v>
      </c>
      <c r="F649" s="9" t="s">
        <v>11588</v>
      </c>
      <c r="G649" s="9" t="str">
        <f>HYPERLINK("https://seichotoushi-hojo.jp/assets/pdf/koufu_3_4ji/outline_87.pdf","PDFを開く")</f>
        <v>PDFを開く</v>
      </c>
    </row>
    <row r="650" spans="1:7" ht="87.95" customHeight="1">
      <c r="A650" s="2" t="s">
        <v>2320</v>
      </c>
      <c r="B650" s="2" t="s">
        <v>1595</v>
      </c>
      <c r="C650" s="8" t="s">
        <v>2321</v>
      </c>
      <c r="D650" s="2">
        <v>2</v>
      </c>
      <c r="E650" s="8" t="s">
        <v>10165</v>
      </c>
      <c r="F650" s="8" t="s">
        <v>11589</v>
      </c>
      <c r="G650" s="8" t="str">
        <f>HYPERLINK("https://seichotoushi-hojo.jp/assets/pdf/koufu_3_4ji/outline_87.pdf","PDFを開く")</f>
        <v>PDFを開く</v>
      </c>
    </row>
    <row r="651" spans="1:7" ht="87.95" customHeight="1">
      <c r="A651" s="5" t="s">
        <v>2320</v>
      </c>
      <c r="B651" s="5" t="s">
        <v>1595</v>
      </c>
      <c r="C651" s="9" t="s">
        <v>2321</v>
      </c>
      <c r="D651" s="5">
        <v>3</v>
      </c>
      <c r="E651" s="9" t="s">
        <v>10165</v>
      </c>
      <c r="F651" s="9" t="s">
        <v>11590</v>
      </c>
      <c r="G651" s="9" t="str">
        <f>HYPERLINK("https://seichotoushi-hojo.jp/assets/pdf/koufu_3_4ji/outline_87.pdf","PDFを開く")</f>
        <v>PDFを開く</v>
      </c>
    </row>
    <row r="652" spans="1:7" ht="87.95" customHeight="1">
      <c r="A652" s="2" t="s">
        <v>2328</v>
      </c>
      <c r="B652" s="2" t="s">
        <v>1595</v>
      </c>
      <c r="C652" s="8" t="s">
        <v>2329</v>
      </c>
      <c r="D652" s="2">
        <v>1</v>
      </c>
      <c r="E652" s="8" t="s">
        <v>10156</v>
      </c>
      <c r="F652" s="8" t="s">
        <v>11591</v>
      </c>
      <c r="G652" s="8" t="str">
        <f>HYPERLINK("https://seichotoushi-hojo.jp/assets/pdf/koufu_3_4ji/outline_88.pdf","PDFを開く")</f>
        <v>PDFを開く</v>
      </c>
    </row>
    <row r="653" spans="1:7" ht="87.95" customHeight="1">
      <c r="A653" s="5" t="s">
        <v>2328</v>
      </c>
      <c r="B653" s="5" t="s">
        <v>1595</v>
      </c>
      <c r="C653" s="9" t="s">
        <v>2329</v>
      </c>
      <c r="D653" s="5">
        <v>2</v>
      </c>
      <c r="E653" s="9" t="s">
        <v>10165</v>
      </c>
      <c r="F653" s="9" t="s">
        <v>11592</v>
      </c>
      <c r="G653" s="9" t="str">
        <f>HYPERLINK("https://seichotoushi-hojo.jp/assets/pdf/koufu_3_4ji/outline_88.pdf","PDFを開く")</f>
        <v>PDFを開く</v>
      </c>
    </row>
    <row r="654" spans="1:7" ht="87.95" customHeight="1">
      <c r="A654" s="2" t="s">
        <v>2336</v>
      </c>
      <c r="B654" s="2" t="s">
        <v>1595</v>
      </c>
      <c r="C654" s="8" t="s">
        <v>2337</v>
      </c>
      <c r="D654" s="2">
        <v>1</v>
      </c>
      <c r="E654" s="8" t="s">
        <v>10156</v>
      </c>
      <c r="F654" s="8" t="s">
        <v>11593</v>
      </c>
      <c r="G654" s="8" t="str">
        <f>HYPERLINK("https://seichotoushi-hojo.jp/assets/pdf/koufu_3_4ji/outline_89.pdf","PDFを開く")</f>
        <v>PDFを開く</v>
      </c>
    </row>
    <row r="655" spans="1:7" ht="87.95" customHeight="1">
      <c r="A655" s="5" t="s">
        <v>2336</v>
      </c>
      <c r="B655" s="5" t="s">
        <v>1595</v>
      </c>
      <c r="C655" s="9" t="s">
        <v>2337</v>
      </c>
      <c r="D655" s="5">
        <v>2</v>
      </c>
      <c r="E655" s="9" t="s">
        <v>10165</v>
      </c>
      <c r="F655" s="9" t="s">
        <v>11594</v>
      </c>
      <c r="G655" s="9" t="str">
        <f>HYPERLINK("https://seichotoushi-hojo.jp/assets/pdf/koufu_3_4ji/outline_89.pdf","PDFを開く")</f>
        <v>PDFを開く</v>
      </c>
    </row>
    <row r="656" spans="1:7" ht="87.95" customHeight="1">
      <c r="A656" s="2" t="s">
        <v>2345</v>
      </c>
      <c r="B656" s="2" t="s">
        <v>1595</v>
      </c>
      <c r="C656" s="8" t="s">
        <v>2346</v>
      </c>
      <c r="D656" s="2">
        <v>1</v>
      </c>
      <c r="E656" s="8" t="s">
        <v>10156</v>
      </c>
      <c r="F656" s="8" t="s">
        <v>11595</v>
      </c>
      <c r="G656" s="8" t="str">
        <f>HYPERLINK("https://seichotoushi-hojo.jp/assets/pdf/koufu_3_4ji/outline_9.pdf","PDFを開く")</f>
        <v>PDFを開く</v>
      </c>
    </row>
    <row r="657" spans="1:7" ht="87.95" customHeight="1">
      <c r="A657" s="5" t="s">
        <v>2345</v>
      </c>
      <c r="B657" s="5" t="s">
        <v>1595</v>
      </c>
      <c r="C657" s="9" t="s">
        <v>2346</v>
      </c>
      <c r="D657" s="5">
        <v>2</v>
      </c>
      <c r="E657" s="9" t="s">
        <v>10165</v>
      </c>
      <c r="F657" s="9" t="s">
        <v>11596</v>
      </c>
      <c r="G657" s="9" t="str">
        <f>HYPERLINK("https://seichotoushi-hojo.jp/assets/pdf/koufu_3_4ji/outline_9.pdf","PDFを開く")</f>
        <v>PDFを開く</v>
      </c>
    </row>
    <row r="658" spans="1:7" ht="87.95" customHeight="1">
      <c r="A658" s="2" t="s">
        <v>2345</v>
      </c>
      <c r="B658" s="2" t="s">
        <v>1595</v>
      </c>
      <c r="C658" s="8" t="s">
        <v>2346</v>
      </c>
      <c r="D658" s="2">
        <v>3</v>
      </c>
      <c r="E658" s="8" t="s">
        <v>10165</v>
      </c>
      <c r="F658" s="8" t="s">
        <v>11597</v>
      </c>
      <c r="G658" s="8" t="str">
        <f>HYPERLINK("https://seichotoushi-hojo.jp/assets/pdf/koufu_3_4ji/outline_9.pdf","PDFを開く")</f>
        <v>PDFを開く</v>
      </c>
    </row>
    <row r="659" spans="1:7" ht="87.95" customHeight="1">
      <c r="A659" s="5" t="s">
        <v>2353</v>
      </c>
      <c r="B659" s="5" t="s">
        <v>1595</v>
      </c>
      <c r="C659" s="9" t="s">
        <v>2354</v>
      </c>
      <c r="D659" s="5">
        <v>1</v>
      </c>
      <c r="E659" s="9" t="s">
        <v>10156</v>
      </c>
      <c r="F659" s="9" t="s">
        <v>11598</v>
      </c>
      <c r="G659" s="9" t="str">
        <f>HYPERLINK("https://seichotoushi-hojo.jp/assets/pdf/koufu_3_4ji/outline_90.pdf","PDFを開く")</f>
        <v>PDFを開く</v>
      </c>
    </row>
    <row r="660" spans="1:7" ht="87.95" customHeight="1">
      <c r="A660" s="2" t="s">
        <v>2353</v>
      </c>
      <c r="B660" s="2" t="s">
        <v>1595</v>
      </c>
      <c r="C660" s="8" t="s">
        <v>2354</v>
      </c>
      <c r="D660" s="2">
        <v>2</v>
      </c>
      <c r="E660" s="8" t="s">
        <v>10165</v>
      </c>
      <c r="F660" s="8" t="s">
        <v>11599</v>
      </c>
      <c r="G660" s="8" t="str">
        <f>HYPERLINK("https://seichotoushi-hojo.jp/assets/pdf/koufu_3_4ji/outline_90.pdf","PDFを開く")</f>
        <v>PDFを開く</v>
      </c>
    </row>
    <row r="661" spans="1:7" ht="87.95" customHeight="1">
      <c r="A661" s="5" t="s">
        <v>2362</v>
      </c>
      <c r="B661" s="5" t="s">
        <v>1595</v>
      </c>
      <c r="C661" s="9" t="s">
        <v>2363</v>
      </c>
      <c r="D661" s="5">
        <v>1</v>
      </c>
      <c r="E661" s="9" t="s">
        <v>10156</v>
      </c>
      <c r="F661" s="9" t="s">
        <v>11600</v>
      </c>
      <c r="G661" s="9" t="str">
        <f>HYPERLINK("https://seichotoushi-hojo.jp/assets/pdf/koufu_3_4ji/outline_91.pdf","PDFを開く")</f>
        <v>PDFを開く</v>
      </c>
    </row>
    <row r="662" spans="1:7" ht="87.95" customHeight="1">
      <c r="A662" s="2" t="s">
        <v>2362</v>
      </c>
      <c r="B662" s="2" t="s">
        <v>1595</v>
      </c>
      <c r="C662" s="8" t="s">
        <v>2363</v>
      </c>
      <c r="D662" s="2">
        <v>2</v>
      </c>
      <c r="E662" s="8" t="s">
        <v>10165</v>
      </c>
      <c r="F662" s="8" t="s">
        <v>11601</v>
      </c>
      <c r="G662" s="8" t="str">
        <f>HYPERLINK("https://seichotoushi-hojo.jp/assets/pdf/koufu_3_4ji/outline_91.pdf","PDFを開く")</f>
        <v>PDFを開く</v>
      </c>
    </row>
    <row r="663" spans="1:7" ht="87.95" customHeight="1">
      <c r="A663" s="5" t="s">
        <v>2372</v>
      </c>
      <c r="B663" s="5" t="s">
        <v>1595</v>
      </c>
      <c r="C663" s="9" t="s">
        <v>2373</v>
      </c>
      <c r="D663" s="5">
        <v>1</v>
      </c>
      <c r="E663" s="9" t="s">
        <v>10156</v>
      </c>
      <c r="F663" s="9" t="s">
        <v>11602</v>
      </c>
      <c r="G663" s="9" t="str">
        <f>HYPERLINK("https://seichotoushi-hojo.jp/assets/pdf/koufu_3_4ji/outline_93.pdf","PDFを開く")</f>
        <v>PDFを開く</v>
      </c>
    </row>
    <row r="664" spans="1:7" ht="87.95" customHeight="1">
      <c r="A664" s="2" t="s">
        <v>2372</v>
      </c>
      <c r="B664" s="2" t="s">
        <v>1595</v>
      </c>
      <c r="C664" s="8" t="s">
        <v>2373</v>
      </c>
      <c r="D664" s="2">
        <v>2</v>
      </c>
      <c r="E664" s="8" t="s">
        <v>10165</v>
      </c>
      <c r="F664" s="8" t="s">
        <v>11603</v>
      </c>
      <c r="G664" s="8" t="str">
        <f>HYPERLINK("https://seichotoushi-hojo.jp/assets/pdf/koufu_3_4ji/outline_93.pdf","PDFを開く")</f>
        <v>PDFを開く</v>
      </c>
    </row>
    <row r="665" spans="1:7" ht="87.95" customHeight="1">
      <c r="A665" s="5" t="s">
        <v>2380</v>
      </c>
      <c r="B665" s="5" t="s">
        <v>1595</v>
      </c>
      <c r="C665" s="9" t="s">
        <v>2381</v>
      </c>
      <c r="D665" s="5">
        <v>1</v>
      </c>
      <c r="E665" s="9" t="s">
        <v>10156</v>
      </c>
      <c r="F665" s="9" t="s">
        <v>11604</v>
      </c>
      <c r="G665" s="9" t="str">
        <f>HYPERLINK("https://seichotoushi-hojo.jp/assets/pdf/koufu_3_4ji/outline_94.pdf","PDFを開く")</f>
        <v>PDFを開く</v>
      </c>
    </row>
    <row r="666" spans="1:7" ht="87.95" customHeight="1">
      <c r="A666" s="2" t="s">
        <v>2380</v>
      </c>
      <c r="B666" s="2" t="s">
        <v>1595</v>
      </c>
      <c r="C666" s="8" t="s">
        <v>2381</v>
      </c>
      <c r="D666" s="2">
        <v>2</v>
      </c>
      <c r="E666" s="8" t="s">
        <v>10165</v>
      </c>
      <c r="F666" s="8" t="s">
        <v>11605</v>
      </c>
      <c r="G666" s="8" t="str">
        <f>HYPERLINK("https://seichotoushi-hojo.jp/assets/pdf/koufu_3_4ji/outline_94.pdf","PDFを開く")</f>
        <v>PDFを開く</v>
      </c>
    </row>
    <row r="667" spans="1:7" ht="87.95" customHeight="1">
      <c r="A667" s="5" t="s">
        <v>2389</v>
      </c>
      <c r="B667" s="5" t="s">
        <v>1595</v>
      </c>
      <c r="C667" s="9" t="s">
        <v>2390</v>
      </c>
      <c r="D667" s="5">
        <v>1</v>
      </c>
      <c r="E667" s="9" t="s">
        <v>10156</v>
      </c>
      <c r="F667" s="9" t="s">
        <v>11606</v>
      </c>
      <c r="G667" s="9" t="str">
        <f>HYPERLINK("https://seichotoushi-hojo.jp/assets/pdf/koufu_3_4ji/outline_95.pdf","PDFを開く")</f>
        <v>PDFを開く</v>
      </c>
    </row>
    <row r="668" spans="1:7" ht="87.95" customHeight="1">
      <c r="A668" s="2" t="s">
        <v>2389</v>
      </c>
      <c r="B668" s="2" t="s">
        <v>1595</v>
      </c>
      <c r="C668" s="8" t="s">
        <v>2390</v>
      </c>
      <c r="D668" s="2">
        <v>2</v>
      </c>
      <c r="E668" s="8" t="s">
        <v>10165</v>
      </c>
      <c r="F668" s="8" t="s">
        <v>11607</v>
      </c>
      <c r="G668" s="8" t="str">
        <f>HYPERLINK("https://seichotoushi-hojo.jp/assets/pdf/koufu_3_4ji/outline_95.pdf","PDFを開く")</f>
        <v>PDFを開く</v>
      </c>
    </row>
    <row r="669" spans="1:7" ht="87.95" customHeight="1">
      <c r="A669" s="5" t="s">
        <v>2396</v>
      </c>
      <c r="B669" s="5" t="s">
        <v>1595</v>
      </c>
      <c r="C669" s="9" t="s">
        <v>2397</v>
      </c>
      <c r="D669" s="5">
        <v>1</v>
      </c>
      <c r="E669" s="9" t="s">
        <v>10156</v>
      </c>
      <c r="F669" s="9" t="s">
        <v>11608</v>
      </c>
      <c r="G669" s="9" t="str">
        <f>HYPERLINK("https://seichotoushi-hojo.jp/assets/pdf/koufu_3_4ji/outline_96.pdf","PDFを開く")</f>
        <v>PDFを開く</v>
      </c>
    </row>
    <row r="670" spans="1:7" ht="87.95" customHeight="1">
      <c r="A670" s="2" t="s">
        <v>2396</v>
      </c>
      <c r="B670" s="2" t="s">
        <v>1595</v>
      </c>
      <c r="C670" s="8" t="s">
        <v>2397</v>
      </c>
      <c r="D670" s="2">
        <v>2</v>
      </c>
      <c r="E670" s="8" t="s">
        <v>10165</v>
      </c>
      <c r="F670" s="8" t="s">
        <v>11609</v>
      </c>
      <c r="G670" s="8" t="str">
        <f>HYPERLINK("https://seichotoushi-hojo.jp/assets/pdf/koufu_3_4ji/outline_96.pdf","PDFを開く")</f>
        <v>PDFを開く</v>
      </c>
    </row>
    <row r="671" spans="1:7" ht="87.95" customHeight="1">
      <c r="A671" s="5" t="s">
        <v>2396</v>
      </c>
      <c r="B671" s="5" t="s">
        <v>1595</v>
      </c>
      <c r="C671" s="9" t="s">
        <v>2397</v>
      </c>
      <c r="D671" s="5">
        <v>3</v>
      </c>
      <c r="E671" s="9" t="s">
        <v>10165</v>
      </c>
      <c r="F671" s="9" t="s">
        <v>11610</v>
      </c>
      <c r="G671" s="9" t="str">
        <f>HYPERLINK("https://seichotoushi-hojo.jp/assets/pdf/koufu_3_4ji/outline_96.pdf","PDFを開く")</f>
        <v>PDFを開く</v>
      </c>
    </row>
    <row r="672" spans="1:7" ht="87.95" customHeight="1">
      <c r="A672" s="2" t="s">
        <v>2404</v>
      </c>
      <c r="B672" s="2" t="s">
        <v>1595</v>
      </c>
      <c r="C672" s="8" t="s">
        <v>2405</v>
      </c>
      <c r="D672" s="2">
        <v>1</v>
      </c>
      <c r="E672" s="8" t="s">
        <v>10156</v>
      </c>
      <c r="F672" s="8" t="s">
        <v>11611</v>
      </c>
      <c r="G672" s="8" t="str">
        <f>HYPERLINK("https://seichotoushi-hojo.jp/assets/pdf/koufu_3_4ji/outline_97.pdf","PDFを開く")</f>
        <v>PDFを開く</v>
      </c>
    </row>
    <row r="673" spans="1:7" ht="87.95" customHeight="1">
      <c r="A673" s="5" t="s">
        <v>2404</v>
      </c>
      <c r="B673" s="5" t="s">
        <v>1595</v>
      </c>
      <c r="C673" s="9" t="s">
        <v>2405</v>
      </c>
      <c r="D673" s="5">
        <v>2</v>
      </c>
      <c r="E673" s="9" t="s">
        <v>10165</v>
      </c>
      <c r="F673" s="9" t="s">
        <v>11612</v>
      </c>
      <c r="G673" s="9" t="str">
        <f>HYPERLINK("https://seichotoushi-hojo.jp/assets/pdf/koufu_3_4ji/outline_97.pdf","PDFを開く")</f>
        <v>PDFを開く</v>
      </c>
    </row>
    <row r="674" spans="1:7" ht="87.95" customHeight="1">
      <c r="A674" s="2" t="s">
        <v>2412</v>
      </c>
      <c r="B674" s="2" t="s">
        <v>1595</v>
      </c>
      <c r="C674" s="8" t="s">
        <v>2413</v>
      </c>
      <c r="D674" s="2">
        <v>1</v>
      </c>
      <c r="E674" s="8" t="s">
        <v>10156</v>
      </c>
      <c r="F674" s="8" t="s">
        <v>11613</v>
      </c>
      <c r="G674" s="8" t="str">
        <f>HYPERLINK("https://seichotoushi-hojo.jp/assets/pdf/koufu_3_4ji/outline_98.pdf","PDFを開く")</f>
        <v>PDFを開く</v>
      </c>
    </row>
    <row r="675" spans="1:7" ht="87.95" customHeight="1">
      <c r="A675" s="5" t="s">
        <v>2412</v>
      </c>
      <c r="B675" s="5" t="s">
        <v>1595</v>
      </c>
      <c r="C675" s="9" t="s">
        <v>2413</v>
      </c>
      <c r="D675" s="5">
        <v>2</v>
      </c>
      <c r="E675" s="9" t="s">
        <v>10165</v>
      </c>
      <c r="F675" s="9" t="s">
        <v>11614</v>
      </c>
      <c r="G675" s="9" t="str">
        <f>HYPERLINK("https://seichotoushi-hojo.jp/assets/pdf/koufu_3_4ji/outline_98.pdf","PDFを開く")</f>
        <v>PDFを開く</v>
      </c>
    </row>
    <row r="676" spans="1:7" ht="87.95" customHeight="1">
      <c r="A676" s="2" t="s">
        <v>2420</v>
      </c>
      <c r="B676" s="2" t="s">
        <v>1595</v>
      </c>
      <c r="C676" s="8" t="s">
        <v>2421</v>
      </c>
      <c r="D676" s="2">
        <v>1</v>
      </c>
      <c r="E676" s="8" t="s">
        <v>10156</v>
      </c>
      <c r="F676" s="8" t="s">
        <v>11615</v>
      </c>
      <c r="G676" s="8" t="str">
        <f>HYPERLINK("https://seichotoushi-hojo.jp/assets/pdf/koufu_3_4ji/outline_99.pdf","PDFを開く")</f>
        <v>PDFを開く</v>
      </c>
    </row>
    <row r="677" spans="1:7" ht="87.95" customHeight="1">
      <c r="A677" s="5" t="s">
        <v>2420</v>
      </c>
      <c r="B677" s="5" t="s">
        <v>1595</v>
      </c>
      <c r="C677" s="9" t="s">
        <v>2421</v>
      </c>
      <c r="D677" s="5">
        <v>2</v>
      </c>
      <c r="E677" s="9" t="s">
        <v>10156</v>
      </c>
      <c r="F677" s="9" t="s">
        <v>11616</v>
      </c>
      <c r="G677" s="9" t="str">
        <f>HYPERLINK("https://seichotoushi-hojo.jp/assets/pdf/koufu_3_4ji/outline_99.pdf","PDFを開く")</f>
        <v>PDFを開く</v>
      </c>
    </row>
    <row r="678" spans="1:7" ht="87.95" customHeight="1">
      <c r="A678" s="2" t="s">
        <v>2420</v>
      </c>
      <c r="B678" s="2" t="s">
        <v>1595</v>
      </c>
      <c r="C678" s="8" t="s">
        <v>2421</v>
      </c>
      <c r="D678" s="2">
        <v>3</v>
      </c>
      <c r="E678" s="8" t="s">
        <v>10156</v>
      </c>
      <c r="F678" s="8" t="s">
        <v>11617</v>
      </c>
      <c r="G678" s="8" t="str">
        <f>HYPERLINK("https://seichotoushi-hojo.jp/assets/pdf/koufu_3_4ji/outline_99.pdf","PDFを開く")</f>
        <v>PDFを開く</v>
      </c>
    </row>
    <row r="679" spans="1:7" ht="87.95" customHeight="1">
      <c r="A679" s="5" t="s">
        <v>2420</v>
      </c>
      <c r="B679" s="5" t="s">
        <v>1595</v>
      </c>
      <c r="C679" s="9" t="s">
        <v>2421</v>
      </c>
      <c r="D679" s="5">
        <v>4</v>
      </c>
      <c r="E679" s="9" t="s">
        <v>10165</v>
      </c>
      <c r="F679" s="9" t="s">
        <v>11618</v>
      </c>
      <c r="G679" s="9" t="str">
        <f>HYPERLINK("https://seichotoushi-hojo.jp/assets/pdf/koufu_3_4ji/outline_99.pdf","PDFを開く")</f>
        <v>PDFを開く</v>
      </c>
    </row>
    <row r="680" spans="1:7" ht="87.95" customHeight="1">
      <c r="A680" s="2" t="s">
        <v>2420</v>
      </c>
      <c r="B680" s="2" t="s">
        <v>1595</v>
      </c>
      <c r="C680" s="8" t="s">
        <v>2421</v>
      </c>
      <c r="D680" s="2">
        <v>5</v>
      </c>
      <c r="E680" s="8" t="s">
        <v>10165</v>
      </c>
      <c r="F680" s="8" t="s">
        <v>11619</v>
      </c>
      <c r="G680" s="8" t="str">
        <f>HYPERLINK("https://seichotoushi-hojo.jp/assets/pdf/koufu_3_4ji/outline_99.pdf","PDFを開く")</f>
        <v>PDFを開く</v>
      </c>
    </row>
    <row r="681" spans="1:7" ht="87.95" customHeight="1">
      <c r="A681" s="5" t="s">
        <v>2429</v>
      </c>
      <c r="B681" s="5" t="s">
        <v>2430</v>
      </c>
      <c r="C681" s="9" t="s">
        <v>2431</v>
      </c>
      <c r="D681" s="5">
        <v>1</v>
      </c>
      <c r="E681" s="9" t="s">
        <v>10156</v>
      </c>
      <c r="F681" s="9" t="s">
        <v>11620</v>
      </c>
      <c r="G681" s="9" t="str">
        <f>HYPERLINK("https://seichotoushi-hojo.jp/assets/pdf/koufu_3_4ji/outline_113.pdf","PDFを開く")</f>
        <v>PDFを開く</v>
      </c>
    </row>
    <row r="682" spans="1:7" ht="87.95" customHeight="1">
      <c r="A682" s="2" t="s">
        <v>2429</v>
      </c>
      <c r="B682" s="2" t="s">
        <v>2430</v>
      </c>
      <c r="C682" s="8" t="s">
        <v>2431</v>
      </c>
      <c r="D682" s="2">
        <v>2</v>
      </c>
      <c r="E682" s="8" t="s">
        <v>10165</v>
      </c>
      <c r="F682" s="8" t="s">
        <v>11621</v>
      </c>
      <c r="G682" s="8" t="str">
        <f>HYPERLINK("https://seichotoushi-hojo.jp/assets/pdf/koufu_3_4ji/outline_113.pdf","PDFを開く")</f>
        <v>PDFを開く</v>
      </c>
    </row>
    <row r="683" spans="1:7" ht="87.95" customHeight="1">
      <c r="A683" s="5" t="s">
        <v>2437</v>
      </c>
      <c r="B683" s="5" t="s">
        <v>2430</v>
      </c>
      <c r="C683" s="9" t="s">
        <v>2438</v>
      </c>
      <c r="D683" s="5">
        <v>1</v>
      </c>
      <c r="E683" s="9" t="s">
        <v>10156</v>
      </c>
      <c r="F683" s="9" t="s">
        <v>11622</v>
      </c>
      <c r="G683" s="9" t="str">
        <f>HYPERLINK("https://seichotoushi-hojo.jp/assets/pdf/koufu_3_4ji/outline_115.pdf","PDFを開く")</f>
        <v>PDFを開く</v>
      </c>
    </row>
    <row r="684" spans="1:7" ht="87.95" customHeight="1">
      <c r="A684" s="2" t="s">
        <v>2437</v>
      </c>
      <c r="B684" s="2" t="s">
        <v>2430</v>
      </c>
      <c r="C684" s="8" t="s">
        <v>2438</v>
      </c>
      <c r="D684" s="2">
        <v>2</v>
      </c>
      <c r="E684" s="8" t="s">
        <v>10165</v>
      </c>
      <c r="F684" s="8" t="s">
        <v>11623</v>
      </c>
      <c r="G684" s="8" t="str">
        <f>HYPERLINK("https://seichotoushi-hojo.jp/assets/pdf/koufu_3_4ji/outline_115.pdf","PDFを開く")</f>
        <v>PDFを開く</v>
      </c>
    </row>
    <row r="685" spans="1:7" ht="87.95" customHeight="1">
      <c r="A685" s="5" t="s">
        <v>2444</v>
      </c>
      <c r="B685" s="5" t="s">
        <v>2430</v>
      </c>
      <c r="C685" s="9" t="s">
        <v>2445</v>
      </c>
      <c r="D685" s="5">
        <v>1</v>
      </c>
      <c r="E685" s="9" t="s">
        <v>10156</v>
      </c>
      <c r="F685" s="9" t="s">
        <v>11624</v>
      </c>
      <c r="G685" s="9" t="str">
        <f>HYPERLINK("https://seichotoushi-hojo.jp/assets/pdf/koufu_3_4ji/outline_116.pdf","PDFを開く")</f>
        <v>PDFを開く</v>
      </c>
    </row>
    <row r="686" spans="1:7" ht="87.95" customHeight="1">
      <c r="A686" s="2" t="s">
        <v>2444</v>
      </c>
      <c r="B686" s="2" t="s">
        <v>2430</v>
      </c>
      <c r="C686" s="8" t="s">
        <v>2445</v>
      </c>
      <c r="D686" s="2">
        <v>2</v>
      </c>
      <c r="E686" s="8" t="s">
        <v>10165</v>
      </c>
      <c r="F686" s="8" t="s">
        <v>11625</v>
      </c>
      <c r="G686" s="8" t="str">
        <f>HYPERLINK("https://seichotoushi-hojo.jp/assets/pdf/koufu_3_4ji/outline_116.pdf","PDFを開く")</f>
        <v>PDFを開く</v>
      </c>
    </row>
    <row r="687" spans="1:7" ht="87.95" customHeight="1">
      <c r="A687" s="5" t="s">
        <v>2444</v>
      </c>
      <c r="B687" s="5" t="s">
        <v>2430</v>
      </c>
      <c r="C687" s="9" t="s">
        <v>2445</v>
      </c>
      <c r="D687" s="5">
        <v>3</v>
      </c>
      <c r="E687" s="9" t="s">
        <v>10165</v>
      </c>
      <c r="F687" s="9" t="s">
        <v>11626</v>
      </c>
      <c r="G687" s="9" t="str">
        <f>HYPERLINK("https://seichotoushi-hojo.jp/assets/pdf/koufu_3_4ji/outline_116.pdf","PDFを開く")</f>
        <v>PDFを開く</v>
      </c>
    </row>
    <row r="688" spans="1:7" ht="87.95" customHeight="1">
      <c r="A688" s="2" t="s">
        <v>2451</v>
      </c>
      <c r="B688" s="2" t="s">
        <v>2430</v>
      </c>
      <c r="C688" s="8" t="s">
        <v>2452</v>
      </c>
      <c r="D688" s="2">
        <v>1</v>
      </c>
      <c r="E688" s="8" t="s">
        <v>10156</v>
      </c>
      <c r="F688" s="8" t="s">
        <v>11627</v>
      </c>
      <c r="G688" s="8" t="str">
        <f>HYPERLINK("https://seichotoushi-hojo.jp/assets/pdf/koufu_3_4ji/outline_117.pdf","PDFを開く")</f>
        <v>PDFを開く</v>
      </c>
    </row>
    <row r="689" spans="1:7" ht="87.95" customHeight="1">
      <c r="A689" s="5" t="s">
        <v>2451</v>
      </c>
      <c r="B689" s="5" t="s">
        <v>2430</v>
      </c>
      <c r="C689" s="9" t="s">
        <v>2452</v>
      </c>
      <c r="D689" s="5">
        <v>2</v>
      </c>
      <c r="E689" s="9" t="s">
        <v>10165</v>
      </c>
      <c r="F689" s="9" t="s">
        <v>11628</v>
      </c>
      <c r="G689" s="9" t="str">
        <f>HYPERLINK("https://seichotoushi-hojo.jp/assets/pdf/koufu_3_4ji/outline_117.pdf","PDFを開く")</f>
        <v>PDFを開く</v>
      </c>
    </row>
    <row r="690" spans="1:7" ht="87.95" customHeight="1">
      <c r="A690" s="2" t="s">
        <v>2459</v>
      </c>
      <c r="B690" s="2" t="s">
        <v>2430</v>
      </c>
      <c r="C690" s="8" t="s">
        <v>2460</v>
      </c>
      <c r="D690" s="2">
        <v>1</v>
      </c>
      <c r="E690" s="8" t="s">
        <v>10156</v>
      </c>
      <c r="F690" s="8" t="s">
        <v>11629</v>
      </c>
      <c r="G690" s="8" t="str">
        <f>HYPERLINK("https://seichotoushi-hojo.jp/assets/pdf/koufu_3_4ji/outline_118.pdf","PDFを開く")</f>
        <v>PDFを開く</v>
      </c>
    </row>
    <row r="691" spans="1:7" ht="87.95" customHeight="1">
      <c r="A691" s="5" t="s">
        <v>2459</v>
      </c>
      <c r="B691" s="5" t="s">
        <v>2430</v>
      </c>
      <c r="C691" s="9" t="s">
        <v>2460</v>
      </c>
      <c r="D691" s="5">
        <v>2</v>
      </c>
      <c r="E691" s="9" t="s">
        <v>10165</v>
      </c>
      <c r="F691" s="9" t="s">
        <v>11630</v>
      </c>
      <c r="G691" s="9" t="str">
        <f>HYPERLINK("https://seichotoushi-hojo.jp/assets/pdf/koufu_3_4ji/outline_118.pdf","PDFを開く")</f>
        <v>PDFを開く</v>
      </c>
    </row>
    <row r="692" spans="1:7" ht="87.95" customHeight="1">
      <c r="A692" s="2" t="s">
        <v>2467</v>
      </c>
      <c r="B692" s="2" t="s">
        <v>2430</v>
      </c>
      <c r="C692" s="8" t="s">
        <v>2468</v>
      </c>
      <c r="D692" s="2">
        <v>1</v>
      </c>
      <c r="E692" s="8" t="s">
        <v>10156</v>
      </c>
      <c r="F692" s="8" t="s">
        <v>11631</v>
      </c>
      <c r="G692" s="8" t="str">
        <f>HYPERLINK("https://seichotoushi-hojo.jp/assets/pdf/koufu_3_4ji/outline_119.pdf","PDFを開く")</f>
        <v>PDFを開く</v>
      </c>
    </row>
    <row r="693" spans="1:7" ht="87.95" customHeight="1">
      <c r="A693" s="5" t="s">
        <v>2467</v>
      </c>
      <c r="B693" s="5" t="s">
        <v>2430</v>
      </c>
      <c r="C693" s="9" t="s">
        <v>2468</v>
      </c>
      <c r="D693" s="5">
        <v>2</v>
      </c>
      <c r="E693" s="9" t="s">
        <v>10165</v>
      </c>
      <c r="F693" s="9" t="s">
        <v>11632</v>
      </c>
      <c r="G693" s="9" t="str">
        <f>HYPERLINK("https://seichotoushi-hojo.jp/assets/pdf/koufu_3_4ji/outline_119.pdf","PDFを開く")</f>
        <v>PDFを開く</v>
      </c>
    </row>
    <row r="694" spans="1:7" ht="87.95" customHeight="1">
      <c r="A694" s="2" t="s">
        <v>2475</v>
      </c>
      <c r="B694" s="2" t="s">
        <v>2430</v>
      </c>
      <c r="C694" s="8" t="s">
        <v>2476</v>
      </c>
      <c r="D694" s="2">
        <v>1</v>
      </c>
      <c r="E694" s="8" t="s">
        <v>10156</v>
      </c>
      <c r="F694" s="8" t="s">
        <v>11633</v>
      </c>
      <c r="G694" s="8" t="str">
        <f>HYPERLINK("https://seichotoushi-hojo.jp/assets/pdf/koufu_3_4ji/outline_120.pdf","PDFを開く")</f>
        <v>PDFを開く</v>
      </c>
    </row>
    <row r="695" spans="1:7" ht="87.95" customHeight="1">
      <c r="A695" s="5" t="s">
        <v>2475</v>
      </c>
      <c r="B695" s="5" t="s">
        <v>2430</v>
      </c>
      <c r="C695" s="9" t="s">
        <v>2476</v>
      </c>
      <c r="D695" s="5">
        <v>2</v>
      </c>
      <c r="E695" s="9" t="s">
        <v>10165</v>
      </c>
      <c r="F695" s="9" t="s">
        <v>11634</v>
      </c>
      <c r="G695" s="9" t="str">
        <f>HYPERLINK("https://seichotoushi-hojo.jp/assets/pdf/koufu_3_4ji/outline_120.pdf","PDFを開く")</f>
        <v>PDFを開く</v>
      </c>
    </row>
    <row r="696" spans="1:7" ht="87.95" customHeight="1">
      <c r="A696" s="2" t="s">
        <v>2483</v>
      </c>
      <c r="B696" s="2" t="s">
        <v>2430</v>
      </c>
      <c r="C696" s="8" t="s">
        <v>2484</v>
      </c>
      <c r="D696" s="2">
        <v>1</v>
      </c>
      <c r="E696" s="8" t="s">
        <v>10156</v>
      </c>
      <c r="F696" s="8" t="s">
        <v>11635</v>
      </c>
      <c r="G696" s="8" t="str">
        <f>HYPERLINK("https://seichotoushi-hojo.jp/assets/pdf/koufu_3_4ji/outline_121.pdf","PDFを開く")</f>
        <v>PDFを開く</v>
      </c>
    </row>
    <row r="697" spans="1:7" ht="87.95" customHeight="1">
      <c r="A697" s="5" t="s">
        <v>2483</v>
      </c>
      <c r="B697" s="5" t="s">
        <v>2430</v>
      </c>
      <c r="C697" s="9" t="s">
        <v>2484</v>
      </c>
      <c r="D697" s="5">
        <v>2</v>
      </c>
      <c r="E697" s="9" t="s">
        <v>10165</v>
      </c>
      <c r="F697" s="9" t="s">
        <v>11636</v>
      </c>
      <c r="G697" s="9" t="str">
        <f>HYPERLINK("https://seichotoushi-hojo.jp/assets/pdf/koufu_3_4ji/outline_121.pdf","PDFを開く")</f>
        <v>PDFを開く</v>
      </c>
    </row>
    <row r="698" spans="1:7" ht="87.95" customHeight="1">
      <c r="A698" s="2" t="s">
        <v>2491</v>
      </c>
      <c r="B698" s="2" t="s">
        <v>2430</v>
      </c>
      <c r="C698" s="8" t="s">
        <v>2492</v>
      </c>
      <c r="D698" s="2">
        <v>1</v>
      </c>
      <c r="E698" s="8" t="s">
        <v>10156</v>
      </c>
      <c r="F698" s="8" t="s">
        <v>11637</v>
      </c>
      <c r="G698" s="8" t="str">
        <f>HYPERLINK("https://seichotoushi-hojo.jp/assets/pdf/koufu_3_4ji/outline_122.pdf","PDFを開く")</f>
        <v>PDFを開く</v>
      </c>
    </row>
    <row r="699" spans="1:7" ht="87.95" customHeight="1">
      <c r="A699" s="5" t="s">
        <v>2491</v>
      </c>
      <c r="B699" s="5" t="s">
        <v>2430</v>
      </c>
      <c r="C699" s="9" t="s">
        <v>2492</v>
      </c>
      <c r="D699" s="5">
        <v>2</v>
      </c>
      <c r="E699" s="9" t="s">
        <v>10165</v>
      </c>
      <c r="F699" s="9" t="s">
        <v>11638</v>
      </c>
      <c r="G699" s="9" t="str">
        <f>HYPERLINK("https://seichotoushi-hojo.jp/assets/pdf/koufu_3_4ji/outline_122.pdf","PDFを開く")</f>
        <v>PDFを開く</v>
      </c>
    </row>
    <row r="700" spans="1:7" ht="87.95" customHeight="1">
      <c r="A700" s="2" t="s">
        <v>2499</v>
      </c>
      <c r="B700" s="2" t="s">
        <v>2430</v>
      </c>
      <c r="C700" s="8" t="s">
        <v>2500</v>
      </c>
      <c r="D700" s="2">
        <v>1</v>
      </c>
      <c r="E700" s="8" t="s">
        <v>10156</v>
      </c>
      <c r="F700" s="8" t="s">
        <v>11639</v>
      </c>
      <c r="G700" s="8" t="str">
        <f>HYPERLINK("https://seichotoushi-hojo.jp/assets/pdf/koufu_3_4ji/outline_125.pdf","PDFを開く")</f>
        <v>PDFを開く</v>
      </c>
    </row>
    <row r="701" spans="1:7" ht="87.95" customHeight="1">
      <c r="A701" s="5" t="s">
        <v>2499</v>
      </c>
      <c r="B701" s="5" t="s">
        <v>2430</v>
      </c>
      <c r="C701" s="9" t="s">
        <v>2500</v>
      </c>
      <c r="D701" s="5">
        <v>2</v>
      </c>
      <c r="E701" s="9" t="s">
        <v>10165</v>
      </c>
      <c r="F701" s="9" t="s">
        <v>11640</v>
      </c>
      <c r="G701" s="9" t="str">
        <f>HYPERLINK("https://seichotoushi-hojo.jp/assets/pdf/koufu_3_4ji/outline_125.pdf","PDFを開く")</f>
        <v>PDFを開く</v>
      </c>
    </row>
    <row r="702" spans="1:7" ht="87.95" customHeight="1">
      <c r="A702" s="2" t="s">
        <v>2507</v>
      </c>
      <c r="B702" s="2" t="s">
        <v>2430</v>
      </c>
      <c r="C702" s="8" t="s">
        <v>2508</v>
      </c>
      <c r="D702" s="2">
        <v>1</v>
      </c>
      <c r="E702" s="8" t="s">
        <v>10156</v>
      </c>
      <c r="F702" s="8" t="s">
        <v>11641</v>
      </c>
      <c r="G702" s="8" t="str">
        <f>HYPERLINK("https://seichotoushi-hojo.jp/assets/pdf/koufu_3_4ji/outline_127.pdf","PDFを開く")</f>
        <v>PDFを開く</v>
      </c>
    </row>
    <row r="703" spans="1:7" ht="87.95" customHeight="1">
      <c r="A703" s="5" t="s">
        <v>2507</v>
      </c>
      <c r="B703" s="5" t="s">
        <v>2430</v>
      </c>
      <c r="C703" s="9" t="s">
        <v>2508</v>
      </c>
      <c r="D703" s="5">
        <v>2</v>
      </c>
      <c r="E703" s="9" t="s">
        <v>10165</v>
      </c>
      <c r="F703" s="9" t="s">
        <v>11642</v>
      </c>
      <c r="G703" s="9" t="str">
        <f>HYPERLINK("https://seichotoushi-hojo.jp/assets/pdf/koufu_3_4ji/outline_127.pdf","PDFを開く")</f>
        <v>PDFを開く</v>
      </c>
    </row>
    <row r="704" spans="1:7" ht="87.95" customHeight="1">
      <c r="A704" s="2" t="s">
        <v>2516</v>
      </c>
      <c r="B704" s="2" t="s">
        <v>2430</v>
      </c>
      <c r="C704" s="8" t="s">
        <v>2517</v>
      </c>
      <c r="D704" s="2">
        <v>1</v>
      </c>
      <c r="E704" s="8" t="s">
        <v>10156</v>
      </c>
      <c r="F704" s="8" t="s">
        <v>11643</v>
      </c>
      <c r="G704" s="8" t="str">
        <f>HYPERLINK("https://seichotoushi-hojo.jp/assets/pdf/koufu_3_4ji/outline_130.pdf","PDFを開く")</f>
        <v>PDFを開く</v>
      </c>
    </row>
    <row r="705" spans="1:7" ht="87.95" customHeight="1">
      <c r="A705" s="5" t="s">
        <v>2516</v>
      </c>
      <c r="B705" s="5" t="s">
        <v>2430</v>
      </c>
      <c r="C705" s="9" t="s">
        <v>2517</v>
      </c>
      <c r="D705" s="5">
        <v>2</v>
      </c>
      <c r="E705" s="9" t="s">
        <v>10165</v>
      </c>
      <c r="F705" s="9" t="s">
        <v>11644</v>
      </c>
      <c r="G705" s="9" t="str">
        <f>HYPERLINK("https://seichotoushi-hojo.jp/assets/pdf/koufu_3_4ji/outline_130.pdf","PDFを開く")</f>
        <v>PDFを開く</v>
      </c>
    </row>
    <row r="706" spans="1:7" ht="87.95" customHeight="1">
      <c r="A706" s="2" t="s">
        <v>2524</v>
      </c>
      <c r="B706" s="2" t="s">
        <v>2430</v>
      </c>
      <c r="C706" s="8" t="s">
        <v>2525</v>
      </c>
      <c r="D706" s="2">
        <v>1</v>
      </c>
      <c r="E706" s="8" t="s">
        <v>10156</v>
      </c>
      <c r="F706" s="8" t="s">
        <v>11645</v>
      </c>
      <c r="G706" s="8" t="str">
        <f>HYPERLINK("https://seichotoushi-hojo.jp/assets/pdf/koufu_3_4ji/outline_131.pdf","PDFを開く")</f>
        <v>PDFを開く</v>
      </c>
    </row>
    <row r="707" spans="1:7" ht="87.95" customHeight="1">
      <c r="A707" s="5" t="s">
        <v>2524</v>
      </c>
      <c r="B707" s="5" t="s">
        <v>2430</v>
      </c>
      <c r="C707" s="9" t="s">
        <v>2525</v>
      </c>
      <c r="D707" s="5">
        <v>2</v>
      </c>
      <c r="E707" s="9" t="s">
        <v>10165</v>
      </c>
      <c r="F707" s="9" t="s">
        <v>11646</v>
      </c>
      <c r="G707" s="9" t="str">
        <f>HYPERLINK("https://seichotoushi-hojo.jp/assets/pdf/koufu_3_4ji/outline_131.pdf","PDFを開く")</f>
        <v>PDFを開く</v>
      </c>
    </row>
    <row r="708" spans="1:7" ht="87.95" customHeight="1">
      <c r="A708" s="2" t="s">
        <v>2531</v>
      </c>
      <c r="B708" s="2" t="s">
        <v>2430</v>
      </c>
      <c r="C708" s="8" t="s">
        <v>2532</v>
      </c>
      <c r="D708" s="2">
        <v>1</v>
      </c>
      <c r="E708" s="8" t="s">
        <v>10156</v>
      </c>
      <c r="F708" s="8" t="s">
        <v>11647</v>
      </c>
      <c r="G708" s="8" t="str">
        <f>HYPERLINK("https://seichotoushi-hojo.jp/assets/pdf/koufu_3_4ji/outline_132.pdf","PDFを開く")</f>
        <v>PDFを開く</v>
      </c>
    </row>
    <row r="709" spans="1:7" ht="87.95" customHeight="1">
      <c r="A709" s="5" t="s">
        <v>2531</v>
      </c>
      <c r="B709" s="5" t="s">
        <v>2430</v>
      </c>
      <c r="C709" s="9" t="s">
        <v>2532</v>
      </c>
      <c r="D709" s="5">
        <v>2</v>
      </c>
      <c r="E709" s="9" t="s">
        <v>10165</v>
      </c>
      <c r="F709" s="9" t="s">
        <v>11648</v>
      </c>
      <c r="G709" s="9" t="str">
        <f>HYPERLINK("https://seichotoushi-hojo.jp/assets/pdf/koufu_3_4ji/outline_132.pdf","PDFを開く")</f>
        <v>PDFを開く</v>
      </c>
    </row>
    <row r="710" spans="1:7" ht="87.95" customHeight="1">
      <c r="A710" s="2" t="s">
        <v>2539</v>
      </c>
      <c r="B710" s="2" t="s">
        <v>2430</v>
      </c>
      <c r="C710" s="8" t="s">
        <v>2540</v>
      </c>
      <c r="D710" s="2">
        <v>1</v>
      </c>
      <c r="E710" s="8" t="s">
        <v>10156</v>
      </c>
      <c r="F710" s="8" t="s">
        <v>9577</v>
      </c>
      <c r="G710" s="8" t="str">
        <f>HYPERLINK("https://seichotoushi-hojo.jp/assets/pdf/koufu_3_4ji/outline_133.pdf","PDFを開く")</f>
        <v>PDFを開く</v>
      </c>
    </row>
    <row r="711" spans="1:7" ht="87.95" customHeight="1">
      <c r="A711" s="5" t="s">
        <v>2539</v>
      </c>
      <c r="B711" s="5" t="s">
        <v>2430</v>
      </c>
      <c r="C711" s="9" t="s">
        <v>2540</v>
      </c>
      <c r="D711" s="5">
        <v>2</v>
      </c>
      <c r="E711" s="9" t="s">
        <v>10165</v>
      </c>
      <c r="F711" s="9" t="s">
        <v>11649</v>
      </c>
      <c r="G711" s="9" t="str">
        <f>HYPERLINK("https://seichotoushi-hojo.jp/assets/pdf/koufu_3_4ji/outline_133.pdf","PDFを開く")</f>
        <v>PDFを開く</v>
      </c>
    </row>
    <row r="712" spans="1:7" ht="87.95" customHeight="1">
      <c r="A712" s="2" t="s">
        <v>2546</v>
      </c>
      <c r="B712" s="2" t="s">
        <v>2430</v>
      </c>
      <c r="C712" s="8" t="s">
        <v>2547</v>
      </c>
      <c r="D712" s="2">
        <v>1</v>
      </c>
      <c r="E712" s="8" t="s">
        <v>10156</v>
      </c>
      <c r="F712" s="8" t="s">
        <v>11650</v>
      </c>
      <c r="G712" s="8" t="str">
        <f>HYPERLINK("https://seichotoushi-hojo.jp/assets/pdf/koufu_3_4ji/outline_134.pdf","PDFを開く")</f>
        <v>PDFを開く</v>
      </c>
    </row>
    <row r="713" spans="1:7" ht="87.95" customHeight="1">
      <c r="A713" s="5" t="s">
        <v>2546</v>
      </c>
      <c r="B713" s="5" t="s">
        <v>2430</v>
      </c>
      <c r="C713" s="9" t="s">
        <v>2547</v>
      </c>
      <c r="D713" s="5">
        <v>2</v>
      </c>
      <c r="E713" s="9" t="s">
        <v>10165</v>
      </c>
      <c r="F713" s="9" t="s">
        <v>11651</v>
      </c>
      <c r="G713" s="9" t="str">
        <f>HYPERLINK("https://seichotoushi-hojo.jp/assets/pdf/koufu_3_4ji/outline_134.pdf","PDFを開く")</f>
        <v>PDFを開く</v>
      </c>
    </row>
    <row r="714" spans="1:7" ht="87.95" customHeight="1">
      <c r="A714" s="2" t="s">
        <v>2555</v>
      </c>
      <c r="B714" s="2" t="s">
        <v>2430</v>
      </c>
      <c r="C714" s="8" t="s">
        <v>2556</v>
      </c>
      <c r="D714" s="2">
        <v>1</v>
      </c>
      <c r="E714" s="8" t="s">
        <v>10156</v>
      </c>
      <c r="F714" s="8" t="s">
        <v>11652</v>
      </c>
      <c r="G714" s="8" t="str">
        <f>HYPERLINK("https://seichotoushi-hojo.jp/assets/pdf/koufu_3_4ji/outline_135.pdf","PDFを開く")</f>
        <v>PDFを開く</v>
      </c>
    </row>
    <row r="715" spans="1:7" ht="87.95" customHeight="1">
      <c r="A715" s="5" t="s">
        <v>2555</v>
      </c>
      <c r="B715" s="5" t="s">
        <v>2430</v>
      </c>
      <c r="C715" s="9" t="s">
        <v>2556</v>
      </c>
      <c r="D715" s="5">
        <v>2</v>
      </c>
      <c r="E715" s="9" t="s">
        <v>10165</v>
      </c>
      <c r="F715" s="9" t="s">
        <v>11653</v>
      </c>
      <c r="G715" s="9" t="str">
        <f>HYPERLINK("https://seichotoushi-hojo.jp/assets/pdf/koufu_3_4ji/outline_135.pdf","PDFを開く")</f>
        <v>PDFを開く</v>
      </c>
    </row>
    <row r="716" spans="1:7" ht="87.95" customHeight="1">
      <c r="A716" s="2" t="s">
        <v>2564</v>
      </c>
      <c r="B716" s="2" t="s">
        <v>2430</v>
      </c>
      <c r="C716" s="8" t="s">
        <v>2565</v>
      </c>
      <c r="D716" s="2">
        <v>1</v>
      </c>
      <c r="E716" s="8" t="s">
        <v>10156</v>
      </c>
      <c r="F716" s="8" t="s">
        <v>11654</v>
      </c>
      <c r="G716" s="8" t="str">
        <f>HYPERLINK("https://seichotoushi-hojo.jp/assets/pdf/koufu_3_4ji/outline_136.pdf","PDFを開く")</f>
        <v>PDFを開く</v>
      </c>
    </row>
    <row r="717" spans="1:7" ht="87.95" customHeight="1">
      <c r="A717" s="5" t="s">
        <v>2564</v>
      </c>
      <c r="B717" s="5" t="s">
        <v>2430</v>
      </c>
      <c r="C717" s="9" t="s">
        <v>2565</v>
      </c>
      <c r="D717" s="5">
        <v>2</v>
      </c>
      <c r="E717" s="9" t="s">
        <v>10165</v>
      </c>
      <c r="F717" s="9" t="s">
        <v>11655</v>
      </c>
      <c r="G717" s="9" t="str">
        <f>HYPERLINK("https://seichotoushi-hojo.jp/assets/pdf/koufu_3_4ji/outline_136.pdf","PDFを開く")</f>
        <v>PDFを開く</v>
      </c>
    </row>
    <row r="718" spans="1:7" ht="87.95" customHeight="1">
      <c r="A718" s="2" t="s">
        <v>2572</v>
      </c>
      <c r="B718" s="2" t="s">
        <v>2430</v>
      </c>
      <c r="C718" s="8" t="s">
        <v>2573</v>
      </c>
      <c r="D718" s="2">
        <v>1</v>
      </c>
      <c r="E718" s="8" t="s">
        <v>10156</v>
      </c>
      <c r="F718" s="8" t="s">
        <v>11656</v>
      </c>
      <c r="G718" s="8" t="str">
        <f>HYPERLINK("https://seichotoushi-hojo.jp/assets/pdf/koufu_3_4ji/outline_137.pdf","PDFを開く")</f>
        <v>PDFを開く</v>
      </c>
    </row>
    <row r="719" spans="1:7" ht="87.95" customHeight="1">
      <c r="A719" s="5" t="s">
        <v>2572</v>
      </c>
      <c r="B719" s="5" t="s">
        <v>2430</v>
      </c>
      <c r="C719" s="9" t="s">
        <v>2573</v>
      </c>
      <c r="D719" s="5">
        <v>2</v>
      </c>
      <c r="E719" s="9" t="s">
        <v>10165</v>
      </c>
      <c r="F719" s="9" t="s">
        <v>11657</v>
      </c>
      <c r="G719" s="9" t="str">
        <f>HYPERLINK("https://seichotoushi-hojo.jp/assets/pdf/koufu_3_4ji/outline_137.pdf","PDFを開く")</f>
        <v>PDFを開く</v>
      </c>
    </row>
    <row r="720" spans="1:7" ht="87.95" customHeight="1">
      <c r="A720" s="2" t="s">
        <v>2580</v>
      </c>
      <c r="B720" s="2" t="s">
        <v>2430</v>
      </c>
      <c r="C720" s="8" t="s">
        <v>2581</v>
      </c>
      <c r="D720" s="2">
        <v>1</v>
      </c>
      <c r="E720" s="8" t="s">
        <v>10156</v>
      </c>
      <c r="F720" s="8" t="s">
        <v>11658</v>
      </c>
      <c r="G720" s="8" t="str">
        <f>HYPERLINK("https://seichotoushi-hojo.jp/assets/pdf/koufu_3_4ji/outline_138.pdf","PDFを開く")</f>
        <v>PDFを開く</v>
      </c>
    </row>
    <row r="721" spans="1:7" ht="87.95" customHeight="1">
      <c r="A721" s="5" t="s">
        <v>2580</v>
      </c>
      <c r="B721" s="5" t="s">
        <v>2430</v>
      </c>
      <c r="C721" s="9" t="s">
        <v>2581</v>
      </c>
      <c r="D721" s="5">
        <v>2</v>
      </c>
      <c r="E721" s="9" t="s">
        <v>10156</v>
      </c>
      <c r="F721" s="9" t="s">
        <v>11659</v>
      </c>
      <c r="G721" s="9" t="str">
        <f>HYPERLINK("https://seichotoushi-hojo.jp/assets/pdf/koufu_3_4ji/outline_138.pdf","PDFを開く")</f>
        <v>PDFを開く</v>
      </c>
    </row>
    <row r="722" spans="1:7" ht="87.95" customHeight="1">
      <c r="A722" s="2" t="s">
        <v>2580</v>
      </c>
      <c r="B722" s="2" t="s">
        <v>2430</v>
      </c>
      <c r="C722" s="8" t="s">
        <v>2581</v>
      </c>
      <c r="D722" s="2">
        <v>3</v>
      </c>
      <c r="E722" s="8" t="s">
        <v>10165</v>
      </c>
      <c r="F722" s="8" t="s">
        <v>11660</v>
      </c>
      <c r="G722" s="8" t="str">
        <f>HYPERLINK("https://seichotoushi-hojo.jp/assets/pdf/koufu_3_4ji/outline_138.pdf","PDFを開く")</f>
        <v>PDFを開く</v>
      </c>
    </row>
    <row r="723" spans="1:7" ht="87.95" customHeight="1">
      <c r="A723" s="5" t="s">
        <v>2580</v>
      </c>
      <c r="B723" s="5" t="s">
        <v>2430</v>
      </c>
      <c r="C723" s="9" t="s">
        <v>2581</v>
      </c>
      <c r="D723" s="5">
        <v>4</v>
      </c>
      <c r="E723" s="9" t="s">
        <v>10165</v>
      </c>
      <c r="F723" s="9" t="s">
        <v>11661</v>
      </c>
      <c r="G723" s="9" t="str">
        <f>HYPERLINK("https://seichotoushi-hojo.jp/assets/pdf/koufu_3_4ji/outline_138.pdf","PDFを開く")</f>
        <v>PDFを開く</v>
      </c>
    </row>
    <row r="724" spans="1:7" ht="87.95" customHeight="1">
      <c r="A724" s="2" t="s">
        <v>2587</v>
      </c>
      <c r="B724" s="2" t="s">
        <v>2430</v>
      </c>
      <c r="C724" s="8" t="s">
        <v>2588</v>
      </c>
      <c r="D724" s="2">
        <v>1</v>
      </c>
      <c r="E724" s="8" t="s">
        <v>10156</v>
      </c>
      <c r="F724" s="8" t="s">
        <v>11662</v>
      </c>
      <c r="G724" s="8" t="str">
        <f>HYPERLINK("https://seichotoushi-hojo.jp/assets/pdf/koufu_3_4ji/outline_139.pdf","PDFを開く")</f>
        <v>PDFを開く</v>
      </c>
    </row>
    <row r="725" spans="1:7" ht="87.95" customHeight="1">
      <c r="A725" s="5" t="s">
        <v>2587</v>
      </c>
      <c r="B725" s="5" t="s">
        <v>2430</v>
      </c>
      <c r="C725" s="9" t="s">
        <v>2588</v>
      </c>
      <c r="D725" s="5">
        <v>2</v>
      </c>
      <c r="E725" s="9" t="s">
        <v>10165</v>
      </c>
      <c r="F725" s="9" t="s">
        <v>11663</v>
      </c>
      <c r="G725" s="9" t="str">
        <f>HYPERLINK("https://seichotoushi-hojo.jp/assets/pdf/koufu_3_4ji/outline_139.pdf","PDFを開く")</f>
        <v>PDFを開く</v>
      </c>
    </row>
    <row r="726" spans="1:7" ht="87.95" customHeight="1">
      <c r="A726" s="2" t="s">
        <v>2595</v>
      </c>
      <c r="B726" s="2" t="s">
        <v>2430</v>
      </c>
      <c r="C726" s="8" t="s">
        <v>2596</v>
      </c>
      <c r="D726" s="2">
        <v>1</v>
      </c>
      <c r="E726" s="8" t="s">
        <v>10156</v>
      </c>
      <c r="F726" s="8" t="s">
        <v>11664</v>
      </c>
      <c r="G726" s="8" t="str">
        <f>HYPERLINK("https://seichotoushi-hojo.jp/assets/pdf/koufu_3_4ji/outline_141.pdf","PDFを開く")</f>
        <v>PDFを開く</v>
      </c>
    </row>
    <row r="727" spans="1:7" ht="87.95" customHeight="1">
      <c r="A727" s="5" t="s">
        <v>2595</v>
      </c>
      <c r="B727" s="5" t="s">
        <v>2430</v>
      </c>
      <c r="C727" s="9" t="s">
        <v>2596</v>
      </c>
      <c r="D727" s="5">
        <v>2</v>
      </c>
      <c r="E727" s="9" t="s">
        <v>10165</v>
      </c>
      <c r="F727" s="9" t="s">
        <v>11665</v>
      </c>
      <c r="G727" s="9" t="str">
        <f>HYPERLINK("https://seichotoushi-hojo.jp/assets/pdf/koufu_3_4ji/outline_141.pdf","PDFを開く")</f>
        <v>PDFを開く</v>
      </c>
    </row>
    <row r="728" spans="1:7" ht="87.95" customHeight="1">
      <c r="A728" s="2" t="s">
        <v>2595</v>
      </c>
      <c r="B728" s="2" t="s">
        <v>2430</v>
      </c>
      <c r="C728" s="8" t="s">
        <v>2596</v>
      </c>
      <c r="D728" s="2">
        <v>3</v>
      </c>
      <c r="E728" s="8" t="s">
        <v>10165</v>
      </c>
      <c r="F728" s="8" t="s">
        <v>11666</v>
      </c>
      <c r="G728" s="8" t="str">
        <f>HYPERLINK("https://seichotoushi-hojo.jp/assets/pdf/koufu_3_4ji/outline_141.pdf","PDFを開く")</f>
        <v>PDFを開く</v>
      </c>
    </row>
    <row r="729" spans="1:7" ht="87.95" customHeight="1">
      <c r="A729" s="5" t="s">
        <v>2605</v>
      </c>
      <c r="B729" s="5" t="s">
        <v>2430</v>
      </c>
      <c r="C729" s="9" t="s">
        <v>2606</v>
      </c>
      <c r="D729" s="5">
        <v>1</v>
      </c>
      <c r="E729" s="9" t="s">
        <v>10156</v>
      </c>
      <c r="F729" s="9" t="s">
        <v>11667</v>
      </c>
      <c r="G729" s="9" t="str">
        <f>HYPERLINK("https://seichotoushi-hojo.jp/assets/pdf/koufu_3_4ji/outline_143.pdf","PDFを開く")</f>
        <v>PDFを開く</v>
      </c>
    </row>
    <row r="730" spans="1:7" ht="87.95" customHeight="1">
      <c r="A730" s="2" t="s">
        <v>2605</v>
      </c>
      <c r="B730" s="2" t="s">
        <v>2430</v>
      </c>
      <c r="C730" s="8" t="s">
        <v>2606</v>
      </c>
      <c r="D730" s="2">
        <v>2</v>
      </c>
      <c r="E730" s="8" t="s">
        <v>10165</v>
      </c>
      <c r="F730" s="8" t="s">
        <v>11668</v>
      </c>
      <c r="G730" s="8" t="str">
        <f>HYPERLINK("https://seichotoushi-hojo.jp/assets/pdf/koufu_3_4ji/outline_143.pdf","PDFを開く")</f>
        <v>PDFを開く</v>
      </c>
    </row>
    <row r="731" spans="1:7" ht="87.95" customHeight="1">
      <c r="A731" s="5" t="s">
        <v>2612</v>
      </c>
      <c r="B731" s="5" t="s">
        <v>2430</v>
      </c>
      <c r="C731" s="9" t="s">
        <v>2613</v>
      </c>
      <c r="D731" s="5">
        <v>1</v>
      </c>
      <c r="E731" s="9" t="s">
        <v>10156</v>
      </c>
      <c r="F731" s="9" t="s">
        <v>11669</v>
      </c>
      <c r="G731" s="9" t="str">
        <f>HYPERLINK("https://seichotoushi-hojo.jp/assets/pdf/koufu_3_4ji/outline_144.pdf","PDFを開く")</f>
        <v>PDFを開く</v>
      </c>
    </row>
    <row r="732" spans="1:7" ht="87.95" customHeight="1">
      <c r="A732" s="2" t="s">
        <v>2612</v>
      </c>
      <c r="B732" s="2" t="s">
        <v>2430</v>
      </c>
      <c r="C732" s="8" t="s">
        <v>2613</v>
      </c>
      <c r="D732" s="2">
        <v>2</v>
      </c>
      <c r="E732" s="8" t="s">
        <v>10165</v>
      </c>
      <c r="F732" s="8" t="s">
        <v>11670</v>
      </c>
      <c r="G732" s="8" t="str">
        <f>HYPERLINK("https://seichotoushi-hojo.jp/assets/pdf/koufu_3_4ji/outline_144.pdf","PDFを開く")</f>
        <v>PDFを開く</v>
      </c>
    </row>
    <row r="733" spans="1:7" ht="87.95" customHeight="1">
      <c r="A733" s="5" t="s">
        <v>2620</v>
      </c>
      <c r="B733" s="5" t="s">
        <v>2430</v>
      </c>
      <c r="C733" s="9" t="s">
        <v>2621</v>
      </c>
      <c r="D733" s="5">
        <v>1</v>
      </c>
      <c r="E733" s="9" t="s">
        <v>10156</v>
      </c>
      <c r="F733" s="9" t="s">
        <v>11671</v>
      </c>
      <c r="G733" s="9" t="str">
        <f>HYPERLINK("https://seichotoushi-hojo.jp/assets/pdf/koufu_3_4ji/outline_145.pdf","PDFを開く")</f>
        <v>PDFを開く</v>
      </c>
    </row>
    <row r="734" spans="1:7" ht="87.95" customHeight="1">
      <c r="A734" s="2" t="s">
        <v>2620</v>
      </c>
      <c r="B734" s="2" t="s">
        <v>2430</v>
      </c>
      <c r="C734" s="8" t="s">
        <v>2621</v>
      </c>
      <c r="D734" s="2">
        <v>2</v>
      </c>
      <c r="E734" s="8" t="s">
        <v>10165</v>
      </c>
      <c r="F734" s="8" t="s">
        <v>11672</v>
      </c>
      <c r="G734" s="8" t="str">
        <f>HYPERLINK("https://seichotoushi-hojo.jp/assets/pdf/koufu_3_4ji/outline_145.pdf","PDFを開く")</f>
        <v>PDFを開く</v>
      </c>
    </row>
    <row r="735" spans="1:7" ht="87.95" customHeight="1">
      <c r="A735" s="5" t="s">
        <v>2629</v>
      </c>
      <c r="B735" s="5" t="s">
        <v>2430</v>
      </c>
      <c r="C735" s="9" t="s">
        <v>2630</v>
      </c>
      <c r="D735" s="5">
        <v>1</v>
      </c>
      <c r="E735" s="9" t="s">
        <v>10156</v>
      </c>
      <c r="F735" s="9" t="s">
        <v>11673</v>
      </c>
      <c r="G735" s="9" t="str">
        <f>HYPERLINK("https://seichotoushi-hojo.jp/assets/pdf/koufu_3_4ji/outline_146.pdf","PDFを開く")</f>
        <v>PDFを開く</v>
      </c>
    </row>
    <row r="736" spans="1:7" ht="87.95" customHeight="1">
      <c r="A736" s="2" t="s">
        <v>2629</v>
      </c>
      <c r="B736" s="2" t="s">
        <v>2430</v>
      </c>
      <c r="C736" s="8" t="s">
        <v>2630</v>
      </c>
      <c r="D736" s="2">
        <v>2</v>
      </c>
      <c r="E736" s="8" t="s">
        <v>10165</v>
      </c>
      <c r="F736" s="8" t="s">
        <v>11674</v>
      </c>
      <c r="G736" s="8" t="str">
        <f>HYPERLINK("https://seichotoushi-hojo.jp/assets/pdf/koufu_3_4ji/outline_146.pdf","PDFを開く")</f>
        <v>PDFを開く</v>
      </c>
    </row>
    <row r="737" spans="1:7" ht="87.95" customHeight="1">
      <c r="A737" s="5" t="s">
        <v>2636</v>
      </c>
      <c r="B737" s="5" t="s">
        <v>2430</v>
      </c>
      <c r="C737" s="9" t="s">
        <v>2637</v>
      </c>
      <c r="D737" s="5">
        <v>1</v>
      </c>
      <c r="E737" s="9" t="s">
        <v>10156</v>
      </c>
      <c r="F737" s="9" t="s">
        <v>11675</v>
      </c>
      <c r="G737" s="9" t="str">
        <f>HYPERLINK("https://seichotoushi-hojo.jp/assets/pdf/koufu_3_4ji/outline_147.pdf","PDFを開く")</f>
        <v>PDFを開く</v>
      </c>
    </row>
    <row r="738" spans="1:7" ht="87.95" customHeight="1">
      <c r="A738" s="2" t="s">
        <v>2636</v>
      </c>
      <c r="B738" s="2" t="s">
        <v>2430</v>
      </c>
      <c r="C738" s="8" t="s">
        <v>2637</v>
      </c>
      <c r="D738" s="2">
        <v>2</v>
      </c>
      <c r="E738" s="8" t="s">
        <v>10165</v>
      </c>
      <c r="F738" s="8" t="s">
        <v>11676</v>
      </c>
      <c r="G738" s="8" t="str">
        <f>HYPERLINK("https://seichotoushi-hojo.jp/assets/pdf/koufu_3_4ji/outline_147.pdf","PDFを開く")</f>
        <v>PDFを開く</v>
      </c>
    </row>
    <row r="739" spans="1:7" ht="87.95" customHeight="1">
      <c r="A739" s="5" t="s">
        <v>2646</v>
      </c>
      <c r="B739" s="5" t="s">
        <v>2430</v>
      </c>
      <c r="C739" s="9" t="s">
        <v>2647</v>
      </c>
      <c r="D739" s="5">
        <v>1</v>
      </c>
      <c r="E739" s="9" t="s">
        <v>10156</v>
      </c>
      <c r="F739" s="9" t="s">
        <v>11677</v>
      </c>
      <c r="G739" s="9" t="str">
        <f>HYPERLINK("https://seichotoushi-hojo.jp/assets/pdf/koufu_3_4ji/outline_148.pdf","PDFを開く")</f>
        <v>PDFを開く</v>
      </c>
    </row>
    <row r="740" spans="1:7" ht="87.95" customHeight="1">
      <c r="A740" s="2" t="s">
        <v>2646</v>
      </c>
      <c r="B740" s="2" t="s">
        <v>2430</v>
      </c>
      <c r="C740" s="8" t="s">
        <v>2647</v>
      </c>
      <c r="D740" s="2">
        <v>2</v>
      </c>
      <c r="E740" s="8" t="s">
        <v>10165</v>
      </c>
      <c r="F740" s="8" t="s">
        <v>11678</v>
      </c>
      <c r="G740" s="8" t="str">
        <f>HYPERLINK("https://seichotoushi-hojo.jp/assets/pdf/koufu_3_4ji/outline_148.pdf","PDFを開く")</f>
        <v>PDFを開く</v>
      </c>
    </row>
    <row r="741" spans="1:7" ht="87.95" customHeight="1">
      <c r="A741" s="5" t="s">
        <v>2654</v>
      </c>
      <c r="B741" s="5" t="s">
        <v>2430</v>
      </c>
      <c r="C741" s="9" t="s">
        <v>2655</v>
      </c>
      <c r="D741" s="5">
        <v>1</v>
      </c>
      <c r="E741" s="9" t="s">
        <v>10156</v>
      </c>
      <c r="F741" s="9" t="s">
        <v>11679</v>
      </c>
      <c r="G741" s="9" t="str">
        <f>HYPERLINK("https://seichotoushi-hojo.jp/assets/pdf/koufu_3_4ji/outline_149.pdf","PDFを開く")</f>
        <v>PDFを開く</v>
      </c>
    </row>
    <row r="742" spans="1:7" ht="87.95" customHeight="1">
      <c r="A742" s="2" t="s">
        <v>2654</v>
      </c>
      <c r="B742" s="2" t="s">
        <v>2430</v>
      </c>
      <c r="C742" s="8" t="s">
        <v>2655</v>
      </c>
      <c r="D742" s="2">
        <v>2</v>
      </c>
      <c r="E742" s="8" t="s">
        <v>10165</v>
      </c>
      <c r="F742" s="8" t="s">
        <v>11680</v>
      </c>
      <c r="G742" s="8" t="str">
        <f>HYPERLINK("https://seichotoushi-hojo.jp/assets/pdf/koufu_3_4ji/outline_149.pdf","PDFを開く")</f>
        <v>PDFを開く</v>
      </c>
    </row>
    <row r="743" spans="1:7" ht="87.95" customHeight="1">
      <c r="A743" s="5" t="s">
        <v>2662</v>
      </c>
      <c r="B743" s="5" t="s">
        <v>2430</v>
      </c>
      <c r="C743" s="9" t="s">
        <v>2663</v>
      </c>
      <c r="D743" s="5">
        <v>1</v>
      </c>
      <c r="E743" s="9" t="s">
        <v>10156</v>
      </c>
      <c r="F743" s="9" t="s">
        <v>11681</v>
      </c>
      <c r="G743" s="9" t="str">
        <f>HYPERLINK("https://seichotoushi-hojo.jp/assets/pdf/koufu_3_4ji/outline_150.pdf","PDFを開く")</f>
        <v>PDFを開く</v>
      </c>
    </row>
    <row r="744" spans="1:7" ht="87.95" customHeight="1">
      <c r="A744" s="2" t="s">
        <v>2662</v>
      </c>
      <c r="B744" s="2" t="s">
        <v>2430</v>
      </c>
      <c r="C744" s="8" t="s">
        <v>2663</v>
      </c>
      <c r="D744" s="2">
        <v>2</v>
      </c>
      <c r="E744" s="8" t="s">
        <v>10165</v>
      </c>
      <c r="F744" s="8" t="s">
        <v>11682</v>
      </c>
      <c r="G744" s="8" t="str">
        <f>HYPERLINK("https://seichotoushi-hojo.jp/assets/pdf/koufu_3_4ji/outline_150.pdf","PDFを開く")</f>
        <v>PDFを開く</v>
      </c>
    </row>
    <row r="745" spans="1:7" ht="87.95" customHeight="1">
      <c r="A745" s="5" t="s">
        <v>2668</v>
      </c>
      <c r="B745" s="5" t="s">
        <v>2430</v>
      </c>
      <c r="C745" s="9" t="s">
        <v>2669</v>
      </c>
      <c r="D745" s="5">
        <v>1</v>
      </c>
      <c r="E745" s="9" t="s">
        <v>10156</v>
      </c>
      <c r="F745" s="9" t="s">
        <v>11683</v>
      </c>
      <c r="G745" s="9" t="str">
        <f>HYPERLINK("https://seichotoushi-hojo.jp/assets/pdf/koufu_3_4ji/outline_152.pdf","PDFを開く")</f>
        <v>PDFを開く</v>
      </c>
    </row>
    <row r="746" spans="1:7" ht="87.95" customHeight="1">
      <c r="A746" s="2" t="s">
        <v>2668</v>
      </c>
      <c r="B746" s="2" t="s">
        <v>2430</v>
      </c>
      <c r="C746" s="8" t="s">
        <v>2669</v>
      </c>
      <c r="D746" s="2">
        <v>2</v>
      </c>
      <c r="E746" s="8" t="s">
        <v>10165</v>
      </c>
      <c r="F746" s="8" t="s">
        <v>11684</v>
      </c>
      <c r="G746" s="8" t="str">
        <f>HYPERLINK("https://seichotoushi-hojo.jp/assets/pdf/koufu_3_4ji/outline_152.pdf","PDFを開く")</f>
        <v>PDFを開く</v>
      </c>
    </row>
    <row r="747" spans="1:7" ht="87.95" customHeight="1">
      <c r="A747" s="5" t="s">
        <v>2676</v>
      </c>
      <c r="B747" s="5" t="s">
        <v>2430</v>
      </c>
      <c r="C747" s="9" t="s">
        <v>2677</v>
      </c>
      <c r="D747" s="5">
        <v>1</v>
      </c>
      <c r="E747" s="9" t="s">
        <v>10156</v>
      </c>
      <c r="F747" s="9" t="s">
        <v>11685</v>
      </c>
      <c r="G747" s="9" t="str">
        <f>HYPERLINK("https://seichotoushi-hojo.jp/assets/pdf/koufu_3_4ji/outline_153.pdf","PDFを開く")</f>
        <v>PDFを開く</v>
      </c>
    </row>
    <row r="748" spans="1:7" ht="87.95" customHeight="1">
      <c r="A748" s="2" t="s">
        <v>2676</v>
      </c>
      <c r="B748" s="2" t="s">
        <v>2430</v>
      </c>
      <c r="C748" s="8" t="s">
        <v>2677</v>
      </c>
      <c r="D748" s="2">
        <v>2</v>
      </c>
      <c r="E748" s="8" t="s">
        <v>10165</v>
      </c>
      <c r="F748" s="8" t="s">
        <v>11686</v>
      </c>
      <c r="G748" s="8" t="str">
        <f>HYPERLINK("https://seichotoushi-hojo.jp/assets/pdf/koufu_3_4ji/outline_153.pdf","PDFを開く")</f>
        <v>PDFを開く</v>
      </c>
    </row>
    <row r="749" spans="1:7" ht="87.95" customHeight="1">
      <c r="A749" s="5" t="s">
        <v>2684</v>
      </c>
      <c r="B749" s="5" t="s">
        <v>2430</v>
      </c>
      <c r="C749" s="9" t="s">
        <v>2685</v>
      </c>
      <c r="D749" s="5">
        <v>1</v>
      </c>
      <c r="E749" s="9" t="s">
        <v>10156</v>
      </c>
      <c r="F749" s="9" t="s">
        <v>11687</v>
      </c>
      <c r="G749" s="9" t="str">
        <f>HYPERLINK("https://seichotoushi-hojo.jp/assets/pdf/koufu_3_4ji/outline_154.pdf","PDFを開く")</f>
        <v>PDFを開く</v>
      </c>
    </row>
    <row r="750" spans="1:7" ht="87.95" customHeight="1">
      <c r="A750" s="2" t="s">
        <v>2684</v>
      </c>
      <c r="B750" s="2" t="s">
        <v>2430</v>
      </c>
      <c r="C750" s="8" t="s">
        <v>2685</v>
      </c>
      <c r="D750" s="2">
        <v>2</v>
      </c>
      <c r="E750" s="8" t="s">
        <v>10156</v>
      </c>
      <c r="F750" s="8" t="s">
        <v>11688</v>
      </c>
      <c r="G750" s="8" t="str">
        <f>HYPERLINK("https://seichotoushi-hojo.jp/assets/pdf/koufu_3_4ji/outline_154.pdf","PDFを開く")</f>
        <v>PDFを開く</v>
      </c>
    </row>
    <row r="751" spans="1:7" ht="87.95" customHeight="1">
      <c r="A751" s="5" t="s">
        <v>2684</v>
      </c>
      <c r="B751" s="5" t="s">
        <v>2430</v>
      </c>
      <c r="C751" s="9" t="s">
        <v>2685</v>
      </c>
      <c r="D751" s="5">
        <v>3</v>
      </c>
      <c r="E751" s="9" t="s">
        <v>10156</v>
      </c>
      <c r="F751" s="9" t="s">
        <v>11689</v>
      </c>
      <c r="G751" s="9" t="str">
        <f>HYPERLINK("https://seichotoushi-hojo.jp/assets/pdf/koufu_3_4ji/outline_154.pdf","PDFを開く")</f>
        <v>PDFを開く</v>
      </c>
    </row>
    <row r="752" spans="1:7" ht="87.95" customHeight="1">
      <c r="A752" s="2" t="s">
        <v>2684</v>
      </c>
      <c r="B752" s="2" t="s">
        <v>2430</v>
      </c>
      <c r="C752" s="8" t="s">
        <v>2685</v>
      </c>
      <c r="D752" s="2">
        <v>4</v>
      </c>
      <c r="E752" s="8" t="s">
        <v>10165</v>
      </c>
      <c r="F752" s="8" t="s">
        <v>11690</v>
      </c>
      <c r="G752" s="8" t="str">
        <f>HYPERLINK("https://seichotoushi-hojo.jp/assets/pdf/koufu_3_4ji/outline_154.pdf","PDFを開く")</f>
        <v>PDFを開く</v>
      </c>
    </row>
    <row r="753" spans="1:7" ht="87.95" customHeight="1">
      <c r="A753" s="5" t="s">
        <v>2693</v>
      </c>
      <c r="B753" s="5" t="s">
        <v>2430</v>
      </c>
      <c r="C753" s="9" t="s">
        <v>2694</v>
      </c>
      <c r="D753" s="5">
        <v>1</v>
      </c>
      <c r="E753" s="9" t="s">
        <v>10156</v>
      </c>
      <c r="F753" s="9" t="s">
        <v>11691</v>
      </c>
      <c r="G753" s="9" t="str">
        <f>HYPERLINK("https://seichotoushi-hojo.jp/assets/pdf/koufu_3_4ji/outline_155.pdf","PDFを開く")</f>
        <v>PDFを開く</v>
      </c>
    </row>
    <row r="754" spans="1:7" ht="87.95" customHeight="1">
      <c r="A754" s="2" t="s">
        <v>2693</v>
      </c>
      <c r="B754" s="2" t="s">
        <v>2430</v>
      </c>
      <c r="C754" s="8" t="s">
        <v>2694</v>
      </c>
      <c r="D754" s="2">
        <v>2</v>
      </c>
      <c r="E754" s="8" t="s">
        <v>10165</v>
      </c>
      <c r="F754" s="8" t="s">
        <v>11692</v>
      </c>
      <c r="G754" s="8" t="str">
        <f>HYPERLINK("https://seichotoushi-hojo.jp/assets/pdf/koufu_3_4ji/outline_155.pdf","PDFを開く")</f>
        <v>PDFを開く</v>
      </c>
    </row>
    <row r="755" spans="1:7" ht="87.95" customHeight="1">
      <c r="A755" s="5" t="s">
        <v>2693</v>
      </c>
      <c r="B755" s="5" t="s">
        <v>2430</v>
      </c>
      <c r="C755" s="9" t="s">
        <v>2694</v>
      </c>
      <c r="D755" s="5">
        <v>3</v>
      </c>
      <c r="E755" s="9" t="s">
        <v>10165</v>
      </c>
      <c r="F755" s="9" t="s">
        <v>11693</v>
      </c>
      <c r="G755" s="9" t="str">
        <f>HYPERLINK("https://seichotoushi-hojo.jp/assets/pdf/koufu_3_4ji/outline_155.pdf","PDFを開く")</f>
        <v>PDFを開く</v>
      </c>
    </row>
    <row r="756" spans="1:7" ht="87.95" customHeight="1">
      <c r="A756" s="2" t="s">
        <v>2700</v>
      </c>
      <c r="B756" s="2" t="s">
        <v>2430</v>
      </c>
      <c r="C756" s="8" t="s">
        <v>2701</v>
      </c>
      <c r="D756" s="2">
        <v>1</v>
      </c>
      <c r="E756" s="8" t="s">
        <v>10156</v>
      </c>
      <c r="F756" s="8" t="s">
        <v>11694</v>
      </c>
      <c r="G756" s="8" t="str">
        <f>HYPERLINK("https://seichotoushi-hojo.jp/assets/pdf/koufu_3_4ji/outline_156.pdf","PDFを開く")</f>
        <v>PDFを開く</v>
      </c>
    </row>
    <row r="757" spans="1:7" ht="87.95" customHeight="1">
      <c r="A757" s="5" t="s">
        <v>2700</v>
      </c>
      <c r="B757" s="5" t="s">
        <v>2430</v>
      </c>
      <c r="C757" s="9" t="s">
        <v>2701</v>
      </c>
      <c r="D757" s="5">
        <v>2</v>
      </c>
      <c r="E757" s="9" t="s">
        <v>10165</v>
      </c>
      <c r="F757" s="9" t="s">
        <v>11695</v>
      </c>
      <c r="G757" s="9" t="str">
        <f>HYPERLINK("https://seichotoushi-hojo.jp/assets/pdf/koufu_3_4ji/outline_156.pdf","PDFを開く")</f>
        <v>PDFを開く</v>
      </c>
    </row>
    <row r="758" spans="1:7" ht="87.95" customHeight="1">
      <c r="A758" s="2" t="s">
        <v>2700</v>
      </c>
      <c r="B758" s="2" t="s">
        <v>2430</v>
      </c>
      <c r="C758" s="8" t="s">
        <v>2701</v>
      </c>
      <c r="D758" s="2">
        <v>3</v>
      </c>
      <c r="E758" s="8" t="s">
        <v>10165</v>
      </c>
      <c r="F758" s="8" t="s">
        <v>11696</v>
      </c>
      <c r="G758" s="8" t="str">
        <f>HYPERLINK("https://seichotoushi-hojo.jp/assets/pdf/koufu_3_4ji/outline_156.pdf","PDFを開く")</f>
        <v>PDFを開く</v>
      </c>
    </row>
    <row r="759" spans="1:7" ht="87.95" customHeight="1">
      <c r="A759" s="5" t="s">
        <v>2709</v>
      </c>
      <c r="B759" s="5" t="s">
        <v>2430</v>
      </c>
      <c r="C759" s="9" t="s">
        <v>2710</v>
      </c>
      <c r="D759" s="5">
        <v>1</v>
      </c>
      <c r="E759" s="9" t="s">
        <v>10156</v>
      </c>
      <c r="F759" s="9" t="s">
        <v>11697</v>
      </c>
      <c r="G759" s="9" t="str">
        <f>HYPERLINK("https://seichotoushi-hojo.jp/assets/pdf/koufu_3_4ji/outline_157.pdf","PDFを開く")</f>
        <v>PDFを開く</v>
      </c>
    </row>
    <row r="760" spans="1:7" ht="87.95" customHeight="1">
      <c r="A760" s="2" t="s">
        <v>2709</v>
      </c>
      <c r="B760" s="2" t="s">
        <v>2430</v>
      </c>
      <c r="C760" s="8" t="s">
        <v>2710</v>
      </c>
      <c r="D760" s="2">
        <v>2</v>
      </c>
      <c r="E760" s="8" t="s">
        <v>10165</v>
      </c>
      <c r="F760" s="8" t="s">
        <v>11698</v>
      </c>
      <c r="G760" s="8" t="str">
        <f>HYPERLINK("https://seichotoushi-hojo.jp/assets/pdf/koufu_3_4ji/outline_157.pdf","PDFを開く")</f>
        <v>PDFを開く</v>
      </c>
    </row>
    <row r="761" spans="1:7" ht="87.95" customHeight="1">
      <c r="A761" s="5" t="s">
        <v>2717</v>
      </c>
      <c r="B761" s="5" t="s">
        <v>2430</v>
      </c>
      <c r="C761" s="9" t="s">
        <v>2718</v>
      </c>
      <c r="D761" s="5">
        <v>1</v>
      </c>
      <c r="E761" s="9" t="s">
        <v>10156</v>
      </c>
      <c r="F761" s="9" t="s">
        <v>11699</v>
      </c>
      <c r="G761" s="9" t="str">
        <f>HYPERLINK("https://seichotoushi-hojo.jp/assets/pdf/koufu_3_4ji/outline_158.pdf","PDFを開く")</f>
        <v>PDFを開く</v>
      </c>
    </row>
    <row r="762" spans="1:7" ht="87.95" customHeight="1">
      <c r="A762" s="2" t="s">
        <v>2717</v>
      </c>
      <c r="B762" s="2" t="s">
        <v>2430</v>
      </c>
      <c r="C762" s="8" t="s">
        <v>2718</v>
      </c>
      <c r="D762" s="2">
        <v>2</v>
      </c>
      <c r="E762" s="8" t="s">
        <v>10165</v>
      </c>
      <c r="F762" s="8" t="s">
        <v>11700</v>
      </c>
      <c r="G762" s="8" t="str">
        <f>HYPERLINK("https://seichotoushi-hojo.jp/assets/pdf/koufu_3_4ji/outline_158.pdf","PDFを開く")</f>
        <v>PDFを開く</v>
      </c>
    </row>
    <row r="763" spans="1:7" ht="87.95" customHeight="1">
      <c r="A763" s="5" t="s">
        <v>2717</v>
      </c>
      <c r="B763" s="5" t="s">
        <v>2430</v>
      </c>
      <c r="C763" s="9" t="s">
        <v>2718</v>
      </c>
      <c r="D763" s="5">
        <v>3</v>
      </c>
      <c r="E763" s="9" t="s">
        <v>10165</v>
      </c>
      <c r="F763" s="9" t="s">
        <v>11701</v>
      </c>
      <c r="G763" s="9" t="str">
        <f>HYPERLINK("https://seichotoushi-hojo.jp/assets/pdf/koufu_3_4ji/outline_158.pdf","PDFを開く")</f>
        <v>PDFを開く</v>
      </c>
    </row>
    <row r="764" spans="1:7" ht="87.95" customHeight="1">
      <c r="A764" s="2" t="s">
        <v>2717</v>
      </c>
      <c r="B764" s="2" t="s">
        <v>2430</v>
      </c>
      <c r="C764" s="8" t="s">
        <v>2718</v>
      </c>
      <c r="D764" s="2">
        <v>4</v>
      </c>
      <c r="E764" s="8" t="s">
        <v>10165</v>
      </c>
      <c r="F764" s="8" t="s">
        <v>11702</v>
      </c>
      <c r="G764" s="8" t="str">
        <f>HYPERLINK("https://seichotoushi-hojo.jp/assets/pdf/koufu_3_4ji/outline_158.pdf","PDFを開く")</f>
        <v>PDFを開く</v>
      </c>
    </row>
    <row r="765" spans="1:7" ht="87.95" customHeight="1">
      <c r="A765" s="5" t="s">
        <v>2725</v>
      </c>
      <c r="B765" s="5" t="s">
        <v>2430</v>
      </c>
      <c r="C765" s="9" t="s">
        <v>2726</v>
      </c>
      <c r="D765" s="5">
        <v>1</v>
      </c>
      <c r="E765" s="9" t="s">
        <v>10156</v>
      </c>
      <c r="F765" s="9" t="s">
        <v>11703</v>
      </c>
      <c r="G765" s="9" t="str">
        <f>HYPERLINK("https://seichotoushi-hojo.jp/assets/pdf/koufu_3_4ji/outline_159.pdf","PDFを開く")</f>
        <v>PDFを開く</v>
      </c>
    </row>
    <row r="766" spans="1:7" ht="87.95" customHeight="1">
      <c r="A766" s="2" t="s">
        <v>2725</v>
      </c>
      <c r="B766" s="2" t="s">
        <v>2430</v>
      </c>
      <c r="C766" s="8" t="s">
        <v>2726</v>
      </c>
      <c r="D766" s="2">
        <v>2</v>
      </c>
      <c r="E766" s="8" t="s">
        <v>10165</v>
      </c>
      <c r="F766" s="8" t="s">
        <v>11704</v>
      </c>
      <c r="G766" s="8" t="str">
        <f>HYPERLINK("https://seichotoushi-hojo.jp/assets/pdf/koufu_3_4ji/outline_159.pdf","PDFを開く")</f>
        <v>PDFを開く</v>
      </c>
    </row>
    <row r="767" spans="1:7" ht="87.95" customHeight="1">
      <c r="A767" s="5" t="s">
        <v>2725</v>
      </c>
      <c r="B767" s="5" t="s">
        <v>2430</v>
      </c>
      <c r="C767" s="9" t="s">
        <v>2726</v>
      </c>
      <c r="D767" s="5">
        <v>3</v>
      </c>
      <c r="E767" s="9" t="s">
        <v>10165</v>
      </c>
      <c r="F767" s="9" t="s">
        <v>11705</v>
      </c>
      <c r="G767" s="9" t="str">
        <f>HYPERLINK("https://seichotoushi-hojo.jp/assets/pdf/koufu_3_4ji/outline_159.pdf","PDFを開く")</f>
        <v>PDFを開く</v>
      </c>
    </row>
    <row r="768" spans="1:7" ht="87.95" customHeight="1">
      <c r="A768" s="2" t="s">
        <v>2725</v>
      </c>
      <c r="B768" s="2" t="s">
        <v>2430</v>
      </c>
      <c r="C768" s="8" t="s">
        <v>2726</v>
      </c>
      <c r="D768" s="2">
        <v>4</v>
      </c>
      <c r="E768" s="8" t="s">
        <v>10165</v>
      </c>
      <c r="F768" s="8" t="s">
        <v>11706</v>
      </c>
      <c r="G768" s="8" t="str">
        <f>HYPERLINK("https://seichotoushi-hojo.jp/assets/pdf/koufu_3_4ji/outline_159.pdf","PDFを開く")</f>
        <v>PDFを開く</v>
      </c>
    </row>
    <row r="769" spans="1:7" ht="87.95" customHeight="1">
      <c r="A769" s="5" t="s">
        <v>2734</v>
      </c>
      <c r="B769" s="5" t="s">
        <v>2430</v>
      </c>
      <c r="C769" s="9" t="s">
        <v>2735</v>
      </c>
      <c r="D769" s="5">
        <v>1</v>
      </c>
      <c r="E769" s="9" t="s">
        <v>10156</v>
      </c>
      <c r="F769" s="9" t="s">
        <v>11707</v>
      </c>
      <c r="G769" s="9" t="str">
        <f>HYPERLINK("https://seichotoushi-hojo.jp/assets/pdf/koufu_3_4ji/outline_160.pdf","PDFを開く")</f>
        <v>PDFを開く</v>
      </c>
    </row>
    <row r="770" spans="1:7" ht="87.95" customHeight="1">
      <c r="A770" s="2" t="s">
        <v>2734</v>
      </c>
      <c r="B770" s="2" t="s">
        <v>2430</v>
      </c>
      <c r="C770" s="8" t="s">
        <v>2735</v>
      </c>
      <c r="D770" s="2">
        <v>2</v>
      </c>
      <c r="E770" s="8" t="s">
        <v>10165</v>
      </c>
      <c r="F770" s="8" t="s">
        <v>11708</v>
      </c>
      <c r="G770" s="8" t="str">
        <f>HYPERLINK("https://seichotoushi-hojo.jp/assets/pdf/koufu_3_4ji/outline_160.pdf","PDFを開く")</f>
        <v>PDFを開く</v>
      </c>
    </row>
    <row r="771" spans="1:7" ht="87.95" customHeight="1">
      <c r="A771" s="5" t="s">
        <v>2741</v>
      </c>
      <c r="B771" s="5" t="s">
        <v>2430</v>
      </c>
      <c r="C771" s="9" t="s">
        <v>2742</v>
      </c>
      <c r="D771" s="5">
        <v>1</v>
      </c>
      <c r="E771" s="9" t="s">
        <v>10156</v>
      </c>
      <c r="F771" s="9" t="s">
        <v>11709</v>
      </c>
      <c r="G771" s="9" t="str">
        <f>HYPERLINK("https://seichotoushi-hojo.jp/assets/pdf/koufu_3_4ji/outline_161.pdf","PDFを開く")</f>
        <v>PDFを開く</v>
      </c>
    </row>
    <row r="772" spans="1:7" ht="87.95" customHeight="1">
      <c r="A772" s="2" t="s">
        <v>2741</v>
      </c>
      <c r="B772" s="2" t="s">
        <v>2430</v>
      </c>
      <c r="C772" s="8" t="s">
        <v>2742</v>
      </c>
      <c r="D772" s="2">
        <v>2</v>
      </c>
      <c r="E772" s="8" t="s">
        <v>10165</v>
      </c>
      <c r="F772" s="8" t="s">
        <v>11710</v>
      </c>
      <c r="G772" s="8" t="str">
        <f>HYPERLINK("https://seichotoushi-hojo.jp/assets/pdf/koufu_3_4ji/outline_161.pdf","PDFを開く")</f>
        <v>PDFを開く</v>
      </c>
    </row>
    <row r="773" spans="1:7" ht="87.95" customHeight="1">
      <c r="A773" s="5" t="s">
        <v>2750</v>
      </c>
      <c r="B773" s="5" t="s">
        <v>2430</v>
      </c>
      <c r="C773" s="9" t="s">
        <v>2751</v>
      </c>
      <c r="D773" s="5">
        <v>1</v>
      </c>
      <c r="E773" s="9" t="s">
        <v>10156</v>
      </c>
      <c r="F773" s="9" t="s">
        <v>11711</v>
      </c>
      <c r="G773" s="9" t="str">
        <f>HYPERLINK("https://seichotoushi-hojo.jp/assets/pdf/koufu_3_4ji/outline_162.pdf","PDFを開く")</f>
        <v>PDFを開く</v>
      </c>
    </row>
    <row r="774" spans="1:7" ht="87.95" customHeight="1">
      <c r="A774" s="2" t="s">
        <v>2750</v>
      </c>
      <c r="B774" s="2" t="s">
        <v>2430</v>
      </c>
      <c r="C774" s="8" t="s">
        <v>2751</v>
      </c>
      <c r="D774" s="2">
        <v>2</v>
      </c>
      <c r="E774" s="8" t="s">
        <v>10165</v>
      </c>
      <c r="F774" s="8" t="s">
        <v>11712</v>
      </c>
      <c r="G774" s="8" t="str">
        <f>HYPERLINK("https://seichotoushi-hojo.jp/assets/pdf/koufu_3_4ji/outline_162.pdf","PDFを開く")</f>
        <v>PDFを開く</v>
      </c>
    </row>
    <row r="775" spans="1:7" ht="87.95" customHeight="1">
      <c r="A775" s="5" t="s">
        <v>2758</v>
      </c>
      <c r="B775" s="5" t="s">
        <v>2430</v>
      </c>
      <c r="C775" s="9" t="s">
        <v>2759</v>
      </c>
      <c r="D775" s="5">
        <v>1</v>
      </c>
      <c r="E775" s="9" t="s">
        <v>10156</v>
      </c>
      <c r="F775" s="9" t="s">
        <v>11713</v>
      </c>
      <c r="G775" s="9" t="str">
        <f>HYPERLINK("https://seichotoushi-hojo.jp/assets/pdf/koufu_3_4ji/outline_163.pdf","PDFを開く")</f>
        <v>PDFを開く</v>
      </c>
    </row>
    <row r="776" spans="1:7" ht="87.95" customHeight="1">
      <c r="A776" s="2" t="s">
        <v>2758</v>
      </c>
      <c r="B776" s="2" t="s">
        <v>2430</v>
      </c>
      <c r="C776" s="8" t="s">
        <v>2759</v>
      </c>
      <c r="D776" s="2">
        <v>2</v>
      </c>
      <c r="E776" s="8" t="s">
        <v>10165</v>
      </c>
      <c r="F776" s="8" t="s">
        <v>11714</v>
      </c>
      <c r="G776" s="8" t="str">
        <f>HYPERLINK("https://seichotoushi-hojo.jp/assets/pdf/koufu_3_4ji/outline_163.pdf","PDFを開く")</f>
        <v>PDFを開く</v>
      </c>
    </row>
    <row r="777" spans="1:7" ht="87.95" customHeight="1">
      <c r="A777" s="5" t="s">
        <v>2758</v>
      </c>
      <c r="B777" s="5" t="s">
        <v>2430</v>
      </c>
      <c r="C777" s="9" t="s">
        <v>2759</v>
      </c>
      <c r="D777" s="5">
        <v>3</v>
      </c>
      <c r="E777" s="9" t="s">
        <v>10165</v>
      </c>
      <c r="F777" s="9" t="s">
        <v>11715</v>
      </c>
      <c r="G777" s="9" t="str">
        <f>HYPERLINK("https://seichotoushi-hojo.jp/assets/pdf/koufu_3_4ji/outline_163.pdf","PDFを開く")</f>
        <v>PDFを開く</v>
      </c>
    </row>
    <row r="778" spans="1:7" ht="87.95" customHeight="1">
      <c r="A778" s="2" t="s">
        <v>2766</v>
      </c>
      <c r="B778" s="2" t="s">
        <v>2430</v>
      </c>
      <c r="C778" s="8" t="s">
        <v>2767</v>
      </c>
      <c r="D778" s="2">
        <v>1</v>
      </c>
      <c r="E778" s="8" t="s">
        <v>10156</v>
      </c>
      <c r="F778" s="8" t="s">
        <v>11716</v>
      </c>
      <c r="G778" s="8" t="str">
        <f>HYPERLINK("https://seichotoushi-hojo.jp/assets/pdf/koufu_3_4ji/outline_164.pdf","PDFを開く")</f>
        <v>PDFを開く</v>
      </c>
    </row>
    <row r="779" spans="1:7" ht="87.95" customHeight="1">
      <c r="A779" s="5" t="s">
        <v>2766</v>
      </c>
      <c r="B779" s="5" t="s">
        <v>2430</v>
      </c>
      <c r="C779" s="9" t="s">
        <v>2767</v>
      </c>
      <c r="D779" s="5">
        <v>2</v>
      </c>
      <c r="E779" s="9" t="s">
        <v>10165</v>
      </c>
      <c r="F779" s="9" t="s">
        <v>11717</v>
      </c>
      <c r="G779" s="9" t="str">
        <f>HYPERLINK("https://seichotoushi-hojo.jp/assets/pdf/koufu_3_4ji/outline_164.pdf","PDFを開く")</f>
        <v>PDFを開く</v>
      </c>
    </row>
    <row r="780" spans="1:7" ht="87.95" customHeight="1">
      <c r="A780" s="2" t="s">
        <v>2773</v>
      </c>
      <c r="B780" s="2" t="s">
        <v>2430</v>
      </c>
      <c r="C780" s="8" t="s">
        <v>2774</v>
      </c>
      <c r="D780" s="2">
        <v>1</v>
      </c>
      <c r="E780" s="8" t="s">
        <v>10156</v>
      </c>
      <c r="F780" s="8" t="s">
        <v>11718</v>
      </c>
      <c r="G780" s="8" t="str">
        <f>HYPERLINK("https://seichotoushi-hojo.jp/assets/pdf/koufu_3_4ji/outline_165.pdf","PDFを開く")</f>
        <v>PDFを開く</v>
      </c>
    </row>
    <row r="781" spans="1:7" ht="87.95" customHeight="1">
      <c r="A781" s="5" t="s">
        <v>2773</v>
      </c>
      <c r="B781" s="5" t="s">
        <v>2430</v>
      </c>
      <c r="C781" s="9" t="s">
        <v>2774</v>
      </c>
      <c r="D781" s="5">
        <v>2</v>
      </c>
      <c r="E781" s="9" t="s">
        <v>10165</v>
      </c>
      <c r="F781" s="9" t="s">
        <v>11719</v>
      </c>
      <c r="G781" s="9" t="str">
        <f>HYPERLINK("https://seichotoushi-hojo.jp/assets/pdf/koufu_3_4ji/outline_165.pdf","PDFを開く")</f>
        <v>PDFを開く</v>
      </c>
    </row>
    <row r="782" spans="1:7" ht="87.95" customHeight="1">
      <c r="A782" s="2" t="s">
        <v>2781</v>
      </c>
      <c r="B782" s="2" t="s">
        <v>2430</v>
      </c>
      <c r="C782" s="8" t="s">
        <v>2782</v>
      </c>
      <c r="D782" s="2">
        <v>1</v>
      </c>
      <c r="E782" s="8" t="s">
        <v>10156</v>
      </c>
      <c r="F782" s="8" t="s">
        <v>11720</v>
      </c>
      <c r="G782" s="8" t="str">
        <f>HYPERLINK("https://seichotoushi-hojo.jp/assets/pdf/koufu_3_4ji/outline_166.pdf","PDFを開く")</f>
        <v>PDFを開く</v>
      </c>
    </row>
    <row r="783" spans="1:7" ht="87.95" customHeight="1">
      <c r="A783" s="5" t="s">
        <v>2781</v>
      </c>
      <c r="B783" s="5" t="s">
        <v>2430</v>
      </c>
      <c r="C783" s="9" t="s">
        <v>2782</v>
      </c>
      <c r="D783" s="5">
        <v>2</v>
      </c>
      <c r="E783" s="9" t="s">
        <v>10165</v>
      </c>
      <c r="F783" s="9" t="s">
        <v>11721</v>
      </c>
      <c r="G783" s="9" t="str">
        <f>HYPERLINK("https://seichotoushi-hojo.jp/assets/pdf/koufu_3_4ji/outline_166.pdf","PDFを開く")</f>
        <v>PDFを開く</v>
      </c>
    </row>
    <row r="784" spans="1:7" ht="87.95" customHeight="1">
      <c r="A784" s="2" t="s">
        <v>2790</v>
      </c>
      <c r="B784" s="2" t="s">
        <v>2430</v>
      </c>
      <c r="C784" s="8" t="s">
        <v>2791</v>
      </c>
      <c r="D784" s="2">
        <v>1</v>
      </c>
      <c r="E784" s="8" t="s">
        <v>10156</v>
      </c>
      <c r="F784" s="8" t="s">
        <v>11722</v>
      </c>
      <c r="G784" s="8" t="str">
        <f>HYPERLINK("https://seichotoushi-hojo.jp/assets/pdf/koufu_3_4ji/outline_167.pdf","PDFを開く")</f>
        <v>PDFを開く</v>
      </c>
    </row>
    <row r="785" spans="1:7" ht="87.95" customHeight="1">
      <c r="A785" s="5" t="s">
        <v>2790</v>
      </c>
      <c r="B785" s="5" t="s">
        <v>2430</v>
      </c>
      <c r="C785" s="9" t="s">
        <v>2791</v>
      </c>
      <c r="D785" s="5">
        <v>2</v>
      </c>
      <c r="E785" s="9" t="s">
        <v>10165</v>
      </c>
      <c r="F785" s="9" t="s">
        <v>11723</v>
      </c>
      <c r="G785" s="9" t="str">
        <f>HYPERLINK("https://seichotoushi-hojo.jp/assets/pdf/koufu_3_4ji/outline_167.pdf","PDFを開く")</f>
        <v>PDFを開く</v>
      </c>
    </row>
    <row r="786" spans="1:7" ht="87.95" customHeight="1">
      <c r="A786" s="2" t="s">
        <v>2798</v>
      </c>
      <c r="B786" s="2" t="s">
        <v>2430</v>
      </c>
      <c r="C786" s="8" t="s">
        <v>2799</v>
      </c>
      <c r="D786" s="2">
        <v>1</v>
      </c>
      <c r="E786" s="8" t="s">
        <v>10156</v>
      </c>
      <c r="F786" s="8" t="s">
        <v>11724</v>
      </c>
      <c r="G786" s="8" t="str">
        <f>HYPERLINK("https://seichotoushi-hojo.jp/assets/pdf/koufu_3_4ji/outline_168.pdf","PDFを開く")</f>
        <v>PDFを開く</v>
      </c>
    </row>
    <row r="787" spans="1:7" ht="87.95" customHeight="1">
      <c r="A787" s="5" t="s">
        <v>2798</v>
      </c>
      <c r="B787" s="5" t="s">
        <v>2430</v>
      </c>
      <c r="C787" s="9" t="s">
        <v>2799</v>
      </c>
      <c r="D787" s="5">
        <v>2</v>
      </c>
      <c r="E787" s="9" t="s">
        <v>10165</v>
      </c>
      <c r="F787" s="9" t="s">
        <v>11725</v>
      </c>
      <c r="G787" s="9" t="str">
        <f>HYPERLINK("https://seichotoushi-hojo.jp/assets/pdf/koufu_3_4ji/outline_168.pdf","PDFを開く")</f>
        <v>PDFを開く</v>
      </c>
    </row>
    <row r="788" spans="1:7" ht="87.95" customHeight="1">
      <c r="A788" s="2" t="s">
        <v>2798</v>
      </c>
      <c r="B788" s="2" t="s">
        <v>2430</v>
      </c>
      <c r="C788" s="8" t="s">
        <v>2799</v>
      </c>
      <c r="D788" s="2">
        <v>3</v>
      </c>
      <c r="E788" s="8" t="s">
        <v>10165</v>
      </c>
      <c r="F788" s="8" t="s">
        <v>11726</v>
      </c>
      <c r="G788" s="8" t="str">
        <f>HYPERLINK("https://seichotoushi-hojo.jp/assets/pdf/koufu_3_4ji/outline_168.pdf","PDFを開く")</f>
        <v>PDFを開く</v>
      </c>
    </row>
    <row r="789" spans="1:7" ht="87.95" customHeight="1">
      <c r="A789" s="5" t="s">
        <v>2809</v>
      </c>
      <c r="B789" s="5" t="s">
        <v>2430</v>
      </c>
      <c r="C789" s="9" t="s">
        <v>2810</v>
      </c>
      <c r="D789" s="5">
        <v>1</v>
      </c>
      <c r="E789" s="9" t="s">
        <v>10156</v>
      </c>
      <c r="F789" s="9" t="s">
        <v>11727</v>
      </c>
      <c r="G789" s="9" t="str">
        <f>HYPERLINK("https://seichotoushi-hojo.jp/assets/pdf/koufu_3_4ji/outline_170.pdf","PDFを開く")</f>
        <v>PDFを開く</v>
      </c>
    </row>
    <row r="790" spans="1:7" ht="87.95" customHeight="1">
      <c r="A790" s="2" t="s">
        <v>2809</v>
      </c>
      <c r="B790" s="2" t="s">
        <v>2430</v>
      </c>
      <c r="C790" s="8" t="s">
        <v>2810</v>
      </c>
      <c r="D790" s="2">
        <v>2</v>
      </c>
      <c r="E790" s="8" t="s">
        <v>10165</v>
      </c>
      <c r="F790" s="8" t="s">
        <v>11728</v>
      </c>
      <c r="G790" s="8" t="str">
        <f>HYPERLINK("https://seichotoushi-hojo.jp/assets/pdf/koufu_3_4ji/outline_170.pdf","PDFを開く")</f>
        <v>PDFを開く</v>
      </c>
    </row>
    <row r="791" spans="1:7" ht="87.95" customHeight="1">
      <c r="A791" s="5" t="s">
        <v>2817</v>
      </c>
      <c r="B791" s="5" t="s">
        <v>2430</v>
      </c>
      <c r="C791" s="9" t="s">
        <v>2818</v>
      </c>
      <c r="D791" s="5">
        <v>1</v>
      </c>
      <c r="E791" s="9" t="s">
        <v>10156</v>
      </c>
      <c r="F791" s="9" t="s">
        <v>11729</v>
      </c>
      <c r="G791" s="9" t="str">
        <f>HYPERLINK("https://seichotoushi-hojo.jp/assets/pdf/koufu_3_4ji/outline_171.pdf","PDFを開く")</f>
        <v>PDFを開く</v>
      </c>
    </row>
    <row r="792" spans="1:7" ht="87.95" customHeight="1">
      <c r="A792" s="2" t="s">
        <v>2817</v>
      </c>
      <c r="B792" s="2" t="s">
        <v>2430</v>
      </c>
      <c r="C792" s="8" t="s">
        <v>2818</v>
      </c>
      <c r="D792" s="2">
        <v>2</v>
      </c>
      <c r="E792" s="8" t="s">
        <v>10165</v>
      </c>
      <c r="F792" s="8" t="s">
        <v>11730</v>
      </c>
      <c r="G792" s="8" t="str">
        <f>HYPERLINK("https://seichotoushi-hojo.jp/assets/pdf/koufu_3_4ji/outline_171.pdf","PDFを開く")</f>
        <v>PDFを開く</v>
      </c>
    </row>
    <row r="793" spans="1:7" ht="87.95" customHeight="1">
      <c r="A793" s="5" t="s">
        <v>2825</v>
      </c>
      <c r="B793" s="5" t="s">
        <v>2430</v>
      </c>
      <c r="C793" s="9" t="s">
        <v>2826</v>
      </c>
      <c r="D793" s="5">
        <v>1</v>
      </c>
      <c r="E793" s="9" t="s">
        <v>10156</v>
      </c>
      <c r="F793" s="9" t="s">
        <v>11731</v>
      </c>
      <c r="G793" s="9" t="str">
        <f>HYPERLINK("https://seichotoushi-hojo.jp/assets/pdf/koufu_3_4ji/outline_172.pdf","PDFを開く")</f>
        <v>PDFを開く</v>
      </c>
    </row>
    <row r="794" spans="1:7" ht="87.95" customHeight="1">
      <c r="A794" s="2" t="s">
        <v>2825</v>
      </c>
      <c r="B794" s="2" t="s">
        <v>2430</v>
      </c>
      <c r="C794" s="8" t="s">
        <v>2826</v>
      </c>
      <c r="D794" s="2">
        <v>2</v>
      </c>
      <c r="E794" s="8" t="s">
        <v>10165</v>
      </c>
      <c r="F794" s="8" t="s">
        <v>11732</v>
      </c>
      <c r="G794" s="8" t="str">
        <f>HYPERLINK("https://seichotoushi-hojo.jp/assets/pdf/koufu_3_4ji/outline_172.pdf","PDFを開く")</f>
        <v>PDFを開く</v>
      </c>
    </row>
    <row r="795" spans="1:7" ht="87.95" customHeight="1">
      <c r="A795" s="5" t="s">
        <v>2833</v>
      </c>
      <c r="B795" s="5" t="s">
        <v>2430</v>
      </c>
      <c r="C795" s="9" t="s">
        <v>2834</v>
      </c>
      <c r="D795" s="5">
        <v>1</v>
      </c>
      <c r="E795" s="9" t="s">
        <v>10156</v>
      </c>
      <c r="F795" s="9" t="s">
        <v>11733</v>
      </c>
      <c r="G795" s="9" t="str">
        <f>HYPERLINK("https://seichotoushi-hojo.jp/assets/pdf/koufu_3_4ji/outline_174.pdf","PDFを開く")</f>
        <v>PDFを開く</v>
      </c>
    </row>
    <row r="796" spans="1:7" ht="87.95" customHeight="1">
      <c r="A796" s="2" t="s">
        <v>2833</v>
      </c>
      <c r="B796" s="2" t="s">
        <v>2430</v>
      </c>
      <c r="C796" s="8" t="s">
        <v>2834</v>
      </c>
      <c r="D796" s="2">
        <v>2</v>
      </c>
      <c r="E796" s="8" t="s">
        <v>10165</v>
      </c>
      <c r="F796" s="8" t="s">
        <v>11734</v>
      </c>
      <c r="G796" s="8" t="str">
        <f>HYPERLINK("https://seichotoushi-hojo.jp/assets/pdf/koufu_3_4ji/outline_174.pdf","PDFを開く")</f>
        <v>PDFを開く</v>
      </c>
    </row>
    <row r="797" spans="1:7" ht="87.95" customHeight="1">
      <c r="A797" s="5" t="s">
        <v>2841</v>
      </c>
      <c r="B797" s="5" t="s">
        <v>2430</v>
      </c>
      <c r="C797" s="9" t="s">
        <v>2842</v>
      </c>
      <c r="D797" s="5">
        <v>1</v>
      </c>
      <c r="E797" s="9" t="s">
        <v>10156</v>
      </c>
      <c r="F797" s="9" t="s">
        <v>11735</v>
      </c>
      <c r="G797" s="9" t="str">
        <f>HYPERLINK("https://seichotoushi-hojo.jp/assets/pdf/koufu_3_4ji/outline_175.pdf","PDFを開く")</f>
        <v>PDFを開く</v>
      </c>
    </row>
    <row r="798" spans="1:7" ht="87.95" customHeight="1">
      <c r="A798" s="2" t="s">
        <v>2841</v>
      </c>
      <c r="B798" s="2" t="s">
        <v>2430</v>
      </c>
      <c r="C798" s="8" t="s">
        <v>2842</v>
      </c>
      <c r="D798" s="2">
        <v>2</v>
      </c>
      <c r="E798" s="8" t="s">
        <v>10165</v>
      </c>
      <c r="F798" s="8" t="s">
        <v>11736</v>
      </c>
      <c r="G798" s="8" t="str">
        <f>HYPERLINK("https://seichotoushi-hojo.jp/assets/pdf/koufu_3_4ji/outline_175.pdf","PDFを開く")</f>
        <v>PDFを開く</v>
      </c>
    </row>
    <row r="799" spans="1:7" ht="87.95" customHeight="1">
      <c r="A799" s="5" t="s">
        <v>2849</v>
      </c>
      <c r="B799" s="5" t="s">
        <v>2430</v>
      </c>
      <c r="C799" s="9" t="s">
        <v>2850</v>
      </c>
      <c r="D799" s="5">
        <v>1</v>
      </c>
      <c r="E799" s="9" t="s">
        <v>10156</v>
      </c>
      <c r="F799" s="9" t="s">
        <v>11737</v>
      </c>
      <c r="G799" s="9" t="str">
        <f>HYPERLINK("https://seichotoushi-hojo.jp/assets/pdf/koufu_3_4ji/outline_176.pdf","PDFを開く")</f>
        <v>PDFを開く</v>
      </c>
    </row>
    <row r="800" spans="1:7" ht="87.95" customHeight="1">
      <c r="A800" s="2" t="s">
        <v>2849</v>
      </c>
      <c r="B800" s="2" t="s">
        <v>2430</v>
      </c>
      <c r="C800" s="8" t="s">
        <v>2850</v>
      </c>
      <c r="D800" s="2">
        <v>2</v>
      </c>
      <c r="E800" s="8" t="s">
        <v>10165</v>
      </c>
      <c r="F800" s="8" t="s">
        <v>11738</v>
      </c>
      <c r="G800" s="8" t="str">
        <f>HYPERLINK("https://seichotoushi-hojo.jp/assets/pdf/koufu_3_4ji/outline_176.pdf","PDFを開く")</f>
        <v>PDFを開く</v>
      </c>
    </row>
    <row r="801" spans="1:7" ht="87.95" customHeight="1">
      <c r="A801" s="5" t="s">
        <v>2857</v>
      </c>
      <c r="B801" s="5" t="s">
        <v>2430</v>
      </c>
      <c r="C801" s="9" t="s">
        <v>2858</v>
      </c>
      <c r="D801" s="5">
        <v>1</v>
      </c>
      <c r="E801" s="9" t="s">
        <v>10156</v>
      </c>
      <c r="F801" s="9" t="s">
        <v>11739</v>
      </c>
      <c r="G801" s="9" t="str">
        <f>HYPERLINK("https://seichotoushi-hojo.jp/assets/pdf/koufu_3_4ji/outline_177.pdf","PDFを開く")</f>
        <v>PDFを開く</v>
      </c>
    </row>
    <row r="802" spans="1:7" ht="87.95" customHeight="1">
      <c r="A802" s="2" t="s">
        <v>2857</v>
      </c>
      <c r="B802" s="2" t="s">
        <v>2430</v>
      </c>
      <c r="C802" s="8" t="s">
        <v>2858</v>
      </c>
      <c r="D802" s="2">
        <v>2</v>
      </c>
      <c r="E802" s="8" t="s">
        <v>10165</v>
      </c>
      <c r="F802" s="8" t="s">
        <v>11740</v>
      </c>
      <c r="G802" s="8" t="str">
        <f>HYPERLINK("https://seichotoushi-hojo.jp/assets/pdf/koufu_3_4ji/outline_177.pdf","PDFを開く")</f>
        <v>PDFを開く</v>
      </c>
    </row>
    <row r="803" spans="1:7" ht="87.95" customHeight="1">
      <c r="A803" s="5" t="s">
        <v>2865</v>
      </c>
      <c r="B803" s="5" t="s">
        <v>2430</v>
      </c>
      <c r="C803" s="9" t="s">
        <v>2866</v>
      </c>
      <c r="D803" s="5">
        <v>1</v>
      </c>
      <c r="E803" s="9" t="s">
        <v>10156</v>
      </c>
      <c r="F803" s="9" t="s">
        <v>11741</v>
      </c>
      <c r="G803" s="9" t="str">
        <f>HYPERLINK("https://seichotoushi-hojo.jp/assets/pdf/koufu_3_4ji/outline_178.pdf","PDFを開く")</f>
        <v>PDFを開く</v>
      </c>
    </row>
    <row r="804" spans="1:7" ht="87.95" customHeight="1">
      <c r="A804" s="2" t="s">
        <v>2865</v>
      </c>
      <c r="B804" s="2" t="s">
        <v>2430</v>
      </c>
      <c r="C804" s="8" t="s">
        <v>2866</v>
      </c>
      <c r="D804" s="2">
        <v>2</v>
      </c>
      <c r="E804" s="8" t="s">
        <v>10165</v>
      </c>
      <c r="F804" s="8" t="s">
        <v>11742</v>
      </c>
      <c r="G804" s="8" t="str">
        <f>HYPERLINK("https://seichotoushi-hojo.jp/assets/pdf/koufu_3_4ji/outline_178.pdf","PDFを開く")</f>
        <v>PDFを開く</v>
      </c>
    </row>
    <row r="805" spans="1:7" ht="87.95" customHeight="1">
      <c r="A805" s="5" t="s">
        <v>2865</v>
      </c>
      <c r="B805" s="5" t="s">
        <v>2430</v>
      </c>
      <c r="C805" s="9" t="s">
        <v>2866</v>
      </c>
      <c r="D805" s="5">
        <v>3</v>
      </c>
      <c r="E805" s="9" t="s">
        <v>10165</v>
      </c>
      <c r="F805" s="9" t="s">
        <v>11743</v>
      </c>
      <c r="G805" s="9" t="str">
        <f>HYPERLINK("https://seichotoushi-hojo.jp/assets/pdf/koufu_3_4ji/outline_178.pdf","PDFを開く")</f>
        <v>PDFを開く</v>
      </c>
    </row>
    <row r="806" spans="1:7" ht="87.95" customHeight="1">
      <c r="A806" s="2" t="s">
        <v>2873</v>
      </c>
      <c r="B806" s="2" t="s">
        <v>2430</v>
      </c>
      <c r="C806" s="8" t="s">
        <v>2874</v>
      </c>
      <c r="D806" s="2">
        <v>1</v>
      </c>
      <c r="E806" s="8" t="s">
        <v>10156</v>
      </c>
      <c r="F806" s="8" t="s">
        <v>11744</v>
      </c>
      <c r="G806" s="8" t="str">
        <f>HYPERLINK("https://seichotoushi-hojo.jp/assets/pdf/koufu_3_4ji/outline_179.pdf","PDFを開く")</f>
        <v>PDFを開く</v>
      </c>
    </row>
    <row r="807" spans="1:7" ht="87.95" customHeight="1">
      <c r="A807" s="5" t="s">
        <v>2873</v>
      </c>
      <c r="B807" s="5" t="s">
        <v>2430</v>
      </c>
      <c r="C807" s="9" t="s">
        <v>2874</v>
      </c>
      <c r="D807" s="5">
        <v>2</v>
      </c>
      <c r="E807" s="9" t="s">
        <v>10165</v>
      </c>
      <c r="F807" s="9" t="s">
        <v>11745</v>
      </c>
      <c r="G807" s="9" t="str">
        <f>HYPERLINK("https://seichotoushi-hojo.jp/assets/pdf/koufu_3_4ji/outline_179.pdf","PDFを開く")</f>
        <v>PDFを開く</v>
      </c>
    </row>
    <row r="808" spans="1:7" ht="87.95" customHeight="1">
      <c r="A808" s="2" t="s">
        <v>2881</v>
      </c>
      <c r="B808" s="2" t="s">
        <v>2430</v>
      </c>
      <c r="C808" s="8" t="s">
        <v>2882</v>
      </c>
      <c r="D808" s="2">
        <v>1</v>
      </c>
      <c r="E808" s="8" t="s">
        <v>10156</v>
      </c>
      <c r="F808" s="8" t="s">
        <v>11746</v>
      </c>
      <c r="G808" s="8" t="str">
        <f>HYPERLINK("https://seichotoushi-hojo.jp/assets/pdf/koufu_3_4ji/outline_180.pdf","PDFを開く")</f>
        <v>PDFを開く</v>
      </c>
    </row>
    <row r="809" spans="1:7" ht="87.95" customHeight="1">
      <c r="A809" s="5" t="s">
        <v>2881</v>
      </c>
      <c r="B809" s="5" t="s">
        <v>2430</v>
      </c>
      <c r="C809" s="9" t="s">
        <v>2882</v>
      </c>
      <c r="D809" s="5">
        <v>2</v>
      </c>
      <c r="E809" s="9" t="s">
        <v>10165</v>
      </c>
      <c r="F809" s="9" t="s">
        <v>11747</v>
      </c>
      <c r="G809" s="9" t="str">
        <f>HYPERLINK("https://seichotoushi-hojo.jp/assets/pdf/koufu_3_4ji/outline_180.pdf","PDFを開く")</f>
        <v>PDFを開く</v>
      </c>
    </row>
    <row r="810" spans="1:7" ht="87.95" customHeight="1">
      <c r="A810" s="2" t="s">
        <v>2889</v>
      </c>
      <c r="B810" s="2" t="s">
        <v>2430</v>
      </c>
      <c r="C810" s="8" t="s">
        <v>2890</v>
      </c>
      <c r="D810" s="2">
        <v>1</v>
      </c>
      <c r="E810" s="8" t="s">
        <v>10156</v>
      </c>
      <c r="F810" s="8" t="s">
        <v>11748</v>
      </c>
      <c r="G810" s="8" t="str">
        <f>HYPERLINK("https://seichotoushi-hojo.jp/assets/pdf/koufu_3_4ji/outline_181.pdf","PDFを開く")</f>
        <v>PDFを開く</v>
      </c>
    </row>
    <row r="811" spans="1:7" ht="87.95" customHeight="1">
      <c r="A811" s="5" t="s">
        <v>2889</v>
      </c>
      <c r="B811" s="5" t="s">
        <v>2430</v>
      </c>
      <c r="C811" s="9" t="s">
        <v>2890</v>
      </c>
      <c r="D811" s="5">
        <v>2</v>
      </c>
      <c r="E811" s="9" t="s">
        <v>10165</v>
      </c>
      <c r="F811" s="9" t="s">
        <v>11749</v>
      </c>
      <c r="G811" s="9" t="str">
        <f>HYPERLINK("https://seichotoushi-hojo.jp/assets/pdf/koufu_3_4ji/outline_181.pdf","PDFを開く")</f>
        <v>PDFを開く</v>
      </c>
    </row>
    <row r="812" spans="1:7" ht="87.95" customHeight="1">
      <c r="A812" s="2" t="s">
        <v>2897</v>
      </c>
      <c r="B812" s="2" t="s">
        <v>2430</v>
      </c>
      <c r="C812" s="8" t="s">
        <v>2898</v>
      </c>
      <c r="D812" s="2">
        <v>1</v>
      </c>
      <c r="E812" s="8" t="s">
        <v>10156</v>
      </c>
      <c r="F812" s="8" t="s">
        <v>11750</v>
      </c>
      <c r="G812" s="8" t="str">
        <f>HYPERLINK("https://seichotoushi-hojo.jp/assets/pdf/koufu_3_4ji/outline_182.pdf","PDFを開く")</f>
        <v>PDFを開く</v>
      </c>
    </row>
    <row r="813" spans="1:7" ht="87.95" customHeight="1">
      <c r="A813" s="5" t="s">
        <v>2897</v>
      </c>
      <c r="B813" s="5" t="s">
        <v>2430</v>
      </c>
      <c r="C813" s="9" t="s">
        <v>2898</v>
      </c>
      <c r="D813" s="5">
        <v>2</v>
      </c>
      <c r="E813" s="9" t="s">
        <v>10165</v>
      </c>
      <c r="F813" s="9" t="s">
        <v>11751</v>
      </c>
      <c r="G813" s="9" t="str">
        <f>HYPERLINK("https://seichotoushi-hojo.jp/assets/pdf/koufu_3_4ji/outline_182.pdf","PDFを開く")</f>
        <v>PDFを開く</v>
      </c>
    </row>
    <row r="814" spans="1:7" ht="87.95" customHeight="1">
      <c r="A814" s="2" t="s">
        <v>2903</v>
      </c>
      <c r="B814" s="2" t="s">
        <v>2430</v>
      </c>
      <c r="C814" s="8" t="s">
        <v>2904</v>
      </c>
      <c r="D814" s="2">
        <v>1</v>
      </c>
      <c r="E814" s="8" t="s">
        <v>10156</v>
      </c>
      <c r="F814" s="8" t="s">
        <v>11752</v>
      </c>
      <c r="G814" s="8" t="str">
        <f>HYPERLINK("https://seichotoushi-hojo.jp/assets/pdf/koufu_3_4ji/outline_183.pdf","PDFを開く")</f>
        <v>PDFを開く</v>
      </c>
    </row>
    <row r="815" spans="1:7" ht="87.95" customHeight="1">
      <c r="A815" s="5" t="s">
        <v>2903</v>
      </c>
      <c r="B815" s="5" t="s">
        <v>2430</v>
      </c>
      <c r="C815" s="9" t="s">
        <v>2904</v>
      </c>
      <c r="D815" s="5">
        <v>2</v>
      </c>
      <c r="E815" s="9" t="s">
        <v>10165</v>
      </c>
      <c r="F815" s="9" t="s">
        <v>11753</v>
      </c>
      <c r="G815" s="9" t="str">
        <f>HYPERLINK("https://seichotoushi-hojo.jp/assets/pdf/koufu_3_4ji/outline_183.pdf","PDFを開く")</f>
        <v>PDFを開く</v>
      </c>
    </row>
    <row r="816" spans="1:7" ht="87.95" customHeight="1">
      <c r="A816" s="2" t="s">
        <v>2903</v>
      </c>
      <c r="B816" s="2" t="s">
        <v>2430</v>
      </c>
      <c r="C816" s="8" t="s">
        <v>2904</v>
      </c>
      <c r="D816" s="2">
        <v>3</v>
      </c>
      <c r="E816" s="8" t="s">
        <v>10165</v>
      </c>
      <c r="F816" s="8" t="s">
        <v>11754</v>
      </c>
      <c r="G816" s="8" t="str">
        <f>HYPERLINK("https://seichotoushi-hojo.jp/assets/pdf/koufu_3_4ji/outline_183.pdf","PDFを開く")</f>
        <v>PDFを開く</v>
      </c>
    </row>
    <row r="817" spans="1:7" ht="87.95" customHeight="1">
      <c r="A817" s="5" t="s">
        <v>2903</v>
      </c>
      <c r="B817" s="5" t="s">
        <v>2430</v>
      </c>
      <c r="C817" s="9" t="s">
        <v>2904</v>
      </c>
      <c r="D817" s="5">
        <v>4</v>
      </c>
      <c r="E817" s="9" t="s">
        <v>10165</v>
      </c>
      <c r="F817" s="9" t="s">
        <v>11755</v>
      </c>
      <c r="G817" s="9" t="str">
        <f>HYPERLINK("https://seichotoushi-hojo.jp/assets/pdf/koufu_3_4ji/outline_183.pdf","PDFを開く")</f>
        <v>PDFを開く</v>
      </c>
    </row>
    <row r="818" spans="1:7" ht="87.95" customHeight="1">
      <c r="A818" s="2" t="s">
        <v>2903</v>
      </c>
      <c r="B818" s="2" t="s">
        <v>2430</v>
      </c>
      <c r="C818" s="8" t="s">
        <v>2904</v>
      </c>
      <c r="D818" s="2">
        <v>5</v>
      </c>
      <c r="E818" s="8" t="s">
        <v>10165</v>
      </c>
      <c r="F818" s="8" t="s">
        <v>11756</v>
      </c>
      <c r="G818" s="8" t="str">
        <f>HYPERLINK("https://seichotoushi-hojo.jp/assets/pdf/koufu_3_4ji/outline_183.pdf","PDFを開く")</f>
        <v>PDFを開く</v>
      </c>
    </row>
    <row r="819" spans="1:7" ht="87.95" customHeight="1">
      <c r="A819" s="5" t="s">
        <v>2910</v>
      </c>
      <c r="B819" s="5" t="s">
        <v>2430</v>
      </c>
      <c r="C819" s="9" t="s">
        <v>2911</v>
      </c>
      <c r="D819" s="5">
        <v>1</v>
      </c>
      <c r="E819" s="9" t="s">
        <v>10156</v>
      </c>
      <c r="F819" s="9" t="s">
        <v>11757</v>
      </c>
      <c r="G819" s="9" t="str">
        <f>HYPERLINK("https://seichotoushi-hojo.jp/assets/pdf/koufu_3_4ji/outline_184.pdf","PDFを開く")</f>
        <v>PDFを開く</v>
      </c>
    </row>
    <row r="820" spans="1:7" ht="87.95" customHeight="1">
      <c r="A820" s="2" t="s">
        <v>2910</v>
      </c>
      <c r="B820" s="2" t="s">
        <v>2430</v>
      </c>
      <c r="C820" s="8" t="s">
        <v>2911</v>
      </c>
      <c r="D820" s="2">
        <v>2</v>
      </c>
      <c r="E820" s="8" t="s">
        <v>10165</v>
      </c>
      <c r="F820" s="8" t="s">
        <v>11758</v>
      </c>
      <c r="G820" s="8" t="str">
        <f>HYPERLINK("https://seichotoushi-hojo.jp/assets/pdf/koufu_3_4ji/outline_184.pdf","PDFを開く")</f>
        <v>PDFを開く</v>
      </c>
    </row>
    <row r="821" spans="1:7" ht="87.95" customHeight="1">
      <c r="A821" s="5" t="s">
        <v>2918</v>
      </c>
      <c r="B821" s="5" t="s">
        <v>2430</v>
      </c>
      <c r="C821" s="9" t="s">
        <v>2919</v>
      </c>
      <c r="D821" s="5">
        <v>1</v>
      </c>
      <c r="E821" s="9" t="s">
        <v>10156</v>
      </c>
      <c r="F821" s="9" t="s">
        <v>11759</v>
      </c>
      <c r="G821" s="9" t="str">
        <f>HYPERLINK("https://seichotoushi-hojo.jp/assets/pdf/koufu_3_4ji/outline_187.pdf","PDFを開く")</f>
        <v>PDFを開く</v>
      </c>
    </row>
    <row r="822" spans="1:7" ht="87.95" customHeight="1">
      <c r="A822" s="2" t="s">
        <v>2918</v>
      </c>
      <c r="B822" s="2" t="s">
        <v>2430</v>
      </c>
      <c r="C822" s="8" t="s">
        <v>2919</v>
      </c>
      <c r="D822" s="2">
        <v>2</v>
      </c>
      <c r="E822" s="8" t="s">
        <v>10165</v>
      </c>
      <c r="F822" s="8" t="s">
        <v>11760</v>
      </c>
      <c r="G822" s="8" t="str">
        <f>HYPERLINK("https://seichotoushi-hojo.jp/assets/pdf/koufu_3_4ji/outline_187.pdf","PDFを開く")</f>
        <v>PDFを開く</v>
      </c>
    </row>
    <row r="823" spans="1:7" ht="87.95" customHeight="1">
      <c r="A823" s="5" t="s">
        <v>2926</v>
      </c>
      <c r="B823" s="5" t="s">
        <v>2430</v>
      </c>
      <c r="C823" s="9" t="s">
        <v>2927</v>
      </c>
      <c r="D823" s="5">
        <v>1</v>
      </c>
      <c r="E823" s="9" t="s">
        <v>10156</v>
      </c>
      <c r="F823" s="9" t="s">
        <v>11761</v>
      </c>
      <c r="G823" s="9" t="str">
        <f>HYPERLINK("https://seichotoushi-hojo.jp/assets/pdf/koufu_3_4ji/outline_189.pdf","PDFを開く")</f>
        <v>PDFを開く</v>
      </c>
    </row>
    <row r="824" spans="1:7" ht="87.95" customHeight="1">
      <c r="A824" s="2" t="s">
        <v>2926</v>
      </c>
      <c r="B824" s="2" t="s">
        <v>2430</v>
      </c>
      <c r="C824" s="8" t="s">
        <v>2927</v>
      </c>
      <c r="D824" s="2">
        <v>2</v>
      </c>
      <c r="E824" s="8" t="s">
        <v>10165</v>
      </c>
      <c r="F824" s="8" t="s">
        <v>11762</v>
      </c>
      <c r="G824" s="8" t="str">
        <f>HYPERLINK("https://seichotoushi-hojo.jp/assets/pdf/koufu_3_4ji/outline_189.pdf","PDFを開く")</f>
        <v>PDFを開く</v>
      </c>
    </row>
    <row r="825" spans="1:7" ht="87.95" customHeight="1">
      <c r="A825" s="5" t="s">
        <v>2935</v>
      </c>
      <c r="B825" s="5" t="s">
        <v>2430</v>
      </c>
      <c r="C825" s="9" t="s">
        <v>2936</v>
      </c>
      <c r="D825" s="5">
        <v>1</v>
      </c>
      <c r="E825" s="9" t="s">
        <v>10156</v>
      </c>
      <c r="F825" s="9" t="s">
        <v>11763</v>
      </c>
      <c r="G825" s="9" t="str">
        <f>HYPERLINK("https://seichotoushi-hojo.jp/assets/pdf/koufu_3_4ji/outline_191.pdf","PDFを開く")</f>
        <v>PDFを開く</v>
      </c>
    </row>
    <row r="826" spans="1:7" ht="87.95" customHeight="1">
      <c r="A826" s="2" t="s">
        <v>2935</v>
      </c>
      <c r="B826" s="2" t="s">
        <v>2430</v>
      </c>
      <c r="C826" s="8" t="s">
        <v>2936</v>
      </c>
      <c r="D826" s="2">
        <v>2</v>
      </c>
      <c r="E826" s="8" t="s">
        <v>10165</v>
      </c>
      <c r="F826" s="8" t="s">
        <v>11764</v>
      </c>
      <c r="G826" s="8" t="str">
        <f>HYPERLINK("https://seichotoushi-hojo.jp/assets/pdf/koufu_3_4ji/outline_191.pdf","PDFを開く")</f>
        <v>PDFを開く</v>
      </c>
    </row>
    <row r="827" spans="1:7" ht="87.95" customHeight="1">
      <c r="A827" s="5" t="s">
        <v>2943</v>
      </c>
      <c r="B827" s="5" t="s">
        <v>2430</v>
      </c>
      <c r="C827" s="9" t="s">
        <v>2944</v>
      </c>
      <c r="D827" s="5">
        <v>1</v>
      </c>
      <c r="E827" s="9" t="s">
        <v>10156</v>
      </c>
      <c r="F827" s="9" t="s">
        <v>11765</v>
      </c>
      <c r="G827" s="9" t="str">
        <f>HYPERLINK("https://seichotoushi-hojo.jp/assets/pdf/koufu_3_4ji/outline_192.pdf","PDFを開く")</f>
        <v>PDFを開く</v>
      </c>
    </row>
    <row r="828" spans="1:7" ht="87.95" customHeight="1">
      <c r="A828" s="2" t="s">
        <v>2943</v>
      </c>
      <c r="B828" s="2" t="s">
        <v>2430</v>
      </c>
      <c r="C828" s="8" t="s">
        <v>2944</v>
      </c>
      <c r="D828" s="2">
        <v>2</v>
      </c>
      <c r="E828" s="8" t="s">
        <v>10165</v>
      </c>
      <c r="F828" s="8" t="s">
        <v>11766</v>
      </c>
      <c r="G828" s="8" t="str">
        <f>HYPERLINK("https://seichotoushi-hojo.jp/assets/pdf/koufu_3_4ji/outline_192.pdf","PDFを開く")</f>
        <v>PDFを開く</v>
      </c>
    </row>
    <row r="829" spans="1:7" ht="87.95" customHeight="1">
      <c r="A829" s="5" t="s">
        <v>2950</v>
      </c>
      <c r="B829" s="5" t="s">
        <v>2430</v>
      </c>
      <c r="C829" s="9" t="s">
        <v>2951</v>
      </c>
      <c r="D829" s="5">
        <v>1</v>
      </c>
      <c r="E829" s="9" t="s">
        <v>10156</v>
      </c>
      <c r="F829" s="9" t="s">
        <v>11767</v>
      </c>
      <c r="G829" s="9" t="str">
        <f>HYPERLINK("https://seichotoushi-hojo.jp/assets/pdf/koufu_3_4ji/outline_193.pdf","PDFを開く")</f>
        <v>PDFを開く</v>
      </c>
    </row>
    <row r="830" spans="1:7" ht="87.95" customHeight="1">
      <c r="A830" s="2" t="s">
        <v>2950</v>
      </c>
      <c r="B830" s="2" t="s">
        <v>2430</v>
      </c>
      <c r="C830" s="8" t="s">
        <v>2951</v>
      </c>
      <c r="D830" s="2">
        <v>2</v>
      </c>
      <c r="E830" s="8" t="s">
        <v>10165</v>
      </c>
      <c r="F830" s="8" t="s">
        <v>11768</v>
      </c>
      <c r="G830" s="8" t="str">
        <f>HYPERLINK("https://seichotoushi-hojo.jp/assets/pdf/koufu_3_4ji/outline_193.pdf","PDFを開く")</f>
        <v>PDFを開く</v>
      </c>
    </row>
    <row r="831" spans="1:7" ht="87.95" customHeight="1">
      <c r="A831" s="5" t="s">
        <v>2958</v>
      </c>
      <c r="B831" s="5" t="s">
        <v>2430</v>
      </c>
      <c r="C831" s="9" t="s">
        <v>2959</v>
      </c>
      <c r="D831" s="5">
        <v>1</v>
      </c>
      <c r="E831" s="9" t="s">
        <v>10156</v>
      </c>
      <c r="F831" s="9" t="s">
        <v>11769</v>
      </c>
      <c r="G831" s="9" t="str">
        <f>HYPERLINK("https://seichotoushi-hojo.jp/assets/pdf/koufu_3_4ji/outline_194.pdf","PDFを開く")</f>
        <v>PDFを開く</v>
      </c>
    </row>
    <row r="832" spans="1:7" ht="87.95" customHeight="1">
      <c r="A832" s="2" t="s">
        <v>2958</v>
      </c>
      <c r="B832" s="2" t="s">
        <v>2430</v>
      </c>
      <c r="C832" s="8" t="s">
        <v>2959</v>
      </c>
      <c r="D832" s="2">
        <v>2</v>
      </c>
      <c r="E832" s="8" t="s">
        <v>10165</v>
      </c>
      <c r="F832" s="8" t="s">
        <v>11770</v>
      </c>
      <c r="G832" s="8" t="str">
        <f>HYPERLINK("https://seichotoushi-hojo.jp/assets/pdf/koufu_3_4ji/outline_194.pdf","PDFを開く")</f>
        <v>PDFを開く</v>
      </c>
    </row>
    <row r="833" spans="1:7" ht="87.95" customHeight="1">
      <c r="A833" s="5" t="s">
        <v>2965</v>
      </c>
      <c r="B833" s="5" t="s">
        <v>2430</v>
      </c>
      <c r="C833" s="9" t="s">
        <v>2966</v>
      </c>
      <c r="D833" s="5">
        <v>1</v>
      </c>
      <c r="E833" s="9" t="s">
        <v>10156</v>
      </c>
      <c r="F833" s="9" t="s">
        <v>11771</v>
      </c>
      <c r="G833" s="9" t="str">
        <f>HYPERLINK("https://seichotoushi-hojo.jp/assets/pdf/koufu_3_4ji/outline_195.pdf","PDFを開く")</f>
        <v>PDFを開く</v>
      </c>
    </row>
    <row r="834" spans="1:7" ht="87.95" customHeight="1">
      <c r="A834" s="2" t="s">
        <v>2965</v>
      </c>
      <c r="B834" s="2" t="s">
        <v>2430</v>
      </c>
      <c r="C834" s="8" t="s">
        <v>2966</v>
      </c>
      <c r="D834" s="2">
        <v>2</v>
      </c>
      <c r="E834" s="8" t="s">
        <v>10165</v>
      </c>
      <c r="F834" s="8" t="s">
        <v>11772</v>
      </c>
      <c r="G834" s="8" t="str">
        <f>HYPERLINK("https://seichotoushi-hojo.jp/assets/pdf/koufu_3_4ji/outline_195.pdf","PDFを開く")</f>
        <v>PDFを開く</v>
      </c>
    </row>
    <row r="835" spans="1:7" ht="87.95" customHeight="1">
      <c r="A835" s="5" t="s">
        <v>2972</v>
      </c>
      <c r="B835" s="5" t="s">
        <v>2430</v>
      </c>
      <c r="C835" s="9" t="s">
        <v>2973</v>
      </c>
      <c r="D835" s="5">
        <v>1</v>
      </c>
      <c r="E835" s="9" t="s">
        <v>10156</v>
      </c>
      <c r="F835" s="9" t="s">
        <v>11773</v>
      </c>
      <c r="G835" s="9" t="str">
        <f>HYPERLINK("https://seichotoushi-hojo.jp/assets/pdf/koufu_3_4ji/outline_196.pdf","PDFを開く")</f>
        <v>PDFを開く</v>
      </c>
    </row>
    <row r="836" spans="1:7" ht="87.95" customHeight="1">
      <c r="A836" s="2" t="s">
        <v>2972</v>
      </c>
      <c r="B836" s="2" t="s">
        <v>2430</v>
      </c>
      <c r="C836" s="8" t="s">
        <v>2973</v>
      </c>
      <c r="D836" s="2">
        <v>2</v>
      </c>
      <c r="E836" s="8" t="s">
        <v>10165</v>
      </c>
      <c r="F836" s="8" t="s">
        <v>11774</v>
      </c>
      <c r="G836" s="8" t="str">
        <f>HYPERLINK("https://seichotoushi-hojo.jp/assets/pdf/koufu_3_4ji/outline_196.pdf","PDFを開く")</f>
        <v>PDFを開く</v>
      </c>
    </row>
    <row r="837" spans="1:7" ht="87.95" customHeight="1">
      <c r="A837" s="5" t="s">
        <v>2980</v>
      </c>
      <c r="B837" s="5" t="s">
        <v>2430</v>
      </c>
      <c r="C837" s="9" t="s">
        <v>2981</v>
      </c>
      <c r="D837" s="5">
        <v>1</v>
      </c>
      <c r="E837" s="9" t="s">
        <v>10156</v>
      </c>
      <c r="F837" s="9" t="s">
        <v>11775</v>
      </c>
      <c r="G837" s="9" t="str">
        <f>HYPERLINK("https://seichotoushi-hojo.jp/assets/pdf/koufu_3_4ji/outline_199.pdf","PDFを開く")</f>
        <v>PDFを開く</v>
      </c>
    </row>
    <row r="838" spans="1:7" ht="87.95" customHeight="1">
      <c r="A838" s="2" t="s">
        <v>2980</v>
      </c>
      <c r="B838" s="2" t="s">
        <v>2430</v>
      </c>
      <c r="C838" s="8" t="s">
        <v>2981</v>
      </c>
      <c r="D838" s="2">
        <v>2</v>
      </c>
      <c r="E838" s="8" t="s">
        <v>10165</v>
      </c>
      <c r="F838" s="8" t="s">
        <v>11776</v>
      </c>
      <c r="G838" s="8" t="str">
        <f>HYPERLINK("https://seichotoushi-hojo.jp/assets/pdf/koufu_3_4ji/outline_199.pdf","PDFを開く")</f>
        <v>PDFを開く</v>
      </c>
    </row>
    <row r="839" spans="1:7" ht="87.95" customHeight="1">
      <c r="A839" s="5" t="s">
        <v>2987</v>
      </c>
      <c r="B839" s="5" t="s">
        <v>2430</v>
      </c>
      <c r="C839" s="9" t="s">
        <v>2988</v>
      </c>
      <c r="D839" s="5">
        <v>1</v>
      </c>
      <c r="E839" s="9" t="s">
        <v>10156</v>
      </c>
      <c r="F839" s="9" t="s">
        <v>11777</v>
      </c>
      <c r="G839" s="9" t="str">
        <f>HYPERLINK("https://seichotoushi-hojo.jp/assets/pdf/koufu_3_4ji/outline_200.pdf","PDFを開く")</f>
        <v>PDFを開く</v>
      </c>
    </row>
    <row r="840" spans="1:7" ht="87.95" customHeight="1">
      <c r="A840" s="2" t="s">
        <v>2987</v>
      </c>
      <c r="B840" s="2" t="s">
        <v>2430</v>
      </c>
      <c r="C840" s="8" t="s">
        <v>2988</v>
      </c>
      <c r="D840" s="2">
        <v>2</v>
      </c>
      <c r="E840" s="8" t="s">
        <v>10165</v>
      </c>
      <c r="F840" s="8" t="s">
        <v>11778</v>
      </c>
      <c r="G840" s="8" t="str">
        <f>HYPERLINK("https://seichotoushi-hojo.jp/assets/pdf/koufu_3_4ji/outline_200.pdf","PDFを開く")</f>
        <v>PDFを開く</v>
      </c>
    </row>
    <row r="841" spans="1:7" ht="87.95" customHeight="1">
      <c r="A841" s="5" t="s">
        <v>2995</v>
      </c>
      <c r="B841" s="5" t="s">
        <v>2430</v>
      </c>
      <c r="C841" s="9" t="s">
        <v>2996</v>
      </c>
      <c r="D841" s="5">
        <v>1</v>
      </c>
      <c r="E841" s="9" t="s">
        <v>10156</v>
      </c>
      <c r="F841" s="9" t="s">
        <v>11779</v>
      </c>
      <c r="G841" s="9" t="str">
        <f>HYPERLINK("https://seichotoushi-hojo.jp/assets/pdf/koufu_3_4ji/outline_201.pdf","PDFを開く")</f>
        <v>PDFを開く</v>
      </c>
    </row>
    <row r="842" spans="1:7" ht="87.95" customHeight="1">
      <c r="A842" s="2" t="s">
        <v>2995</v>
      </c>
      <c r="B842" s="2" t="s">
        <v>2430</v>
      </c>
      <c r="C842" s="8" t="s">
        <v>2996</v>
      </c>
      <c r="D842" s="2">
        <v>2</v>
      </c>
      <c r="E842" s="8" t="s">
        <v>10156</v>
      </c>
      <c r="F842" s="8" t="s">
        <v>11780</v>
      </c>
      <c r="G842" s="8" t="str">
        <f>HYPERLINK("https://seichotoushi-hojo.jp/assets/pdf/koufu_3_4ji/outline_201.pdf","PDFを開く")</f>
        <v>PDFを開く</v>
      </c>
    </row>
    <row r="843" spans="1:7" ht="87.95" customHeight="1">
      <c r="A843" s="5" t="s">
        <v>2995</v>
      </c>
      <c r="B843" s="5" t="s">
        <v>2430</v>
      </c>
      <c r="C843" s="9" t="s">
        <v>2996</v>
      </c>
      <c r="D843" s="5">
        <v>3</v>
      </c>
      <c r="E843" s="9" t="s">
        <v>10165</v>
      </c>
      <c r="F843" s="9" t="s">
        <v>11781</v>
      </c>
      <c r="G843" s="9" t="str">
        <f>HYPERLINK("https://seichotoushi-hojo.jp/assets/pdf/koufu_3_4ji/outline_201.pdf","PDFを開く")</f>
        <v>PDFを開く</v>
      </c>
    </row>
    <row r="844" spans="1:7" ht="87.95" customHeight="1">
      <c r="A844" s="2" t="s">
        <v>2995</v>
      </c>
      <c r="B844" s="2" t="s">
        <v>2430</v>
      </c>
      <c r="C844" s="8" t="s">
        <v>2996</v>
      </c>
      <c r="D844" s="2">
        <v>4</v>
      </c>
      <c r="E844" s="8" t="s">
        <v>10165</v>
      </c>
      <c r="F844" s="8" t="s">
        <v>11782</v>
      </c>
      <c r="G844" s="8" t="str">
        <f>HYPERLINK("https://seichotoushi-hojo.jp/assets/pdf/koufu_3_4ji/outline_201.pdf","PDFを開く")</f>
        <v>PDFを開く</v>
      </c>
    </row>
    <row r="845" spans="1:7" ht="87.95" customHeight="1">
      <c r="A845" s="5" t="s">
        <v>3002</v>
      </c>
      <c r="B845" s="5" t="s">
        <v>2430</v>
      </c>
      <c r="C845" s="9" t="s">
        <v>3003</v>
      </c>
      <c r="D845" s="5">
        <v>1</v>
      </c>
      <c r="E845" s="9" t="s">
        <v>10156</v>
      </c>
      <c r="F845" s="9" t="s">
        <v>11783</v>
      </c>
      <c r="G845" s="9" t="str">
        <f>HYPERLINK("https://seichotoushi-hojo.jp/assets/pdf/koufu_3_4ji/outline_202.pdf","PDFを開く")</f>
        <v>PDFを開く</v>
      </c>
    </row>
    <row r="846" spans="1:7" ht="87.95" customHeight="1">
      <c r="A846" s="2" t="s">
        <v>3002</v>
      </c>
      <c r="B846" s="2" t="s">
        <v>2430</v>
      </c>
      <c r="C846" s="8" t="s">
        <v>3003</v>
      </c>
      <c r="D846" s="2">
        <v>2</v>
      </c>
      <c r="E846" s="8" t="s">
        <v>10165</v>
      </c>
      <c r="F846" s="8" t="s">
        <v>11784</v>
      </c>
      <c r="G846" s="8" t="str">
        <f>HYPERLINK("https://seichotoushi-hojo.jp/assets/pdf/koufu_3_4ji/outline_202.pdf","PDFを開く")</f>
        <v>PDFを開く</v>
      </c>
    </row>
    <row r="847" spans="1:7" ht="87.95" customHeight="1">
      <c r="A847" s="5" t="s">
        <v>3010</v>
      </c>
      <c r="B847" s="5" t="s">
        <v>2430</v>
      </c>
      <c r="C847" s="9" t="s">
        <v>3011</v>
      </c>
      <c r="D847" s="5">
        <v>1</v>
      </c>
      <c r="E847" s="9" t="s">
        <v>10156</v>
      </c>
      <c r="F847" s="9" t="s">
        <v>11785</v>
      </c>
      <c r="G847" s="9" t="str">
        <f>HYPERLINK("https://seichotoushi-hojo.jp/assets/pdf/koufu_3_4ji/outline_204.pdf","PDFを開く")</f>
        <v>PDFを開く</v>
      </c>
    </row>
    <row r="848" spans="1:7" ht="87.95" customHeight="1">
      <c r="A848" s="2" t="s">
        <v>3010</v>
      </c>
      <c r="B848" s="2" t="s">
        <v>2430</v>
      </c>
      <c r="C848" s="8" t="s">
        <v>3011</v>
      </c>
      <c r="D848" s="2">
        <v>2</v>
      </c>
      <c r="E848" s="8" t="s">
        <v>10165</v>
      </c>
      <c r="F848" s="8" t="s">
        <v>11786</v>
      </c>
      <c r="G848" s="8" t="str">
        <f>HYPERLINK("https://seichotoushi-hojo.jp/assets/pdf/koufu_3_4ji/outline_204.pdf","PDFを開く")</f>
        <v>PDFを開く</v>
      </c>
    </row>
    <row r="849" spans="1:7" ht="87.95" customHeight="1">
      <c r="A849" s="5" t="s">
        <v>3019</v>
      </c>
      <c r="B849" s="5" t="s">
        <v>2430</v>
      </c>
      <c r="C849" s="9" t="s">
        <v>3020</v>
      </c>
      <c r="D849" s="5">
        <v>1</v>
      </c>
      <c r="E849" s="9" t="s">
        <v>10156</v>
      </c>
      <c r="F849" s="9" t="s">
        <v>11787</v>
      </c>
      <c r="G849" s="9" t="str">
        <f>HYPERLINK("https://seichotoushi-hojo.jp/assets/pdf/koufu_3_4ji/outline_206.pdf","PDFを開く")</f>
        <v>PDFを開く</v>
      </c>
    </row>
    <row r="850" spans="1:7" ht="87.95" customHeight="1">
      <c r="A850" s="2" t="s">
        <v>3019</v>
      </c>
      <c r="B850" s="2" t="s">
        <v>2430</v>
      </c>
      <c r="C850" s="8" t="s">
        <v>3020</v>
      </c>
      <c r="D850" s="2">
        <v>2</v>
      </c>
      <c r="E850" s="8" t="s">
        <v>10165</v>
      </c>
      <c r="F850" s="8" t="s">
        <v>11788</v>
      </c>
      <c r="G850" s="8" t="str">
        <f>HYPERLINK("https://seichotoushi-hojo.jp/assets/pdf/koufu_3_4ji/outline_206.pdf","PDFを開く")</f>
        <v>PDFを開く</v>
      </c>
    </row>
    <row r="851" spans="1:7" ht="87.95" customHeight="1">
      <c r="A851" s="5" t="s">
        <v>3026</v>
      </c>
      <c r="B851" s="5" t="s">
        <v>2430</v>
      </c>
      <c r="C851" s="9" t="s">
        <v>3027</v>
      </c>
      <c r="D851" s="5">
        <v>1</v>
      </c>
      <c r="E851" s="9" t="s">
        <v>10156</v>
      </c>
      <c r="F851" s="9" t="s">
        <v>11789</v>
      </c>
      <c r="G851" s="9" t="str">
        <f>HYPERLINK("https://seichotoushi-hojo.jp/assets/pdf/koufu_3_4ji/outline_207.pdf","PDFを開く")</f>
        <v>PDFを開く</v>
      </c>
    </row>
    <row r="852" spans="1:7" ht="87.95" customHeight="1">
      <c r="A852" s="2" t="s">
        <v>3026</v>
      </c>
      <c r="B852" s="2" t="s">
        <v>2430</v>
      </c>
      <c r="C852" s="8" t="s">
        <v>3027</v>
      </c>
      <c r="D852" s="2">
        <v>2</v>
      </c>
      <c r="E852" s="8" t="s">
        <v>10165</v>
      </c>
      <c r="F852" s="8" t="s">
        <v>11790</v>
      </c>
      <c r="G852" s="8" t="str">
        <f>HYPERLINK("https://seichotoushi-hojo.jp/assets/pdf/koufu_3_4ji/outline_207.pdf","PDFを開く")</f>
        <v>PDFを開く</v>
      </c>
    </row>
    <row r="853" spans="1:7" ht="87.95" customHeight="1">
      <c r="A853" s="5" t="s">
        <v>3034</v>
      </c>
      <c r="B853" s="5" t="s">
        <v>2430</v>
      </c>
      <c r="C853" s="9" t="s">
        <v>3035</v>
      </c>
      <c r="D853" s="5">
        <v>1</v>
      </c>
      <c r="E853" s="9" t="s">
        <v>10156</v>
      </c>
      <c r="F853" s="9" t="s">
        <v>11791</v>
      </c>
      <c r="G853" s="9" t="str">
        <f>HYPERLINK("https://seichotoushi-hojo.jp/assets/pdf/koufu_3_4ji/outline_208.pdf","PDFを開く")</f>
        <v>PDFを開く</v>
      </c>
    </row>
    <row r="854" spans="1:7" ht="87.95" customHeight="1">
      <c r="A854" s="2" t="s">
        <v>3034</v>
      </c>
      <c r="B854" s="2" t="s">
        <v>2430</v>
      </c>
      <c r="C854" s="8" t="s">
        <v>3035</v>
      </c>
      <c r="D854" s="2">
        <v>2</v>
      </c>
      <c r="E854" s="8" t="s">
        <v>10165</v>
      </c>
      <c r="F854" s="8" t="s">
        <v>11792</v>
      </c>
      <c r="G854" s="8" t="str">
        <f>HYPERLINK("https://seichotoushi-hojo.jp/assets/pdf/koufu_3_4ji/outline_208.pdf","PDFを開く")</f>
        <v>PDFを開く</v>
      </c>
    </row>
    <row r="855" spans="1:7" ht="87.95" customHeight="1">
      <c r="A855" s="5" t="s">
        <v>3041</v>
      </c>
      <c r="B855" s="5" t="s">
        <v>2430</v>
      </c>
      <c r="C855" s="9" t="s">
        <v>3042</v>
      </c>
      <c r="D855" s="5">
        <v>1</v>
      </c>
      <c r="E855" s="9" t="s">
        <v>10156</v>
      </c>
      <c r="F855" s="9" t="s">
        <v>11793</v>
      </c>
      <c r="G855" s="9" t="str">
        <f>HYPERLINK("https://seichotoushi-hojo.jp/assets/pdf/koufu_3_4ji/outline_210.pdf","PDFを開く")</f>
        <v>PDFを開く</v>
      </c>
    </row>
    <row r="856" spans="1:7" ht="87.95" customHeight="1">
      <c r="A856" s="2" t="s">
        <v>3041</v>
      </c>
      <c r="B856" s="2" t="s">
        <v>2430</v>
      </c>
      <c r="C856" s="8" t="s">
        <v>3042</v>
      </c>
      <c r="D856" s="2">
        <v>2</v>
      </c>
      <c r="E856" s="8" t="s">
        <v>10165</v>
      </c>
      <c r="F856" s="8" t="s">
        <v>11794</v>
      </c>
      <c r="G856" s="8" t="str">
        <f>HYPERLINK("https://seichotoushi-hojo.jp/assets/pdf/koufu_3_4ji/outline_210.pdf","PDFを開く")</f>
        <v>PDFを開く</v>
      </c>
    </row>
    <row r="857" spans="1:7" ht="87.95" customHeight="1">
      <c r="A857" s="5" t="s">
        <v>3049</v>
      </c>
      <c r="B857" s="5" t="s">
        <v>2430</v>
      </c>
      <c r="C857" s="9" t="s">
        <v>3050</v>
      </c>
      <c r="D857" s="5">
        <v>1</v>
      </c>
      <c r="E857" s="9" t="s">
        <v>10156</v>
      </c>
      <c r="F857" s="9" t="s">
        <v>11795</v>
      </c>
      <c r="G857" s="9" t="str">
        <f>HYPERLINK("https://seichotoushi-hojo.jp/assets/pdf/koufu_3_4ji/outline_211.pdf","PDFを開く")</f>
        <v>PDFを開く</v>
      </c>
    </row>
    <row r="858" spans="1:7" ht="87.95" customHeight="1">
      <c r="A858" s="2" t="s">
        <v>3049</v>
      </c>
      <c r="B858" s="2" t="s">
        <v>2430</v>
      </c>
      <c r="C858" s="8" t="s">
        <v>3050</v>
      </c>
      <c r="D858" s="2">
        <v>2</v>
      </c>
      <c r="E858" s="8" t="s">
        <v>10165</v>
      </c>
      <c r="F858" s="8" t="s">
        <v>11796</v>
      </c>
      <c r="G858" s="8" t="str">
        <f>HYPERLINK("https://seichotoushi-hojo.jp/assets/pdf/koufu_3_4ji/outline_211.pdf","PDFを開く")</f>
        <v>PDFを開く</v>
      </c>
    </row>
    <row r="859" spans="1:7" ht="87.95" customHeight="1">
      <c r="A859" s="5" t="s">
        <v>3057</v>
      </c>
      <c r="B859" s="5" t="s">
        <v>2430</v>
      </c>
      <c r="C859" s="9" t="s">
        <v>3058</v>
      </c>
      <c r="D859" s="5">
        <v>1</v>
      </c>
      <c r="E859" s="9" t="s">
        <v>10156</v>
      </c>
      <c r="F859" s="9" t="s">
        <v>11797</v>
      </c>
      <c r="G859" s="9" t="str">
        <f>HYPERLINK("https://seichotoushi-hojo.jp/assets/pdf/koufu_3_4ji/outline_213.pdf","PDFを開く")</f>
        <v>PDFを開く</v>
      </c>
    </row>
    <row r="860" spans="1:7" ht="87.95" customHeight="1">
      <c r="A860" s="2" t="s">
        <v>3057</v>
      </c>
      <c r="B860" s="2" t="s">
        <v>2430</v>
      </c>
      <c r="C860" s="8" t="s">
        <v>3058</v>
      </c>
      <c r="D860" s="2">
        <v>2</v>
      </c>
      <c r="E860" s="8" t="s">
        <v>10165</v>
      </c>
      <c r="F860" s="8" t="s">
        <v>11798</v>
      </c>
      <c r="G860" s="8" t="str">
        <f>HYPERLINK("https://seichotoushi-hojo.jp/assets/pdf/koufu_3_4ji/outline_213.pdf","PDFを開く")</f>
        <v>PDFを開く</v>
      </c>
    </row>
    <row r="861" spans="1:7" ht="87.95" customHeight="1">
      <c r="A861" s="5" t="s">
        <v>3065</v>
      </c>
      <c r="B861" s="5" t="s">
        <v>2430</v>
      </c>
      <c r="C861" s="9" t="s">
        <v>3066</v>
      </c>
      <c r="D861" s="5">
        <v>1</v>
      </c>
      <c r="E861" s="9" t="s">
        <v>10156</v>
      </c>
      <c r="F861" s="9" t="s">
        <v>11799</v>
      </c>
      <c r="G861" s="9" t="str">
        <f>HYPERLINK("https://seichotoushi-hojo.jp/assets/pdf/koufu_3_4ji/outline_217.pdf","PDFを開く")</f>
        <v>PDFを開く</v>
      </c>
    </row>
    <row r="862" spans="1:7" ht="87.95" customHeight="1">
      <c r="A862" s="2" t="s">
        <v>3065</v>
      </c>
      <c r="B862" s="2" t="s">
        <v>2430</v>
      </c>
      <c r="C862" s="8" t="s">
        <v>3066</v>
      </c>
      <c r="D862" s="2">
        <v>2</v>
      </c>
      <c r="E862" s="8" t="s">
        <v>10165</v>
      </c>
      <c r="F862" s="8" t="s">
        <v>11800</v>
      </c>
      <c r="G862" s="8" t="str">
        <f>HYPERLINK("https://seichotoushi-hojo.jp/assets/pdf/koufu_3_4ji/outline_217.pdf","PDFを開く")</f>
        <v>PDFを開く</v>
      </c>
    </row>
    <row r="863" spans="1:7" ht="87.95" customHeight="1">
      <c r="A863" s="5" t="s">
        <v>3072</v>
      </c>
      <c r="B863" s="5" t="s">
        <v>2430</v>
      </c>
      <c r="C863" s="9" t="s">
        <v>3073</v>
      </c>
      <c r="D863" s="5">
        <v>1</v>
      </c>
      <c r="E863" s="9" t="s">
        <v>10156</v>
      </c>
      <c r="F863" s="9" t="s">
        <v>11801</v>
      </c>
      <c r="G863" s="9" t="str">
        <f>HYPERLINK("https://seichotoushi-hojo.jp/assets/pdf/koufu_3_4ji/outline_218.pdf","PDFを開く")</f>
        <v>PDFを開く</v>
      </c>
    </row>
    <row r="864" spans="1:7" ht="87.95" customHeight="1">
      <c r="A864" s="2" t="s">
        <v>3072</v>
      </c>
      <c r="B864" s="2" t="s">
        <v>2430</v>
      </c>
      <c r="C864" s="8" t="s">
        <v>3073</v>
      </c>
      <c r="D864" s="2">
        <v>2</v>
      </c>
      <c r="E864" s="8" t="s">
        <v>10156</v>
      </c>
      <c r="F864" s="8" t="s">
        <v>11802</v>
      </c>
      <c r="G864" s="8" t="str">
        <f>HYPERLINK("https://seichotoushi-hojo.jp/assets/pdf/koufu_3_4ji/outline_218.pdf","PDFを開く")</f>
        <v>PDFを開く</v>
      </c>
    </row>
    <row r="865" spans="1:7" ht="87.95" customHeight="1">
      <c r="A865" s="5" t="s">
        <v>3072</v>
      </c>
      <c r="B865" s="5" t="s">
        <v>2430</v>
      </c>
      <c r="C865" s="9" t="s">
        <v>3073</v>
      </c>
      <c r="D865" s="5">
        <v>3</v>
      </c>
      <c r="E865" s="9" t="s">
        <v>10165</v>
      </c>
      <c r="F865" s="9" t="s">
        <v>11803</v>
      </c>
      <c r="G865" s="9" t="str">
        <f>HYPERLINK("https://seichotoushi-hojo.jp/assets/pdf/koufu_3_4ji/outline_218.pdf","PDFを開く")</f>
        <v>PDFを開く</v>
      </c>
    </row>
    <row r="866" spans="1:7" ht="87.95" customHeight="1">
      <c r="A866" s="2" t="s">
        <v>3072</v>
      </c>
      <c r="B866" s="2" t="s">
        <v>2430</v>
      </c>
      <c r="C866" s="8" t="s">
        <v>3073</v>
      </c>
      <c r="D866" s="2">
        <v>4</v>
      </c>
      <c r="E866" s="8" t="s">
        <v>10165</v>
      </c>
      <c r="F866" s="8" t="s">
        <v>11804</v>
      </c>
      <c r="G866" s="8" t="str">
        <f>HYPERLINK("https://seichotoushi-hojo.jp/assets/pdf/koufu_3_4ji/outline_218.pdf","PDFを開く")</f>
        <v>PDFを開く</v>
      </c>
    </row>
    <row r="867" spans="1:7" ht="87.95" customHeight="1">
      <c r="A867" s="5" t="s">
        <v>3079</v>
      </c>
      <c r="B867" s="5" t="s">
        <v>2430</v>
      </c>
      <c r="C867" s="9" t="s">
        <v>3080</v>
      </c>
      <c r="D867" s="5">
        <v>1</v>
      </c>
      <c r="E867" s="9" t="s">
        <v>10156</v>
      </c>
      <c r="F867" s="9" t="s">
        <v>11805</v>
      </c>
      <c r="G867" s="9" t="str">
        <f>HYPERLINK("https://seichotoushi-hojo.jp/assets/pdf/koufu_3_4ji/outline_219.pdf","PDFを開く")</f>
        <v>PDFを開く</v>
      </c>
    </row>
    <row r="868" spans="1:7" ht="87.95" customHeight="1">
      <c r="A868" s="2" t="s">
        <v>3079</v>
      </c>
      <c r="B868" s="2" t="s">
        <v>2430</v>
      </c>
      <c r="C868" s="8" t="s">
        <v>3080</v>
      </c>
      <c r="D868" s="2">
        <v>2</v>
      </c>
      <c r="E868" s="8" t="s">
        <v>10165</v>
      </c>
      <c r="F868" s="8" t="s">
        <v>11806</v>
      </c>
      <c r="G868" s="8" t="str">
        <f>HYPERLINK("https://seichotoushi-hojo.jp/assets/pdf/koufu_3_4ji/outline_219.pdf","PDFを開く")</f>
        <v>PDFを開く</v>
      </c>
    </row>
    <row r="869" spans="1:7" ht="87.95" customHeight="1">
      <c r="A869" s="5" t="s">
        <v>3087</v>
      </c>
      <c r="B869" s="5" t="s">
        <v>2430</v>
      </c>
      <c r="C869" s="9" t="s">
        <v>3088</v>
      </c>
      <c r="D869" s="5">
        <v>1</v>
      </c>
      <c r="E869" s="9" t="s">
        <v>10156</v>
      </c>
      <c r="F869" s="9" t="s">
        <v>11807</v>
      </c>
      <c r="G869" s="9" t="str">
        <f>HYPERLINK("https://seichotoushi-hojo.jp/assets/pdf/koufu_3_4ji/outline_220.pdf","PDFを開く")</f>
        <v>PDFを開く</v>
      </c>
    </row>
    <row r="870" spans="1:7" ht="87.95" customHeight="1">
      <c r="A870" s="2" t="s">
        <v>3087</v>
      </c>
      <c r="B870" s="2" t="s">
        <v>2430</v>
      </c>
      <c r="C870" s="8" t="s">
        <v>3088</v>
      </c>
      <c r="D870" s="2">
        <v>2</v>
      </c>
      <c r="E870" s="8" t="s">
        <v>10165</v>
      </c>
      <c r="F870" s="8" t="s">
        <v>11808</v>
      </c>
      <c r="G870" s="8" t="str">
        <f>HYPERLINK("https://seichotoushi-hojo.jp/assets/pdf/koufu_3_4ji/outline_220.pdf","PDFを開く")</f>
        <v>PDFを開く</v>
      </c>
    </row>
    <row r="871" spans="1:7" ht="87.95" customHeight="1">
      <c r="A871" s="5" t="s">
        <v>3094</v>
      </c>
      <c r="B871" s="5" t="s">
        <v>2430</v>
      </c>
      <c r="C871" s="9" t="s">
        <v>3095</v>
      </c>
      <c r="D871" s="5">
        <v>1</v>
      </c>
      <c r="E871" s="9" t="s">
        <v>10156</v>
      </c>
      <c r="F871" s="9" t="s">
        <v>11809</v>
      </c>
      <c r="G871" s="9" t="str">
        <f>HYPERLINK("https://seichotoushi-hojo.jp/assets/pdf/koufu_3_4ji/outline_221.pdf","PDFを開く")</f>
        <v>PDFを開く</v>
      </c>
    </row>
    <row r="872" spans="1:7" ht="87.95" customHeight="1">
      <c r="A872" s="2" t="s">
        <v>3094</v>
      </c>
      <c r="B872" s="2" t="s">
        <v>2430</v>
      </c>
      <c r="C872" s="8" t="s">
        <v>3095</v>
      </c>
      <c r="D872" s="2">
        <v>2</v>
      </c>
      <c r="E872" s="8" t="s">
        <v>10165</v>
      </c>
      <c r="F872" s="8" t="s">
        <v>11810</v>
      </c>
      <c r="G872" s="8" t="str">
        <f>HYPERLINK("https://seichotoushi-hojo.jp/assets/pdf/koufu_3_4ji/outline_221.pdf","PDFを開く")</f>
        <v>PDFを開く</v>
      </c>
    </row>
    <row r="873" spans="1:7" ht="87.95" customHeight="1">
      <c r="A873" s="5" t="s">
        <v>3102</v>
      </c>
      <c r="B873" s="5" t="s">
        <v>2430</v>
      </c>
      <c r="C873" s="9" t="s">
        <v>3103</v>
      </c>
      <c r="D873" s="5">
        <v>1</v>
      </c>
      <c r="E873" s="9" t="s">
        <v>10156</v>
      </c>
      <c r="F873" s="9" t="s">
        <v>11811</v>
      </c>
      <c r="G873" s="9" t="str">
        <f>HYPERLINK("https://seichotoushi-hojo.jp/assets/pdf/koufu_3_4ji/outline_222.pdf","PDFを開く")</f>
        <v>PDFを開く</v>
      </c>
    </row>
    <row r="874" spans="1:7" ht="87.95" customHeight="1">
      <c r="A874" s="2" t="s">
        <v>3102</v>
      </c>
      <c r="B874" s="2" t="s">
        <v>2430</v>
      </c>
      <c r="C874" s="8" t="s">
        <v>3103</v>
      </c>
      <c r="D874" s="2">
        <v>2</v>
      </c>
      <c r="E874" s="8" t="s">
        <v>10165</v>
      </c>
      <c r="F874" s="8" t="s">
        <v>11812</v>
      </c>
      <c r="G874" s="8" t="str">
        <f>HYPERLINK("https://seichotoushi-hojo.jp/assets/pdf/koufu_3_4ji/outline_222.pdf","PDFを開く")</f>
        <v>PDFを開く</v>
      </c>
    </row>
    <row r="875" spans="1:7" ht="87.95" customHeight="1">
      <c r="A875" s="5" t="s">
        <v>3109</v>
      </c>
      <c r="B875" s="5" t="s">
        <v>2430</v>
      </c>
      <c r="C875" s="9" t="s">
        <v>3110</v>
      </c>
      <c r="D875" s="5">
        <v>1</v>
      </c>
      <c r="E875" s="9" t="s">
        <v>10156</v>
      </c>
      <c r="F875" s="9" t="s">
        <v>11813</v>
      </c>
      <c r="G875" s="9" t="str">
        <f>HYPERLINK("https://seichotoushi-hojo.jp/assets/pdf/koufu_3_4ji/outline_223.pdf","PDFを開く")</f>
        <v>PDFを開く</v>
      </c>
    </row>
    <row r="876" spans="1:7" ht="87.95" customHeight="1">
      <c r="A876" s="2" t="s">
        <v>3109</v>
      </c>
      <c r="B876" s="2" t="s">
        <v>2430</v>
      </c>
      <c r="C876" s="8" t="s">
        <v>3110</v>
      </c>
      <c r="D876" s="2">
        <v>2</v>
      </c>
      <c r="E876" s="8" t="s">
        <v>10165</v>
      </c>
      <c r="F876" s="8" t="s">
        <v>11814</v>
      </c>
      <c r="G876" s="8" t="str">
        <f>HYPERLINK("https://seichotoushi-hojo.jp/assets/pdf/koufu_3_4ji/outline_223.pdf","PDFを開く")</f>
        <v>PDFを開く</v>
      </c>
    </row>
    <row r="877" spans="1:7" ht="87.95" customHeight="1">
      <c r="A877" s="5" t="s">
        <v>3117</v>
      </c>
      <c r="B877" s="5" t="s">
        <v>2430</v>
      </c>
      <c r="C877" s="9" t="s">
        <v>3118</v>
      </c>
      <c r="D877" s="5">
        <v>1</v>
      </c>
      <c r="E877" s="9" t="s">
        <v>10156</v>
      </c>
      <c r="F877" s="9" t="s">
        <v>11815</v>
      </c>
      <c r="G877" s="9" t="str">
        <f>HYPERLINK("https://seichotoushi-hojo.jp/assets/pdf/koufu_3_4ji/outline_225.pdf","PDFを開く")</f>
        <v>PDFを開く</v>
      </c>
    </row>
    <row r="878" spans="1:7" ht="87.95" customHeight="1">
      <c r="A878" s="2" t="s">
        <v>3117</v>
      </c>
      <c r="B878" s="2" t="s">
        <v>2430</v>
      </c>
      <c r="C878" s="8" t="s">
        <v>3118</v>
      </c>
      <c r="D878" s="2">
        <v>2</v>
      </c>
      <c r="E878" s="8" t="s">
        <v>10165</v>
      </c>
      <c r="F878" s="8" t="s">
        <v>11816</v>
      </c>
      <c r="G878" s="8" t="str">
        <f>HYPERLINK("https://seichotoushi-hojo.jp/assets/pdf/koufu_3_4ji/outline_225.pdf","PDFを開く")</f>
        <v>PDFを開く</v>
      </c>
    </row>
    <row r="879" spans="1:7" ht="87.95" customHeight="1">
      <c r="A879" s="5" t="s">
        <v>3125</v>
      </c>
      <c r="B879" s="5" t="s">
        <v>2430</v>
      </c>
      <c r="C879" s="9" t="s">
        <v>3126</v>
      </c>
      <c r="D879" s="5">
        <v>1</v>
      </c>
      <c r="E879" s="9" t="s">
        <v>10156</v>
      </c>
      <c r="F879" s="9" t="s">
        <v>11817</v>
      </c>
      <c r="G879" s="9" t="str">
        <f>HYPERLINK("https://seichotoushi-hojo.jp/assets/pdf/koufu_3_4ji/outline_226.pdf","PDFを開く")</f>
        <v>PDFを開く</v>
      </c>
    </row>
    <row r="880" spans="1:7" ht="87.95" customHeight="1">
      <c r="A880" s="2" t="s">
        <v>3125</v>
      </c>
      <c r="B880" s="2" t="s">
        <v>2430</v>
      </c>
      <c r="C880" s="8" t="s">
        <v>3126</v>
      </c>
      <c r="D880" s="2">
        <v>2</v>
      </c>
      <c r="E880" s="8" t="s">
        <v>10165</v>
      </c>
      <c r="F880" s="8" t="s">
        <v>11818</v>
      </c>
      <c r="G880" s="8" t="str">
        <f>HYPERLINK("https://seichotoushi-hojo.jp/assets/pdf/koufu_3_4ji/outline_226.pdf","PDFを開く")</f>
        <v>PDFを開く</v>
      </c>
    </row>
    <row r="881" spans="1:7" ht="87.95" customHeight="1">
      <c r="A881" s="5" t="s">
        <v>3125</v>
      </c>
      <c r="B881" s="5" t="s">
        <v>2430</v>
      </c>
      <c r="C881" s="9" t="s">
        <v>3126</v>
      </c>
      <c r="D881" s="5">
        <v>3</v>
      </c>
      <c r="E881" s="9" t="s">
        <v>10165</v>
      </c>
      <c r="F881" s="9" t="s">
        <v>11819</v>
      </c>
      <c r="G881" s="9" t="str">
        <f>HYPERLINK("https://seichotoushi-hojo.jp/assets/pdf/koufu_3_4ji/outline_226.pdf","PDFを開く")</f>
        <v>PDFを開く</v>
      </c>
    </row>
    <row r="882" spans="1:7" ht="87.95" customHeight="1">
      <c r="A882" s="2" t="s">
        <v>3125</v>
      </c>
      <c r="B882" s="2" t="s">
        <v>2430</v>
      </c>
      <c r="C882" s="8" t="s">
        <v>3126</v>
      </c>
      <c r="D882" s="2">
        <v>4</v>
      </c>
      <c r="E882" s="8" t="s">
        <v>10165</v>
      </c>
      <c r="F882" s="8" t="s">
        <v>11820</v>
      </c>
      <c r="G882" s="8" t="str">
        <f>HYPERLINK("https://seichotoushi-hojo.jp/assets/pdf/koufu_3_4ji/outline_226.pdf","PDFを開く")</f>
        <v>PDFを開く</v>
      </c>
    </row>
    <row r="883" spans="1:7" ht="87.95" customHeight="1">
      <c r="A883" s="5" t="s">
        <v>3133</v>
      </c>
      <c r="B883" s="5" t="s">
        <v>2430</v>
      </c>
      <c r="C883" s="9" t="s">
        <v>3134</v>
      </c>
      <c r="D883" s="5">
        <v>1</v>
      </c>
      <c r="E883" s="9" t="s">
        <v>10156</v>
      </c>
      <c r="F883" s="9" t="s">
        <v>11821</v>
      </c>
      <c r="G883" s="9" t="str">
        <f>HYPERLINK("https://seichotoushi-hojo.jp/assets/pdf/koufu_3_4ji/outline_227.pdf","PDFを開く")</f>
        <v>PDFを開く</v>
      </c>
    </row>
    <row r="884" spans="1:7" ht="87.95" customHeight="1">
      <c r="A884" s="2" t="s">
        <v>3133</v>
      </c>
      <c r="B884" s="2" t="s">
        <v>2430</v>
      </c>
      <c r="C884" s="8" t="s">
        <v>3134</v>
      </c>
      <c r="D884" s="2">
        <v>2</v>
      </c>
      <c r="E884" s="8" t="s">
        <v>10165</v>
      </c>
      <c r="F884" s="8" t="s">
        <v>11822</v>
      </c>
      <c r="G884" s="8" t="str">
        <f>HYPERLINK("https://seichotoushi-hojo.jp/assets/pdf/koufu_3_4ji/outline_227.pdf","PDFを開く")</f>
        <v>PDFを開く</v>
      </c>
    </row>
    <row r="885" spans="1:7" ht="87.95" customHeight="1">
      <c r="A885" s="5" t="s">
        <v>3133</v>
      </c>
      <c r="B885" s="5" t="s">
        <v>2430</v>
      </c>
      <c r="C885" s="9" t="s">
        <v>3134</v>
      </c>
      <c r="D885" s="5">
        <v>3</v>
      </c>
      <c r="E885" s="9" t="s">
        <v>10165</v>
      </c>
      <c r="F885" s="9" t="s">
        <v>11823</v>
      </c>
      <c r="G885" s="9" t="str">
        <f>HYPERLINK("https://seichotoushi-hojo.jp/assets/pdf/koufu_3_4ji/outline_227.pdf","PDFを開く")</f>
        <v>PDFを開く</v>
      </c>
    </row>
    <row r="886" spans="1:7" ht="87.95" customHeight="1">
      <c r="A886" s="2" t="s">
        <v>3141</v>
      </c>
      <c r="B886" s="2" t="s">
        <v>2430</v>
      </c>
      <c r="C886" s="8" t="s">
        <v>3142</v>
      </c>
      <c r="D886" s="2">
        <v>1</v>
      </c>
      <c r="E886" s="8" t="s">
        <v>10156</v>
      </c>
      <c r="F886" s="8" t="s">
        <v>10127</v>
      </c>
      <c r="G886" s="8" t="str">
        <f>HYPERLINK("https://seichotoushi-hojo.jp/assets/pdf/koufu_3_4ji/outline_228.pdf","PDFを開く")</f>
        <v>PDFを開く</v>
      </c>
    </row>
    <row r="887" spans="1:7" ht="87.95" customHeight="1">
      <c r="A887" s="5" t="s">
        <v>3141</v>
      </c>
      <c r="B887" s="5" t="s">
        <v>2430</v>
      </c>
      <c r="C887" s="9" t="s">
        <v>3142</v>
      </c>
      <c r="D887" s="5">
        <v>2</v>
      </c>
      <c r="E887" s="9" t="s">
        <v>10165</v>
      </c>
      <c r="F887" s="9" t="s">
        <v>11824</v>
      </c>
      <c r="G887" s="9" t="str">
        <f>HYPERLINK("https://seichotoushi-hojo.jp/assets/pdf/koufu_3_4ji/outline_228.pdf","PDFを開く")</f>
        <v>PDFを開く</v>
      </c>
    </row>
    <row r="888" spans="1:7" ht="87.95" customHeight="1">
      <c r="A888" s="2" t="s">
        <v>3149</v>
      </c>
      <c r="B888" s="2" t="s">
        <v>2430</v>
      </c>
      <c r="C888" s="8" t="s">
        <v>3150</v>
      </c>
      <c r="D888" s="2">
        <v>1</v>
      </c>
      <c r="E888" s="8" t="s">
        <v>10156</v>
      </c>
      <c r="F888" s="8" t="s">
        <v>11825</v>
      </c>
      <c r="G888" s="8" t="str">
        <f>HYPERLINK("https://seichotoushi-hojo.jp/assets/pdf/koufu_3_4ji/outline_230.pdf","PDFを開く")</f>
        <v>PDFを開く</v>
      </c>
    </row>
    <row r="889" spans="1:7" ht="87.95" customHeight="1">
      <c r="A889" s="5" t="s">
        <v>3149</v>
      </c>
      <c r="B889" s="5" t="s">
        <v>2430</v>
      </c>
      <c r="C889" s="9" t="s">
        <v>3150</v>
      </c>
      <c r="D889" s="5">
        <v>2</v>
      </c>
      <c r="E889" s="9" t="s">
        <v>10165</v>
      </c>
      <c r="F889" s="9" t="s">
        <v>11826</v>
      </c>
      <c r="G889" s="9" t="str">
        <f>HYPERLINK("https://seichotoushi-hojo.jp/assets/pdf/koufu_3_4ji/outline_230.pdf","PDFを開く")</f>
        <v>PDFを開く</v>
      </c>
    </row>
    <row r="890" spans="1:7" ht="87.95" customHeight="1">
      <c r="A890" s="2" t="s">
        <v>3155</v>
      </c>
      <c r="B890" s="2" t="s">
        <v>2430</v>
      </c>
      <c r="C890" s="8" t="s">
        <v>3156</v>
      </c>
      <c r="D890" s="2">
        <v>1</v>
      </c>
      <c r="E890" s="8" t="s">
        <v>10156</v>
      </c>
      <c r="F890" s="8" t="s">
        <v>10140</v>
      </c>
      <c r="G890" s="8" t="str">
        <f>HYPERLINK("https://seichotoushi-hojo.jp/assets/pdf/koufu_3_4ji/outline_231.pdf","PDFを開く")</f>
        <v>PDFを開く</v>
      </c>
    </row>
    <row r="891" spans="1:7" ht="87.95" customHeight="1">
      <c r="A891" s="6" t="s">
        <v>3155</v>
      </c>
      <c r="B891" s="6" t="s">
        <v>2430</v>
      </c>
      <c r="C891" s="10" t="s">
        <v>3156</v>
      </c>
      <c r="D891" s="6">
        <v>2</v>
      </c>
      <c r="E891" s="10" t="s">
        <v>10165</v>
      </c>
      <c r="F891" s="10" t="s">
        <v>11827</v>
      </c>
      <c r="G891" s="10" t="str">
        <f>HYPERLINK("https://seichotoushi-hojo.jp/assets/pdf/koufu_3_4ji/outline_231.pdf","PDFを開く")</f>
        <v>PDFを開く</v>
      </c>
    </row>
  </sheetData>
  <mergeCells count="2">
    <mergeCell ref="A1:G1"/>
    <mergeCell ref="A2:G2"/>
  </mergeCells>
  <phoneticPr fontId="8"/>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85"/>
  <sheetViews>
    <sheetView showGridLines="0" workbookViewId="0"/>
  </sheetViews>
  <sheetFormatPr defaultRowHeight="14.25"/>
  <cols>
    <col min="1" max="1" width="19" customWidth="1"/>
    <col min="2" max="2" width="7" customWidth="1"/>
    <col min="3" max="3" width="25" customWidth="1"/>
    <col min="4" max="4" width="55" customWidth="1"/>
    <col min="5" max="5" width="14" customWidth="1"/>
    <col min="6" max="6" width="18" customWidth="1"/>
    <col min="7" max="7" width="14" customWidth="1"/>
    <col min="8" max="8" width="65" customWidth="1"/>
    <col min="9" max="9" width="14" customWidth="1"/>
    <col min="10" max="10" width="8" customWidth="1"/>
    <col min="11" max="12" width="65" customWidth="1"/>
  </cols>
  <sheetData>
    <row r="1" spans="1:12" ht="30" customHeight="1">
      <c r="A1" s="24" t="s">
        <v>11828</v>
      </c>
      <c r="B1" s="24"/>
      <c r="C1" s="24"/>
      <c r="D1" s="24"/>
      <c r="E1" s="24"/>
      <c r="F1" s="24"/>
      <c r="G1" s="24"/>
      <c r="H1" s="24"/>
      <c r="I1" s="24"/>
      <c r="J1" s="24"/>
      <c r="K1" s="24"/>
      <c r="L1" s="24"/>
    </row>
    <row r="2" spans="1:12" ht="38.1" customHeight="1">
      <c r="A2" s="25" t="s">
        <v>11829</v>
      </c>
      <c r="B2" s="25"/>
      <c r="C2" s="25"/>
      <c r="D2" s="25"/>
      <c r="E2" s="25"/>
      <c r="F2" s="25"/>
      <c r="G2" s="25"/>
      <c r="H2" s="25"/>
      <c r="I2" s="25"/>
      <c r="J2" s="25"/>
      <c r="K2" s="25"/>
      <c r="L2" s="25"/>
    </row>
    <row r="4" spans="1:12" ht="45.95" customHeight="1">
      <c r="A4" s="1" t="s">
        <v>2</v>
      </c>
      <c r="B4" s="1" t="s">
        <v>3</v>
      </c>
      <c r="C4" s="1" t="s">
        <v>4</v>
      </c>
      <c r="D4" s="1" t="s">
        <v>64</v>
      </c>
      <c r="E4" s="1" t="s">
        <v>11830</v>
      </c>
      <c r="F4" s="1" t="s">
        <v>11831</v>
      </c>
      <c r="G4" s="1" t="s">
        <v>11832</v>
      </c>
      <c r="H4" s="1" t="s">
        <v>11833</v>
      </c>
      <c r="I4" s="1" t="s">
        <v>11834</v>
      </c>
      <c r="J4" s="1" t="s">
        <v>8</v>
      </c>
      <c r="K4" s="1" t="s">
        <v>66</v>
      </c>
      <c r="L4" s="1" t="s">
        <v>67</v>
      </c>
    </row>
    <row r="5" spans="1:12" ht="44.1" customHeight="1">
      <c r="A5" s="4" t="s">
        <v>72</v>
      </c>
      <c r="B5" s="4" t="s">
        <v>73</v>
      </c>
      <c r="C5" s="7" t="s">
        <v>74</v>
      </c>
      <c r="D5" s="7"/>
      <c r="E5" s="4">
        <v>4</v>
      </c>
      <c r="F5" s="4">
        <v>1</v>
      </c>
      <c r="G5" s="4">
        <v>0</v>
      </c>
      <c r="H5" s="7" t="s">
        <v>79</v>
      </c>
      <c r="I5" s="4">
        <v>4</v>
      </c>
      <c r="J5" s="4">
        <v>2</v>
      </c>
      <c r="K5" s="7" t="s">
        <v>88</v>
      </c>
      <c r="L5" s="7" t="s">
        <v>89</v>
      </c>
    </row>
    <row r="6" spans="1:12" ht="44.1" customHeight="1">
      <c r="A6" s="2" t="s">
        <v>93</v>
      </c>
      <c r="B6" s="2" t="s">
        <v>73</v>
      </c>
      <c r="C6" s="8" t="s">
        <v>94</v>
      </c>
      <c r="D6" s="8"/>
      <c r="E6" s="2">
        <v>4</v>
      </c>
      <c r="F6" s="2">
        <v>1</v>
      </c>
      <c r="G6" s="2">
        <v>0</v>
      </c>
      <c r="H6" s="8" t="s">
        <v>98</v>
      </c>
      <c r="I6" s="2">
        <v>4</v>
      </c>
      <c r="J6" s="2">
        <v>2</v>
      </c>
      <c r="K6" s="8" t="s">
        <v>103</v>
      </c>
      <c r="L6" s="8" t="s">
        <v>104</v>
      </c>
    </row>
    <row r="7" spans="1:12" ht="44.1" customHeight="1">
      <c r="A7" s="5" t="s">
        <v>105</v>
      </c>
      <c r="B7" s="5" t="s">
        <v>73</v>
      </c>
      <c r="C7" s="9" t="s">
        <v>106</v>
      </c>
      <c r="D7" s="9"/>
      <c r="E7" s="5">
        <v>5</v>
      </c>
      <c r="F7" s="5">
        <v>0</v>
      </c>
      <c r="G7" s="5">
        <v>0</v>
      </c>
      <c r="H7" s="9" t="s">
        <v>109</v>
      </c>
      <c r="I7" s="5">
        <v>3</v>
      </c>
      <c r="J7" s="5">
        <v>2</v>
      </c>
      <c r="K7" s="9" t="s">
        <v>111</v>
      </c>
      <c r="L7" s="9" t="s">
        <v>112</v>
      </c>
    </row>
    <row r="8" spans="1:12" ht="44.1" customHeight="1">
      <c r="A8" s="2" t="s">
        <v>114</v>
      </c>
      <c r="B8" s="2" t="s">
        <v>73</v>
      </c>
      <c r="C8" s="8" t="s">
        <v>115</v>
      </c>
      <c r="D8" s="8"/>
      <c r="E8" s="2">
        <v>4</v>
      </c>
      <c r="F8" s="2">
        <v>0</v>
      </c>
      <c r="G8" s="2">
        <v>0</v>
      </c>
      <c r="H8" s="8" t="s">
        <v>119</v>
      </c>
      <c r="I8" s="2">
        <v>3</v>
      </c>
      <c r="J8" s="2">
        <v>5</v>
      </c>
      <c r="K8" s="8" t="s">
        <v>123</v>
      </c>
      <c r="L8" s="8" t="s">
        <v>124</v>
      </c>
    </row>
    <row r="9" spans="1:12" ht="44.1" customHeight="1">
      <c r="A9" s="5" t="s">
        <v>125</v>
      </c>
      <c r="B9" s="5" t="s">
        <v>73</v>
      </c>
      <c r="C9" s="9" t="s">
        <v>126</v>
      </c>
      <c r="D9" s="9"/>
      <c r="E9" s="5">
        <v>5</v>
      </c>
      <c r="F9" s="5">
        <v>1</v>
      </c>
      <c r="G9" s="5">
        <v>0</v>
      </c>
      <c r="H9" s="9" t="s">
        <v>128</v>
      </c>
      <c r="I9" s="5">
        <v>2</v>
      </c>
      <c r="J9" s="5">
        <v>2</v>
      </c>
      <c r="K9" s="9" t="s">
        <v>130</v>
      </c>
      <c r="L9" s="9" t="s">
        <v>131</v>
      </c>
    </row>
    <row r="10" spans="1:12" ht="44.1" customHeight="1">
      <c r="A10" s="2" t="s">
        <v>132</v>
      </c>
      <c r="B10" s="2" t="s">
        <v>73</v>
      </c>
      <c r="C10" s="8" t="s">
        <v>133</v>
      </c>
      <c r="D10" s="8"/>
      <c r="E10" s="2">
        <v>4</v>
      </c>
      <c r="F10" s="2">
        <v>0</v>
      </c>
      <c r="G10" s="2">
        <v>0</v>
      </c>
      <c r="H10" s="8" t="s">
        <v>135</v>
      </c>
      <c r="I10" s="2">
        <v>3</v>
      </c>
      <c r="J10" s="2">
        <v>2</v>
      </c>
      <c r="K10" s="8" t="s">
        <v>137</v>
      </c>
      <c r="L10" s="8" t="s">
        <v>138</v>
      </c>
    </row>
    <row r="11" spans="1:12" ht="44.1" customHeight="1">
      <c r="A11" s="5" t="s">
        <v>139</v>
      </c>
      <c r="B11" s="5" t="s">
        <v>73</v>
      </c>
      <c r="C11" s="9" t="s">
        <v>140</v>
      </c>
      <c r="D11" s="9"/>
      <c r="E11" s="5">
        <v>4</v>
      </c>
      <c r="F11" s="5">
        <v>1</v>
      </c>
      <c r="G11" s="5">
        <v>0</v>
      </c>
      <c r="H11" s="9" t="s">
        <v>142</v>
      </c>
      <c r="I11" s="5">
        <v>2</v>
      </c>
      <c r="J11" s="5">
        <v>2</v>
      </c>
      <c r="K11" s="9" t="s">
        <v>144</v>
      </c>
      <c r="L11" s="9" t="s">
        <v>145</v>
      </c>
    </row>
    <row r="12" spans="1:12" ht="44.1" customHeight="1">
      <c r="A12" s="2" t="s">
        <v>146</v>
      </c>
      <c r="B12" s="2" t="s">
        <v>73</v>
      </c>
      <c r="C12" s="8" t="s">
        <v>147</v>
      </c>
      <c r="D12" s="8"/>
      <c r="E12" s="2">
        <v>2</v>
      </c>
      <c r="F12" s="2">
        <v>1</v>
      </c>
      <c r="G12" s="2">
        <v>0</v>
      </c>
      <c r="H12" s="8" t="s">
        <v>149</v>
      </c>
      <c r="I12" s="2">
        <v>1</v>
      </c>
      <c r="J12" s="2">
        <v>2</v>
      </c>
      <c r="K12" s="8" t="s">
        <v>154</v>
      </c>
      <c r="L12" s="8" t="s">
        <v>155</v>
      </c>
    </row>
    <row r="13" spans="1:12" ht="44.1" customHeight="1">
      <c r="A13" s="5" t="s">
        <v>158</v>
      </c>
      <c r="B13" s="5" t="s">
        <v>73</v>
      </c>
      <c r="C13" s="9" t="s">
        <v>159</v>
      </c>
      <c r="D13" s="9"/>
      <c r="E13" s="5">
        <v>3</v>
      </c>
      <c r="F13" s="5">
        <v>1</v>
      </c>
      <c r="G13" s="5">
        <v>0</v>
      </c>
      <c r="H13" s="9" t="s">
        <v>162</v>
      </c>
      <c r="I13" s="5">
        <v>3</v>
      </c>
      <c r="J13" s="5">
        <v>2</v>
      </c>
      <c r="K13" s="9" t="s">
        <v>164</v>
      </c>
      <c r="L13" s="9" t="s">
        <v>165</v>
      </c>
    </row>
    <row r="14" spans="1:12" ht="44.1" customHeight="1">
      <c r="A14" s="2" t="s">
        <v>167</v>
      </c>
      <c r="B14" s="2" t="s">
        <v>73</v>
      </c>
      <c r="C14" s="8" t="s">
        <v>168</v>
      </c>
      <c r="D14" s="8"/>
      <c r="E14" s="2">
        <v>4</v>
      </c>
      <c r="F14" s="2">
        <v>1</v>
      </c>
      <c r="G14" s="2">
        <v>0</v>
      </c>
      <c r="H14" s="8" t="s">
        <v>171</v>
      </c>
      <c r="I14" s="2">
        <v>3</v>
      </c>
      <c r="J14" s="2">
        <v>2</v>
      </c>
      <c r="K14" s="8" t="s">
        <v>173</v>
      </c>
      <c r="L14" s="8" t="s">
        <v>174</v>
      </c>
    </row>
    <row r="15" spans="1:12" ht="44.1" customHeight="1">
      <c r="A15" s="5" t="s">
        <v>175</v>
      </c>
      <c r="B15" s="5" t="s">
        <v>73</v>
      </c>
      <c r="C15" s="9" t="s">
        <v>176</v>
      </c>
      <c r="D15" s="22" t="s">
        <v>181</v>
      </c>
      <c r="E15" s="5">
        <v>4</v>
      </c>
      <c r="F15" s="5">
        <v>0</v>
      </c>
      <c r="G15" s="5">
        <v>0</v>
      </c>
      <c r="H15" s="9" t="s">
        <v>179</v>
      </c>
      <c r="I15" s="5">
        <v>8</v>
      </c>
      <c r="J15" s="5">
        <v>4</v>
      </c>
      <c r="K15" s="9" t="s">
        <v>182</v>
      </c>
      <c r="L15" s="9" t="s">
        <v>183</v>
      </c>
    </row>
    <row r="16" spans="1:12" ht="44.1" customHeight="1">
      <c r="A16" s="2" t="s">
        <v>184</v>
      </c>
      <c r="B16" s="2" t="s">
        <v>73</v>
      </c>
      <c r="C16" s="8" t="s">
        <v>185</v>
      </c>
      <c r="D16" s="22" t="s">
        <v>192</v>
      </c>
      <c r="E16" s="2">
        <v>4</v>
      </c>
      <c r="F16" s="2">
        <v>0</v>
      </c>
      <c r="G16" s="2">
        <v>0</v>
      </c>
      <c r="H16" s="8" t="s">
        <v>189</v>
      </c>
      <c r="I16" s="2">
        <v>2</v>
      </c>
      <c r="J16" s="2">
        <v>2</v>
      </c>
      <c r="K16" s="8" t="s">
        <v>193</v>
      </c>
      <c r="L16" s="8" t="s">
        <v>194</v>
      </c>
    </row>
    <row r="17" spans="1:12" ht="44.1" customHeight="1">
      <c r="A17" s="5" t="s">
        <v>195</v>
      </c>
      <c r="B17" s="5" t="s">
        <v>73</v>
      </c>
      <c r="C17" s="9" t="s">
        <v>196</v>
      </c>
      <c r="D17" s="9"/>
      <c r="E17" s="5">
        <v>4</v>
      </c>
      <c r="F17" s="5">
        <v>1</v>
      </c>
      <c r="G17" s="5">
        <v>0</v>
      </c>
      <c r="H17" s="9" t="s">
        <v>199</v>
      </c>
      <c r="I17" s="5">
        <v>4</v>
      </c>
      <c r="J17" s="5">
        <v>2</v>
      </c>
      <c r="K17" s="9" t="s">
        <v>203</v>
      </c>
      <c r="L17" s="9" t="s">
        <v>204</v>
      </c>
    </row>
    <row r="18" spans="1:12" ht="44.1" customHeight="1">
      <c r="A18" s="2" t="s">
        <v>205</v>
      </c>
      <c r="B18" s="2" t="s">
        <v>73</v>
      </c>
      <c r="C18" s="8" t="s">
        <v>206</v>
      </c>
      <c r="D18" s="22" t="s">
        <v>212</v>
      </c>
      <c r="E18" s="2">
        <v>3</v>
      </c>
      <c r="F18" s="2">
        <v>1</v>
      </c>
      <c r="G18" s="2">
        <v>0</v>
      </c>
      <c r="H18" s="8" t="s">
        <v>209</v>
      </c>
      <c r="I18" s="2">
        <v>4</v>
      </c>
      <c r="J18" s="2">
        <v>2</v>
      </c>
      <c r="K18" s="8" t="s">
        <v>213</v>
      </c>
      <c r="L18" s="8" t="s">
        <v>214</v>
      </c>
    </row>
    <row r="19" spans="1:12" ht="44.1" customHeight="1">
      <c r="A19" s="5" t="s">
        <v>215</v>
      </c>
      <c r="B19" s="5" t="s">
        <v>73</v>
      </c>
      <c r="C19" s="9" t="s">
        <v>216</v>
      </c>
      <c r="D19" s="9"/>
      <c r="E19" s="5">
        <v>4</v>
      </c>
      <c r="F19" s="5">
        <v>1</v>
      </c>
      <c r="G19" s="5">
        <v>0</v>
      </c>
      <c r="H19" s="9" t="s">
        <v>219</v>
      </c>
      <c r="I19" s="5">
        <v>2</v>
      </c>
      <c r="J19" s="5">
        <v>2</v>
      </c>
      <c r="K19" s="9" t="s">
        <v>221</v>
      </c>
      <c r="L19" s="9" t="s">
        <v>222</v>
      </c>
    </row>
    <row r="20" spans="1:12" ht="44.1" customHeight="1">
      <c r="A20" s="2" t="s">
        <v>223</v>
      </c>
      <c r="B20" s="2" t="s">
        <v>73</v>
      </c>
      <c r="C20" s="8" t="s">
        <v>224</v>
      </c>
      <c r="D20" s="8"/>
      <c r="E20" s="2">
        <v>4</v>
      </c>
      <c r="F20" s="2">
        <v>0</v>
      </c>
      <c r="G20" s="2">
        <v>0</v>
      </c>
      <c r="H20" s="8" t="s">
        <v>227</v>
      </c>
      <c r="I20" s="2">
        <v>3</v>
      </c>
      <c r="J20" s="2">
        <v>2</v>
      </c>
      <c r="K20" s="8" t="s">
        <v>231</v>
      </c>
      <c r="L20" s="8" t="s">
        <v>232</v>
      </c>
    </row>
    <row r="21" spans="1:12" ht="44.1" customHeight="1">
      <c r="A21" s="5" t="s">
        <v>233</v>
      </c>
      <c r="B21" s="5" t="s">
        <v>73</v>
      </c>
      <c r="C21" s="9" t="s">
        <v>234</v>
      </c>
      <c r="D21" s="9"/>
      <c r="E21" s="5">
        <v>3</v>
      </c>
      <c r="F21" s="5">
        <v>1</v>
      </c>
      <c r="G21" s="5">
        <v>0</v>
      </c>
      <c r="H21" s="9" t="s">
        <v>236</v>
      </c>
      <c r="I21" s="5">
        <v>4</v>
      </c>
      <c r="J21" s="5">
        <v>2</v>
      </c>
      <c r="K21" s="9" t="s">
        <v>238</v>
      </c>
      <c r="L21" s="9" t="s">
        <v>239</v>
      </c>
    </row>
    <row r="22" spans="1:12" ht="44.1" customHeight="1">
      <c r="A22" s="2" t="s">
        <v>240</v>
      </c>
      <c r="B22" s="2" t="s">
        <v>73</v>
      </c>
      <c r="C22" s="8" t="s">
        <v>241</v>
      </c>
      <c r="D22" s="8"/>
      <c r="E22" s="2">
        <v>4</v>
      </c>
      <c r="F22" s="2">
        <v>0</v>
      </c>
      <c r="G22" s="2">
        <v>0</v>
      </c>
      <c r="H22" s="8" t="s">
        <v>243</v>
      </c>
      <c r="I22" s="2">
        <v>2</v>
      </c>
      <c r="J22" s="2">
        <v>2</v>
      </c>
      <c r="K22" s="8" t="s">
        <v>246</v>
      </c>
      <c r="L22" s="8" t="s">
        <v>247</v>
      </c>
    </row>
    <row r="23" spans="1:12" ht="44.1" customHeight="1">
      <c r="A23" s="5" t="s">
        <v>248</v>
      </c>
      <c r="B23" s="5" t="s">
        <v>73</v>
      </c>
      <c r="C23" s="9" t="s">
        <v>249</v>
      </c>
      <c r="D23" s="9"/>
      <c r="E23" s="5">
        <v>4</v>
      </c>
      <c r="F23" s="5">
        <v>0</v>
      </c>
      <c r="G23" s="5">
        <v>0</v>
      </c>
      <c r="H23" s="9" t="s">
        <v>252</v>
      </c>
      <c r="I23" s="5">
        <v>4</v>
      </c>
      <c r="J23" s="5">
        <v>4</v>
      </c>
      <c r="K23" s="9" t="s">
        <v>255</v>
      </c>
      <c r="L23" s="9" t="s">
        <v>256</v>
      </c>
    </row>
    <row r="24" spans="1:12" ht="44.1" customHeight="1">
      <c r="A24" s="2" t="s">
        <v>257</v>
      </c>
      <c r="B24" s="2" t="s">
        <v>73</v>
      </c>
      <c r="C24" s="8" t="s">
        <v>258</v>
      </c>
      <c r="D24" s="8"/>
      <c r="E24" s="2">
        <v>4</v>
      </c>
      <c r="F24" s="2">
        <v>0</v>
      </c>
      <c r="G24" s="2">
        <v>0</v>
      </c>
      <c r="H24" s="8" t="s">
        <v>261</v>
      </c>
      <c r="I24" s="2">
        <v>4</v>
      </c>
      <c r="J24" s="2">
        <v>2</v>
      </c>
      <c r="K24" s="8" t="s">
        <v>263</v>
      </c>
      <c r="L24" s="8" t="s">
        <v>264</v>
      </c>
    </row>
    <row r="25" spans="1:12" ht="44.1" customHeight="1">
      <c r="A25" s="5" t="s">
        <v>265</v>
      </c>
      <c r="B25" s="5" t="s">
        <v>73</v>
      </c>
      <c r="C25" s="9" t="s">
        <v>266</v>
      </c>
      <c r="D25" s="9"/>
      <c r="E25" s="5">
        <v>4</v>
      </c>
      <c r="F25" s="5">
        <v>0</v>
      </c>
      <c r="G25" s="5">
        <v>0</v>
      </c>
      <c r="H25" s="9" t="s">
        <v>269</v>
      </c>
      <c r="I25" s="5">
        <v>2</v>
      </c>
      <c r="J25" s="5">
        <v>4</v>
      </c>
      <c r="K25" s="9" t="s">
        <v>272</v>
      </c>
      <c r="L25" s="9" t="s">
        <v>273</v>
      </c>
    </row>
    <row r="26" spans="1:12" ht="44.1" customHeight="1">
      <c r="A26" s="2" t="s">
        <v>274</v>
      </c>
      <c r="B26" s="2" t="s">
        <v>73</v>
      </c>
      <c r="C26" s="8" t="s">
        <v>275</v>
      </c>
      <c r="D26" s="8"/>
      <c r="E26" s="2">
        <v>3</v>
      </c>
      <c r="F26" s="2">
        <v>1</v>
      </c>
      <c r="G26" s="2">
        <v>0</v>
      </c>
      <c r="H26" s="8" t="s">
        <v>276</v>
      </c>
      <c r="I26" s="2">
        <v>3</v>
      </c>
      <c r="J26" s="2">
        <v>4</v>
      </c>
      <c r="K26" s="8" t="s">
        <v>278</v>
      </c>
      <c r="L26" s="8" t="s">
        <v>279</v>
      </c>
    </row>
    <row r="27" spans="1:12" ht="44.1" customHeight="1">
      <c r="A27" s="5" t="s">
        <v>280</v>
      </c>
      <c r="B27" s="5" t="s">
        <v>73</v>
      </c>
      <c r="C27" s="9" t="s">
        <v>281</v>
      </c>
      <c r="D27" s="9"/>
      <c r="E27" s="5">
        <v>4</v>
      </c>
      <c r="F27" s="5">
        <v>1</v>
      </c>
      <c r="G27" s="5">
        <v>0</v>
      </c>
      <c r="H27" s="9" t="s">
        <v>284</v>
      </c>
      <c r="I27" s="5">
        <v>2</v>
      </c>
      <c r="J27" s="5">
        <v>2</v>
      </c>
      <c r="K27" s="9" t="s">
        <v>286</v>
      </c>
      <c r="L27" s="9" t="s">
        <v>287</v>
      </c>
    </row>
    <row r="28" spans="1:12" ht="44.1" customHeight="1">
      <c r="A28" s="2" t="s">
        <v>288</v>
      </c>
      <c r="B28" s="2" t="s">
        <v>73</v>
      </c>
      <c r="C28" s="8" t="s">
        <v>289</v>
      </c>
      <c r="D28" s="8"/>
      <c r="E28" s="2">
        <v>3</v>
      </c>
      <c r="F28" s="2">
        <v>1</v>
      </c>
      <c r="G28" s="2">
        <v>0</v>
      </c>
      <c r="H28" s="8" t="s">
        <v>291</v>
      </c>
      <c r="I28" s="2">
        <v>2</v>
      </c>
      <c r="J28" s="2">
        <v>2</v>
      </c>
      <c r="K28" s="8" t="s">
        <v>295</v>
      </c>
      <c r="L28" s="8" t="s">
        <v>296</v>
      </c>
    </row>
    <row r="29" spans="1:12" ht="44.1" customHeight="1">
      <c r="A29" s="5" t="s">
        <v>297</v>
      </c>
      <c r="B29" s="5" t="s">
        <v>73</v>
      </c>
      <c r="C29" s="9" t="s">
        <v>298</v>
      </c>
      <c r="D29" s="9"/>
      <c r="E29" s="5">
        <v>3</v>
      </c>
      <c r="F29" s="5">
        <v>0</v>
      </c>
      <c r="G29" s="5">
        <v>3</v>
      </c>
      <c r="H29" s="9" t="s">
        <v>300</v>
      </c>
      <c r="I29" s="5">
        <v>2</v>
      </c>
      <c r="J29" s="5">
        <v>2</v>
      </c>
      <c r="K29" s="9" t="s">
        <v>303</v>
      </c>
      <c r="L29" s="9" t="s">
        <v>304</v>
      </c>
    </row>
    <row r="30" spans="1:12" ht="44.1" customHeight="1">
      <c r="A30" s="2" t="s">
        <v>305</v>
      </c>
      <c r="B30" s="2" t="s">
        <v>73</v>
      </c>
      <c r="C30" s="8" t="s">
        <v>306</v>
      </c>
      <c r="D30" s="8"/>
      <c r="E30" s="2">
        <v>4</v>
      </c>
      <c r="F30" s="2">
        <v>0</v>
      </c>
      <c r="G30" s="2">
        <v>0</v>
      </c>
      <c r="H30" s="8" t="s">
        <v>309</v>
      </c>
      <c r="I30" s="2">
        <v>2</v>
      </c>
      <c r="J30" s="2">
        <v>2</v>
      </c>
      <c r="K30" s="8" t="s">
        <v>312</v>
      </c>
      <c r="L30" s="8" t="s">
        <v>313</v>
      </c>
    </row>
    <row r="31" spans="1:12" ht="44.1" customHeight="1">
      <c r="A31" s="5" t="s">
        <v>314</v>
      </c>
      <c r="B31" s="5" t="s">
        <v>73</v>
      </c>
      <c r="C31" s="9" t="s">
        <v>315</v>
      </c>
      <c r="D31" s="9"/>
      <c r="E31" s="5">
        <v>4</v>
      </c>
      <c r="F31" s="5">
        <v>1</v>
      </c>
      <c r="G31" s="5">
        <v>0</v>
      </c>
      <c r="H31" s="9" t="s">
        <v>318</v>
      </c>
      <c r="I31" s="5">
        <v>2</v>
      </c>
      <c r="J31" s="5">
        <v>2</v>
      </c>
      <c r="K31" s="9" t="s">
        <v>321</v>
      </c>
      <c r="L31" s="9" t="s">
        <v>322</v>
      </c>
    </row>
    <row r="32" spans="1:12" ht="44.1" customHeight="1">
      <c r="A32" s="2" t="s">
        <v>323</v>
      </c>
      <c r="B32" s="2" t="s">
        <v>73</v>
      </c>
      <c r="C32" s="8" t="s">
        <v>324</v>
      </c>
      <c r="D32" s="8"/>
      <c r="E32" s="2">
        <v>3</v>
      </c>
      <c r="F32" s="2">
        <v>1</v>
      </c>
      <c r="G32" s="2">
        <v>0</v>
      </c>
      <c r="H32" s="8" t="s">
        <v>327</v>
      </c>
      <c r="I32" s="2">
        <v>5</v>
      </c>
      <c r="J32" s="2">
        <v>2</v>
      </c>
      <c r="K32" s="8" t="s">
        <v>329</v>
      </c>
      <c r="L32" s="8" t="s">
        <v>330</v>
      </c>
    </row>
    <row r="33" spans="1:12" ht="44.1" customHeight="1">
      <c r="A33" s="5" t="s">
        <v>331</v>
      </c>
      <c r="B33" s="5" t="s">
        <v>73</v>
      </c>
      <c r="C33" s="9" t="s">
        <v>332</v>
      </c>
      <c r="D33" s="9"/>
      <c r="E33" s="5">
        <v>3</v>
      </c>
      <c r="F33" s="5">
        <v>1</v>
      </c>
      <c r="G33" s="5">
        <v>0</v>
      </c>
      <c r="H33" s="9" t="s">
        <v>334</v>
      </c>
      <c r="I33" s="5">
        <v>2</v>
      </c>
      <c r="J33" s="5">
        <v>3</v>
      </c>
      <c r="K33" s="9" t="s">
        <v>336</v>
      </c>
      <c r="L33" s="9" t="s">
        <v>337</v>
      </c>
    </row>
    <row r="34" spans="1:12" ht="44.1" customHeight="1">
      <c r="A34" s="2" t="s">
        <v>338</v>
      </c>
      <c r="B34" s="2" t="s">
        <v>73</v>
      </c>
      <c r="C34" s="8" t="s">
        <v>339</v>
      </c>
      <c r="D34" s="8"/>
      <c r="E34" s="2">
        <v>3</v>
      </c>
      <c r="F34" s="2">
        <v>0</v>
      </c>
      <c r="G34" s="2">
        <v>0</v>
      </c>
      <c r="H34" s="8" t="s">
        <v>342</v>
      </c>
      <c r="I34" s="2">
        <v>5</v>
      </c>
      <c r="J34" s="2">
        <v>2</v>
      </c>
      <c r="K34" s="8" t="s">
        <v>345</v>
      </c>
      <c r="L34" s="8" t="s">
        <v>346</v>
      </c>
    </row>
    <row r="35" spans="1:12" ht="44.1" customHeight="1">
      <c r="A35" s="5" t="s">
        <v>347</v>
      </c>
      <c r="B35" s="5" t="s">
        <v>73</v>
      </c>
      <c r="C35" s="9" t="s">
        <v>348</v>
      </c>
      <c r="D35" s="9"/>
      <c r="E35" s="5">
        <v>3</v>
      </c>
      <c r="F35" s="5">
        <v>0</v>
      </c>
      <c r="G35" s="5">
        <v>0</v>
      </c>
      <c r="H35" s="9" t="s">
        <v>350</v>
      </c>
      <c r="I35" s="5">
        <v>3</v>
      </c>
      <c r="J35" s="5">
        <v>2</v>
      </c>
      <c r="K35" s="9" t="s">
        <v>352</v>
      </c>
      <c r="L35" s="9" t="s">
        <v>353</v>
      </c>
    </row>
    <row r="36" spans="1:12" ht="44.1" customHeight="1">
      <c r="A36" s="2" t="s">
        <v>354</v>
      </c>
      <c r="B36" s="2" t="s">
        <v>73</v>
      </c>
      <c r="C36" s="8" t="s">
        <v>355</v>
      </c>
      <c r="D36" s="8"/>
      <c r="E36" s="2">
        <v>4</v>
      </c>
      <c r="F36" s="2">
        <v>0</v>
      </c>
      <c r="G36" s="2">
        <v>0</v>
      </c>
      <c r="H36" s="8" t="s">
        <v>357</v>
      </c>
      <c r="I36" s="2">
        <v>8</v>
      </c>
      <c r="J36" s="2">
        <v>2</v>
      </c>
      <c r="K36" s="8" t="s">
        <v>360</v>
      </c>
      <c r="L36" s="8" t="s">
        <v>361</v>
      </c>
    </row>
    <row r="37" spans="1:12" ht="44.1" customHeight="1">
      <c r="A37" s="5" t="s">
        <v>362</v>
      </c>
      <c r="B37" s="5" t="s">
        <v>73</v>
      </c>
      <c r="C37" s="9" t="s">
        <v>363</v>
      </c>
      <c r="D37" s="9"/>
      <c r="E37" s="5">
        <v>4</v>
      </c>
      <c r="F37" s="5">
        <v>0</v>
      </c>
      <c r="G37" s="5">
        <v>0</v>
      </c>
      <c r="H37" s="9" t="s">
        <v>365</v>
      </c>
      <c r="I37" s="5">
        <v>2</v>
      </c>
      <c r="J37" s="5">
        <v>2</v>
      </c>
      <c r="K37" s="9" t="s">
        <v>367</v>
      </c>
      <c r="L37" s="9" t="s">
        <v>368</v>
      </c>
    </row>
    <row r="38" spans="1:12" ht="44.1" customHeight="1">
      <c r="A38" s="2" t="s">
        <v>369</v>
      </c>
      <c r="B38" s="2" t="s">
        <v>73</v>
      </c>
      <c r="C38" s="8" t="s">
        <v>370</v>
      </c>
      <c r="D38" s="8"/>
      <c r="E38" s="2">
        <v>4</v>
      </c>
      <c r="F38" s="2">
        <v>0</v>
      </c>
      <c r="G38" s="2">
        <v>0</v>
      </c>
      <c r="H38" s="8" t="s">
        <v>373</v>
      </c>
      <c r="I38" s="2">
        <v>2</v>
      </c>
      <c r="J38" s="2">
        <v>2</v>
      </c>
      <c r="K38" s="8" t="s">
        <v>376</v>
      </c>
      <c r="L38" s="8" t="s">
        <v>377</v>
      </c>
    </row>
    <row r="39" spans="1:12" ht="44.1" customHeight="1">
      <c r="A39" s="5" t="s">
        <v>378</v>
      </c>
      <c r="B39" s="5" t="s">
        <v>73</v>
      </c>
      <c r="C39" s="9" t="s">
        <v>379</v>
      </c>
      <c r="D39" s="9"/>
      <c r="E39" s="5">
        <v>4</v>
      </c>
      <c r="F39" s="5">
        <v>1</v>
      </c>
      <c r="G39" s="5">
        <v>0</v>
      </c>
      <c r="H39" s="9" t="s">
        <v>382</v>
      </c>
      <c r="I39" s="5">
        <v>2</v>
      </c>
      <c r="J39" s="5">
        <v>2</v>
      </c>
      <c r="K39" s="9" t="s">
        <v>384</v>
      </c>
      <c r="L39" s="9" t="s">
        <v>385</v>
      </c>
    </row>
    <row r="40" spans="1:12" ht="44.1" customHeight="1">
      <c r="A40" s="2" t="s">
        <v>386</v>
      </c>
      <c r="B40" s="2" t="s">
        <v>73</v>
      </c>
      <c r="C40" s="8" t="s">
        <v>387</v>
      </c>
      <c r="D40" s="8"/>
      <c r="E40" s="2">
        <v>4</v>
      </c>
      <c r="F40" s="2">
        <v>0</v>
      </c>
      <c r="G40" s="2">
        <v>0</v>
      </c>
      <c r="H40" s="8" t="s">
        <v>390</v>
      </c>
      <c r="I40" s="2">
        <v>3</v>
      </c>
      <c r="J40" s="2">
        <v>2</v>
      </c>
      <c r="K40" s="8" t="s">
        <v>393</v>
      </c>
      <c r="L40" s="8" t="s">
        <v>394</v>
      </c>
    </row>
    <row r="41" spans="1:12" ht="44.1" customHeight="1">
      <c r="A41" s="5" t="s">
        <v>395</v>
      </c>
      <c r="B41" s="5" t="s">
        <v>73</v>
      </c>
      <c r="C41" s="9" t="s">
        <v>396</v>
      </c>
      <c r="D41" s="9"/>
      <c r="E41" s="5">
        <v>4</v>
      </c>
      <c r="F41" s="5">
        <v>0</v>
      </c>
      <c r="G41" s="5">
        <v>0</v>
      </c>
      <c r="H41" s="9" t="s">
        <v>400</v>
      </c>
      <c r="I41" s="5">
        <v>4</v>
      </c>
      <c r="J41" s="5">
        <v>2</v>
      </c>
      <c r="K41" s="9" t="s">
        <v>402</v>
      </c>
      <c r="L41" s="9" t="s">
        <v>403</v>
      </c>
    </row>
    <row r="42" spans="1:12" ht="44.1" customHeight="1">
      <c r="A42" s="2" t="s">
        <v>404</v>
      </c>
      <c r="B42" s="2" t="s">
        <v>73</v>
      </c>
      <c r="C42" s="8" t="s">
        <v>405</v>
      </c>
      <c r="D42" s="8"/>
      <c r="E42" s="2">
        <v>3</v>
      </c>
      <c r="F42" s="2">
        <v>1</v>
      </c>
      <c r="G42" s="2">
        <v>0</v>
      </c>
      <c r="H42" s="8" t="s">
        <v>408</v>
      </c>
      <c r="I42" s="2">
        <v>2</v>
      </c>
      <c r="J42" s="2">
        <v>2</v>
      </c>
      <c r="K42" s="8" t="s">
        <v>410</v>
      </c>
      <c r="L42" s="8" t="s">
        <v>411</v>
      </c>
    </row>
    <row r="43" spans="1:12" ht="44.1" customHeight="1">
      <c r="A43" s="5" t="s">
        <v>412</v>
      </c>
      <c r="B43" s="5" t="s">
        <v>73</v>
      </c>
      <c r="C43" s="9" t="s">
        <v>413</v>
      </c>
      <c r="D43" s="9"/>
      <c r="E43" s="5">
        <v>4</v>
      </c>
      <c r="F43" s="5">
        <v>0</v>
      </c>
      <c r="G43" s="5">
        <v>4</v>
      </c>
      <c r="H43" s="9" t="s">
        <v>417</v>
      </c>
      <c r="I43" s="5">
        <v>5</v>
      </c>
      <c r="J43" s="5">
        <v>2</v>
      </c>
      <c r="K43" s="9" t="s">
        <v>421</v>
      </c>
      <c r="L43" s="9" t="s">
        <v>422</v>
      </c>
    </row>
    <row r="44" spans="1:12" ht="44.1" customHeight="1">
      <c r="A44" s="2" t="s">
        <v>423</v>
      </c>
      <c r="B44" s="2" t="s">
        <v>73</v>
      </c>
      <c r="C44" s="8" t="s">
        <v>424</v>
      </c>
      <c r="D44" s="8"/>
      <c r="E44" s="2">
        <v>4</v>
      </c>
      <c r="F44" s="2">
        <v>0</v>
      </c>
      <c r="G44" s="2">
        <v>0</v>
      </c>
      <c r="H44" s="8" t="s">
        <v>427</v>
      </c>
      <c r="I44" s="2">
        <v>2</v>
      </c>
      <c r="J44" s="2">
        <v>2</v>
      </c>
      <c r="K44" s="8" t="s">
        <v>429</v>
      </c>
      <c r="L44" s="8" t="s">
        <v>430</v>
      </c>
    </row>
    <row r="45" spans="1:12" ht="44.1" customHeight="1">
      <c r="A45" s="5" t="s">
        <v>431</v>
      </c>
      <c r="B45" s="5" t="s">
        <v>73</v>
      </c>
      <c r="C45" s="9" t="s">
        <v>432</v>
      </c>
      <c r="D45" s="9"/>
      <c r="E45" s="5">
        <v>8</v>
      </c>
      <c r="F45" s="5">
        <v>0</v>
      </c>
      <c r="G45" s="5">
        <v>0</v>
      </c>
      <c r="H45" s="9" t="s">
        <v>435</v>
      </c>
      <c r="I45" s="5">
        <v>5</v>
      </c>
      <c r="J45" s="5">
        <v>2</v>
      </c>
      <c r="K45" s="9" t="s">
        <v>438</v>
      </c>
      <c r="L45" s="9" t="s">
        <v>439</v>
      </c>
    </row>
    <row r="46" spans="1:12" ht="44.1" customHeight="1">
      <c r="A46" s="2" t="s">
        <v>440</v>
      </c>
      <c r="B46" s="2" t="s">
        <v>73</v>
      </c>
      <c r="C46" s="8" t="s">
        <v>441</v>
      </c>
      <c r="D46" s="8"/>
      <c r="E46" s="2">
        <v>4</v>
      </c>
      <c r="F46" s="2">
        <v>0</v>
      </c>
      <c r="G46" s="2">
        <v>0</v>
      </c>
      <c r="H46" s="8" t="s">
        <v>444</v>
      </c>
      <c r="I46" s="2">
        <v>3</v>
      </c>
      <c r="J46" s="2">
        <v>2</v>
      </c>
      <c r="K46" s="8" t="s">
        <v>448</v>
      </c>
      <c r="L46" s="8" t="s">
        <v>449</v>
      </c>
    </row>
    <row r="47" spans="1:12" ht="44.1" customHeight="1">
      <c r="A47" s="5" t="s">
        <v>450</v>
      </c>
      <c r="B47" s="5" t="s">
        <v>73</v>
      </c>
      <c r="C47" s="9" t="s">
        <v>451</v>
      </c>
      <c r="D47" s="9"/>
      <c r="E47" s="5">
        <v>7</v>
      </c>
      <c r="F47" s="5">
        <v>1</v>
      </c>
      <c r="G47" s="5">
        <v>0</v>
      </c>
      <c r="H47" s="9" t="s">
        <v>454</v>
      </c>
      <c r="I47" s="5">
        <v>3</v>
      </c>
      <c r="J47" s="5">
        <v>7</v>
      </c>
      <c r="K47" s="9" t="s">
        <v>457</v>
      </c>
      <c r="L47" s="9" t="s">
        <v>458</v>
      </c>
    </row>
    <row r="48" spans="1:12" ht="44.1" customHeight="1">
      <c r="A48" s="2" t="s">
        <v>459</v>
      </c>
      <c r="B48" s="2" t="s">
        <v>73</v>
      </c>
      <c r="C48" s="8" t="s">
        <v>460</v>
      </c>
      <c r="D48" s="8"/>
      <c r="E48" s="2">
        <v>4</v>
      </c>
      <c r="F48" s="2">
        <v>0</v>
      </c>
      <c r="G48" s="2">
        <v>0</v>
      </c>
      <c r="H48" s="8" t="s">
        <v>462</v>
      </c>
      <c r="I48" s="2">
        <v>5</v>
      </c>
      <c r="J48" s="2">
        <v>2</v>
      </c>
      <c r="K48" s="8" t="s">
        <v>465</v>
      </c>
      <c r="L48" s="8" t="s">
        <v>466</v>
      </c>
    </row>
    <row r="49" spans="1:12" ht="44.1" customHeight="1">
      <c r="A49" s="5" t="s">
        <v>467</v>
      </c>
      <c r="B49" s="5" t="s">
        <v>73</v>
      </c>
      <c r="C49" s="9" t="s">
        <v>468</v>
      </c>
      <c r="D49" s="9"/>
      <c r="E49" s="5">
        <v>3</v>
      </c>
      <c r="F49" s="5">
        <v>1</v>
      </c>
      <c r="G49" s="5">
        <v>0</v>
      </c>
      <c r="H49" s="9" t="s">
        <v>471</v>
      </c>
      <c r="I49" s="5">
        <v>5</v>
      </c>
      <c r="J49" s="5">
        <v>2</v>
      </c>
      <c r="K49" s="9" t="s">
        <v>474</v>
      </c>
      <c r="L49" s="9" t="s">
        <v>475</v>
      </c>
    </row>
    <row r="50" spans="1:12" ht="44.1" customHeight="1">
      <c r="A50" s="2" t="s">
        <v>476</v>
      </c>
      <c r="B50" s="2" t="s">
        <v>73</v>
      </c>
      <c r="C50" s="8" t="s">
        <v>477</v>
      </c>
      <c r="D50" s="22" t="s">
        <v>482</v>
      </c>
      <c r="E50" s="2">
        <v>4</v>
      </c>
      <c r="F50" s="2">
        <v>0</v>
      </c>
      <c r="G50" s="2">
        <v>0</v>
      </c>
      <c r="H50" s="8" t="s">
        <v>479</v>
      </c>
      <c r="I50" s="2">
        <v>3</v>
      </c>
      <c r="J50" s="2">
        <v>4</v>
      </c>
      <c r="K50" s="8" t="s">
        <v>483</v>
      </c>
      <c r="L50" s="8" t="s">
        <v>484</v>
      </c>
    </row>
    <row r="51" spans="1:12" ht="44.1" customHeight="1">
      <c r="A51" s="5" t="s">
        <v>485</v>
      </c>
      <c r="B51" s="5" t="s">
        <v>73</v>
      </c>
      <c r="C51" s="9" t="s">
        <v>486</v>
      </c>
      <c r="D51" s="9"/>
      <c r="E51" s="5">
        <v>3</v>
      </c>
      <c r="F51" s="5">
        <v>1</v>
      </c>
      <c r="G51" s="5">
        <v>0</v>
      </c>
      <c r="H51" s="9" t="s">
        <v>489</v>
      </c>
      <c r="I51" s="5">
        <v>2</v>
      </c>
      <c r="J51" s="5">
        <v>2</v>
      </c>
      <c r="K51" s="9" t="s">
        <v>493</v>
      </c>
      <c r="L51" s="9" t="s">
        <v>494</v>
      </c>
    </row>
    <row r="52" spans="1:12" ht="44.1" customHeight="1">
      <c r="A52" s="2" t="s">
        <v>495</v>
      </c>
      <c r="B52" s="2" t="s">
        <v>73</v>
      </c>
      <c r="C52" s="8" t="s">
        <v>496</v>
      </c>
      <c r="D52" s="8"/>
      <c r="E52" s="2">
        <v>3</v>
      </c>
      <c r="F52" s="2">
        <v>0</v>
      </c>
      <c r="G52" s="2">
        <v>3</v>
      </c>
      <c r="H52" s="8" t="s">
        <v>500</v>
      </c>
      <c r="I52" s="2">
        <v>2</v>
      </c>
      <c r="J52" s="2">
        <v>6</v>
      </c>
      <c r="K52" s="8" t="s">
        <v>502</v>
      </c>
      <c r="L52" s="8" t="s">
        <v>503</v>
      </c>
    </row>
    <row r="53" spans="1:12" ht="44.1" customHeight="1">
      <c r="A53" s="5" t="s">
        <v>504</v>
      </c>
      <c r="B53" s="5" t="s">
        <v>73</v>
      </c>
      <c r="C53" s="9" t="s">
        <v>505</v>
      </c>
      <c r="D53" s="9"/>
      <c r="E53" s="5">
        <v>3</v>
      </c>
      <c r="F53" s="5">
        <v>0</v>
      </c>
      <c r="G53" s="5">
        <v>0</v>
      </c>
      <c r="H53" s="9" t="s">
        <v>508</v>
      </c>
      <c r="I53" s="5">
        <v>2</v>
      </c>
      <c r="J53" s="5">
        <v>2</v>
      </c>
      <c r="K53" s="9" t="s">
        <v>511</v>
      </c>
      <c r="L53" s="9" t="s">
        <v>512</v>
      </c>
    </row>
    <row r="54" spans="1:12" ht="44.1" customHeight="1">
      <c r="A54" s="2" t="s">
        <v>513</v>
      </c>
      <c r="B54" s="2" t="s">
        <v>73</v>
      </c>
      <c r="C54" s="8" t="s">
        <v>514</v>
      </c>
      <c r="D54" s="8"/>
      <c r="E54" s="2">
        <v>3</v>
      </c>
      <c r="F54" s="2">
        <v>1</v>
      </c>
      <c r="G54" s="2">
        <v>0</v>
      </c>
      <c r="H54" s="8" t="s">
        <v>517</v>
      </c>
      <c r="I54" s="2">
        <v>3</v>
      </c>
      <c r="J54" s="2">
        <v>2</v>
      </c>
      <c r="K54" s="8" t="s">
        <v>519</v>
      </c>
      <c r="L54" s="8" t="s">
        <v>520</v>
      </c>
    </row>
    <row r="55" spans="1:12" ht="44.1" customHeight="1">
      <c r="A55" s="5" t="s">
        <v>521</v>
      </c>
      <c r="B55" s="5" t="s">
        <v>73</v>
      </c>
      <c r="C55" s="9" t="s">
        <v>522</v>
      </c>
      <c r="D55" s="9"/>
      <c r="E55" s="5">
        <v>4</v>
      </c>
      <c r="F55" s="5">
        <v>1</v>
      </c>
      <c r="G55" s="5">
        <v>0</v>
      </c>
      <c r="H55" s="9" t="s">
        <v>525</v>
      </c>
      <c r="I55" s="5">
        <v>2</v>
      </c>
      <c r="J55" s="5">
        <v>2</v>
      </c>
      <c r="K55" s="9" t="s">
        <v>528</v>
      </c>
      <c r="L55" s="9" t="s">
        <v>529</v>
      </c>
    </row>
    <row r="56" spans="1:12" ht="44.1" customHeight="1">
      <c r="A56" s="2" t="s">
        <v>530</v>
      </c>
      <c r="B56" s="2" t="s">
        <v>73</v>
      </c>
      <c r="C56" s="8" t="s">
        <v>531</v>
      </c>
      <c r="D56" s="8"/>
      <c r="E56" s="2">
        <v>3</v>
      </c>
      <c r="F56" s="2">
        <v>0</v>
      </c>
      <c r="G56" s="2">
        <v>1</v>
      </c>
      <c r="H56" s="8" t="s">
        <v>534</v>
      </c>
      <c r="I56" s="2">
        <v>5</v>
      </c>
      <c r="J56" s="2">
        <v>2</v>
      </c>
      <c r="K56" s="8" t="s">
        <v>537</v>
      </c>
      <c r="L56" s="8" t="s">
        <v>538</v>
      </c>
    </row>
    <row r="57" spans="1:12" ht="44.1" customHeight="1">
      <c r="A57" s="5" t="s">
        <v>539</v>
      </c>
      <c r="B57" s="5" t="s">
        <v>73</v>
      </c>
      <c r="C57" s="9" t="s">
        <v>540</v>
      </c>
      <c r="D57" s="9"/>
      <c r="E57" s="5">
        <v>4</v>
      </c>
      <c r="F57" s="5">
        <v>1</v>
      </c>
      <c r="G57" s="5">
        <v>0</v>
      </c>
      <c r="H57" s="9" t="s">
        <v>542</v>
      </c>
      <c r="I57" s="5">
        <v>3</v>
      </c>
      <c r="J57" s="5">
        <v>3</v>
      </c>
      <c r="K57" s="9" t="s">
        <v>546</v>
      </c>
      <c r="L57" s="9" t="s">
        <v>547</v>
      </c>
    </row>
    <row r="58" spans="1:12" ht="44.1" customHeight="1">
      <c r="A58" s="2" t="s">
        <v>548</v>
      </c>
      <c r="B58" s="2" t="s">
        <v>73</v>
      </c>
      <c r="C58" s="8" t="s">
        <v>549</v>
      </c>
      <c r="D58" s="8"/>
      <c r="E58" s="2">
        <v>4</v>
      </c>
      <c r="F58" s="2">
        <v>0</v>
      </c>
      <c r="G58" s="2">
        <v>0</v>
      </c>
      <c r="H58" s="8" t="s">
        <v>552</v>
      </c>
      <c r="I58" s="2">
        <v>5</v>
      </c>
      <c r="J58" s="2">
        <v>2</v>
      </c>
      <c r="K58" s="8" t="s">
        <v>555</v>
      </c>
      <c r="L58" s="8" t="s">
        <v>556</v>
      </c>
    </row>
    <row r="59" spans="1:12" ht="44.1" customHeight="1">
      <c r="A59" s="5" t="s">
        <v>557</v>
      </c>
      <c r="B59" s="5" t="s">
        <v>73</v>
      </c>
      <c r="C59" s="9" t="s">
        <v>558</v>
      </c>
      <c r="D59" s="9"/>
      <c r="E59" s="5">
        <v>4</v>
      </c>
      <c r="F59" s="5">
        <v>0</v>
      </c>
      <c r="G59" s="5">
        <v>3</v>
      </c>
      <c r="H59" s="9" t="s">
        <v>561</v>
      </c>
      <c r="I59" s="5">
        <v>3</v>
      </c>
      <c r="J59" s="5">
        <v>2</v>
      </c>
      <c r="K59" s="9" t="s">
        <v>563</v>
      </c>
      <c r="L59" s="9" t="s">
        <v>564</v>
      </c>
    </row>
    <row r="60" spans="1:12" ht="44.1" customHeight="1">
      <c r="A60" s="2" t="s">
        <v>565</v>
      </c>
      <c r="B60" s="2" t="s">
        <v>73</v>
      </c>
      <c r="C60" s="8" t="s">
        <v>566</v>
      </c>
      <c r="D60" s="8"/>
      <c r="E60" s="2">
        <v>4</v>
      </c>
      <c r="F60" s="2">
        <v>1</v>
      </c>
      <c r="G60" s="2">
        <v>0</v>
      </c>
      <c r="H60" s="8" t="s">
        <v>569</v>
      </c>
      <c r="I60" s="2">
        <v>2</v>
      </c>
      <c r="J60" s="2">
        <v>2</v>
      </c>
      <c r="K60" s="8" t="s">
        <v>571</v>
      </c>
      <c r="L60" s="8" t="s">
        <v>572</v>
      </c>
    </row>
    <row r="61" spans="1:12" ht="44.1" customHeight="1">
      <c r="A61" s="5" t="s">
        <v>573</v>
      </c>
      <c r="B61" s="5" t="s">
        <v>73</v>
      </c>
      <c r="C61" s="9" t="s">
        <v>574</v>
      </c>
      <c r="D61" s="9"/>
      <c r="E61" s="5">
        <v>4</v>
      </c>
      <c r="F61" s="5">
        <v>0</v>
      </c>
      <c r="G61" s="5">
        <v>3</v>
      </c>
      <c r="H61" s="9" t="s">
        <v>577</v>
      </c>
      <c r="I61" s="5">
        <v>2</v>
      </c>
      <c r="J61" s="5">
        <v>2</v>
      </c>
      <c r="K61" s="9" t="s">
        <v>580</v>
      </c>
      <c r="L61" s="9" t="s">
        <v>581</v>
      </c>
    </row>
    <row r="62" spans="1:12" ht="44.1" customHeight="1">
      <c r="A62" s="2" t="s">
        <v>582</v>
      </c>
      <c r="B62" s="2" t="s">
        <v>73</v>
      </c>
      <c r="C62" s="8" t="s">
        <v>583</v>
      </c>
      <c r="D62" s="22" t="s">
        <v>589</v>
      </c>
      <c r="E62" s="2">
        <v>5</v>
      </c>
      <c r="F62" s="2">
        <v>2</v>
      </c>
      <c r="G62" s="2">
        <v>0</v>
      </c>
      <c r="H62" s="8" t="s">
        <v>586</v>
      </c>
      <c r="I62" s="2">
        <v>5</v>
      </c>
      <c r="J62" s="2">
        <v>2</v>
      </c>
      <c r="K62" s="8" t="s">
        <v>590</v>
      </c>
      <c r="L62" s="8" t="s">
        <v>591</v>
      </c>
    </row>
    <row r="63" spans="1:12" ht="44.1" customHeight="1">
      <c r="A63" s="5" t="s">
        <v>592</v>
      </c>
      <c r="B63" s="5" t="s">
        <v>73</v>
      </c>
      <c r="C63" s="9" t="s">
        <v>593</v>
      </c>
      <c r="D63" s="9"/>
      <c r="E63" s="5">
        <v>4</v>
      </c>
      <c r="F63" s="5">
        <v>0</v>
      </c>
      <c r="G63" s="5">
        <v>0</v>
      </c>
      <c r="H63" s="9" t="s">
        <v>596</v>
      </c>
      <c r="I63" s="5">
        <v>2</v>
      </c>
      <c r="J63" s="5">
        <v>2</v>
      </c>
      <c r="K63" s="9" t="s">
        <v>599</v>
      </c>
      <c r="L63" s="9" t="s">
        <v>600</v>
      </c>
    </row>
    <row r="64" spans="1:12" ht="44.1" customHeight="1">
      <c r="A64" s="2" t="s">
        <v>601</v>
      </c>
      <c r="B64" s="2" t="s">
        <v>73</v>
      </c>
      <c r="C64" s="8" t="s">
        <v>602</v>
      </c>
      <c r="D64" s="8"/>
      <c r="E64" s="2">
        <v>4</v>
      </c>
      <c r="F64" s="2">
        <v>0</v>
      </c>
      <c r="G64" s="2">
        <v>0</v>
      </c>
      <c r="H64" s="8" t="s">
        <v>604</v>
      </c>
      <c r="I64" s="2">
        <v>4</v>
      </c>
      <c r="J64" s="2">
        <v>2</v>
      </c>
      <c r="K64" s="8" t="s">
        <v>607</v>
      </c>
      <c r="L64" s="8" t="s">
        <v>608</v>
      </c>
    </row>
    <row r="65" spans="1:12" ht="44.1" customHeight="1">
      <c r="A65" s="5" t="s">
        <v>609</v>
      </c>
      <c r="B65" s="5" t="s">
        <v>73</v>
      </c>
      <c r="C65" s="9" t="s">
        <v>610</v>
      </c>
      <c r="D65" s="9"/>
      <c r="E65" s="5">
        <v>3</v>
      </c>
      <c r="F65" s="5">
        <v>2</v>
      </c>
      <c r="G65" s="5">
        <v>0</v>
      </c>
      <c r="H65" s="9" t="s">
        <v>613</v>
      </c>
      <c r="I65" s="5">
        <v>3</v>
      </c>
      <c r="J65" s="5">
        <v>4</v>
      </c>
      <c r="K65" s="9" t="s">
        <v>615</v>
      </c>
      <c r="L65" s="9" t="s">
        <v>616</v>
      </c>
    </row>
    <row r="66" spans="1:12" ht="44.1" customHeight="1">
      <c r="A66" s="2" t="s">
        <v>617</v>
      </c>
      <c r="B66" s="2" t="s">
        <v>73</v>
      </c>
      <c r="C66" s="8" t="s">
        <v>618</v>
      </c>
      <c r="D66" s="8"/>
      <c r="E66" s="2">
        <v>4</v>
      </c>
      <c r="F66" s="2">
        <v>0</v>
      </c>
      <c r="G66" s="2">
        <v>0</v>
      </c>
      <c r="H66" s="8" t="s">
        <v>621</v>
      </c>
      <c r="I66" s="2">
        <v>6</v>
      </c>
      <c r="J66" s="2">
        <v>2</v>
      </c>
      <c r="K66" s="8" t="s">
        <v>623</v>
      </c>
      <c r="L66" s="8" t="s">
        <v>624</v>
      </c>
    </row>
    <row r="67" spans="1:12" ht="44.1" customHeight="1">
      <c r="A67" s="5" t="s">
        <v>625</v>
      </c>
      <c r="B67" s="5" t="s">
        <v>73</v>
      </c>
      <c r="C67" s="9" t="s">
        <v>626</v>
      </c>
      <c r="D67" s="9"/>
      <c r="E67" s="5">
        <v>12</v>
      </c>
      <c r="F67" s="5">
        <v>0</v>
      </c>
      <c r="G67" s="5">
        <v>0</v>
      </c>
      <c r="H67" s="9" t="s">
        <v>630</v>
      </c>
      <c r="I67" s="5">
        <v>3</v>
      </c>
      <c r="J67" s="5">
        <v>4</v>
      </c>
      <c r="K67" s="9" t="s">
        <v>632</v>
      </c>
      <c r="L67" s="9" t="s">
        <v>633</v>
      </c>
    </row>
    <row r="68" spans="1:12" ht="44.1" customHeight="1">
      <c r="A68" s="2" t="s">
        <v>634</v>
      </c>
      <c r="B68" s="2" t="s">
        <v>73</v>
      </c>
      <c r="C68" s="8" t="s">
        <v>635</v>
      </c>
      <c r="D68" s="8"/>
      <c r="E68" s="2">
        <v>3</v>
      </c>
      <c r="F68" s="2">
        <v>0</v>
      </c>
      <c r="G68" s="2">
        <v>4</v>
      </c>
      <c r="H68" s="8" t="s">
        <v>640</v>
      </c>
      <c r="I68" s="2">
        <v>2</v>
      </c>
      <c r="J68" s="2">
        <v>2</v>
      </c>
      <c r="K68" s="8" t="s">
        <v>643</v>
      </c>
      <c r="L68" s="8" t="s">
        <v>644</v>
      </c>
    </row>
    <row r="69" spans="1:12" ht="44.1" customHeight="1">
      <c r="A69" s="5" t="s">
        <v>645</v>
      </c>
      <c r="B69" s="5" t="s">
        <v>73</v>
      </c>
      <c r="C69" s="9" t="s">
        <v>646</v>
      </c>
      <c r="D69" s="22" t="s">
        <v>482</v>
      </c>
      <c r="E69" s="5">
        <v>4</v>
      </c>
      <c r="F69" s="5">
        <v>0</v>
      </c>
      <c r="G69" s="5">
        <v>0</v>
      </c>
      <c r="H69" s="9" t="s">
        <v>648</v>
      </c>
      <c r="I69" s="5">
        <v>3</v>
      </c>
      <c r="J69" s="5">
        <v>2</v>
      </c>
      <c r="K69" s="9" t="s">
        <v>651</v>
      </c>
      <c r="L69" s="9" t="s">
        <v>652</v>
      </c>
    </row>
    <row r="70" spans="1:12" ht="44.1" customHeight="1">
      <c r="A70" s="2" t="s">
        <v>653</v>
      </c>
      <c r="B70" s="2" t="s">
        <v>73</v>
      </c>
      <c r="C70" s="8" t="s">
        <v>654</v>
      </c>
      <c r="D70" s="8"/>
      <c r="E70" s="2">
        <v>4</v>
      </c>
      <c r="F70" s="2">
        <v>1</v>
      </c>
      <c r="G70" s="2">
        <v>0</v>
      </c>
      <c r="H70" s="8" t="s">
        <v>658</v>
      </c>
      <c r="I70" s="2">
        <v>4</v>
      </c>
      <c r="J70" s="2">
        <v>2</v>
      </c>
      <c r="K70" s="8" t="s">
        <v>661</v>
      </c>
      <c r="L70" s="8" t="s">
        <v>662</v>
      </c>
    </row>
    <row r="71" spans="1:12" ht="44.1" customHeight="1">
      <c r="A71" s="5" t="s">
        <v>663</v>
      </c>
      <c r="B71" s="5" t="s">
        <v>73</v>
      </c>
      <c r="C71" s="9" t="s">
        <v>664</v>
      </c>
      <c r="D71" s="9"/>
      <c r="E71" s="5">
        <v>5</v>
      </c>
      <c r="F71" s="5">
        <v>0</v>
      </c>
      <c r="G71" s="5">
        <v>0</v>
      </c>
      <c r="H71" s="9" t="s">
        <v>667</v>
      </c>
      <c r="I71" s="5">
        <v>3</v>
      </c>
      <c r="J71" s="5">
        <v>2</v>
      </c>
      <c r="K71" s="9" t="s">
        <v>669</v>
      </c>
      <c r="L71" s="9" t="s">
        <v>670</v>
      </c>
    </row>
    <row r="72" spans="1:12" ht="44.1" customHeight="1">
      <c r="A72" s="2" t="s">
        <v>671</v>
      </c>
      <c r="B72" s="2" t="s">
        <v>73</v>
      </c>
      <c r="C72" s="8" t="s">
        <v>672</v>
      </c>
      <c r="D72" s="8"/>
      <c r="E72" s="2">
        <v>4</v>
      </c>
      <c r="F72" s="2">
        <v>0</v>
      </c>
      <c r="G72" s="2">
        <v>0</v>
      </c>
      <c r="H72" s="8" t="s">
        <v>675</v>
      </c>
      <c r="I72" s="2">
        <v>7</v>
      </c>
      <c r="J72" s="2">
        <v>2</v>
      </c>
      <c r="K72" s="8" t="s">
        <v>678</v>
      </c>
      <c r="L72" s="8" t="s">
        <v>679</v>
      </c>
    </row>
    <row r="73" spans="1:12" ht="44.1" customHeight="1">
      <c r="A73" s="5" t="s">
        <v>680</v>
      </c>
      <c r="B73" s="5" t="s">
        <v>73</v>
      </c>
      <c r="C73" s="9" t="s">
        <v>681</v>
      </c>
      <c r="D73" s="9"/>
      <c r="E73" s="5">
        <v>3</v>
      </c>
      <c r="F73" s="5">
        <v>1</v>
      </c>
      <c r="G73" s="5">
        <v>0</v>
      </c>
      <c r="H73" s="9" t="s">
        <v>684</v>
      </c>
      <c r="I73" s="5">
        <v>4</v>
      </c>
      <c r="J73" s="5">
        <v>2</v>
      </c>
      <c r="K73" s="9" t="s">
        <v>686</v>
      </c>
      <c r="L73" s="9" t="s">
        <v>687</v>
      </c>
    </row>
    <row r="74" spans="1:12" ht="44.1" customHeight="1">
      <c r="A74" s="2" t="s">
        <v>688</v>
      </c>
      <c r="B74" s="2" t="s">
        <v>73</v>
      </c>
      <c r="C74" s="8" t="s">
        <v>689</v>
      </c>
      <c r="D74" s="8"/>
      <c r="E74" s="2">
        <v>3</v>
      </c>
      <c r="F74" s="2">
        <v>1</v>
      </c>
      <c r="G74" s="2">
        <v>0</v>
      </c>
      <c r="H74" s="8" t="s">
        <v>691</v>
      </c>
      <c r="I74" s="2">
        <v>1</v>
      </c>
      <c r="J74" s="2">
        <v>2</v>
      </c>
      <c r="K74" s="8" t="s">
        <v>694</v>
      </c>
      <c r="L74" s="8" t="s">
        <v>695</v>
      </c>
    </row>
    <row r="75" spans="1:12" ht="44.1" customHeight="1">
      <c r="A75" s="5" t="s">
        <v>696</v>
      </c>
      <c r="B75" s="5" t="s">
        <v>73</v>
      </c>
      <c r="C75" s="9" t="s">
        <v>697</v>
      </c>
      <c r="D75" s="9"/>
      <c r="E75" s="5">
        <v>4</v>
      </c>
      <c r="F75" s="5">
        <v>1</v>
      </c>
      <c r="G75" s="5">
        <v>0</v>
      </c>
      <c r="H75" s="9" t="s">
        <v>700</v>
      </c>
      <c r="I75" s="5">
        <v>3</v>
      </c>
      <c r="J75" s="5">
        <v>2</v>
      </c>
      <c r="K75" s="9" t="s">
        <v>703</v>
      </c>
      <c r="L75" s="9" t="s">
        <v>704</v>
      </c>
    </row>
    <row r="76" spans="1:12" ht="44.1" customHeight="1">
      <c r="A76" s="2" t="s">
        <v>705</v>
      </c>
      <c r="B76" s="2" t="s">
        <v>73</v>
      </c>
      <c r="C76" s="8" t="s">
        <v>706</v>
      </c>
      <c r="D76" s="8"/>
      <c r="E76" s="2">
        <v>3</v>
      </c>
      <c r="F76" s="2">
        <v>1</v>
      </c>
      <c r="G76" s="2">
        <v>0</v>
      </c>
      <c r="H76" s="8" t="s">
        <v>709</v>
      </c>
      <c r="I76" s="2">
        <v>2</v>
      </c>
      <c r="J76" s="2">
        <v>2</v>
      </c>
      <c r="K76" s="8" t="s">
        <v>711</v>
      </c>
      <c r="L76" s="8" t="s">
        <v>712</v>
      </c>
    </row>
    <row r="77" spans="1:12" ht="44.1" customHeight="1">
      <c r="A77" s="5" t="s">
        <v>713</v>
      </c>
      <c r="B77" s="5" t="s">
        <v>73</v>
      </c>
      <c r="C77" s="9" t="s">
        <v>714</v>
      </c>
      <c r="D77" s="9"/>
      <c r="E77" s="5">
        <v>3</v>
      </c>
      <c r="F77" s="5">
        <v>1</v>
      </c>
      <c r="G77" s="5">
        <v>0</v>
      </c>
      <c r="H77" s="9" t="s">
        <v>716</v>
      </c>
      <c r="I77" s="5">
        <v>2</v>
      </c>
      <c r="J77" s="5">
        <v>2</v>
      </c>
      <c r="K77" s="9" t="s">
        <v>718</v>
      </c>
      <c r="L77" s="9" t="s">
        <v>719</v>
      </c>
    </row>
    <row r="78" spans="1:12" ht="44.1" customHeight="1">
      <c r="A78" s="2" t="s">
        <v>720</v>
      </c>
      <c r="B78" s="2" t="s">
        <v>73</v>
      </c>
      <c r="C78" s="8" t="s">
        <v>721</v>
      </c>
      <c r="D78" s="8"/>
      <c r="E78" s="2">
        <v>4</v>
      </c>
      <c r="F78" s="2">
        <v>0</v>
      </c>
      <c r="G78" s="2">
        <v>4</v>
      </c>
      <c r="H78" s="8" t="s">
        <v>724</v>
      </c>
      <c r="I78" s="2">
        <v>2</v>
      </c>
      <c r="J78" s="2">
        <v>2</v>
      </c>
      <c r="K78" s="8" t="s">
        <v>726</v>
      </c>
      <c r="L78" s="8" t="s">
        <v>727</v>
      </c>
    </row>
    <row r="79" spans="1:12" ht="44.1" customHeight="1">
      <c r="A79" s="5" t="s">
        <v>728</v>
      </c>
      <c r="B79" s="5" t="s">
        <v>73</v>
      </c>
      <c r="C79" s="9" t="s">
        <v>729</v>
      </c>
      <c r="D79" s="9"/>
      <c r="E79" s="5">
        <v>4</v>
      </c>
      <c r="F79" s="5">
        <v>0</v>
      </c>
      <c r="G79" s="5">
        <v>4</v>
      </c>
      <c r="H79" s="9" t="s">
        <v>732</v>
      </c>
      <c r="I79" s="5">
        <v>2</v>
      </c>
      <c r="J79" s="5">
        <v>7</v>
      </c>
      <c r="K79" s="9" t="s">
        <v>734</v>
      </c>
      <c r="L79" s="9" t="s">
        <v>735</v>
      </c>
    </row>
    <row r="80" spans="1:12" ht="44.1" customHeight="1">
      <c r="A80" s="2" t="s">
        <v>736</v>
      </c>
      <c r="B80" s="2" t="s">
        <v>73</v>
      </c>
      <c r="C80" s="8" t="s">
        <v>737</v>
      </c>
      <c r="D80" s="8"/>
      <c r="E80" s="2">
        <v>4</v>
      </c>
      <c r="F80" s="2">
        <v>0</v>
      </c>
      <c r="G80" s="2">
        <v>3</v>
      </c>
      <c r="H80" s="8" t="s">
        <v>741</v>
      </c>
      <c r="I80" s="2">
        <v>5</v>
      </c>
      <c r="J80" s="2">
        <v>2</v>
      </c>
      <c r="K80" s="8" t="s">
        <v>743</v>
      </c>
      <c r="L80" s="8" t="s">
        <v>744</v>
      </c>
    </row>
    <row r="81" spans="1:12" ht="44.1" customHeight="1">
      <c r="A81" s="5" t="s">
        <v>745</v>
      </c>
      <c r="B81" s="5" t="s">
        <v>73</v>
      </c>
      <c r="C81" s="9" t="s">
        <v>746</v>
      </c>
      <c r="D81" s="9"/>
      <c r="E81" s="5">
        <v>4</v>
      </c>
      <c r="F81" s="5">
        <v>1</v>
      </c>
      <c r="G81" s="5">
        <v>0</v>
      </c>
      <c r="H81" s="9" t="s">
        <v>749</v>
      </c>
      <c r="I81" s="5">
        <v>5</v>
      </c>
      <c r="J81" s="5">
        <v>2</v>
      </c>
      <c r="K81" s="9" t="s">
        <v>751</v>
      </c>
      <c r="L81" s="9" t="s">
        <v>752</v>
      </c>
    </row>
    <row r="82" spans="1:12" ht="44.1" customHeight="1">
      <c r="A82" s="2" t="s">
        <v>753</v>
      </c>
      <c r="B82" s="2" t="s">
        <v>73</v>
      </c>
      <c r="C82" s="8" t="s">
        <v>754</v>
      </c>
      <c r="D82" s="8"/>
      <c r="E82" s="2">
        <v>4</v>
      </c>
      <c r="F82" s="2">
        <v>0</v>
      </c>
      <c r="G82" s="2">
        <v>0</v>
      </c>
      <c r="H82" s="8" t="s">
        <v>757</v>
      </c>
      <c r="I82" s="2">
        <v>2</v>
      </c>
      <c r="J82" s="2">
        <v>2</v>
      </c>
      <c r="K82" s="8" t="s">
        <v>759</v>
      </c>
      <c r="L82" s="8" t="s">
        <v>760</v>
      </c>
    </row>
    <row r="83" spans="1:12" ht="44.1" customHeight="1">
      <c r="A83" s="5" t="s">
        <v>761</v>
      </c>
      <c r="B83" s="5" t="s">
        <v>73</v>
      </c>
      <c r="C83" s="9" t="s">
        <v>762</v>
      </c>
      <c r="D83" s="22" t="s">
        <v>482</v>
      </c>
      <c r="E83" s="5">
        <v>3</v>
      </c>
      <c r="F83" s="5">
        <v>0</v>
      </c>
      <c r="G83" s="5">
        <v>0</v>
      </c>
      <c r="H83" s="9" t="s">
        <v>765</v>
      </c>
      <c r="I83" s="5">
        <v>0</v>
      </c>
      <c r="J83" s="5">
        <v>2</v>
      </c>
      <c r="K83" s="9" t="s">
        <v>767</v>
      </c>
      <c r="L83" s="9" t="s">
        <v>768</v>
      </c>
    </row>
    <row r="84" spans="1:12" ht="44.1" customHeight="1">
      <c r="A84" s="2" t="s">
        <v>769</v>
      </c>
      <c r="B84" s="2" t="s">
        <v>73</v>
      </c>
      <c r="C84" s="8" t="s">
        <v>770</v>
      </c>
      <c r="D84" s="8"/>
      <c r="E84" s="2">
        <v>4</v>
      </c>
      <c r="F84" s="2">
        <v>0</v>
      </c>
      <c r="G84" s="2">
        <v>0</v>
      </c>
      <c r="H84" s="8" t="s">
        <v>773</v>
      </c>
      <c r="I84" s="2">
        <v>4</v>
      </c>
      <c r="J84" s="2">
        <v>2</v>
      </c>
      <c r="K84" s="8" t="s">
        <v>776</v>
      </c>
      <c r="L84" s="8" t="s">
        <v>777</v>
      </c>
    </row>
    <row r="85" spans="1:12" ht="44.1" customHeight="1">
      <c r="A85" s="5" t="s">
        <v>778</v>
      </c>
      <c r="B85" s="5" t="s">
        <v>73</v>
      </c>
      <c r="C85" s="9" t="s">
        <v>779</v>
      </c>
      <c r="D85" s="9"/>
      <c r="E85" s="5">
        <v>4</v>
      </c>
      <c r="F85" s="5">
        <v>1</v>
      </c>
      <c r="G85" s="5">
        <v>0</v>
      </c>
      <c r="H85" s="9" t="s">
        <v>780</v>
      </c>
      <c r="I85" s="5">
        <v>3</v>
      </c>
      <c r="J85" s="5">
        <v>2</v>
      </c>
      <c r="K85" s="9" t="s">
        <v>782</v>
      </c>
      <c r="L85" s="9" t="s">
        <v>783</v>
      </c>
    </row>
    <row r="86" spans="1:12" ht="44.1" customHeight="1">
      <c r="A86" s="2" t="s">
        <v>784</v>
      </c>
      <c r="B86" s="2" t="s">
        <v>73</v>
      </c>
      <c r="C86" s="8" t="s">
        <v>785</v>
      </c>
      <c r="D86" s="8"/>
      <c r="E86" s="2">
        <v>3</v>
      </c>
      <c r="F86" s="2">
        <v>1</v>
      </c>
      <c r="G86" s="2">
        <v>0</v>
      </c>
      <c r="H86" s="8" t="s">
        <v>787</v>
      </c>
      <c r="I86" s="2">
        <v>3</v>
      </c>
      <c r="J86" s="2">
        <v>2</v>
      </c>
      <c r="K86" s="8" t="s">
        <v>790</v>
      </c>
      <c r="L86" s="8" t="s">
        <v>791</v>
      </c>
    </row>
    <row r="87" spans="1:12" ht="44.1" customHeight="1">
      <c r="A87" s="5" t="s">
        <v>792</v>
      </c>
      <c r="B87" s="5" t="s">
        <v>73</v>
      </c>
      <c r="C87" s="9" t="s">
        <v>793</v>
      </c>
      <c r="D87" s="9"/>
      <c r="E87" s="5">
        <v>3</v>
      </c>
      <c r="F87" s="5">
        <v>1</v>
      </c>
      <c r="G87" s="5">
        <v>0</v>
      </c>
      <c r="H87" s="9" t="s">
        <v>795</v>
      </c>
      <c r="I87" s="5">
        <v>3</v>
      </c>
      <c r="J87" s="5">
        <v>2</v>
      </c>
      <c r="K87" s="9" t="s">
        <v>798</v>
      </c>
      <c r="L87" s="9" t="s">
        <v>799</v>
      </c>
    </row>
    <row r="88" spans="1:12" ht="44.1" customHeight="1">
      <c r="A88" s="2" t="s">
        <v>800</v>
      </c>
      <c r="B88" s="2" t="s">
        <v>73</v>
      </c>
      <c r="C88" s="8" t="s">
        <v>801</v>
      </c>
      <c r="D88" s="22" t="s">
        <v>212</v>
      </c>
      <c r="E88" s="2">
        <v>3</v>
      </c>
      <c r="F88" s="2">
        <v>1</v>
      </c>
      <c r="G88" s="2">
        <v>0</v>
      </c>
      <c r="H88" s="8" t="s">
        <v>803</v>
      </c>
      <c r="I88" s="2">
        <v>4</v>
      </c>
      <c r="J88" s="2">
        <v>2</v>
      </c>
      <c r="K88" s="8" t="s">
        <v>806</v>
      </c>
      <c r="L88" s="8" t="s">
        <v>807</v>
      </c>
    </row>
    <row r="89" spans="1:12" ht="44.1" customHeight="1">
      <c r="A89" s="5" t="s">
        <v>808</v>
      </c>
      <c r="B89" s="5" t="s">
        <v>73</v>
      </c>
      <c r="C89" s="9" t="s">
        <v>809</v>
      </c>
      <c r="D89" s="9"/>
      <c r="E89" s="5">
        <v>4</v>
      </c>
      <c r="F89" s="5">
        <v>1</v>
      </c>
      <c r="G89" s="5">
        <v>0</v>
      </c>
      <c r="H89" s="9" t="s">
        <v>812</v>
      </c>
      <c r="I89" s="5">
        <v>3</v>
      </c>
      <c r="J89" s="5">
        <v>2</v>
      </c>
      <c r="K89" s="9" t="s">
        <v>814</v>
      </c>
      <c r="L89" s="9" t="s">
        <v>815</v>
      </c>
    </row>
    <row r="90" spans="1:12" ht="44.1" customHeight="1">
      <c r="A90" s="2" t="s">
        <v>816</v>
      </c>
      <c r="B90" s="2" t="s">
        <v>73</v>
      </c>
      <c r="C90" s="8" t="s">
        <v>817</v>
      </c>
      <c r="D90" s="8"/>
      <c r="E90" s="2">
        <v>4</v>
      </c>
      <c r="F90" s="2">
        <v>1</v>
      </c>
      <c r="G90" s="2">
        <v>0</v>
      </c>
      <c r="H90" s="8" t="s">
        <v>820</v>
      </c>
      <c r="I90" s="2">
        <v>4</v>
      </c>
      <c r="J90" s="2">
        <v>2</v>
      </c>
      <c r="K90" s="8" t="s">
        <v>823</v>
      </c>
      <c r="L90" s="8" t="s">
        <v>824</v>
      </c>
    </row>
    <row r="91" spans="1:12" ht="44.1" customHeight="1">
      <c r="A91" s="5" t="s">
        <v>825</v>
      </c>
      <c r="B91" s="5" t="s">
        <v>73</v>
      </c>
      <c r="C91" s="9" t="s">
        <v>826</v>
      </c>
      <c r="D91" s="9"/>
      <c r="E91" s="5">
        <v>4</v>
      </c>
      <c r="F91" s="5">
        <v>1</v>
      </c>
      <c r="G91" s="5">
        <v>0</v>
      </c>
      <c r="H91" s="9" t="s">
        <v>828</v>
      </c>
      <c r="I91" s="5">
        <v>2</v>
      </c>
      <c r="J91" s="5">
        <v>2</v>
      </c>
      <c r="K91" s="9" t="s">
        <v>830</v>
      </c>
      <c r="L91" s="9" t="s">
        <v>831</v>
      </c>
    </row>
    <row r="92" spans="1:12" ht="44.1" customHeight="1">
      <c r="A92" s="2" t="s">
        <v>832</v>
      </c>
      <c r="B92" s="2" t="s">
        <v>73</v>
      </c>
      <c r="C92" s="8" t="s">
        <v>833</v>
      </c>
      <c r="D92" s="8"/>
      <c r="E92" s="2">
        <v>3</v>
      </c>
      <c r="F92" s="2">
        <v>1</v>
      </c>
      <c r="G92" s="2">
        <v>0</v>
      </c>
      <c r="H92" s="8" t="s">
        <v>835</v>
      </c>
      <c r="I92" s="2">
        <v>4</v>
      </c>
      <c r="J92" s="2">
        <v>3</v>
      </c>
      <c r="K92" s="8" t="s">
        <v>837</v>
      </c>
      <c r="L92" s="8" t="s">
        <v>838</v>
      </c>
    </row>
    <row r="93" spans="1:12" ht="44.1" customHeight="1">
      <c r="A93" s="5" t="s">
        <v>839</v>
      </c>
      <c r="B93" s="5" t="s">
        <v>73</v>
      </c>
      <c r="C93" s="9" t="s">
        <v>840</v>
      </c>
      <c r="D93" s="9"/>
      <c r="E93" s="5">
        <v>3</v>
      </c>
      <c r="F93" s="5">
        <v>1</v>
      </c>
      <c r="G93" s="5">
        <v>0</v>
      </c>
      <c r="H93" s="9" t="s">
        <v>843</v>
      </c>
      <c r="I93" s="5">
        <v>4</v>
      </c>
      <c r="J93" s="5">
        <v>2</v>
      </c>
      <c r="K93" s="9" t="s">
        <v>845</v>
      </c>
      <c r="L93" s="9" t="s">
        <v>846</v>
      </c>
    </row>
    <row r="94" spans="1:12" ht="44.1" customHeight="1">
      <c r="A94" s="2" t="s">
        <v>847</v>
      </c>
      <c r="B94" s="2" t="s">
        <v>73</v>
      </c>
      <c r="C94" s="8" t="s">
        <v>848</v>
      </c>
      <c r="D94" s="8"/>
      <c r="E94" s="2">
        <v>3</v>
      </c>
      <c r="F94" s="2">
        <v>1</v>
      </c>
      <c r="G94" s="2">
        <v>0</v>
      </c>
      <c r="H94" s="8" t="s">
        <v>852</v>
      </c>
      <c r="I94" s="2">
        <v>3</v>
      </c>
      <c r="J94" s="2">
        <v>2</v>
      </c>
      <c r="K94" s="8" t="s">
        <v>854</v>
      </c>
      <c r="L94" s="8" t="s">
        <v>855</v>
      </c>
    </row>
    <row r="95" spans="1:12" ht="44.1" customHeight="1">
      <c r="A95" s="5" t="s">
        <v>856</v>
      </c>
      <c r="B95" s="5" t="s">
        <v>73</v>
      </c>
      <c r="C95" s="9" t="s">
        <v>857</v>
      </c>
      <c r="D95" s="9"/>
      <c r="E95" s="5">
        <v>4</v>
      </c>
      <c r="F95" s="5">
        <v>0</v>
      </c>
      <c r="G95" s="5">
        <v>0</v>
      </c>
      <c r="H95" s="9" t="s">
        <v>860</v>
      </c>
      <c r="I95" s="5">
        <v>3</v>
      </c>
      <c r="J95" s="5">
        <v>2</v>
      </c>
      <c r="K95" s="9" t="s">
        <v>862</v>
      </c>
      <c r="L95" s="9" t="s">
        <v>863</v>
      </c>
    </row>
    <row r="96" spans="1:12" ht="44.1" customHeight="1">
      <c r="A96" s="2" t="s">
        <v>864</v>
      </c>
      <c r="B96" s="2" t="s">
        <v>73</v>
      </c>
      <c r="C96" s="8" t="s">
        <v>865</v>
      </c>
      <c r="D96" s="8"/>
      <c r="E96" s="2">
        <v>7</v>
      </c>
      <c r="F96" s="2">
        <v>1</v>
      </c>
      <c r="G96" s="2">
        <v>0</v>
      </c>
      <c r="H96" s="8" t="s">
        <v>867</v>
      </c>
      <c r="I96" s="2">
        <v>6</v>
      </c>
      <c r="J96" s="2">
        <v>2</v>
      </c>
      <c r="K96" s="8" t="s">
        <v>870</v>
      </c>
      <c r="L96" s="8" t="s">
        <v>871</v>
      </c>
    </row>
    <row r="97" spans="1:12" ht="44.1" customHeight="1">
      <c r="A97" s="5" t="s">
        <v>872</v>
      </c>
      <c r="B97" s="5" t="s">
        <v>73</v>
      </c>
      <c r="C97" s="9" t="s">
        <v>873</v>
      </c>
      <c r="D97" s="9"/>
      <c r="E97" s="5">
        <v>3</v>
      </c>
      <c r="F97" s="5">
        <v>1</v>
      </c>
      <c r="G97" s="5">
        <v>0</v>
      </c>
      <c r="H97" s="9" t="s">
        <v>875</v>
      </c>
      <c r="I97" s="5">
        <v>2</v>
      </c>
      <c r="J97" s="5">
        <v>2</v>
      </c>
      <c r="K97" s="9" t="s">
        <v>877</v>
      </c>
      <c r="L97" s="9" t="s">
        <v>878</v>
      </c>
    </row>
    <row r="98" spans="1:12" ht="44.1" customHeight="1">
      <c r="A98" s="2" t="s">
        <v>879</v>
      </c>
      <c r="B98" s="2" t="s">
        <v>73</v>
      </c>
      <c r="C98" s="8" t="s">
        <v>880</v>
      </c>
      <c r="D98" s="8"/>
      <c r="E98" s="2">
        <v>4</v>
      </c>
      <c r="F98" s="2">
        <v>1</v>
      </c>
      <c r="G98" s="2">
        <v>0</v>
      </c>
      <c r="H98" s="8" t="s">
        <v>882</v>
      </c>
      <c r="I98" s="2">
        <v>3</v>
      </c>
      <c r="J98" s="2">
        <v>2</v>
      </c>
      <c r="K98" s="8" t="s">
        <v>885</v>
      </c>
      <c r="L98" s="8" t="s">
        <v>886</v>
      </c>
    </row>
    <row r="99" spans="1:12" ht="44.1" customHeight="1">
      <c r="A99" s="5" t="s">
        <v>887</v>
      </c>
      <c r="B99" s="5" t="s">
        <v>73</v>
      </c>
      <c r="C99" s="9" t="s">
        <v>888</v>
      </c>
      <c r="D99" s="9"/>
      <c r="E99" s="5">
        <v>3</v>
      </c>
      <c r="F99" s="5">
        <v>1</v>
      </c>
      <c r="G99" s="5">
        <v>0</v>
      </c>
      <c r="H99" s="9" t="s">
        <v>890</v>
      </c>
      <c r="I99" s="5">
        <v>3</v>
      </c>
      <c r="J99" s="5">
        <v>2</v>
      </c>
      <c r="K99" s="9" t="s">
        <v>892</v>
      </c>
      <c r="L99" s="9" t="s">
        <v>893</v>
      </c>
    </row>
    <row r="100" spans="1:12" ht="44.1" customHeight="1">
      <c r="A100" s="2" t="s">
        <v>894</v>
      </c>
      <c r="B100" s="2" t="s">
        <v>73</v>
      </c>
      <c r="C100" s="8" t="s">
        <v>895</v>
      </c>
      <c r="D100" s="8"/>
      <c r="E100" s="2">
        <v>2</v>
      </c>
      <c r="F100" s="2">
        <v>0</v>
      </c>
      <c r="G100" s="2">
        <v>0</v>
      </c>
      <c r="H100" s="8" t="s">
        <v>897</v>
      </c>
      <c r="I100" s="2">
        <v>2</v>
      </c>
      <c r="J100" s="2">
        <v>2</v>
      </c>
      <c r="K100" s="8" t="s">
        <v>899</v>
      </c>
      <c r="L100" s="8" t="s">
        <v>900</v>
      </c>
    </row>
    <row r="101" spans="1:12" ht="44.1" customHeight="1">
      <c r="A101" s="5" t="s">
        <v>901</v>
      </c>
      <c r="B101" s="5" t="s">
        <v>73</v>
      </c>
      <c r="C101" s="9" t="s">
        <v>902</v>
      </c>
      <c r="D101" s="9"/>
      <c r="E101" s="5">
        <v>3</v>
      </c>
      <c r="F101" s="5">
        <v>0</v>
      </c>
      <c r="G101" s="5">
        <v>0</v>
      </c>
      <c r="H101" s="9" t="s">
        <v>905</v>
      </c>
      <c r="I101" s="5">
        <v>2</v>
      </c>
      <c r="J101" s="5">
        <v>2</v>
      </c>
      <c r="K101" s="9" t="s">
        <v>907</v>
      </c>
      <c r="L101" s="9" t="s">
        <v>908</v>
      </c>
    </row>
    <row r="102" spans="1:12" ht="44.1" customHeight="1">
      <c r="A102" s="2" t="s">
        <v>909</v>
      </c>
      <c r="B102" s="2" t="s">
        <v>73</v>
      </c>
      <c r="C102" s="8" t="s">
        <v>910</v>
      </c>
      <c r="D102" s="8"/>
      <c r="E102" s="2">
        <v>3</v>
      </c>
      <c r="F102" s="2">
        <v>1</v>
      </c>
      <c r="G102" s="2">
        <v>0</v>
      </c>
      <c r="H102" s="8" t="s">
        <v>911</v>
      </c>
      <c r="I102" s="2">
        <v>5</v>
      </c>
      <c r="J102" s="2">
        <v>2</v>
      </c>
      <c r="K102" s="8" t="s">
        <v>913</v>
      </c>
      <c r="L102" s="8" t="s">
        <v>914</v>
      </c>
    </row>
    <row r="103" spans="1:12" ht="44.1" customHeight="1">
      <c r="A103" s="5" t="s">
        <v>915</v>
      </c>
      <c r="B103" s="5" t="s">
        <v>73</v>
      </c>
      <c r="C103" s="9" t="s">
        <v>916</v>
      </c>
      <c r="D103" s="9"/>
      <c r="E103" s="5">
        <v>3</v>
      </c>
      <c r="F103" s="5">
        <v>1</v>
      </c>
      <c r="G103" s="5">
        <v>0</v>
      </c>
      <c r="H103" s="9" t="s">
        <v>919</v>
      </c>
      <c r="I103" s="5">
        <v>3</v>
      </c>
      <c r="J103" s="5">
        <v>2</v>
      </c>
      <c r="K103" s="9" t="s">
        <v>922</v>
      </c>
      <c r="L103" s="9" t="s">
        <v>923</v>
      </c>
    </row>
    <row r="104" spans="1:12" ht="44.1" customHeight="1">
      <c r="A104" s="2" t="s">
        <v>924</v>
      </c>
      <c r="B104" s="2" t="s">
        <v>73</v>
      </c>
      <c r="C104" s="8" t="s">
        <v>925</v>
      </c>
      <c r="D104" s="8"/>
      <c r="E104" s="2">
        <v>4</v>
      </c>
      <c r="F104" s="2">
        <v>0</v>
      </c>
      <c r="G104" s="2">
        <v>0</v>
      </c>
      <c r="H104" s="8" t="s">
        <v>927</v>
      </c>
      <c r="I104" s="2">
        <v>2</v>
      </c>
      <c r="J104" s="2">
        <v>2</v>
      </c>
      <c r="K104" s="8" t="s">
        <v>929</v>
      </c>
      <c r="L104" s="8" t="s">
        <v>930</v>
      </c>
    </row>
    <row r="105" spans="1:12" ht="44.1" customHeight="1">
      <c r="A105" s="5" t="s">
        <v>931</v>
      </c>
      <c r="B105" s="5" t="s">
        <v>73</v>
      </c>
      <c r="C105" s="9" t="s">
        <v>932</v>
      </c>
      <c r="D105" s="22" t="s">
        <v>937</v>
      </c>
      <c r="E105" s="5">
        <v>3</v>
      </c>
      <c r="F105" s="5">
        <v>1</v>
      </c>
      <c r="G105" s="5">
        <v>0</v>
      </c>
      <c r="H105" s="9" t="s">
        <v>935</v>
      </c>
      <c r="I105" s="5">
        <v>2</v>
      </c>
      <c r="J105" s="5">
        <v>2</v>
      </c>
      <c r="K105" s="9" t="s">
        <v>938</v>
      </c>
      <c r="L105" s="9" t="s">
        <v>939</v>
      </c>
    </row>
    <row r="106" spans="1:12" ht="44.1" customHeight="1">
      <c r="A106" s="2" t="s">
        <v>940</v>
      </c>
      <c r="B106" s="2" t="s">
        <v>73</v>
      </c>
      <c r="C106" s="8" t="s">
        <v>941</v>
      </c>
      <c r="D106" s="8"/>
      <c r="E106" s="2">
        <v>4</v>
      </c>
      <c r="F106" s="2">
        <v>1</v>
      </c>
      <c r="G106" s="2">
        <v>0</v>
      </c>
      <c r="H106" s="8" t="s">
        <v>944</v>
      </c>
      <c r="I106" s="2">
        <v>2</v>
      </c>
      <c r="J106" s="2">
        <v>2</v>
      </c>
      <c r="K106" s="8" t="s">
        <v>946</v>
      </c>
      <c r="L106" s="8" t="s">
        <v>947</v>
      </c>
    </row>
    <row r="107" spans="1:12" ht="44.1" customHeight="1">
      <c r="A107" s="5" t="s">
        <v>948</v>
      </c>
      <c r="B107" s="5" t="s">
        <v>73</v>
      </c>
      <c r="C107" s="9" t="s">
        <v>949</v>
      </c>
      <c r="D107" s="9"/>
      <c r="E107" s="5">
        <v>4</v>
      </c>
      <c r="F107" s="5">
        <v>1</v>
      </c>
      <c r="G107" s="5">
        <v>0</v>
      </c>
      <c r="H107" s="9" t="s">
        <v>951</v>
      </c>
      <c r="I107" s="5">
        <v>2</v>
      </c>
      <c r="J107" s="5">
        <v>2</v>
      </c>
      <c r="K107" s="9" t="s">
        <v>953</v>
      </c>
      <c r="L107" s="9" t="s">
        <v>954</v>
      </c>
    </row>
    <row r="108" spans="1:12" ht="44.1" customHeight="1">
      <c r="A108" s="2" t="s">
        <v>955</v>
      </c>
      <c r="B108" s="2" t="s">
        <v>73</v>
      </c>
      <c r="C108" s="8" t="s">
        <v>956</v>
      </c>
      <c r="D108" s="8"/>
      <c r="E108" s="2">
        <v>3</v>
      </c>
      <c r="F108" s="2">
        <v>2</v>
      </c>
      <c r="G108" s="2">
        <v>6</v>
      </c>
      <c r="H108" s="8" t="s">
        <v>960</v>
      </c>
      <c r="I108" s="2">
        <v>1</v>
      </c>
      <c r="J108" s="2">
        <v>3</v>
      </c>
      <c r="K108" s="8" t="s">
        <v>963</v>
      </c>
      <c r="L108" s="8" t="s">
        <v>964</v>
      </c>
    </row>
    <row r="109" spans="1:12" ht="44.1" customHeight="1">
      <c r="A109" s="5" t="s">
        <v>965</v>
      </c>
      <c r="B109" s="5" t="s">
        <v>73</v>
      </c>
      <c r="C109" s="9" t="s">
        <v>966</v>
      </c>
      <c r="D109" s="9"/>
      <c r="E109" s="5">
        <v>4</v>
      </c>
      <c r="F109" s="5">
        <v>1</v>
      </c>
      <c r="G109" s="5">
        <v>0</v>
      </c>
      <c r="H109" s="9" t="s">
        <v>968</v>
      </c>
      <c r="I109" s="5">
        <v>3</v>
      </c>
      <c r="J109" s="5">
        <v>2</v>
      </c>
      <c r="K109" s="9" t="s">
        <v>970</v>
      </c>
      <c r="L109" s="9" t="s">
        <v>971</v>
      </c>
    </row>
    <row r="110" spans="1:12" ht="44.1" customHeight="1">
      <c r="A110" s="2" t="s">
        <v>972</v>
      </c>
      <c r="B110" s="2" t="s">
        <v>73</v>
      </c>
      <c r="C110" s="8" t="s">
        <v>973</v>
      </c>
      <c r="D110" s="8"/>
      <c r="E110" s="2">
        <v>4</v>
      </c>
      <c r="F110" s="2">
        <v>1</v>
      </c>
      <c r="G110" s="2">
        <v>0</v>
      </c>
      <c r="H110" s="8" t="s">
        <v>974</v>
      </c>
      <c r="I110" s="2">
        <v>3</v>
      </c>
      <c r="J110" s="2">
        <v>2</v>
      </c>
      <c r="K110" s="8" t="s">
        <v>976</v>
      </c>
      <c r="L110" s="8" t="s">
        <v>977</v>
      </c>
    </row>
    <row r="111" spans="1:12" ht="44.1" customHeight="1">
      <c r="A111" s="5" t="s">
        <v>978</v>
      </c>
      <c r="B111" s="5" t="s">
        <v>73</v>
      </c>
      <c r="C111" s="9" t="s">
        <v>979</v>
      </c>
      <c r="D111" s="9"/>
      <c r="E111" s="5">
        <v>4</v>
      </c>
      <c r="F111" s="5">
        <v>0</v>
      </c>
      <c r="G111" s="5">
        <v>0</v>
      </c>
      <c r="H111" s="9" t="s">
        <v>981</v>
      </c>
      <c r="I111" s="5">
        <v>2</v>
      </c>
      <c r="J111" s="5">
        <v>2</v>
      </c>
      <c r="K111" s="9" t="s">
        <v>983</v>
      </c>
      <c r="L111" s="9" t="s">
        <v>984</v>
      </c>
    </row>
    <row r="112" spans="1:12" ht="44.1" customHeight="1">
      <c r="A112" s="2" t="s">
        <v>985</v>
      </c>
      <c r="B112" s="2" t="s">
        <v>73</v>
      </c>
      <c r="C112" s="8" t="s">
        <v>986</v>
      </c>
      <c r="D112" s="8"/>
      <c r="E112" s="2">
        <v>4</v>
      </c>
      <c r="F112" s="2">
        <v>0</v>
      </c>
      <c r="G112" s="2">
        <v>0</v>
      </c>
      <c r="H112" s="8" t="s">
        <v>989</v>
      </c>
      <c r="I112" s="2">
        <v>5</v>
      </c>
      <c r="J112" s="2">
        <v>2</v>
      </c>
      <c r="K112" s="8" t="s">
        <v>992</v>
      </c>
      <c r="L112" s="8" t="s">
        <v>993</v>
      </c>
    </row>
    <row r="113" spans="1:12" ht="44.1" customHeight="1">
      <c r="A113" s="5" t="s">
        <v>994</v>
      </c>
      <c r="B113" s="5" t="s">
        <v>73</v>
      </c>
      <c r="C113" s="9" t="s">
        <v>995</v>
      </c>
      <c r="D113" s="9"/>
      <c r="E113" s="5">
        <v>4</v>
      </c>
      <c r="F113" s="5">
        <v>1</v>
      </c>
      <c r="G113" s="5">
        <v>0</v>
      </c>
      <c r="H113" s="9" t="s">
        <v>998</v>
      </c>
      <c r="I113" s="5">
        <v>1</v>
      </c>
      <c r="J113" s="5">
        <v>2</v>
      </c>
      <c r="K113" s="9" t="s">
        <v>1001</v>
      </c>
      <c r="L113" s="9" t="s">
        <v>1002</v>
      </c>
    </row>
    <row r="114" spans="1:12" ht="44.1" customHeight="1">
      <c r="A114" s="2" t="s">
        <v>1003</v>
      </c>
      <c r="B114" s="2" t="s">
        <v>73</v>
      </c>
      <c r="C114" s="8" t="s">
        <v>1004</v>
      </c>
      <c r="D114" s="22" t="s">
        <v>482</v>
      </c>
      <c r="E114" s="2">
        <v>3</v>
      </c>
      <c r="F114" s="2">
        <v>0</v>
      </c>
      <c r="G114" s="2">
        <v>4</v>
      </c>
      <c r="H114" s="8" t="s">
        <v>1008</v>
      </c>
      <c r="I114" s="2">
        <v>2</v>
      </c>
      <c r="J114" s="2">
        <v>2</v>
      </c>
      <c r="K114" s="8" t="s">
        <v>1011</v>
      </c>
      <c r="L114" s="8" t="s">
        <v>1012</v>
      </c>
    </row>
    <row r="115" spans="1:12" ht="44.1" customHeight="1">
      <c r="A115" s="5" t="s">
        <v>1013</v>
      </c>
      <c r="B115" s="5" t="s">
        <v>73</v>
      </c>
      <c r="C115" s="9" t="s">
        <v>1014</v>
      </c>
      <c r="D115" s="9"/>
      <c r="E115" s="5">
        <v>4</v>
      </c>
      <c r="F115" s="5">
        <v>1</v>
      </c>
      <c r="G115" s="5">
        <v>0</v>
      </c>
      <c r="H115" s="9" t="s">
        <v>1016</v>
      </c>
      <c r="I115" s="5">
        <v>4</v>
      </c>
      <c r="J115" s="5">
        <v>2</v>
      </c>
      <c r="K115" s="9" t="s">
        <v>1018</v>
      </c>
      <c r="L115" s="9" t="s">
        <v>1019</v>
      </c>
    </row>
    <row r="116" spans="1:12" ht="44.1" customHeight="1">
      <c r="A116" s="2" t="s">
        <v>1020</v>
      </c>
      <c r="B116" s="2" t="s">
        <v>73</v>
      </c>
      <c r="C116" s="8" t="s">
        <v>1021</v>
      </c>
      <c r="D116" s="8"/>
      <c r="E116" s="2">
        <v>4</v>
      </c>
      <c r="F116" s="2">
        <v>1</v>
      </c>
      <c r="G116" s="2">
        <v>0</v>
      </c>
      <c r="H116" s="8" t="s">
        <v>1024</v>
      </c>
      <c r="I116" s="2">
        <v>3</v>
      </c>
      <c r="J116" s="2">
        <v>5</v>
      </c>
      <c r="K116" s="8" t="s">
        <v>1026</v>
      </c>
      <c r="L116" s="8" t="s">
        <v>1027</v>
      </c>
    </row>
    <row r="117" spans="1:12" ht="44.1" customHeight="1">
      <c r="A117" s="5" t="s">
        <v>1028</v>
      </c>
      <c r="B117" s="5" t="s">
        <v>73</v>
      </c>
      <c r="C117" s="9" t="s">
        <v>1029</v>
      </c>
      <c r="D117" s="9"/>
      <c r="E117" s="5">
        <v>3</v>
      </c>
      <c r="F117" s="5">
        <v>1</v>
      </c>
      <c r="G117" s="5">
        <v>0</v>
      </c>
      <c r="H117" s="9" t="s">
        <v>1031</v>
      </c>
      <c r="I117" s="5">
        <v>4</v>
      </c>
      <c r="J117" s="5">
        <v>2</v>
      </c>
      <c r="K117" s="9" t="s">
        <v>1034</v>
      </c>
      <c r="L117" s="9" t="s">
        <v>1035</v>
      </c>
    </row>
    <row r="118" spans="1:12" ht="44.1" customHeight="1">
      <c r="A118" s="2" t="s">
        <v>1036</v>
      </c>
      <c r="B118" s="2" t="s">
        <v>73</v>
      </c>
      <c r="C118" s="8" t="s">
        <v>1037</v>
      </c>
      <c r="D118" s="8"/>
      <c r="E118" s="2">
        <v>3</v>
      </c>
      <c r="F118" s="2">
        <v>1</v>
      </c>
      <c r="G118" s="2">
        <v>0</v>
      </c>
      <c r="H118" s="8" t="s">
        <v>1040</v>
      </c>
      <c r="I118" s="2">
        <v>3</v>
      </c>
      <c r="J118" s="2">
        <v>2</v>
      </c>
      <c r="K118" s="8" t="s">
        <v>1042</v>
      </c>
      <c r="L118" s="8" t="s">
        <v>1043</v>
      </c>
    </row>
    <row r="119" spans="1:12" ht="44.1" customHeight="1">
      <c r="A119" s="5" t="s">
        <v>1044</v>
      </c>
      <c r="B119" s="5" t="s">
        <v>73</v>
      </c>
      <c r="C119" s="9" t="s">
        <v>1045</v>
      </c>
      <c r="D119" s="22" t="s">
        <v>11835</v>
      </c>
      <c r="E119" s="5">
        <v>2</v>
      </c>
      <c r="F119" s="5">
        <v>1</v>
      </c>
      <c r="G119" s="5">
        <v>0</v>
      </c>
      <c r="H119" s="9" t="s">
        <v>1047</v>
      </c>
      <c r="I119" s="5">
        <v>0</v>
      </c>
      <c r="J119" s="5">
        <v>2</v>
      </c>
      <c r="K119" s="9" t="s">
        <v>1052</v>
      </c>
      <c r="L119" s="9" t="s">
        <v>1053</v>
      </c>
    </row>
    <row r="120" spans="1:12" ht="44.1" customHeight="1">
      <c r="A120" s="2" t="s">
        <v>1054</v>
      </c>
      <c r="B120" s="2" t="s">
        <v>73</v>
      </c>
      <c r="C120" s="8" t="s">
        <v>1055</v>
      </c>
      <c r="D120" s="22" t="s">
        <v>589</v>
      </c>
      <c r="E120" s="2">
        <v>5</v>
      </c>
      <c r="F120" s="2">
        <v>0</v>
      </c>
      <c r="G120" s="2">
        <v>2</v>
      </c>
      <c r="H120" s="8" t="s">
        <v>1058</v>
      </c>
      <c r="I120" s="2">
        <v>5</v>
      </c>
      <c r="J120" s="2">
        <v>3</v>
      </c>
      <c r="K120" s="8" t="s">
        <v>1061</v>
      </c>
      <c r="L120" s="8" t="s">
        <v>1062</v>
      </c>
    </row>
    <row r="121" spans="1:12" ht="44.1" customHeight="1">
      <c r="A121" s="5" t="s">
        <v>1063</v>
      </c>
      <c r="B121" s="5" t="s">
        <v>73</v>
      </c>
      <c r="C121" s="9" t="s">
        <v>1064</v>
      </c>
      <c r="D121" s="9"/>
      <c r="E121" s="5">
        <v>3</v>
      </c>
      <c r="F121" s="5">
        <v>1</v>
      </c>
      <c r="G121" s="5">
        <v>0</v>
      </c>
      <c r="H121" s="9" t="s">
        <v>1066</v>
      </c>
      <c r="I121" s="5">
        <v>3</v>
      </c>
      <c r="J121" s="5">
        <v>2</v>
      </c>
      <c r="K121" s="9" t="s">
        <v>1069</v>
      </c>
      <c r="L121" s="9" t="s">
        <v>1070</v>
      </c>
    </row>
    <row r="122" spans="1:12" ht="44.1" customHeight="1">
      <c r="A122" s="2" t="s">
        <v>1071</v>
      </c>
      <c r="B122" s="2" t="s">
        <v>73</v>
      </c>
      <c r="C122" s="8" t="s">
        <v>1072</v>
      </c>
      <c r="D122" s="22" t="s">
        <v>1077</v>
      </c>
      <c r="E122" s="2">
        <v>3</v>
      </c>
      <c r="F122" s="2">
        <v>0</v>
      </c>
      <c r="G122" s="2">
        <v>3</v>
      </c>
      <c r="H122" s="8"/>
      <c r="I122" s="2">
        <v>0</v>
      </c>
      <c r="J122" s="2">
        <v>2</v>
      </c>
      <c r="K122" s="8" t="s">
        <v>1078</v>
      </c>
      <c r="L122" s="8" t="s">
        <v>1079</v>
      </c>
    </row>
    <row r="123" spans="1:12" ht="44.1" customHeight="1">
      <c r="A123" s="5" t="s">
        <v>1080</v>
      </c>
      <c r="B123" s="5" t="s">
        <v>73</v>
      </c>
      <c r="C123" s="9" t="s">
        <v>1081</v>
      </c>
      <c r="D123" s="9"/>
      <c r="E123" s="5">
        <v>4</v>
      </c>
      <c r="F123" s="5">
        <v>1</v>
      </c>
      <c r="G123" s="5">
        <v>0</v>
      </c>
      <c r="H123" s="9" t="s">
        <v>1084</v>
      </c>
      <c r="I123" s="5">
        <v>5</v>
      </c>
      <c r="J123" s="5">
        <v>2</v>
      </c>
      <c r="K123" s="9" t="s">
        <v>1086</v>
      </c>
      <c r="L123" s="9" t="s">
        <v>1087</v>
      </c>
    </row>
    <row r="124" spans="1:12" ht="44.1" customHeight="1">
      <c r="A124" s="2" t="s">
        <v>1088</v>
      </c>
      <c r="B124" s="2" t="s">
        <v>73</v>
      </c>
      <c r="C124" s="8" t="s">
        <v>1089</v>
      </c>
      <c r="D124" s="8"/>
      <c r="E124" s="2">
        <v>5</v>
      </c>
      <c r="F124" s="2">
        <v>1</v>
      </c>
      <c r="G124" s="2">
        <v>0</v>
      </c>
      <c r="H124" s="8" t="s">
        <v>1091</v>
      </c>
      <c r="I124" s="2">
        <v>3</v>
      </c>
      <c r="J124" s="2">
        <v>2</v>
      </c>
      <c r="K124" s="8" t="s">
        <v>1094</v>
      </c>
      <c r="L124" s="8" t="s">
        <v>1095</v>
      </c>
    </row>
    <row r="125" spans="1:12" ht="44.1" customHeight="1">
      <c r="A125" s="5" t="s">
        <v>1096</v>
      </c>
      <c r="B125" s="5" t="s">
        <v>73</v>
      </c>
      <c r="C125" s="9" t="s">
        <v>1097</v>
      </c>
      <c r="D125" s="9"/>
      <c r="E125" s="5">
        <v>4</v>
      </c>
      <c r="F125" s="5">
        <v>1</v>
      </c>
      <c r="G125" s="5">
        <v>0</v>
      </c>
      <c r="H125" s="9" t="s">
        <v>1100</v>
      </c>
      <c r="I125" s="5">
        <v>8</v>
      </c>
      <c r="J125" s="5">
        <v>2</v>
      </c>
      <c r="K125" s="9" t="s">
        <v>1102</v>
      </c>
      <c r="L125" s="9" t="s">
        <v>1103</v>
      </c>
    </row>
    <row r="126" spans="1:12" ht="44.1" customHeight="1">
      <c r="A126" s="2" t="s">
        <v>1104</v>
      </c>
      <c r="B126" s="2" t="s">
        <v>73</v>
      </c>
      <c r="C126" s="8" t="s">
        <v>1105</v>
      </c>
      <c r="D126" s="8"/>
      <c r="E126" s="2">
        <v>4</v>
      </c>
      <c r="F126" s="2">
        <v>1</v>
      </c>
      <c r="G126" s="2">
        <v>0</v>
      </c>
      <c r="H126" s="8" t="s">
        <v>1108</v>
      </c>
      <c r="I126" s="2">
        <v>4</v>
      </c>
      <c r="J126" s="2">
        <v>2</v>
      </c>
      <c r="K126" s="8" t="s">
        <v>1111</v>
      </c>
      <c r="L126" s="8" t="s">
        <v>1112</v>
      </c>
    </row>
    <row r="127" spans="1:12" ht="44.1" customHeight="1">
      <c r="A127" s="5" t="s">
        <v>1113</v>
      </c>
      <c r="B127" s="5" t="s">
        <v>73</v>
      </c>
      <c r="C127" s="9" t="s">
        <v>1114</v>
      </c>
      <c r="D127" s="9"/>
      <c r="E127" s="5">
        <v>3</v>
      </c>
      <c r="F127" s="5">
        <v>0</v>
      </c>
      <c r="G127" s="5">
        <v>0</v>
      </c>
      <c r="H127" s="9" t="s">
        <v>1116</v>
      </c>
      <c r="I127" s="5">
        <v>1</v>
      </c>
      <c r="J127" s="5">
        <v>2</v>
      </c>
      <c r="K127" s="9" t="s">
        <v>1118</v>
      </c>
      <c r="L127" s="9" t="s">
        <v>1119</v>
      </c>
    </row>
    <row r="128" spans="1:12" ht="44.1" customHeight="1">
      <c r="A128" s="2" t="s">
        <v>1120</v>
      </c>
      <c r="B128" s="2" t="s">
        <v>73</v>
      </c>
      <c r="C128" s="8" t="s">
        <v>1121</v>
      </c>
      <c r="D128" s="8"/>
      <c r="E128" s="2">
        <v>4</v>
      </c>
      <c r="F128" s="2">
        <v>1</v>
      </c>
      <c r="G128" s="2">
        <v>0</v>
      </c>
      <c r="H128" s="8" t="s">
        <v>1123</v>
      </c>
      <c r="I128" s="2">
        <v>3</v>
      </c>
      <c r="J128" s="2">
        <v>2</v>
      </c>
      <c r="K128" s="8" t="s">
        <v>1125</v>
      </c>
      <c r="L128" s="8" t="s">
        <v>1126</v>
      </c>
    </row>
    <row r="129" spans="1:12" ht="44.1" customHeight="1">
      <c r="A129" s="5" t="s">
        <v>1127</v>
      </c>
      <c r="B129" s="5" t="s">
        <v>73</v>
      </c>
      <c r="C129" s="9" t="s">
        <v>1128</v>
      </c>
      <c r="D129" s="9"/>
      <c r="E129" s="5">
        <v>4</v>
      </c>
      <c r="F129" s="5">
        <v>1</v>
      </c>
      <c r="G129" s="5">
        <v>0</v>
      </c>
      <c r="H129" s="9" t="s">
        <v>1130</v>
      </c>
      <c r="I129" s="5">
        <v>4</v>
      </c>
      <c r="J129" s="5">
        <v>2</v>
      </c>
      <c r="K129" s="9" t="s">
        <v>1133</v>
      </c>
      <c r="L129" s="9" t="s">
        <v>1134</v>
      </c>
    </row>
    <row r="130" spans="1:12" ht="44.1" customHeight="1">
      <c r="A130" s="2" t="s">
        <v>1135</v>
      </c>
      <c r="B130" s="2" t="s">
        <v>73</v>
      </c>
      <c r="C130" s="8" t="s">
        <v>1136</v>
      </c>
      <c r="D130" s="8"/>
      <c r="E130" s="2">
        <v>3</v>
      </c>
      <c r="F130" s="2">
        <v>1</v>
      </c>
      <c r="G130" s="2">
        <v>0</v>
      </c>
      <c r="H130" s="8" t="s">
        <v>1140</v>
      </c>
      <c r="I130" s="2">
        <v>2</v>
      </c>
      <c r="J130" s="2">
        <v>2</v>
      </c>
      <c r="K130" s="8" t="s">
        <v>1144</v>
      </c>
      <c r="L130" s="8" t="s">
        <v>1145</v>
      </c>
    </row>
    <row r="131" spans="1:12" ht="44.1" customHeight="1">
      <c r="A131" s="5" t="s">
        <v>1146</v>
      </c>
      <c r="B131" s="5" t="s">
        <v>73</v>
      </c>
      <c r="C131" s="9" t="s">
        <v>1147</v>
      </c>
      <c r="D131" s="9"/>
      <c r="E131" s="5">
        <v>4</v>
      </c>
      <c r="F131" s="5">
        <v>1</v>
      </c>
      <c r="G131" s="5">
        <v>0</v>
      </c>
      <c r="H131" s="9" t="s">
        <v>1149</v>
      </c>
      <c r="I131" s="5">
        <v>6</v>
      </c>
      <c r="J131" s="5">
        <v>2</v>
      </c>
      <c r="K131" s="9" t="s">
        <v>1152</v>
      </c>
      <c r="L131" s="9" t="s">
        <v>1153</v>
      </c>
    </row>
    <row r="132" spans="1:12" ht="44.1" customHeight="1">
      <c r="A132" s="2" t="s">
        <v>1154</v>
      </c>
      <c r="B132" s="2" t="s">
        <v>73</v>
      </c>
      <c r="C132" s="8" t="s">
        <v>1155</v>
      </c>
      <c r="D132" s="8"/>
      <c r="E132" s="2">
        <v>4</v>
      </c>
      <c r="F132" s="2">
        <v>1</v>
      </c>
      <c r="G132" s="2">
        <v>0</v>
      </c>
      <c r="H132" s="8" t="s">
        <v>1157</v>
      </c>
      <c r="I132" s="2">
        <v>2</v>
      </c>
      <c r="J132" s="2">
        <v>2</v>
      </c>
      <c r="K132" s="8" t="s">
        <v>1159</v>
      </c>
      <c r="L132" s="8" t="s">
        <v>1160</v>
      </c>
    </row>
    <row r="133" spans="1:12" ht="44.1" customHeight="1">
      <c r="A133" s="5" t="s">
        <v>1161</v>
      </c>
      <c r="B133" s="5" t="s">
        <v>73</v>
      </c>
      <c r="C133" s="9" t="s">
        <v>1162</v>
      </c>
      <c r="D133" s="9"/>
      <c r="E133" s="5">
        <v>5</v>
      </c>
      <c r="F133" s="5">
        <v>0</v>
      </c>
      <c r="G133" s="5">
        <v>0</v>
      </c>
      <c r="H133" s="9" t="s">
        <v>1164</v>
      </c>
      <c r="I133" s="5">
        <v>3</v>
      </c>
      <c r="J133" s="5">
        <v>2</v>
      </c>
      <c r="K133" s="9" t="s">
        <v>1167</v>
      </c>
      <c r="L133" s="9" t="s">
        <v>1168</v>
      </c>
    </row>
    <row r="134" spans="1:12" ht="44.1" customHeight="1">
      <c r="A134" s="2" t="s">
        <v>1169</v>
      </c>
      <c r="B134" s="2" t="s">
        <v>73</v>
      </c>
      <c r="C134" s="8" t="s">
        <v>1170</v>
      </c>
      <c r="D134" s="8"/>
      <c r="E134" s="2">
        <v>4</v>
      </c>
      <c r="F134" s="2">
        <v>1</v>
      </c>
      <c r="G134" s="2">
        <v>0</v>
      </c>
      <c r="H134" s="8" t="s">
        <v>1173</v>
      </c>
      <c r="I134" s="2">
        <v>1</v>
      </c>
      <c r="J134" s="2">
        <v>2</v>
      </c>
      <c r="K134" s="8" t="s">
        <v>1176</v>
      </c>
      <c r="L134" s="8" t="s">
        <v>1177</v>
      </c>
    </row>
    <row r="135" spans="1:12" ht="44.1" customHeight="1">
      <c r="A135" s="5" t="s">
        <v>1178</v>
      </c>
      <c r="B135" s="5" t="s">
        <v>73</v>
      </c>
      <c r="C135" s="9" t="s">
        <v>1179</v>
      </c>
      <c r="D135" s="9"/>
      <c r="E135" s="5">
        <v>3</v>
      </c>
      <c r="F135" s="5">
        <v>1</v>
      </c>
      <c r="G135" s="5">
        <v>0</v>
      </c>
      <c r="H135" s="9" t="s">
        <v>1181</v>
      </c>
      <c r="I135" s="5">
        <v>2</v>
      </c>
      <c r="J135" s="5">
        <v>2</v>
      </c>
      <c r="K135" s="9" t="s">
        <v>1183</v>
      </c>
      <c r="L135" s="9" t="s">
        <v>1184</v>
      </c>
    </row>
    <row r="136" spans="1:12" ht="44.1" customHeight="1">
      <c r="A136" s="2" t="s">
        <v>1185</v>
      </c>
      <c r="B136" s="2" t="s">
        <v>73</v>
      </c>
      <c r="C136" s="8" t="s">
        <v>1186</v>
      </c>
      <c r="D136" s="8"/>
      <c r="E136" s="2">
        <v>4</v>
      </c>
      <c r="F136" s="2">
        <v>1</v>
      </c>
      <c r="G136" s="2">
        <v>0</v>
      </c>
      <c r="H136" s="8" t="s">
        <v>1188</v>
      </c>
      <c r="I136" s="2">
        <v>7</v>
      </c>
      <c r="J136" s="2">
        <v>2</v>
      </c>
      <c r="K136" s="8" t="s">
        <v>1191</v>
      </c>
      <c r="L136" s="8" t="s">
        <v>1192</v>
      </c>
    </row>
    <row r="137" spans="1:12" ht="44.1" customHeight="1">
      <c r="A137" s="5" t="s">
        <v>1193</v>
      </c>
      <c r="B137" s="5" t="s">
        <v>73</v>
      </c>
      <c r="C137" s="9" t="s">
        <v>1194</v>
      </c>
      <c r="D137" s="22" t="s">
        <v>1200</v>
      </c>
      <c r="E137" s="5">
        <v>4</v>
      </c>
      <c r="F137" s="5">
        <v>1</v>
      </c>
      <c r="G137" s="5">
        <v>0</v>
      </c>
      <c r="H137" s="9" t="s">
        <v>1197</v>
      </c>
      <c r="I137" s="5">
        <v>1</v>
      </c>
      <c r="J137" s="5">
        <v>4</v>
      </c>
      <c r="K137" s="9" t="s">
        <v>1201</v>
      </c>
      <c r="L137" s="9" t="s">
        <v>1202</v>
      </c>
    </row>
    <row r="138" spans="1:12" ht="44.1" customHeight="1">
      <c r="A138" s="2" t="s">
        <v>1203</v>
      </c>
      <c r="B138" s="2" t="s">
        <v>73</v>
      </c>
      <c r="C138" s="8" t="s">
        <v>1204</v>
      </c>
      <c r="D138" s="8"/>
      <c r="E138" s="2">
        <v>3</v>
      </c>
      <c r="F138" s="2">
        <v>1</v>
      </c>
      <c r="G138" s="2">
        <v>0</v>
      </c>
      <c r="H138" s="8" t="s">
        <v>1206</v>
      </c>
      <c r="I138" s="2">
        <v>4</v>
      </c>
      <c r="J138" s="2">
        <v>2</v>
      </c>
      <c r="K138" s="8" t="s">
        <v>1209</v>
      </c>
      <c r="L138" s="8" t="s">
        <v>1210</v>
      </c>
    </row>
    <row r="139" spans="1:12" ht="44.1" customHeight="1">
      <c r="A139" s="5" t="s">
        <v>1211</v>
      </c>
      <c r="B139" s="5" t="s">
        <v>73</v>
      </c>
      <c r="C139" s="9" t="s">
        <v>1212</v>
      </c>
      <c r="D139" s="22" t="s">
        <v>181</v>
      </c>
      <c r="E139" s="5">
        <v>4</v>
      </c>
      <c r="F139" s="5">
        <v>0</v>
      </c>
      <c r="G139" s="5">
        <v>0</v>
      </c>
      <c r="H139" s="9" t="s">
        <v>1215</v>
      </c>
      <c r="I139" s="5">
        <v>2</v>
      </c>
      <c r="J139" s="5">
        <v>2</v>
      </c>
      <c r="K139" s="9" t="s">
        <v>1217</v>
      </c>
      <c r="L139" s="9" t="s">
        <v>1218</v>
      </c>
    </row>
    <row r="140" spans="1:12" ht="44.1" customHeight="1">
      <c r="A140" s="2" t="s">
        <v>1219</v>
      </c>
      <c r="B140" s="2" t="s">
        <v>73</v>
      </c>
      <c r="C140" s="8" t="s">
        <v>1220</v>
      </c>
      <c r="D140" s="8"/>
      <c r="E140" s="2">
        <v>4</v>
      </c>
      <c r="F140" s="2">
        <v>1</v>
      </c>
      <c r="G140" s="2">
        <v>0</v>
      </c>
      <c r="H140" s="8" t="s">
        <v>1222</v>
      </c>
      <c r="I140" s="2">
        <v>2</v>
      </c>
      <c r="J140" s="2">
        <v>2</v>
      </c>
      <c r="K140" s="8" t="s">
        <v>1224</v>
      </c>
      <c r="L140" s="8" t="s">
        <v>1225</v>
      </c>
    </row>
    <row r="141" spans="1:12" ht="44.1" customHeight="1">
      <c r="A141" s="5" t="s">
        <v>1226</v>
      </c>
      <c r="B141" s="5" t="s">
        <v>73</v>
      </c>
      <c r="C141" s="9" t="s">
        <v>1227</v>
      </c>
      <c r="D141" s="9"/>
      <c r="E141" s="5">
        <v>3</v>
      </c>
      <c r="F141" s="5">
        <v>0</v>
      </c>
      <c r="G141" s="5">
        <v>0</v>
      </c>
      <c r="H141" s="9" t="s">
        <v>1229</v>
      </c>
      <c r="I141" s="5">
        <v>3</v>
      </c>
      <c r="J141" s="5">
        <v>2</v>
      </c>
      <c r="K141" s="9" t="s">
        <v>1231</v>
      </c>
      <c r="L141" s="9" t="s">
        <v>1232</v>
      </c>
    </row>
    <row r="142" spans="1:12" ht="44.1" customHeight="1">
      <c r="A142" s="2" t="s">
        <v>1233</v>
      </c>
      <c r="B142" s="2" t="s">
        <v>73</v>
      </c>
      <c r="C142" s="8" t="s">
        <v>1234</v>
      </c>
      <c r="D142" s="8"/>
      <c r="E142" s="2">
        <v>4</v>
      </c>
      <c r="F142" s="2">
        <v>1</v>
      </c>
      <c r="G142" s="2">
        <v>0</v>
      </c>
      <c r="H142" s="8" t="s">
        <v>1236</v>
      </c>
      <c r="I142" s="2">
        <v>3</v>
      </c>
      <c r="J142" s="2">
        <v>2</v>
      </c>
      <c r="K142" s="8" t="s">
        <v>1238</v>
      </c>
      <c r="L142" s="8" t="s">
        <v>1239</v>
      </c>
    </row>
    <row r="143" spans="1:12" ht="44.1" customHeight="1">
      <c r="A143" s="5" t="s">
        <v>1240</v>
      </c>
      <c r="B143" s="5" t="s">
        <v>73</v>
      </c>
      <c r="C143" s="9" t="s">
        <v>1241</v>
      </c>
      <c r="D143" s="9"/>
      <c r="E143" s="5">
        <v>4</v>
      </c>
      <c r="F143" s="5">
        <v>0</v>
      </c>
      <c r="G143" s="5">
        <v>0</v>
      </c>
      <c r="H143" s="9" t="s">
        <v>1244</v>
      </c>
      <c r="I143" s="5">
        <v>2</v>
      </c>
      <c r="J143" s="5">
        <v>2</v>
      </c>
      <c r="K143" s="9" t="s">
        <v>1246</v>
      </c>
      <c r="L143" s="9" t="s">
        <v>1247</v>
      </c>
    </row>
    <row r="144" spans="1:12" ht="44.1" customHeight="1">
      <c r="A144" s="2" t="s">
        <v>1248</v>
      </c>
      <c r="B144" s="2" t="s">
        <v>73</v>
      </c>
      <c r="C144" s="8" t="s">
        <v>1249</v>
      </c>
      <c r="D144" s="8"/>
      <c r="E144" s="2">
        <v>4</v>
      </c>
      <c r="F144" s="2">
        <v>1</v>
      </c>
      <c r="G144" s="2">
        <v>0</v>
      </c>
      <c r="H144" s="8" t="s">
        <v>1251</v>
      </c>
      <c r="I144" s="2">
        <v>2</v>
      </c>
      <c r="J144" s="2">
        <v>2</v>
      </c>
      <c r="K144" s="8" t="s">
        <v>1253</v>
      </c>
      <c r="L144" s="8" t="s">
        <v>1254</v>
      </c>
    </row>
    <row r="145" spans="1:12" ht="44.1" customHeight="1">
      <c r="A145" s="5" t="s">
        <v>1255</v>
      </c>
      <c r="B145" s="5" t="s">
        <v>73</v>
      </c>
      <c r="C145" s="9" t="s">
        <v>1256</v>
      </c>
      <c r="D145" s="9"/>
      <c r="E145" s="5">
        <v>3</v>
      </c>
      <c r="F145" s="5">
        <v>0</v>
      </c>
      <c r="G145" s="5">
        <v>0</v>
      </c>
      <c r="H145" s="9" t="s">
        <v>1259</v>
      </c>
      <c r="I145" s="5">
        <v>2</v>
      </c>
      <c r="J145" s="5">
        <v>2</v>
      </c>
      <c r="K145" s="9" t="s">
        <v>1261</v>
      </c>
      <c r="L145" s="9" t="s">
        <v>1262</v>
      </c>
    </row>
    <row r="146" spans="1:12" ht="44.1" customHeight="1">
      <c r="A146" s="2" t="s">
        <v>1263</v>
      </c>
      <c r="B146" s="2" t="s">
        <v>73</v>
      </c>
      <c r="C146" s="8" t="s">
        <v>1264</v>
      </c>
      <c r="D146" s="8"/>
      <c r="E146" s="2">
        <v>4</v>
      </c>
      <c r="F146" s="2">
        <v>0</v>
      </c>
      <c r="G146" s="2">
        <v>0</v>
      </c>
      <c r="H146" s="8" t="s">
        <v>1267</v>
      </c>
      <c r="I146" s="2">
        <v>2</v>
      </c>
      <c r="J146" s="2">
        <v>2</v>
      </c>
      <c r="K146" s="8" t="s">
        <v>1270</v>
      </c>
      <c r="L146" s="8" t="s">
        <v>1271</v>
      </c>
    </row>
    <row r="147" spans="1:12" ht="44.1" customHeight="1">
      <c r="A147" s="5" t="s">
        <v>1272</v>
      </c>
      <c r="B147" s="5" t="s">
        <v>73</v>
      </c>
      <c r="C147" s="9" t="s">
        <v>1273</v>
      </c>
      <c r="D147" s="9"/>
      <c r="E147" s="5">
        <v>4</v>
      </c>
      <c r="F147" s="5">
        <v>1</v>
      </c>
      <c r="G147" s="5">
        <v>0</v>
      </c>
      <c r="H147" s="9" t="s">
        <v>1276</v>
      </c>
      <c r="I147" s="5">
        <v>1</v>
      </c>
      <c r="J147" s="5">
        <v>2</v>
      </c>
      <c r="K147" s="9" t="s">
        <v>1279</v>
      </c>
      <c r="L147" s="9" t="s">
        <v>1280</v>
      </c>
    </row>
    <row r="148" spans="1:12" ht="44.1" customHeight="1">
      <c r="A148" s="2" t="s">
        <v>1281</v>
      </c>
      <c r="B148" s="2" t="s">
        <v>73</v>
      </c>
      <c r="C148" s="8" t="s">
        <v>1282</v>
      </c>
      <c r="D148" s="22" t="s">
        <v>1077</v>
      </c>
      <c r="E148" s="2">
        <v>3</v>
      </c>
      <c r="F148" s="2">
        <v>0</v>
      </c>
      <c r="G148" s="2">
        <v>0</v>
      </c>
      <c r="H148" s="8"/>
      <c r="I148" s="2">
        <v>0</v>
      </c>
      <c r="J148" s="2">
        <v>2</v>
      </c>
      <c r="K148" s="8" t="s">
        <v>1285</v>
      </c>
      <c r="L148" s="8" t="s">
        <v>1286</v>
      </c>
    </row>
    <row r="149" spans="1:12" ht="44.1" customHeight="1">
      <c r="A149" s="5" t="s">
        <v>1287</v>
      </c>
      <c r="B149" s="5" t="s">
        <v>73</v>
      </c>
      <c r="C149" s="9" t="s">
        <v>1288</v>
      </c>
      <c r="D149" s="22" t="s">
        <v>181</v>
      </c>
      <c r="E149" s="5">
        <v>6</v>
      </c>
      <c r="F149" s="5">
        <v>2</v>
      </c>
      <c r="G149" s="5">
        <v>0</v>
      </c>
      <c r="H149" s="9" t="s">
        <v>1290</v>
      </c>
      <c r="I149" s="5">
        <v>3</v>
      </c>
      <c r="J149" s="5">
        <v>2</v>
      </c>
      <c r="K149" s="9" t="s">
        <v>1292</v>
      </c>
      <c r="L149" s="9" t="s">
        <v>1293</v>
      </c>
    </row>
    <row r="150" spans="1:12" ht="44.1" customHeight="1">
      <c r="A150" s="2" t="s">
        <v>1294</v>
      </c>
      <c r="B150" s="2" t="s">
        <v>73</v>
      </c>
      <c r="C150" s="8" t="s">
        <v>1295</v>
      </c>
      <c r="D150" s="8"/>
      <c r="E150" s="2">
        <v>4</v>
      </c>
      <c r="F150" s="2">
        <v>1</v>
      </c>
      <c r="G150" s="2">
        <v>0</v>
      </c>
      <c r="H150" s="8" t="s">
        <v>1298</v>
      </c>
      <c r="I150" s="2">
        <v>3</v>
      </c>
      <c r="J150" s="2">
        <v>2</v>
      </c>
      <c r="K150" s="8" t="s">
        <v>1301</v>
      </c>
      <c r="L150" s="8" t="s">
        <v>1302</v>
      </c>
    </row>
    <row r="151" spans="1:12" ht="44.1" customHeight="1">
      <c r="A151" s="5" t="s">
        <v>1303</v>
      </c>
      <c r="B151" s="5" t="s">
        <v>73</v>
      </c>
      <c r="C151" s="9" t="s">
        <v>1304</v>
      </c>
      <c r="D151" s="9"/>
      <c r="E151" s="5">
        <v>3</v>
      </c>
      <c r="F151" s="5">
        <v>1</v>
      </c>
      <c r="G151" s="5">
        <v>0</v>
      </c>
      <c r="H151" s="9" t="s">
        <v>1306</v>
      </c>
      <c r="I151" s="5">
        <v>2</v>
      </c>
      <c r="J151" s="5">
        <v>2</v>
      </c>
      <c r="K151" s="9" t="s">
        <v>1309</v>
      </c>
      <c r="L151" s="9" t="s">
        <v>1310</v>
      </c>
    </row>
    <row r="152" spans="1:12" ht="44.1" customHeight="1">
      <c r="A152" s="2" t="s">
        <v>1311</v>
      </c>
      <c r="B152" s="2" t="s">
        <v>73</v>
      </c>
      <c r="C152" s="8" t="s">
        <v>1312</v>
      </c>
      <c r="D152" s="8"/>
      <c r="E152" s="2">
        <v>4</v>
      </c>
      <c r="F152" s="2">
        <v>1</v>
      </c>
      <c r="G152" s="2">
        <v>0</v>
      </c>
      <c r="H152" s="8" t="s">
        <v>1314</v>
      </c>
      <c r="I152" s="2">
        <v>1</v>
      </c>
      <c r="J152" s="2">
        <v>2</v>
      </c>
      <c r="K152" s="8" t="s">
        <v>1316</v>
      </c>
      <c r="L152" s="8" t="s">
        <v>1317</v>
      </c>
    </row>
    <row r="153" spans="1:12" ht="44.1" customHeight="1">
      <c r="A153" s="5" t="s">
        <v>1318</v>
      </c>
      <c r="B153" s="5" t="s">
        <v>73</v>
      </c>
      <c r="C153" s="9" t="s">
        <v>1319</v>
      </c>
      <c r="D153" s="22" t="s">
        <v>1325</v>
      </c>
      <c r="E153" s="5">
        <v>5</v>
      </c>
      <c r="F153" s="5">
        <v>0</v>
      </c>
      <c r="G153" s="5">
        <v>0</v>
      </c>
      <c r="H153" s="9" t="s">
        <v>1322</v>
      </c>
      <c r="I153" s="5">
        <v>0</v>
      </c>
      <c r="J153" s="5">
        <v>2</v>
      </c>
      <c r="K153" s="9" t="s">
        <v>1326</v>
      </c>
      <c r="L153" s="9" t="s">
        <v>1327</v>
      </c>
    </row>
    <row r="154" spans="1:12" ht="44.1" customHeight="1">
      <c r="A154" s="2" t="s">
        <v>1328</v>
      </c>
      <c r="B154" s="2" t="s">
        <v>73</v>
      </c>
      <c r="C154" s="8" t="s">
        <v>1329</v>
      </c>
      <c r="D154" s="8"/>
      <c r="E154" s="2">
        <v>4</v>
      </c>
      <c r="F154" s="2">
        <v>1</v>
      </c>
      <c r="G154" s="2">
        <v>0</v>
      </c>
      <c r="H154" s="8" t="s">
        <v>1331</v>
      </c>
      <c r="I154" s="2">
        <v>3</v>
      </c>
      <c r="J154" s="2">
        <v>2</v>
      </c>
      <c r="K154" s="8" t="s">
        <v>1333</v>
      </c>
      <c r="L154" s="8" t="s">
        <v>1334</v>
      </c>
    </row>
    <row r="155" spans="1:12" ht="44.1" customHeight="1">
      <c r="A155" s="5" t="s">
        <v>1335</v>
      </c>
      <c r="B155" s="5" t="s">
        <v>73</v>
      </c>
      <c r="C155" s="9" t="s">
        <v>1336</v>
      </c>
      <c r="D155" s="9"/>
      <c r="E155" s="5">
        <v>2</v>
      </c>
      <c r="F155" s="5">
        <v>1</v>
      </c>
      <c r="G155" s="5">
        <v>0</v>
      </c>
      <c r="H155" s="9" t="s">
        <v>1338</v>
      </c>
      <c r="I155" s="5">
        <v>3</v>
      </c>
      <c r="J155" s="5">
        <v>2</v>
      </c>
      <c r="K155" s="9" t="s">
        <v>1341</v>
      </c>
      <c r="L155" s="9" t="s">
        <v>1342</v>
      </c>
    </row>
    <row r="156" spans="1:12" ht="44.1" customHeight="1">
      <c r="A156" s="2" t="s">
        <v>1343</v>
      </c>
      <c r="B156" s="2" t="s">
        <v>73</v>
      </c>
      <c r="C156" s="8" t="s">
        <v>1344</v>
      </c>
      <c r="D156" s="22" t="s">
        <v>181</v>
      </c>
      <c r="E156" s="2">
        <v>4</v>
      </c>
      <c r="F156" s="2">
        <v>1</v>
      </c>
      <c r="G156" s="2">
        <v>0</v>
      </c>
      <c r="H156" s="8" t="s">
        <v>1346</v>
      </c>
      <c r="I156" s="2">
        <v>2</v>
      </c>
      <c r="J156" s="2">
        <v>2</v>
      </c>
      <c r="K156" s="8" t="s">
        <v>1348</v>
      </c>
      <c r="L156" s="8" t="s">
        <v>1349</v>
      </c>
    </row>
    <row r="157" spans="1:12" ht="44.1" customHeight="1">
      <c r="A157" s="5" t="s">
        <v>1350</v>
      </c>
      <c r="B157" s="5" t="s">
        <v>73</v>
      </c>
      <c r="C157" s="9" t="s">
        <v>1351</v>
      </c>
      <c r="D157" s="9"/>
      <c r="E157" s="5">
        <v>7</v>
      </c>
      <c r="F157" s="5">
        <v>1</v>
      </c>
      <c r="G157" s="5">
        <v>0</v>
      </c>
      <c r="H157" s="9" t="s">
        <v>1353</v>
      </c>
      <c r="I157" s="5">
        <v>3</v>
      </c>
      <c r="J157" s="5">
        <v>2</v>
      </c>
      <c r="K157" s="9" t="s">
        <v>1356</v>
      </c>
      <c r="L157" s="9" t="s">
        <v>1357</v>
      </c>
    </row>
    <row r="158" spans="1:12" ht="44.1" customHeight="1">
      <c r="A158" s="2" t="s">
        <v>1358</v>
      </c>
      <c r="B158" s="2" t="s">
        <v>73</v>
      </c>
      <c r="C158" s="8" t="s">
        <v>1359</v>
      </c>
      <c r="D158" s="8"/>
      <c r="E158" s="2">
        <v>4</v>
      </c>
      <c r="F158" s="2">
        <v>1</v>
      </c>
      <c r="G158" s="2">
        <v>2</v>
      </c>
      <c r="H158" s="8" t="s">
        <v>1362</v>
      </c>
      <c r="I158" s="2">
        <v>5</v>
      </c>
      <c r="J158" s="2">
        <v>2</v>
      </c>
      <c r="K158" s="8" t="s">
        <v>1365</v>
      </c>
      <c r="L158" s="8" t="s">
        <v>1366</v>
      </c>
    </row>
    <row r="159" spans="1:12" ht="44.1" customHeight="1">
      <c r="A159" s="5" t="s">
        <v>1367</v>
      </c>
      <c r="B159" s="5" t="s">
        <v>73</v>
      </c>
      <c r="C159" s="9" t="s">
        <v>1368</v>
      </c>
      <c r="D159" s="22" t="s">
        <v>482</v>
      </c>
      <c r="E159" s="5">
        <v>2</v>
      </c>
      <c r="F159" s="5">
        <v>0</v>
      </c>
      <c r="G159" s="5">
        <v>0</v>
      </c>
      <c r="H159" s="9" t="s">
        <v>1371</v>
      </c>
      <c r="I159" s="5">
        <v>1</v>
      </c>
      <c r="J159" s="5">
        <v>5</v>
      </c>
      <c r="K159" s="9" t="s">
        <v>1375</v>
      </c>
      <c r="L159" s="9" t="s">
        <v>1376</v>
      </c>
    </row>
    <row r="160" spans="1:12" ht="44.1" customHeight="1">
      <c r="A160" s="2" t="s">
        <v>1377</v>
      </c>
      <c r="B160" s="2" t="s">
        <v>73</v>
      </c>
      <c r="C160" s="8" t="s">
        <v>1378</v>
      </c>
      <c r="D160" s="22" t="s">
        <v>192</v>
      </c>
      <c r="E160" s="2">
        <v>3</v>
      </c>
      <c r="F160" s="2">
        <v>1</v>
      </c>
      <c r="G160" s="2">
        <v>0</v>
      </c>
      <c r="H160" s="8" t="s">
        <v>1381</v>
      </c>
      <c r="I160" s="2">
        <v>2</v>
      </c>
      <c r="J160" s="2">
        <v>2</v>
      </c>
      <c r="K160" s="8" t="s">
        <v>1383</v>
      </c>
      <c r="L160" s="8" t="s">
        <v>1384</v>
      </c>
    </row>
    <row r="161" spans="1:12" ht="44.1" customHeight="1">
      <c r="A161" s="5" t="s">
        <v>1385</v>
      </c>
      <c r="B161" s="5" t="s">
        <v>1386</v>
      </c>
      <c r="C161" s="9" t="s">
        <v>1387</v>
      </c>
      <c r="D161" s="9"/>
      <c r="E161" s="5">
        <v>7</v>
      </c>
      <c r="F161" s="5">
        <v>0</v>
      </c>
      <c r="G161" s="5">
        <v>0</v>
      </c>
      <c r="H161" s="9" t="s">
        <v>1391</v>
      </c>
      <c r="I161" s="5">
        <v>2</v>
      </c>
      <c r="J161" s="5">
        <v>2</v>
      </c>
      <c r="K161" s="9" t="s">
        <v>1393</v>
      </c>
      <c r="L161" s="9" t="s">
        <v>1394</v>
      </c>
    </row>
    <row r="162" spans="1:12" ht="44.1" customHeight="1">
      <c r="A162" s="2" t="s">
        <v>1395</v>
      </c>
      <c r="B162" s="2" t="s">
        <v>1386</v>
      </c>
      <c r="C162" s="8" t="s">
        <v>1396</v>
      </c>
      <c r="D162" s="22" t="s">
        <v>589</v>
      </c>
      <c r="E162" s="2">
        <v>5</v>
      </c>
      <c r="F162" s="2">
        <v>0</v>
      </c>
      <c r="G162" s="2">
        <v>4</v>
      </c>
      <c r="H162" s="8" t="s">
        <v>1400</v>
      </c>
      <c r="I162" s="2">
        <v>4</v>
      </c>
      <c r="J162" s="2">
        <v>9</v>
      </c>
      <c r="K162" s="8" t="s">
        <v>1403</v>
      </c>
      <c r="L162" s="8" t="s">
        <v>1404</v>
      </c>
    </row>
    <row r="163" spans="1:12" ht="44.1" customHeight="1">
      <c r="A163" s="5" t="s">
        <v>1405</v>
      </c>
      <c r="B163" s="5" t="s">
        <v>1386</v>
      </c>
      <c r="C163" s="9" t="s">
        <v>1406</v>
      </c>
      <c r="D163" s="9"/>
      <c r="E163" s="5">
        <v>4</v>
      </c>
      <c r="F163" s="5">
        <v>0</v>
      </c>
      <c r="G163" s="5">
        <v>0</v>
      </c>
      <c r="H163" s="9" t="s">
        <v>1409</v>
      </c>
      <c r="I163" s="5">
        <v>3</v>
      </c>
      <c r="J163" s="5">
        <v>2</v>
      </c>
      <c r="K163" s="9" t="s">
        <v>1412</v>
      </c>
      <c r="L163" s="9" t="s">
        <v>1413</v>
      </c>
    </row>
    <row r="164" spans="1:12" ht="44.1" customHeight="1">
      <c r="A164" s="2" t="s">
        <v>1414</v>
      </c>
      <c r="B164" s="2" t="s">
        <v>1386</v>
      </c>
      <c r="C164" s="8" t="s">
        <v>1415</v>
      </c>
      <c r="D164" s="8"/>
      <c r="E164" s="2">
        <v>4</v>
      </c>
      <c r="F164" s="2">
        <v>0</v>
      </c>
      <c r="G164" s="2">
        <v>0</v>
      </c>
      <c r="H164" s="8" t="s">
        <v>1418</v>
      </c>
      <c r="I164" s="2">
        <v>6</v>
      </c>
      <c r="J164" s="2">
        <v>2</v>
      </c>
      <c r="K164" s="8" t="s">
        <v>1420</v>
      </c>
      <c r="L164" s="8" t="s">
        <v>1421</v>
      </c>
    </row>
    <row r="165" spans="1:12" ht="44.1" customHeight="1">
      <c r="A165" s="5" t="s">
        <v>1422</v>
      </c>
      <c r="B165" s="5" t="s">
        <v>1386</v>
      </c>
      <c r="C165" s="9" t="s">
        <v>1423</v>
      </c>
      <c r="D165" s="9"/>
      <c r="E165" s="5">
        <v>7</v>
      </c>
      <c r="F165" s="5">
        <v>1</v>
      </c>
      <c r="G165" s="5">
        <v>0</v>
      </c>
      <c r="H165" s="9" t="s">
        <v>1426</v>
      </c>
      <c r="I165" s="5">
        <v>5</v>
      </c>
      <c r="J165" s="5">
        <v>4</v>
      </c>
      <c r="K165" s="9" t="s">
        <v>1429</v>
      </c>
      <c r="L165" s="9" t="s">
        <v>1430</v>
      </c>
    </row>
    <row r="166" spans="1:12" ht="44.1" customHeight="1">
      <c r="A166" s="2" t="s">
        <v>1431</v>
      </c>
      <c r="B166" s="2" t="s">
        <v>1386</v>
      </c>
      <c r="C166" s="8" t="s">
        <v>1432</v>
      </c>
      <c r="D166" s="8"/>
      <c r="E166" s="2">
        <v>4</v>
      </c>
      <c r="F166" s="2">
        <v>0</v>
      </c>
      <c r="G166" s="2">
        <v>0</v>
      </c>
      <c r="H166" s="8" t="s">
        <v>1435</v>
      </c>
      <c r="I166" s="2">
        <v>2</v>
      </c>
      <c r="J166" s="2">
        <v>2</v>
      </c>
      <c r="K166" s="8" t="s">
        <v>1438</v>
      </c>
      <c r="L166" s="8" t="s">
        <v>1439</v>
      </c>
    </row>
    <row r="167" spans="1:12" ht="44.1" customHeight="1">
      <c r="A167" s="5" t="s">
        <v>1440</v>
      </c>
      <c r="B167" s="5" t="s">
        <v>1386</v>
      </c>
      <c r="C167" s="9" t="s">
        <v>1441</v>
      </c>
      <c r="D167" s="22" t="s">
        <v>482</v>
      </c>
      <c r="E167" s="5">
        <v>4</v>
      </c>
      <c r="F167" s="5">
        <v>0</v>
      </c>
      <c r="G167" s="5">
        <v>0</v>
      </c>
      <c r="H167" s="9" t="s">
        <v>1444</v>
      </c>
      <c r="I167" s="5">
        <v>2</v>
      </c>
      <c r="J167" s="5">
        <v>2</v>
      </c>
      <c r="K167" s="9" t="s">
        <v>1447</v>
      </c>
      <c r="L167" s="9" t="s">
        <v>1448</v>
      </c>
    </row>
    <row r="168" spans="1:12" ht="44.1" customHeight="1">
      <c r="A168" s="2" t="s">
        <v>1449</v>
      </c>
      <c r="B168" s="2" t="s">
        <v>1386</v>
      </c>
      <c r="C168" s="8" t="s">
        <v>1450</v>
      </c>
      <c r="D168" s="8"/>
      <c r="E168" s="2">
        <v>4</v>
      </c>
      <c r="F168" s="2">
        <v>0</v>
      </c>
      <c r="G168" s="2">
        <v>0</v>
      </c>
      <c r="H168" s="8" t="s">
        <v>1453</v>
      </c>
      <c r="I168" s="2">
        <v>11</v>
      </c>
      <c r="J168" s="2">
        <v>2</v>
      </c>
      <c r="K168" s="8" t="s">
        <v>1456</v>
      </c>
      <c r="L168" s="8" t="s">
        <v>1457</v>
      </c>
    </row>
    <row r="169" spans="1:12" ht="44.1" customHeight="1">
      <c r="A169" s="5" t="s">
        <v>1458</v>
      </c>
      <c r="B169" s="5" t="s">
        <v>1386</v>
      </c>
      <c r="C169" s="9" t="s">
        <v>1459</v>
      </c>
      <c r="D169" s="9"/>
      <c r="E169" s="5">
        <v>4</v>
      </c>
      <c r="F169" s="5">
        <v>0</v>
      </c>
      <c r="G169" s="5">
        <v>0</v>
      </c>
      <c r="H169" s="9" t="s">
        <v>1462</v>
      </c>
      <c r="I169" s="5">
        <v>6</v>
      </c>
      <c r="J169" s="5">
        <v>3</v>
      </c>
      <c r="K169" s="9" t="s">
        <v>1465</v>
      </c>
      <c r="L169" s="9" t="s">
        <v>1466</v>
      </c>
    </row>
    <row r="170" spans="1:12" ht="44.1" customHeight="1">
      <c r="A170" s="2" t="s">
        <v>1467</v>
      </c>
      <c r="B170" s="2" t="s">
        <v>1386</v>
      </c>
      <c r="C170" s="8" t="s">
        <v>1468</v>
      </c>
      <c r="D170" s="8"/>
      <c r="E170" s="2">
        <v>4</v>
      </c>
      <c r="F170" s="2">
        <v>0</v>
      </c>
      <c r="G170" s="2">
        <v>0</v>
      </c>
      <c r="H170" s="8" t="s">
        <v>1470</v>
      </c>
      <c r="I170" s="2">
        <v>3</v>
      </c>
      <c r="J170" s="2">
        <v>2</v>
      </c>
      <c r="K170" s="8" t="s">
        <v>1472</v>
      </c>
      <c r="L170" s="8" t="s">
        <v>1473</v>
      </c>
    </row>
    <row r="171" spans="1:12" ht="44.1" customHeight="1">
      <c r="A171" s="5" t="s">
        <v>1474</v>
      </c>
      <c r="B171" s="5" t="s">
        <v>1386</v>
      </c>
      <c r="C171" s="9" t="s">
        <v>1475</v>
      </c>
      <c r="D171" s="22" t="s">
        <v>482</v>
      </c>
      <c r="E171" s="5">
        <v>3</v>
      </c>
      <c r="F171" s="5">
        <v>1</v>
      </c>
      <c r="G171" s="5">
        <v>0</v>
      </c>
      <c r="H171" s="9" t="s">
        <v>1478</v>
      </c>
      <c r="I171" s="5">
        <v>0</v>
      </c>
      <c r="J171" s="5">
        <v>2</v>
      </c>
      <c r="K171" s="9" t="s">
        <v>1481</v>
      </c>
      <c r="L171" s="9" t="s">
        <v>1482</v>
      </c>
    </row>
    <row r="172" spans="1:12" ht="44.1" customHeight="1">
      <c r="A172" s="2" t="s">
        <v>1483</v>
      </c>
      <c r="B172" s="2" t="s">
        <v>1386</v>
      </c>
      <c r="C172" s="8" t="s">
        <v>1484</v>
      </c>
      <c r="D172" s="8"/>
      <c r="E172" s="2">
        <v>4</v>
      </c>
      <c r="F172" s="2">
        <v>0</v>
      </c>
      <c r="G172" s="2">
        <v>3</v>
      </c>
      <c r="H172" s="8" t="s">
        <v>1486</v>
      </c>
      <c r="I172" s="2">
        <v>3</v>
      </c>
      <c r="J172" s="2">
        <v>2</v>
      </c>
      <c r="K172" s="8" t="s">
        <v>1489</v>
      </c>
      <c r="L172" s="8" t="s">
        <v>1490</v>
      </c>
    </row>
    <row r="173" spans="1:12" ht="44.1" customHeight="1">
      <c r="A173" s="5" t="s">
        <v>1491</v>
      </c>
      <c r="B173" s="5" t="s">
        <v>1386</v>
      </c>
      <c r="C173" s="9" t="s">
        <v>1492</v>
      </c>
      <c r="D173" s="9"/>
      <c r="E173" s="5">
        <v>4</v>
      </c>
      <c r="F173" s="5">
        <v>1</v>
      </c>
      <c r="G173" s="5">
        <v>0</v>
      </c>
      <c r="H173" s="9" t="s">
        <v>1495</v>
      </c>
      <c r="I173" s="5">
        <v>2</v>
      </c>
      <c r="J173" s="5">
        <v>2</v>
      </c>
      <c r="K173" s="9" t="s">
        <v>1497</v>
      </c>
      <c r="L173" s="9" t="s">
        <v>1498</v>
      </c>
    </row>
    <row r="174" spans="1:12" ht="44.1" customHeight="1">
      <c r="A174" s="2" t="s">
        <v>1499</v>
      </c>
      <c r="B174" s="2" t="s">
        <v>1386</v>
      </c>
      <c r="C174" s="8" t="s">
        <v>1500</v>
      </c>
      <c r="D174" s="8"/>
      <c r="E174" s="2">
        <v>4</v>
      </c>
      <c r="F174" s="2">
        <v>0</v>
      </c>
      <c r="G174" s="2">
        <v>0</v>
      </c>
      <c r="H174" s="8" t="s">
        <v>1502</v>
      </c>
      <c r="I174" s="2">
        <v>2</v>
      </c>
      <c r="J174" s="2">
        <v>2</v>
      </c>
      <c r="K174" s="8" t="s">
        <v>1504</v>
      </c>
      <c r="L174" s="8" t="s">
        <v>1505</v>
      </c>
    </row>
    <row r="175" spans="1:12" ht="44.1" customHeight="1">
      <c r="A175" s="5" t="s">
        <v>1506</v>
      </c>
      <c r="B175" s="5" t="s">
        <v>1386</v>
      </c>
      <c r="C175" s="9" t="s">
        <v>1507</v>
      </c>
      <c r="D175" s="9"/>
      <c r="E175" s="5">
        <v>3</v>
      </c>
      <c r="F175" s="5">
        <v>1</v>
      </c>
      <c r="G175" s="5">
        <v>0</v>
      </c>
      <c r="H175" s="9" t="s">
        <v>1510</v>
      </c>
      <c r="I175" s="5">
        <v>2</v>
      </c>
      <c r="J175" s="5">
        <v>2</v>
      </c>
      <c r="K175" s="9" t="s">
        <v>1512</v>
      </c>
      <c r="L175" s="9" t="s">
        <v>1513</v>
      </c>
    </row>
    <row r="176" spans="1:12" ht="44.1" customHeight="1">
      <c r="A176" s="2" t="s">
        <v>1514</v>
      </c>
      <c r="B176" s="2" t="s">
        <v>1386</v>
      </c>
      <c r="C176" s="8" t="s">
        <v>1515</v>
      </c>
      <c r="D176" s="8"/>
      <c r="E176" s="2">
        <v>4</v>
      </c>
      <c r="F176" s="2">
        <v>0</v>
      </c>
      <c r="G176" s="2">
        <v>0</v>
      </c>
      <c r="H176" s="8" t="s">
        <v>1518</v>
      </c>
      <c r="I176" s="2">
        <v>2</v>
      </c>
      <c r="J176" s="2">
        <v>3</v>
      </c>
      <c r="K176" s="8" t="s">
        <v>1520</v>
      </c>
      <c r="L176" s="8" t="s">
        <v>1521</v>
      </c>
    </row>
    <row r="177" spans="1:12" ht="44.1" customHeight="1">
      <c r="A177" s="5" t="s">
        <v>1522</v>
      </c>
      <c r="B177" s="5" t="s">
        <v>1386</v>
      </c>
      <c r="C177" s="9" t="s">
        <v>1523</v>
      </c>
      <c r="D177" s="9"/>
      <c r="E177" s="5">
        <v>4</v>
      </c>
      <c r="F177" s="5">
        <v>0</v>
      </c>
      <c r="G177" s="5">
        <v>0</v>
      </c>
      <c r="H177" s="9" t="s">
        <v>1524</v>
      </c>
      <c r="I177" s="5">
        <v>3</v>
      </c>
      <c r="J177" s="5">
        <v>2</v>
      </c>
      <c r="K177" s="9" t="s">
        <v>1526</v>
      </c>
      <c r="L177" s="9" t="s">
        <v>1527</v>
      </c>
    </row>
    <row r="178" spans="1:12" ht="44.1" customHeight="1">
      <c r="A178" s="2" t="s">
        <v>1528</v>
      </c>
      <c r="B178" s="2" t="s">
        <v>1386</v>
      </c>
      <c r="C178" s="8" t="s">
        <v>1529</v>
      </c>
      <c r="D178" s="8"/>
      <c r="E178" s="2">
        <v>5</v>
      </c>
      <c r="F178" s="2">
        <v>0</v>
      </c>
      <c r="G178" s="2">
        <v>3</v>
      </c>
      <c r="H178" s="8" t="s">
        <v>1531</v>
      </c>
      <c r="I178" s="2">
        <v>4</v>
      </c>
      <c r="J178" s="2">
        <v>2</v>
      </c>
      <c r="K178" s="8" t="s">
        <v>1533</v>
      </c>
      <c r="L178" s="8" t="s">
        <v>1534</v>
      </c>
    </row>
    <row r="179" spans="1:12" ht="44.1" customHeight="1">
      <c r="A179" s="5" t="s">
        <v>1535</v>
      </c>
      <c r="B179" s="5" t="s">
        <v>1386</v>
      </c>
      <c r="C179" s="9" t="s">
        <v>1536</v>
      </c>
      <c r="D179" s="9"/>
      <c r="E179" s="5">
        <v>4</v>
      </c>
      <c r="F179" s="5">
        <v>0</v>
      </c>
      <c r="G179" s="5">
        <v>0</v>
      </c>
      <c r="H179" s="9" t="s">
        <v>1538</v>
      </c>
      <c r="I179" s="5">
        <v>1</v>
      </c>
      <c r="J179" s="5">
        <v>3</v>
      </c>
      <c r="K179" s="9" t="s">
        <v>1541</v>
      </c>
      <c r="L179" s="9" t="s">
        <v>1542</v>
      </c>
    </row>
    <row r="180" spans="1:12" ht="44.1" customHeight="1">
      <c r="A180" s="2" t="s">
        <v>1543</v>
      </c>
      <c r="B180" s="2" t="s">
        <v>1386</v>
      </c>
      <c r="C180" s="8" t="s">
        <v>1544</v>
      </c>
      <c r="D180" s="8"/>
      <c r="E180" s="2">
        <v>4</v>
      </c>
      <c r="F180" s="2">
        <v>1</v>
      </c>
      <c r="G180" s="2">
        <v>0</v>
      </c>
      <c r="H180" s="8" t="s">
        <v>1547</v>
      </c>
      <c r="I180" s="2">
        <v>1</v>
      </c>
      <c r="J180" s="2">
        <v>3</v>
      </c>
      <c r="K180" s="8" t="s">
        <v>1549</v>
      </c>
      <c r="L180" s="8" t="s">
        <v>1550</v>
      </c>
    </row>
    <row r="181" spans="1:12" ht="44.1" customHeight="1">
      <c r="A181" s="5" t="s">
        <v>1551</v>
      </c>
      <c r="B181" s="5" t="s">
        <v>1386</v>
      </c>
      <c r="C181" s="9" t="s">
        <v>1552</v>
      </c>
      <c r="D181" s="9"/>
      <c r="E181" s="5">
        <v>4</v>
      </c>
      <c r="F181" s="5">
        <v>0</v>
      </c>
      <c r="G181" s="5">
        <v>0</v>
      </c>
      <c r="H181" s="9" t="s">
        <v>1555</v>
      </c>
      <c r="I181" s="5">
        <v>1</v>
      </c>
      <c r="J181" s="5">
        <v>2</v>
      </c>
      <c r="K181" s="9" t="s">
        <v>1558</v>
      </c>
      <c r="L181" s="9" t="s">
        <v>1559</v>
      </c>
    </row>
    <row r="182" spans="1:12" ht="44.1" customHeight="1">
      <c r="A182" s="2" t="s">
        <v>1560</v>
      </c>
      <c r="B182" s="2" t="s">
        <v>1386</v>
      </c>
      <c r="C182" s="8" t="s">
        <v>1561</v>
      </c>
      <c r="D182" s="8"/>
      <c r="E182" s="2">
        <v>4</v>
      </c>
      <c r="F182" s="2">
        <v>0</v>
      </c>
      <c r="G182" s="2">
        <v>0</v>
      </c>
      <c r="H182" s="8" t="s">
        <v>1564</v>
      </c>
      <c r="I182" s="2">
        <v>4</v>
      </c>
      <c r="J182" s="2">
        <v>2</v>
      </c>
      <c r="K182" s="8" t="s">
        <v>1567</v>
      </c>
      <c r="L182" s="8" t="s">
        <v>1568</v>
      </c>
    </row>
    <row r="183" spans="1:12" ht="44.1" customHeight="1">
      <c r="A183" s="5" t="s">
        <v>1569</v>
      </c>
      <c r="B183" s="5" t="s">
        <v>1386</v>
      </c>
      <c r="C183" s="9" t="s">
        <v>1570</v>
      </c>
      <c r="D183" s="9"/>
      <c r="E183" s="5">
        <v>4</v>
      </c>
      <c r="F183" s="5">
        <v>0</v>
      </c>
      <c r="G183" s="5">
        <v>0</v>
      </c>
      <c r="H183" s="9" t="s">
        <v>1572</v>
      </c>
      <c r="I183" s="5">
        <v>2</v>
      </c>
      <c r="J183" s="5">
        <v>2</v>
      </c>
      <c r="K183" s="9" t="s">
        <v>1574</v>
      </c>
      <c r="L183" s="9" t="s">
        <v>1575</v>
      </c>
    </row>
    <row r="184" spans="1:12" ht="44.1" customHeight="1">
      <c r="A184" s="2" t="s">
        <v>1576</v>
      </c>
      <c r="B184" s="2" t="s">
        <v>1386</v>
      </c>
      <c r="C184" s="8" t="s">
        <v>1577</v>
      </c>
      <c r="D184" s="22" t="s">
        <v>181</v>
      </c>
      <c r="E184" s="2">
        <v>4</v>
      </c>
      <c r="F184" s="2">
        <v>0</v>
      </c>
      <c r="G184" s="2">
        <v>0</v>
      </c>
      <c r="H184" s="8" t="s">
        <v>1580</v>
      </c>
      <c r="I184" s="2">
        <v>2</v>
      </c>
      <c r="J184" s="2">
        <v>2</v>
      </c>
      <c r="K184" s="8" t="s">
        <v>1582</v>
      </c>
      <c r="L184" s="8" t="s">
        <v>1583</v>
      </c>
    </row>
    <row r="185" spans="1:12" ht="44.1" customHeight="1">
      <c r="A185" s="5" t="s">
        <v>1584</v>
      </c>
      <c r="B185" s="5" t="s">
        <v>1386</v>
      </c>
      <c r="C185" s="9" t="s">
        <v>1585</v>
      </c>
      <c r="D185" s="9"/>
      <c r="E185" s="5">
        <v>3</v>
      </c>
      <c r="F185" s="5">
        <v>0</v>
      </c>
      <c r="G185" s="5">
        <v>4</v>
      </c>
      <c r="H185" s="9" t="s">
        <v>1589</v>
      </c>
      <c r="I185" s="5">
        <v>6</v>
      </c>
      <c r="J185" s="5">
        <v>2</v>
      </c>
      <c r="K185" s="9" t="s">
        <v>1592</v>
      </c>
      <c r="L185" s="9" t="s">
        <v>1593</v>
      </c>
    </row>
    <row r="186" spans="1:12" ht="44.1" customHeight="1">
      <c r="A186" s="2" t="s">
        <v>1594</v>
      </c>
      <c r="B186" s="2" t="s">
        <v>1595</v>
      </c>
      <c r="C186" s="8" t="s">
        <v>1596</v>
      </c>
      <c r="D186" s="8"/>
      <c r="E186" s="2">
        <v>4</v>
      </c>
      <c r="F186" s="2">
        <v>1</v>
      </c>
      <c r="G186" s="2">
        <v>0</v>
      </c>
      <c r="H186" s="8" t="s">
        <v>1598</v>
      </c>
      <c r="I186" s="2">
        <v>2</v>
      </c>
      <c r="J186" s="2">
        <v>2</v>
      </c>
      <c r="K186" s="8" t="s">
        <v>1601</v>
      </c>
      <c r="L186" s="8" t="s">
        <v>1602</v>
      </c>
    </row>
    <row r="187" spans="1:12" ht="44.1" customHeight="1">
      <c r="A187" s="5" t="s">
        <v>1603</v>
      </c>
      <c r="B187" s="5" t="s">
        <v>1595</v>
      </c>
      <c r="C187" s="9" t="s">
        <v>1604</v>
      </c>
      <c r="D187" s="9"/>
      <c r="E187" s="5">
        <v>4</v>
      </c>
      <c r="F187" s="5">
        <v>0</v>
      </c>
      <c r="G187" s="5">
        <v>4</v>
      </c>
      <c r="H187" s="9" t="s">
        <v>217</v>
      </c>
      <c r="I187" s="5">
        <v>3</v>
      </c>
      <c r="J187" s="5">
        <v>2</v>
      </c>
      <c r="K187" s="9" t="s">
        <v>1607</v>
      </c>
      <c r="L187" s="9" t="s">
        <v>1608</v>
      </c>
    </row>
    <row r="188" spans="1:12" ht="44.1" customHeight="1">
      <c r="A188" s="2" t="s">
        <v>1609</v>
      </c>
      <c r="B188" s="2" t="s">
        <v>1595</v>
      </c>
      <c r="C188" s="8" t="s">
        <v>1610</v>
      </c>
      <c r="D188" s="22" t="s">
        <v>1614</v>
      </c>
      <c r="E188" s="2">
        <v>3</v>
      </c>
      <c r="F188" s="2">
        <v>0</v>
      </c>
      <c r="G188" s="2">
        <v>0</v>
      </c>
      <c r="H188" s="8"/>
      <c r="I188" s="2">
        <v>7</v>
      </c>
      <c r="J188" s="2">
        <v>2</v>
      </c>
      <c r="K188" s="8" t="s">
        <v>1615</v>
      </c>
      <c r="L188" s="8" t="s">
        <v>1616</v>
      </c>
    </row>
    <row r="189" spans="1:12" ht="44.1" customHeight="1">
      <c r="A189" s="5" t="s">
        <v>1617</v>
      </c>
      <c r="B189" s="5" t="s">
        <v>1595</v>
      </c>
      <c r="C189" s="9" t="s">
        <v>1618</v>
      </c>
      <c r="D189" s="22" t="s">
        <v>181</v>
      </c>
      <c r="E189" s="5">
        <v>3</v>
      </c>
      <c r="F189" s="5">
        <v>1</v>
      </c>
      <c r="G189" s="5">
        <v>0</v>
      </c>
      <c r="H189" s="9" t="s">
        <v>1621</v>
      </c>
      <c r="I189" s="5">
        <v>4</v>
      </c>
      <c r="J189" s="5">
        <v>3</v>
      </c>
      <c r="K189" s="9" t="s">
        <v>1623</v>
      </c>
      <c r="L189" s="9" t="s">
        <v>1624</v>
      </c>
    </row>
    <row r="190" spans="1:12" ht="44.1" customHeight="1">
      <c r="A190" s="2" t="s">
        <v>1625</v>
      </c>
      <c r="B190" s="2" t="s">
        <v>1595</v>
      </c>
      <c r="C190" s="8" t="s">
        <v>1626</v>
      </c>
      <c r="D190" s="8"/>
      <c r="E190" s="2">
        <v>4</v>
      </c>
      <c r="F190" s="2">
        <v>0</v>
      </c>
      <c r="G190" s="2">
        <v>3</v>
      </c>
      <c r="H190" s="8" t="s">
        <v>1628</v>
      </c>
      <c r="I190" s="2">
        <v>4</v>
      </c>
      <c r="J190" s="2">
        <v>2</v>
      </c>
      <c r="K190" s="8" t="s">
        <v>1630</v>
      </c>
      <c r="L190" s="8" t="s">
        <v>1631</v>
      </c>
    </row>
    <row r="191" spans="1:12" ht="44.1" customHeight="1">
      <c r="A191" s="5" t="s">
        <v>1632</v>
      </c>
      <c r="B191" s="5" t="s">
        <v>1595</v>
      </c>
      <c r="C191" s="9" t="s">
        <v>1633</v>
      </c>
      <c r="D191" s="9"/>
      <c r="E191" s="5">
        <v>3</v>
      </c>
      <c r="F191" s="5">
        <v>1</v>
      </c>
      <c r="G191" s="5">
        <v>0</v>
      </c>
      <c r="H191" s="9" t="s">
        <v>1636</v>
      </c>
      <c r="I191" s="5">
        <v>3</v>
      </c>
      <c r="J191" s="5">
        <v>2</v>
      </c>
      <c r="K191" s="9" t="s">
        <v>1638</v>
      </c>
      <c r="L191" s="9" t="s">
        <v>1639</v>
      </c>
    </row>
    <row r="192" spans="1:12" ht="44.1" customHeight="1">
      <c r="A192" s="2" t="s">
        <v>1640</v>
      </c>
      <c r="B192" s="2" t="s">
        <v>1595</v>
      </c>
      <c r="C192" s="8" t="s">
        <v>1641</v>
      </c>
      <c r="D192" s="8"/>
      <c r="E192" s="2">
        <v>3</v>
      </c>
      <c r="F192" s="2">
        <v>1</v>
      </c>
      <c r="G192" s="2">
        <v>0</v>
      </c>
      <c r="H192" s="8" t="s">
        <v>1644</v>
      </c>
      <c r="I192" s="2">
        <v>4</v>
      </c>
      <c r="J192" s="2">
        <v>2</v>
      </c>
      <c r="K192" s="8" t="s">
        <v>1647</v>
      </c>
      <c r="L192" s="8" t="s">
        <v>1648</v>
      </c>
    </row>
    <row r="193" spans="1:12" ht="44.1" customHeight="1">
      <c r="A193" s="5" t="s">
        <v>1649</v>
      </c>
      <c r="B193" s="5" t="s">
        <v>1595</v>
      </c>
      <c r="C193" s="9" t="s">
        <v>1650</v>
      </c>
      <c r="D193" s="9"/>
      <c r="E193" s="5">
        <v>4</v>
      </c>
      <c r="F193" s="5">
        <v>1</v>
      </c>
      <c r="G193" s="5">
        <v>0</v>
      </c>
      <c r="H193" s="9" t="s">
        <v>1652</v>
      </c>
      <c r="I193" s="5">
        <v>3</v>
      </c>
      <c r="J193" s="5">
        <v>2</v>
      </c>
      <c r="K193" s="9" t="s">
        <v>1654</v>
      </c>
      <c r="L193" s="9" t="s">
        <v>1655</v>
      </c>
    </row>
    <row r="194" spans="1:12" ht="44.1" customHeight="1">
      <c r="A194" s="2" t="s">
        <v>1656</v>
      </c>
      <c r="B194" s="2" t="s">
        <v>1595</v>
      </c>
      <c r="C194" s="8" t="s">
        <v>1657</v>
      </c>
      <c r="D194" s="8"/>
      <c r="E194" s="2">
        <v>4</v>
      </c>
      <c r="F194" s="2">
        <v>4</v>
      </c>
      <c r="G194" s="2">
        <v>8</v>
      </c>
      <c r="H194" s="8" t="s">
        <v>1659</v>
      </c>
      <c r="I194" s="2">
        <v>3</v>
      </c>
      <c r="J194" s="2">
        <v>2</v>
      </c>
      <c r="K194" s="8" t="s">
        <v>1661</v>
      </c>
      <c r="L194" s="8" t="s">
        <v>1662</v>
      </c>
    </row>
    <row r="195" spans="1:12" ht="44.1" customHeight="1">
      <c r="A195" s="5" t="s">
        <v>1663</v>
      </c>
      <c r="B195" s="5" t="s">
        <v>1595</v>
      </c>
      <c r="C195" s="9" t="s">
        <v>1664</v>
      </c>
      <c r="D195" s="9"/>
      <c r="E195" s="5">
        <v>4</v>
      </c>
      <c r="F195" s="5">
        <v>0</v>
      </c>
      <c r="G195" s="5">
        <v>0</v>
      </c>
      <c r="H195" s="9" t="s">
        <v>1666</v>
      </c>
      <c r="I195" s="5">
        <v>3</v>
      </c>
      <c r="J195" s="5">
        <v>2</v>
      </c>
      <c r="K195" s="9" t="s">
        <v>1668</v>
      </c>
      <c r="L195" s="9" t="s">
        <v>1669</v>
      </c>
    </row>
    <row r="196" spans="1:12" ht="44.1" customHeight="1">
      <c r="A196" s="2" t="s">
        <v>1670</v>
      </c>
      <c r="B196" s="2" t="s">
        <v>1595</v>
      </c>
      <c r="C196" s="8" t="s">
        <v>1671</v>
      </c>
      <c r="D196" s="8"/>
      <c r="E196" s="2">
        <v>4</v>
      </c>
      <c r="F196" s="2">
        <v>1</v>
      </c>
      <c r="G196" s="2">
        <v>0</v>
      </c>
      <c r="H196" s="8" t="s">
        <v>1673</v>
      </c>
      <c r="I196" s="2">
        <v>3</v>
      </c>
      <c r="J196" s="2">
        <v>3</v>
      </c>
      <c r="K196" s="8" t="s">
        <v>1675</v>
      </c>
      <c r="L196" s="8" t="s">
        <v>1676</v>
      </c>
    </row>
    <row r="197" spans="1:12" ht="44.1" customHeight="1">
      <c r="A197" s="5" t="s">
        <v>1677</v>
      </c>
      <c r="B197" s="5" t="s">
        <v>1595</v>
      </c>
      <c r="C197" s="9" t="s">
        <v>1678</v>
      </c>
      <c r="D197" s="9"/>
      <c r="E197" s="5">
        <v>4</v>
      </c>
      <c r="F197" s="5">
        <v>0</v>
      </c>
      <c r="G197" s="5">
        <v>3</v>
      </c>
      <c r="H197" s="9" t="s">
        <v>1681</v>
      </c>
      <c r="I197" s="5">
        <v>4</v>
      </c>
      <c r="J197" s="5">
        <v>2</v>
      </c>
      <c r="K197" s="9" t="s">
        <v>1683</v>
      </c>
      <c r="L197" s="9" t="s">
        <v>1684</v>
      </c>
    </row>
    <row r="198" spans="1:12" ht="44.1" customHeight="1">
      <c r="A198" s="2" t="s">
        <v>1685</v>
      </c>
      <c r="B198" s="2" t="s">
        <v>1595</v>
      </c>
      <c r="C198" s="8" t="s">
        <v>1686</v>
      </c>
      <c r="D198" s="8"/>
      <c r="E198" s="2">
        <v>4</v>
      </c>
      <c r="F198" s="2">
        <v>0</v>
      </c>
      <c r="G198" s="2">
        <v>3</v>
      </c>
      <c r="H198" s="8" t="s">
        <v>1689</v>
      </c>
      <c r="I198" s="2">
        <v>3</v>
      </c>
      <c r="J198" s="2">
        <v>2</v>
      </c>
      <c r="K198" s="8" t="s">
        <v>1691</v>
      </c>
      <c r="L198" s="8" t="s">
        <v>1692</v>
      </c>
    </row>
    <row r="199" spans="1:12" ht="44.1" customHeight="1">
      <c r="A199" s="5" t="s">
        <v>1693</v>
      </c>
      <c r="B199" s="5" t="s">
        <v>1595</v>
      </c>
      <c r="C199" s="9" t="s">
        <v>1694</v>
      </c>
      <c r="D199" s="9"/>
      <c r="E199" s="5">
        <v>4</v>
      </c>
      <c r="F199" s="5">
        <v>1</v>
      </c>
      <c r="G199" s="5">
        <v>0</v>
      </c>
      <c r="H199" s="9" t="s">
        <v>1697</v>
      </c>
      <c r="I199" s="5">
        <v>4</v>
      </c>
      <c r="J199" s="5">
        <v>2</v>
      </c>
      <c r="K199" s="9" t="s">
        <v>1700</v>
      </c>
      <c r="L199" s="9" t="s">
        <v>1701</v>
      </c>
    </row>
    <row r="200" spans="1:12" ht="44.1" customHeight="1">
      <c r="A200" s="2" t="s">
        <v>1702</v>
      </c>
      <c r="B200" s="2" t="s">
        <v>1595</v>
      </c>
      <c r="C200" s="8" t="s">
        <v>1703</v>
      </c>
      <c r="D200" s="8"/>
      <c r="E200" s="2">
        <v>4</v>
      </c>
      <c r="F200" s="2">
        <v>1</v>
      </c>
      <c r="G200" s="2">
        <v>0</v>
      </c>
      <c r="H200" s="8" t="s">
        <v>1706</v>
      </c>
      <c r="I200" s="2">
        <v>3</v>
      </c>
      <c r="J200" s="2">
        <v>2</v>
      </c>
      <c r="K200" s="8" t="s">
        <v>1709</v>
      </c>
      <c r="L200" s="8" t="s">
        <v>1710</v>
      </c>
    </row>
    <row r="201" spans="1:12" ht="44.1" customHeight="1">
      <c r="A201" s="5" t="s">
        <v>1711</v>
      </c>
      <c r="B201" s="5" t="s">
        <v>1595</v>
      </c>
      <c r="C201" s="9" t="s">
        <v>1712</v>
      </c>
      <c r="D201" s="9"/>
      <c r="E201" s="5">
        <v>4</v>
      </c>
      <c r="F201" s="5">
        <v>0</v>
      </c>
      <c r="G201" s="5">
        <v>0</v>
      </c>
      <c r="H201" s="9" t="s">
        <v>1715</v>
      </c>
      <c r="I201" s="5">
        <v>2</v>
      </c>
      <c r="J201" s="5">
        <v>2</v>
      </c>
      <c r="K201" s="9" t="s">
        <v>1717</v>
      </c>
      <c r="L201" s="9" t="s">
        <v>1718</v>
      </c>
    </row>
    <row r="202" spans="1:12" ht="44.1" customHeight="1">
      <c r="A202" s="2" t="s">
        <v>1719</v>
      </c>
      <c r="B202" s="2" t="s">
        <v>1595</v>
      </c>
      <c r="C202" s="8" t="s">
        <v>1720</v>
      </c>
      <c r="D202" s="8"/>
      <c r="E202" s="2">
        <v>4</v>
      </c>
      <c r="F202" s="2">
        <v>1</v>
      </c>
      <c r="G202" s="2">
        <v>0</v>
      </c>
      <c r="H202" s="8" t="s">
        <v>1723</v>
      </c>
      <c r="I202" s="2">
        <v>3</v>
      </c>
      <c r="J202" s="2">
        <v>2</v>
      </c>
      <c r="K202" s="8" t="s">
        <v>1725</v>
      </c>
      <c r="L202" s="8" t="s">
        <v>1726</v>
      </c>
    </row>
    <row r="203" spans="1:12" ht="44.1" customHeight="1">
      <c r="A203" s="5" t="s">
        <v>1727</v>
      </c>
      <c r="B203" s="5" t="s">
        <v>1595</v>
      </c>
      <c r="C203" s="9" t="s">
        <v>1728</v>
      </c>
      <c r="D203" s="9"/>
      <c r="E203" s="5">
        <v>6</v>
      </c>
      <c r="F203" s="5">
        <v>1</v>
      </c>
      <c r="G203" s="5">
        <v>0</v>
      </c>
      <c r="H203" s="9" t="s">
        <v>1730</v>
      </c>
      <c r="I203" s="5">
        <v>5</v>
      </c>
      <c r="J203" s="5">
        <v>2</v>
      </c>
      <c r="K203" s="9" t="s">
        <v>1732</v>
      </c>
      <c r="L203" s="9" t="s">
        <v>1733</v>
      </c>
    </row>
    <row r="204" spans="1:12" ht="44.1" customHeight="1">
      <c r="A204" s="2" t="s">
        <v>1734</v>
      </c>
      <c r="B204" s="2" t="s">
        <v>1595</v>
      </c>
      <c r="C204" s="8" t="s">
        <v>1735</v>
      </c>
      <c r="D204" s="8"/>
      <c r="E204" s="2">
        <v>4</v>
      </c>
      <c r="F204" s="2">
        <v>1</v>
      </c>
      <c r="G204" s="2">
        <v>0</v>
      </c>
      <c r="H204" s="8" t="s">
        <v>1736</v>
      </c>
      <c r="I204" s="2">
        <v>5</v>
      </c>
      <c r="J204" s="2">
        <v>2</v>
      </c>
      <c r="K204" s="8" t="s">
        <v>1738</v>
      </c>
      <c r="L204" s="8" t="s">
        <v>1739</v>
      </c>
    </row>
    <row r="205" spans="1:12" ht="44.1" customHeight="1">
      <c r="A205" s="5" t="s">
        <v>1740</v>
      </c>
      <c r="B205" s="5" t="s">
        <v>1595</v>
      </c>
      <c r="C205" s="9" t="s">
        <v>1741</v>
      </c>
      <c r="D205" s="9"/>
      <c r="E205" s="5">
        <v>5</v>
      </c>
      <c r="F205" s="5">
        <v>1</v>
      </c>
      <c r="G205" s="5">
        <v>0</v>
      </c>
      <c r="H205" s="9" t="s">
        <v>1744</v>
      </c>
      <c r="I205" s="5">
        <v>3</v>
      </c>
      <c r="J205" s="5">
        <v>2</v>
      </c>
      <c r="K205" s="9" t="s">
        <v>1746</v>
      </c>
      <c r="L205" s="9" t="s">
        <v>1747</v>
      </c>
    </row>
    <row r="206" spans="1:12" ht="44.1" customHeight="1">
      <c r="A206" s="2" t="s">
        <v>1748</v>
      </c>
      <c r="B206" s="2" t="s">
        <v>1595</v>
      </c>
      <c r="C206" s="8" t="s">
        <v>1749</v>
      </c>
      <c r="D206" s="22" t="s">
        <v>192</v>
      </c>
      <c r="E206" s="2">
        <v>4</v>
      </c>
      <c r="F206" s="2">
        <v>1</v>
      </c>
      <c r="G206" s="2">
        <v>0</v>
      </c>
      <c r="H206" s="8" t="s">
        <v>1751</v>
      </c>
      <c r="I206" s="2">
        <v>4</v>
      </c>
      <c r="J206" s="2">
        <v>2</v>
      </c>
      <c r="K206" s="8" t="s">
        <v>1753</v>
      </c>
      <c r="L206" s="8" t="s">
        <v>1754</v>
      </c>
    </row>
    <row r="207" spans="1:12" ht="44.1" customHeight="1">
      <c r="A207" s="5" t="s">
        <v>1755</v>
      </c>
      <c r="B207" s="5" t="s">
        <v>1595</v>
      </c>
      <c r="C207" s="9" t="s">
        <v>1756</v>
      </c>
      <c r="D207" s="9"/>
      <c r="E207" s="5">
        <v>4</v>
      </c>
      <c r="F207" s="5">
        <v>1</v>
      </c>
      <c r="G207" s="5">
        <v>0</v>
      </c>
      <c r="H207" s="9" t="s">
        <v>1757</v>
      </c>
      <c r="I207" s="5">
        <v>3</v>
      </c>
      <c r="J207" s="5">
        <v>2</v>
      </c>
      <c r="K207" s="9" t="s">
        <v>1759</v>
      </c>
      <c r="L207" s="9" t="s">
        <v>1760</v>
      </c>
    </row>
    <row r="208" spans="1:12" ht="44.1" customHeight="1">
      <c r="A208" s="2" t="s">
        <v>1761</v>
      </c>
      <c r="B208" s="2" t="s">
        <v>1595</v>
      </c>
      <c r="C208" s="8" t="s">
        <v>1762</v>
      </c>
      <c r="D208" s="8"/>
      <c r="E208" s="2">
        <v>3</v>
      </c>
      <c r="F208" s="2">
        <v>1</v>
      </c>
      <c r="G208" s="2">
        <v>0</v>
      </c>
      <c r="H208" s="8" t="s">
        <v>1765</v>
      </c>
      <c r="I208" s="2">
        <v>2</v>
      </c>
      <c r="J208" s="2">
        <v>2</v>
      </c>
      <c r="K208" s="8" t="s">
        <v>1767</v>
      </c>
      <c r="L208" s="8" t="s">
        <v>1768</v>
      </c>
    </row>
    <row r="209" spans="1:12" ht="44.1" customHeight="1">
      <c r="A209" s="5" t="s">
        <v>1769</v>
      </c>
      <c r="B209" s="5" t="s">
        <v>1595</v>
      </c>
      <c r="C209" s="9" t="s">
        <v>1770</v>
      </c>
      <c r="D209" s="9"/>
      <c r="E209" s="5">
        <v>4</v>
      </c>
      <c r="F209" s="5">
        <v>1</v>
      </c>
      <c r="G209" s="5">
        <v>0</v>
      </c>
      <c r="H209" s="9" t="s">
        <v>1772</v>
      </c>
      <c r="I209" s="5">
        <v>3</v>
      </c>
      <c r="J209" s="5">
        <v>2</v>
      </c>
      <c r="K209" s="9" t="s">
        <v>1774</v>
      </c>
      <c r="L209" s="9" t="s">
        <v>1775</v>
      </c>
    </row>
    <row r="210" spans="1:12" ht="44.1" customHeight="1">
      <c r="A210" s="2" t="s">
        <v>1776</v>
      </c>
      <c r="B210" s="2" t="s">
        <v>1595</v>
      </c>
      <c r="C210" s="8" t="s">
        <v>1777</v>
      </c>
      <c r="D210" s="8"/>
      <c r="E210" s="2">
        <v>4</v>
      </c>
      <c r="F210" s="2">
        <v>1</v>
      </c>
      <c r="G210" s="2">
        <v>0</v>
      </c>
      <c r="H210" s="8" t="s">
        <v>1780</v>
      </c>
      <c r="I210" s="2">
        <v>3</v>
      </c>
      <c r="J210" s="2">
        <v>2</v>
      </c>
      <c r="K210" s="8" t="s">
        <v>1782</v>
      </c>
      <c r="L210" s="8" t="s">
        <v>1783</v>
      </c>
    </row>
    <row r="211" spans="1:12" ht="44.1" customHeight="1">
      <c r="A211" s="5" t="s">
        <v>1784</v>
      </c>
      <c r="B211" s="5" t="s">
        <v>1595</v>
      </c>
      <c r="C211" s="9" t="s">
        <v>1785</v>
      </c>
      <c r="D211" s="9"/>
      <c r="E211" s="5">
        <v>7</v>
      </c>
      <c r="F211" s="5">
        <v>1</v>
      </c>
      <c r="G211" s="5">
        <v>0</v>
      </c>
      <c r="H211" s="9" t="s">
        <v>1787</v>
      </c>
      <c r="I211" s="5">
        <v>3</v>
      </c>
      <c r="J211" s="5">
        <v>2</v>
      </c>
      <c r="K211" s="9" t="s">
        <v>1789</v>
      </c>
      <c r="L211" s="9" t="s">
        <v>1790</v>
      </c>
    </row>
    <row r="212" spans="1:12" ht="44.1" customHeight="1">
      <c r="A212" s="2" t="s">
        <v>1791</v>
      </c>
      <c r="B212" s="2" t="s">
        <v>1595</v>
      </c>
      <c r="C212" s="8" t="s">
        <v>1792</v>
      </c>
      <c r="D212" s="8"/>
      <c r="E212" s="2">
        <v>4</v>
      </c>
      <c r="F212" s="2">
        <v>1</v>
      </c>
      <c r="G212" s="2">
        <v>0</v>
      </c>
      <c r="H212" s="8" t="s">
        <v>1794</v>
      </c>
      <c r="I212" s="2">
        <v>3</v>
      </c>
      <c r="J212" s="2">
        <v>2</v>
      </c>
      <c r="K212" s="8" t="s">
        <v>1796</v>
      </c>
      <c r="L212" s="8" t="s">
        <v>1797</v>
      </c>
    </row>
    <row r="213" spans="1:12" ht="44.1" customHeight="1">
      <c r="A213" s="5" t="s">
        <v>1798</v>
      </c>
      <c r="B213" s="5" t="s">
        <v>1595</v>
      </c>
      <c r="C213" s="9" t="s">
        <v>1799</v>
      </c>
      <c r="D213" s="9"/>
      <c r="E213" s="5">
        <v>3</v>
      </c>
      <c r="F213" s="5">
        <v>4</v>
      </c>
      <c r="G213" s="5">
        <v>0</v>
      </c>
      <c r="H213" s="9" t="s">
        <v>1802</v>
      </c>
      <c r="I213" s="5">
        <v>4</v>
      </c>
      <c r="J213" s="5">
        <v>2</v>
      </c>
      <c r="K213" s="9" t="s">
        <v>1804</v>
      </c>
      <c r="L213" s="9" t="s">
        <v>1805</v>
      </c>
    </row>
    <row r="214" spans="1:12" ht="44.1" customHeight="1">
      <c r="A214" s="2" t="s">
        <v>1806</v>
      </c>
      <c r="B214" s="2" t="s">
        <v>1595</v>
      </c>
      <c r="C214" s="8" t="s">
        <v>1807</v>
      </c>
      <c r="D214" s="8"/>
      <c r="E214" s="2">
        <v>3</v>
      </c>
      <c r="F214" s="2">
        <v>0</v>
      </c>
      <c r="G214" s="2">
        <v>3</v>
      </c>
      <c r="H214" s="8" t="s">
        <v>1809</v>
      </c>
      <c r="I214" s="2">
        <v>3</v>
      </c>
      <c r="J214" s="2">
        <v>2</v>
      </c>
      <c r="K214" s="8" t="s">
        <v>1811</v>
      </c>
      <c r="L214" s="8" t="s">
        <v>1812</v>
      </c>
    </row>
    <row r="215" spans="1:12" ht="44.1" customHeight="1">
      <c r="A215" s="5" t="s">
        <v>1813</v>
      </c>
      <c r="B215" s="5" t="s">
        <v>1595</v>
      </c>
      <c r="C215" s="9" t="s">
        <v>1814</v>
      </c>
      <c r="D215" s="9"/>
      <c r="E215" s="5">
        <v>4</v>
      </c>
      <c r="F215" s="5">
        <v>0</v>
      </c>
      <c r="G215" s="5">
        <v>0</v>
      </c>
      <c r="H215" s="9" t="s">
        <v>1816</v>
      </c>
      <c r="I215" s="5">
        <v>4</v>
      </c>
      <c r="J215" s="5">
        <v>2</v>
      </c>
      <c r="K215" s="9" t="s">
        <v>1819</v>
      </c>
      <c r="L215" s="9" t="s">
        <v>1820</v>
      </c>
    </row>
    <row r="216" spans="1:12" ht="44.1" customHeight="1">
      <c r="A216" s="2" t="s">
        <v>1821</v>
      </c>
      <c r="B216" s="2" t="s">
        <v>1595</v>
      </c>
      <c r="C216" s="8" t="s">
        <v>1822</v>
      </c>
      <c r="D216" s="8"/>
      <c r="E216" s="2">
        <v>4</v>
      </c>
      <c r="F216" s="2">
        <v>2</v>
      </c>
      <c r="G216" s="2">
        <v>0</v>
      </c>
      <c r="H216" s="8" t="s">
        <v>1825</v>
      </c>
      <c r="I216" s="2">
        <v>5</v>
      </c>
      <c r="J216" s="2">
        <v>4</v>
      </c>
      <c r="K216" s="8" t="s">
        <v>1828</v>
      </c>
      <c r="L216" s="8" t="s">
        <v>1829</v>
      </c>
    </row>
    <row r="217" spans="1:12" ht="44.1" customHeight="1">
      <c r="A217" s="5" t="s">
        <v>1830</v>
      </c>
      <c r="B217" s="5" t="s">
        <v>1595</v>
      </c>
      <c r="C217" s="9" t="s">
        <v>1831</v>
      </c>
      <c r="D217" s="9"/>
      <c r="E217" s="5">
        <v>4</v>
      </c>
      <c r="F217" s="5">
        <v>1</v>
      </c>
      <c r="G217" s="5">
        <v>0</v>
      </c>
      <c r="H217" s="9" t="s">
        <v>1833</v>
      </c>
      <c r="I217" s="5">
        <v>3</v>
      </c>
      <c r="J217" s="5">
        <v>2</v>
      </c>
      <c r="K217" s="9" t="s">
        <v>1835</v>
      </c>
      <c r="L217" s="9" t="s">
        <v>1836</v>
      </c>
    </row>
    <row r="218" spans="1:12" ht="44.1" customHeight="1">
      <c r="A218" s="2" t="s">
        <v>1837</v>
      </c>
      <c r="B218" s="2" t="s">
        <v>1595</v>
      </c>
      <c r="C218" s="8" t="s">
        <v>1838</v>
      </c>
      <c r="D218" s="8"/>
      <c r="E218" s="2">
        <v>4</v>
      </c>
      <c r="F218" s="2">
        <v>1</v>
      </c>
      <c r="G218" s="2">
        <v>0</v>
      </c>
      <c r="H218" s="8" t="s">
        <v>1839</v>
      </c>
      <c r="I218" s="2">
        <v>4</v>
      </c>
      <c r="J218" s="2">
        <v>2</v>
      </c>
      <c r="K218" s="8" t="s">
        <v>1841</v>
      </c>
      <c r="L218" s="8" t="s">
        <v>1842</v>
      </c>
    </row>
    <row r="219" spans="1:12" ht="44.1" customHeight="1">
      <c r="A219" s="5" t="s">
        <v>1843</v>
      </c>
      <c r="B219" s="5" t="s">
        <v>1595</v>
      </c>
      <c r="C219" s="9" t="s">
        <v>1844</v>
      </c>
      <c r="D219" s="22" t="s">
        <v>181</v>
      </c>
      <c r="E219" s="5">
        <v>7</v>
      </c>
      <c r="F219" s="5">
        <v>1</v>
      </c>
      <c r="G219" s="5">
        <v>0</v>
      </c>
      <c r="H219" s="9" t="s">
        <v>1847</v>
      </c>
      <c r="I219" s="5">
        <v>5</v>
      </c>
      <c r="J219" s="5">
        <v>2</v>
      </c>
      <c r="K219" s="9" t="s">
        <v>1850</v>
      </c>
      <c r="L219" s="9" t="s">
        <v>1851</v>
      </c>
    </row>
    <row r="220" spans="1:12" ht="44.1" customHeight="1">
      <c r="A220" s="2" t="s">
        <v>1852</v>
      </c>
      <c r="B220" s="2" t="s">
        <v>1595</v>
      </c>
      <c r="C220" s="8" t="s">
        <v>1853</v>
      </c>
      <c r="D220" s="8"/>
      <c r="E220" s="2">
        <v>4</v>
      </c>
      <c r="F220" s="2">
        <v>1</v>
      </c>
      <c r="G220" s="2">
        <v>0</v>
      </c>
      <c r="H220" s="8" t="s">
        <v>1855</v>
      </c>
      <c r="I220" s="2">
        <v>3</v>
      </c>
      <c r="J220" s="2">
        <v>2</v>
      </c>
      <c r="K220" s="8" t="s">
        <v>1857</v>
      </c>
      <c r="L220" s="8" t="s">
        <v>1858</v>
      </c>
    </row>
    <row r="221" spans="1:12" ht="44.1" customHeight="1">
      <c r="A221" s="5" t="s">
        <v>1859</v>
      </c>
      <c r="B221" s="5" t="s">
        <v>1595</v>
      </c>
      <c r="C221" s="9" t="s">
        <v>1860</v>
      </c>
      <c r="D221" s="9"/>
      <c r="E221" s="5">
        <v>4</v>
      </c>
      <c r="F221" s="5">
        <v>1</v>
      </c>
      <c r="G221" s="5">
        <v>0</v>
      </c>
      <c r="H221" s="9" t="s">
        <v>1863</v>
      </c>
      <c r="I221" s="5">
        <v>3</v>
      </c>
      <c r="J221" s="5">
        <v>2</v>
      </c>
      <c r="K221" s="9" t="s">
        <v>1865</v>
      </c>
      <c r="L221" s="9" t="s">
        <v>1866</v>
      </c>
    </row>
    <row r="222" spans="1:12" ht="44.1" customHeight="1">
      <c r="A222" s="2" t="s">
        <v>1867</v>
      </c>
      <c r="B222" s="2" t="s">
        <v>1595</v>
      </c>
      <c r="C222" s="8" t="s">
        <v>1868</v>
      </c>
      <c r="D222" s="8"/>
      <c r="E222" s="2">
        <v>5</v>
      </c>
      <c r="F222" s="2">
        <v>1</v>
      </c>
      <c r="G222" s="2">
        <v>0</v>
      </c>
      <c r="H222" s="8" t="s">
        <v>1870</v>
      </c>
      <c r="I222" s="2">
        <v>5</v>
      </c>
      <c r="J222" s="2">
        <v>2</v>
      </c>
      <c r="K222" s="8" t="s">
        <v>1872</v>
      </c>
      <c r="L222" s="8" t="s">
        <v>1873</v>
      </c>
    </row>
    <row r="223" spans="1:12" ht="44.1" customHeight="1">
      <c r="A223" s="5" t="s">
        <v>1874</v>
      </c>
      <c r="B223" s="5" t="s">
        <v>1595</v>
      </c>
      <c r="C223" s="9" t="s">
        <v>1875</v>
      </c>
      <c r="D223" s="9"/>
      <c r="E223" s="5">
        <v>4</v>
      </c>
      <c r="F223" s="5">
        <v>1</v>
      </c>
      <c r="G223" s="5">
        <v>0</v>
      </c>
      <c r="H223" s="9" t="s">
        <v>1877</v>
      </c>
      <c r="I223" s="5">
        <v>3</v>
      </c>
      <c r="J223" s="5">
        <v>2</v>
      </c>
      <c r="K223" s="9" t="s">
        <v>1879</v>
      </c>
      <c r="L223" s="9" t="s">
        <v>1880</v>
      </c>
    </row>
    <row r="224" spans="1:12" ht="44.1" customHeight="1">
      <c r="A224" s="2" t="s">
        <v>1881</v>
      </c>
      <c r="B224" s="2" t="s">
        <v>1595</v>
      </c>
      <c r="C224" s="8" t="s">
        <v>1882</v>
      </c>
      <c r="D224" s="8"/>
      <c r="E224" s="2">
        <v>4</v>
      </c>
      <c r="F224" s="2">
        <v>1</v>
      </c>
      <c r="G224" s="2">
        <v>0</v>
      </c>
      <c r="H224" s="8" t="s">
        <v>1884</v>
      </c>
      <c r="I224" s="2">
        <v>3</v>
      </c>
      <c r="J224" s="2">
        <v>2</v>
      </c>
      <c r="K224" s="8" t="s">
        <v>1886</v>
      </c>
      <c r="L224" s="8" t="s">
        <v>1887</v>
      </c>
    </row>
    <row r="225" spans="1:12" ht="44.1" customHeight="1">
      <c r="A225" s="5" t="s">
        <v>1888</v>
      </c>
      <c r="B225" s="5" t="s">
        <v>1595</v>
      </c>
      <c r="C225" s="9" t="s">
        <v>1889</v>
      </c>
      <c r="D225" s="9"/>
      <c r="E225" s="5">
        <v>4</v>
      </c>
      <c r="F225" s="5">
        <v>0</v>
      </c>
      <c r="G225" s="5">
        <v>4</v>
      </c>
      <c r="H225" s="9" t="s">
        <v>1893</v>
      </c>
      <c r="I225" s="5">
        <v>4</v>
      </c>
      <c r="J225" s="5">
        <v>2</v>
      </c>
      <c r="K225" s="9" t="s">
        <v>1895</v>
      </c>
      <c r="L225" s="9" t="s">
        <v>1896</v>
      </c>
    </row>
    <row r="226" spans="1:12" ht="44.1" customHeight="1">
      <c r="A226" s="2" t="s">
        <v>1897</v>
      </c>
      <c r="B226" s="2" t="s">
        <v>1595</v>
      </c>
      <c r="C226" s="8" t="s">
        <v>1898</v>
      </c>
      <c r="D226" s="8"/>
      <c r="E226" s="2">
        <v>3</v>
      </c>
      <c r="F226" s="2">
        <v>1</v>
      </c>
      <c r="G226" s="2">
        <v>0</v>
      </c>
      <c r="H226" s="8" t="s">
        <v>1900</v>
      </c>
      <c r="I226" s="2">
        <v>3</v>
      </c>
      <c r="J226" s="2">
        <v>2</v>
      </c>
      <c r="K226" s="8" t="s">
        <v>1902</v>
      </c>
      <c r="L226" s="8" t="s">
        <v>1903</v>
      </c>
    </row>
    <row r="227" spans="1:12" ht="44.1" customHeight="1">
      <c r="A227" s="5" t="s">
        <v>1904</v>
      </c>
      <c r="B227" s="5" t="s">
        <v>1595</v>
      </c>
      <c r="C227" s="9" t="s">
        <v>1905</v>
      </c>
      <c r="D227" s="9"/>
      <c r="E227" s="5">
        <v>3</v>
      </c>
      <c r="F227" s="5">
        <v>0</v>
      </c>
      <c r="G227" s="5">
        <v>0</v>
      </c>
      <c r="H227" s="9" t="s">
        <v>1907</v>
      </c>
      <c r="I227" s="5">
        <v>4</v>
      </c>
      <c r="J227" s="5">
        <v>2</v>
      </c>
      <c r="K227" s="9" t="s">
        <v>1910</v>
      </c>
      <c r="L227" s="9" t="s">
        <v>1911</v>
      </c>
    </row>
    <row r="228" spans="1:12" ht="44.1" customHeight="1">
      <c r="A228" s="2" t="s">
        <v>1912</v>
      </c>
      <c r="B228" s="2" t="s">
        <v>1595</v>
      </c>
      <c r="C228" s="8" t="s">
        <v>1913</v>
      </c>
      <c r="D228" s="8"/>
      <c r="E228" s="2">
        <v>4</v>
      </c>
      <c r="F228" s="2">
        <v>1</v>
      </c>
      <c r="G228" s="2">
        <v>0</v>
      </c>
      <c r="H228" s="8" t="s">
        <v>1914</v>
      </c>
      <c r="I228" s="2">
        <v>6</v>
      </c>
      <c r="J228" s="2">
        <v>5</v>
      </c>
      <c r="K228" s="8" t="s">
        <v>1916</v>
      </c>
      <c r="L228" s="8" t="s">
        <v>1917</v>
      </c>
    </row>
    <row r="229" spans="1:12" ht="44.1" customHeight="1">
      <c r="A229" s="5" t="s">
        <v>1918</v>
      </c>
      <c r="B229" s="5" t="s">
        <v>1595</v>
      </c>
      <c r="C229" s="9" t="s">
        <v>1919</v>
      </c>
      <c r="D229" s="9"/>
      <c r="E229" s="5">
        <v>3</v>
      </c>
      <c r="F229" s="5">
        <v>1</v>
      </c>
      <c r="G229" s="5">
        <v>0</v>
      </c>
      <c r="H229" s="9" t="s">
        <v>1922</v>
      </c>
      <c r="I229" s="5">
        <v>5</v>
      </c>
      <c r="J229" s="5">
        <v>2</v>
      </c>
      <c r="K229" s="9" t="s">
        <v>1925</v>
      </c>
      <c r="L229" s="9" t="s">
        <v>1926</v>
      </c>
    </row>
    <row r="230" spans="1:12" ht="44.1" customHeight="1">
      <c r="A230" s="2" t="s">
        <v>1927</v>
      </c>
      <c r="B230" s="2" t="s">
        <v>1595</v>
      </c>
      <c r="C230" s="8" t="s">
        <v>1928</v>
      </c>
      <c r="D230" s="8"/>
      <c r="E230" s="2">
        <v>3</v>
      </c>
      <c r="F230" s="2">
        <v>0</v>
      </c>
      <c r="G230" s="2">
        <v>4</v>
      </c>
      <c r="H230" s="8" t="s">
        <v>1932</v>
      </c>
      <c r="I230" s="2">
        <v>6</v>
      </c>
      <c r="J230" s="2">
        <v>2</v>
      </c>
      <c r="K230" s="8" t="s">
        <v>1934</v>
      </c>
      <c r="L230" s="8" t="s">
        <v>1935</v>
      </c>
    </row>
    <row r="231" spans="1:12" ht="44.1" customHeight="1">
      <c r="A231" s="5" t="s">
        <v>1936</v>
      </c>
      <c r="B231" s="5" t="s">
        <v>1595</v>
      </c>
      <c r="C231" s="9" t="s">
        <v>1937</v>
      </c>
      <c r="D231" s="9"/>
      <c r="E231" s="5">
        <v>4</v>
      </c>
      <c r="F231" s="5">
        <v>0</v>
      </c>
      <c r="G231" s="5">
        <v>4</v>
      </c>
      <c r="H231" s="9" t="s">
        <v>1940</v>
      </c>
      <c r="I231" s="5">
        <v>3</v>
      </c>
      <c r="J231" s="5">
        <v>5</v>
      </c>
      <c r="K231" s="9" t="s">
        <v>1942</v>
      </c>
      <c r="L231" s="9" t="s">
        <v>1943</v>
      </c>
    </row>
    <row r="232" spans="1:12" ht="44.1" customHeight="1">
      <c r="A232" s="2" t="s">
        <v>1944</v>
      </c>
      <c r="B232" s="2" t="s">
        <v>1595</v>
      </c>
      <c r="C232" s="8" t="s">
        <v>1945</v>
      </c>
      <c r="D232" s="8"/>
      <c r="E232" s="2">
        <v>4</v>
      </c>
      <c r="F232" s="2">
        <v>1</v>
      </c>
      <c r="G232" s="2">
        <v>0</v>
      </c>
      <c r="H232" s="8" t="s">
        <v>1948</v>
      </c>
      <c r="I232" s="2">
        <v>3</v>
      </c>
      <c r="J232" s="2">
        <v>2</v>
      </c>
      <c r="K232" s="8" t="s">
        <v>1950</v>
      </c>
      <c r="L232" s="8" t="s">
        <v>1951</v>
      </c>
    </row>
    <row r="233" spans="1:12" ht="44.1" customHeight="1">
      <c r="A233" s="5" t="s">
        <v>1952</v>
      </c>
      <c r="B233" s="5" t="s">
        <v>1595</v>
      </c>
      <c r="C233" s="9" t="s">
        <v>1953</v>
      </c>
      <c r="D233" s="9"/>
      <c r="E233" s="5">
        <v>4</v>
      </c>
      <c r="F233" s="5">
        <v>1</v>
      </c>
      <c r="G233" s="5">
        <v>0</v>
      </c>
      <c r="H233" s="9" t="s">
        <v>1956</v>
      </c>
      <c r="I233" s="5">
        <v>4</v>
      </c>
      <c r="J233" s="5">
        <v>2</v>
      </c>
      <c r="K233" s="9" t="s">
        <v>1958</v>
      </c>
      <c r="L233" s="9" t="s">
        <v>1959</v>
      </c>
    </row>
    <row r="234" spans="1:12" ht="44.1" customHeight="1">
      <c r="A234" s="2" t="s">
        <v>1960</v>
      </c>
      <c r="B234" s="2" t="s">
        <v>1595</v>
      </c>
      <c r="C234" s="8" t="s">
        <v>1961</v>
      </c>
      <c r="D234" s="8"/>
      <c r="E234" s="2">
        <v>4</v>
      </c>
      <c r="F234" s="2">
        <v>2</v>
      </c>
      <c r="G234" s="2">
        <v>0</v>
      </c>
      <c r="H234" s="8" t="s">
        <v>1964</v>
      </c>
      <c r="I234" s="2">
        <v>3</v>
      </c>
      <c r="J234" s="2">
        <v>4</v>
      </c>
      <c r="K234" s="8" t="s">
        <v>1966</v>
      </c>
      <c r="L234" s="8" t="s">
        <v>1967</v>
      </c>
    </row>
    <row r="235" spans="1:12" ht="44.1" customHeight="1">
      <c r="A235" s="5" t="s">
        <v>1968</v>
      </c>
      <c r="B235" s="5" t="s">
        <v>1595</v>
      </c>
      <c r="C235" s="9" t="s">
        <v>1969</v>
      </c>
      <c r="D235" s="9"/>
      <c r="E235" s="5">
        <v>3</v>
      </c>
      <c r="F235" s="5">
        <v>1</v>
      </c>
      <c r="G235" s="5">
        <v>0</v>
      </c>
      <c r="H235" s="9" t="s">
        <v>1971</v>
      </c>
      <c r="I235" s="5">
        <v>3</v>
      </c>
      <c r="J235" s="5">
        <v>2</v>
      </c>
      <c r="K235" s="9" t="s">
        <v>1973</v>
      </c>
      <c r="L235" s="9" t="s">
        <v>1974</v>
      </c>
    </row>
    <row r="236" spans="1:12" ht="44.1" customHeight="1">
      <c r="A236" s="2" t="s">
        <v>1975</v>
      </c>
      <c r="B236" s="2" t="s">
        <v>1595</v>
      </c>
      <c r="C236" s="8" t="s">
        <v>1976</v>
      </c>
      <c r="D236" s="8"/>
      <c r="E236" s="2">
        <v>7</v>
      </c>
      <c r="F236" s="2">
        <v>1</v>
      </c>
      <c r="G236" s="2">
        <v>0</v>
      </c>
      <c r="H236" s="8" t="s">
        <v>1978</v>
      </c>
      <c r="I236" s="2">
        <v>6</v>
      </c>
      <c r="J236" s="2">
        <v>2</v>
      </c>
      <c r="K236" s="8" t="s">
        <v>1981</v>
      </c>
      <c r="L236" s="8" t="s">
        <v>1982</v>
      </c>
    </row>
    <row r="237" spans="1:12" ht="44.1" customHeight="1">
      <c r="A237" s="5" t="s">
        <v>1983</v>
      </c>
      <c r="B237" s="5" t="s">
        <v>1595</v>
      </c>
      <c r="C237" s="9" t="s">
        <v>1984</v>
      </c>
      <c r="D237" s="9"/>
      <c r="E237" s="5">
        <v>4</v>
      </c>
      <c r="F237" s="5">
        <v>0</v>
      </c>
      <c r="G237" s="5">
        <v>3</v>
      </c>
      <c r="H237" s="9" t="s">
        <v>1987</v>
      </c>
      <c r="I237" s="5">
        <v>3</v>
      </c>
      <c r="J237" s="5">
        <v>5</v>
      </c>
      <c r="K237" s="9" t="s">
        <v>1990</v>
      </c>
      <c r="L237" s="9" t="s">
        <v>1991</v>
      </c>
    </row>
    <row r="238" spans="1:12" ht="44.1" customHeight="1">
      <c r="A238" s="2" t="s">
        <v>1992</v>
      </c>
      <c r="B238" s="2" t="s">
        <v>1595</v>
      </c>
      <c r="C238" s="8" t="s">
        <v>1993</v>
      </c>
      <c r="D238" s="22" t="s">
        <v>1077</v>
      </c>
      <c r="E238" s="2">
        <v>3</v>
      </c>
      <c r="F238" s="2">
        <v>0</v>
      </c>
      <c r="G238" s="2">
        <v>3</v>
      </c>
      <c r="H238" s="8"/>
      <c r="I238" s="2">
        <v>0</v>
      </c>
      <c r="J238" s="2">
        <v>2</v>
      </c>
      <c r="K238" s="8" t="s">
        <v>1999</v>
      </c>
      <c r="L238" s="8" t="s">
        <v>2000</v>
      </c>
    </row>
    <row r="239" spans="1:12" ht="44.1" customHeight="1">
      <c r="A239" s="5" t="s">
        <v>2001</v>
      </c>
      <c r="B239" s="5" t="s">
        <v>1595</v>
      </c>
      <c r="C239" s="9" t="s">
        <v>2002</v>
      </c>
      <c r="D239" s="9"/>
      <c r="E239" s="5">
        <v>4</v>
      </c>
      <c r="F239" s="5">
        <v>0</v>
      </c>
      <c r="G239" s="5">
        <v>0</v>
      </c>
      <c r="H239" s="9" t="s">
        <v>2005</v>
      </c>
      <c r="I239" s="5">
        <v>5</v>
      </c>
      <c r="J239" s="5">
        <v>2</v>
      </c>
      <c r="K239" s="9" t="s">
        <v>2008</v>
      </c>
      <c r="L239" s="9" t="s">
        <v>2009</v>
      </c>
    </row>
    <row r="240" spans="1:12" ht="44.1" customHeight="1">
      <c r="A240" s="2" t="s">
        <v>2010</v>
      </c>
      <c r="B240" s="2" t="s">
        <v>1595</v>
      </c>
      <c r="C240" s="8" t="s">
        <v>2011</v>
      </c>
      <c r="D240" s="8"/>
      <c r="E240" s="2">
        <v>4</v>
      </c>
      <c r="F240" s="2">
        <v>1</v>
      </c>
      <c r="G240" s="2">
        <v>0</v>
      </c>
      <c r="H240" s="8" t="s">
        <v>2014</v>
      </c>
      <c r="I240" s="2">
        <v>2</v>
      </c>
      <c r="J240" s="2">
        <v>2</v>
      </c>
      <c r="K240" s="8" t="s">
        <v>2016</v>
      </c>
      <c r="L240" s="8" t="s">
        <v>2017</v>
      </c>
    </row>
    <row r="241" spans="1:12" ht="44.1" customHeight="1">
      <c r="A241" s="5" t="s">
        <v>2018</v>
      </c>
      <c r="B241" s="5" t="s">
        <v>1595</v>
      </c>
      <c r="C241" s="9" t="s">
        <v>2019</v>
      </c>
      <c r="D241" s="9"/>
      <c r="E241" s="5">
        <v>4</v>
      </c>
      <c r="F241" s="5">
        <v>1</v>
      </c>
      <c r="G241" s="5">
        <v>3</v>
      </c>
      <c r="H241" s="9" t="s">
        <v>2021</v>
      </c>
      <c r="I241" s="5">
        <v>4</v>
      </c>
      <c r="J241" s="5">
        <v>3</v>
      </c>
      <c r="K241" s="9" t="s">
        <v>2024</v>
      </c>
      <c r="L241" s="9" t="s">
        <v>2025</v>
      </c>
    </row>
    <row r="242" spans="1:12" ht="44.1" customHeight="1">
      <c r="A242" s="2" t="s">
        <v>2026</v>
      </c>
      <c r="B242" s="2" t="s">
        <v>1595</v>
      </c>
      <c r="C242" s="8" t="s">
        <v>2027</v>
      </c>
      <c r="D242" s="8"/>
      <c r="E242" s="2">
        <v>4</v>
      </c>
      <c r="F242" s="2">
        <v>1</v>
      </c>
      <c r="G242" s="2">
        <v>0</v>
      </c>
      <c r="H242" s="8" t="s">
        <v>2030</v>
      </c>
      <c r="I242" s="2">
        <v>3</v>
      </c>
      <c r="J242" s="2">
        <v>2</v>
      </c>
      <c r="K242" s="8" t="s">
        <v>2032</v>
      </c>
      <c r="L242" s="8" t="s">
        <v>2033</v>
      </c>
    </row>
    <row r="243" spans="1:12" ht="44.1" customHeight="1">
      <c r="A243" s="5" t="s">
        <v>2034</v>
      </c>
      <c r="B243" s="5" t="s">
        <v>1595</v>
      </c>
      <c r="C243" s="9" t="s">
        <v>2035</v>
      </c>
      <c r="D243" s="9"/>
      <c r="E243" s="5">
        <v>4</v>
      </c>
      <c r="F243" s="5">
        <v>0</v>
      </c>
      <c r="G243" s="5">
        <v>0</v>
      </c>
      <c r="H243" s="9" t="s">
        <v>2038</v>
      </c>
      <c r="I243" s="5">
        <v>5</v>
      </c>
      <c r="J243" s="5">
        <v>5</v>
      </c>
      <c r="K243" s="9" t="s">
        <v>2041</v>
      </c>
      <c r="L243" s="9" t="s">
        <v>2042</v>
      </c>
    </row>
    <row r="244" spans="1:12" ht="44.1" customHeight="1">
      <c r="A244" s="2" t="s">
        <v>2043</v>
      </c>
      <c r="B244" s="2" t="s">
        <v>1595</v>
      </c>
      <c r="C244" s="8" t="s">
        <v>2044</v>
      </c>
      <c r="D244" s="8"/>
      <c r="E244" s="2">
        <v>4</v>
      </c>
      <c r="F244" s="2">
        <v>2</v>
      </c>
      <c r="G244" s="2">
        <v>0</v>
      </c>
      <c r="H244" s="8" t="s">
        <v>2046</v>
      </c>
      <c r="I244" s="2">
        <v>3</v>
      </c>
      <c r="J244" s="2">
        <v>4</v>
      </c>
      <c r="K244" s="8" t="s">
        <v>2048</v>
      </c>
      <c r="L244" s="8" t="s">
        <v>2049</v>
      </c>
    </row>
    <row r="245" spans="1:12" ht="44.1" customHeight="1">
      <c r="A245" s="5" t="s">
        <v>2050</v>
      </c>
      <c r="B245" s="5" t="s">
        <v>1595</v>
      </c>
      <c r="C245" s="9" t="s">
        <v>2051</v>
      </c>
      <c r="D245" s="9"/>
      <c r="E245" s="5">
        <v>4</v>
      </c>
      <c r="F245" s="5">
        <v>1</v>
      </c>
      <c r="G245" s="5">
        <v>0</v>
      </c>
      <c r="H245" s="9" t="s">
        <v>2054</v>
      </c>
      <c r="I245" s="5">
        <v>4</v>
      </c>
      <c r="J245" s="5">
        <v>2</v>
      </c>
      <c r="K245" s="9" t="s">
        <v>2056</v>
      </c>
      <c r="L245" s="9" t="s">
        <v>2057</v>
      </c>
    </row>
    <row r="246" spans="1:12" ht="44.1" customHeight="1">
      <c r="A246" s="2" t="s">
        <v>2058</v>
      </c>
      <c r="B246" s="2" t="s">
        <v>1595</v>
      </c>
      <c r="C246" s="8" t="s">
        <v>2059</v>
      </c>
      <c r="D246" s="8"/>
      <c r="E246" s="2">
        <v>4</v>
      </c>
      <c r="F246" s="2">
        <v>0</v>
      </c>
      <c r="G246" s="2">
        <v>1</v>
      </c>
      <c r="H246" s="8" t="s">
        <v>2061</v>
      </c>
      <c r="I246" s="2">
        <v>3</v>
      </c>
      <c r="J246" s="2">
        <v>2</v>
      </c>
      <c r="K246" s="8" t="s">
        <v>2064</v>
      </c>
      <c r="L246" s="8" t="s">
        <v>2065</v>
      </c>
    </row>
    <row r="247" spans="1:12" ht="44.1" customHeight="1">
      <c r="A247" s="5" t="s">
        <v>2066</v>
      </c>
      <c r="B247" s="5" t="s">
        <v>1595</v>
      </c>
      <c r="C247" s="9" t="s">
        <v>2067</v>
      </c>
      <c r="D247" s="9"/>
      <c r="E247" s="5">
        <v>4</v>
      </c>
      <c r="F247" s="5">
        <v>3</v>
      </c>
      <c r="G247" s="5">
        <v>0</v>
      </c>
      <c r="H247" s="9" t="s">
        <v>2069</v>
      </c>
      <c r="I247" s="5">
        <v>4</v>
      </c>
      <c r="J247" s="5">
        <v>2</v>
      </c>
      <c r="K247" s="9" t="s">
        <v>2071</v>
      </c>
      <c r="L247" s="9" t="s">
        <v>2072</v>
      </c>
    </row>
    <row r="248" spans="1:12" ht="44.1" customHeight="1">
      <c r="A248" s="2" t="s">
        <v>2073</v>
      </c>
      <c r="B248" s="2" t="s">
        <v>1595</v>
      </c>
      <c r="C248" s="8" t="s">
        <v>2074</v>
      </c>
      <c r="D248" s="8"/>
      <c r="E248" s="2">
        <v>4</v>
      </c>
      <c r="F248" s="2">
        <v>1</v>
      </c>
      <c r="G248" s="2">
        <v>0</v>
      </c>
      <c r="H248" s="8" t="s">
        <v>2077</v>
      </c>
      <c r="I248" s="2">
        <v>4</v>
      </c>
      <c r="J248" s="2">
        <v>2</v>
      </c>
      <c r="K248" s="8" t="s">
        <v>2079</v>
      </c>
      <c r="L248" s="8" t="s">
        <v>2080</v>
      </c>
    </row>
    <row r="249" spans="1:12" ht="44.1" customHeight="1">
      <c r="A249" s="5" t="s">
        <v>2081</v>
      </c>
      <c r="B249" s="5" t="s">
        <v>1595</v>
      </c>
      <c r="C249" s="9" t="s">
        <v>2082</v>
      </c>
      <c r="D249" s="9"/>
      <c r="E249" s="5">
        <v>4</v>
      </c>
      <c r="F249" s="5">
        <v>1</v>
      </c>
      <c r="G249" s="5">
        <v>0</v>
      </c>
      <c r="H249" s="9" t="s">
        <v>2086</v>
      </c>
      <c r="I249" s="5">
        <v>6</v>
      </c>
      <c r="J249" s="5">
        <v>2</v>
      </c>
      <c r="K249" s="9" t="s">
        <v>2088</v>
      </c>
      <c r="L249" s="9" t="s">
        <v>2089</v>
      </c>
    </row>
    <row r="250" spans="1:12" ht="44.1" customHeight="1">
      <c r="A250" s="2" t="s">
        <v>2090</v>
      </c>
      <c r="B250" s="2" t="s">
        <v>1595</v>
      </c>
      <c r="C250" s="8" t="s">
        <v>2091</v>
      </c>
      <c r="D250" s="8"/>
      <c r="E250" s="2">
        <v>4</v>
      </c>
      <c r="F250" s="2">
        <v>1</v>
      </c>
      <c r="G250" s="2">
        <v>0</v>
      </c>
      <c r="H250" s="8" t="s">
        <v>2093</v>
      </c>
      <c r="I250" s="2">
        <v>5</v>
      </c>
      <c r="J250" s="2">
        <v>2</v>
      </c>
      <c r="K250" s="8" t="s">
        <v>2096</v>
      </c>
      <c r="L250" s="8" t="s">
        <v>2097</v>
      </c>
    </row>
    <row r="251" spans="1:12" ht="44.1" customHeight="1">
      <c r="A251" s="5" t="s">
        <v>2098</v>
      </c>
      <c r="B251" s="5" t="s">
        <v>1595</v>
      </c>
      <c r="C251" s="9" t="s">
        <v>2099</v>
      </c>
      <c r="D251" s="9"/>
      <c r="E251" s="5">
        <v>4</v>
      </c>
      <c r="F251" s="5">
        <v>3</v>
      </c>
      <c r="G251" s="5">
        <v>0</v>
      </c>
      <c r="H251" s="9" t="s">
        <v>2101</v>
      </c>
      <c r="I251" s="5">
        <v>4</v>
      </c>
      <c r="J251" s="5">
        <v>3</v>
      </c>
      <c r="K251" s="9" t="s">
        <v>2103</v>
      </c>
      <c r="L251" s="9" t="s">
        <v>2104</v>
      </c>
    </row>
    <row r="252" spans="1:12" ht="44.1" customHeight="1">
      <c r="A252" s="2" t="s">
        <v>2105</v>
      </c>
      <c r="B252" s="2" t="s">
        <v>1595</v>
      </c>
      <c r="C252" s="8" t="s">
        <v>2106</v>
      </c>
      <c r="D252" s="8"/>
      <c r="E252" s="2">
        <v>3</v>
      </c>
      <c r="F252" s="2">
        <v>4</v>
      </c>
      <c r="G252" s="2">
        <v>0</v>
      </c>
      <c r="H252" s="8" t="s">
        <v>2110</v>
      </c>
      <c r="I252" s="2">
        <v>2</v>
      </c>
      <c r="J252" s="2">
        <v>2</v>
      </c>
      <c r="K252" s="8" t="s">
        <v>2112</v>
      </c>
      <c r="L252" s="8" t="s">
        <v>2113</v>
      </c>
    </row>
    <row r="253" spans="1:12" ht="44.1" customHeight="1">
      <c r="A253" s="5" t="s">
        <v>2114</v>
      </c>
      <c r="B253" s="5" t="s">
        <v>1595</v>
      </c>
      <c r="C253" s="9" t="s">
        <v>2115</v>
      </c>
      <c r="D253" s="9"/>
      <c r="E253" s="5">
        <v>4</v>
      </c>
      <c r="F253" s="5">
        <v>0</v>
      </c>
      <c r="G253" s="5">
        <v>4</v>
      </c>
      <c r="H253" s="9" t="s">
        <v>2118</v>
      </c>
      <c r="I253" s="5">
        <v>0</v>
      </c>
      <c r="J253" s="5">
        <v>2</v>
      </c>
      <c r="K253" s="9" t="s">
        <v>2121</v>
      </c>
      <c r="L253" s="9" t="s">
        <v>2122</v>
      </c>
    </row>
    <row r="254" spans="1:12" ht="44.1" customHeight="1">
      <c r="A254" s="2" t="s">
        <v>2123</v>
      </c>
      <c r="B254" s="2" t="s">
        <v>1595</v>
      </c>
      <c r="C254" s="8" t="s">
        <v>2124</v>
      </c>
      <c r="D254" s="8"/>
      <c r="E254" s="2">
        <v>3</v>
      </c>
      <c r="F254" s="2">
        <v>0</v>
      </c>
      <c r="G254" s="2">
        <v>4</v>
      </c>
      <c r="H254" s="8" t="s">
        <v>2128</v>
      </c>
      <c r="I254" s="2">
        <v>3</v>
      </c>
      <c r="J254" s="2">
        <v>2</v>
      </c>
      <c r="K254" s="8" t="s">
        <v>2130</v>
      </c>
      <c r="L254" s="8" t="s">
        <v>2131</v>
      </c>
    </row>
    <row r="255" spans="1:12" ht="44.1" customHeight="1">
      <c r="A255" s="5" t="s">
        <v>2132</v>
      </c>
      <c r="B255" s="5" t="s">
        <v>1595</v>
      </c>
      <c r="C255" s="9" t="s">
        <v>2133</v>
      </c>
      <c r="D255" s="9"/>
      <c r="E255" s="5">
        <v>5</v>
      </c>
      <c r="F255" s="5">
        <v>1</v>
      </c>
      <c r="G255" s="5">
        <v>0</v>
      </c>
      <c r="H255" s="9" t="s">
        <v>2134</v>
      </c>
      <c r="I255" s="5">
        <v>0</v>
      </c>
      <c r="J255" s="5">
        <v>6</v>
      </c>
      <c r="K255" s="9" t="s">
        <v>2136</v>
      </c>
      <c r="L255" s="9" t="s">
        <v>2137</v>
      </c>
    </row>
    <row r="256" spans="1:12" ht="44.1" customHeight="1">
      <c r="A256" s="2" t="s">
        <v>2138</v>
      </c>
      <c r="B256" s="2" t="s">
        <v>1595</v>
      </c>
      <c r="C256" s="8" t="s">
        <v>2139</v>
      </c>
      <c r="D256" s="8"/>
      <c r="E256" s="2">
        <v>3</v>
      </c>
      <c r="F256" s="2">
        <v>2</v>
      </c>
      <c r="G256" s="2">
        <v>0</v>
      </c>
      <c r="H256" s="8" t="s">
        <v>2141</v>
      </c>
      <c r="I256" s="2">
        <v>3</v>
      </c>
      <c r="J256" s="2">
        <v>2</v>
      </c>
      <c r="K256" s="8" t="s">
        <v>2143</v>
      </c>
      <c r="L256" s="8" t="s">
        <v>2144</v>
      </c>
    </row>
    <row r="257" spans="1:12" ht="44.1" customHeight="1">
      <c r="A257" s="5" t="s">
        <v>2145</v>
      </c>
      <c r="B257" s="5" t="s">
        <v>1595</v>
      </c>
      <c r="C257" s="9" t="s">
        <v>2146</v>
      </c>
      <c r="D257" s="9"/>
      <c r="E257" s="5">
        <v>3</v>
      </c>
      <c r="F257" s="5">
        <v>1</v>
      </c>
      <c r="G257" s="5">
        <v>0</v>
      </c>
      <c r="H257" s="9" t="s">
        <v>2148</v>
      </c>
      <c r="I257" s="5">
        <v>4</v>
      </c>
      <c r="J257" s="5">
        <v>2</v>
      </c>
      <c r="K257" s="9" t="s">
        <v>2150</v>
      </c>
      <c r="L257" s="9" t="s">
        <v>2151</v>
      </c>
    </row>
    <row r="258" spans="1:12" ht="44.1" customHeight="1">
      <c r="A258" s="2" t="s">
        <v>2152</v>
      </c>
      <c r="B258" s="2" t="s">
        <v>1595</v>
      </c>
      <c r="C258" s="8" t="s">
        <v>2153</v>
      </c>
      <c r="D258" s="8"/>
      <c r="E258" s="2">
        <v>4</v>
      </c>
      <c r="F258" s="2">
        <v>1</v>
      </c>
      <c r="G258" s="2">
        <v>0</v>
      </c>
      <c r="H258" s="8" t="s">
        <v>2157</v>
      </c>
      <c r="I258" s="2">
        <v>4</v>
      </c>
      <c r="J258" s="2">
        <v>3</v>
      </c>
      <c r="K258" s="8" t="s">
        <v>2160</v>
      </c>
      <c r="L258" s="8" t="s">
        <v>2161</v>
      </c>
    </row>
    <row r="259" spans="1:12" ht="44.1" customHeight="1">
      <c r="A259" s="5" t="s">
        <v>2162</v>
      </c>
      <c r="B259" s="5" t="s">
        <v>1595</v>
      </c>
      <c r="C259" s="9" t="s">
        <v>2163</v>
      </c>
      <c r="D259" s="9"/>
      <c r="E259" s="5">
        <v>4</v>
      </c>
      <c r="F259" s="5">
        <v>1</v>
      </c>
      <c r="G259" s="5">
        <v>0</v>
      </c>
      <c r="H259" s="9" t="s">
        <v>2164</v>
      </c>
      <c r="I259" s="5">
        <v>4</v>
      </c>
      <c r="J259" s="5">
        <v>2</v>
      </c>
      <c r="K259" s="9" t="s">
        <v>2166</v>
      </c>
      <c r="L259" s="9" t="s">
        <v>2167</v>
      </c>
    </row>
    <row r="260" spans="1:12" ht="44.1" customHeight="1">
      <c r="A260" s="2" t="s">
        <v>2168</v>
      </c>
      <c r="B260" s="2" t="s">
        <v>1595</v>
      </c>
      <c r="C260" s="8" t="s">
        <v>2169</v>
      </c>
      <c r="D260" s="8"/>
      <c r="E260" s="2">
        <v>4</v>
      </c>
      <c r="F260" s="2">
        <v>1</v>
      </c>
      <c r="G260" s="2">
        <v>0</v>
      </c>
      <c r="H260" s="8" t="s">
        <v>2172</v>
      </c>
      <c r="I260" s="2">
        <v>5</v>
      </c>
      <c r="J260" s="2">
        <v>2</v>
      </c>
      <c r="K260" s="8" t="s">
        <v>2175</v>
      </c>
      <c r="L260" s="8" t="s">
        <v>2176</v>
      </c>
    </row>
    <row r="261" spans="1:12" ht="44.1" customHeight="1">
      <c r="A261" s="5" t="s">
        <v>2177</v>
      </c>
      <c r="B261" s="5" t="s">
        <v>1595</v>
      </c>
      <c r="C261" s="9" t="s">
        <v>2178</v>
      </c>
      <c r="D261" s="9"/>
      <c r="E261" s="5">
        <v>4</v>
      </c>
      <c r="F261" s="5">
        <v>1</v>
      </c>
      <c r="G261" s="5">
        <v>0</v>
      </c>
      <c r="H261" s="9" t="s">
        <v>2181</v>
      </c>
      <c r="I261" s="5">
        <v>3</v>
      </c>
      <c r="J261" s="5">
        <v>5</v>
      </c>
      <c r="K261" s="9" t="s">
        <v>2183</v>
      </c>
      <c r="L261" s="9" t="s">
        <v>2184</v>
      </c>
    </row>
    <row r="262" spans="1:12" ht="44.1" customHeight="1">
      <c r="A262" s="2" t="s">
        <v>2185</v>
      </c>
      <c r="B262" s="2" t="s">
        <v>1595</v>
      </c>
      <c r="C262" s="8" t="s">
        <v>2186</v>
      </c>
      <c r="D262" s="8"/>
      <c r="E262" s="2">
        <v>4</v>
      </c>
      <c r="F262" s="2">
        <v>0</v>
      </c>
      <c r="G262" s="2">
        <v>0</v>
      </c>
      <c r="H262" s="8" t="s">
        <v>2189</v>
      </c>
      <c r="I262" s="2">
        <v>4</v>
      </c>
      <c r="J262" s="2">
        <v>2</v>
      </c>
      <c r="K262" s="8" t="s">
        <v>2191</v>
      </c>
      <c r="L262" s="8" t="s">
        <v>2192</v>
      </c>
    </row>
    <row r="263" spans="1:12" ht="44.1" customHeight="1">
      <c r="A263" s="5" t="s">
        <v>2193</v>
      </c>
      <c r="B263" s="5" t="s">
        <v>1595</v>
      </c>
      <c r="C263" s="9" t="s">
        <v>2194</v>
      </c>
      <c r="D263" s="9"/>
      <c r="E263" s="5">
        <v>4</v>
      </c>
      <c r="F263" s="5">
        <v>1</v>
      </c>
      <c r="G263" s="5">
        <v>0</v>
      </c>
      <c r="H263" s="9" t="s">
        <v>2196</v>
      </c>
      <c r="I263" s="5">
        <v>2</v>
      </c>
      <c r="J263" s="5">
        <v>2</v>
      </c>
      <c r="K263" s="9" t="s">
        <v>2198</v>
      </c>
      <c r="L263" s="9" t="s">
        <v>2199</v>
      </c>
    </row>
    <row r="264" spans="1:12" ht="44.1" customHeight="1">
      <c r="A264" s="2" t="s">
        <v>2200</v>
      </c>
      <c r="B264" s="2" t="s">
        <v>1595</v>
      </c>
      <c r="C264" s="8" t="s">
        <v>706</v>
      </c>
      <c r="D264" s="8"/>
      <c r="E264" s="2">
        <v>4</v>
      </c>
      <c r="F264" s="2">
        <v>1</v>
      </c>
      <c r="G264" s="2">
        <v>0</v>
      </c>
      <c r="H264" s="8" t="s">
        <v>2203</v>
      </c>
      <c r="I264" s="2">
        <v>2</v>
      </c>
      <c r="J264" s="2">
        <v>2</v>
      </c>
      <c r="K264" s="8" t="s">
        <v>2205</v>
      </c>
      <c r="L264" s="8" t="s">
        <v>2206</v>
      </c>
    </row>
    <row r="265" spans="1:12" ht="44.1" customHeight="1">
      <c r="A265" s="5" t="s">
        <v>2207</v>
      </c>
      <c r="B265" s="5" t="s">
        <v>1595</v>
      </c>
      <c r="C265" s="9" t="s">
        <v>2208</v>
      </c>
      <c r="D265" s="9"/>
      <c r="E265" s="5">
        <v>4</v>
      </c>
      <c r="F265" s="5">
        <v>1</v>
      </c>
      <c r="G265" s="5">
        <v>0</v>
      </c>
      <c r="H265" s="9" t="s">
        <v>2211</v>
      </c>
      <c r="I265" s="5">
        <v>4</v>
      </c>
      <c r="J265" s="5">
        <v>2</v>
      </c>
      <c r="K265" s="9" t="s">
        <v>2213</v>
      </c>
      <c r="L265" s="9" t="s">
        <v>2214</v>
      </c>
    </row>
    <row r="266" spans="1:12" ht="44.1" customHeight="1">
      <c r="A266" s="2" t="s">
        <v>2215</v>
      </c>
      <c r="B266" s="2" t="s">
        <v>1595</v>
      </c>
      <c r="C266" s="8" t="s">
        <v>2216</v>
      </c>
      <c r="D266" s="8"/>
      <c r="E266" s="2">
        <v>4</v>
      </c>
      <c r="F266" s="2">
        <v>0</v>
      </c>
      <c r="G266" s="2">
        <v>2</v>
      </c>
      <c r="H266" s="8" t="s">
        <v>2218</v>
      </c>
      <c r="I266" s="2">
        <v>3</v>
      </c>
      <c r="J266" s="2">
        <v>2</v>
      </c>
      <c r="K266" s="8" t="s">
        <v>2220</v>
      </c>
      <c r="L266" s="8" t="s">
        <v>2221</v>
      </c>
    </row>
    <row r="267" spans="1:12" ht="44.1" customHeight="1">
      <c r="A267" s="5" t="s">
        <v>2222</v>
      </c>
      <c r="B267" s="5" t="s">
        <v>1595</v>
      </c>
      <c r="C267" s="9" t="s">
        <v>2223</v>
      </c>
      <c r="D267" s="9"/>
      <c r="E267" s="5">
        <v>3</v>
      </c>
      <c r="F267" s="5">
        <v>1</v>
      </c>
      <c r="G267" s="5">
        <v>0</v>
      </c>
      <c r="H267" s="9" t="s">
        <v>2224</v>
      </c>
      <c r="I267" s="5">
        <v>3</v>
      </c>
      <c r="J267" s="5">
        <v>4</v>
      </c>
      <c r="K267" s="9" t="s">
        <v>2226</v>
      </c>
      <c r="L267" s="9" t="s">
        <v>2227</v>
      </c>
    </row>
    <row r="268" spans="1:12" ht="44.1" customHeight="1">
      <c r="A268" s="2" t="s">
        <v>2228</v>
      </c>
      <c r="B268" s="2" t="s">
        <v>1595</v>
      </c>
      <c r="C268" s="8" t="s">
        <v>2229</v>
      </c>
      <c r="D268" s="8"/>
      <c r="E268" s="2">
        <v>4</v>
      </c>
      <c r="F268" s="2">
        <v>0</v>
      </c>
      <c r="G268" s="2">
        <v>0</v>
      </c>
      <c r="H268" s="8" t="s">
        <v>2232</v>
      </c>
      <c r="I268" s="2">
        <v>6</v>
      </c>
      <c r="J268" s="2">
        <v>3</v>
      </c>
      <c r="K268" s="8" t="s">
        <v>2235</v>
      </c>
      <c r="L268" s="8" t="s">
        <v>2236</v>
      </c>
    </row>
    <row r="269" spans="1:12" ht="44.1" customHeight="1">
      <c r="A269" s="5" t="s">
        <v>2237</v>
      </c>
      <c r="B269" s="5" t="s">
        <v>1595</v>
      </c>
      <c r="C269" s="9" t="s">
        <v>2238</v>
      </c>
      <c r="D269" s="9"/>
      <c r="E269" s="5">
        <v>3</v>
      </c>
      <c r="F269" s="5">
        <v>1</v>
      </c>
      <c r="G269" s="5">
        <v>0</v>
      </c>
      <c r="H269" s="9" t="s">
        <v>2240</v>
      </c>
      <c r="I269" s="5">
        <v>5</v>
      </c>
      <c r="J269" s="5">
        <v>2</v>
      </c>
      <c r="K269" s="9" t="s">
        <v>2243</v>
      </c>
      <c r="L269" s="9" t="s">
        <v>2244</v>
      </c>
    </row>
    <row r="270" spans="1:12" ht="44.1" customHeight="1">
      <c r="A270" s="2" t="s">
        <v>2245</v>
      </c>
      <c r="B270" s="2" t="s">
        <v>1595</v>
      </c>
      <c r="C270" s="8" t="s">
        <v>2246</v>
      </c>
      <c r="D270" s="8"/>
      <c r="E270" s="2">
        <v>3</v>
      </c>
      <c r="F270" s="2">
        <v>1</v>
      </c>
      <c r="G270" s="2">
        <v>0</v>
      </c>
      <c r="H270" s="8" t="s">
        <v>2248</v>
      </c>
      <c r="I270" s="2">
        <v>3</v>
      </c>
      <c r="J270" s="2">
        <v>2</v>
      </c>
      <c r="K270" s="8" t="s">
        <v>2250</v>
      </c>
      <c r="L270" s="8" t="s">
        <v>2251</v>
      </c>
    </row>
    <row r="271" spans="1:12" ht="44.1" customHeight="1">
      <c r="A271" s="5" t="s">
        <v>2252</v>
      </c>
      <c r="B271" s="5" t="s">
        <v>1595</v>
      </c>
      <c r="C271" s="9" t="s">
        <v>2253</v>
      </c>
      <c r="D271" s="9"/>
      <c r="E271" s="5">
        <v>4</v>
      </c>
      <c r="F271" s="5">
        <v>1</v>
      </c>
      <c r="G271" s="5">
        <v>0</v>
      </c>
      <c r="H271" s="9" t="s">
        <v>2255</v>
      </c>
      <c r="I271" s="5">
        <v>4</v>
      </c>
      <c r="J271" s="5">
        <v>3</v>
      </c>
      <c r="K271" s="9" t="s">
        <v>2257</v>
      </c>
      <c r="L271" s="9" t="s">
        <v>2258</v>
      </c>
    </row>
    <row r="272" spans="1:12" ht="44.1" customHeight="1">
      <c r="A272" s="2" t="s">
        <v>2259</v>
      </c>
      <c r="B272" s="2" t="s">
        <v>1595</v>
      </c>
      <c r="C272" s="8" t="s">
        <v>2260</v>
      </c>
      <c r="D272" s="8"/>
      <c r="E272" s="2">
        <v>3</v>
      </c>
      <c r="F272" s="2">
        <v>1</v>
      </c>
      <c r="G272" s="2">
        <v>0</v>
      </c>
      <c r="H272" s="8" t="s">
        <v>2262</v>
      </c>
      <c r="I272" s="2">
        <v>3</v>
      </c>
      <c r="J272" s="2">
        <v>2</v>
      </c>
      <c r="K272" s="8" t="s">
        <v>2264</v>
      </c>
      <c r="L272" s="8" t="s">
        <v>2265</v>
      </c>
    </row>
    <row r="273" spans="1:12" ht="44.1" customHeight="1">
      <c r="A273" s="5" t="s">
        <v>2266</v>
      </c>
      <c r="B273" s="5" t="s">
        <v>1595</v>
      </c>
      <c r="C273" s="9" t="s">
        <v>2267</v>
      </c>
      <c r="D273" s="9"/>
      <c r="E273" s="5">
        <v>3</v>
      </c>
      <c r="F273" s="5">
        <v>1</v>
      </c>
      <c r="G273" s="5">
        <v>0</v>
      </c>
      <c r="H273" s="9" t="s">
        <v>2269</v>
      </c>
      <c r="I273" s="5">
        <v>6</v>
      </c>
      <c r="J273" s="5">
        <v>2</v>
      </c>
      <c r="K273" s="9" t="s">
        <v>2272</v>
      </c>
      <c r="L273" s="9" t="s">
        <v>2273</v>
      </c>
    </row>
    <row r="274" spans="1:12" ht="44.1" customHeight="1">
      <c r="A274" s="2" t="s">
        <v>2274</v>
      </c>
      <c r="B274" s="2" t="s">
        <v>1595</v>
      </c>
      <c r="C274" s="8" t="s">
        <v>2275</v>
      </c>
      <c r="D274" s="8"/>
      <c r="E274" s="2">
        <v>3</v>
      </c>
      <c r="F274" s="2">
        <v>1</v>
      </c>
      <c r="G274" s="2">
        <v>0</v>
      </c>
      <c r="H274" s="8" t="s">
        <v>2278</v>
      </c>
      <c r="I274" s="2">
        <v>3</v>
      </c>
      <c r="J274" s="2">
        <v>2</v>
      </c>
      <c r="K274" s="8" t="s">
        <v>2281</v>
      </c>
      <c r="L274" s="8" t="s">
        <v>2282</v>
      </c>
    </row>
    <row r="275" spans="1:12" ht="44.1" customHeight="1">
      <c r="A275" s="5" t="s">
        <v>2283</v>
      </c>
      <c r="B275" s="5" t="s">
        <v>1595</v>
      </c>
      <c r="C275" s="9" t="s">
        <v>2284</v>
      </c>
      <c r="D275" s="9"/>
      <c r="E275" s="5">
        <v>3</v>
      </c>
      <c r="F275" s="5">
        <v>1</v>
      </c>
      <c r="G275" s="5">
        <v>0</v>
      </c>
      <c r="H275" s="9" t="s">
        <v>2286</v>
      </c>
      <c r="I275" s="5">
        <v>5</v>
      </c>
      <c r="J275" s="5">
        <v>2</v>
      </c>
      <c r="K275" s="9" t="s">
        <v>2289</v>
      </c>
      <c r="L275" s="9" t="s">
        <v>2290</v>
      </c>
    </row>
    <row r="276" spans="1:12" ht="44.1" customHeight="1">
      <c r="A276" s="2" t="s">
        <v>2291</v>
      </c>
      <c r="B276" s="2" t="s">
        <v>1595</v>
      </c>
      <c r="C276" s="8" t="s">
        <v>2292</v>
      </c>
      <c r="D276" s="8"/>
      <c r="E276" s="2">
        <v>4</v>
      </c>
      <c r="F276" s="2">
        <v>1</v>
      </c>
      <c r="G276" s="2">
        <v>0</v>
      </c>
      <c r="H276" s="8" t="s">
        <v>2294</v>
      </c>
      <c r="I276" s="2">
        <v>3</v>
      </c>
      <c r="J276" s="2">
        <v>4</v>
      </c>
      <c r="K276" s="8" t="s">
        <v>2296</v>
      </c>
      <c r="L276" s="8" t="s">
        <v>2297</v>
      </c>
    </row>
    <row r="277" spans="1:12" ht="44.1" customHeight="1">
      <c r="A277" s="5" t="s">
        <v>2298</v>
      </c>
      <c r="B277" s="5" t="s">
        <v>1595</v>
      </c>
      <c r="C277" s="9" t="s">
        <v>2299</v>
      </c>
      <c r="D277" s="22" t="s">
        <v>212</v>
      </c>
      <c r="E277" s="5">
        <v>4</v>
      </c>
      <c r="F277" s="5">
        <v>0</v>
      </c>
      <c r="G277" s="5">
        <v>0</v>
      </c>
      <c r="H277" s="9"/>
      <c r="I277" s="5">
        <v>0</v>
      </c>
      <c r="J277" s="5">
        <v>3</v>
      </c>
      <c r="K277" s="9" t="s">
        <v>2303</v>
      </c>
      <c r="L277" s="9" t="s">
        <v>2304</v>
      </c>
    </row>
    <row r="278" spans="1:12" ht="44.1" customHeight="1">
      <c r="A278" s="2" t="s">
        <v>2305</v>
      </c>
      <c r="B278" s="2" t="s">
        <v>1595</v>
      </c>
      <c r="C278" s="8" t="s">
        <v>2306</v>
      </c>
      <c r="D278" s="8"/>
      <c r="E278" s="2">
        <v>3</v>
      </c>
      <c r="F278" s="2">
        <v>0</v>
      </c>
      <c r="G278" s="2">
        <v>3</v>
      </c>
      <c r="H278" s="8" t="s">
        <v>2308</v>
      </c>
      <c r="I278" s="2">
        <v>4</v>
      </c>
      <c r="J278" s="2">
        <v>2</v>
      </c>
      <c r="K278" s="8" t="s">
        <v>2311</v>
      </c>
      <c r="L278" s="8" t="s">
        <v>2312</v>
      </c>
    </row>
    <row r="279" spans="1:12" ht="44.1" customHeight="1">
      <c r="A279" s="5" t="s">
        <v>2313</v>
      </c>
      <c r="B279" s="5" t="s">
        <v>1595</v>
      </c>
      <c r="C279" s="9" t="s">
        <v>2314</v>
      </c>
      <c r="D279" s="22" t="s">
        <v>589</v>
      </c>
      <c r="E279" s="5">
        <v>3</v>
      </c>
      <c r="F279" s="5">
        <v>1</v>
      </c>
      <c r="G279" s="5">
        <v>0</v>
      </c>
      <c r="H279" s="9" t="s">
        <v>2316</v>
      </c>
      <c r="I279" s="5">
        <v>3</v>
      </c>
      <c r="J279" s="5">
        <v>2</v>
      </c>
      <c r="K279" s="9" t="s">
        <v>2318</v>
      </c>
      <c r="L279" s="9" t="s">
        <v>2319</v>
      </c>
    </row>
    <row r="280" spans="1:12" ht="44.1" customHeight="1">
      <c r="A280" s="2" t="s">
        <v>2320</v>
      </c>
      <c r="B280" s="2" t="s">
        <v>1595</v>
      </c>
      <c r="C280" s="8" t="s">
        <v>2321</v>
      </c>
      <c r="D280" s="8"/>
      <c r="E280" s="2">
        <v>4</v>
      </c>
      <c r="F280" s="2">
        <v>1</v>
      </c>
      <c r="G280" s="2">
        <v>0</v>
      </c>
      <c r="H280" s="8" t="s">
        <v>2324</v>
      </c>
      <c r="I280" s="2">
        <v>5</v>
      </c>
      <c r="J280" s="2">
        <v>3</v>
      </c>
      <c r="K280" s="8" t="s">
        <v>2326</v>
      </c>
      <c r="L280" s="8" t="s">
        <v>2327</v>
      </c>
    </row>
    <row r="281" spans="1:12" ht="44.1" customHeight="1">
      <c r="A281" s="5" t="s">
        <v>2328</v>
      </c>
      <c r="B281" s="5" t="s">
        <v>1595</v>
      </c>
      <c r="C281" s="9" t="s">
        <v>2329</v>
      </c>
      <c r="D281" s="9"/>
      <c r="E281" s="5">
        <v>4</v>
      </c>
      <c r="F281" s="5">
        <v>1</v>
      </c>
      <c r="G281" s="5">
        <v>0</v>
      </c>
      <c r="H281" s="9" t="s">
        <v>2331</v>
      </c>
      <c r="I281" s="5">
        <v>4</v>
      </c>
      <c r="J281" s="5">
        <v>2</v>
      </c>
      <c r="K281" s="9" t="s">
        <v>2334</v>
      </c>
      <c r="L281" s="9" t="s">
        <v>2335</v>
      </c>
    </row>
    <row r="282" spans="1:12" ht="44.1" customHeight="1">
      <c r="A282" s="2" t="s">
        <v>2336</v>
      </c>
      <c r="B282" s="2" t="s">
        <v>1595</v>
      </c>
      <c r="C282" s="8" t="s">
        <v>2337</v>
      </c>
      <c r="D282" s="22" t="s">
        <v>2342</v>
      </c>
      <c r="E282" s="2">
        <v>3</v>
      </c>
      <c r="F282" s="2">
        <v>1</v>
      </c>
      <c r="G282" s="2">
        <v>0</v>
      </c>
      <c r="H282" s="8" t="s">
        <v>2339</v>
      </c>
      <c r="I282" s="2">
        <v>1</v>
      </c>
      <c r="J282" s="2">
        <v>2</v>
      </c>
      <c r="K282" s="8" t="s">
        <v>2343</v>
      </c>
      <c r="L282" s="8" t="s">
        <v>2344</v>
      </c>
    </row>
    <row r="283" spans="1:12" ht="44.1" customHeight="1">
      <c r="A283" s="5" t="s">
        <v>2345</v>
      </c>
      <c r="B283" s="5" t="s">
        <v>1595</v>
      </c>
      <c r="C283" s="9" t="s">
        <v>2346</v>
      </c>
      <c r="D283" s="9"/>
      <c r="E283" s="5">
        <v>4</v>
      </c>
      <c r="F283" s="5">
        <v>0</v>
      </c>
      <c r="G283" s="5">
        <v>8</v>
      </c>
      <c r="H283" s="9" t="s">
        <v>2349</v>
      </c>
      <c r="I283" s="5">
        <v>3</v>
      </c>
      <c r="J283" s="5">
        <v>3</v>
      </c>
      <c r="K283" s="9" t="s">
        <v>2351</v>
      </c>
      <c r="L283" s="9" t="s">
        <v>2352</v>
      </c>
    </row>
    <row r="284" spans="1:12" ht="44.1" customHeight="1">
      <c r="A284" s="2" t="s">
        <v>2353</v>
      </c>
      <c r="B284" s="2" t="s">
        <v>1595</v>
      </c>
      <c r="C284" s="8" t="s">
        <v>2354</v>
      </c>
      <c r="D284" s="8"/>
      <c r="E284" s="2">
        <v>7</v>
      </c>
      <c r="F284" s="2">
        <v>1</v>
      </c>
      <c r="G284" s="2">
        <v>0</v>
      </c>
      <c r="H284" s="8" t="s">
        <v>2357</v>
      </c>
      <c r="I284" s="2">
        <v>3</v>
      </c>
      <c r="J284" s="2">
        <v>2</v>
      </c>
      <c r="K284" s="8" t="s">
        <v>2360</v>
      </c>
      <c r="L284" s="8" t="s">
        <v>2361</v>
      </c>
    </row>
    <row r="285" spans="1:12" ht="44.1" customHeight="1">
      <c r="A285" s="5" t="s">
        <v>2362</v>
      </c>
      <c r="B285" s="5" t="s">
        <v>1595</v>
      </c>
      <c r="C285" s="9" t="s">
        <v>2363</v>
      </c>
      <c r="D285" s="9"/>
      <c r="E285" s="5">
        <v>4</v>
      </c>
      <c r="F285" s="5">
        <v>0</v>
      </c>
      <c r="G285" s="5">
        <v>4</v>
      </c>
      <c r="H285" s="9" t="s">
        <v>2368</v>
      </c>
      <c r="I285" s="5">
        <v>3</v>
      </c>
      <c r="J285" s="5">
        <v>2</v>
      </c>
      <c r="K285" s="9" t="s">
        <v>2370</v>
      </c>
      <c r="L285" s="9" t="s">
        <v>2371</v>
      </c>
    </row>
    <row r="286" spans="1:12" ht="44.1" customHeight="1">
      <c r="A286" s="2" t="s">
        <v>2372</v>
      </c>
      <c r="B286" s="2" t="s">
        <v>1595</v>
      </c>
      <c r="C286" s="8" t="s">
        <v>2373</v>
      </c>
      <c r="D286" s="8"/>
      <c r="E286" s="2">
        <v>3</v>
      </c>
      <c r="F286" s="2">
        <v>1</v>
      </c>
      <c r="G286" s="2">
        <v>0</v>
      </c>
      <c r="H286" s="8" t="s">
        <v>2376</v>
      </c>
      <c r="I286" s="2">
        <v>3</v>
      </c>
      <c r="J286" s="2">
        <v>2</v>
      </c>
      <c r="K286" s="8" t="s">
        <v>2378</v>
      </c>
      <c r="L286" s="8" t="s">
        <v>2379</v>
      </c>
    </row>
    <row r="287" spans="1:12" ht="44.1" customHeight="1">
      <c r="A287" s="5" t="s">
        <v>2380</v>
      </c>
      <c r="B287" s="5" t="s">
        <v>1595</v>
      </c>
      <c r="C287" s="9" t="s">
        <v>2381</v>
      </c>
      <c r="D287" s="9"/>
      <c r="E287" s="5">
        <v>4</v>
      </c>
      <c r="F287" s="5">
        <v>1</v>
      </c>
      <c r="G287" s="5">
        <v>0</v>
      </c>
      <c r="H287" s="9" t="s">
        <v>2383</v>
      </c>
      <c r="I287" s="5">
        <v>3</v>
      </c>
      <c r="J287" s="5">
        <v>2</v>
      </c>
      <c r="K287" s="9" t="s">
        <v>2387</v>
      </c>
      <c r="L287" s="9" t="s">
        <v>2388</v>
      </c>
    </row>
    <row r="288" spans="1:12" ht="44.1" customHeight="1">
      <c r="A288" s="2" t="s">
        <v>2389</v>
      </c>
      <c r="B288" s="2" t="s">
        <v>1595</v>
      </c>
      <c r="C288" s="8" t="s">
        <v>2390</v>
      </c>
      <c r="D288" s="8"/>
      <c r="E288" s="2">
        <v>4</v>
      </c>
      <c r="F288" s="2">
        <v>1</v>
      </c>
      <c r="G288" s="2">
        <v>0</v>
      </c>
      <c r="H288" s="8" t="s">
        <v>2392</v>
      </c>
      <c r="I288" s="2">
        <v>3</v>
      </c>
      <c r="J288" s="2">
        <v>2</v>
      </c>
      <c r="K288" s="8" t="s">
        <v>2394</v>
      </c>
      <c r="L288" s="8" t="s">
        <v>2395</v>
      </c>
    </row>
    <row r="289" spans="1:12" ht="44.1" customHeight="1">
      <c r="A289" s="5" t="s">
        <v>2396</v>
      </c>
      <c r="B289" s="5" t="s">
        <v>1595</v>
      </c>
      <c r="C289" s="9" t="s">
        <v>2397</v>
      </c>
      <c r="D289" s="9"/>
      <c r="E289" s="5">
        <v>4</v>
      </c>
      <c r="F289" s="5">
        <v>1</v>
      </c>
      <c r="G289" s="5">
        <v>0</v>
      </c>
      <c r="H289" s="9" t="s">
        <v>2400</v>
      </c>
      <c r="I289" s="5">
        <v>4</v>
      </c>
      <c r="J289" s="5">
        <v>3</v>
      </c>
      <c r="K289" s="9" t="s">
        <v>2402</v>
      </c>
      <c r="L289" s="9" t="s">
        <v>2403</v>
      </c>
    </row>
    <row r="290" spans="1:12" ht="44.1" customHeight="1">
      <c r="A290" s="2" t="s">
        <v>2404</v>
      </c>
      <c r="B290" s="2" t="s">
        <v>1595</v>
      </c>
      <c r="C290" s="8" t="s">
        <v>2405</v>
      </c>
      <c r="D290" s="8"/>
      <c r="E290" s="2">
        <v>4</v>
      </c>
      <c r="F290" s="2">
        <v>1</v>
      </c>
      <c r="G290" s="2">
        <v>0</v>
      </c>
      <c r="H290" s="8" t="s">
        <v>2408</v>
      </c>
      <c r="I290" s="2">
        <v>6</v>
      </c>
      <c r="J290" s="2">
        <v>2</v>
      </c>
      <c r="K290" s="8" t="s">
        <v>2410</v>
      </c>
      <c r="L290" s="8" t="s">
        <v>2411</v>
      </c>
    </row>
    <row r="291" spans="1:12" ht="44.1" customHeight="1">
      <c r="A291" s="5" t="s">
        <v>2412</v>
      </c>
      <c r="B291" s="5" t="s">
        <v>1595</v>
      </c>
      <c r="C291" s="9" t="s">
        <v>2413</v>
      </c>
      <c r="D291" s="9"/>
      <c r="E291" s="5">
        <v>3</v>
      </c>
      <c r="F291" s="5">
        <v>1</v>
      </c>
      <c r="G291" s="5">
        <v>0</v>
      </c>
      <c r="H291" s="9" t="s">
        <v>2416</v>
      </c>
      <c r="I291" s="5">
        <v>2</v>
      </c>
      <c r="J291" s="5">
        <v>2</v>
      </c>
      <c r="K291" s="9" t="s">
        <v>2418</v>
      </c>
      <c r="L291" s="9" t="s">
        <v>2419</v>
      </c>
    </row>
    <row r="292" spans="1:12" ht="44.1" customHeight="1">
      <c r="A292" s="2" t="s">
        <v>2420</v>
      </c>
      <c r="B292" s="2" t="s">
        <v>1595</v>
      </c>
      <c r="C292" s="8" t="s">
        <v>2421</v>
      </c>
      <c r="D292" s="8"/>
      <c r="E292" s="2">
        <v>4</v>
      </c>
      <c r="F292" s="2">
        <v>4</v>
      </c>
      <c r="G292" s="2">
        <v>0</v>
      </c>
      <c r="H292" s="8" t="s">
        <v>2424</v>
      </c>
      <c r="I292" s="2">
        <v>6</v>
      </c>
      <c r="J292" s="2">
        <v>5</v>
      </c>
      <c r="K292" s="8" t="s">
        <v>2426</v>
      </c>
      <c r="L292" s="8" t="s">
        <v>2427</v>
      </c>
    </row>
    <row r="293" spans="1:12" ht="44.1" customHeight="1">
      <c r="A293" s="5" t="s">
        <v>2429</v>
      </c>
      <c r="B293" s="5" t="s">
        <v>2430</v>
      </c>
      <c r="C293" s="9" t="s">
        <v>2431</v>
      </c>
      <c r="D293" s="9"/>
      <c r="E293" s="5">
        <v>4</v>
      </c>
      <c r="F293" s="5">
        <v>1</v>
      </c>
      <c r="G293" s="5">
        <v>0</v>
      </c>
      <c r="H293" s="9" t="s">
        <v>2433</v>
      </c>
      <c r="I293" s="5">
        <v>4</v>
      </c>
      <c r="J293" s="5">
        <v>2</v>
      </c>
      <c r="K293" s="9" t="s">
        <v>2435</v>
      </c>
      <c r="L293" s="9" t="s">
        <v>2436</v>
      </c>
    </row>
    <row r="294" spans="1:12" ht="44.1" customHeight="1">
      <c r="A294" s="2" t="s">
        <v>2437</v>
      </c>
      <c r="B294" s="2" t="s">
        <v>2430</v>
      </c>
      <c r="C294" s="8" t="s">
        <v>2438</v>
      </c>
      <c r="D294" s="8"/>
      <c r="E294" s="2">
        <v>4</v>
      </c>
      <c r="F294" s="2">
        <v>1</v>
      </c>
      <c r="G294" s="2">
        <v>0</v>
      </c>
      <c r="H294" s="8" t="s">
        <v>2440</v>
      </c>
      <c r="I294" s="2">
        <v>3</v>
      </c>
      <c r="J294" s="2">
        <v>2</v>
      </c>
      <c r="K294" s="8" t="s">
        <v>2442</v>
      </c>
      <c r="L294" s="8" t="s">
        <v>2443</v>
      </c>
    </row>
    <row r="295" spans="1:12" ht="44.1" customHeight="1">
      <c r="A295" s="5" t="s">
        <v>2444</v>
      </c>
      <c r="B295" s="5" t="s">
        <v>2430</v>
      </c>
      <c r="C295" s="9" t="s">
        <v>2445</v>
      </c>
      <c r="D295" s="9"/>
      <c r="E295" s="5">
        <v>7</v>
      </c>
      <c r="F295" s="5">
        <v>1</v>
      </c>
      <c r="G295" s="5">
        <v>0</v>
      </c>
      <c r="H295" s="9" t="s">
        <v>2447</v>
      </c>
      <c r="I295" s="5">
        <v>2</v>
      </c>
      <c r="J295" s="5">
        <v>3</v>
      </c>
      <c r="K295" s="9" t="s">
        <v>2449</v>
      </c>
      <c r="L295" s="9" t="s">
        <v>2450</v>
      </c>
    </row>
    <row r="296" spans="1:12" ht="44.1" customHeight="1">
      <c r="A296" s="2" t="s">
        <v>2451</v>
      </c>
      <c r="B296" s="2" t="s">
        <v>2430</v>
      </c>
      <c r="C296" s="8" t="s">
        <v>2452</v>
      </c>
      <c r="D296" s="8"/>
      <c r="E296" s="2">
        <v>4</v>
      </c>
      <c r="F296" s="2">
        <v>1</v>
      </c>
      <c r="G296" s="2">
        <v>0</v>
      </c>
      <c r="H296" s="8" t="s">
        <v>2455</v>
      </c>
      <c r="I296" s="2">
        <v>3</v>
      </c>
      <c r="J296" s="2">
        <v>2</v>
      </c>
      <c r="K296" s="8" t="s">
        <v>2457</v>
      </c>
      <c r="L296" s="8" t="s">
        <v>2458</v>
      </c>
    </row>
    <row r="297" spans="1:12" ht="44.1" customHeight="1">
      <c r="A297" s="5" t="s">
        <v>2459</v>
      </c>
      <c r="B297" s="5" t="s">
        <v>2430</v>
      </c>
      <c r="C297" s="9" t="s">
        <v>2460</v>
      </c>
      <c r="D297" s="9"/>
      <c r="E297" s="5">
        <v>4</v>
      </c>
      <c r="F297" s="5">
        <v>1</v>
      </c>
      <c r="G297" s="5">
        <v>0</v>
      </c>
      <c r="H297" s="9" t="s">
        <v>2463</v>
      </c>
      <c r="I297" s="5">
        <v>3</v>
      </c>
      <c r="J297" s="5">
        <v>2</v>
      </c>
      <c r="K297" s="9" t="s">
        <v>2465</v>
      </c>
      <c r="L297" s="9" t="s">
        <v>2466</v>
      </c>
    </row>
    <row r="298" spans="1:12" ht="44.1" customHeight="1">
      <c r="A298" s="2" t="s">
        <v>2467</v>
      </c>
      <c r="B298" s="2" t="s">
        <v>2430</v>
      </c>
      <c r="C298" s="8" t="s">
        <v>2468</v>
      </c>
      <c r="D298" s="8"/>
      <c r="E298" s="2">
        <v>3</v>
      </c>
      <c r="F298" s="2">
        <v>1</v>
      </c>
      <c r="G298" s="2">
        <v>0</v>
      </c>
      <c r="H298" s="8" t="s">
        <v>2470</v>
      </c>
      <c r="I298" s="2">
        <v>3</v>
      </c>
      <c r="J298" s="2">
        <v>2</v>
      </c>
      <c r="K298" s="8" t="s">
        <v>2473</v>
      </c>
      <c r="L298" s="8" t="s">
        <v>2474</v>
      </c>
    </row>
    <row r="299" spans="1:12" ht="44.1" customHeight="1">
      <c r="A299" s="5" t="s">
        <v>2475</v>
      </c>
      <c r="B299" s="5" t="s">
        <v>2430</v>
      </c>
      <c r="C299" s="9" t="s">
        <v>2476</v>
      </c>
      <c r="D299" s="9"/>
      <c r="E299" s="5">
        <v>3</v>
      </c>
      <c r="F299" s="5">
        <v>1</v>
      </c>
      <c r="G299" s="5">
        <v>0</v>
      </c>
      <c r="H299" s="9" t="s">
        <v>2479</v>
      </c>
      <c r="I299" s="5">
        <v>3</v>
      </c>
      <c r="J299" s="5">
        <v>2</v>
      </c>
      <c r="K299" s="9" t="s">
        <v>2481</v>
      </c>
      <c r="L299" s="9" t="s">
        <v>2482</v>
      </c>
    </row>
    <row r="300" spans="1:12" ht="44.1" customHeight="1">
      <c r="A300" s="2" t="s">
        <v>2483</v>
      </c>
      <c r="B300" s="2" t="s">
        <v>2430</v>
      </c>
      <c r="C300" s="8" t="s">
        <v>2484</v>
      </c>
      <c r="D300" s="8"/>
      <c r="E300" s="2">
        <v>4</v>
      </c>
      <c r="F300" s="2">
        <v>1</v>
      </c>
      <c r="G300" s="2">
        <v>0</v>
      </c>
      <c r="H300" s="8" t="s">
        <v>2487</v>
      </c>
      <c r="I300" s="2">
        <v>2</v>
      </c>
      <c r="J300" s="2">
        <v>2</v>
      </c>
      <c r="K300" s="8" t="s">
        <v>2489</v>
      </c>
      <c r="L300" s="8" t="s">
        <v>2490</v>
      </c>
    </row>
    <row r="301" spans="1:12" ht="44.1" customHeight="1">
      <c r="A301" s="5" t="s">
        <v>2491</v>
      </c>
      <c r="B301" s="5" t="s">
        <v>2430</v>
      </c>
      <c r="C301" s="9" t="s">
        <v>2492</v>
      </c>
      <c r="D301" s="22" t="s">
        <v>181</v>
      </c>
      <c r="E301" s="5">
        <v>4</v>
      </c>
      <c r="F301" s="5">
        <v>1</v>
      </c>
      <c r="G301" s="5">
        <v>0</v>
      </c>
      <c r="H301" s="9" t="s">
        <v>2495</v>
      </c>
      <c r="I301" s="5">
        <v>1</v>
      </c>
      <c r="J301" s="5">
        <v>2</v>
      </c>
      <c r="K301" s="9" t="s">
        <v>2497</v>
      </c>
      <c r="L301" s="9" t="s">
        <v>2498</v>
      </c>
    </row>
    <row r="302" spans="1:12" ht="44.1" customHeight="1">
      <c r="A302" s="2" t="s">
        <v>2499</v>
      </c>
      <c r="B302" s="2" t="s">
        <v>2430</v>
      </c>
      <c r="C302" s="8" t="s">
        <v>2500</v>
      </c>
      <c r="D302" s="8"/>
      <c r="E302" s="2">
        <v>4</v>
      </c>
      <c r="F302" s="2">
        <v>1</v>
      </c>
      <c r="G302" s="2">
        <v>0</v>
      </c>
      <c r="H302" s="8" t="s">
        <v>2503</v>
      </c>
      <c r="I302" s="2">
        <v>4</v>
      </c>
      <c r="J302" s="2">
        <v>2</v>
      </c>
      <c r="K302" s="8" t="s">
        <v>2505</v>
      </c>
      <c r="L302" s="8" t="s">
        <v>2506</v>
      </c>
    </row>
    <row r="303" spans="1:12" ht="44.1" customHeight="1">
      <c r="A303" s="5" t="s">
        <v>2507</v>
      </c>
      <c r="B303" s="5" t="s">
        <v>2430</v>
      </c>
      <c r="C303" s="9" t="s">
        <v>2508</v>
      </c>
      <c r="D303" s="22" t="s">
        <v>212</v>
      </c>
      <c r="E303" s="5">
        <v>4</v>
      </c>
      <c r="F303" s="5">
        <v>1</v>
      </c>
      <c r="G303" s="5">
        <v>0</v>
      </c>
      <c r="H303" s="9"/>
      <c r="I303" s="5">
        <v>6</v>
      </c>
      <c r="J303" s="5">
        <v>2</v>
      </c>
      <c r="K303" s="9" t="s">
        <v>2514</v>
      </c>
      <c r="L303" s="9" t="s">
        <v>2515</v>
      </c>
    </row>
    <row r="304" spans="1:12" ht="44.1" customHeight="1">
      <c r="A304" s="2" t="s">
        <v>2516</v>
      </c>
      <c r="B304" s="2" t="s">
        <v>2430</v>
      </c>
      <c r="C304" s="8" t="s">
        <v>2517</v>
      </c>
      <c r="D304" s="8"/>
      <c r="E304" s="2">
        <v>4</v>
      </c>
      <c r="F304" s="2">
        <v>1</v>
      </c>
      <c r="G304" s="2">
        <v>0</v>
      </c>
      <c r="H304" s="8" t="s">
        <v>2519</v>
      </c>
      <c r="I304" s="2">
        <v>6</v>
      </c>
      <c r="J304" s="2">
        <v>2</v>
      </c>
      <c r="K304" s="8" t="s">
        <v>2522</v>
      </c>
      <c r="L304" s="8" t="s">
        <v>2523</v>
      </c>
    </row>
    <row r="305" spans="1:12" ht="44.1" customHeight="1">
      <c r="A305" s="5" t="s">
        <v>2524</v>
      </c>
      <c r="B305" s="5" t="s">
        <v>2430</v>
      </c>
      <c r="C305" s="9" t="s">
        <v>2525</v>
      </c>
      <c r="D305" s="9"/>
      <c r="E305" s="5">
        <v>4</v>
      </c>
      <c r="F305" s="5">
        <v>1</v>
      </c>
      <c r="G305" s="5">
        <v>0</v>
      </c>
      <c r="H305" s="9" t="s">
        <v>2527</v>
      </c>
      <c r="I305" s="5">
        <v>4</v>
      </c>
      <c r="J305" s="5">
        <v>2</v>
      </c>
      <c r="K305" s="9" t="s">
        <v>2529</v>
      </c>
      <c r="L305" s="9" t="s">
        <v>2530</v>
      </c>
    </row>
    <row r="306" spans="1:12" ht="44.1" customHeight="1">
      <c r="A306" s="2" t="s">
        <v>2531</v>
      </c>
      <c r="B306" s="2" t="s">
        <v>2430</v>
      </c>
      <c r="C306" s="8" t="s">
        <v>2532</v>
      </c>
      <c r="D306" s="22" t="s">
        <v>181</v>
      </c>
      <c r="E306" s="2">
        <v>4</v>
      </c>
      <c r="F306" s="2">
        <v>1</v>
      </c>
      <c r="G306" s="2">
        <v>0</v>
      </c>
      <c r="H306" s="8" t="s">
        <v>2534</v>
      </c>
      <c r="I306" s="2">
        <v>1</v>
      </c>
      <c r="J306" s="2">
        <v>2</v>
      </c>
      <c r="K306" s="8" t="s">
        <v>2537</v>
      </c>
      <c r="L306" s="8" t="s">
        <v>2538</v>
      </c>
    </row>
    <row r="307" spans="1:12" ht="44.1" customHeight="1">
      <c r="A307" s="5" t="s">
        <v>2539</v>
      </c>
      <c r="B307" s="5" t="s">
        <v>2430</v>
      </c>
      <c r="C307" s="9" t="s">
        <v>2540</v>
      </c>
      <c r="D307" s="22" t="s">
        <v>181</v>
      </c>
      <c r="E307" s="5">
        <v>4</v>
      </c>
      <c r="F307" s="5">
        <v>1</v>
      </c>
      <c r="G307" s="5">
        <v>0</v>
      </c>
      <c r="H307" s="9" t="s">
        <v>2542</v>
      </c>
      <c r="I307" s="5">
        <v>3</v>
      </c>
      <c r="J307" s="5">
        <v>2</v>
      </c>
      <c r="K307" s="9" t="s">
        <v>2544</v>
      </c>
      <c r="L307" s="9" t="s">
        <v>2545</v>
      </c>
    </row>
    <row r="308" spans="1:12" ht="44.1" customHeight="1">
      <c r="A308" s="2" t="s">
        <v>2546</v>
      </c>
      <c r="B308" s="2" t="s">
        <v>2430</v>
      </c>
      <c r="C308" s="8" t="s">
        <v>2547</v>
      </c>
      <c r="D308" s="8"/>
      <c r="E308" s="2">
        <v>4</v>
      </c>
      <c r="F308" s="2">
        <v>1</v>
      </c>
      <c r="G308" s="2">
        <v>0</v>
      </c>
      <c r="H308" s="8" t="s">
        <v>2550</v>
      </c>
      <c r="I308" s="2">
        <v>4</v>
      </c>
      <c r="J308" s="2">
        <v>2</v>
      </c>
      <c r="K308" s="8" t="s">
        <v>2553</v>
      </c>
      <c r="L308" s="8" t="s">
        <v>2554</v>
      </c>
    </row>
    <row r="309" spans="1:12" ht="44.1" customHeight="1">
      <c r="A309" s="5" t="s">
        <v>2555</v>
      </c>
      <c r="B309" s="5" t="s">
        <v>2430</v>
      </c>
      <c r="C309" s="9" t="s">
        <v>2556</v>
      </c>
      <c r="D309" s="9"/>
      <c r="E309" s="5">
        <v>3</v>
      </c>
      <c r="F309" s="5">
        <v>4</v>
      </c>
      <c r="G309" s="5">
        <v>0</v>
      </c>
      <c r="H309" s="9" t="s">
        <v>2559</v>
      </c>
      <c r="I309" s="5">
        <v>2</v>
      </c>
      <c r="J309" s="5">
        <v>2</v>
      </c>
      <c r="K309" s="9" t="s">
        <v>2562</v>
      </c>
      <c r="L309" s="9" t="s">
        <v>2563</v>
      </c>
    </row>
    <row r="310" spans="1:12" ht="44.1" customHeight="1">
      <c r="A310" s="2" t="s">
        <v>2564</v>
      </c>
      <c r="B310" s="2" t="s">
        <v>2430</v>
      </c>
      <c r="C310" s="8" t="s">
        <v>2565</v>
      </c>
      <c r="D310" s="22" t="s">
        <v>1325</v>
      </c>
      <c r="E310" s="2">
        <v>4</v>
      </c>
      <c r="F310" s="2">
        <v>1</v>
      </c>
      <c r="G310" s="2">
        <v>0</v>
      </c>
      <c r="H310" s="8" t="s">
        <v>2568</v>
      </c>
      <c r="I310" s="2">
        <v>0</v>
      </c>
      <c r="J310" s="2">
        <v>2</v>
      </c>
      <c r="K310" s="8" t="s">
        <v>2570</v>
      </c>
      <c r="L310" s="8" t="s">
        <v>2571</v>
      </c>
    </row>
    <row r="311" spans="1:12" ht="44.1" customHeight="1">
      <c r="A311" s="5" t="s">
        <v>2572</v>
      </c>
      <c r="B311" s="5" t="s">
        <v>2430</v>
      </c>
      <c r="C311" s="9" t="s">
        <v>2573</v>
      </c>
      <c r="D311" s="9"/>
      <c r="E311" s="5">
        <v>4</v>
      </c>
      <c r="F311" s="5">
        <v>0</v>
      </c>
      <c r="G311" s="5">
        <v>0</v>
      </c>
      <c r="H311" s="9" t="s">
        <v>2575</v>
      </c>
      <c r="I311" s="5">
        <v>7</v>
      </c>
      <c r="J311" s="5">
        <v>2</v>
      </c>
      <c r="K311" s="9" t="s">
        <v>2578</v>
      </c>
      <c r="L311" s="9" t="s">
        <v>2579</v>
      </c>
    </row>
    <row r="312" spans="1:12" ht="44.1" customHeight="1">
      <c r="A312" s="2" t="s">
        <v>2580</v>
      </c>
      <c r="B312" s="2" t="s">
        <v>2430</v>
      </c>
      <c r="C312" s="8" t="s">
        <v>2581</v>
      </c>
      <c r="D312" s="8"/>
      <c r="E312" s="2">
        <v>4</v>
      </c>
      <c r="F312" s="2">
        <v>0</v>
      </c>
      <c r="G312" s="2">
        <v>0</v>
      </c>
      <c r="H312" s="8" t="s">
        <v>2583</v>
      </c>
      <c r="I312" s="2">
        <v>3</v>
      </c>
      <c r="J312" s="2">
        <v>4</v>
      </c>
      <c r="K312" s="8" t="s">
        <v>2585</v>
      </c>
      <c r="L312" s="8" t="s">
        <v>2586</v>
      </c>
    </row>
    <row r="313" spans="1:12" ht="44.1" customHeight="1">
      <c r="A313" s="5" t="s">
        <v>2587</v>
      </c>
      <c r="B313" s="5" t="s">
        <v>2430</v>
      </c>
      <c r="C313" s="9" t="s">
        <v>2588</v>
      </c>
      <c r="D313" s="22" t="s">
        <v>181</v>
      </c>
      <c r="E313" s="5">
        <v>4</v>
      </c>
      <c r="F313" s="5">
        <v>1</v>
      </c>
      <c r="G313" s="5">
        <v>0</v>
      </c>
      <c r="H313" s="9" t="s">
        <v>2590</v>
      </c>
      <c r="I313" s="5">
        <v>3</v>
      </c>
      <c r="J313" s="5">
        <v>2</v>
      </c>
      <c r="K313" s="9" t="s">
        <v>2593</v>
      </c>
      <c r="L313" s="9" t="s">
        <v>2594</v>
      </c>
    </row>
    <row r="314" spans="1:12" ht="44.1" customHeight="1">
      <c r="A314" s="2" t="s">
        <v>2595</v>
      </c>
      <c r="B314" s="2" t="s">
        <v>2430</v>
      </c>
      <c r="C314" s="8" t="s">
        <v>2596</v>
      </c>
      <c r="D314" s="8"/>
      <c r="E314" s="2">
        <v>7</v>
      </c>
      <c r="F314" s="2">
        <v>2</v>
      </c>
      <c r="G314" s="2">
        <v>0</v>
      </c>
      <c r="H314" s="8" t="s">
        <v>2600</v>
      </c>
      <c r="I314" s="2">
        <v>8</v>
      </c>
      <c r="J314" s="2">
        <v>3</v>
      </c>
      <c r="K314" s="8" t="s">
        <v>2603</v>
      </c>
      <c r="L314" s="8" t="s">
        <v>2604</v>
      </c>
    </row>
    <row r="315" spans="1:12" ht="44.1" customHeight="1">
      <c r="A315" s="5" t="s">
        <v>2605</v>
      </c>
      <c r="B315" s="5" t="s">
        <v>2430</v>
      </c>
      <c r="C315" s="9" t="s">
        <v>2606</v>
      </c>
      <c r="D315" s="9"/>
      <c r="E315" s="5">
        <v>4</v>
      </c>
      <c r="F315" s="5">
        <v>1</v>
      </c>
      <c r="G315" s="5">
        <v>0</v>
      </c>
      <c r="H315" s="9" t="s">
        <v>2608</v>
      </c>
      <c r="I315" s="5">
        <v>4</v>
      </c>
      <c r="J315" s="5">
        <v>2</v>
      </c>
      <c r="K315" s="9" t="s">
        <v>2610</v>
      </c>
      <c r="L315" s="9" t="s">
        <v>2611</v>
      </c>
    </row>
    <row r="316" spans="1:12" ht="44.1" customHeight="1">
      <c r="A316" s="2" t="s">
        <v>2612</v>
      </c>
      <c r="B316" s="2" t="s">
        <v>2430</v>
      </c>
      <c r="C316" s="8" t="s">
        <v>2613</v>
      </c>
      <c r="D316" s="8"/>
      <c r="E316" s="2">
        <v>4</v>
      </c>
      <c r="F316" s="2">
        <v>1</v>
      </c>
      <c r="G316" s="2">
        <v>0</v>
      </c>
      <c r="H316" s="8" t="s">
        <v>2616</v>
      </c>
      <c r="I316" s="2">
        <v>3</v>
      </c>
      <c r="J316" s="2">
        <v>2</v>
      </c>
      <c r="K316" s="8" t="s">
        <v>2618</v>
      </c>
      <c r="L316" s="8" t="s">
        <v>2619</v>
      </c>
    </row>
    <row r="317" spans="1:12" ht="44.1" customHeight="1">
      <c r="A317" s="5" t="s">
        <v>2620</v>
      </c>
      <c r="B317" s="5" t="s">
        <v>2430</v>
      </c>
      <c r="C317" s="9" t="s">
        <v>2621</v>
      </c>
      <c r="D317" s="9"/>
      <c r="E317" s="5">
        <v>4</v>
      </c>
      <c r="F317" s="5">
        <v>0</v>
      </c>
      <c r="G317" s="5">
        <v>0</v>
      </c>
      <c r="H317" s="9" t="s">
        <v>2624</v>
      </c>
      <c r="I317" s="5">
        <v>3</v>
      </c>
      <c r="J317" s="5">
        <v>2</v>
      </c>
      <c r="K317" s="9" t="s">
        <v>2627</v>
      </c>
      <c r="L317" s="9" t="s">
        <v>2628</v>
      </c>
    </row>
    <row r="318" spans="1:12" ht="44.1" customHeight="1">
      <c r="A318" s="2" t="s">
        <v>2629</v>
      </c>
      <c r="B318" s="2" t="s">
        <v>2430</v>
      </c>
      <c r="C318" s="8" t="s">
        <v>2630</v>
      </c>
      <c r="D318" s="8"/>
      <c r="E318" s="2">
        <v>4</v>
      </c>
      <c r="F318" s="2">
        <v>1</v>
      </c>
      <c r="G318" s="2">
        <v>0</v>
      </c>
      <c r="H318" s="8" t="s">
        <v>2632</v>
      </c>
      <c r="I318" s="2">
        <v>3</v>
      </c>
      <c r="J318" s="2">
        <v>2</v>
      </c>
      <c r="K318" s="8" t="s">
        <v>2634</v>
      </c>
      <c r="L318" s="8" t="s">
        <v>2635</v>
      </c>
    </row>
    <row r="319" spans="1:12" ht="44.1" customHeight="1">
      <c r="A319" s="5" t="s">
        <v>2636</v>
      </c>
      <c r="B319" s="5" t="s">
        <v>2430</v>
      </c>
      <c r="C319" s="9" t="s">
        <v>2637</v>
      </c>
      <c r="D319" s="9"/>
      <c r="E319" s="5">
        <v>3</v>
      </c>
      <c r="F319" s="5">
        <v>1</v>
      </c>
      <c r="G319" s="5">
        <v>0</v>
      </c>
      <c r="H319" s="9" t="s">
        <v>2641</v>
      </c>
      <c r="I319" s="5">
        <v>3</v>
      </c>
      <c r="J319" s="5">
        <v>2</v>
      </c>
      <c r="K319" s="9" t="s">
        <v>2644</v>
      </c>
      <c r="L319" s="9" t="s">
        <v>2645</v>
      </c>
    </row>
    <row r="320" spans="1:12" ht="44.1" customHeight="1">
      <c r="A320" s="2" t="s">
        <v>2646</v>
      </c>
      <c r="B320" s="2" t="s">
        <v>2430</v>
      </c>
      <c r="C320" s="8" t="s">
        <v>2647</v>
      </c>
      <c r="D320" s="8"/>
      <c r="E320" s="2">
        <v>4</v>
      </c>
      <c r="F320" s="2">
        <v>0</v>
      </c>
      <c r="G320" s="2">
        <v>0</v>
      </c>
      <c r="H320" s="8" t="s">
        <v>2649</v>
      </c>
      <c r="I320" s="2">
        <v>3</v>
      </c>
      <c r="J320" s="2">
        <v>2</v>
      </c>
      <c r="K320" s="8" t="s">
        <v>2652</v>
      </c>
      <c r="L320" s="8" t="s">
        <v>2653</v>
      </c>
    </row>
    <row r="321" spans="1:12" ht="44.1" customHeight="1">
      <c r="A321" s="5" t="s">
        <v>2654</v>
      </c>
      <c r="B321" s="5" t="s">
        <v>2430</v>
      </c>
      <c r="C321" s="9" t="s">
        <v>2655</v>
      </c>
      <c r="D321" s="9"/>
      <c r="E321" s="5">
        <v>4</v>
      </c>
      <c r="F321" s="5">
        <v>1</v>
      </c>
      <c r="G321" s="5">
        <v>0</v>
      </c>
      <c r="H321" s="9" t="s">
        <v>2658</v>
      </c>
      <c r="I321" s="5">
        <v>3</v>
      </c>
      <c r="J321" s="5">
        <v>2</v>
      </c>
      <c r="K321" s="9" t="s">
        <v>2660</v>
      </c>
      <c r="L321" s="9" t="s">
        <v>2661</v>
      </c>
    </row>
    <row r="322" spans="1:12" ht="44.1" customHeight="1">
      <c r="A322" s="2" t="s">
        <v>2662</v>
      </c>
      <c r="B322" s="2" t="s">
        <v>2430</v>
      </c>
      <c r="C322" s="8" t="s">
        <v>2663</v>
      </c>
      <c r="D322" s="8"/>
      <c r="E322" s="2">
        <v>4</v>
      </c>
      <c r="F322" s="2">
        <v>1</v>
      </c>
      <c r="G322" s="2">
        <v>0</v>
      </c>
      <c r="H322" s="8" t="s">
        <v>2664</v>
      </c>
      <c r="I322" s="2">
        <v>3</v>
      </c>
      <c r="J322" s="2">
        <v>2</v>
      </c>
      <c r="K322" s="8" t="s">
        <v>2666</v>
      </c>
      <c r="L322" s="8" t="s">
        <v>2667</v>
      </c>
    </row>
    <row r="323" spans="1:12" ht="44.1" customHeight="1">
      <c r="A323" s="5" t="s">
        <v>2668</v>
      </c>
      <c r="B323" s="5" t="s">
        <v>2430</v>
      </c>
      <c r="C323" s="9" t="s">
        <v>2669</v>
      </c>
      <c r="D323" s="9"/>
      <c r="E323" s="5">
        <v>4</v>
      </c>
      <c r="F323" s="5">
        <v>0</v>
      </c>
      <c r="G323" s="5">
        <v>0</v>
      </c>
      <c r="H323" s="9" t="s">
        <v>2672</v>
      </c>
      <c r="I323" s="5">
        <v>4</v>
      </c>
      <c r="J323" s="5">
        <v>2</v>
      </c>
      <c r="K323" s="9" t="s">
        <v>2674</v>
      </c>
      <c r="L323" s="9" t="s">
        <v>2675</v>
      </c>
    </row>
    <row r="324" spans="1:12" ht="44.1" customHeight="1">
      <c r="A324" s="2" t="s">
        <v>2676</v>
      </c>
      <c r="B324" s="2" t="s">
        <v>2430</v>
      </c>
      <c r="C324" s="8" t="s">
        <v>2677</v>
      </c>
      <c r="D324" s="8"/>
      <c r="E324" s="2">
        <v>4</v>
      </c>
      <c r="F324" s="2">
        <v>1</v>
      </c>
      <c r="G324" s="2">
        <v>0</v>
      </c>
      <c r="H324" s="8" t="s">
        <v>2680</v>
      </c>
      <c r="I324" s="2">
        <v>3</v>
      </c>
      <c r="J324" s="2">
        <v>2</v>
      </c>
      <c r="K324" s="8" t="s">
        <v>2682</v>
      </c>
      <c r="L324" s="8" t="s">
        <v>2683</v>
      </c>
    </row>
    <row r="325" spans="1:12" ht="44.1" customHeight="1">
      <c r="A325" s="5" t="s">
        <v>2684</v>
      </c>
      <c r="B325" s="5" t="s">
        <v>2430</v>
      </c>
      <c r="C325" s="9" t="s">
        <v>2685</v>
      </c>
      <c r="D325" s="9"/>
      <c r="E325" s="5">
        <v>4</v>
      </c>
      <c r="F325" s="5">
        <v>0</v>
      </c>
      <c r="G325" s="5">
        <v>0</v>
      </c>
      <c r="H325" s="9" t="s">
        <v>2688</v>
      </c>
      <c r="I325" s="5">
        <v>1</v>
      </c>
      <c r="J325" s="5">
        <v>4</v>
      </c>
      <c r="K325" s="9" t="s">
        <v>2691</v>
      </c>
      <c r="L325" s="9" t="s">
        <v>2692</v>
      </c>
    </row>
    <row r="326" spans="1:12" ht="44.1" customHeight="1">
      <c r="A326" s="2" t="s">
        <v>2693</v>
      </c>
      <c r="B326" s="2" t="s">
        <v>2430</v>
      </c>
      <c r="C326" s="8" t="s">
        <v>2694</v>
      </c>
      <c r="D326" s="8"/>
      <c r="E326" s="2">
        <v>4</v>
      </c>
      <c r="F326" s="2">
        <v>1</v>
      </c>
      <c r="G326" s="2">
        <v>0</v>
      </c>
      <c r="H326" s="8" t="s">
        <v>2696</v>
      </c>
      <c r="I326" s="2">
        <v>3</v>
      </c>
      <c r="J326" s="2">
        <v>3</v>
      </c>
      <c r="K326" s="8" t="s">
        <v>2698</v>
      </c>
      <c r="L326" s="8" t="s">
        <v>2699</v>
      </c>
    </row>
    <row r="327" spans="1:12" ht="44.1" customHeight="1">
      <c r="A327" s="5" t="s">
        <v>2700</v>
      </c>
      <c r="B327" s="5" t="s">
        <v>2430</v>
      </c>
      <c r="C327" s="9" t="s">
        <v>2701</v>
      </c>
      <c r="D327" s="9"/>
      <c r="E327" s="5">
        <v>3</v>
      </c>
      <c r="F327" s="5">
        <v>1</v>
      </c>
      <c r="G327" s="5">
        <v>0</v>
      </c>
      <c r="H327" s="9" t="s">
        <v>2704</v>
      </c>
      <c r="I327" s="5">
        <v>3</v>
      </c>
      <c r="J327" s="5">
        <v>3</v>
      </c>
      <c r="K327" s="9" t="s">
        <v>2707</v>
      </c>
      <c r="L327" s="9" t="s">
        <v>2708</v>
      </c>
    </row>
    <row r="328" spans="1:12" ht="44.1" customHeight="1">
      <c r="A328" s="2" t="s">
        <v>2709</v>
      </c>
      <c r="B328" s="2" t="s">
        <v>2430</v>
      </c>
      <c r="C328" s="8" t="s">
        <v>2710</v>
      </c>
      <c r="D328" s="8"/>
      <c r="E328" s="2">
        <v>4</v>
      </c>
      <c r="F328" s="2">
        <v>0</v>
      </c>
      <c r="G328" s="2">
        <v>0</v>
      </c>
      <c r="H328" s="8" t="s">
        <v>2713</v>
      </c>
      <c r="I328" s="2">
        <v>3</v>
      </c>
      <c r="J328" s="2">
        <v>2</v>
      </c>
      <c r="K328" s="8" t="s">
        <v>2715</v>
      </c>
      <c r="L328" s="8" t="s">
        <v>2716</v>
      </c>
    </row>
    <row r="329" spans="1:12" ht="44.1" customHeight="1">
      <c r="A329" s="5" t="s">
        <v>2717</v>
      </c>
      <c r="B329" s="5" t="s">
        <v>2430</v>
      </c>
      <c r="C329" s="9" t="s">
        <v>2718</v>
      </c>
      <c r="D329" s="22" t="s">
        <v>181</v>
      </c>
      <c r="E329" s="5">
        <v>4</v>
      </c>
      <c r="F329" s="5">
        <v>1</v>
      </c>
      <c r="G329" s="5">
        <v>0</v>
      </c>
      <c r="H329" s="9" t="s">
        <v>2720</v>
      </c>
      <c r="I329" s="5">
        <v>3</v>
      </c>
      <c r="J329" s="5">
        <v>4</v>
      </c>
      <c r="K329" s="9" t="s">
        <v>2723</v>
      </c>
      <c r="L329" s="9" t="s">
        <v>2724</v>
      </c>
    </row>
    <row r="330" spans="1:12" ht="44.1" customHeight="1">
      <c r="A330" s="2" t="s">
        <v>2725</v>
      </c>
      <c r="B330" s="2" t="s">
        <v>2430</v>
      </c>
      <c r="C330" s="8" t="s">
        <v>2726</v>
      </c>
      <c r="D330" s="8"/>
      <c r="E330" s="2">
        <v>4</v>
      </c>
      <c r="F330" s="2">
        <v>0</v>
      </c>
      <c r="G330" s="2">
        <v>0</v>
      </c>
      <c r="H330" s="8" t="s">
        <v>2730</v>
      </c>
      <c r="I330" s="2">
        <v>3</v>
      </c>
      <c r="J330" s="2">
        <v>4</v>
      </c>
      <c r="K330" s="8" t="s">
        <v>2732</v>
      </c>
      <c r="L330" s="8" t="s">
        <v>2733</v>
      </c>
    </row>
    <row r="331" spans="1:12" ht="44.1" customHeight="1">
      <c r="A331" s="5" t="s">
        <v>2734</v>
      </c>
      <c r="B331" s="5" t="s">
        <v>2430</v>
      </c>
      <c r="C331" s="9" t="s">
        <v>2735</v>
      </c>
      <c r="D331" s="9"/>
      <c r="E331" s="5">
        <v>4</v>
      </c>
      <c r="F331" s="5">
        <v>1</v>
      </c>
      <c r="G331" s="5">
        <v>0</v>
      </c>
      <c r="H331" s="9" t="s">
        <v>2737</v>
      </c>
      <c r="I331" s="5">
        <v>3</v>
      </c>
      <c r="J331" s="5">
        <v>2</v>
      </c>
      <c r="K331" s="9" t="s">
        <v>2739</v>
      </c>
      <c r="L331" s="9" t="s">
        <v>2740</v>
      </c>
    </row>
    <row r="332" spans="1:12" ht="44.1" customHeight="1">
      <c r="A332" s="2" t="s">
        <v>2741</v>
      </c>
      <c r="B332" s="2" t="s">
        <v>2430</v>
      </c>
      <c r="C332" s="8" t="s">
        <v>2742</v>
      </c>
      <c r="D332" s="8"/>
      <c r="E332" s="2">
        <v>4</v>
      </c>
      <c r="F332" s="2">
        <v>1</v>
      </c>
      <c r="G332" s="2">
        <v>0</v>
      </c>
      <c r="H332" s="8" t="s">
        <v>2745</v>
      </c>
      <c r="I332" s="2">
        <v>3</v>
      </c>
      <c r="J332" s="2">
        <v>2</v>
      </c>
      <c r="K332" s="8" t="s">
        <v>2748</v>
      </c>
      <c r="L332" s="8" t="s">
        <v>2749</v>
      </c>
    </row>
    <row r="333" spans="1:12" ht="44.1" customHeight="1">
      <c r="A333" s="5" t="s">
        <v>2750</v>
      </c>
      <c r="B333" s="5" t="s">
        <v>2430</v>
      </c>
      <c r="C333" s="9" t="s">
        <v>2751</v>
      </c>
      <c r="D333" s="22" t="s">
        <v>589</v>
      </c>
      <c r="E333" s="5">
        <v>3</v>
      </c>
      <c r="F333" s="5">
        <v>1</v>
      </c>
      <c r="G333" s="5">
        <v>0</v>
      </c>
      <c r="H333" s="9" t="s">
        <v>2754</v>
      </c>
      <c r="I333" s="5">
        <v>3</v>
      </c>
      <c r="J333" s="5">
        <v>2</v>
      </c>
      <c r="K333" s="9" t="s">
        <v>2756</v>
      </c>
      <c r="L333" s="9" t="s">
        <v>2757</v>
      </c>
    </row>
    <row r="334" spans="1:12" ht="44.1" customHeight="1">
      <c r="A334" s="2" t="s">
        <v>2758</v>
      </c>
      <c r="B334" s="2" t="s">
        <v>2430</v>
      </c>
      <c r="C334" s="8" t="s">
        <v>2759</v>
      </c>
      <c r="D334" s="8"/>
      <c r="E334" s="2">
        <v>4</v>
      </c>
      <c r="F334" s="2">
        <v>3</v>
      </c>
      <c r="G334" s="2">
        <v>0</v>
      </c>
      <c r="H334" s="8" t="s">
        <v>2761</v>
      </c>
      <c r="I334" s="2">
        <v>5</v>
      </c>
      <c r="J334" s="2">
        <v>3</v>
      </c>
      <c r="K334" s="8" t="s">
        <v>2764</v>
      </c>
      <c r="L334" s="8" t="s">
        <v>2765</v>
      </c>
    </row>
    <row r="335" spans="1:12" ht="44.1" customHeight="1">
      <c r="A335" s="5" t="s">
        <v>2766</v>
      </c>
      <c r="B335" s="5" t="s">
        <v>2430</v>
      </c>
      <c r="C335" s="9" t="s">
        <v>2767</v>
      </c>
      <c r="D335" s="9"/>
      <c r="E335" s="5">
        <v>5</v>
      </c>
      <c r="F335" s="5">
        <v>1</v>
      </c>
      <c r="G335" s="5">
        <v>0</v>
      </c>
      <c r="H335" s="9" t="s">
        <v>2769</v>
      </c>
      <c r="I335" s="5">
        <v>3</v>
      </c>
      <c r="J335" s="5">
        <v>2</v>
      </c>
      <c r="K335" s="9" t="s">
        <v>2771</v>
      </c>
      <c r="L335" s="9" t="s">
        <v>2772</v>
      </c>
    </row>
    <row r="336" spans="1:12" ht="44.1" customHeight="1">
      <c r="A336" s="2" t="s">
        <v>2773</v>
      </c>
      <c r="B336" s="2" t="s">
        <v>2430</v>
      </c>
      <c r="C336" s="8" t="s">
        <v>2774</v>
      </c>
      <c r="D336" s="8"/>
      <c r="E336" s="2">
        <v>3</v>
      </c>
      <c r="F336" s="2">
        <v>1</v>
      </c>
      <c r="G336" s="2">
        <v>0</v>
      </c>
      <c r="H336" s="8" t="s">
        <v>2777</v>
      </c>
      <c r="I336" s="2">
        <v>1</v>
      </c>
      <c r="J336" s="2">
        <v>2</v>
      </c>
      <c r="K336" s="8" t="s">
        <v>2779</v>
      </c>
      <c r="L336" s="8" t="s">
        <v>2780</v>
      </c>
    </row>
    <row r="337" spans="1:12" ht="44.1" customHeight="1">
      <c r="A337" s="5" t="s">
        <v>2781</v>
      </c>
      <c r="B337" s="5" t="s">
        <v>2430</v>
      </c>
      <c r="C337" s="9" t="s">
        <v>2782</v>
      </c>
      <c r="D337" s="9"/>
      <c r="E337" s="5">
        <v>4</v>
      </c>
      <c r="F337" s="5">
        <v>1</v>
      </c>
      <c r="G337" s="5">
        <v>0</v>
      </c>
      <c r="H337" s="9" t="s">
        <v>2785</v>
      </c>
      <c r="I337" s="5">
        <v>5</v>
      </c>
      <c r="J337" s="5">
        <v>2</v>
      </c>
      <c r="K337" s="9" t="s">
        <v>2788</v>
      </c>
      <c r="L337" s="9" t="s">
        <v>2789</v>
      </c>
    </row>
    <row r="338" spans="1:12" ht="44.1" customHeight="1">
      <c r="A338" s="2" t="s">
        <v>2790</v>
      </c>
      <c r="B338" s="2" t="s">
        <v>2430</v>
      </c>
      <c r="C338" s="8" t="s">
        <v>2791</v>
      </c>
      <c r="D338" s="8"/>
      <c r="E338" s="2">
        <v>4</v>
      </c>
      <c r="F338" s="2">
        <v>1</v>
      </c>
      <c r="G338" s="2">
        <v>0</v>
      </c>
      <c r="H338" s="8" t="s">
        <v>2794</v>
      </c>
      <c r="I338" s="2">
        <v>3</v>
      </c>
      <c r="J338" s="2">
        <v>2</v>
      </c>
      <c r="K338" s="8" t="s">
        <v>2796</v>
      </c>
      <c r="L338" s="8" t="s">
        <v>2797</v>
      </c>
    </row>
    <row r="339" spans="1:12" ht="44.1" customHeight="1">
      <c r="A339" s="5" t="s">
        <v>2798</v>
      </c>
      <c r="B339" s="5" t="s">
        <v>2430</v>
      </c>
      <c r="C339" s="9" t="s">
        <v>2799</v>
      </c>
      <c r="D339" s="22" t="s">
        <v>2806</v>
      </c>
      <c r="E339" s="5">
        <v>7</v>
      </c>
      <c r="F339" s="5">
        <v>2</v>
      </c>
      <c r="G339" s="5">
        <v>0</v>
      </c>
      <c r="H339" s="9" t="s">
        <v>2803</v>
      </c>
      <c r="I339" s="5">
        <v>6</v>
      </c>
      <c r="J339" s="5">
        <v>3</v>
      </c>
      <c r="K339" s="9" t="s">
        <v>2807</v>
      </c>
      <c r="L339" s="9" t="s">
        <v>2808</v>
      </c>
    </row>
    <row r="340" spans="1:12" ht="44.1" customHeight="1">
      <c r="A340" s="2" t="s">
        <v>2809</v>
      </c>
      <c r="B340" s="2" t="s">
        <v>2430</v>
      </c>
      <c r="C340" s="8" t="s">
        <v>2810</v>
      </c>
      <c r="D340" s="8"/>
      <c r="E340" s="2">
        <v>4</v>
      </c>
      <c r="F340" s="2">
        <v>1</v>
      </c>
      <c r="G340" s="2">
        <v>0</v>
      </c>
      <c r="H340" s="8" t="s">
        <v>2813</v>
      </c>
      <c r="I340" s="2">
        <v>5</v>
      </c>
      <c r="J340" s="2">
        <v>2</v>
      </c>
      <c r="K340" s="8" t="s">
        <v>2815</v>
      </c>
      <c r="L340" s="8" t="s">
        <v>2816</v>
      </c>
    </row>
    <row r="341" spans="1:12" ht="44.1" customHeight="1">
      <c r="A341" s="5" t="s">
        <v>2817</v>
      </c>
      <c r="B341" s="5" t="s">
        <v>2430</v>
      </c>
      <c r="C341" s="9" t="s">
        <v>2818</v>
      </c>
      <c r="D341" s="9"/>
      <c r="E341" s="5">
        <v>4</v>
      </c>
      <c r="F341" s="5">
        <v>1</v>
      </c>
      <c r="G341" s="5">
        <v>0</v>
      </c>
      <c r="H341" s="9" t="s">
        <v>2821</v>
      </c>
      <c r="I341" s="5">
        <v>3</v>
      </c>
      <c r="J341" s="5">
        <v>2</v>
      </c>
      <c r="K341" s="9" t="s">
        <v>2823</v>
      </c>
      <c r="L341" s="9" t="s">
        <v>2824</v>
      </c>
    </row>
    <row r="342" spans="1:12" ht="44.1" customHeight="1">
      <c r="A342" s="2" t="s">
        <v>2825</v>
      </c>
      <c r="B342" s="2" t="s">
        <v>2430</v>
      </c>
      <c r="C342" s="8" t="s">
        <v>2826</v>
      </c>
      <c r="D342" s="8"/>
      <c r="E342" s="2">
        <v>4</v>
      </c>
      <c r="F342" s="2">
        <v>1</v>
      </c>
      <c r="G342" s="2">
        <v>0</v>
      </c>
      <c r="H342" s="8" t="s">
        <v>2829</v>
      </c>
      <c r="I342" s="2">
        <v>3</v>
      </c>
      <c r="J342" s="2">
        <v>2</v>
      </c>
      <c r="K342" s="8" t="s">
        <v>2831</v>
      </c>
      <c r="L342" s="8" t="s">
        <v>2832</v>
      </c>
    </row>
    <row r="343" spans="1:12" ht="44.1" customHeight="1">
      <c r="A343" s="5" t="s">
        <v>2833</v>
      </c>
      <c r="B343" s="5" t="s">
        <v>2430</v>
      </c>
      <c r="C343" s="9" t="s">
        <v>2834</v>
      </c>
      <c r="D343" s="9"/>
      <c r="E343" s="5">
        <v>4</v>
      </c>
      <c r="F343" s="5">
        <v>1</v>
      </c>
      <c r="G343" s="5">
        <v>0</v>
      </c>
      <c r="H343" s="9" t="s">
        <v>2836</v>
      </c>
      <c r="I343" s="5">
        <v>5</v>
      </c>
      <c r="J343" s="5">
        <v>2</v>
      </c>
      <c r="K343" s="9" t="s">
        <v>2839</v>
      </c>
      <c r="L343" s="9" t="s">
        <v>2840</v>
      </c>
    </row>
    <row r="344" spans="1:12" ht="44.1" customHeight="1">
      <c r="A344" s="2" t="s">
        <v>2841</v>
      </c>
      <c r="B344" s="2" t="s">
        <v>2430</v>
      </c>
      <c r="C344" s="8" t="s">
        <v>2842</v>
      </c>
      <c r="D344" s="8"/>
      <c r="E344" s="2">
        <v>4</v>
      </c>
      <c r="F344" s="2">
        <v>1</v>
      </c>
      <c r="G344" s="2">
        <v>0</v>
      </c>
      <c r="H344" s="8" t="s">
        <v>2844</v>
      </c>
      <c r="I344" s="2">
        <v>2</v>
      </c>
      <c r="J344" s="2">
        <v>2</v>
      </c>
      <c r="K344" s="8" t="s">
        <v>2847</v>
      </c>
      <c r="L344" s="8" t="s">
        <v>2848</v>
      </c>
    </row>
    <row r="345" spans="1:12" ht="44.1" customHeight="1">
      <c r="A345" s="5" t="s">
        <v>2849</v>
      </c>
      <c r="B345" s="5" t="s">
        <v>2430</v>
      </c>
      <c r="C345" s="9" t="s">
        <v>2850</v>
      </c>
      <c r="D345" s="9"/>
      <c r="E345" s="5">
        <v>4</v>
      </c>
      <c r="F345" s="5">
        <v>0</v>
      </c>
      <c r="G345" s="5">
        <v>0</v>
      </c>
      <c r="H345" s="9" t="s">
        <v>2853</v>
      </c>
      <c r="I345" s="5">
        <v>3</v>
      </c>
      <c r="J345" s="5">
        <v>2</v>
      </c>
      <c r="K345" s="9" t="s">
        <v>2855</v>
      </c>
      <c r="L345" s="9" t="s">
        <v>2856</v>
      </c>
    </row>
    <row r="346" spans="1:12" ht="44.1" customHeight="1">
      <c r="A346" s="2" t="s">
        <v>2857</v>
      </c>
      <c r="B346" s="2" t="s">
        <v>2430</v>
      </c>
      <c r="C346" s="8" t="s">
        <v>2858</v>
      </c>
      <c r="D346" s="8"/>
      <c r="E346" s="2">
        <v>6</v>
      </c>
      <c r="F346" s="2">
        <v>1</v>
      </c>
      <c r="G346" s="2">
        <v>0</v>
      </c>
      <c r="H346" s="8" t="s">
        <v>2861</v>
      </c>
      <c r="I346" s="2">
        <v>3</v>
      </c>
      <c r="J346" s="2">
        <v>2</v>
      </c>
      <c r="K346" s="8" t="s">
        <v>2863</v>
      </c>
      <c r="L346" s="8" t="s">
        <v>2864</v>
      </c>
    </row>
    <row r="347" spans="1:12" ht="44.1" customHeight="1">
      <c r="A347" s="5" t="s">
        <v>2865</v>
      </c>
      <c r="B347" s="5" t="s">
        <v>2430</v>
      </c>
      <c r="C347" s="9" t="s">
        <v>2866</v>
      </c>
      <c r="D347" s="9"/>
      <c r="E347" s="5">
        <v>4</v>
      </c>
      <c r="F347" s="5">
        <v>1</v>
      </c>
      <c r="G347" s="5">
        <v>0</v>
      </c>
      <c r="H347" s="9" t="s">
        <v>2869</v>
      </c>
      <c r="I347" s="5">
        <v>3</v>
      </c>
      <c r="J347" s="5">
        <v>3</v>
      </c>
      <c r="K347" s="9" t="s">
        <v>2871</v>
      </c>
      <c r="L347" s="9" t="s">
        <v>2872</v>
      </c>
    </row>
    <row r="348" spans="1:12" ht="44.1" customHeight="1">
      <c r="A348" s="2" t="s">
        <v>2873</v>
      </c>
      <c r="B348" s="2" t="s">
        <v>2430</v>
      </c>
      <c r="C348" s="8" t="s">
        <v>2874</v>
      </c>
      <c r="D348" s="8"/>
      <c r="E348" s="2">
        <v>4</v>
      </c>
      <c r="F348" s="2">
        <v>1</v>
      </c>
      <c r="G348" s="2">
        <v>0</v>
      </c>
      <c r="H348" s="8" t="s">
        <v>2877</v>
      </c>
      <c r="I348" s="2">
        <v>3</v>
      </c>
      <c r="J348" s="2">
        <v>2</v>
      </c>
      <c r="K348" s="8" t="s">
        <v>2879</v>
      </c>
      <c r="L348" s="8" t="s">
        <v>2880</v>
      </c>
    </row>
    <row r="349" spans="1:12" ht="44.1" customHeight="1">
      <c r="A349" s="5" t="s">
        <v>2881</v>
      </c>
      <c r="B349" s="5" t="s">
        <v>2430</v>
      </c>
      <c r="C349" s="9" t="s">
        <v>2882</v>
      </c>
      <c r="D349" s="9"/>
      <c r="E349" s="5">
        <v>4</v>
      </c>
      <c r="F349" s="5">
        <v>1</v>
      </c>
      <c r="G349" s="5">
        <v>0</v>
      </c>
      <c r="H349" s="9" t="s">
        <v>2885</v>
      </c>
      <c r="I349" s="5">
        <v>3</v>
      </c>
      <c r="J349" s="5">
        <v>2</v>
      </c>
      <c r="K349" s="9" t="s">
        <v>2887</v>
      </c>
      <c r="L349" s="9" t="s">
        <v>2888</v>
      </c>
    </row>
    <row r="350" spans="1:12" ht="44.1" customHeight="1">
      <c r="A350" s="2" t="s">
        <v>2889</v>
      </c>
      <c r="B350" s="2" t="s">
        <v>2430</v>
      </c>
      <c r="C350" s="8" t="s">
        <v>2890</v>
      </c>
      <c r="D350" s="22" t="s">
        <v>192</v>
      </c>
      <c r="E350" s="2">
        <v>3</v>
      </c>
      <c r="F350" s="2">
        <v>1</v>
      </c>
      <c r="G350" s="2">
        <v>0</v>
      </c>
      <c r="H350" s="8" t="s">
        <v>2893</v>
      </c>
      <c r="I350" s="2">
        <v>5</v>
      </c>
      <c r="J350" s="2">
        <v>2</v>
      </c>
      <c r="K350" s="8" t="s">
        <v>2895</v>
      </c>
      <c r="L350" s="8" t="s">
        <v>2896</v>
      </c>
    </row>
    <row r="351" spans="1:12" ht="44.1" customHeight="1">
      <c r="A351" s="5" t="s">
        <v>2897</v>
      </c>
      <c r="B351" s="5" t="s">
        <v>2430</v>
      </c>
      <c r="C351" s="9" t="s">
        <v>2898</v>
      </c>
      <c r="D351" s="9"/>
      <c r="E351" s="5">
        <v>4</v>
      </c>
      <c r="F351" s="5">
        <v>1</v>
      </c>
      <c r="G351" s="5">
        <v>0</v>
      </c>
      <c r="H351" s="9" t="s">
        <v>2899</v>
      </c>
      <c r="I351" s="5">
        <v>4</v>
      </c>
      <c r="J351" s="5">
        <v>2</v>
      </c>
      <c r="K351" s="9" t="s">
        <v>2901</v>
      </c>
      <c r="L351" s="9" t="s">
        <v>2902</v>
      </c>
    </row>
    <row r="352" spans="1:12" ht="44.1" customHeight="1">
      <c r="A352" s="2" t="s">
        <v>2903</v>
      </c>
      <c r="B352" s="2" t="s">
        <v>2430</v>
      </c>
      <c r="C352" s="8" t="s">
        <v>2904</v>
      </c>
      <c r="D352" s="8"/>
      <c r="E352" s="2">
        <v>4</v>
      </c>
      <c r="F352" s="2">
        <v>1</v>
      </c>
      <c r="G352" s="2">
        <v>0</v>
      </c>
      <c r="H352" s="8" t="s">
        <v>2906</v>
      </c>
      <c r="I352" s="2">
        <v>3</v>
      </c>
      <c r="J352" s="2">
        <v>5</v>
      </c>
      <c r="K352" s="8" t="s">
        <v>2908</v>
      </c>
      <c r="L352" s="8" t="s">
        <v>2909</v>
      </c>
    </row>
    <row r="353" spans="1:12" ht="44.1" customHeight="1">
      <c r="A353" s="5" t="s">
        <v>2910</v>
      </c>
      <c r="B353" s="5" t="s">
        <v>2430</v>
      </c>
      <c r="C353" s="9" t="s">
        <v>2911</v>
      </c>
      <c r="D353" s="9"/>
      <c r="E353" s="5">
        <v>3</v>
      </c>
      <c r="F353" s="5">
        <v>2</v>
      </c>
      <c r="G353" s="5">
        <v>0</v>
      </c>
      <c r="H353" s="9" t="s">
        <v>2914</v>
      </c>
      <c r="I353" s="5">
        <v>3</v>
      </c>
      <c r="J353" s="5">
        <v>2</v>
      </c>
      <c r="K353" s="9" t="s">
        <v>2916</v>
      </c>
      <c r="L353" s="9" t="s">
        <v>2917</v>
      </c>
    </row>
    <row r="354" spans="1:12" ht="44.1" customHeight="1">
      <c r="A354" s="2" t="s">
        <v>2918</v>
      </c>
      <c r="B354" s="2" t="s">
        <v>2430</v>
      </c>
      <c r="C354" s="8" t="s">
        <v>2919</v>
      </c>
      <c r="D354" s="8"/>
      <c r="E354" s="2">
        <v>4</v>
      </c>
      <c r="F354" s="2">
        <v>4</v>
      </c>
      <c r="G354" s="2">
        <v>0</v>
      </c>
      <c r="H354" s="8" t="s">
        <v>2922</v>
      </c>
      <c r="I354" s="2">
        <v>3</v>
      </c>
      <c r="J354" s="2">
        <v>2</v>
      </c>
      <c r="K354" s="8" t="s">
        <v>2924</v>
      </c>
      <c r="L354" s="8" t="s">
        <v>2925</v>
      </c>
    </row>
    <row r="355" spans="1:12" ht="44.1" customHeight="1">
      <c r="A355" s="5" t="s">
        <v>2926</v>
      </c>
      <c r="B355" s="5" t="s">
        <v>2430</v>
      </c>
      <c r="C355" s="9" t="s">
        <v>2927</v>
      </c>
      <c r="D355" s="9"/>
      <c r="E355" s="5">
        <v>5</v>
      </c>
      <c r="F355" s="5">
        <v>1</v>
      </c>
      <c r="G355" s="5">
        <v>0</v>
      </c>
      <c r="H355" s="9" t="s">
        <v>2930</v>
      </c>
      <c r="I355" s="5">
        <v>4</v>
      </c>
      <c r="J355" s="5">
        <v>2</v>
      </c>
      <c r="K355" s="9" t="s">
        <v>2933</v>
      </c>
      <c r="L355" s="9" t="s">
        <v>2934</v>
      </c>
    </row>
    <row r="356" spans="1:12" ht="44.1" customHeight="1">
      <c r="A356" s="2" t="s">
        <v>2935</v>
      </c>
      <c r="B356" s="2" t="s">
        <v>2430</v>
      </c>
      <c r="C356" s="8" t="s">
        <v>2936</v>
      </c>
      <c r="D356" s="8"/>
      <c r="E356" s="2">
        <v>7</v>
      </c>
      <c r="F356" s="2">
        <v>1</v>
      </c>
      <c r="G356" s="2">
        <v>0</v>
      </c>
      <c r="H356" s="8" t="s">
        <v>2939</v>
      </c>
      <c r="I356" s="2">
        <v>2</v>
      </c>
      <c r="J356" s="2">
        <v>2</v>
      </c>
      <c r="K356" s="8" t="s">
        <v>2941</v>
      </c>
      <c r="L356" s="8" t="s">
        <v>2942</v>
      </c>
    </row>
    <row r="357" spans="1:12" ht="44.1" customHeight="1">
      <c r="A357" s="5" t="s">
        <v>2943</v>
      </c>
      <c r="B357" s="5" t="s">
        <v>2430</v>
      </c>
      <c r="C357" s="9" t="s">
        <v>2944</v>
      </c>
      <c r="D357" s="9"/>
      <c r="E357" s="5">
        <v>4</v>
      </c>
      <c r="F357" s="5">
        <v>1</v>
      </c>
      <c r="G357" s="5">
        <v>0</v>
      </c>
      <c r="H357" s="9" t="s">
        <v>2946</v>
      </c>
      <c r="I357" s="5">
        <v>3</v>
      </c>
      <c r="J357" s="5">
        <v>2</v>
      </c>
      <c r="K357" s="9" t="s">
        <v>2948</v>
      </c>
      <c r="L357" s="9" t="s">
        <v>2949</v>
      </c>
    </row>
    <row r="358" spans="1:12" ht="44.1" customHeight="1">
      <c r="A358" s="2" t="s">
        <v>2950</v>
      </c>
      <c r="B358" s="2" t="s">
        <v>2430</v>
      </c>
      <c r="C358" s="8" t="s">
        <v>2951</v>
      </c>
      <c r="D358" s="8"/>
      <c r="E358" s="2">
        <v>4</v>
      </c>
      <c r="F358" s="2">
        <v>1</v>
      </c>
      <c r="G358" s="2">
        <v>0</v>
      </c>
      <c r="H358" s="8" t="s">
        <v>2954</v>
      </c>
      <c r="I358" s="2">
        <v>3</v>
      </c>
      <c r="J358" s="2">
        <v>2</v>
      </c>
      <c r="K358" s="8" t="s">
        <v>2956</v>
      </c>
      <c r="L358" s="8" t="s">
        <v>2957</v>
      </c>
    </row>
    <row r="359" spans="1:12" ht="44.1" customHeight="1">
      <c r="A359" s="5" t="s">
        <v>2958</v>
      </c>
      <c r="B359" s="5" t="s">
        <v>2430</v>
      </c>
      <c r="C359" s="9" t="s">
        <v>2959</v>
      </c>
      <c r="D359" s="9"/>
      <c r="E359" s="5">
        <v>4</v>
      </c>
      <c r="F359" s="5">
        <v>1</v>
      </c>
      <c r="G359" s="5">
        <v>0</v>
      </c>
      <c r="H359" s="9" t="s">
        <v>2961</v>
      </c>
      <c r="I359" s="5">
        <v>3</v>
      </c>
      <c r="J359" s="5">
        <v>2</v>
      </c>
      <c r="K359" s="9" t="s">
        <v>2963</v>
      </c>
      <c r="L359" s="9" t="s">
        <v>2964</v>
      </c>
    </row>
    <row r="360" spans="1:12" ht="44.1" customHeight="1">
      <c r="A360" s="2" t="s">
        <v>2965</v>
      </c>
      <c r="B360" s="2" t="s">
        <v>2430</v>
      </c>
      <c r="C360" s="8" t="s">
        <v>2966</v>
      </c>
      <c r="D360" s="8"/>
      <c r="E360" s="2">
        <v>3</v>
      </c>
      <c r="F360" s="2">
        <v>1</v>
      </c>
      <c r="G360" s="2">
        <v>0</v>
      </c>
      <c r="H360" s="8" t="s">
        <v>2968</v>
      </c>
      <c r="I360" s="2">
        <v>3</v>
      </c>
      <c r="J360" s="2">
        <v>2</v>
      </c>
      <c r="K360" s="8" t="s">
        <v>2970</v>
      </c>
      <c r="L360" s="8" t="s">
        <v>2971</v>
      </c>
    </row>
    <row r="361" spans="1:12" ht="44.1" customHeight="1">
      <c r="A361" s="5" t="s">
        <v>2972</v>
      </c>
      <c r="B361" s="5" t="s">
        <v>2430</v>
      </c>
      <c r="C361" s="9" t="s">
        <v>2973</v>
      </c>
      <c r="D361" s="9"/>
      <c r="E361" s="5">
        <v>4</v>
      </c>
      <c r="F361" s="5">
        <v>1</v>
      </c>
      <c r="G361" s="5">
        <v>0</v>
      </c>
      <c r="H361" s="9" t="s">
        <v>2976</v>
      </c>
      <c r="I361" s="5">
        <v>4</v>
      </c>
      <c r="J361" s="5">
        <v>2</v>
      </c>
      <c r="K361" s="9" t="s">
        <v>2978</v>
      </c>
      <c r="L361" s="9" t="s">
        <v>2979</v>
      </c>
    </row>
    <row r="362" spans="1:12" ht="44.1" customHeight="1">
      <c r="A362" s="2" t="s">
        <v>2980</v>
      </c>
      <c r="B362" s="2" t="s">
        <v>2430</v>
      </c>
      <c r="C362" s="8" t="s">
        <v>2981</v>
      </c>
      <c r="D362" s="8"/>
      <c r="E362" s="2">
        <v>4</v>
      </c>
      <c r="F362" s="2">
        <v>1</v>
      </c>
      <c r="G362" s="2">
        <v>0</v>
      </c>
      <c r="H362" s="8" t="s">
        <v>2983</v>
      </c>
      <c r="I362" s="2">
        <v>5</v>
      </c>
      <c r="J362" s="2">
        <v>2</v>
      </c>
      <c r="K362" s="8" t="s">
        <v>2985</v>
      </c>
      <c r="L362" s="8" t="s">
        <v>2986</v>
      </c>
    </row>
    <row r="363" spans="1:12" ht="44.1" customHeight="1">
      <c r="A363" s="5" t="s">
        <v>2987</v>
      </c>
      <c r="B363" s="5" t="s">
        <v>2430</v>
      </c>
      <c r="C363" s="9" t="s">
        <v>2988</v>
      </c>
      <c r="D363" s="9"/>
      <c r="E363" s="5">
        <v>4</v>
      </c>
      <c r="F363" s="5">
        <v>1</v>
      </c>
      <c r="G363" s="5">
        <v>0</v>
      </c>
      <c r="H363" s="9" t="s">
        <v>2991</v>
      </c>
      <c r="I363" s="5">
        <v>5</v>
      </c>
      <c r="J363" s="5">
        <v>2</v>
      </c>
      <c r="K363" s="9" t="s">
        <v>2993</v>
      </c>
      <c r="L363" s="9" t="s">
        <v>2994</v>
      </c>
    </row>
    <row r="364" spans="1:12" ht="44.1" customHeight="1">
      <c r="A364" s="2" t="s">
        <v>2995</v>
      </c>
      <c r="B364" s="2" t="s">
        <v>2430</v>
      </c>
      <c r="C364" s="8" t="s">
        <v>2996</v>
      </c>
      <c r="D364" s="22" t="s">
        <v>937</v>
      </c>
      <c r="E364" s="2">
        <v>3</v>
      </c>
      <c r="F364" s="2">
        <v>1</v>
      </c>
      <c r="G364" s="2">
        <v>0</v>
      </c>
      <c r="H364" s="8" t="s">
        <v>2998</v>
      </c>
      <c r="I364" s="2">
        <v>5</v>
      </c>
      <c r="J364" s="2">
        <v>4</v>
      </c>
      <c r="K364" s="8" t="s">
        <v>3000</v>
      </c>
      <c r="L364" s="8" t="s">
        <v>3001</v>
      </c>
    </row>
    <row r="365" spans="1:12" ht="44.1" customHeight="1">
      <c r="A365" s="5" t="s">
        <v>3002</v>
      </c>
      <c r="B365" s="5" t="s">
        <v>2430</v>
      </c>
      <c r="C365" s="9" t="s">
        <v>3003</v>
      </c>
      <c r="D365" s="9"/>
      <c r="E365" s="5">
        <v>4</v>
      </c>
      <c r="F365" s="5">
        <v>1</v>
      </c>
      <c r="G365" s="5">
        <v>0</v>
      </c>
      <c r="H365" s="9" t="s">
        <v>3006</v>
      </c>
      <c r="I365" s="5">
        <v>3</v>
      </c>
      <c r="J365" s="5">
        <v>2</v>
      </c>
      <c r="K365" s="9" t="s">
        <v>3008</v>
      </c>
      <c r="L365" s="9" t="s">
        <v>3009</v>
      </c>
    </row>
    <row r="366" spans="1:12" ht="44.1" customHeight="1">
      <c r="A366" s="2" t="s">
        <v>3010</v>
      </c>
      <c r="B366" s="2" t="s">
        <v>2430</v>
      </c>
      <c r="C366" s="8" t="s">
        <v>3011</v>
      </c>
      <c r="D366" s="8"/>
      <c r="E366" s="2">
        <v>3</v>
      </c>
      <c r="F366" s="2">
        <v>0</v>
      </c>
      <c r="G366" s="2">
        <v>1</v>
      </c>
      <c r="H366" s="8" t="s">
        <v>3014</v>
      </c>
      <c r="I366" s="2">
        <v>5</v>
      </c>
      <c r="J366" s="2">
        <v>2</v>
      </c>
      <c r="K366" s="8" t="s">
        <v>3017</v>
      </c>
      <c r="L366" s="8" t="s">
        <v>3018</v>
      </c>
    </row>
    <row r="367" spans="1:12" ht="44.1" customHeight="1">
      <c r="A367" s="5" t="s">
        <v>3019</v>
      </c>
      <c r="B367" s="5" t="s">
        <v>2430</v>
      </c>
      <c r="C367" s="9" t="s">
        <v>3020</v>
      </c>
      <c r="D367" s="9"/>
      <c r="E367" s="5">
        <v>3</v>
      </c>
      <c r="F367" s="5">
        <v>1</v>
      </c>
      <c r="G367" s="5">
        <v>0</v>
      </c>
      <c r="H367" s="9" t="s">
        <v>3022</v>
      </c>
      <c r="I367" s="5">
        <v>3</v>
      </c>
      <c r="J367" s="5">
        <v>2</v>
      </c>
      <c r="K367" s="9" t="s">
        <v>3024</v>
      </c>
      <c r="L367" s="9" t="s">
        <v>3025</v>
      </c>
    </row>
    <row r="368" spans="1:12" ht="44.1" customHeight="1">
      <c r="A368" s="2" t="s">
        <v>3026</v>
      </c>
      <c r="B368" s="2" t="s">
        <v>2430</v>
      </c>
      <c r="C368" s="8" t="s">
        <v>3027</v>
      </c>
      <c r="D368" s="8"/>
      <c r="E368" s="2">
        <v>4</v>
      </c>
      <c r="F368" s="2">
        <v>0</v>
      </c>
      <c r="G368" s="2">
        <v>0</v>
      </c>
      <c r="H368" s="8" t="s">
        <v>3030</v>
      </c>
      <c r="I368" s="2">
        <v>3</v>
      </c>
      <c r="J368" s="2">
        <v>2</v>
      </c>
      <c r="K368" s="8" t="s">
        <v>3032</v>
      </c>
      <c r="L368" s="8" t="s">
        <v>3033</v>
      </c>
    </row>
    <row r="369" spans="1:12" ht="44.1" customHeight="1">
      <c r="A369" s="5" t="s">
        <v>3034</v>
      </c>
      <c r="B369" s="5" t="s">
        <v>2430</v>
      </c>
      <c r="C369" s="9" t="s">
        <v>3035</v>
      </c>
      <c r="D369" s="9"/>
      <c r="E369" s="5">
        <v>3</v>
      </c>
      <c r="F369" s="5">
        <v>1</v>
      </c>
      <c r="G369" s="5">
        <v>0</v>
      </c>
      <c r="H369" s="9" t="s">
        <v>3037</v>
      </c>
      <c r="I369" s="5">
        <v>2</v>
      </c>
      <c r="J369" s="5">
        <v>2</v>
      </c>
      <c r="K369" s="9" t="s">
        <v>3039</v>
      </c>
      <c r="L369" s="9" t="s">
        <v>3040</v>
      </c>
    </row>
    <row r="370" spans="1:12" ht="44.1" customHeight="1">
      <c r="A370" s="2" t="s">
        <v>3041</v>
      </c>
      <c r="B370" s="2" t="s">
        <v>2430</v>
      </c>
      <c r="C370" s="8" t="s">
        <v>3042</v>
      </c>
      <c r="D370" s="8"/>
      <c r="E370" s="2">
        <v>4</v>
      </c>
      <c r="F370" s="2">
        <v>1</v>
      </c>
      <c r="G370" s="2">
        <v>0</v>
      </c>
      <c r="H370" s="8" t="s">
        <v>3045</v>
      </c>
      <c r="I370" s="2">
        <v>3</v>
      </c>
      <c r="J370" s="2">
        <v>2</v>
      </c>
      <c r="K370" s="8" t="s">
        <v>3047</v>
      </c>
      <c r="L370" s="8" t="s">
        <v>3048</v>
      </c>
    </row>
    <row r="371" spans="1:12" ht="44.1" customHeight="1">
      <c r="A371" s="5" t="s">
        <v>3049</v>
      </c>
      <c r="B371" s="5" t="s">
        <v>2430</v>
      </c>
      <c r="C371" s="9" t="s">
        <v>3050</v>
      </c>
      <c r="D371" s="9"/>
      <c r="E371" s="5">
        <v>4</v>
      </c>
      <c r="F371" s="5">
        <v>1</v>
      </c>
      <c r="G371" s="5">
        <v>0</v>
      </c>
      <c r="H371" s="9" t="s">
        <v>3053</v>
      </c>
      <c r="I371" s="5">
        <v>3</v>
      </c>
      <c r="J371" s="5">
        <v>2</v>
      </c>
      <c r="K371" s="9" t="s">
        <v>3055</v>
      </c>
      <c r="L371" s="9" t="s">
        <v>3056</v>
      </c>
    </row>
    <row r="372" spans="1:12" ht="44.1" customHeight="1">
      <c r="A372" s="2" t="s">
        <v>3057</v>
      </c>
      <c r="B372" s="2" t="s">
        <v>2430</v>
      </c>
      <c r="C372" s="8" t="s">
        <v>3058</v>
      </c>
      <c r="D372" s="8"/>
      <c r="E372" s="2">
        <v>4</v>
      </c>
      <c r="F372" s="2">
        <v>1</v>
      </c>
      <c r="G372" s="2">
        <v>0</v>
      </c>
      <c r="H372" s="8" t="s">
        <v>3061</v>
      </c>
      <c r="I372" s="2">
        <v>3</v>
      </c>
      <c r="J372" s="2">
        <v>2</v>
      </c>
      <c r="K372" s="8" t="s">
        <v>3063</v>
      </c>
      <c r="L372" s="8" t="s">
        <v>3064</v>
      </c>
    </row>
    <row r="373" spans="1:12" ht="44.1" customHeight="1">
      <c r="A373" s="5" t="s">
        <v>3065</v>
      </c>
      <c r="B373" s="5" t="s">
        <v>2430</v>
      </c>
      <c r="C373" s="9" t="s">
        <v>3066</v>
      </c>
      <c r="D373" s="9"/>
      <c r="E373" s="5">
        <v>4</v>
      </c>
      <c r="F373" s="5">
        <v>0</v>
      </c>
      <c r="G373" s="5">
        <v>0</v>
      </c>
      <c r="H373" s="9" t="s">
        <v>3068</v>
      </c>
      <c r="I373" s="5">
        <v>3</v>
      </c>
      <c r="J373" s="5">
        <v>2</v>
      </c>
      <c r="K373" s="9" t="s">
        <v>3070</v>
      </c>
      <c r="L373" s="9" t="s">
        <v>3071</v>
      </c>
    </row>
    <row r="374" spans="1:12" ht="44.1" customHeight="1">
      <c r="A374" s="2" t="s">
        <v>3072</v>
      </c>
      <c r="B374" s="2" t="s">
        <v>2430</v>
      </c>
      <c r="C374" s="8" t="s">
        <v>3073</v>
      </c>
      <c r="D374" s="8"/>
      <c r="E374" s="2">
        <v>4</v>
      </c>
      <c r="F374" s="2">
        <v>0</v>
      </c>
      <c r="G374" s="2">
        <v>0</v>
      </c>
      <c r="H374" s="8" t="s">
        <v>3075</v>
      </c>
      <c r="I374" s="2">
        <v>6</v>
      </c>
      <c r="J374" s="2">
        <v>4</v>
      </c>
      <c r="K374" s="8" t="s">
        <v>3077</v>
      </c>
      <c r="L374" s="8" t="s">
        <v>3078</v>
      </c>
    </row>
    <row r="375" spans="1:12" ht="44.1" customHeight="1">
      <c r="A375" s="5" t="s">
        <v>3079</v>
      </c>
      <c r="B375" s="5" t="s">
        <v>2430</v>
      </c>
      <c r="C375" s="9" t="s">
        <v>3080</v>
      </c>
      <c r="D375" s="9"/>
      <c r="E375" s="5">
        <v>4</v>
      </c>
      <c r="F375" s="5">
        <v>0</v>
      </c>
      <c r="G375" s="5">
        <v>0</v>
      </c>
      <c r="H375" s="9" t="s">
        <v>3083</v>
      </c>
      <c r="I375" s="5">
        <v>3</v>
      </c>
      <c r="J375" s="5">
        <v>2</v>
      </c>
      <c r="K375" s="9" t="s">
        <v>3085</v>
      </c>
      <c r="L375" s="9" t="s">
        <v>3086</v>
      </c>
    </row>
    <row r="376" spans="1:12" ht="44.1" customHeight="1">
      <c r="A376" s="2" t="s">
        <v>3087</v>
      </c>
      <c r="B376" s="2" t="s">
        <v>2430</v>
      </c>
      <c r="C376" s="8" t="s">
        <v>3088</v>
      </c>
      <c r="D376" s="8"/>
      <c r="E376" s="2">
        <v>4</v>
      </c>
      <c r="F376" s="2">
        <v>1</v>
      </c>
      <c r="G376" s="2">
        <v>0</v>
      </c>
      <c r="H376" s="8" t="s">
        <v>3090</v>
      </c>
      <c r="I376" s="2">
        <v>4</v>
      </c>
      <c r="J376" s="2">
        <v>2</v>
      </c>
      <c r="K376" s="8" t="s">
        <v>3092</v>
      </c>
      <c r="L376" s="8" t="s">
        <v>3093</v>
      </c>
    </row>
    <row r="377" spans="1:12" ht="44.1" customHeight="1">
      <c r="A377" s="5" t="s">
        <v>3094</v>
      </c>
      <c r="B377" s="5" t="s">
        <v>2430</v>
      </c>
      <c r="C377" s="9" t="s">
        <v>3095</v>
      </c>
      <c r="D377" s="9"/>
      <c r="E377" s="5">
        <v>4</v>
      </c>
      <c r="F377" s="5">
        <v>0</v>
      </c>
      <c r="G377" s="5">
        <v>0</v>
      </c>
      <c r="H377" s="9" t="s">
        <v>3098</v>
      </c>
      <c r="I377" s="5">
        <v>2</v>
      </c>
      <c r="J377" s="5">
        <v>2</v>
      </c>
      <c r="K377" s="9" t="s">
        <v>3100</v>
      </c>
      <c r="L377" s="9" t="s">
        <v>3101</v>
      </c>
    </row>
    <row r="378" spans="1:12" ht="44.1" customHeight="1">
      <c r="A378" s="2" t="s">
        <v>3102</v>
      </c>
      <c r="B378" s="2" t="s">
        <v>2430</v>
      </c>
      <c r="C378" s="8" t="s">
        <v>3103</v>
      </c>
      <c r="D378" s="8"/>
      <c r="E378" s="2">
        <v>3</v>
      </c>
      <c r="F378" s="2">
        <v>1</v>
      </c>
      <c r="G378" s="2">
        <v>0</v>
      </c>
      <c r="H378" s="8" t="s">
        <v>3105</v>
      </c>
      <c r="I378" s="2">
        <v>4</v>
      </c>
      <c r="J378" s="2">
        <v>2</v>
      </c>
      <c r="K378" s="8" t="s">
        <v>3107</v>
      </c>
      <c r="L378" s="8" t="s">
        <v>3108</v>
      </c>
    </row>
    <row r="379" spans="1:12" ht="44.1" customHeight="1">
      <c r="A379" s="5" t="s">
        <v>3109</v>
      </c>
      <c r="B379" s="5" t="s">
        <v>2430</v>
      </c>
      <c r="C379" s="9" t="s">
        <v>3110</v>
      </c>
      <c r="D379" s="9"/>
      <c r="E379" s="5">
        <v>4</v>
      </c>
      <c r="F379" s="5">
        <v>1</v>
      </c>
      <c r="G379" s="5">
        <v>0</v>
      </c>
      <c r="H379" s="9" t="s">
        <v>3112</v>
      </c>
      <c r="I379" s="5">
        <v>5</v>
      </c>
      <c r="J379" s="5">
        <v>2</v>
      </c>
      <c r="K379" s="9" t="s">
        <v>3115</v>
      </c>
      <c r="L379" s="9" t="s">
        <v>3116</v>
      </c>
    </row>
    <row r="380" spans="1:12" ht="44.1" customHeight="1">
      <c r="A380" s="2" t="s">
        <v>3117</v>
      </c>
      <c r="B380" s="2" t="s">
        <v>2430</v>
      </c>
      <c r="C380" s="8" t="s">
        <v>3118</v>
      </c>
      <c r="D380" s="22" t="s">
        <v>192</v>
      </c>
      <c r="E380" s="2">
        <v>4</v>
      </c>
      <c r="F380" s="2">
        <v>1</v>
      </c>
      <c r="G380" s="2">
        <v>0</v>
      </c>
      <c r="H380" s="8" t="s">
        <v>3121</v>
      </c>
      <c r="I380" s="2">
        <v>3</v>
      </c>
      <c r="J380" s="2">
        <v>2</v>
      </c>
      <c r="K380" s="8" t="s">
        <v>3123</v>
      </c>
      <c r="L380" s="8" t="s">
        <v>3124</v>
      </c>
    </row>
    <row r="381" spans="1:12" ht="44.1" customHeight="1">
      <c r="A381" s="5" t="s">
        <v>3125</v>
      </c>
      <c r="B381" s="5" t="s">
        <v>2430</v>
      </c>
      <c r="C381" s="9" t="s">
        <v>3126</v>
      </c>
      <c r="D381" s="9"/>
      <c r="E381" s="5">
        <v>4</v>
      </c>
      <c r="F381" s="5">
        <v>1</v>
      </c>
      <c r="G381" s="5">
        <v>0</v>
      </c>
      <c r="H381" s="9" t="s">
        <v>3129</v>
      </c>
      <c r="I381" s="5">
        <v>4</v>
      </c>
      <c r="J381" s="5">
        <v>4</v>
      </c>
      <c r="K381" s="9" t="s">
        <v>3131</v>
      </c>
      <c r="L381" s="9" t="s">
        <v>3132</v>
      </c>
    </row>
    <row r="382" spans="1:12" ht="44.1" customHeight="1">
      <c r="A382" s="2" t="s">
        <v>3133</v>
      </c>
      <c r="B382" s="2" t="s">
        <v>2430</v>
      </c>
      <c r="C382" s="8" t="s">
        <v>3134</v>
      </c>
      <c r="D382" s="22" t="s">
        <v>192</v>
      </c>
      <c r="E382" s="2">
        <v>4</v>
      </c>
      <c r="F382" s="2">
        <v>1</v>
      </c>
      <c r="G382" s="2">
        <v>0</v>
      </c>
      <c r="H382" s="8" t="s">
        <v>3137</v>
      </c>
      <c r="I382" s="2">
        <v>3</v>
      </c>
      <c r="J382" s="2">
        <v>3</v>
      </c>
      <c r="K382" s="8" t="s">
        <v>3139</v>
      </c>
      <c r="L382" s="8" t="s">
        <v>3140</v>
      </c>
    </row>
    <row r="383" spans="1:12" ht="44.1" customHeight="1">
      <c r="A383" s="5" t="s">
        <v>3141</v>
      </c>
      <c r="B383" s="5" t="s">
        <v>2430</v>
      </c>
      <c r="C383" s="9" t="s">
        <v>3142</v>
      </c>
      <c r="D383" s="22" t="s">
        <v>181</v>
      </c>
      <c r="E383" s="5">
        <v>4</v>
      </c>
      <c r="F383" s="5">
        <v>1</v>
      </c>
      <c r="G383" s="5">
        <v>0</v>
      </c>
      <c r="H383" s="9" t="s">
        <v>3144</v>
      </c>
      <c r="I383" s="5">
        <v>5</v>
      </c>
      <c r="J383" s="5">
        <v>2</v>
      </c>
      <c r="K383" s="9" t="s">
        <v>3147</v>
      </c>
      <c r="L383" s="9" t="s">
        <v>3148</v>
      </c>
    </row>
    <row r="384" spans="1:12" ht="44.1" customHeight="1">
      <c r="A384" s="2" t="s">
        <v>3149</v>
      </c>
      <c r="B384" s="2" t="s">
        <v>2430</v>
      </c>
      <c r="C384" s="8" t="s">
        <v>3150</v>
      </c>
      <c r="D384" s="8"/>
      <c r="E384" s="2">
        <v>4</v>
      </c>
      <c r="F384" s="2">
        <v>1</v>
      </c>
      <c r="G384" s="2">
        <v>0</v>
      </c>
      <c r="H384" s="8" t="s">
        <v>3151</v>
      </c>
      <c r="I384" s="2">
        <v>2</v>
      </c>
      <c r="J384" s="2">
        <v>2</v>
      </c>
      <c r="K384" s="8" t="s">
        <v>3153</v>
      </c>
      <c r="L384" s="8" t="s">
        <v>3154</v>
      </c>
    </row>
    <row r="385" spans="1:12" ht="44.1" customHeight="1">
      <c r="A385" s="6" t="s">
        <v>3155</v>
      </c>
      <c r="B385" s="6" t="s">
        <v>2430</v>
      </c>
      <c r="C385" s="10" t="s">
        <v>3156</v>
      </c>
      <c r="D385" s="23" t="s">
        <v>181</v>
      </c>
      <c r="E385" s="6">
        <v>4</v>
      </c>
      <c r="F385" s="6">
        <v>1</v>
      </c>
      <c r="G385" s="6">
        <v>0</v>
      </c>
      <c r="H385" s="10" t="s">
        <v>3159</v>
      </c>
      <c r="I385" s="6">
        <v>4</v>
      </c>
      <c r="J385" s="6">
        <v>2</v>
      </c>
      <c r="K385" s="10" t="s">
        <v>3161</v>
      </c>
      <c r="L385" s="10" t="s">
        <v>3162</v>
      </c>
    </row>
  </sheetData>
  <mergeCells count="2">
    <mergeCell ref="A1:L1"/>
    <mergeCell ref="A2:L2"/>
  </mergeCells>
  <phoneticPr fontId="8"/>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528"/>
  <sheetViews>
    <sheetView showGridLines="0" workbookViewId="0"/>
  </sheetViews>
  <sheetFormatPr defaultRowHeight="14.25"/>
  <cols>
    <col min="1" max="1" width="19" customWidth="1"/>
    <col min="2" max="2" width="7" customWidth="1"/>
    <col min="3" max="3" width="25" customWidth="1"/>
    <col min="4" max="4" width="31" customWidth="1"/>
    <col min="5" max="5" width="34" customWidth="1"/>
    <col min="6" max="6" width="10" customWidth="1"/>
    <col min="7" max="7" width="15" customWidth="1"/>
    <col min="8" max="8" width="10" customWidth="1"/>
    <col min="9" max="9" width="15" customWidth="1"/>
    <col min="10" max="10" width="13" customWidth="1"/>
    <col min="11" max="11" width="17" customWidth="1"/>
    <col min="12" max="12" width="18" customWidth="1"/>
    <col min="13" max="13" width="12" customWidth="1"/>
    <col min="14" max="14" width="22" customWidth="1"/>
    <col min="15" max="15" width="28" customWidth="1"/>
    <col min="16" max="16" width="8" customWidth="1"/>
    <col min="17" max="17" width="42" customWidth="1"/>
    <col min="18" max="18" width="70" customWidth="1"/>
    <col min="19" max="19" width="48" customWidth="1"/>
    <col min="20" max="21" width="65" customWidth="1"/>
  </cols>
  <sheetData>
    <row r="1" spans="1:21" ht="30" customHeight="1">
      <c r="A1" s="24" t="s">
        <v>11836</v>
      </c>
      <c r="B1" s="24"/>
      <c r="C1" s="24"/>
      <c r="D1" s="24"/>
      <c r="E1" s="24"/>
      <c r="F1" s="24"/>
      <c r="G1" s="24"/>
      <c r="H1" s="24"/>
      <c r="I1" s="24"/>
      <c r="J1" s="24"/>
      <c r="K1" s="24"/>
      <c r="L1" s="24"/>
      <c r="M1" s="24"/>
      <c r="N1" s="24"/>
      <c r="O1" s="24"/>
      <c r="P1" s="24"/>
      <c r="Q1" s="24"/>
      <c r="R1" s="24"/>
      <c r="S1" s="24"/>
      <c r="T1" s="24"/>
      <c r="U1" s="24"/>
    </row>
    <row r="2" spans="1:21" ht="38.1" customHeight="1">
      <c r="A2" s="25" t="s">
        <v>11837</v>
      </c>
      <c r="B2" s="25"/>
      <c r="C2" s="25"/>
      <c r="D2" s="25"/>
      <c r="E2" s="25"/>
      <c r="F2" s="25"/>
      <c r="G2" s="25"/>
      <c r="H2" s="25"/>
      <c r="I2" s="25"/>
      <c r="J2" s="25"/>
      <c r="K2" s="25"/>
      <c r="L2" s="25"/>
      <c r="M2" s="25"/>
      <c r="N2" s="25"/>
      <c r="O2" s="25"/>
      <c r="P2" s="25"/>
      <c r="Q2" s="25"/>
      <c r="R2" s="25"/>
      <c r="S2" s="25"/>
      <c r="T2" s="25"/>
      <c r="U2" s="25"/>
    </row>
    <row r="4" spans="1:21" ht="45.95" customHeight="1">
      <c r="A4" s="1" t="s">
        <v>2</v>
      </c>
      <c r="B4" s="1" t="s">
        <v>3</v>
      </c>
      <c r="C4" s="1" t="s">
        <v>4</v>
      </c>
      <c r="D4" s="1" t="s">
        <v>3166</v>
      </c>
      <c r="E4" s="1" t="s">
        <v>7323</v>
      </c>
      <c r="F4" s="1" t="s">
        <v>7317</v>
      </c>
      <c r="G4" s="1" t="s">
        <v>11838</v>
      </c>
      <c r="H4" s="1" t="s">
        <v>7319</v>
      </c>
      <c r="I4" s="1" t="s">
        <v>11839</v>
      </c>
      <c r="J4" s="1" t="s">
        <v>3167</v>
      </c>
      <c r="K4" s="1" t="s">
        <v>11840</v>
      </c>
      <c r="L4" s="1" t="s">
        <v>11841</v>
      </c>
      <c r="M4" s="1" t="s">
        <v>11842</v>
      </c>
      <c r="N4" s="1" t="s">
        <v>11843</v>
      </c>
      <c r="O4" s="1" t="s">
        <v>7324</v>
      </c>
      <c r="P4" s="1" t="s">
        <v>7325</v>
      </c>
      <c r="Q4" s="1" t="s">
        <v>11844</v>
      </c>
      <c r="R4" s="1" t="s">
        <v>11845</v>
      </c>
      <c r="S4" s="1" t="s">
        <v>65</v>
      </c>
      <c r="T4" s="1" t="s">
        <v>66</v>
      </c>
      <c r="U4" s="1" t="s">
        <v>67</v>
      </c>
    </row>
    <row r="5" spans="1:21" ht="39.950000000000003" customHeight="1">
      <c r="A5" s="4" t="s">
        <v>72</v>
      </c>
      <c r="B5" s="4" t="s">
        <v>73</v>
      </c>
      <c r="C5" s="7" t="s">
        <v>74</v>
      </c>
      <c r="D5" s="7" t="s">
        <v>3176</v>
      </c>
      <c r="E5" s="7" t="s">
        <v>90</v>
      </c>
      <c r="F5" s="4">
        <v>2026</v>
      </c>
      <c r="G5" s="4">
        <v>862</v>
      </c>
      <c r="H5" s="4">
        <v>2029</v>
      </c>
      <c r="I5" s="4">
        <v>1168</v>
      </c>
      <c r="J5" s="4" t="s">
        <v>86</v>
      </c>
      <c r="K5" s="4">
        <v>10.67</v>
      </c>
      <c r="L5" s="4">
        <v>10.6569</v>
      </c>
      <c r="M5" s="4">
        <v>1.3100000000000001E-2</v>
      </c>
      <c r="N5" s="7" t="s">
        <v>11846</v>
      </c>
      <c r="O5" s="7" t="s">
        <v>11847</v>
      </c>
      <c r="P5" s="4">
        <v>2</v>
      </c>
      <c r="Q5" s="7"/>
      <c r="R5" s="7" t="s">
        <v>3181</v>
      </c>
      <c r="S5" s="7" t="str">
        <f>HYPERLINK("https://seichotoushi-hojo.jp/assets/pdf/koufu/outline_1.pdf","PDFを開く")</f>
        <v>PDFを開く</v>
      </c>
      <c r="T5" s="7" t="s">
        <v>88</v>
      </c>
      <c r="U5" s="7" t="s">
        <v>89</v>
      </c>
    </row>
    <row r="6" spans="1:21" ht="39.950000000000003" customHeight="1">
      <c r="A6" s="2" t="s">
        <v>72</v>
      </c>
      <c r="B6" s="2" t="s">
        <v>73</v>
      </c>
      <c r="C6" s="8" t="s">
        <v>74</v>
      </c>
      <c r="D6" s="8" t="s">
        <v>3184</v>
      </c>
      <c r="E6" s="8" t="s">
        <v>90</v>
      </c>
      <c r="F6" s="2">
        <v>2026</v>
      </c>
      <c r="G6" s="2">
        <v>439</v>
      </c>
      <c r="H6" s="2">
        <v>2029</v>
      </c>
      <c r="I6" s="2">
        <v>509</v>
      </c>
      <c r="J6" s="2" t="s">
        <v>86</v>
      </c>
      <c r="K6" s="2">
        <v>5</v>
      </c>
      <c r="L6" s="2">
        <v>5.0552000000000001</v>
      </c>
      <c r="M6" s="2">
        <v>5.5199999999999999E-2</v>
      </c>
      <c r="N6" s="8" t="s">
        <v>11846</v>
      </c>
      <c r="O6" s="8" t="s">
        <v>11847</v>
      </c>
      <c r="P6" s="2">
        <v>2</v>
      </c>
      <c r="Q6" s="8"/>
      <c r="R6" s="8" t="s">
        <v>3186</v>
      </c>
      <c r="S6" s="8" t="str">
        <f>HYPERLINK("https://seichotoushi-hojo.jp/assets/pdf/koufu/outline_1.pdf","PDFを開く")</f>
        <v>PDFを開く</v>
      </c>
      <c r="T6" s="8" t="s">
        <v>88</v>
      </c>
      <c r="U6" s="8" t="s">
        <v>89</v>
      </c>
    </row>
    <row r="7" spans="1:21" ht="39.950000000000003" customHeight="1">
      <c r="A7" s="5" t="s">
        <v>72</v>
      </c>
      <c r="B7" s="5" t="s">
        <v>73</v>
      </c>
      <c r="C7" s="9" t="s">
        <v>74</v>
      </c>
      <c r="D7" s="9" t="s">
        <v>3188</v>
      </c>
      <c r="E7" s="9" t="s">
        <v>91</v>
      </c>
      <c r="F7" s="5">
        <v>2026</v>
      </c>
      <c r="G7" s="5"/>
      <c r="H7" s="5">
        <v>2029</v>
      </c>
      <c r="I7" s="5"/>
      <c r="J7" s="5" t="s">
        <v>86</v>
      </c>
      <c r="K7" s="5">
        <v>5</v>
      </c>
      <c r="L7" s="5"/>
      <c r="M7" s="5"/>
      <c r="N7" s="9" t="s">
        <v>11846</v>
      </c>
      <c r="O7" s="9" t="s">
        <v>11848</v>
      </c>
      <c r="P7" s="5">
        <v>2</v>
      </c>
      <c r="Q7" s="9"/>
      <c r="R7" s="9" t="s">
        <v>3197</v>
      </c>
      <c r="S7" s="9" t="str">
        <f>HYPERLINK("https://seichotoushi-hojo.jp/assets/pdf/koufu/outline_1.pdf","PDFを開く")</f>
        <v>PDFを開く</v>
      </c>
      <c r="T7" s="9" t="s">
        <v>88</v>
      </c>
      <c r="U7" s="9" t="s">
        <v>89</v>
      </c>
    </row>
    <row r="8" spans="1:21" ht="39.950000000000003" customHeight="1">
      <c r="A8" s="2" t="s">
        <v>72</v>
      </c>
      <c r="B8" s="2" t="s">
        <v>73</v>
      </c>
      <c r="C8" s="8" t="s">
        <v>74</v>
      </c>
      <c r="D8" s="8" t="s">
        <v>3191</v>
      </c>
      <c r="E8" s="8" t="s">
        <v>92</v>
      </c>
      <c r="F8" s="2">
        <v>2026</v>
      </c>
      <c r="G8" s="2">
        <v>270</v>
      </c>
      <c r="H8" s="2">
        <v>2029</v>
      </c>
      <c r="I8" s="2">
        <v>290</v>
      </c>
      <c r="J8" s="2" t="s">
        <v>2513</v>
      </c>
      <c r="K8" s="2"/>
      <c r="L8" s="2"/>
      <c r="M8" s="2"/>
      <c r="N8" s="8" t="s">
        <v>11846</v>
      </c>
      <c r="O8" s="8" t="s">
        <v>11847</v>
      </c>
      <c r="P8" s="2">
        <v>2</v>
      </c>
      <c r="Q8" s="8"/>
      <c r="R8" s="8" t="s">
        <v>3193</v>
      </c>
      <c r="S8" s="8" t="str">
        <f>HYPERLINK("https://seichotoushi-hojo.jp/assets/pdf/koufu/outline_1.pdf","PDFを開く")</f>
        <v>PDFを開く</v>
      </c>
      <c r="T8" s="8" t="s">
        <v>88</v>
      </c>
      <c r="U8" s="8" t="s">
        <v>89</v>
      </c>
    </row>
    <row r="9" spans="1:21" ht="39.950000000000003" customHeight="1">
      <c r="A9" s="5" t="s">
        <v>93</v>
      </c>
      <c r="B9" s="5" t="s">
        <v>73</v>
      </c>
      <c r="C9" s="9" t="s">
        <v>94</v>
      </c>
      <c r="D9" s="9" t="s">
        <v>3176</v>
      </c>
      <c r="E9" s="9" t="s">
        <v>90</v>
      </c>
      <c r="F9" s="5">
        <v>2026</v>
      </c>
      <c r="G9" s="5">
        <v>1236</v>
      </c>
      <c r="H9" s="5">
        <v>2029</v>
      </c>
      <c r="I9" s="5">
        <v>1870</v>
      </c>
      <c r="J9" s="5" t="s">
        <v>86</v>
      </c>
      <c r="K9" s="5">
        <v>14.8</v>
      </c>
      <c r="L9" s="5">
        <v>14.799799999999999</v>
      </c>
      <c r="M9" s="5">
        <v>2.0000000000000001E-4</v>
      </c>
      <c r="N9" s="9" t="s">
        <v>11846</v>
      </c>
      <c r="O9" s="9" t="s">
        <v>11847</v>
      </c>
      <c r="P9" s="5">
        <v>2</v>
      </c>
      <c r="Q9" s="9"/>
      <c r="R9" s="9" t="s">
        <v>3201</v>
      </c>
      <c r="S9" s="9" t="str">
        <f>HYPERLINK("https://seichotoushi-hojo.jp/assets/pdf/koufu/outline_10.pdf","PDFを開く")</f>
        <v>PDFを開く</v>
      </c>
      <c r="T9" s="9" t="s">
        <v>103</v>
      </c>
      <c r="U9" s="9" t="s">
        <v>104</v>
      </c>
    </row>
    <row r="10" spans="1:21" ht="39.950000000000003" customHeight="1">
      <c r="A10" s="2" t="s">
        <v>93</v>
      </c>
      <c r="B10" s="2" t="s">
        <v>73</v>
      </c>
      <c r="C10" s="8" t="s">
        <v>94</v>
      </c>
      <c r="D10" s="8" t="s">
        <v>3184</v>
      </c>
      <c r="E10" s="8" t="s">
        <v>90</v>
      </c>
      <c r="F10" s="2">
        <v>2026</v>
      </c>
      <c r="G10" s="2">
        <v>336</v>
      </c>
      <c r="H10" s="2">
        <v>2029</v>
      </c>
      <c r="I10" s="2">
        <v>369</v>
      </c>
      <c r="J10" s="2" t="s">
        <v>86</v>
      </c>
      <c r="K10" s="2">
        <v>3</v>
      </c>
      <c r="L10" s="2">
        <v>3.1720999999999999</v>
      </c>
      <c r="M10" s="2">
        <v>0.1721</v>
      </c>
      <c r="N10" s="8" t="s">
        <v>11846</v>
      </c>
      <c r="O10" s="8" t="s">
        <v>11847</v>
      </c>
      <c r="P10" s="2">
        <v>2</v>
      </c>
      <c r="Q10" s="8"/>
      <c r="R10" s="8" t="s">
        <v>3204</v>
      </c>
      <c r="S10" s="8" t="str">
        <f>HYPERLINK("https://seichotoushi-hojo.jp/assets/pdf/koufu/outline_10.pdf","PDFを開く")</f>
        <v>PDFを開く</v>
      </c>
      <c r="T10" s="8" t="s">
        <v>103</v>
      </c>
      <c r="U10" s="8" t="s">
        <v>104</v>
      </c>
    </row>
    <row r="11" spans="1:21" ht="39.950000000000003" customHeight="1">
      <c r="A11" s="5" t="s">
        <v>93</v>
      </c>
      <c r="B11" s="5" t="s">
        <v>73</v>
      </c>
      <c r="C11" s="9" t="s">
        <v>94</v>
      </c>
      <c r="D11" s="9" t="s">
        <v>3188</v>
      </c>
      <c r="E11" s="9" t="s">
        <v>91</v>
      </c>
      <c r="F11" s="5">
        <v>2026</v>
      </c>
      <c r="G11" s="5"/>
      <c r="H11" s="5">
        <v>2029</v>
      </c>
      <c r="I11" s="5"/>
      <c r="J11" s="5" t="s">
        <v>86</v>
      </c>
      <c r="K11" s="5">
        <v>11.1</v>
      </c>
      <c r="L11" s="5"/>
      <c r="M11" s="5"/>
      <c r="N11" s="9" t="s">
        <v>11846</v>
      </c>
      <c r="O11" s="9" t="s">
        <v>11848</v>
      </c>
      <c r="P11" s="5">
        <v>2</v>
      </c>
      <c r="Q11" s="9"/>
      <c r="R11" s="9" t="s">
        <v>3212</v>
      </c>
      <c r="S11" s="9" t="str">
        <f>HYPERLINK("https://seichotoushi-hojo.jp/assets/pdf/koufu/outline_10.pdf","PDFを開く")</f>
        <v>PDFを開く</v>
      </c>
      <c r="T11" s="9" t="s">
        <v>103</v>
      </c>
      <c r="U11" s="9" t="s">
        <v>104</v>
      </c>
    </row>
    <row r="12" spans="1:21" ht="39.950000000000003" customHeight="1">
      <c r="A12" s="2" t="s">
        <v>93</v>
      </c>
      <c r="B12" s="2" t="s">
        <v>73</v>
      </c>
      <c r="C12" s="8" t="s">
        <v>94</v>
      </c>
      <c r="D12" s="8" t="s">
        <v>3191</v>
      </c>
      <c r="E12" s="8" t="s">
        <v>92</v>
      </c>
      <c r="F12" s="2">
        <v>2026</v>
      </c>
      <c r="G12" s="2">
        <v>840</v>
      </c>
      <c r="H12" s="2">
        <v>2029</v>
      </c>
      <c r="I12" s="2">
        <v>1132</v>
      </c>
      <c r="J12" s="2" t="s">
        <v>2513</v>
      </c>
      <c r="K12" s="2"/>
      <c r="L12" s="2"/>
      <c r="M12" s="2"/>
      <c r="N12" s="8" t="s">
        <v>11846</v>
      </c>
      <c r="O12" s="8" t="s">
        <v>11847</v>
      </c>
      <c r="P12" s="2">
        <v>2</v>
      </c>
      <c r="Q12" s="8"/>
      <c r="R12" s="8" t="s">
        <v>3208</v>
      </c>
      <c r="S12" s="8" t="str">
        <f>HYPERLINK("https://seichotoushi-hojo.jp/assets/pdf/koufu/outline_10.pdf","PDFを開く")</f>
        <v>PDFを開く</v>
      </c>
      <c r="T12" s="8" t="s">
        <v>103</v>
      </c>
      <c r="U12" s="8" t="s">
        <v>104</v>
      </c>
    </row>
    <row r="13" spans="1:21" ht="39.950000000000003" customHeight="1">
      <c r="A13" s="5" t="s">
        <v>105</v>
      </c>
      <c r="B13" s="5" t="s">
        <v>73</v>
      </c>
      <c r="C13" s="9" t="s">
        <v>106</v>
      </c>
      <c r="D13" s="9" t="s">
        <v>3176</v>
      </c>
      <c r="E13" s="22" t="s">
        <v>113</v>
      </c>
      <c r="F13" s="5">
        <v>2026</v>
      </c>
      <c r="G13" s="5">
        <v>1776</v>
      </c>
      <c r="H13" s="5">
        <v>2029</v>
      </c>
      <c r="I13" s="5">
        <v>1973</v>
      </c>
      <c r="J13" s="5" t="s">
        <v>86</v>
      </c>
      <c r="K13" s="5">
        <v>9.1</v>
      </c>
      <c r="L13" s="5">
        <v>3.5686</v>
      </c>
      <c r="M13" s="5">
        <v>5.5313999999999997</v>
      </c>
      <c r="N13" s="9" t="s">
        <v>11846</v>
      </c>
      <c r="O13" s="9" t="s">
        <v>292</v>
      </c>
      <c r="P13" s="5">
        <v>2</v>
      </c>
      <c r="Q13" s="9" t="s">
        <v>11849</v>
      </c>
      <c r="R13" s="9" t="s">
        <v>3229</v>
      </c>
      <c r="S13" s="9" t="str">
        <f>HYPERLINK("https://seichotoushi-hojo.jp/assets/pdf/koufu/outline_100.pdf","PDFを開く")</f>
        <v>PDFを開く</v>
      </c>
      <c r="T13" s="9" t="s">
        <v>111</v>
      </c>
      <c r="U13" s="9" t="s">
        <v>112</v>
      </c>
    </row>
    <row r="14" spans="1:21" ht="39.950000000000003" customHeight="1">
      <c r="A14" s="2" t="s">
        <v>105</v>
      </c>
      <c r="B14" s="2" t="s">
        <v>73</v>
      </c>
      <c r="C14" s="8" t="s">
        <v>106</v>
      </c>
      <c r="D14" s="8" t="s">
        <v>3184</v>
      </c>
      <c r="E14" s="8" t="s">
        <v>90</v>
      </c>
      <c r="F14" s="2">
        <v>2026</v>
      </c>
      <c r="G14" s="2">
        <v>450</v>
      </c>
      <c r="H14" s="2">
        <v>2029</v>
      </c>
      <c r="I14" s="2">
        <v>507</v>
      </c>
      <c r="J14" s="2" t="s">
        <v>86</v>
      </c>
      <c r="K14" s="2">
        <v>4.0599999999999996</v>
      </c>
      <c r="L14" s="2">
        <v>4.0555000000000003</v>
      </c>
      <c r="M14" s="2">
        <v>4.4999999999999997E-3</v>
      </c>
      <c r="N14" s="8" t="s">
        <v>11846</v>
      </c>
      <c r="O14" s="8" t="s">
        <v>11847</v>
      </c>
      <c r="P14" s="2">
        <v>2</v>
      </c>
      <c r="Q14" s="8"/>
      <c r="R14" s="8" t="s">
        <v>3219</v>
      </c>
      <c r="S14" s="8" t="str">
        <f>HYPERLINK("https://seichotoushi-hojo.jp/assets/pdf/koufu/outline_100.pdf","PDFを開く")</f>
        <v>PDFを開く</v>
      </c>
      <c r="T14" s="8" t="s">
        <v>111</v>
      </c>
      <c r="U14" s="8" t="s">
        <v>112</v>
      </c>
    </row>
    <row r="15" spans="1:21" ht="39.950000000000003" customHeight="1">
      <c r="A15" s="5" t="s">
        <v>105</v>
      </c>
      <c r="B15" s="5" t="s">
        <v>73</v>
      </c>
      <c r="C15" s="9" t="s">
        <v>106</v>
      </c>
      <c r="D15" s="9" t="s">
        <v>3188</v>
      </c>
      <c r="E15" s="9" t="s">
        <v>90</v>
      </c>
      <c r="F15" s="5">
        <v>2026</v>
      </c>
      <c r="G15" s="5">
        <v>3069</v>
      </c>
      <c r="H15" s="5">
        <v>2029</v>
      </c>
      <c r="I15" s="5">
        <v>3453</v>
      </c>
      <c r="J15" s="5" t="s">
        <v>86</v>
      </c>
      <c r="K15" s="5">
        <v>4</v>
      </c>
      <c r="L15" s="5">
        <v>4.008</v>
      </c>
      <c r="M15" s="5">
        <v>8.0000000000000002E-3</v>
      </c>
      <c r="N15" s="9" t="s">
        <v>11846</v>
      </c>
      <c r="O15" s="9" t="s">
        <v>11847</v>
      </c>
      <c r="P15" s="5">
        <v>2</v>
      </c>
      <c r="Q15" s="9"/>
      <c r="R15" s="9" t="s">
        <v>3222</v>
      </c>
      <c r="S15" s="9" t="str">
        <f>HYPERLINK("https://seichotoushi-hojo.jp/assets/pdf/koufu/outline_100.pdf","PDFを開く")</f>
        <v>PDFを開く</v>
      </c>
      <c r="T15" s="9" t="s">
        <v>111</v>
      </c>
      <c r="U15" s="9" t="s">
        <v>112</v>
      </c>
    </row>
    <row r="16" spans="1:21" ht="39.950000000000003" customHeight="1">
      <c r="A16" s="2" t="s">
        <v>105</v>
      </c>
      <c r="B16" s="2" t="s">
        <v>73</v>
      </c>
      <c r="C16" s="8" t="s">
        <v>106</v>
      </c>
      <c r="D16" s="8" t="s">
        <v>3191</v>
      </c>
      <c r="E16" s="8" t="s">
        <v>92</v>
      </c>
      <c r="F16" s="2">
        <v>2026</v>
      </c>
      <c r="G16" s="2">
        <v>225</v>
      </c>
      <c r="H16" s="2">
        <v>2029</v>
      </c>
      <c r="I16" s="2">
        <v>298</v>
      </c>
      <c r="J16" s="2" t="s">
        <v>2513</v>
      </c>
      <c r="K16" s="2"/>
      <c r="L16" s="2"/>
      <c r="M16" s="2"/>
      <c r="N16" s="8" t="s">
        <v>11846</v>
      </c>
      <c r="O16" s="8" t="s">
        <v>11847</v>
      </c>
      <c r="P16" s="2">
        <v>2</v>
      </c>
      <c r="Q16" s="8"/>
      <c r="R16" s="8" t="s">
        <v>3225</v>
      </c>
      <c r="S16" s="8" t="str">
        <f>HYPERLINK("https://seichotoushi-hojo.jp/assets/pdf/koufu/outline_100.pdf","PDFを開く")</f>
        <v>PDFを開く</v>
      </c>
      <c r="T16" s="8" t="s">
        <v>111</v>
      </c>
      <c r="U16" s="8" t="s">
        <v>112</v>
      </c>
    </row>
    <row r="17" spans="1:21" ht="39.950000000000003" customHeight="1">
      <c r="A17" s="5" t="s">
        <v>114</v>
      </c>
      <c r="B17" s="5" t="s">
        <v>73</v>
      </c>
      <c r="C17" s="9" t="s">
        <v>115</v>
      </c>
      <c r="D17" s="9" t="s">
        <v>3176</v>
      </c>
      <c r="E17" s="9" t="s">
        <v>90</v>
      </c>
      <c r="F17" s="5">
        <v>2026</v>
      </c>
      <c r="G17" s="5">
        <v>1027</v>
      </c>
      <c r="H17" s="5">
        <v>2029</v>
      </c>
      <c r="I17" s="5">
        <v>1204</v>
      </c>
      <c r="J17" s="5" t="s">
        <v>86</v>
      </c>
      <c r="K17" s="5">
        <v>5.45</v>
      </c>
      <c r="L17" s="5">
        <v>5.4432</v>
      </c>
      <c r="M17" s="5">
        <v>6.7999999999999996E-3</v>
      </c>
      <c r="N17" s="9" t="s">
        <v>11846</v>
      </c>
      <c r="O17" s="9" t="s">
        <v>11847</v>
      </c>
      <c r="P17" s="5">
        <v>5</v>
      </c>
      <c r="Q17" s="9"/>
      <c r="R17" s="9" t="s">
        <v>3233</v>
      </c>
      <c r="S17" s="9" t="str">
        <f>HYPERLINK("https://seichotoushi-hojo.jp/assets/pdf/koufu/outline_101.pdf","PDFを開く")</f>
        <v>PDFを開く</v>
      </c>
      <c r="T17" s="9" t="s">
        <v>123</v>
      </c>
      <c r="U17" s="9" t="s">
        <v>124</v>
      </c>
    </row>
    <row r="18" spans="1:21" ht="39.950000000000003" customHeight="1">
      <c r="A18" s="2" t="s">
        <v>114</v>
      </c>
      <c r="B18" s="2" t="s">
        <v>73</v>
      </c>
      <c r="C18" s="8" t="s">
        <v>115</v>
      </c>
      <c r="D18" s="8" t="s">
        <v>3184</v>
      </c>
      <c r="E18" s="8" t="s">
        <v>90</v>
      </c>
      <c r="F18" s="2">
        <v>2026</v>
      </c>
      <c r="G18" s="2">
        <v>631</v>
      </c>
      <c r="H18" s="2">
        <v>2029</v>
      </c>
      <c r="I18" s="2">
        <v>717</v>
      </c>
      <c r="J18" s="2" t="s">
        <v>86</v>
      </c>
      <c r="K18" s="2">
        <v>4.3499999999999996</v>
      </c>
      <c r="L18" s="2">
        <v>4.351</v>
      </c>
      <c r="M18" s="2">
        <v>1E-3</v>
      </c>
      <c r="N18" s="8" t="s">
        <v>11846</v>
      </c>
      <c r="O18" s="8" t="s">
        <v>11847</v>
      </c>
      <c r="P18" s="2">
        <v>5</v>
      </c>
      <c r="Q18" s="8"/>
      <c r="R18" s="8" t="s">
        <v>3236</v>
      </c>
      <c r="S18" s="8" t="str">
        <f>HYPERLINK("https://seichotoushi-hojo.jp/assets/pdf/koufu/outline_101.pdf","PDFを開く")</f>
        <v>PDFを開く</v>
      </c>
      <c r="T18" s="8" t="s">
        <v>123</v>
      </c>
      <c r="U18" s="8" t="s">
        <v>124</v>
      </c>
    </row>
    <row r="19" spans="1:21" ht="39.950000000000003" customHeight="1">
      <c r="A19" s="5" t="s">
        <v>114</v>
      </c>
      <c r="B19" s="5" t="s">
        <v>73</v>
      </c>
      <c r="C19" s="9" t="s">
        <v>115</v>
      </c>
      <c r="D19" s="9" t="s">
        <v>3188</v>
      </c>
      <c r="E19" s="9" t="s">
        <v>90</v>
      </c>
      <c r="F19" s="5">
        <v>2026</v>
      </c>
      <c r="G19" s="5">
        <v>1616</v>
      </c>
      <c r="H19" s="5">
        <v>2029</v>
      </c>
      <c r="I19" s="5">
        <v>1870</v>
      </c>
      <c r="J19" s="5" t="s">
        <v>86</v>
      </c>
      <c r="K19" s="5">
        <v>5</v>
      </c>
      <c r="L19" s="5">
        <v>4.9865000000000004</v>
      </c>
      <c r="M19" s="5">
        <v>1.35E-2</v>
      </c>
      <c r="N19" s="9" t="s">
        <v>11846</v>
      </c>
      <c r="O19" s="9" t="s">
        <v>11847</v>
      </c>
      <c r="P19" s="5">
        <v>5</v>
      </c>
      <c r="Q19" s="9"/>
      <c r="R19" s="9" t="s">
        <v>3239</v>
      </c>
      <c r="S19" s="9" t="str">
        <f>HYPERLINK("https://seichotoushi-hojo.jp/assets/pdf/koufu/outline_101.pdf","PDFを開く")</f>
        <v>PDFを開く</v>
      </c>
      <c r="T19" s="9" t="s">
        <v>123</v>
      </c>
      <c r="U19" s="9" t="s">
        <v>124</v>
      </c>
    </row>
    <row r="20" spans="1:21" ht="39.950000000000003" customHeight="1">
      <c r="A20" s="2" t="s">
        <v>114</v>
      </c>
      <c r="B20" s="2" t="s">
        <v>73</v>
      </c>
      <c r="C20" s="8" t="s">
        <v>115</v>
      </c>
      <c r="D20" s="8" t="s">
        <v>3191</v>
      </c>
      <c r="E20" s="8" t="s">
        <v>92</v>
      </c>
      <c r="F20" s="2">
        <v>2026</v>
      </c>
      <c r="G20" s="2">
        <v>795</v>
      </c>
      <c r="H20" s="2">
        <v>2029</v>
      </c>
      <c r="I20" s="2">
        <v>810</v>
      </c>
      <c r="J20" s="2" t="s">
        <v>2513</v>
      </c>
      <c r="K20" s="2"/>
      <c r="L20" s="2"/>
      <c r="M20" s="2"/>
      <c r="N20" s="8" t="s">
        <v>11846</v>
      </c>
      <c r="O20" s="8" t="s">
        <v>11847</v>
      </c>
      <c r="P20" s="2">
        <v>5</v>
      </c>
      <c r="Q20" s="8"/>
      <c r="R20" s="8" t="s">
        <v>3241</v>
      </c>
      <c r="S20" s="8" t="str">
        <f>HYPERLINK("https://seichotoushi-hojo.jp/assets/pdf/koufu/outline_101.pdf","PDFを開く")</f>
        <v>PDFを開く</v>
      </c>
      <c r="T20" s="8" t="s">
        <v>123</v>
      </c>
      <c r="U20" s="8" t="s">
        <v>124</v>
      </c>
    </row>
    <row r="21" spans="1:21" ht="39.950000000000003" customHeight="1">
      <c r="A21" s="5" t="s">
        <v>125</v>
      </c>
      <c r="B21" s="5" t="s">
        <v>73</v>
      </c>
      <c r="C21" s="9" t="s">
        <v>126</v>
      </c>
      <c r="D21" s="9" t="s">
        <v>3176</v>
      </c>
      <c r="E21" s="22" t="s">
        <v>113</v>
      </c>
      <c r="F21" s="5">
        <v>2026</v>
      </c>
      <c r="G21" s="5">
        <v>912</v>
      </c>
      <c r="H21" s="5">
        <v>2029</v>
      </c>
      <c r="I21" s="5">
        <v>1492</v>
      </c>
      <c r="J21" s="5" t="s">
        <v>86</v>
      </c>
      <c r="K21" s="5">
        <v>14.5</v>
      </c>
      <c r="L21" s="5">
        <v>17.8306</v>
      </c>
      <c r="M21" s="5">
        <v>3.3306</v>
      </c>
      <c r="N21" s="9" t="s">
        <v>11846</v>
      </c>
      <c r="O21" s="9" t="s">
        <v>292</v>
      </c>
      <c r="P21" s="5">
        <v>2</v>
      </c>
      <c r="Q21" s="9" t="s">
        <v>11849</v>
      </c>
      <c r="R21" s="9" t="s">
        <v>3253</v>
      </c>
      <c r="S21" s="9" t="str">
        <f>HYPERLINK("https://seichotoushi-hojo.jp/assets/pdf/koufu/outline_102.pdf","PDFを開く")</f>
        <v>PDFを開く</v>
      </c>
      <c r="T21" s="9" t="s">
        <v>130</v>
      </c>
      <c r="U21" s="9" t="s">
        <v>131</v>
      </c>
    </row>
    <row r="22" spans="1:21" ht="39.950000000000003" customHeight="1">
      <c r="A22" s="2" t="s">
        <v>125</v>
      </c>
      <c r="B22" s="2" t="s">
        <v>73</v>
      </c>
      <c r="C22" s="8" t="s">
        <v>126</v>
      </c>
      <c r="D22" s="8" t="s">
        <v>3184</v>
      </c>
      <c r="E22" s="8" t="s">
        <v>90</v>
      </c>
      <c r="F22" s="2">
        <v>2026</v>
      </c>
      <c r="G22" s="2">
        <v>471</v>
      </c>
      <c r="H22" s="2">
        <v>2029</v>
      </c>
      <c r="I22" s="2">
        <v>522.5</v>
      </c>
      <c r="J22" s="2" t="s">
        <v>86</v>
      </c>
      <c r="K22" s="2">
        <v>3.52</v>
      </c>
      <c r="L22" s="2">
        <v>3.5194000000000001</v>
      </c>
      <c r="M22" s="2">
        <v>5.9999999999999995E-4</v>
      </c>
      <c r="N22" s="8" t="s">
        <v>11846</v>
      </c>
      <c r="O22" s="8" t="s">
        <v>11847</v>
      </c>
      <c r="P22" s="2">
        <v>2</v>
      </c>
      <c r="Q22" s="8"/>
      <c r="R22" s="8" t="s">
        <v>3247</v>
      </c>
      <c r="S22" s="8" t="str">
        <f>HYPERLINK("https://seichotoushi-hojo.jp/assets/pdf/koufu/outline_102.pdf","PDFを開く")</f>
        <v>PDFを開く</v>
      </c>
      <c r="T22" s="8" t="s">
        <v>130</v>
      </c>
      <c r="U22" s="8" t="s">
        <v>131</v>
      </c>
    </row>
    <row r="23" spans="1:21" ht="39.950000000000003" customHeight="1">
      <c r="A23" s="5" t="s">
        <v>125</v>
      </c>
      <c r="B23" s="5" t="s">
        <v>73</v>
      </c>
      <c r="C23" s="9" t="s">
        <v>126</v>
      </c>
      <c r="D23" s="9" t="s">
        <v>3188</v>
      </c>
      <c r="E23" s="9" t="s">
        <v>91</v>
      </c>
      <c r="F23" s="5">
        <v>2026</v>
      </c>
      <c r="G23" s="5"/>
      <c r="H23" s="5">
        <v>2029</v>
      </c>
      <c r="I23" s="5"/>
      <c r="J23" s="5" t="s">
        <v>86</v>
      </c>
      <c r="K23" s="5">
        <v>3.03</v>
      </c>
      <c r="L23" s="5"/>
      <c r="M23" s="5"/>
      <c r="N23" s="9" t="s">
        <v>11846</v>
      </c>
      <c r="O23" s="9" t="s">
        <v>11848</v>
      </c>
      <c r="P23" s="5">
        <v>2</v>
      </c>
      <c r="Q23" s="9"/>
      <c r="R23" s="9" t="s">
        <v>3256</v>
      </c>
      <c r="S23" s="9" t="str">
        <f>HYPERLINK("https://seichotoushi-hojo.jp/assets/pdf/koufu/outline_102.pdf","PDFを開く")</f>
        <v>PDFを開く</v>
      </c>
      <c r="T23" s="9" t="s">
        <v>130</v>
      </c>
      <c r="U23" s="9" t="s">
        <v>131</v>
      </c>
    </row>
    <row r="24" spans="1:21" ht="39.950000000000003" customHeight="1">
      <c r="A24" s="2" t="s">
        <v>125</v>
      </c>
      <c r="B24" s="2" t="s">
        <v>73</v>
      </c>
      <c r="C24" s="8" t="s">
        <v>126</v>
      </c>
      <c r="D24" s="8" t="s">
        <v>3191</v>
      </c>
      <c r="E24" s="8" t="s">
        <v>92</v>
      </c>
      <c r="F24" s="2">
        <v>2026</v>
      </c>
      <c r="G24" s="2">
        <v>68</v>
      </c>
      <c r="H24" s="2">
        <v>2029</v>
      </c>
      <c r="I24" s="2">
        <v>80</v>
      </c>
      <c r="J24" s="2" t="s">
        <v>2513</v>
      </c>
      <c r="K24" s="2"/>
      <c r="L24" s="2"/>
      <c r="M24" s="2"/>
      <c r="N24" s="8" t="s">
        <v>11846</v>
      </c>
      <c r="O24" s="8" t="s">
        <v>11847</v>
      </c>
      <c r="P24" s="2">
        <v>2</v>
      </c>
      <c r="Q24" s="8"/>
      <c r="R24" s="8" t="s">
        <v>3251</v>
      </c>
      <c r="S24" s="8" t="str">
        <f>HYPERLINK("https://seichotoushi-hojo.jp/assets/pdf/koufu/outline_102.pdf","PDFを開く")</f>
        <v>PDFを開く</v>
      </c>
      <c r="T24" s="8" t="s">
        <v>130</v>
      </c>
      <c r="U24" s="8" t="s">
        <v>131</v>
      </c>
    </row>
    <row r="25" spans="1:21" ht="39.950000000000003" customHeight="1">
      <c r="A25" s="5" t="s">
        <v>132</v>
      </c>
      <c r="B25" s="5" t="s">
        <v>73</v>
      </c>
      <c r="C25" s="9" t="s">
        <v>133</v>
      </c>
      <c r="D25" s="9" t="s">
        <v>3176</v>
      </c>
      <c r="E25" s="9" t="s">
        <v>90</v>
      </c>
      <c r="F25" s="5">
        <v>2027</v>
      </c>
      <c r="G25" s="5">
        <v>1851</v>
      </c>
      <c r="H25" s="5">
        <v>2030</v>
      </c>
      <c r="I25" s="5">
        <v>2592</v>
      </c>
      <c r="J25" s="5" t="s">
        <v>86</v>
      </c>
      <c r="K25" s="5">
        <v>11.9</v>
      </c>
      <c r="L25" s="5">
        <v>11.8775</v>
      </c>
      <c r="M25" s="5">
        <v>2.2499999999999999E-2</v>
      </c>
      <c r="N25" s="9" t="s">
        <v>11846</v>
      </c>
      <c r="O25" s="9" t="s">
        <v>11847</v>
      </c>
      <c r="P25" s="5">
        <v>2</v>
      </c>
      <c r="Q25" s="9"/>
      <c r="R25" s="9" t="s">
        <v>3261</v>
      </c>
      <c r="S25" s="9" t="str">
        <f>HYPERLINK("https://seichotoushi-hojo.jp/assets/pdf/koufu/outline_103.pdf","PDFを開く")</f>
        <v>PDFを開く</v>
      </c>
      <c r="T25" s="9" t="s">
        <v>137</v>
      </c>
      <c r="U25" s="9" t="s">
        <v>138</v>
      </c>
    </row>
    <row r="26" spans="1:21" ht="39.950000000000003" customHeight="1">
      <c r="A26" s="2" t="s">
        <v>132</v>
      </c>
      <c r="B26" s="2" t="s">
        <v>73</v>
      </c>
      <c r="C26" s="8" t="s">
        <v>133</v>
      </c>
      <c r="D26" s="8" t="s">
        <v>3184</v>
      </c>
      <c r="E26" s="8" t="s">
        <v>90</v>
      </c>
      <c r="F26" s="2">
        <v>2027</v>
      </c>
      <c r="G26" s="2">
        <v>472</v>
      </c>
      <c r="H26" s="2">
        <v>2030</v>
      </c>
      <c r="I26" s="2">
        <v>551</v>
      </c>
      <c r="J26" s="2" t="s">
        <v>86</v>
      </c>
      <c r="K26" s="2">
        <v>5.3</v>
      </c>
      <c r="L26" s="2">
        <v>5.2938999999999998</v>
      </c>
      <c r="M26" s="2">
        <v>6.1000000000000004E-3</v>
      </c>
      <c r="N26" s="8" t="s">
        <v>11846</v>
      </c>
      <c r="O26" s="8" t="s">
        <v>11847</v>
      </c>
      <c r="P26" s="2">
        <v>2</v>
      </c>
      <c r="Q26" s="8"/>
      <c r="R26" s="8" t="s">
        <v>3265</v>
      </c>
      <c r="S26" s="8" t="str">
        <f>HYPERLINK("https://seichotoushi-hojo.jp/assets/pdf/koufu/outline_103.pdf","PDFを開く")</f>
        <v>PDFを開く</v>
      </c>
      <c r="T26" s="8" t="s">
        <v>137</v>
      </c>
      <c r="U26" s="8" t="s">
        <v>138</v>
      </c>
    </row>
    <row r="27" spans="1:21" ht="39.950000000000003" customHeight="1">
      <c r="A27" s="5" t="s">
        <v>132</v>
      </c>
      <c r="B27" s="5" t="s">
        <v>73</v>
      </c>
      <c r="C27" s="9" t="s">
        <v>133</v>
      </c>
      <c r="D27" s="9" t="s">
        <v>3188</v>
      </c>
      <c r="E27" s="9" t="s">
        <v>92</v>
      </c>
      <c r="F27" s="5">
        <v>2027</v>
      </c>
      <c r="G27" s="5">
        <v>0</v>
      </c>
      <c r="H27" s="5">
        <v>2030</v>
      </c>
      <c r="I27" s="5">
        <v>0</v>
      </c>
      <c r="J27" s="5" t="s">
        <v>86</v>
      </c>
      <c r="K27" s="5">
        <v>0</v>
      </c>
      <c r="L27" s="5"/>
      <c r="M27" s="5"/>
      <c r="N27" s="9" t="s">
        <v>11846</v>
      </c>
      <c r="O27" s="9" t="s">
        <v>11847</v>
      </c>
      <c r="P27" s="5">
        <v>2</v>
      </c>
      <c r="Q27" s="9"/>
      <c r="R27" s="9" t="s">
        <v>3268</v>
      </c>
      <c r="S27" s="9" t="str">
        <f>HYPERLINK("https://seichotoushi-hojo.jp/assets/pdf/koufu/outline_103.pdf","PDFを開く")</f>
        <v>PDFを開く</v>
      </c>
      <c r="T27" s="9" t="s">
        <v>137</v>
      </c>
      <c r="U27" s="9" t="s">
        <v>138</v>
      </c>
    </row>
    <row r="28" spans="1:21" ht="39.950000000000003" customHeight="1">
      <c r="A28" s="2" t="s">
        <v>132</v>
      </c>
      <c r="B28" s="2" t="s">
        <v>73</v>
      </c>
      <c r="C28" s="8" t="s">
        <v>133</v>
      </c>
      <c r="D28" s="8" t="s">
        <v>3191</v>
      </c>
      <c r="E28" s="8" t="s">
        <v>92</v>
      </c>
      <c r="F28" s="2">
        <v>2027</v>
      </c>
      <c r="G28" s="2">
        <v>35</v>
      </c>
      <c r="H28" s="2">
        <v>2030</v>
      </c>
      <c r="I28" s="2">
        <v>50</v>
      </c>
      <c r="J28" s="2" t="s">
        <v>2513</v>
      </c>
      <c r="K28" s="2"/>
      <c r="L28" s="2"/>
      <c r="M28" s="2"/>
      <c r="N28" s="8" t="s">
        <v>11846</v>
      </c>
      <c r="O28" s="8" t="s">
        <v>11847</v>
      </c>
      <c r="P28" s="2">
        <v>2</v>
      </c>
      <c r="Q28" s="8"/>
      <c r="R28" s="8" t="s">
        <v>3270</v>
      </c>
      <c r="S28" s="8" t="str">
        <f>HYPERLINK("https://seichotoushi-hojo.jp/assets/pdf/koufu/outline_103.pdf","PDFを開く")</f>
        <v>PDFを開く</v>
      </c>
      <c r="T28" s="8" t="s">
        <v>137</v>
      </c>
      <c r="U28" s="8" t="s">
        <v>138</v>
      </c>
    </row>
    <row r="29" spans="1:21" ht="39.950000000000003" customHeight="1">
      <c r="A29" s="5" t="s">
        <v>139</v>
      </c>
      <c r="B29" s="5" t="s">
        <v>73</v>
      </c>
      <c r="C29" s="9" t="s">
        <v>140</v>
      </c>
      <c r="D29" s="9" t="s">
        <v>3176</v>
      </c>
      <c r="E29" s="9" t="s">
        <v>90</v>
      </c>
      <c r="F29" s="5">
        <v>2026</v>
      </c>
      <c r="G29" s="5">
        <v>1169</v>
      </c>
      <c r="H29" s="5">
        <v>2029</v>
      </c>
      <c r="I29" s="5">
        <v>1489</v>
      </c>
      <c r="J29" s="5" t="s">
        <v>86</v>
      </c>
      <c r="K29" s="5">
        <v>8.4</v>
      </c>
      <c r="L29" s="5">
        <v>8.3994</v>
      </c>
      <c r="M29" s="5">
        <v>5.9999999999999995E-4</v>
      </c>
      <c r="N29" s="9" t="s">
        <v>11846</v>
      </c>
      <c r="O29" s="9" t="s">
        <v>11847</v>
      </c>
      <c r="P29" s="5">
        <v>2</v>
      </c>
      <c r="Q29" s="9"/>
      <c r="R29" s="9" t="s">
        <v>3273</v>
      </c>
      <c r="S29" s="9" t="str">
        <f>HYPERLINK("https://seichotoushi-hojo.jp/assets/pdf/koufu/outline_104.pdf","PDFを開く")</f>
        <v>PDFを開く</v>
      </c>
      <c r="T29" s="9" t="s">
        <v>144</v>
      </c>
      <c r="U29" s="9" t="s">
        <v>145</v>
      </c>
    </row>
    <row r="30" spans="1:21" ht="39.950000000000003" customHeight="1">
      <c r="A30" s="2" t="s">
        <v>139</v>
      </c>
      <c r="B30" s="2" t="s">
        <v>73</v>
      </c>
      <c r="C30" s="8" t="s">
        <v>140</v>
      </c>
      <c r="D30" s="8" t="s">
        <v>3184</v>
      </c>
      <c r="E30" s="8" t="s">
        <v>90</v>
      </c>
      <c r="F30" s="2">
        <v>2026</v>
      </c>
      <c r="G30" s="2">
        <v>482</v>
      </c>
      <c r="H30" s="2">
        <v>2029</v>
      </c>
      <c r="I30" s="2">
        <v>550</v>
      </c>
      <c r="J30" s="2" t="s">
        <v>86</v>
      </c>
      <c r="K30" s="2">
        <v>4.5</v>
      </c>
      <c r="L30" s="2">
        <v>4.4973000000000001</v>
      </c>
      <c r="M30" s="2">
        <v>2.7000000000000001E-3</v>
      </c>
      <c r="N30" s="8" t="s">
        <v>11846</v>
      </c>
      <c r="O30" s="8" t="s">
        <v>11847</v>
      </c>
      <c r="P30" s="2">
        <v>2</v>
      </c>
      <c r="Q30" s="8"/>
      <c r="R30" s="8" t="s">
        <v>3276</v>
      </c>
      <c r="S30" s="8" t="str">
        <f>HYPERLINK("https://seichotoushi-hojo.jp/assets/pdf/koufu/outline_104.pdf","PDFを開く")</f>
        <v>PDFを開く</v>
      </c>
      <c r="T30" s="8" t="s">
        <v>144</v>
      </c>
      <c r="U30" s="8" t="s">
        <v>145</v>
      </c>
    </row>
    <row r="31" spans="1:21" ht="39.950000000000003" customHeight="1">
      <c r="A31" s="5" t="s">
        <v>139</v>
      </c>
      <c r="B31" s="5" t="s">
        <v>73</v>
      </c>
      <c r="C31" s="9" t="s">
        <v>140</v>
      </c>
      <c r="D31" s="9" t="s">
        <v>3188</v>
      </c>
      <c r="E31" s="9" t="s">
        <v>91</v>
      </c>
      <c r="F31" s="5">
        <v>2026</v>
      </c>
      <c r="G31" s="5"/>
      <c r="H31" s="5">
        <v>2029</v>
      </c>
      <c r="I31" s="5"/>
      <c r="J31" s="5" t="s">
        <v>86</v>
      </c>
      <c r="K31" s="5">
        <v>4.5</v>
      </c>
      <c r="L31" s="5"/>
      <c r="M31" s="5"/>
      <c r="N31" s="9" t="s">
        <v>11846</v>
      </c>
      <c r="O31" s="9" t="s">
        <v>11848</v>
      </c>
      <c r="P31" s="5">
        <v>2</v>
      </c>
      <c r="Q31" s="9"/>
      <c r="R31" s="9" t="s">
        <v>3282</v>
      </c>
      <c r="S31" s="9" t="str">
        <f>HYPERLINK("https://seichotoushi-hojo.jp/assets/pdf/koufu/outline_104.pdf","PDFを開く")</f>
        <v>PDFを開く</v>
      </c>
      <c r="T31" s="9" t="s">
        <v>144</v>
      </c>
      <c r="U31" s="9" t="s">
        <v>145</v>
      </c>
    </row>
    <row r="32" spans="1:21" ht="39.950000000000003" customHeight="1">
      <c r="A32" s="2" t="s">
        <v>139</v>
      </c>
      <c r="B32" s="2" t="s">
        <v>73</v>
      </c>
      <c r="C32" s="8" t="s">
        <v>140</v>
      </c>
      <c r="D32" s="8" t="s">
        <v>3191</v>
      </c>
      <c r="E32" s="8" t="s">
        <v>92</v>
      </c>
      <c r="F32" s="2">
        <v>2026</v>
      </c>
      <c r="G32" s="2">
        <v>215</v>
      </c>
      <c r="H32" s="2">
        <v>2029</v>
      </c>
      <c r="I32" s="2">
        <v>225</v>
      </c>
      <c r="J32" s="2" t="s">
        <v>2513</v>
      </c>
      <c r="K32" s="2"/>
      <c r="L32" s="2"/>
      <c r="M32" s="2"/>
      <c r="N32" s="8" t="s">
        <v>11846</v>
      </c>
      <c r="O32" s="8" t="s">
        <v>11847</v>
      </c>
      <c r="P32" s="2">
        <v>2</v>
      </c>
      <c r="Q32" s="8"/>
      <c r="R32" s="8" t="s">
        <v>3280</v>
      </c>
      <c r="S32" s="8" t="str">
        <f>HYPERLINK("https://seichotoushi-hojo.jp/assets/pdf/koufu/outline_104.pdf","PDFを開く")</f>
        <v>PDFを開く</v>
      </c>
      <c r="T32" s="8" t="s">
        <v>144</v>
      </c>
      <c r="U32" s="8" t="s">
        <v>145</v>
      </c>
    </row>
    <row r="33" spans="1:21" ht="39.950000000000003" customHeight="1">
      <c r="A33" s="5" t="s">
        <v>146</v>
      </c>
      <c r="B33" s="5" t="s">
        <v>73</v>
      </c>
      <c r="C33" s="9" t="s">
        <v>147</v>
      </c>
      <c r="D33" s="9" t="s">
        <v>3176</v>
      </c>
      <c r="E33" s="9" t="s">
        <v>90</v>
      </c>
      <c r="F33" s="5">
        <v>2027</v>
      </c>
      <c r="G33" s="5">
        <v>877</v>
      </c>
      <c r="H33" s="5">
        <v>2030</v>
      </c>
      <c r="I33" s="5">
        <v>1020</v>
      </c>
      <c r="J33" s="5" t="s">
        <v>86</v>
      </c>
      <c r="K33" s="5">
        <v>5.2</v>
      </c>
      <c r="L33" s="5">
        <v>5.1638999999999999</v>
      </c>
      <c r="M33" s="5">
        <v>3.61E-2</v>
      </c>
      <c r="N33" s="9" t="s">
        <v>11846</v>
      </c>
      <c r="O33" s="9" t="s">
        <v>11847</v>
      </c>
      <c r="P33" s="5">
        <v>2</v>
      </c>
      <c r="Q33" s="9"/>
      <c r="R33" s="9" t="s">
        <v>3286</v>
      </c>
      <c r="S33" s="9" t="str">
        <f>HYPERLINK("https://seichotoushi-hojo.jp/assets/pdf/koufu/outline_105.pdf","PDFを開く")</f>
        <v>PDFを開く</v>
      </c>
      <c r="T33" s="9" t="s">
        <v>154</v>
      </c>
      <c r="U33" s="9" t="s">
        <v>155</v>
      </c>
    </row>
    <row r="34" spans="1:21" ht="39.950000000000003" customHeight="1">
      <c r="A34" s="2" t="s">
        <v>146</v>
      </c>
      <c r="B34" s="2" t="s">
        <v>73</v>
      </c>
      <c r="C34" s="8" t="s">
        <v>147</v>
      </c>
      <c r="D34" s="8" t="s">
        <v>3184</v>
      </c>
      <c r="E34" s="8" t="s">
        <v>90</v>
      </c>
      <c r="F34" s="2">
        <v>2027</v>
      </c>
      <c r="G34" s="2">
        <v>526</v>
      </c>
      <c r="H34" s="2">
        <v>2030</v>
      </c>
      <c r="I34" s="2">
        <v>618</v>
      </c>
      <c r="J34" s="2" t="s">
        <v>86</v>
      </c>
      <c r="K34" s="2">
        <v>5</v>
      </c>
      <c r="L34" s="2">
        <v>5.5198999999999998</v>
      </c>
      <c r="M34" s="2">
        <v>0.51990000000000003</v>
      </c>
      <c r="N34" s="8" t="s">
        <v>11846</v>
      </c>
      <c r="O34" s="8" t="s">
        <v>11847</v>
      </c>
      <c r="P34" s="2">
        <v>2</v>
      </c>
      <c r="Q34" s="8"/>
      <c r="R34" s="8" t="s">
        <v>3289</v>
      </c>
      <c r="S34" s="8" t="str">
        <f>HYPERLINK("https://seichotoushi-hojo.jp/assets/pdf/koufu/outline_105.pdf","PDFを開く")</f>
        <v>PDFを開く</v>
      </c>
      <c r="T34" s="8" t="s">
        <v>154</v>
      </c>
      <c r="U34" s="8" t="s">
        <v>155</v>
      </c>
    </row>
    <row r="35" spans="1:21" ht="39.950000000000003" customHeight="1">
      <c r="A35" s="5" t="s">
        <v>146</v>
      </c>
      <c r="B35" s="5" t="s">
        <v>73</v>
      </c>
      <c r="C35" s="9" t="s">
        <v>147</v>
      </c>
      <c r="D35" s="9" t="s">
        <v>3188</v>
      </c>
      <c r="E35" s="9" t="s">
        <v>156</v>
      </c>
      <c r="F35" s="5"/>
      <c r="G35" s="5"/>
      <c r="H35" s="5"/>
      <c r="I35" s="5"/>
      <c r="J35" s="5"/>
      <c r="K35" s="5"/>
      <c r="L35" s="5"/>
      <c r="M35" s="5"/>
      <c r="N35" s="9" t="s">
        <v>11850</v>
      </c>
      <c r="O35" s="9"/>
      <c r="P35" s="5"/>
      <c r="Q35" s="9" t="s">
        <v>11851</v>
      </c>
      <c r="R35" s="9"/>
      <c r="S35" s="9" t="str">
        <f>HYPERLINK("https://seichotoushi-hojo.jp/assets/pdf/koufu/outline_105.pdf","PDFを開く")</f>
        <v>PDFを開く</v>
      </c>
      <c r="T35" s="9" t="s">
        <v>154</v>
      </c>
      <c r="U35" s="9" t="s">
        <v>155</v>
      </c>
    </row>
    <row r="36" spans="1:21" ht="39.950000000000003" customHeight="1">
      <c r="A36" s="2" t="s">
        <v>146</v>
      </c>
      <c r="B36" s="2" t="s">
        <v>73</v>
      </c>
      <c r="C36" s="8" t="s">
        <v>147</v>
      </c>
      <c r="D36" s="8" t="s">
        <v>3191</v>
      </c>
      <c r="E36" s="8" t="s">
        <v>157</v>
      </c>
      <c r="F36" s="2"/>
      <c r="G36" s="2"/>
      <c r="H36" s="2"/>
      <c r="I36" s="2"/>
      <c r="J36" s="2"/>
      <c r="K36" s="2"/>
      <c r="L36" s="2"/>
      <c r="M36" s="2"/>
      <c r="N36" s="8" t="s">
        <v>11850</v>
      </c>
      <c r="O36" s="8"/>
      <c r="P36" s="2"/>
      <c r="Q36" s="8" t="s">
        <v>11851</v>
      </c>
      <c r="R36" s="8"/>
      <c r="S36" s="8" t="str">
        <f>HYPERLINK("https://seichotoushi-hojo.jp/assets/pdf/koufu/outline_105.pdf","PDFを開く")</f>
        <v>PDFを開く</v>
      </c>
      <c r="T36" s="8" t="s">
        <v>154</v>
      </c>
      <c r="U36" s="8" t="s">
        <v>155</v>
      </c>
    </row>
    <row r="37" spans="1:21" ht="39.950000000000003" customHeight="1">
      <c r="A37" s="5" t="s">
        <v>158</v>
      </c>
      <c r="B37" s="5" t="s">
        <v>73</v>
      </c>
      <c r="C37" s="9" t="s">
        <v>159</v>
      </c>
      <c r="D37" s="9" t="s">
        <v>3176</v>
      </c>
      <c r="E37" s="9" t="s">
        <v>90</v>
      </c>
      <c r="F37" s="5">
        <v>2026</v>
      </c>
      <c r="G37" s="5">
        <v>216</v>
      </c>
      <c r="H37" s="5">
        <v>2029</v>
      </c>
      <c r="I37" s="5">
        <v>261</v>
      </c>
      <c r="J37" s="5" t="s">
        <v>86</v>
      </c>
      <c r="K37" s="5">
        <v>6.4</v>
      </c>
      <c r="L37" s="5">
        <v>6.5113000000000003</v>
      </c>
      <c r="M37" s="5">
        <v>0.1113</v>
      </c>
      <c r="N37" s="9" t="s">
        <v>11846</v>
      </c>
      <c r="O37" s="9" t="s">
        <v>11852</v>
      </c>
      <c r="P37" s="5">
        <v>2</v>
      </c>
      <c r="Q37" s="9"/>
      <c r="R37" s="9" t="s">
        <v>3294</v>
      </c>
      <c r="S37" s="9" t="str">
        <f>HYPERLINK("https://seichotoushi-hojo.jp/assets/pdf/koufu/outline_106.pdf","PDFを開く")</f>
        <v>PDFを開く</v>
      </c>
      <c r="T37" s="9" t="s">
        <v>164</v>
      </c>
      <c r="U37" s="9" t="s">
        <v>165</v>
      </c>
    </row>
    <row r="38" spans="1:21" ht="39.950000000000003" customHeight="1">
      <c r="A38" s="2" t="s">
        <v>158</v>
      </c>
      <c r="B38" s="2" t="s">
        <v>73</v>
      </c>
      <c r="C38" s="8" t="s">
        <v>159</v>
      </c>
      <c r="D38" s="8" t="s">
        <v>3184</v>
      </c>
      <c r="E38" s="8" t="s">
        <v>166</v>
      </c>
      <c r="F38" s="2">
        <v>2026</v>
      </c>
      <c r="G38" s="2">
        <v>128</v>
      </c>
      <c r="H38" s="2">
        <v>2029</v>
      </c>
      <c r="I38" s="2">
        <v>149</v>
      </c>
      <c r="J38" s="2" t="s">
        <v>86</v>
      </c>
      <c r="K38" s="2">
        <v>5.2</v>
      </c>
      <c r="L38" s="2">
        <v>5.1943000000000001</v>
      </c>
      <c r="M38" s="2">
        <v>5.7000000000000002E-3</v>
      </c>
      <c r="N38" s="8" t="s">
        <v>11846</v>
      </c>
      <c r="O38" s="8" t="s">
        <v>292</v>
      </c>
      <c r="P38" s="2">
        <v>2</v>
      </c>
      <c r="Q38" s="8"/>
      <c r="R38" s="8" t="s">
        <v>3301</v>
      </c>
      <c r="S38" s="8" t="str">
        <f>HYPERLINK("https://seichotoushi-hojo.jp/assets/pdf/koufu/outline_106.pdf","PDFを開く")</f>
        <v>PDFを開く</v>
      </c>
      <c r="T38" s="8" t="s">
        <v>164</v>
      </c>
      <c r="U38" s="8" t="s">
        <v>165</v>
      </c>
    </row>
    <row r="39" spans="1:21" ht="39.950000000000003" customHeight="1">
      <c r="A39" s="5" t="s">
        <v>158</v>
      </c>
      <c r="B39" s="5" t="s">
        <v>73</v>
      </c>
      <c r="C39" s="9" t="s">
        <v>159</v>
      </c>
      <c r="D39" s="9" t="s">
        <v>3188</v>
      </c>
      <c r="E39" s="9" t="s">
        <v>157</v>
      </c>
      <c r="F39" s="5"/>
      <c r="G39" s="5"/>
      <c r="H39" s="5"/>
      <c r="I39" s="5"/>
      <c r="J39" s="5"/>
      <c r="K39" s="5"/>
      <c r="L39" s="5"/>
      <c r="M39" s="5"/>
      <c r="N39" s="9" t="s">
        <v>11850</v>
      </c>
      <c r="O39" s="9"/>
      <c r="P39" s="5"/>
      <c r="Q39" s="9" t="s">
        <v>11851</v>
      </c>
      <c r="R39" s="9"/>
      <c r="S39" s="9" t="str">
        <f>HYPERLINK("https://seichotoushi-hojo.jp/assets/pdf/koufu/outline_106.pdf","PDFを開く")</f>
        <v>PDFを開く</v>
      </c>
      <c r="T39" s="9" t="s">
        <v>164</v>
      </c>
      <c r="U39" s="9" t="s">
        <v>165</v>
      </c>
    </row>
    <row r="40" spans="1:21" ht="39.950000000000003" customHeight="1">
      <c r="A40" s="2" t="s">
        <v>158</v>
      </c>
      <c r="B40" s="2" t="s">
        <v>73</v>
      </c>
      <c r="C40" s="8" t="s">
        <v>159</v>
      </c>
      <c r="D40" s="8" t="s">
        <v>3191</v>
      </c>
      <c r="E40" s="8" t="s">
        <v>92</v>
      </c>
      <c r="F40" s="2">
        <v>2026</v>
      </c>
      <c r="G40" s="2">
        <v>750</v>
      </c>
      <c r="H40" s="2">
        <v>2029</v>
      </c>
      <c r="I40" s="2">
        <v>900</v>
      </c>
      <c r="J40" s="2" t="s">
        <v>2513</v>
      </c>
      <c r="K40" s="2"/>
      <c r="L40" s="2"/>
      <c r="M40" s="2"/>
      <c r="N40" s="8" t="s">
        <v>11846</v>
      </c>
      <c r="O40" s="8"/>
      <c r="P40" s="2">
        <v>2</v>
      </c>
      <c r="Q40" s="8"/>
      <c r="R40" s="8" t="s">
        <v>3299</v>
      </c>
      <c r="S40" s="8" t="str">
        <f>HYPERLINK("https://seichotoushi-hojo.jp/assets/pdf/koufu/outline_106.pdf","PDFを開く")</f>
        <v>PDFを開く</v>
      </c>
      <c r="T40" s="8" t="s">
        <v>164</v>
      </c>
      <c r="U40" s="8" t="s">
        <v>165</v>
      </c>
    </row>
    <row r="41" spans="1:21" ht="39.950000000000003" customHeight="1">
      <c r="A41" s="5" t="s">
        <v>167</v>
      </c>
      <c r="B41" s="5" t="s">
        <v>73</v>
      </c>
      <c r="C41" s="9" t="s">
        <v>168</v>
      </c>
      <c r="D41" s="9" t="s">
        <v>3176</v>
      </c>
      <c r="E41" s="9" t="s">
        <v>90</v>
      </c>
      <c r="F41" s="5"/>
      <c r="G41" s="5">
        <v>1375</v>
      </c>
      <c r="H41" s="5"/>
      <c r="I41" s="5">
        <v>1431</v>
      </c>
      <c r="J41" s="5" t="s">
        <v>86</v>
      </c>
      <c r="K41" s="5">
        <v>1.3</v>
      </c>
      <c r="L41" s="5">
        <v>1.3395999999999999</v>
      </c>
      <c r="M41" s="5">
        <v>3.9600000000000003E-2</v>
      </c>
      <c r="N41" s="9" t="s">
        <v>11853</v>
      </c>
      <c r="O41" s="9"/>
      <c r="P41" s="5">
        <v>2</v>
      </c>
      <c r="Q41" s="9"/>
      <c r="R41" s="9" t="s">
        <v>3304</v>
      </c>
      <c r="S41" s="9" t="str">
        <f>HYPERLINK("https://seichotoushi-hojo.jp/assets/pdf/koufu/outline_107.pdf","PDFを開く")</f>
        <v>PDFを開く</v>
      </c>
      <c r="T41" s="9" t="s">
        <v>173</v>
      </c>
      <c r="U41" s="9" t="s">
        <v>174</v>
      </c>
    </row>
    <row r="42" spans="1:21" ht="39.950000000000003" customHeight="1">
      <c r="A42" s="2" t="s">
        <v>167</v>
      </c>
      <c r="B42" s="2" t="s">
        <v>73</v>
      </c>
      <c r="C42" s="8" t="s">
        <v>168</v>
      </c>
      <c r="D42" s="8" t="s">
        <v>3184</v>
      </c>
      <c r="E42" s="8" t="s">
        <v>90</v>
      </c>
      <c r="F42" s="2"/>
      <c r="G42" s="2">
        <v>312</v>
      </c>
      <c r="H42" s="2"/>
      <c r="I42" s="2">
        <v>356</v>
      </c>
      <c r="J42" s="2" t="s">
        <v>86</v>
      </c>
      <c r="K42" s="2">
        <v>4.5</v>
      </c>
      <c r="L42" s="2">
        <v>4.4957000000000003</v>
      </c>
      <c r="M42" s="2">
        <v>4.3E-3</v>
      </c>
      <c r="N42" s="8" t="s">
        <v>11853</v>
      </c>
      <c r="O42" s="8"/>
      <c r="P42" s="2">
        <v>2</v>
      </c>
      <c r="Q42" s="8"/>
      <c r="R42" s="8" t="s">
        <v>3308</v>
      </c>
      <c r="S42" s="8" t="str">
        <f>HYPERLINK("https://seichotoushi-hojo.jp/assets/pdf/koufu/outline_107.pdf","PDFを開く")</f>
        <v>PDFを開く</v>
      </c>
      <c r="T42" s="8" t="s">
        <v>173</v>
      </c>
      <c r="U42" s="8" t="s">
        <v>174</v>
      </c>
    </row>
    <row r="43" spans="1:21" ht="39.950000000000003" customHeight="1">
      <c r="A43" s="5" t="s">
        <v>167</v>
      </c>
      <c r="B43" s="5" t="s">
        <v>73</v>
      </c>
      <c r="C43" s="9" t="s">
        <v>168</v>
      </c>
      <c r="D43" s="9" t="s">
        <v>3188</v>
      </c>
      <c r="E43" s="9" t="s">
        <v>91</v>
      </c>
      <c r="F43" s="5"/>
      <c r="G43" s="5"/>
      <c r="H43" s="5"/>
      <c r="I43" s="5"/>
      <c r="J43" s="5" t="s">
        <v>86</v>
      </c>
      <c r="K43" s="5">
        <v>5.0999999999999996</v>
      </c>
      <c r="L43" s="5"/>
      <c r="M43" s="5"/>
      <c r="N43" s="9" t="s">
        <v>11854</v>
      </c>
      <c r="O43" s="9" t="s">
        <v>11848</v>
      </c>
      <c r="P43" s="5">
        <v>2</v>
      </c>
      <c r="Q43" s="9"/>
      <c r="R43" s="9" t="s">
        <v>3315</v>
      </c>
      <c r="S43" s="9" t="str">
        <f>HYPERLINK("https://seichotoushi-hojo.jp/assets/pdf/koufu/outline_107.pdf","PDFを開く")</f>
        <v>PDFを開く</v>
      </c>
      <c r="T43" s="9" t="s">
        <v>173</v>
      </c>
      <c r="U43" s="9" t="s">
        <v>174</v>
      </c>
    </row>
    <row r="44" spans="1:21" ht="39.950000000000003" customHeight="1">
      <c r="A44" s="2" t="s">
        <v>167</v>
      </c>
      <c r="B44" s="2" t="s">
        <v>73</v>
      </c>
      <c r="C44" s="8" t="s">
        <v>168</v>
      </c>
      <c r="D44" s="8" t="s">
        <v>3191</v>
      </c>
      <c r="E44" s="8" t="s">
        <v>92</v>
      </c>
      <c r="F44" s="2"/>
      <c r="G44" s="2">
        <v>54</v>
      </c>
      <c r="H44" s="2"/>
      <c r="I44" s="2">
        <v>95</v>
      </c>
      <c r="J44" s="2" t="s">
        <v>2513</v>
      </c>
      <c r="K44" s="2"/>
      <c r="L44" s="2"/>
      <c r="M44" s="2"/>
      <c r="N44" s="8" t="s">
        <v>11853</v>
      </c>
      <c r="O44" s="8"/>
      <c r="P44" s="2">
        <v>2</v>
      </c>
      <c r="Q44" s="8"/>
      <c r="R44" s="8" t="s">
        <v>3312</v>
      </c>
      <c r="S44" s="8" t="str">
        <f>HYPERLINK("https://seichotoushi-hojo.jp/assets/pdf/koufu/outline_107.pdf","PDFを開く")</f>
        <v>PDFを開く</v>
      </c>
      <c r="T44" s="8" t="s">
        <v>173</v>
      </c>
      <c r="U44" s="8" t="s">
        <v>174</v>
      </c>
    </row>
    <row r="45" spans="1:21" ht="39.950000000000003" customHeight="1">
      <c r="A45" s="5" t="s">
        <v>175</v>
      </c>
      <c r="B45" s="5" t="s">
        <v>73</v>
      </c>
      <c r="C45" s="9" t="s">
        <v>176</v>
      </c>
      <c r="D45" s="9" t="s">
        <v>3176</v>
      </c>
      <c r="E45" s="9" t="s">
        <v>90</v>
      </c>
      <c r="F45" s="5">
        <v>2024</v>
      </c>
      <c r="G45" s="5">
        <v>926</v>
      </c>
      <c r="H45" s="5">
        <v>2027</v>
      </c>
      <c r="I45" s="5">
        <v>1302</v>
      </c>
      <c r="J45" s="5" t="s">
        <v>86</v>
      </c>
      <c r="K45" s="5">
        <v>12</v>
      </c>
      <c r="L45" s="5">
        <v>12.0297</v>
      </c>
      <c r="M45" s="5">
        <v>2.9700000000000001E-2</v>
      </c>
      <c r="N45" s="9" t="s">
        <v>11846</v>
      </c>
      <c r="O45" s="9" t="s">
        <v>11847</v>
      </c>
      <c r="P45" s="5">
        <v>4</v>
      </c>
      <c r="Q45" s="9"/>
      <c r="R45" s="9" t="s">
        <v>3320</v>
      </c>
      <c r="S45" s="9" t="str">
        <f>HYPERLINK("https://seichotoushi-hojo.jp/assets/pdf/koufu/outline_108.pdf","PDFを開く")</f>
        <v>PDFを開く</v>
      </c>
      <c r="T45" s="9" t="s">
        <v>182</v>
      </c>
      <c r="U45" s="9" t="s">
        <v>183</v>
      </c>
    </row>
    <row r="46" spans="1:21" ht="39.950000000000003" customHeight="1">
      <c r="A46" s="2" t="s">
        <v>175</v>
      </c>
      <c r="B46" s="2" t="s">
        <v>73</v>
      </c>
      <c r="C46" s="8" t="s">
        <v>176</v>
      </c>
      <c r="D46" s="8" t="s">
        <v>3184</v>
      </c>
      <c r="E46" s="8" t="s">
        <v>90</v>
      </c>
      <c r="F46" s="2">
        <v>2024</v>
      </c>
      <c r="G46" s="2">
        <v>449</v>
      </c>
      <c r="H46" s="2">
        <v>2027</v>
      </c>
      <c r="I46" s="2">
        <v>520</v>
      </c>
      <c r="J46" s="2" t="s">
        <v>86</v>
      </c>
      <c r="K46" s="2">
        <v>5</v>
      </c>
      <c r="L46" s="2">
        <v>5.0152000000000001</v>
      </c>
      <c r="M46" s="2">
        <v>1.52E-2</v>
      </c>
      <c r="N46" s="8" t="s">
        <v>11846</v>
      </c>
      <c r="O46" s="8" t="s">
        <v>11847</v>
      </c>
      <c r="P46" s="2">
        <v>4</v>
      </c>
      <c r="Q46" s="8"/>
      <c r="R46" s="8" t="s">
        <v>3324</v>
      </c>
      <c r="S46" s="8" t="str">
        <f>HYPERLINK("https://seichotoushi-hojo.jp/assets/pdf/koufu/outline_108.pdf","PDFを開く")</f>
        <v>PDFを開く</v>
      </c>
      <c r="T46" s="8" t="s">
        <v>182</v>
      </c>
      <c r="U46" s="8" t="s">
        <v>183</v>
      </c>
    </row>
    <row r="47" spans="1:21" ht="39.950000000000003" customHeight="1">
      <c r="A47" s="5" t="s">
        <v>175</v>
      </c>
      <c r="B47" s="5" t="s">
        <v>73</v>
      </c>
      <c r="C47" s="9" t="s">
        <v>176</v>
      </c>
      <c r="D47" s="9" t="s">
        <v>3188</v>
      </c>
      <c r="E47" s="9" t="s">
        <v>90</v>
      </c>
      <c r="F47" s="5">
        <v>2024</v>
      </c>
      <c r="G47" s="5">
        <v>1182</v>
      </c>
      <c r="H47" s="5">
        <v>2027</v>
      </c>
      <c r="I47" s="5">
        <v>1368</v>
      </c>
      <c r="J47" s="5" t="s">
        <v>86</v>
      </c>
      <c r="K47" s="5">
        <v>5</v>
      </c>
      <c r="L47" s="5">
        <v>4.992</v>
      </c>
      <c r="M47" s="5">
        <v>8.0000000000000002E-3</v>
      </c>
      <c r="N47" s="9" t="s">
        <v>11846</v>
      </c>
      <c r="O47" s="9" t="s">
        <v>11847</v>
      </c>
      <c r="P47" s="5">
        <v>4</v>
      </c>
      <c r="Q47" s="9"/>
      <c r="R47" s="9" t="s">
        <v>3327</v>
      </c>
      <c r="S47" s="9" t="str">
        <f>HYPERLINK("https://seichotoushi-hojo.jp/assets/pdf/koufu/outline_108.pdf","PDFを開く")</f>
        <v>PDFを開く</v>
      </c>
      <c r="T47" s="9" t="s">
        <v>182</v>
      </c>
      <c r="U47" s="9" t="s">
        <v>183</v>
      </c>
    </row>
    <row r="48" spans="1:21" ht="39.950000000000003" customHeight="1">
      <c r="A48" s="2" t="s">
        <v>175</v>
      </c>
      <c r="B48" s="2" t="s">
        <v>73</v>
      </c>
      <c r="C48" s="8" t="s">
        <v>176</v>
      </c>
      <c r="D48" s="8" t="s">
        <v>3191</v>
      </c>
      <c r="E48" s="8" t="s">
        <v>92</v>
      </c>
      <c r="F48" s="2">
        <v>2024</v>
      </c>
      <c r="G48" s="2">
        <v>773</v>
      </c>
      <c r="H48" s="2">
        <v>2027</v>
      </c>
      <c r="I48" s="2">
        <v>901</v>
      </c>
      <c r="J48" s="2" t="s">
        <v>2513</v>
      </c>
      <c r="K48" s="2"/>
      <c r="L48" s="2"/>
      <c r="M48" s="2"/>
      <c r="N48" s="8" t="s">
        <v>11846</v>
      </c>
      <c r="O48" s="8" t="s">
        <v>11847</v>
      </c>
      <c r="P48" s="2">
        <v>4</v>
      </c>
      <c r="Q48" s="8"/>
      <c r="R48" s="8" t="s">
        <v>3330</v>
      </c>
      <c r="S48" s="8" t="str">
        <f>HYPERLINK("https://seichotoushi-hojo.jp/assets/pdf/koufu/outline_108.pdf","PDFを開く")</f>
        <v>PDFを開く</v>
      </c>
      <c r="T48" s="8" t="s">
        <v>182</v>
      </c>
      <c r="U48" s="8" t="s">
        <v>183</v>
      </c>
    </row>
    <row r="49" spans="1:21" ht="39.950000000000003" customHeight="1">
      <c r="A49" s="5" t="s">
        <v>184</v>
      </c>
      <c r="B49" s="5" t="s">
        <v>73</v>
      </c>
      <c r="C49" s="9" t="s">
        <v>185</v>
      </c>
      <c r="D49" s="9" t="s">
        <v>3176</v>
      </c>
      <c r="E49" s="9" t="s">
        <v>90</v>
      </c>
      <c r="F49" s="5">
        <v>2025</v>
      </c>
      <c r="G49" s="5">
        <v>867</v>
      </c>
      <c r="H49" s="5">
        <v>2028</v>
      </c>
      <c r="I49" s="5">
        <v>1384</v>
      </c>
      <c r="J49" s="5" t="s">
        <v>86</v>
      </c>
      <c r="K49" s="5">
        <v>17</v>
      </c>
      <c r="L49" s="5">
        <v>16.870699999999999</v>
      </c>
      <c r="M49" s="5">
        <v>0.1293</v>
      </c>
      <c r="N49" s="9" t="s">
        <v>11846</v>
      </c>
      <c r="O49" s="9" t="s">
        <v>11847</v>
      </c>
      <c r="P49" s="5">
        <v>2</v>
      </c>
      <c r="Q49" s="9"/>
      <c r="R49" s="9" t="s">
        <v>3334</v>
      </c>
      <c r="S49" s="9" t="str">
        <f>HYPERLINK("https://seichotoushi-hojo.jp/assets/pdf/koufu/outline_109.pdf","PDFを開く")</f>
        <v>PDFを開く</v>
      </c>
      <c r="T49" s="9" t="s">
        <v>193</v>
      </c>
      <c r="U49" s="9" t="s">
        <v>194</v>
      </c>
    </row>
    <row r="50" spans="1:21" ht="39.950000000000003" customHeight="1">
      <c r="A50" s="2" t="s">
        <v>184</v>
      </c>
      <c r="B50" s="2" t="s">
        <v>73</v>
      </c>
      <c r="C50" s="8" t="s">
        <v>185</v>
      </c>
      <c r="D50" s="8" t="s">
        <v>3184</v>
      </c>
      <c r="E50" s="8" t="s">
        <v>90</v>
      </c>
      <c r="F50" s="2">
        <v>2025</v>
      </c>
      <c r="G50" s="2">
        <v>505</v>
      </c>
      <c r="H50" s="2">
        <v>2028</v>
      </c>
      <c r="I50" s="2">
        <v>601</v>
      </c>
      <c r="J50" s="2" t="s">
        <v>86</v>
      </c>
      <c r="K50" s="2">
        <v>6</v>
      </c>
      <c r="L50" s="2">
        <v>5.9728000000000003</v>
      </c>
      <c r="M50" s="2">
        <v>2.7199999999999998E-2</v>
      </c>
      <c r="N50" s="8" t="s">
        <v>11846</v>
      </c>
      <c r="O50" s="8" t="s">
        <v>11847</v>
      </c>
      <c r="P50" s="2">
        <v>2</v>
      </c>
      <c r="Q50" s="8"/>
      <c r="R50" s="8" t="s">
        <v>3338</v>
      </c>
      <c r="S50" s="8" t="str">
        <f>HYPERLINK("https://seichotoushi-hojo.jp/assets/pdf/koufu/outline_109.pdf","PDFを開く")</f>
        <v>PDFを開く</v>
      </c>
      <c r="T50" s="8" t="s">
        <v>193</v>
      </c>
      <c r="U50" s="8" t="s">
        <v>194</v>
      </c>
    </row>
    <row r="51" spans="1:21" ht="39.950000000000003" customHeight="1">
      <c r="A51" s="5" t="s">
        <v>184</v>
      </c>
      <c r="B51" s="5" t="s">
        <v>73</v>
      </c>
      <c r="C51" s="9" t="s">
        <v>185</v>
      </c>
      <c r="D51" s="9" t="s">
        <v>3188</v>
      </c>
      <c r="E51" s="9" t="s">
        <v>90</v>
      </c>
      <c r="F51" s="5">
        <v>2025</v>
      </c>
      <c r="G51" s="5">
        <v>2410</v>
      </c>
      <c r="H51" s="5">
        <v>2028</v>
      </c>
      <c r="I51" s="5">
        <v>2871</v>
      </c>
      <c r="J51" s="5" t="s">
        <v>86</v>
      </c>
      <c r="K51" s="5">
        <v>6</v>
      </c>
      <c r="L51" s="5">
        <v>6.008</v>
      </c>
      <c r="M51" s="5">
        <v>8.0000000000000002E-3</v>
      </c>
      <c r="N51" s="9" t="s">
        <v>11846</v>
      </c>
      <c r="O51" s="9" t="s">
        <v>11847</v>
      </c>
      <c r="P51" s="5">
        <v>2</v>
      </c>
      <c r="Q51" s="9"/>
      <c r="R51" s="9" t="s">
        <v>3341</v>
      </c>
      <c r="S51" s="9" t="str">
        <f>HYPERLINK("https://seichotoushi-hojo.jp/assets/pdf/koufu/outline_109.pdf","PDFを開く")</f>
        <v>PDFを開く</v>
      </c>
      <c r="T51" s="9" t="s">
        <v>193</v>
      </c>
      <c r="U51" s="9" t="s">
        <v>194</v>
      </c>
    </row>
    <row r="52" spans="1:21" ht="39.950000000000003" customHeight="1">
      <c r="A52" s="2" t="s">
        <v>184</v>
      </c>
      <c r="B52" s="2" t="s">
        <v>73</v>
      </c>
      <c r="C52" s="8" t="s">
        <v>185</v>
      </c>
      <c r="D52" s="8" t="s">
        <v>3191</v>
      </c>
      <c r="E52" s="8" t="s">
        <v>92</v>
      </c>
      <c r="F52" s="2">
        <v>2025</v>
      </c>
      <c r="G52" s="2">
        <v>260</v>
      </c>
      <c r="H52" s="2">
        <v>2028</v>
      </c>
      <c r="I52" s="2">
        <v>314</v>
      </c>
      <c r="J52" s="2" t="s">
        <v>2513</v>
      </c>
      <c r="K52" s="2"/>
      <c r="L52" s="2"/>
      <c r="M52" s="2"/>
      <c r="N52" s="8" t="s">
        <v>11846</v>
      </c>
      <c r="O52" s="8" t="s">
        <v>11847</v>
      </c>
      <c r="P52" s="2">
        <v>2</v>
      </c>
      <c r="Q52" s="8"/>
      <c r="R52" s="8" t="s">
        <v>3344</v>
      </c>
      <c r="S52" s="8" t="str">
        <f>HYPERLINK("https://seichotoushi-hojo.jp/assets/pdf/koufu/outline_109.pdf","PDFを開く")</f>
        <v>PDFを開く</v>
      </c>
      <c r="T52" s="8" t="s">
        <v>193</v>
      </c>
      <c r="U52" s="8" t="s">
        <v>194</v>
      </c>
    </row>
    <row r="53" spans="1:21" ht="39.950000000000003" customHeight="1">
      <c r="A53" s="5" t="s">
        <v>195</v>
      </c>
      <c r="B53" s="5" t="s">
        <v>73</v>
      </c>
      <c r="C53" s="9" t="s">
        <v>196</v>
      </c>
      <c r="D53" s="9" t="s">
        <v>3176</v>
      </c>
      <c r="E53" s="9" t="s">
        <v>90</v>
      </c>
      <c r="F53" s="5">
        <v>2027</v>
      </c>
      <c r="G53" s="5">
        <v>1210</v>
      </c>
      <c r="H53" s="5">
        <v>2030</v>
      </c>
      <c r="I53" s="5">
        <v>1334</v>
      </c>
      <c r="J53" s="5" t="s">
        <v>86</v>
      </c>
      <c r="K53" s="5">
        <v>3.3</v>
      </c>
      <c r="L53" s="5">
        <v>3.3054999999999999</v>
      </c>
      <c r="M53" s="5">
        <v>5.4999999999999997E-3</v>
      </c>
      <c r="N53" s="9" t="s">
        <v>11846</v>
      </c>
      <c r="O53" s="9" t="s">
        <v>11847</v>
      </c>
      <c r="P53" s="5">
        <v>2</v>
      </c>
      <c r="Q53" s="9"/>
      <c r="R53" s="9" t="s">
        <v>3347</v>
      </c>
      <c r="S53" s="9" t="str">
        <f>HYPERLINK("https://seichotoushi-hojo.jp/assets/pdf/koufu/outline_11.pdf","PDFを開く")</f>
        <v>PDFを開く</v>
      </c>
      <c r="T53" s="9" t="s">
        <v>203</v>
      </c>
      <c r="U53" s="9" t="s">
        <v>204</v>
      </c>
    </row>
    <row r="54" spans="1:21" ht="39.950000000000003" customHeight="1">
      <c r="A54" s="2" t="s">
        <v>195</v>
      </c>
      <c r="B54" s="2" t="s">
        <v>73</v>
      </c>
      <c r="C54" s="8" t="s">
        <v>196</v>
      </c>
      <c r="D54" s="8" t="s">
        <v>3184</v>
      </c>
      <c r="E54" s="8" t="s">
        <v>90</v>
      </c>
      <c r="F54" s="2">
        <v>2027</v>
      </c>
      <c r="G54" s="2">
        <v>519</v>
      </c>
      <c r="H54" s="2">
        <v>2030</v>
      </c>
      <c r="I54" s="2">
        <v>588</v>
      </c>
      <c r="J54" s="2" t="s">
        <v>86</v>
      </c>
      <c r="K54" s="2">
        <v>4.21</v>
      </c>
      <c r="L54" s="2">
        <v>4.2484999999999999</v>
      </c>
      <c r="M54" s="2">
        <v>3.85E-2</v>
      </c>
      <c r="N54" s="8" t="s">
        <v>11846</v>
      </c>
      <c r="O54" s="8" t="s">
        <v>11847</v>
      </c>
      <c r="P54" s="2">
        <v>2</v>
      </c>
      <c r="Q54" s="8"/>
      <c r="R54" s="8" t="s">
        <v>3350</v>
      </c>
      <c r="S54" s="8" t="str">
        <f>HYPERLINK("https://seichotoushi-hojo.jp/assets/pdf/koufu/outline_11.pdf","PDFを開く")</f>
        <v>PDFを開く</v>
      </c>
      <c r="T54" s="8" t="s">
        <v>203</v>
      </c>
      <c r="U54" s="8" t="s">
        <v>204</v>
      </c>
    </row>
    <row r="55" spans="1:21" ht="39.950000000000003" customHeight="1">
      <c r="A55" s="5" t="s">
        <v>195</v>
      </c>
      <c r="B55" s="5" t="s">
        <v>73</v>
      </c>
      <c r="C55" s="9" t="s">
        <v>196</v>
      </c>
      <c r="D55" s="9" t="s">
        <v>3188</v>
      </c>
      <c r="E55" s="9" t="s">
        <v>91</v>
      </c>
      <c r="F55" s="5">
        <v>2027</v>
      </c>
      <c r="G55" s="5"/>
      <c r="H55" s="5">
        <v>2030</v>
      </c>
      <c r="I55" s="5"/>
      <c r="J55" s="5" t="s">
        <v>86</v>
      </c>
      <c r="K55" s="5">
        <v>4</v>
      </c>
      <c r="L55" s="5"/>
      <c r="M55" s="5"/>
      <c r="N55" s="9" t="s">
        <v>11846</v>
      </c>
      <c r="O55" s="9" t="s">
        <v>11848</v>
      </c>
      <c r="P55" s="5">
        <v>2</v>
      </c>
      <c r="Q55" s="9"/>
      <c r="R55" s="9" t="s">
        <v>3357</v>
      </c>
      <c r="S55" s="9" t="str">
        <f>HYPERLINK("https://seichotoushi-hojo.jp/assets/pdf/koufu/outline_11.pdf","PDFを開く")</f>
        <v>PDFを開く</v>
      </c>
      <c r="T55" s="9" t="s">
        <v>203</v>
      </c>
      <c r="U55" s="9" t="s">
        <v>204</v>
      </c>
    </row>
    <row r="56" spans="1:21" ht="39.950000000000003" customHeight="1">
      <c r="A56" s="2" t="s">
        <v>195</v>
      </c>
      <c r="B56" s="2" t="s">
        <v>73</v>
      </c>
      <c r="C56" s="8" t="s">
        <v>196</v>
      </c>
      <c r="D56" s="8" t="s">
        <v>3191</v>
      </c>
      <c r="E56" s="8" t="s">
        <v>92</v>
      </c>
      <c r="F56" s="2">
        <v>2027</v>
      </c>
      <c r="G56" s="2">
        <v>280</v>
      </c>
      <c r="H56" s="2">
        <v>2030</v>
      </c>
      <c r="I56" s="2">
        <v>308</v>
      </c>
      <c r="J56" s="2" t="s">
        <v>2513</v>
      </c>
      <c r="K56" s="2"/>
      <c r="L56" s="2"/>
      <c r="M56" s="2"/>
      <c r="N56" s="8" t="s">
        <v>11846</v>
      </c>
      <c r="O56" s="8" t="s">
        <v>11847</v>
      </c>
      <c r="P56" s="2">
        <v>2</v>
      </c>
      <c r="Q56" s="8"/>
      <c r="R56" s="8" t="s">
        <v>3354</v>
      </c>
      <c r="S56" s="8" t="str">
        <f>HYPERLINK("https://seichotoushi-hojo.jp/assets/pdf/koufu/outline_11.pdf","PDFを開く")</f>
        <v>PDFを開く</v>
      </c>
      <c r="T56" s="8" t="s">
        <v>203</v>
      </c>
      <c r="U56" s="8" t="s">
        <v>204</v>
      </c>
    </row>
    <row r="57" spans="1:21" ht="39.950000000000003" customHeight="1">
      <c r="A57" s="5" t="s">
        <v>205</v>
      </c>
      <c r="B57" s="5" t="s">
        <v>73</v>
      </c>
      <c r="C57" s="9" t="s">
        <v>206</v>
      </c>
      <c r="D57" s="9" t="s">
        <v>3176</v>
      </c>
      <c r="E57" s="9" t="s">
        <v>90</v>
      </c>
      <c r="F57" s="5">
        <v>2025</v>
      </c>
      <c r="G57" s="5">
        <v>1427</v>
      </c>
      <c r="H57" s="5">
        <v>2028</v>
      </c>
      <c r="I57" s="5">
        <v>1962</v>
      </c>
      <c r="J57" s="5" t="s">
        <v>86</v>
      </c>
      <c r="K57" s="5">
        <v>11.2</v>
      </c>
      <c r="L57" s="5">
        <v>11.1966</v>
      </c>
      <c r="M57" s="5">
        <v>3.3999999999999998E-3</v>
      </c>
      <c r="N57" s="9" t="s">
        <v>11846</v>
      </c>
      <c r="O57" s="9" t="s">
        <v>11847</v>
      </c>
      <c r="P57" s="5">
        <v>2</v>
      </c>
      <c r="Q57" s="9"/>
      <c r="R57" s="9" t="s">
        <v>3362</v>
      </c>
      <c r="S57" s="9" t="str">
        <f>HYPERLINK("https://seichotoushi-hojo.jp/assets/pdf/koufu/outline_110.pdf","PDFを開く")</f>
        <v>PDFを開く</v>
      </c>
      <c r="T57" s="9" t="s">
        <v>213</v>
      </c>
      <c r="U57" s="9" t="s">
        <v>214</v>
      </c>
    </row>
    <row r="58" spans="1:21" ht="39.950000000000003" customHeight="1">
      <c r="A58" s="2" t="s">
        <v>205</v>
      </c>
      <c r="B58" s="2" t="s">
        <v>73</v>
      </c>
      <c r="C58" s="8" t="s">
        <v>206</v>
      </c>
      <c r="D58" s="8" t="s">
        <v>3184</v>
      </c>
      <c r="E58" s="8" t="s">
        <v>90</v>
      </c>
      <c r="F58" s="2">
        <v>2025</v>
      </c>
      <c r="G58" s="2">
        <v>537</v>
      </c>
      <c r="H58" s="2">
        <v>2028</v>
      </c>
      <c r="I58" s="2">
        <v>659</v>
      </c>
      <c r="J58" s="2" t="s">
        <v>86</v>
      </c>
      <c r="K58" s="2">
        <v>7</v>
      </c>
      <c r="L58" s="2">
        <v>7.0624000000000002</v>
      </c>
      <c r="M58" s="2">
        <v>6.2399999999999997E-2</v>
      </c>
      <c r="N58" s="8" t="s">
        <v>11846</v>
      </c>
      <c r="O58" s="8" t="s">
        <v>11847</v>
      </c>
      <c r="P58" s="2">
        <v>2</v>
      </c>
      <c r="Q58" s="8"/>
      <c r="R58" s="8" t="s">
        <v>3366</v>
      </c>
      <c r="S58" s="8" t="str">
        <f>HYPERLINK("https://seichotoushi-hojo.jp/assets/pdf/koufu/outline_110.pdf","PDFを開く")</f>
        <v>PDFを開く</v>
      </c>
      <c r="T58" s="8" t="s">
        <v>213</v>
      </c>
      <c r="U58" s="8" t="s">
        <v>214</v>
      </c>
    </row>
    <row r="59" spans="1:21" ht="39.950000000000003" customHeight="1">
      <c r="A59" s="5" t="s">
        <v>205</v>
      </c>
      <c r="B59" s="5" t="s">
        <v>73</v>
      </c>
      <c r="C59" s="9" t="s">
        <v>206</v>
      </c>
      <c r="D59" s="9" t="s">
        <v>3188</v>
      </c>
      <c r="E59" s="9" t="s">
        <v>156</v>
      </c>
      <c r="F59" s="5"/>
      <c r="G59" s="5"/>
      <c r="H59" s="5"/>
      <c r="I59" s="5"/>
      <c r="J59" s="5"/>
      <c r="K59" s="5"/>
      <c r="L59" s="5"/>
      <c r="M59" s="5"/>
      <c r="N59" s="9" t="s">
        <v>11850</v>
      </c>
      <c r="O59" s="9"/>
      <c r="P59" s="5"/>
      <c r="Q59" s="9" t="s">
        <v>11851</v>
      </c>
      <c r="R59" s="9"/>
      <c r="S59" s="9" t="str">
        <f>HYPERLINK("https://seichotoushi-hojo.jp/assets/pdf/koufu/outline_110.pdf","PDFを開く")</f>
        <v>PDFを開く</v>
      </c>
      <c r="T59" s="9" t="s">
        <v>213</v>
      </c>
      <c r="U59" s="9" t="s">
        <v>214</v>
      </c>
    </row>
    <row r="60" spans="1:21" ht="39.950000000000003" customHeight="1">
      <c r="A60" s="2" t="s">
        <v>205</v>
      </c>
      <c r="B60" s="2" t="s">
        <v>73</v>
      </c>
      <c r="C60" s="8" t="s">
        <v>206</v>
      </c>
      <c r="D60" s="8" t="s">
        <v>3191</v>
      </c>
      <c r="E60" s="8" t="s">
        <v>92</v>
      </c>
      <c r="F60" s="2">
        <v>2025</v>
      </c>
      <c r="G60" s="2">
        <v>201</v>
      </c>
      <c r="H60" s="2">
        <v>2028</v>
      </c>
      <c r="I60" s="2">
        <v>225</v>
      </c>
      <c r="J60" s="2" t="s">
        <v>2513</v>
      </c>
      <c r="K60" s="2"/>
      <c r="L60" s="2"/>
      <c r="M60" s="2"/>
      <c r="N60" s="8" t="s">
        <v>11846</v>
      </c>
      <c r="O60" s="8" t="s">
        <v>11847</v>
      </c>
      <c r="P60" s="2">
        <v>2</v>
      </c>
      <c r="Q60" s="8"/>
      <c r="R60" s="8" t="s">
        <v>3370</v>
      </c>
      <c r="S60" s="8" t="str">
        <f>HYPERLINK("https://seichotoushi-hojo.jp/assets/pdf/koufu/outline_110.pdf","PDFを開く")</f>
        <v>PDFを開く</v>
      </c>
      <c r="T60" s="8" t="s">
        <v>213</v>
      </c>
      <c r="U60" s="8" t="s">
        <v>214</v>
      </c>
    </row>
    <row r="61" spans="1:21" ht="39.950000000000003" customHeight="1">
      <c r="A61" s="5" t="s">
        <v>215</v>
      </c>
      <c r="B61" s="5" t="s">
        <v>73</v>
      </c>
      <c r="C61" s="9" t="s">
        <v>216</v>
      </c>
      <c r="D61" s="9" t="s">
        <v>3176</v>
      </c>
      <c r="E61" s="9" t="s">
        <v>90</v>
      </c>
      <c r="F61" s="5">
        <v>2026</v>
      </c>
      <c r="G61" s="5">
        <v>3859</v>
      </c>
      <c r="H61" s="5">
        <v>2029</v>
      </c>
      <c r="I61" s="5">
        <v>4618</v>
      </c>
      <c r="J61" s="5" t="s">
        <v>86</v>
      </c>
      <c r="K61" s="5">
        <v>6.2</v>
      </c>
      <c r="L61" s="5">
        <v>6.1679000000000004</v>
      </c>
      <c r="M61" s="5">
        <v>3.2099999999999997E-2</v>
      </c>
      <c r="N61" s="9" t="s">
        <v>11846</v>
      </c>
      <c r="O61" s="9" t="s">
        <v>11847</v>
      </c>
      <c r="P61" s="5">
        <v>2</v>
      </c>
      <c r="Q61" s="9"/>
      <c r="R61" s="9" t="s">
        <v>3372</v>
      </c>
      <c r="S61" s="9" t="str">
        <f>HYPERLINK("https://seichotoushi-hojo.jp/assets/pdf/koufu/outline_111.pdf","PDFを開く")</f>
        <v>PDFを開く</v>
      </c>
      <c r="T61" s="9" t="s">
        <v>221</v>
      </c>
      <c r="U61" s="9" t="s">
        <v>222</v>
      </c>
    </row>
    <row r="62" spans="1:21" ht="39.950000000000003" customHeight="1">
      <c r="A62" s="2" t="s">
        <v>215</v>
      </c>
      <c r="B62" s="2" t="s">
        <v>73</v>
      </c>
      <c r="C62" s="8" t="s">
        <v>216</v>
      </c>
      <c r="D62" s="8" t="s">
        <v>3184</v>
      </c>
      <c r="E62" s="8" t="s">
        <v>90</v>
      </c>
      <c r="F62" s="2">
        <v>2026</v>
      </c>
      <c r="G62" s="2">
        <v>640</v>
      </c>
      <c r="H62" s="2">
        <v>2029</v>
      </c>
      <c r="I62" s="2">
        <v>741</v>
      </c>
      <c r="J62" s="2" t="s">
        <v>86</v>
      </c>
      <c r="K62" s="2">
        <v>5</v>
      </c>
      <c r="L62" s="2">
        <v>5.0057</v>
      </c>
      <c r="M62" s="2">
        <v>5.7000000000000002E-3</v>
      </c>
      <c r="N62" s="8" t="s">
        <v>11846</v>
      </c>
      <c r="O62" s="8" t="s">
        <v>11847</v>
      </c>
      <c r="P62" s="2">
        <v>2</v>
      </c>
      <c r="Q62" s="8"/>
      <c r="R62" s="8" t="s">
        <v>3375</v>
      </c>
      <c r="S62" s="8" t="str">
        <f>HYPERLINK("https://seichotoushi-hojo.jp/assets/pdf/koufu/outline_111.pdf","PDFを開く")</f>
        <v>PDFを開く</v>
      </c>
      <c r="T62" s="8" t="s">
        <v>221</v>
      </c>
      <c r="U62" s="8" t="s">
        <v>222</v>
      </c>
    </row>
    <row r="63" spans="1:21" ht="39.950000000000003" customHeight="1">
      <c r="A63" s="5" t="s">
        <v>215</v>
      </c>
      <c r="B63" s="5" t="s">
        <v>73</v>
      </c>
      <c r="C63" s="9" t="s">
        <v>216</v>
      </c>
      <c r="D63" s="9" t="s">
        <v>3188</v>
      </c>
      <c r="E63" s="9" t="s">
        <v>91</v>
      </c>
      <c r="F63" s="5">
        <v>2026</v>
      </c>
      <c r="G63" s="5"/>
      <c r="H63" s="5">
        <v>2029</v>
      </c>
      <c r="I63" s="5"/>
      <c r="J63" s="5" t="s">
        <v>86</v>
      </c>
      <c r="K63" s="5">
        <v>5</v>
      </c>
      <c r="L63" s="5"/>
      <c r="M63" s="5"/>
      <c r="N63" s="9" t="s">
        <v>11846</v>
      </c>
      <c r="O63" s="9" t="s">
        <v>11848</v>
      </c>
      <c r="P63" s="5">
        <v>2</v>
      </c>
      <c r="Q63" s="9"/>
      <c r="R63" s="9" t="s">
        <v>3382</v>
      </c>
      <c r="S63" s="9" t="str">
        <f>HYPERLINK("https://seichotoushi-hojo.jp/assets/pdf/koufu/outline_111.pdf","PDFを開く")</f>
        <v>PDFを開く</v>
      </c>
      <c r="T63" s="9" t="s">
        <v>221</v>
      </c>
      <c r="U63" s="9" t="s">
        <v>222</v>
      </c>
    </row>
    <row r="64" spans="1:21" ht="39.950000000000003" customHeight="1">
      <c r="A64" s="2" t="s">
        <v>215</v>
      </c>
      <c r="B64" s="2" t="s">
        <v>73</v>
      </c>
      <c r="C64" s="8" t="s">
        <v>216</v>
      </c>
      <c r="D64" s="8" t="s">
        <v>3191</v>
      </c>
      <c r="E64" s="8" t="s">
        <v>92</v>
      </c>
      <c r="F64" s="2">
        <v>2026</v>
      </c>
      <c r="G64" s="2">
        <v>169</v>
      </c>
      <c r="H64" s="2">
        <v>2029</v>
      </c>
      <c r="I64" s="2">
        <v>206</v>
      </c>
      <c r="J64" s="2" t="s">
        <v>2513</v>
      </c>
      <c r="K64" s="2"/>
      <c r="L64" s="2"/>
      <c r="M64" s="2"/>
      <c r="N64" s="8" t="s">
        <v>11846</v>
      </c>
      <c r="O64" s="8" t="s">
        <v>11847</v>
      </c>
      <c r="P64" s="2">
        <v>2</v>
      </c>
      <c r="Q64" s="8"/>
      <c r="R64" s="8" t="s">
        <v>3379</v>
      </c>
      <c r="S64" s="8" t="str">
        <f>HYPERLINK("https://seichotoushi-hojo.jp/assets/pdf/koufu/outline_111.pdf","PDFを開く")</f>
        <v>PDFを開く</v>
      </c>
      <c r="T64" s="8" t="s">
        <v>221</v>
      </c>
      <c r="U64" s="8" t="s">
        <v>222</v>
      </c>
    </row>
    <row r="65" spans="1:21" ht="39.950000000000003" customHeight="1">
      <c r="A65" s="5" t="s">
        <v>223</v>
      </c>
      <c r="B65" s="5" t="s">
        <v>73</v>
      </c>
      <c r="C65" s="9" t="s">
        <v>224</v>
      </c>
      <c r="D65" s="9" t="s">
        <v>3176</v>
      </c>
      <c r="E65" s="9" t="s">
        <v>90</v>
      </c>
      <c r="F65" s="5"/>
      <c r="G65" s="5">
        <v>999</v>
      </c>
      <c r="H65" s="5"/>
      <c r="I65" s="5">
        <v>1234</v>
      </c>
      <c r="J65" s="5" t="s">
        <v>86</v>
      </c>
      <c r="K65" s="5">
        <v>7.3</v>
      </c>
      <c r="L65" s="5">
        <v>7.2958999999999996</v>
      </c>
      <c r="M65" s="5">
        <v>4.1000000000000003E-3</v>
      </c>
      <c r="N65" s="9" t="s">
        <v>11853</v>
      </c>
      <c r="O65" s="9"/>
      <c r="P65" s="5">
        <v>2</v>
      </c>
      <c r="Q65" s="9"/>
      <c r="R65" s="9" t="s">
        <v>3386</v>
      </c>
      <c r="S65" s="9" t="str">
        <f>HYPERLINK("https://seichotoushi-hojo.jp/assets/pdf/koufu/outline_112.pdf","PDFを開く")</f>
        <v>PDFを開く</v>
      </c>
      <c r="T65" s="9" t="s">
        <v>231</v>
      </c>
      <c r="U65" s="9" t="s">
        <v>232</v>
      </c>
    </row>
    <row r="66" spans="1:21" ht="39.950000000000003" customHeight="1">
      <c r="A66" s="2" t="s">
        <v>223</v>
      </c>
      <c r="B66" s="2" t="s">
        <v>73</v>
      </c>
      <c r="C66" s="8" t="s">
        <v>224</v>
      </c>
      <c r="D66" s="8" t="s">
        <v>3184</v>
      </c>
      <c r="E66" s="8" t="s">
        <v>90</v>
      </c>
      <c r="F66" s="2"/>
      <c r="G66" s="2">
        <v>429</v>
      </c>
      <c r="H66" s="2"/>
      <c r="I66" s="2">
        <v>504</v>
      </c>
      <c r="J66" s="2" t="s">
        <v>86</v>
      </c>
      <c r="K66" s="2">
        <v>5.6</v>
      </c>
      <c r="L66" s="2">
        <v>5.5175000000000001</v>
      </c>
      <c r="M66" s="2">
        <v>8.2500000000000004E-2</v>
      </c>
      <c r="N66" s="8" t="s">
        <v>11853</v>
      </c>
      <c r="O66" s="8"/>
      <c r="P66" s="2">
        <v>2</v>
      </c>
      <c r="Q66" s="8"/>
      <c r="R66" s="8" t="s">
        <v>3389</v>
      </c>
      <c r="S66" s="8" t="str">
        <f>HYPERLINK("https://seichotoushi-hojo.jp/assets/pdf/koufu/outline_112.pdf","PDFを開く")</f>
        <v>PDFを開く</v>
      </c>
      <c r="T66" s="8" t="s">
        <v>231</v>
      </c>
      <c r="U66" s="8" t="s">
        <v>232</v>
      </c>
    </row>
    <row r="67" spans="1:21" ht="39.950000000000003" customHeight="1">
      <c r="A67" s="5" t="s">
        <v>223</v>
      </c>
      <c r="B67" s="5" t="s">
        <v>73</v>
      </c>
      <c r="C67" s="9" t="s">
        <v>224</v>
      </c>
      <c r="D67" s="9" t="s">
        <v>3188</v>
      </c>
      <c r="E67" s="9" t="s">
        <v>90</v>
      </c>
      <c r="F67" s="5"/>
      <c r="G67" s="5">
        <v>1338</v>
      </c>
      <c r="H67" s="5"/>
      <c r="I67" s="5">
        <v>1510</v>
      </c>
      <c r="J67" s="5" t="s">
        <v>86</v>
      </c>
      <c r="K67" s="5">
        <v>4.0999999999999996</v>
      </c>
      <c r="L67" s="5">
        <v>4.1135000000000002</v>
      </c>
      <c r="M67" s="5">
        <v>1.35E-2</v>
      </c>
      <c r="N67" s="9" t="s">
        <v>11853</v>
      </c>
      <c r="O67" s="9"/>
      <c r="P67" s="5">
        <v>2</v>
      </c>
      <c r="Q67" s="9"/>
      <c r="R67" s="9" t="s">
        <v>3392</v>
      </c>
      <c r="S67" s="9" t="str">
        <f>HYPERLINK("https://seichotoushi-hojo.jp/assets/pdf/koufu/outline_112.pdf","PDFを開く")</f>
        <v>PDFを開く</v>
      </c>
      <c r="T67" s="9" t="s">
        <v>231</v>
      </c>
      <c r="U67" s="9" t="s">
        <v>232</v>
      </c>
    </row>
    <row r="68" spans="1:21" ht="39.950000000000003" customHeight="1">
      <c r="A68" s="2" t="s">
        <v>223</v>
      </c>
      <c r="B68" s="2" t="s">
        <v>73</v>
      </c>
      <c r="C68" s="8" t="s">
        <v>224</v>
      </c>
      <c r="D68" s="8" t="s">
        <v>3191</v>
      </c>
      <c r="E68" s="8" t="s">
        <v>92</v>
      </c>
      <c r="F68" s="2"/>
      <c r="G68" s="2">
        <v>420</v>
      </c>
      <c r="H68" s="2"/>
      <c r="I68" s="2">
        <v>490</v>
      </c>
      <c r="J68" s="2" t="s">
        <v>2513</v>
      </c>
      <c r="K68" s="2"/>
      <c r="L68" s="2"/>
      <c r="M68" s="2"/>
      <c r="N68" s="8" t="s">
        <v>11853</v>
      </c>
      <c r="O68" s="8"/>
      <c r="P68" s="2">
        <v>2</v>
      </c>
      <c r="Q68" s="8"/>
      <c r="R68" s="8" t="s">
        <v>3395</v>
      </c>
      <c r="S68" s="8" t="str">
        <f>HYPERLINK("https://seichotoushi-hojo.jp/assets/pdf/koufu/outline_112.pdf","PDFを開く")</f>
        <v>PDFを開く</v>
      </c>
      <c r="T68" s="8" t="s">
        <v>231</v>
      </c>
      <c r="U68" s="8" t="s">
        <v>232</v>
      </c>
    </row>
    <row r="69" spans="1:21" ht="39.950000000000003" customHeight="1">
      <c r="A69" s="5" t="s">
        <v>233</v>
      </c>
      <c r="B69" s="5" t="s">
        <v>73</v>
      </c>
      <c r="C69" s="9" t="s">
        <v>234</v>
      </c>
      <c r="D69" s="9" t="s">
        <v>3176</v>
      </c>
      <c r="E69" s="9" t="s">
        <v>90</v>
      </c>
      <c r="F69" s="5">
        <v>2024</v>
      </c>
      <c r="G69" s="5">
        <v>541</v>
      </c>
      <c r="H69" s="5">
        <v>2027</v>
      </c>
      <c r="I69" s="5">
        <v>1505</v>
      </c>
      <c r="J69" s="5" t="s">
        <v>86</v>
      </c>
      <c r="K69" s="5">
        <v>40.700000000000003</v>
      </c>
      <c r="L69" s="5">
        <v>40.641399999999997</v>
      </c>
      <c r="M69" s="5">
        <v>5.8599999999999999E-2</v>
      </c>
      <c r="N69" s="9" t="s">
        <v>11846</v>
      </c>
      <c r="O69" s="9" t="s">
        <v>11847</v>
      </c>
      <c r="P69" s="5">
        <v>2</v>
      </c>
      <c r="Q69" s="9"/>
      <c r="R69" s="9" t="s">
        <v>3398</v>
      </c>
      <c r="S69" s="9" t="str">
        <f>HYPERLINK("https://seichotoushi-hojo.jp/assets/pdf/koufu/outline_113.pdf","PDFを開く")</f>
        <v>PDFを開く</v>
      </c>
      <c r="T69" s="9" t="s">
        <v>238</v>
      </c>
      <c r="U69" s="9" t="s">
        <v>239</v>
      </c>
    </row>
    <row r="70" spans="1:21" ht="39.950000000000003" customHeight="1">
      <c r="A70" s="2" t="s">
        <v>233</v>
      </c>
      <c r="B70" s="2" t="s">
        <v>73</v>
      </c>
      <c r="C70" s="8" t="s">
        <v>234</v>
      </c>
      <c r="D70" s="8" t="s">
        <v>3184</v>
      </c>
      <c r="E70" s="8" t="s">
        <v>90</v>
      </c>
      <c r="F70" s="2">
        <v>2024</v>
      </c>
      <c r="G70" s="2">
        <v>400</v>
      </c>
      <c r="H70" s="2">
        <v>2027</v>
      </c>
      <c r="I70" s="2">
        <v>477</v>
      </c>
      <c r="J70" s="2" t="s">
        <v>86</v>
      </c>
      <c r="K70" s="2">
        <v>6.03</v>
      </c>
      <c r="L70" s="2">
        <v>6.0439999999999996</v>
      </c>
      <c r="M70" s="2">
        <v>1.4E-2</v>
      </c>
      <c r="N70" s="8" t="s">
        <v>11846</v>
      </c>
      <c r="O70" s="8" t="s">
        <v>11847</v>
      </c>
      <c r="P70" s="2">
        <v>2</v>
      </c>
      <c r="Q70" s="8"/>
      <c r="R70" s="8" t="s">
        <v>3401</v>
      </c>
      <c r="S70" s="8" t="str">
        <f>HYPERLINK("https://seichotoushi-hojo.jp/assets/pdf/koufu/outline_113.pdf","PDFを開く")</f>
        <v>PDFを開く</v>
      </c>
      <c r="T70" s="8" t="s">
        <v>238</v>
      </c>
      <c r="U70" s="8" t="s">
        <v>239</v>
      </c>
    </row>
    <row r="71" spans="1:21" ht="39.950000000000003" customHeight="1">
      <c r="A71" s="5" t="s">
        <v>233</v>
      </c>
      <c r="B71" s="5" t="s">
        <v>73</v>
      </c>
      <c r="C71" s="9" t="s">
        <v>234</v>
      </c>
      <c r="D71" s="9" t="s">
        <v>3188</v>
      </c>
      <c r="E71" s="9" t="s">
        <v>157</v>
      </c>
      <c r="F71" s="5"/>
      <c r="G71" s="5"/>
      <c r="H71" s="5"/>
      <c r="I71" s="5"/>
      <c r="J71" s="5"/>
      <c r="K71" s="5"/>
      <c r="L71" s="5"/>
      <c r="M71" s="5"/>
      <c r="N71" s="9" t="s">
        <v>11850</v>
      </c>
      <c r="O71" s="9"/>
      <c r="P71" s="5"/>
      <c r="Q71" s="9" t="s">
        <v>11851</v>
      </c>
      <c r="R71" s="9"/>
      <c r="S71" s="9" t="str">
        <f>HYPERLINK("https://seichotoushi-hojo.jp/assets/pdf/koufu/outline_113.pdf","PDFを開く")</f>
        <v>PDFを開く</v>
      </c>
      <c r="T71" s="9" t="s">
        <v>238</v>
      </c>
      <c r="U71" s="9" t="s">
        <v>239</v>
      </c>
    </row>
    <row r="72" spans="1:21" ht="39.950000000000003" customHeight="1">
      <c r="A72" s="2" t="s">
        <v>233</v>
      </c>
      <c r="B72" s="2" t="s">
        <v>73</v>
      </c>
      <c r="C72" s="8" t="s">
        <v>234</v>
      </c>
      <c r="D72" s="8" t="s">
        <v>3191</v>
      </c>
      <c r="E72" s="8" t="s">
        <v>92</v>
      </c>
      <c r="F72" s="2">
        <v>2024</v>
      </c>
      <c r="G72" s="2">
        <v>45</v>
      </c>
      <c r="H72" s="2">
        <v>2027</v>
      </c>
      <c r="I72" s="2">
        <v>60</v>
      </c>
      <c r="J72" s="2" t="s">
        <v>2513</v>
      </c>
      <c r="K72" s="2"/>
      <c r="L72" s="2"/>
      <c r="M72" s="2"/>
      <c r="N72" s="8" t="s">
        <v>11846</v>
      </c>
      <c r="O72" s="8" t="s">
        <v>11847</v>
      </c>
      <c r="P72" s="2">
        <v>2</v>
      </c>
      <c r="Q72" s="8"/>
      <c r="R72" s="8" t="s">
        <v>3405</v>
      </c>
      <c r="S72" s="8" t="str">
        <f>HYPERLINK("https://seichotoushi-hojo.jp/assets/pdf/koufu/outline_113.pdf","PDFを開く")</f>
        <v>PDFを開く</v>
      </c>
      <c r="T72" s="8" t="s">
        <v>238</v>
      </c>
      <c r="U72" s="8" t="s">
        <v>239</v>
      </c>
    </row>
    <row r="73" spans="1:21" ht="39.950000000000003" customHeight="1">
      <c r="A73" s="5" t="s">
        <v>240</v>
      </c>
      <c r="B73" s="5" t="s">
        <v>73</v>
      </c>
      <c r="C73" s="9" t="s">
        <v>241</v>
      </c>
      <c r="D73" s="9" t="s">
        <v>3176</v>
      </c>
      <c r="E73" s="9" t="s">
        <v>90</v>
      </c>
      <c r="F73" s="5">
        <v>2025</v>
      </c>
      <c r="G73" s="5">
        <v>875</v>
      </c>
      <c r="H73" s="5">
        <v>2028</v>
      </c>
      <c r="I73" s="5">
        <v>2071</v>
      </c>
      <c r="J73" s="5" t="s">
        <v>86</v>
      </c>
      <c r="K73" s="5">
        <v>33.299999999999997</v>
      </c>
      <c r="L73" s="5">
        <v>33.267400000000002</v>
      </c>
      <c r="M73" s="5">
        <v>3.2599999999999997E-2</v>
      </c>
      <c r="N73" s="9" t="s">
        <v>11846</v>
      </c>
      <c r="O73" s="9" t="s">
        <v>11847</v>
      </c>
      <c r="P73" s="5">
        <v>2</v>
      </c>
      <c r="Q73" s="9"/>
      <c r="R73" s="9" t="s">
        <v>3409</v>
      </c>
      <c r="S73" s="9" t="str">
        <f>HYPERLINK("https://seichotoushi-hojo.jp/assets/pdf/koufu/outline_114.pdf","PDFを開く")</f>
        <v>PDFを開く</v>
      </c>
      <c r="T73" s="9" t="s">
        <v>246</v>
      </c>
      <c r="U73" s="9" t="s">
        <v>247</v>
      </c>
    </row>
    <row r="74" spans="1:21" ht="39.950000000000003" customHeight="1">
      <c r="A74" s="2" t="s">
        <v>240</v>
      </c>
      <c r="B74" s="2" t="s">
        <v>73</v>
      </c>
      <c r="C74" s="8" t="s">
        <v>241</v>
      </c>
      <c r="D74" s="8" t="s">
        <v>3184</v>
      </c>
      <c r="E74" s="8" t="s">
        <v>90</v>
      </c>
      <c r="F74" s="2">
        <v>2025</v>
      </c>
      <c r="G74" s="2">
        <v>536</v>
      </c>
      <c r="H74" s="2">
        <v>2028</v>
      </c>
      <c r="I74" s="2">
        <v>621</v>
      </c>
      <c r="J74" s="2" t="s">
        <v>86</v>
      </c>
      <c r="K74" s="2">
        <v>5</v>
      </c>
      <c r="L74" s="2">
        <v>5.0289000000000001</v>
      </c>
      <c r="M74" s="2">
        <v>2.8899999999999999E-2</v>
      </c>
      <c r="N74" s="8" t="s">
        <v>11846</v>
      </c>
      <c r="O74" s="8" t="s">
        <v>11847</v>
      </c>
      <c r="P74" s="2">
        <v>2</v>
      </c>
      <c r="Q74" s="8"/>
      <c r="R74" s="8" t="s">
        <v>3412</v>
      </c>
      <c r="S74" s="8" t="str">
        <f>HYPERLINK("https://seichotoushi-hojo.jp/assets/pdf/koufu/outline_114.pdf","PDFを開く")</f>
        <v>PDFを開く</v>
      </c>
      <c r="T74" s="8" t="s">
        <v>246</v>
      </c>
      <c r="U74" s="8" t="s">
        <v>247</v>
      </c>
    </row>
    <row r="75" spans="1:21" ht="39.950000000000003" customHeight="1">
      <c r="A75" s="5" t="s">
        <v>240</v>
      </c>
      <c r="B75" s="5" t="s">
        <v>73</v>
      </c>
      <c r="C75" s="9" t="s">
        <v>241</v>
      </c>
      <c r="D75" s="9" t="s">
        <v>3188</v>
      </c>
      <c r="E75" s="9" t="s">
        <v>92</v>
      </c>
      <c r="F75" s="5">
        <v>2025</v>
      </c>
      <c r="G75" s="5">
        <v>0</v>
      </c>
      <c r="H75" s="5">
        <v>2028</v>
      </c>
      <c r="I75" s="5">
        <v>0</v>
      </c>
      <c r="J75" s="5" t="s">
        <v>86</v>
      </c>
      <c r="K75" s="5"/>
      <c r="L75" s="5"/>
      <c r="M75" s="5"/>
      <c r="N75" s="9" t="s">
        <v>11846</v>
      </c>
      <c r="O75" s="9" t="s">
        <v>11847</v>
      </c>
      <c r="P75" s="5">
        <v>2</v>
      </c>
      <c r="Q75" s="9"/>
      <c r="R75" s="9" t="s">
        <v>3414</v>
      </c>
      <c r="S75" s="9" t="str">
        <f>HYPERLINK("https://seichotoushi-hojo.jp/assets/pdf/koufu/outline_114.pdf","PDFを開く")</f>
        <v>PDFを開く</v>
      </c>
      <c r="T75" s="9" t="s">
        <v>246</v>
      </c>
      <c r="U75" s="9" t="s">
        <v>247</v>
      </c>
    </row>
    <row r="76" spans="1:21" ht="39.950000000000003" customHeight="1">
      <c r="A76" s="2" t="s">
        <v>240</v>
      </c>
      <c r="B76" s="2" t="s">
        <v>73</v>
      </c>
      <c r="C76" s="8" t="s">
        <v>241</v>
      </c>
      <c r="D76" s="8" t="s">
        <v>3191</v>
      </c>
      <c r="E76" s="8" t="s">
        <v>92</v>
      </c>
      <c r="F76" s="2">
        <v>2025</v>
      </c>
      <c r="G76" s="2">
        <v>61</v>
      </c>
      <c r="H76" s="2">
        <v>2028</v>
      </c>
      <c r="I76" s="2">
        <v>100</v>
      </c>
      <c r="J76" s="2" t="s">
        <v>2513</v>
      </c>
      <c r="K76" s="2"/>
      <c r="L76" s="2"/>
      <c r="M76" s="2"/>
      <c r="N76" s="8" t="s">
        <v>11846</v>
      </c>
      <c r="O76" s="8" t="s">
        <v>11847</v>
      </c>
      <c r="P76" s="2">
        <v>2</v>
      </c>
      <c r="Q76" s="8"/>
      <c r="R76" s="8" t="s">
        <v>3416</v>
      </c>
      <c r="S76" s="8" t="str">
        <f>HYPERLINK("https://seichotoushi-hojo.jp/assets/pdf/koufu/outline_114.pdf","PDFを開く")</f>
        <v>PDFを開く</v>
      </c>
      <c r="T76" s="8" t="s">
        <v>246</v>
      </c>
      <c r="U76" s="8" t="s">
        <v>247</v>
      </c>
    </row>
    <row r="77" spans="1:21" ht="39.950000000000003" customHeight="1">
      <c r="A77" s="5" t="s">
        <v>248</v>
      </c>
      <c r="B77" s="5" t="s">
        <v>73</v>
      </c>
      <c r="C77" s="9" t="s">
        <v>249</v>
      </c>
      <c r="D77" s="9" t="s">
        <v>3176</v>
      </c>
      <c r="E77" s="9" t="s">
        <v>90</v>
      </c>
      <c r="F77" s="5">
        <v>2027</v>
      </c>
      <c r="G77" s="5">
        <v>1155</v>
      </c>
      <c r="H77" s="5">
        <v>2030</v>
      </c>
      <c r="I77" s="5">
        <v>1547</v>
      </c>
      <c r="J77" s="5" t="s">
        <v>86</v>
      </c>
      <c r="K77" s="5">
        <v>10.199999999999999</v>
      </c>
      <c r="L77" s="5">
        <v>10.2308</v>
      </c>
      <c r="M77" s="5">
        <v>3.0800000000000001E-2</v>
      </c>
      <c r="N77" s="9" t="s">
        <v>11846</v>
      </c>
      <c r="O77" s="9" t="s">
        <v>11847</v>
      </c>
      <c r="P77" s="5">
        <v>2</v>
      </c>
      <c r="Q77" s="9"/>
      <c r="R77" s="9" t="s">
        <v>3420</v>
      </c>
      <c r="S77" s="9" t="str">
        <f>HYPERLINK("https://seichotoushi-hojo.jp/assets/pdf/koufu/outline_115.pdf","PDFを開く")</f>
        <v>PDFを開く</v>
      </c>
      <c r="T77" s="9" t="s">
        <v>255</v>
      </c>
      <c r="U77" s="9" t="s">
        <v>256</v>
      </c>
    </row>
    <row r="78" spans="1:21" ht="39.950000000000003" customHeight="1">
      <c r="A78" s="2" t="s">
        <v>248</v>
      </c>
      <c r="B78" s="2" t="s">
        <v>73</v>
      </c>
      <c r="C78" s="8" t="s">
        <v>249</v>
      </c>
      <c r="D78" s="8" t="s">
        <v>3184</v>
      </c>
      <c r="E78" s="8" t="s">
        <v>90</v>
      </c>
      <c r="F78" s="2">
        <v>2027</v>
      </c>
      <c r="G78" s="2">
        <v>531</v>
      </c>
      <c r="H78" s="2">
        <v>2030</v>
      </c>
      <c r="I78" s="2">
        <v>634</v>
      </c>
      <c r="J78" s="2" t="s">
        <v>86</v>
      </c>
      <c r="K78" s="2">
        <v>6.1</v>
      </c>
      <c r="L78" s="2">
        <v>6.0876999999999999</v>
      </c>
      <c r="M78" s="2">
        <v>1.23E-2</v>
      </c>
      <c r="N78" s="8" t="s">
        <v>11846</v>
      </c>
      <c r="O78" s="8" t="s">
        <v>11847</v>
      </c>
      <c r="P78" s="2">
        <v>2</v>
      </c>
      <c r="Q78" s="8"/>
      <c r="R78" s="8" t="s">
        <v>3424</v>
      </c>
      <c r="S78" s="8" t="str">
        <f>HYPERLINK("https://seichotoushi-hojo.jp/assets/pdf/koufu/outline_115.pdf","PDFを開く")</f>
        <v>PDFを開く</v>
      </c>
      <c r="T78" s="8" t="s">
        <v>255</v>
      </c>
      <c r="U78" s="8" t="s">
        <v>256</v>
      </c>
    </row>
    <row r="79" spans="1:21" ht="39.950000000000003" customHeight="1">
      <c r="A79" s="5" t="s">
        <v>248</v>
      </c>
      <c r="B79" s="5" t="s">
        <v>73</v>
      </c>
      <c r="C79" s="9" t="s">
        <v>249</v>
      </c>
      <c r="D79" s="9" t="s">
        <v>3188</v>
      </c>
      <c r="E79" s="9" t="s">
        <v>90</v>
      </c>
      <c r="F79" s="5">
        <v>2027</v>
      </c>
      <c r="G79" s="5">
        <v>3075</v>
      </c>
      <c r="H79" s="5">
        <v>2030</v>
      </c>
      <c r="I79" s="5">
        <v>3625</v>
      </c>
      <c r="J79" s="5" t="s">
        <v>86</v>
      </c>
      <c r="K79" s="5">
        <v>5.6</v>
      </c>
      <c r="L79" s="5">
        <v>5.6382000000000003</v>
      </c>
      <c r="M79" s="5">
        <v>3.8199999999999998E-2</v>
      </c>
      <c r="N79" s="9" t="s">
        <v>11846</v>
      </c>
      <c r="O79" s="9" t="s">
        <v>11847</v>
      </c>
      <c r="P79" s="5">
        <v>2</v>
      </c>
      <c r="Q79" s="9"/>
      <c r="R79" s="9" t="s">
        <v>3427</v>
      </c>
      <c r="S79" s="9" t="str">
        <f>HYPERLINK("https://seichotoushi-hojo.jp/assets/pdf/koufu/outline_115.pdf","PDFを開く")</f>
        <v>PDFを開く</v>
      </c>
      <c r="T79" s="9" t="s">
        <v>255</v>
      </c>
      <c r="U79" s="9" t="s">
        <v>256</v>
      </c>
    </row>
    <row r="80" spans="1:21" ht="39.950000000000003" customHeight="1">
      <c r="A80" s="2" t="s">
        <v>248</v>
      </c>
      <c r="B80" s="2" t="s">
        <v>73</v>
      </c>
      <c r="C80" s="8" t="s">
        <v>249</v>
      </c>
      <c r="D80" s="8" t="s">
        <v>3191</v>
      </c>
      <c r="E80" s="8" t="s">
        <v>92</v>
      </c>
      <c r="F80" s="2">
        <v>2027</v>
      </c>
      <c r="G80" s="2">
        <v>227</v>
      </c>
      <c r="H80" s="2">
        <v>2030</v>
      </c>
      <c r="I80" s="2">
        <v>281</v>
      </c>
      <c r="J80" s="2" t="s">
        <v>2513</v>
      </c>
      <c r="K80" s="2"/>
      <c r="L80" s="2"/>
      <c r="M80" s="2"/>
      <c r="N80" s="8" t="s">
        <v>11846</v>
      </c>
      <c r="O80" s="8" t="s">
        <v>11847</v>
      </c>
      <c r="P80" s="2">
        <v>2</v>
      </c>
      <c r="Q80" s="8"/>
      <c r="R80" s="8" t="s">
        <v>3430</v>
      </c>
      <c r="S80" s="8" t="str">
        <f>HYPERLINK("https://seichotoushi-hojo.jp/assets/pdf/koufu/outline_115.pdf","PDFを開く")</f>
        <v>PDFを開く</v>
      </c>
      <c r="T80" s="8" t="s">
        <v>255</v>
      </c>
      <c r="U80" s="8" t="s">
        <v>256</v>
      </c>
    </row>
    <row r="81" spans="1:21" ht="39.950000000000003" customHeight="1">
      <c r="A81" s="5" t="s">
        <v>257</v>
      </c>
      <c r="B81" s="5" t="s">
        <v>73</v>
      </c>
      <c r="C81" s="9" t="s">
        <v>258</v>
      </c>
      <c r="D81" s="9" t="s">
        <v>3176</v>
      </c>
      <c r="E81" s="9" t="s">
        <v>90</v>
      </c>
      <c r="F81" s="5">
        <v>2025</v>
      </c>
      <c r="G81" s="5">
        <v>290</v>
      </c>
      <c r="H81" s="5">
        <v>2028</v>
      </c>
      <c r="I81" s="5">
        <v>1143</v>
      </c>
      <c r="J81" s="5" t="s">
        <v>86</v>
      </c>
      <c r="K81" s="5">
        <v>57.9</v>
      </c>
      <c r="L81" s="5">
        <v>57.960799999999999</v>
      </c>
      <c r="M81" s="5">
        <v>6.08E-2</v>
      </c>
      <c r="N81" s="9" t="s">
        <v>11846</v>
      </c>
      <c r="O81" s="9" t="s">
        <v>11847</v>
      </c>
      <c r="P81" s="5">
        <v>2</v>
      </c>
      <c r="Q81" s="9"/>
      <c r="R81" s="9" t="s">
        <v>3433</v>
      </c>
      <c r="S81" s="9" t="str">
        <f>HYPERLINK("https://seichotoushi-hojo.jp/assets/pdf/koufu/outline_116.pdf","PDFを開く")</f>
        <v>PDFを開く</v>
      </c>
      <c r="T81" s="9" t="s">
        <v>263</v>
      </c>
      <c r="U81" s="9" t="s">
        <v>264</v>
      </c>
    </row>
    <row r="82" spans="1:21" ht="39.950000000000003" customHeight="1">
      <c r="A82" s="2" t="s">
        <v>257</v>
      </c>
      <c r="B82" s="2" t="s">
        <v>73</v>
      </c>
      <c r="C82" s="8" t="s">
        <v>258</v>
      </c>
      <c r="D82" s="8" t="s">
        <v>3184</v>
      </c>
      <c r="E82" s="8" t="s">
        <v>90</v>
      </c>
      <c r="F82" s="2">
        <v>2025</v>
      </c>
      <c r="G82" s="2">
        <v>236</v>
      </c>
      <c r="H82" s="2">
        <v>2028</v>
      </c>
      <c r="I82" s="2">
        <v>272</v>
      </c>
      <c r="J82" s="2" t="s">
        <v>86</v>
      </c>
      <c r="K82" s="2">
        <v>4.8</v>
      </c>
      <c r="L82" s="2">
        <v>4.8460999999999999</v>
      </c>
      <c r="M82" s="2">
        <v>4.6100000000000002E-2</v>
      </c>
      <c r="N82" s="8" t="s">
        <v>11846</v>
      </c>
      <c r="O82" s="8" t="s">
        <v>11847</v>
      </c>
      <c r="P82" s="2">
        <v>2</v>
      </c>
      <c r="Q82" s="8"/>
      <c r="R82" s="8" t="s">
        <v>3437</v>
      </c>
      <c r="S82" s="8" t="str">
        <f>HYPERLINK("https://seichotoushi-hojo.jp/assets/pdf/koufu/outline_116.pdf","PDFを開く")</f>
        <v>PDFを開く</v>
      </c>
      <c r="T82" s="8" t="s">
        <v>263</v>
      </c>
      <c r="U82" s="8" t="s">
        <v>264</v>
      </c>
    </row>
    <row r="83" spans="1:21" ht="39.950000000000003" customHeight="1">
      <c r="A83" s="5" t="s">
        <v>257</v>
      </c>
      <c r="B83" s="5" t="s">
        <v>73</v>
      </c>
      <c r="C83" s="9" t="s">
        <v>258</v>
      </c>
      <c r="D83" s="9" t="s">
        <v>3188</v>
      </c>
      <c r="E83" s="9" t="s">
        <v>90</v>
      </c>
      <c r="F83" s="5">
        <v>2025</v>
      </c>
      <c r="G83" s="5">
        <v>1500</v>
      </c>
      <c r="H83" s="5">
        <v>2028</v>
      </c>
      <c r="I83" s="5">
        <v>1639</v>
      </c>
      <c r="J83" s="5" t="s">
        <v>86</v>
      </c>
      <c r="K83" s="5">
        <v>3</v>
      </c>
      <c r="L83" s="5">
        <v>2.9981</v>
      </c>
      <c r="M83" s="5">
        <v>1.9E-3</v>
      </c>
      <c r="N83" s="9" t="s">
        <v>11846</v>
      </c>
      <c r="O83" s="9" t="s">
        <v>11847</v>
      </c>
      <c r="P83" s="5">
        <v>2</v>
      </c>
      <c r="Q83" s="9"/>
      <c r="R83" s="9" t="s">
        <v>3440</v>
      </c>
      <c r="S83" s="9" t="str">
        <f>HYPERLINK("https://seichotoushi-hojo.jp/assets/pdf/koufu/outline_116.pdf","PDFを開く")</f>
        <v>PDFを開く</v>
      </c>
      <c r="T83" s="9" t="s">
        <v>263</v>
      </c>
      <c r="U83" s="9" t="s">
        <v>264</v>
      </c>
    </row>
    <row r="84" spans="1:21" ht="39.950000000000003" customHeight="1">
      <c r="A84" s="2" t="s">
        <v>257</v>
      </c>
      <c r="B84" s="2" t="s">
        <v>73</v>
      </c>
      <c r="C84" s="8" t="s">
        <v>258</v>
      </c>
      <c r="D84" s="8" t="s">
        <v>3191</v>
      </c>
      <c r="E84" s="8" t="s">
        <v>92</v>
      </c>
      <c r="F84" s="2">
        <v>2025</v>
      </c>
      <c r="G84" s="2">
        <v>63</v>
      </c>
      <c r="H84" s="2">
        <v>2028</v>
      </c>
      <c r="I84" s="2">
        <v>104</v>
      </c>
      <c r="J84" s="2" t="s">
        <v>2513</v>
      </c>
      <c r="K84" s="2"/>
      <c r="L84" s="2"/>
      <c r="M84" s="2"/>
      <c r="N84" s="8" t="s">
        <v>11846</v>
      </c>
      <c r="O84" s="8" t="s">
        <v>11847</v>
      </c>
      <c r="P84" s="2">
        <v>2</v>
      </c>
      <c r="Q84" s="8"/>
      <c r="R84" s="8" t="s">
        <v>3443</v>
      </c>
      <c r="S84" s="8" t="str">
        <f>HYPERLINK("https://seichotoushi-hojo.jp/assets/pdf/koufu/outline_116.pdf","PDFを開く")</f>
        <v>PDFを開く</v>
      </c>
      <c r="T84" s="8" t="s">
        <v>263</v>
      </c>
      <c r="U84" s="8" t="s">
        <v>264</v>
      </c>
    </row>
    <row r="85" spans="1:21" ht="39.950000000000003" customHeight="1">
      <c r="A85" s="5" t="s">
        <v>265</v>
      </c>
      <c r="B85" s="5" t="s">
        <v>73</v>
      </c>
      <c r="C85" s="9" t="s">
        <v>266</v>
      </c>
      <c r="D85" s="9" t="s">
        <v>3176</v>
      </c>
      <c r="E85" s="9" t="s">
        <v>90</v>
      </c>
      <c r="F85" s="5">
        <v>2026</v>
      </c>
      <c r="G85" s="5">
        <v>873</v>
      </c>
      <c r="H85" s="5">
        <v>2029</v>
      </c>
      <c r="I85" s="5">
        <v>1722</v>
      </c>
      <c r="J85" s="5" t="s">
        <v>86</v>
      </c>
      <c r="K85" s="5">
        <v>25.4</v>
      </c>
      <c r="L85" s="5">
        <v>25.412199999999999</v>
      </c>
      <c r="M85" s="5">
        <v>1.2200000000000001E-2</v>
      </c>
      <c r="N85" s="9" t="s">
        <v>11846</v>
      </c>
      <c r="O85" s="9" t="s">
        <v>11847</v>
      </c>
      <c r="P85" s="5">
        <v>4</v>
      </c>
      <c r="Q85" s="9"/>
      <c r="R85" s="9" t="s">
        <v>3446</v>
      </c>
      <c r="S85" s="9" t="str">
        <f>HYPERLINK("https://seichotoushi-hojo.jp/assets/pdf/koufu/outline_117.pdf","PDFを開く")</f>
        <v>PDFを開く</v>
      </c>
      <c r="T85" s="9" t="s">
        <v>272</v>
      </c>
      <c r="U85" s="9" t="s">
        <v>273</v>
      </c>
    </row>
    <row r="86" spans="1:21" ht="39.950000000000003" customHeight="1">
      <c r="A86" s="2" t="s">
        <v>265</v>
      </c>
      <c r="B86" s="2" t="s">
        <v>73</v>
      </c>
      <c r="C86" s="8" t="s">
        <v>266</v>
      </c>
      <c r="D86" s="8" t="s">
        <v>3184</v>
      </c>
      <c r="E86" s="8" t="s">
        <v>90</v>
      </c>
      <c r="F86" s="2">
        <v>2026</v>
      </c>
      <c r="G86" s="2">
        <v>504</v>
      </c>
      <c r="H86" s="2">
        <v>2029</v>
      </c>
      <c r="I86" s="2">
        <v>585</v>
      </c>
      <c r="J86" s="2" t="s">
        <v>86</v>
      </c>
      <c r="K86" s="2">
        <v>5.09</v>
      </c>
      <c r="L86" s="2">
        <v>5.0933000000000002</v>
      </c>
      <c r="M86" s="2">
        <v>3.3E-3</v>
      </c>
      <c r="N86" s="8" t="s">
        <v>11846</v>
      </c>
      <c r="O86" s="8" t="s">
        <v>11847</v>
      </c>
      <c r="P86" s="2">
        <v>4</v>
      </c>
      <c r="Q86" s="8"/>
      <c r="R86" s="8" t="s">
        <v>3448</v>
      </c>
      <c r="S86" s="8" t="str">
        <f>HYPERLINK("https://seichotoushi-hojo.jp/assets/pdf/koufu/outline_117.pdf","PDFを開く")</f>
        <v>PDFを開く</v>
      </c>
      <c r="T86" s="8" t="s">
        <v>272</v>
      </c>
      <c r="U86" s="8" t="s">
        <v>273</v>
      </c>
    </row>
    <row r="87" spans="1:21" ht="39.950000000000003" customHeight="1">
      <c r="A87" s="5" t="s">
        <v>265</v>
      </c>
      <c r="B87" s="5" t="s">
        <v>73</v>
      </c>
      <c r="C87" s="9" t="s">
        <v>266</v>
      </c>
      <c r="D87" s="9" t="s">
        <v>3188</v>
      </c>
      <c r="E87" s="9" t="s">
        <v>90</v>
      </c>
      <c r="F87" s="5">
        <v>2026</v>
      </c>
      <c r="G87" s="5">
        <v>6500</v>
      </c>
      <c r="H87" s="5">
        <v>2029</v>
      </c>
      <c r="I87" s="5">
        <v>7600</v>
      </c>
      <c r="J87" s="5" t="s">
        <v>86</v>
      </c>
      <c r="K87" s="5">
        <v>5.35</v>
      </c>
      <c r="L87" s="5">
        <v>5.3497000000000003</v>
      </c>
      <c r="M87" s="5">
        <v>2.9999999999999997E-4</v>
      </c>
      <c r="N87" s="9" t="s">
        <v>11846</v>
      </c>
      <c r="O87" s="9" t="s">
        <v>11847</v>
      </c>
      <c r="P87" s="5">
        <v>4</v>
      </c>
      <c r="Q87" s="9"/>
      <c r="R87" s="9" t="s">
        <v>3451</v>
      </c>
      <c r="S87" s="9" t="str">
        <f>HYPERLINK("https://seichotoushi-hojo.jp/assets/pdf/koufu/outline_117.pdf","PDFを開く")</f>
        <v>PDFを開く</v>
      </c>
      <c r="T87" s="9" t="s">
        <v>272</v>
      </c>
      <c r="U87" s="9" t="s">
        <v>273</v>
      </c>
    </row>
    <row r="88" spans="1:21" ht="39.950000000000003" customHeight="1">
      <c r="A88" s="2" t="s">
        <v>265</v>
      </c>
      <c r="B88" s="2" t="s">
        <v>73</v>
      </c>
      <c r="C88" s="8" t="s">
        <v>266</v>
      </c>
      <c r="D88" s="8" t="s">
        <v>3191</v>
      </c>
      <c r="E88" s="8" t="s">
        <v>92</v>
      </c>
      <c r="F88" s="2">
        <v>2026</v>
      </c>
      <c r="G88" s="2">
        <v>129</v>
      </c>
      <c r="H88" s="2">
        <v>2029</v>
      </c>
      <c r="I88" s="2">
        <v>145</v>
      </c>
      <c r="J88" s="2" t="s">
        <v>2513</v>
      </c>
      <c r="K88" s="2"/>
      <c r="L88" s="2"/>
      <c r="M88" s="2"/>
      <c r="N88" s="8" t="s">
        <v>11846</v>
      </c>
      <c r="O88" s="8" t="s">
        <v>11847</v>
      </c>
      <c r="P88" s="2">
        <v>4</v>
      </c>
      <c r="Q88" s="8"/>
      <c r="R88" s="8" t="s">
        <v>3454</v>
      </c>
      <c r="S88" s="8" t="str">
        <f>HYPERLINK("https://seichotoushi-hojo.jp/assets/pdf/koufu/outline_117.pdf","PDFを開く")</f>
        <v>PDFを開く</v>
      </c>
      <c r="T88" s="8" t="s">
        <v>272</v>
      </c>
      <c r="U88" s="8" t="s">
        <v>273</v>
      </c>
    </row>
    <row r="89" spans="1:21" ht="39.950000000000003" customHeight="1">
      <c r="A89" s="5" t="s">
        <v>274</v>
      </c>
      <c r="B89" s="5" t="s">
        <v>73</v>
      </c>
      <c r="C89" s="9" t="s">
        <v>275</v>
      </c>
      <c r="D89" s="9" t="s">
        <v>3176</v>
      </c>
      <c r="E89" s="9" t="s">
        <v>90</v>
      </c>
      <c r="F89" s="5">
        <v>2025</v>
      </c>
      <c r="G89" s="5">
        <v>1135</v>
      </c>
      <c r="H89" s="5">
        <v>2028</v>
      </c>
      <c r="I89" s="5">
        <v>2087</v>
      </c>
      <c r="J89" s="5" t="s">
        <v>86</v>
      </c>
      <c r="K89" s="5">
        <v>23</v>
      </c>
      <c r="L89" s="5">
        <v>22.511099999999999</v>
      </c>
      <c r="M89" s="5">
        <v>0.4889</v>
      </c>
      <c r="N89" s="9" t="s">
        <v>11846</v>
      </c>
      <c r="O89" s="9" t="s">
        <v>11847</v>
      </c>
      <c r="P89" s="5">
        <v>3</v>
      </c>
      <c r="Q89" s="9"/>
      <c r="R89" s="9" t="s">
        <v>3458</v>
      </c>
      <c r="S89" s="9" t="str">
        <f>HYPERLINK("https://seichotoushi-hojo.jp/assets/pdf/koufu/outline_118.pdf","PDFを開く")</f>
        <v>PDFを開く</v>
      </c>
      <c r="T89" s="9" t="s">
        <v>278</v>
      </c>
      <c r="U89" s="9" t="s">
        <v>279</v>
      </c>
    </row>
    <row r="90" spans="1:21" ht="39.950000000000003" customHeight="1">
      <c r="A90" s="2" t="s">
        <v>274</v>
      </c>
      <c r="B90" s="2" t="s">
        <v>73</v>
      </c>
      <c r="C90" s="8" t="s">
        <v>275</v>
      </c>
      <c r="D90" s="8" t="s">
        <v>3184</v>
      </c>
      <c r="E90" s="8" t="s">
        <v>90</v>
      </c>
      <c r="F90" s="2">
        <v>2025</v>
      </c>
      <c r="G90" s="2">
        <v>558</v>
      </c>
      <c r="H90" s="2">
        <v>2028</v>
      </c>
      <c r="I90" s="2">
        <v>656</v>
      </c>
      <c r="J90" s="2" t="s">
        <v>86</v>
      </c>
      <c r="K90" s="2">
        <v>5.5</v>
      </c>
      <c r="L90" s="2">
        <v>5.5415000000000001</v>
      </c>
      <c r="M90" s="2">
        <v>4.1500000000000002E-2</v>
      </c>
      <c r="N90" s="8" t="s">
        <v>11846</v>
      </c>
      <c r="O90" s="8" t="s">
        <v>11847</v>
      </c>
      <c r="P90" s="2">
        <v>3</v>
      </c>
      <c r="Q90" s="8"/>
      <c r="R90" s="8" t="s">
        <v>3462</v>
      </c>
      <c r="S90" s="8" t="str">
        <f>HYPERLINK("https://seichotoushi-hojo.jp/assets/pdf/koufu/outline_118.pdf","PDFを開く")</f>
        <v>PDFを開く</v>
      </c>
      <c r="T90" s="8" t="s">
        <v>278</v>
      </c>
      <c r="U90" s="8" t="s">
        <v>279</v>
      </c>
    </row>
    <row r="91" spans="1:21" ht="39.950000000000003" customHeight="1">
      <c r="A91" s="5" t="s">
        <v>274</v>
      </c>
      <c r="B91" s="5" t="s">
        <v>73</v>
      </c>
      <c r="C91" s="9" t="s">
        <v>275</v>
      </c>
      <c r="D91" s="9" t="s">
        <v>3188</v>
      </c>
      <c r="E91" s="9" t="s">
        <v>157</v>
      </c>
      <c r="F91" s="5"/>
      <c r="G91" s="5"/>
      <c r="H91" s="5"/>
      <c r="I91" s="5"/>
      <c r="J91" s="5"/>
      <c r="K91" s="5"/>
      <c r="L91" s="5"/>
      <c r="M91" s="5"/>
      <c r="N91" s="9" t="s">
        <v>11850</v>
      </c>
      <c r="O91" s="9"/>
      <c r="P91" s="5"/>
      <c r="Q91" s="9" t="s">
        <v>11851</v>
      </c>
      <c r="R91" s="9"/>
      <c r="S91" s="9" t="str">
        <f>HYPERLINK("https://seichotoushi-hojo.jp/assets/pdf/koufu/outline_118.pdf","PDFを開く")</f>
        <v>PDFを開く</v>
      </c>
      <c r="T91" s="9" t="s">
        <v>278</v>
      </c>
      <c r="U91" s="9" t="s">
        <v>279</v>
      </c>
    </row>
    <row r="92" spans="1:21" ht="39.950000000000003" customHeight="1">
      <c r="A92" s="2" t="s">
        <v>274</v>
      </c>
      <c r="B92" s="2" t="s">
        <v>73</v>
      </c>
      <c r="C92" s="8" t="s">
        <v>275</v>
      </c>
      <c r="D92" s="8" t="s">
        <v>3191</v>
      </c>
      <c r="E92" s="8" t="s">
        <v>92</v>
      </c>
      <c r="F92" s="2">
        <v>2025</v>
      </c>
      <c r="G92" s="2">
        <v>38</v>
      </c>
      <c r="H92" s="2">
        <v>2028</v>
      </c>
      <c r="I92" s="2">
        <v>51</v>
      </c>
      <c r="J92" s="2" t="s">
        <v>2513</v>
      </c>
      <c r="K92" s="2"/>
      <c r="L92" s="2"/>
      <c r="M92" s="2"/>
      <c r="N92" s="8" t="s">
        <v>11846</v>
      </c>
      <c r="O92" s="8" t="s">
        <v>11847</v>
      </c>
      <c r="P92" s="2">
        <v>3</v>
      </c>
      <c r="Q92" s="8"/>
      <c r="R92" s="8" t="s">
        <v>3466</v>
      </c>
      <c r="S92" s="8" t="str">
        <f>HYPERLINK("https://seichotoushi-hojo.jp/assets/pdf/koufu/outline_118.pdf","PDFを開く")</f>
        <v>PDFを開く</v>
      </c>
      <c r="T92" s="8" t="s">
        <v>278</v>
      </c>
      <c r="U92" s="8" t="s">
        <v>279</v>
      </c>
    </row>
    <row r="93" spans="1:21" ht="39.950000000000003" customHeight="1">
      <c r="A93" s="5" t="s">
        <v>280</v>
      </c>
      <c r="B93" s="5" t="s">
        <v>73</v>
      </c>
      <c r="C93" s="9" t="s">
        <v>281</v>
      </c>
      <c r="D93" s="9" t="s">
        <v>3176</v>
      </c>
      <c r="E93" s="9" t="s">
        <v>90</v>
      </c>
      <c r="F93" s="5">
        <v>2026</v>
      </c>
      <c r="G93" s="5">
        <v>1158</v>
      </c>
      <c r="H93" s="5">
        <v>2029</v>
      </c>
      <c r="I93" s="5">
        <v>1866</v>
      </c>
      <c r="J93" s="5" t="s">
        <v>86</v>
      </c>
      <c r="K93" s="5">
        <v>17</v>
      </c>
      <c r="L93" s="5">
        <v>17.2378</v>
      </c>
      <c r="M93" s="5">
        <v>0.23780000000000001</v>
      </c>
      <c r="N93" s="9" t="s">
        <v>11846</v>
      </c>
      <c r="O93" s="9" t="s">
        <v>11847</v>
      </c>
      <c r="P93" s="5">
        <v>2</v>
      </c>
      <c r="Q93" s="9"/>
      <c r="R93" s="9" t="s">
        <v>3469</v>
      </c>
      <c r="S93" s="9" t="str">
        <f>HYPERLINK("https://seichotoushi-hojo.jp/assets/pdf/koufu/outline_119.pdf","PDFを開く")</f>
        <v>PDFを開く</v>
      </c>
      <c r="T93" s="9" t="s">
        <v>286</v>
      </c>
      <c r="U93" s="9" t="s">
        <v>287</v>
      </c>
    </row>
    <row r="94" spans="1:21" ht="39.950000000000003" customHeight="1">
      <c r="A94" s="2" t="s">
        <v>280</v>
      </c>
      <c r="B94" s="2" t="s">
        <v>73</v>
      </c>
      <c r="C94" s="8" t="s">
        <v>281</v>
      </c>
      <c r="D94" s="8" t="s">
        <v>3184</v>
      </c>
      <c r="E94" s="8" t="s">
        <v>90</v>
      </c>
      <c r="F94" s="2">
        <v>2026</v>
      </c>
      <c r="G94" s="2">
        <v>663</v>
      </c>
      <c r="H94" s="2">
        <v>2029</v>
      </c>
      <c r="I94" s="2">
        <v>746</v>
      </c>
      <c r="J94" s="2" t="s">
        <v>86</v>
      </c>
      <c r="K94" s="2">
        <v>4</v>
      </c>
      <c r="L94" s="2">
        <v>4.01</v>
      </c>
      <c r="M94" s="2">
        <v>0.01</v>
      </c>
      <c r="N94" s="8" t="s">
        <v>11846</v>
      </c>
      <c r="O94" s="8" t="s">
        <v>11847</v>
      </c>
      <c r="P94" s="2">
        <v>2</v>
      </c>
      <c r="Q94" s="8"/>
      <c r="R94" s="8" t="s">
        <v>3472</v>
      </c>
      <c r="S94" s="8" t="str">
        <f>HYPERLINK("https://seichotoushi-hojo.jp/assets/pdf/koufu/outline_119.pdf","PDFを開く")</f>
        <v>PDFを開く</v>
      </c>
      <c r="T94" s="8" t="s">
        <v>286</v>
      </c>
      <c r="U94" s="8" t="s">
        <v>287</v>
      </c>
    </row>
    <row r="95" spans="1:21" ht="39.950000000000003" customHeight="1">
      <c r="A95" s="5" t="s">
        <v>280</v>
      </c>
      <c r="B95" s="5" t="s">
        <v>73</v>
      </c>
      <c r="C95" s="9" t="s">
        <v>281</v>
      </c>
      <c r="D95" s="9" t="s">
        <v>3188</v>
      </c>
      <c r="E95" s="9" t="s">
        <v>91</v>
      </c>
      <c r="F95" s="5">
        <v>2026</v>
      </c>
      <c r="G95" s="5"/>
      <c r="H95" s="5">
        <v>2029</v>
      </c>
      <c r="I95" s="5"/>
      <c r="J95" s="5" t="s">
        <v>86</v>
      </c>
      <c r="K95" s="5">
        <v>4</v>
      </c>
      <c r="L95" s="5"/>
      <c r="M95" s="5"/>
      <c r="N95" s="9" t="s">
        <v>11846</v>
      </c>
      <c r="O95" s="9" t="s">
        <v>11848</v>
      </c>
      <c r="P95" s="5">
        <v>2</v>
      </c>
      <c r="Q95" s="9"/>
      <c r="R95" s="9" t="s">
        <v>3479</v>
      </c>
      <c r="S95" s="9" t="str">
        <f>HYPERLINK("https://seichotoushi-hojo.jp/assets/pdf/koufu/outline_119.pdf","PDFを開く")</f>
        <v>PDFを開く</v>
      </c>
      <c r="T95" s="9" t="s">
        <v>286</v>
      </c>
      <c r="U95" s="9" t="s">
        <v>287</v>
      </c>
    </row>
    <row r="96" spans="1:21" ht="39.950000000000003" customHeight="1">
      <c r="A96" s="2" t="s">
        <v>280</v>
      </c>
      <c r="B96" s="2" t="s">
        <v>73</v>
      </c>
      <c r="C96" s="8" t="s">
        <v>281</v>
      </c>
      <c r="D96" s="8" t="s">
        <v>3191</v>
      </c>
      <c r="E96" s="8" t="s">
        <v>92</v>
      </c>
      <c r="F96" s="2">
        <v>2026</v>
      </c>
      <c r="G96" s="2">
        <v>431</v>
      </c>
      <c r="H96" s="2">
        <v>2029</v>
      </c>
      <c r="I96" s="2">
        <v>456</v>
      </c>
      <c r="J96" s="2" t="s">
        <v>2513</v>
      </c>
      <c r="K96" s="2"/>
      <c r="L96" s="2"/>
      <c r="M96" s="2"/>
      <c r="N96" s="8" t="s">
        <v>11846</v>
      </c>
      <c r="O96" s="8" t="s">
        <v>11847</v>
      </c>
      <c r="P96" s="2">
        <v>2</v>
      </c>
      <c r="Q96" s="8"/>
      <c r="R96" s="8" t="s">
        <v>3476</v>
      </c>
      <c r="S96" s="8" t="str">
        <f>HYPERLINK("https://seichotoushi-hojo.jp/assets/pdf/koufu/outline_119.pdf","PDFを開く")</f>
        <v>PDFを開く</v>
      </c>
      <c r="T96" s="8" t="s">
        <v>286</v>
      </c>
      <c r="U96" s="8" t="s">
        <v>287</v>
      </c>
    </row>
    <row r="97" spans="1:21" ht="39.950000000000003" customHeight="1">
      <c r="A97" s="5" t="s">
        <v>288</v>
      </c>
      <c r="B97" s="5" t="s">
        <v>73</v>
      </c>
      <c r="C97" s="9" t="s">
        <v>289</v>
      </c>
      <c r="D97" s="9" t="s">
        <v>3176</v>
      </c>
      <c r="E97" s="9" t="s">
        <v>90</v>
      </c>
      <c r="F97" s="5">
        <v>2026</v>
      </c>
      <c r="G97" s="5">
        <v>1304</v>
      </c>
      <c r="H97" s="5">
        <v>2029</v>
      </c>
      <c r="I97" s="5">
        <v>1550</v>
      </c>
      <c r="J97" s="5" t="s">
        <v>86</v>
      </c>
      <c r="K97" s="5">
        <v>6</v>
      </c>
      <c r="L97" s="5">
        <v>5.9298000000000002</v>
      </c>
      <c r="M97" s="5">
        <v>7.0199999999999999E-2</v>
      </c>
      <c r="N97" s="9" t="s">
        <v>11846</v>
      </c>
      <c r="O97" s="9" t="s">
        <v>11847</v>
      </c>
      <c r="P97" s="5">
        <v>2</v>
      </c>
      <c r="Q97" s="9"/>
      <c r="R97" s="9" t="s">
        <v>3483</v>
      </c>
      <c r="S97" s="9" t="str">
        <f>HYPERLINK("https://seichotoushi-hojo.jp/assets/pdf/koufu/outline_12.pdf","PDFを開く")</f>
        <v>PDFを開く</v>
      </c>
      <c r="T97" s="9" t="s">
        <v>295</v>
      </c>
      <c r="U97" s="9" t="s">
        <v>296</v>
      </c>
    </row>
    <row r="98" spans="1:21" ht="39.950000000000003" customHeight="1">
      <c r="A98" s="2" t="s">
        <v>288</v>
      </c>
      <c r="B98" s="2" t="s">
        <v>73</v>
      </c>
      <c r="C98" s="8" t="s">
        <v>289</v>
      </c>
      <c r="D98" s="8" t="s">
        <v>3184</v>
      </c>
      <c r="E98" s="8" t="s">
        <v>90</v>
      </c>
      <c r="F98" s="2">
        <v>2026</v>
      </c>
      <c r="G98" s="2">
        <v>479</v>
      </c>
      <c r="H98" s="2">
        <v>2029</v>
      </c>
      <c r="I98" s="2">
        <v>587</v>
      </c>
      <c r="J98" s="2" t="s">
        <v>86</v>
      </c>
      <c r="K98" s="2">
        <v>7</v>
      </c>
      <c r="L98" s="2">
        <v>7.0124000000000004</v>
      </c>
      <c r="M98" s="2">
        <v>1.24E-2</v>
      </c>
      <c r="N98" s="8" t="s">
        <v>11846</v>
      </c>
      <c r="O98" s="8" t="s">
        <v>11847</v>
      </c>
      <c r="P98" s="2">
        <v>2</v>
      </c>
      <c r="Q98" s="8"/>
      <c r="R98" s="8" t="s">
        <v>3486</v>
      </c>
      <c r="S98" s="8" t="str">
        <f>HYPERLINK("https://seichotoushi-hojo.jp/assets/pdf/koufu/outline_12.pdf","PDFを開く")</f>
        <v>PDFを開く</v>
      </c>
      <c r="T98" s="8" t="s">
        <v>295</v>
      </c>
      <c r="U98" s="8" t="s">
        <v>296</v>
      </c>
    </row>
    <row r="99" spans="1:21" ht="39.950000000000003" customHeight="1">
      <c r="A99" s="5" t="s">
        <v>288</v>
      </c>
      <c r="B99" s="5" t="s">
        <v>73</v>
      </c>
      <c r="C99" s="9" t="s">
        <v>289</v>
      </c>
      <c r="D99" s="9" t="s">
        <v>3188</v>
      </c>
      <c r="E99" s="9" t="s">
        <v>156</v>
      </c>
      <c r="F99" s="5"/>
      <c r="G99" s="5"/>
      <c r="H99" s="5"/>
      <c r="I99" s="5"/>
      <c r="J99" s="5"/>
      <c r="K99" s="5"/>
      <c r="L99" s="5"/>
      <c r="M99" s="5"/>
      <c r="N99" s="9" t="s">
        <v>11850</v>
      </c>
      <c r="O99" s="9"/>
      <c r="P99" s="5"/>
      <c r="Q99" s="9" t="s">
        <v>11851</v>
      </c>
      <c r="R99" s="9"/>
      <c r="S99" s="9" t="str">
        <f>HYPERLINK("https://seichotoushi-hojo.jp/assets/pdf/koufu/outline_12.pdf","PDFを開く")</f>
        <v>PDFを開く</v>
      </c>
      <c r="T99" s="9" t="s">
        <v>295</v>
      </c>
      <c r="U99" s="9" t="s">
        <v>296</v>
      </c>
    </row>
    <row r="100" spans="1:21" ht="39.950000000000003" customHeight="1">
      <c r="A100" s="2" t="s">
        <v>288</v>
      </c>
      <c r="B100" s="2" t="s">
        <v>73</v>
      </c>
      <c r="C100" s="8" t="s">
        <v>289</v>
      </c>
      <c r="D100" s="8" t="s">
        <v>3191</v>
      </c>
      <c r="E100" s="8" t="s">
        <v>92</v>
      </c>
      <c r="F100" s="2">
        <v>2026</v>
      </c>
      <c r="G100" s="2">
        <v>505</v>
      </c>
      <c r="H100" s="2">
        <v>2029</v>
      </c>
      <c r="I100" s="2">
        <v>545</v>
      </c>
      <c r="J100" s="2" t="s">
        <v>2513</v>
      </c>
      <c r="K100" s="2"/>
      <c r="L100" s="2"/>
      <c r="M100" s="2"/>
      <c r="N100" s="8" t="s">
        <v>11846</v>
      </c>
      <c r="O100" s="8" t="s">
        <v>11847</v>
      </c>
      <c r="P100" s="2">
        <v>2</v>
      </c>
      <c r="Q100" s="8"/>
      <c r="R100" s="8" t="s">
        <v>3489</v>
      </c>
      <c r="S100" s="8" t="str">
        <f>HYPERLINK("https://seichotoushi-hojo.jp/assets/pdf/koufu/outline_12.pdf","PDFを開く")</f>
        <v>PDFを開く</v>
      </c>
      <c r="T100" s="8" t="s">
        <v>295</v>
      </c>
      <c r="U100" s="8" t="s">
        <v>296</v>
      </c>
    </row>
    <row r="101" spans="1:21" ht="39.950000000000003" customHeight="1">
      <c r="A101" s="5" t="s">
        <v>297</v>
      </c>
      <c r="B101" s="5" t="s">
        <v>73</v>
      </c>
      <c r="C101" s="9" t="s">
        <v>298</v>
      </c>
      <c r="D101" s="9" t="s">
        <v>3176</v>
      </c>
      <c r="E101" s="9" t="s">
        <v>90</v>
      </c>
      <c r="F101" s="5">
        <v>2025</v>
      </c>
      <c r="G101" s="5">
        <v>653</v>
      </c>
      <c r="H101" s="5">
        <v>2028</v>
      </c>
      <c r="I101" s="5">
        <v>1296</v>
      </c>
      <c r="J101" s="5" t="s">
        <v>86</v>
      </c>
      <c r="K101" s="5">
        <v>26</v>
      </c>
      <c r="L101" s="5">
        <v>25.669699999999999</v>
      </c>
      <c r="M101" s="5">
        <v>0.33029999999999998</v>
      </c>
      <c r="N101" s="9" t="s">
        <v>11846</v>
      </c>
      <c r="O101" s="9" t="s">
        <v>11847</v>
      </c>
      <c r="P101" s="5">
        <v>2</v>
      </c>
      <c r="Q101" s="9"/>
      <c r="R101" s="9" t="s">
        <v>3492</v>
      </c>
      <c r="S101" s="9" t="str">
        <f>HYPERLINK("https://seichotoushi-hojo.jp/assets/pdf/koufu/outline_120.pdf","PDFを開く")</f>
        <v>PDFを開く</v>
      </c>
      <c r="T101" s="9" t="s">
        <v>303</v>
      </c>
      <c r="U101" s="9" t="s">
        <v>304</v>
      </c>
    </row>
    <row r="102" spans="1:21" ht="39.950000000000003" customHeight="1">
      <c r="A102" s="2" t="s">
        <v>297</v>
      </c>
      <c r="B102" s="2" t="s">
        <v>73</v>
      </c>
      <c r="C102" s="8" t="s">
        <v>298</v>
      </c>
      <c r="D102" s="8" t="s">
        <v>3184</v>
      </c>
      <c r="E102" s="8" t="s">
        <v>90</v>
      </c>
      <c r="F102" s="2">
        <v>2025</v>
      </c>
      <c r="G102" s="2">
        <v>384</v>
      </c>
      <c r="H102" s="2">
        <v>2028</v>
      </c>
      <c r="I102" s="2">
        <v>457</v>
      </c>
      <c r="J102" s="2" t="s">
        <v>86</v>
      </c>
      <c r="K102" s="2">
        <v>6</v>
      </c>
      <c r="L102" s="2">
        <v>5.9729000000000001</v>
      </c>
      <c r="M102" s="2">
        <v>2.7099999999999999E-2</v>
      </c>
      <c r="N102" s="8" t="s">
        <v>11846</v>
      </c>
      <c r="O102" s="8" t="s">
        <v>11852</v>
      </c>
      <c r="P102" s="2">
        <v>2</v>
      </c>
      <c r="Q102" s="8"/>
      <c r="R102" s="8" t="s">
        <v>3496</v>
      </c>
      <c r="S102" s="8" t="str">
        <f>HYPERLINK("https://seichotoushi-hojo.jp/assets/pdf/koufu/outline_120.pdf","PDFを開く")</f>
        <v>PDFを開く</v>
      </c>
      <c r="T102" s="8" t="s">
        <v>303</v>
      </c>
      <c r="U102" s="8" t="s">
        <v>304</v>
      </c>
    </row>
    <row r="103" spans="1:21" ht="39.950000000000003" customHeight="1">
      <c r="A103" s="5" t="s">
        <v>297</v>
      </c>
      <c r="B103" s="5" t="s">
        <v>73</v>
      </c>
      <c r="C103" s="9" t="s">
        <v>298</v>
      </c>
      <c r="D103" s="9" t="s">
        <v>3188</v>
      </c>
      <c r="E103" s="9" t="s">
        <v>157</v>
      </c>
      <c r="F103" s="5"/>
      <c r="G103" s="5"/>
      <c r="H103" s="5"/>
      <c r="I103" s="5"/>
      <c r="J103" s="5"/>
      <c r="K103" s="5"/>
      <c r="L103" s="5"/>
      <c r="M103" s="5"/>
      <c r="N103" s="9" t="s">
        <v>11850</v>
      </c>
      <c r="O103" s="9"/>
      <c r="P103" s="5"/>
      <c r="Q103" s="9" t="s">
        <v>11851</v>
      </c>
      <c r="R103" s="9"/>
      <c r="S103" s="9" t="str">
        <f>HYPERLINK("https://seichotoushi-hojo.jp/assets/pdf/koufu/outline_120.pdf","PDFを開く")</f>
        <v>PDFを開く</v>
      </c>
      <c r="T103" s="9" t="s">
        <v>303</v>
      </c>
      <c r="U103" s="9" t="s">
        <v>304</v>
      </c>
    </row>
    <row r="104" spans="1:21" ht="39.950000000000003" customHeight="1">
      <c r="A104" s="2" t="s">
        <v>297</v>
      </c>
      <c r="B104" s="2" t="s">
        <v>73</v>
      </c>
      <c r="C104" s="8" t="s">
        <v>298</v>
      </c>
      <c r="D104" s="8" t="s">
        <v>3191</v>
      </c>
      <c r="E104" s="8" t="s">
        <v>92</v>
      </c>
      <c r="F104" s="2">
        <v>2025</v>
      </c>
      <c r="G104" s="2">
        <v>130</v>
      </c>
      <c r="H104" s="2">
        <v>2028</v>
      </c>
      <c r="I104" s="2">
        <v>160</v>
      </c>
      <c r="J104" s="2" t="s">
        <v>2513</v>
      </c>
      <c r="K104" s="2"/>
      <c r="L104" s="2"/>
      <c r="M104" s="2"/>
      <c r="N104" s="8" t="s">
        <v>11846</v>
      </c>
      <c r="O104" s="8" t="s">
        <v>11852</v>
      </c>
      <c r="P104" s="2">
        <v>2</v>
      </c>
      <c r="Q104" s="8"/>
      <c r="R104" s="8" t="s">
        <v>3500</v>
      </c>
      <c r="S104" s="8" t="str">
        <f>HYPERLINK("https://seichotoushi-hojo.jp/assets/pdf/koufu/outline_120.pdf","PDFを開く")</f>
        <v>PDFを開く</v>
      </c>
      <c r="T104" s="8" t="s">
        <v>303</v>
      </c>
      <c r="U104" s="8" t="s">
        <v>304</v>
      </c>
    </row>
    <row r="105" spans="1:21" ht="39.950000000000003" customHeight="1">
      <c r="A105" s="5" t="s">
        <v>305</v>
      </c>
      <c r="B105" s="5" t="s">
        <v>73</v>
      </c>
      <c r="C105" s="9" t="s">
        <v>306</v>
      </c>
      <c r="D105" s="9" t="s">
        <v>3176</v>
      </c>
      <c r="E105" s="9" t="s">
        <v>90</v>
      </c>
      <c r="F105" s="5">
        <v>2026</v>
      </c>
      <c r="G105" s="5">
        <v>516</v>
      </c>
      <c r="H105" s="5">
        <v>2029</v>
      </c>
      <c r="I105" s="5">
        <v>1005</v>
      </c>
      <c r="J105" s="5"/>
      <c r="K105" s="5">
        <v>24.9</v>
      </c>
      <c r="L105" s="5">
        <v>24.883600000000001</v>
      </c>
      <c r="M105" s="5">
        <v>1.6400000000000001E-2</v>
      </c>
      <c r="N105" s="9" t="s">
        <v>11846</v>
      </c>
      <c r="O105" s="9" t="s">
        <v>11847</v>
      </c>
      <c r="P105" s="5">
        <v>2</v>
      </c>
      <c r="Q105" s="9" t="s">
        <v>11855</v>
      </c>
      <c r="R105" s="9" t="s">
        <v>3506</v>
      </c>
      <c r="S105" s="9" t="str">
        <f>HYPERLINK("https://seichotoushi-hojo.jp/assets/pdf/koufu/outline_121.pdf","PDFを開く")</f>
        <v>PDFを開く</v>
      </c>
      <c r="T105" s="9" t="s">
        <v>312</v>
      </c>
      <c r="U105" s="9" t="s">
        <v>313</v>
      </c>
    </row>
    <row r="106" spans="1:21" ht="39.950000000000003" customHeight="1">
      <c r="A106" s="2" t="s">
        <v>305</v>
      </c>
      <c r="B106" s="2" t="s">
        <v>73</v>
      </c>
      <c r="C106" s="8" t="s">
        <v>306</v>
      </c>
      <c r="D106" s="8" t="s">
        <v>3184</v>
      </c>
      <c r="E106" s="8" t="s">
        <v>90</v>
      </c>
      <c r="F106" s="2">
        <v>2026</v>
      </c>
      <c r="G106" s="2">
        <v>332</v>
      </c>
      <c r="H106" s="2">
        <v>2029</v>
      </c>
      <c r="I106" s="2">
        <v>385</v>
      </c>
      <c r="J106" s="2"/>
      <c r="K106" s="2">
        <v>5</v>
      </c>
      <c r="L106" s="2">
        <v>5.0608000000000004</v>
      </c>
      <c r="M106" s="2">
        <v>6.08E-2</v>
      </c>
      <c r="N106" s="8" t="s">
        <v>11846</v>
      </c>
      <c r="O106" s="8" t="s">
        <v>11847</v>
      </c>
      <c r="P106" s="2">
        <v>2</v>
      </c>
      <c r="Q106" s="8" t="s">
        <v>11855</v>
      </c>
      <c r="R106" s="8" t="s">
        <v>3510</v>
      </c>
      <c r="S106" s="8" t="str">
        <f>HYPERLINK("https://seichotoushi-hojo.jp/assets/pdf/koufu/outline_121.pdf","PDFを開く")</f>
        <v>PDFを開く</v>
      </c>
      <c r="T106" s="8" t="s">
        <v>312</v>
      </c>
      <c r="U106" s="8" t="s">
        <v>313</v>
      </c>
    </row>
    <row r="107" spans="1:21" ht="39.950000000000003" customHeight="1">
      <c r="A107" s="5" t="s">
        <v>305</v>
      </c>
      <c r="B107" s="5" t="s">
        <v>73</v>
      </c>
      <c r="C107" s="9" t="s">
        <v>306</v>
      </c>
      <c r="D107" s="9" t="s">
        <v>3188</v>
      </c>
      <c r="E107" s="9" t="s">
        <v>90</v>
      </c>
      <c r="F107" s="5">
        <v>2026</v>
      </c>
      <c r="G107" s="5">
        <v>623</v>
      </c>
      <c r="H107" s="5">
        <v>2029</v>
      </c>
      <c r="I107" s="5">
        <v>709</v>
      </c>
      <c r="J107" s="5"/>
      <c r="K107" s="5">
        <v>4.4000000000000004</v>
      </c>
      <c r="L107" s="5">
        <v>4.4044999999999996</v>
      </c>
      <c r="M107" s="5">
        <v>4.4999999999999997E-3</v>
      </c>
      <c r="N107" s="9" t="s">
        <v>11846</v>
      </c>
      <c r="O107" s="9" t="s">
        <v>11847</v>
      </c>
      <c r="P107" s="5">
        <v>2</v>
      </c>
      <c r="Q107" s="9" t="s">
        <v>11855</v>
      </c>
      <c r="R107" s="9" t="s">
        <v>3513</v>
      </c>
      <c r="S107" s="9" t="str">
        <f>HYPERLINK("https://seichotoushi-hojo.jp/assets/pdf/koufu/outline_121.pdf","PDFを開く")</f>
        <v>PDFを開く</v>
      </c>
      <c r="T107" s="9" t="s">
        <v>312</v>
      </c>
      <c r="U107" s="9" t="s">
        <v>313</v>
      </c>
    </row>
    <row r="108" spans="1:21" ht="39.950000000000003" customHeight="1">
      <c r="A108" s="2" t="s">
        <v>305</v>
      </c>
      <c r="B108" s="2" t="s">
        <v>73</v>
      </c>
      <c r="C108" s="8" t="s">
        <v>306</v>
      </c>
      <c r="D108" s="8" t="s">
        <v>3191</v>
      </c>
      <c r="E108" s="8" t="s">
        <v>92</v>
      </c>
      <c r="F108" s="2">
        <v>2026</v>
      </c>
      <c r="G108" s="2">
        <v>71</v>
      </c>
      <c r="H108" s="2">
        <v>2029</v>
      </c>
      <c r="I108" s="2">
        <v>91</v>
      </c>
      <c r="J108" s="2" t="s">
        <v>2513</v>
      </c>
      <c r="K108" s="2"/>
      <c r="L108" s="2"/>
      <c r="M108" s="2"/>
      <c r="N108" s="8" t="s">
        <v>11846</v>
      </c>
      <c r="O108" s="8" t="s">
        <v>11847</v>
      </c>
      <c r="P108" s="2">
        <v>2</v>
      </c>
      <c r="Q108" s="8"/>
      <c r="R108" s="8" t="s">
        <v>3516</v>
      </c>
      <c r="S108" s="8" t="str">
        <f>HYPERLINK("https://seichotoushi-hojo.jp/assets/pdf/koufu/outline_121.pdf","PDFを開く")</f>
        <v>PDFを開く</v>
      </c>
      <c r="T108" s="8" t="s">
        <v>312</v>
      </c>
      <c r="U108" s="8" t="s">
        <v>313</v>
      </c>
    </row>
    <row r="109" spans="1:21" ht="39.950000000000003" customHeight="1">
      <c r="A109" s="5" t="s">
        <v>314</v>
      </c>
      <c r="B109" s="5" t="s">
        <v>73</v>
      </c>
      <c r="C109" s="9" t="s">
        <v>315</v>
      </c>
      <c r="D109" s="9" t="s">
        <v>3176</v>
      </c>
      <c r="E109" s="9" t="s">
        <v>90</v>
      </c>
      <c r="F109" s="5">
        <v>2026</v>
      </c>
      <c r="G109" s="5">
        <v>1904</v>
      </c>
      <c r="H109" s="5">
        <v>2029</v>
      </c>
      <c r="I109" s="5">
        <v>2795</v>
      </c>
      <c r="J109" s="5" t="s">
        <v>86</v>
      </c>
      <c r="K109" s="5">
        <v>13.7</v>
      </c>
      <c r="L109" s="5">
        <v>13.650600000000001</v>
      </c>
      <c r="M109" s="5">
        <v>4.9399999999999999E-2</v>
      </c>
      <c r="N109" s="9" t="s">
        <v>11846</v>
      </c>
      <c r="O109" s="9" t="s">
        <v>11847</v>
      </c>
      <c r="P109" s="5">
        <v>2</v>
      </c>
      <c r="Q109" s="9"/>
      <c r="R109" s="9" t="s">
        <v>3520</v>
      </c>
      <c r="S109" s="9" t="str">
        <f>HYPERLINK("https://seichotoushi-hojo.jp/assets/pdf/koufu/outline_122.pdf","PDFを開く")</f>
        <v>PDFを開く</v>
      </c>
      <c r="T109" s="9" t="s">
        <v>321</v>
      </c>
      <c r="U109" s="9" t="s">
        <v>322</v>
      </c>
    </row>
    <row r="110" spans="1:21" ht="39.950000000000003" customHeight="1">
      <c r="A110" s="2" t="s">
        <v>314</v>
      </c>
      <c r="B110" s="2" t="s">
        <v>73</v>
      </c>
      <c r="C110" s="8" t="s">
        <v>315</v>
      </c>
      <c r="D110" s="8" t="s">
        <v>3184</v>
      </c>
      <c r="E110" s="8" t="s">
        <v>90</v>
      </c>
      <c r="F110" s="2">
        <v>2026</v>
      </c>
      <c r="G110" s="2">
        <v>649</v>
      </c>
      <c r="H110" s="2">
        <v>2029</v>
      </c>
      <c r="I110" s="2">
        <v>730</v>
      </c>
      <c r="J110" s="2" t="s">
        <v>86</v>
      </c>
      <c r="K110" s="2">
        <v>4</v>
      </c>
      <c r="L110" s="2">
        <v>3.9983</v>
      </c>
      <c r="M110" s="2">
        <v>1.6999999999999999E-3</v>
      </c>
      <c r="N110" s="8" t="s">
        <v>11846</v>
      </c>
      <c r="O110" s="8" t="s">
        <v>11847</v>
      </c>
      <c r="P110" s="2">
        <v>2</v>
      </c>
      <c r="Q110" s="8"/>
      <c r="R110" s="8" t="s">
        <v>3524</v>
      </c>
      <c r="S110" s="8" t="str">
        <f>HYPERLINK("https://seichotoushi-hojo.jp/assets/pdf/koufu/outline_122.pdf","PDFを開く")</f>
        <v>PDFを開く</v>
      </c>
      <c r="T110" s="8" t="s">
        <v>321</v>
      </c>
      <c r="U110" s="8" t="s">
        <v>322</v>
      </c>
    </row>
    <row r="111" spans="1:21" ht="39.950000000000003" customHeight="1">
      <c r="A111" s="5" t="s">
        <v>314</v>
      </c>
      <c r="B111" s="5" t="s">
        <v>73</v>
      </c>
      <c r="C111" s="9" t="s">
        <v>315</v>
      </c>
      <c r="D111" s="9" t="s">
        <v>3188</v>
      </c>
      <c r="E111" s="9" t="s">
        <v>91</v>
      </c>
      <c r="F111" s="5">
        <v>2026</v>
      </c>
      <c r="G111" s="5"/>
      <c r="H111" s="5">
        <v>2029</v>
      </c>
      <c r="I111" s="5"/>
      <c r="J111" s="5" t="s">
        <v>86</v>
      </c>
      <c r="K111" s="5">
        <v>4</v>
      </c>
      <c r="L111" s="5"/>
      <c r="M111" s="5"/>
      <c r="N111" s="9" t="s">
        <v>11846</v>
      </c>
      <c r="O111" s="9" t="s">
        <v>11848</v>
      </c>
      <c r="P111" s="5">
        <v>2</v>
      </c>
      <c r="Q111" s="9"/>
      <c r="R111" s="9" t="s">
        <v>3479</v>
      </c>
      <c r="S111" s="9" t="str">
        <f>HYPERLINK("https://seichotoushi-hojo.jp/assets/pdf/koufu/outline_122.pdf","PDFを開く")</f>
        <v>PDFを開く</v>
      </c>
      <c r="T111" s="9" t="s">
        <v>321</v>
      </c>
      <c r="U111" s="9" t="s">
        <v>322</v>
      </c>
    </row>
    <row r="112" spans="1:21" ht="39.950000000000003" customHeight="1">
      <c r="A112" s="2" t="s">
        <v>314</v>
      </c>
      <c r="B112" s="2" t="s">
        <v>73</v>
      </c>
      <c r="C112" s="8" t="s">
        <v>315</v>
      </c>
      <c r="D112" s="8" t="s">
        <v>3191</v>
      </c>
      <c r="E112" s="8" t="s">
        <v>92</v>
      </c>
      <c r="F112" s="2">
        <v>2026</v>
      </c>
      <c r="G112" s="2">
        <v>225</v>
      </c>
      <c r="H112" s="2">
        <v>2029</v>
      </c>
      <c r="I112" s="2">
        <v>240</v>
      </c>
      <c r="J112" s="2" t="s">
        <v>2513</v>
      </c>
      <c r="K112" s="2"/>
      <c r="L112" s="2"/>
      <c r="M112" s="2"/>
      <c r="N112" s="8" t="s">
        <v>11846</v>
      </c>
      <c r="O112" s="8" t="s">
        <v>11847</v>
      </c>
      <c r="P112" s="2">
        <v>2</v>
      </c>
      <c r="Q112" s="8"/>
      <c r="R112" s="8" t="s">
        <v>3526</v>
      </c>
      <c r="S112" s="8" t="str">
        <f>HYPERLINK("https://seichotoushi-hojo.jp/assets/pdf/koufu/outline_122.pdf","PDFを開く")</f>
        <v>PDFを開く</v>
      </c>
      <c r="T112" s="8" t="s">
        <v>321</v>
      </c>
      <c r="U112" s="8" t="s">
        <v>322</v>
      </c>
    </row>
    <row r="113" spans="1:21" ht="39.950000000000003" customHeight="1">
      <c r="A113" s="5" t="s">
        <v>323</v>
      </c>
      <c r="B113" s="5" t="s">
        <v>73</v>
      </c>
      <c r="C113" s="9" t="s">
        <v>324</v>
      </c>
      <c r="D113" s="9" t="s">
        <v>3176</v>
      </c>
      <c r="E113" s="9" t="s">
        <v>90</v>
      </c>
      <c r="F113" s="5">
        <v>2026</v>
      </c>
      <c r="G113" s="5">
        <v>324</v>
      </c>
      <c r="H113" s="5">
        <v>2029</v>
      </c>
      <c r="I113" s="5">
        <v>2382</v>
      </c>
      <c r="J113" s="5" t="s">
        <v>86</v>
      </c>
      <c r="K113" s="5">
        <v>94.5</v>
      </c>
      <c r="L113" s="5">
        <v>94.445999999999998</v>
      </c>
      <c r="M113" s="5">
        <v>5.3999999999999999E-2</v>
      </c>
      <c r="N113" s="9" t="s">
        <v>11846</v>
      </c>
      <c r="O113" s="9" t="s">
        <v>11847</v>
      </c>
      <c r="P113" s="5">
        <v>2</v>
      </c>
      <c r="Q113" s="9"/>
      <c r="R113" s="9" t="s">
        <v>3531</v>
      </c>
      <c r="S113" s="9" t="str">
        <f>HYPERLINK("https://seichotoushi-hojo.jp/assets/pdf/koufu/outline_123.pdf","PDFを開く")</f>
        <v>PDFを開く</v>
      </c>
      <c r="T113" s="9" t="s">
        <v>329</v>
      </c>
      <c r="U113" s="9" t="s">
        <v>330</v>
      </c>
    </row>
    <row r="114" spans="1:21" ht="39.950000000000003" customHeight="1">
      <c r="A114" s="2" t="s">
        <v>323</v>
      </c>
      <c r="B114" s="2" t="s">
        <v>73</v>
      </c>
      <c r="C114" s="8" t="s">
        <v>324</v>
      </c>
      <c r="D114" s="8" t="s">
        <v>3184</v>
      </c>
      <c r="E114" s="8" t="s">
        <v>90</v>
      </c>
      <c r="F114" s="2">
        <v>2026</v>
      </c>
      <c r="G114" s="2">
        <v>589</v>
      </c>
      <c r="H114" s="2">
        <v>2029</v>
      </c>
      <c r="I114" s="2">
        <v>709</v>
      </c>
      <c r="J114" s="2" t="s">
        <v>86</v>
      </c>
      <c r="K114" s="2">
        <v>6.37</v>
      </c>
      <c r="L114" s="2">
        <v>6.3760000000000003</v>
      </c>
      <c r="M114" s="2">
        <v>6.0000000000000001E-3</v>
      </c>
      <c r="N114" s="8" t="s">
        <v>11846</v>
      </c>
      <c r="O114" s="8" t="s">
        <v>11847</v>
      </c>
      <c r="P114" s="2">
        <v>2</v>
      </c>
      <c r="Q114" s="8"/>
      <c r="R114" s="8" t="s">
        <v>3534</v>
      </c>
      <c r="S114" s="8" t="str">
        <f>HYPERLINK("https://seichotoushi-hojo.jp/assets/pdf/koufu/outline_123.pdf","PDFを開く")</f>
        <v>PDFを開く</v>
      </c>
      <c r="T114" s="8" t="s">
        <v>329</v>
      </c>
      <c r="U114" s="8" t="s">
        <v>330</v>
      </c>
    </row>
    <row r="115" spans="1:21" ht="39.950000000000003" customHeight="1">
      <c r="A115" s="5" t="s">
        <v>323</v>
      </c>
      <c r="B115" s="5" t="s">
        <v>73</v>
      </c>
      <c r="C115" s="9" t="s">
        <v>324</v>
      </c>
      <c r="D115" s="9" t="s">
        <v>3188</v>
      </c>
      <c r="E115" s="9" t="s">
        <v>156</v>
      </c>
      <c r="F115" s="5"/>
      <c r="G115" s="5"/>
      <c r="H115" s="5"/>
      <c r="I115" s="5"/>
      <c r="J115" s="5"/>
      <c r="K115" s="5"/>
      <c r="L115" s="5"/>
      <c r="M115" s="5"/>
      <c r="N115" s="9" t="s">
        <v>11850</v>
      </c>
      <c r="O115" s="9"/>
      <c r="P115" s="5"/>
      <c r="Q115" s="9" t="s">
        <v>11851</v>
      </c>
      <c r="R115" s="9"/>
      <c r="S115" s="9" t="str">
        <f>HYPERLINK("https://seichotoushi-hojo.jp/assets/pdf/koufu/outline_123.pdf","PDFを開く")</f>
        <v>PDFを開く</v>
      </c>
      <c r="T115" s="9" t="s">
        <v>329</v>
      </c>
      <c r="U115" s="9" t="s">
        <v>330</v>
      </c>
    </row>
    <row r="116" spans="1:21" ht="39.950000000000003" customHeight="1">
      <c r="A116" s="2" t="s">
        <v>323</v>
      </c>
      <c r="B116" s="2" t="s">
        <v>73</v>
      </c>
      <c r="C116" s="8" t="s">
        <v>324</v>
      </c>
      <c r="D116" s="8" t="s">
        <v>3191</v>
      </c>
      <c r="E116" s="8" t="s">
        <v>92</v>
      </c>
      <c r="F116" s="2">
        <v>2026</v>
      </c>
      <c r="G116" s="2">
        <v>17</v>
      </c>
      <c r="H116" s="2">
        <v>2029</v>
      </c>
      <c r="I116" s="2">
        <v>130</v>
      </c>
      <c r="J116" s="2" t="s">
        <v>2513</v>
      </c>
      <c r="K116" s="2"/>
      <c r="L116" s="2"/>
      <c r="M116" s="2"/>
      <c r="N116" s="8" t="s">
        <v>11846</v>
      </c>
      <c r="O116" s="8" t="s">
        <v>11847</v>
      </c>
      <c r="P116" s="2">
        <v>2</v>
      </c>
      <c r="Q116" s="8"/>
      <c r="R116" s="8" t="s">
        <v>3536</v>
      </c>
      <c r="S116" s="8" t="str">
        <f>HYPERLINK("https://seichotoushi-hojo.jp/assets/pdf/koufu/outline_123.pdf","PDFを開く")</f>
        <v>PDFを開く</v>
      </c>
      <c r="T116" s="8" t="s">
        <v>329</v>
      </c>
      <c r="U116" s="8" t="s">
        <v>330</v>
      </c>
    </row>
    <row r="117" spans="1:21" ht="39.950000000000003" customHeight="1">
      <c r="A117" s="5" t="s">
        <v>331</v>
      </c>
      <c r="B117" s="5" t="s">
        <v>73</v>
      </c>
      <c r="C117" s="9" t="s">
        <v>332</v>
      </c>
      <c r="D117" s="9" t="s">
        <v>3176</v>
      </c>
      <c r="E117" s="9" t="s">
        <v>90</v>
      </c>
      <c r="F117" s="5">
        <v>2027</v>
      </c>
      <c r="G117" s="5">
        <v>795</v>
      </c>
      <c r="H117" s="5">
        <v>2030</v>
      </c>
      <c r="I117" s="5">
        <v>1336</v>
      </c>
      <c r="J117" s="5" t="s">
        <v>86</v>
      </c>
      <c r="K117" s="5">
        <v>18.899999999999999</v>
      </c>
      <c r="L117" s="5">
        <v>18.8903</v>
      </c>
      <c r="M117" s="5">
        <v>9.7000000000000003E-3</v>
      </c>
      <c r="N117" s="9" t="s">
        <v>11846</v>
      </c>
      <c r="O117" s="9" t="s">
        <v>11847</v>
      </c>
      <c r="P117" s="5">
        <v>3</v>
      </c>
      <c r="Q117" s="9"/>
      <c r="R117" s="9" t="s">
        <v>3537</v>
      </c>
      <c r="S117" s="9" t="str">
        <f>HYPERLINK("https://seichotoushi-hojo.jp/assets/pdf/koufu/outline_124.pdf","PDFを開く")</f>
        <v>PDFを開く</v>
      </c>
      <c r="T117" s="9" t="s">
        <v>336</v>
      </c>
      <c r="U117" s="9" t="s">
        <v>337</v>
      </c>
    </row>
    <row r="118" spans="1:21" ht="39.950000000000003" customHeight="1">
      <c r="A118" s="2" t="s">
        <v>331</v>
      </c>
      <c r="B118" s="2" t="s">
        <v>73</v>
      </c>
      <c r="C118" s="8" t="s">
        <v>332</v>
      </c>
      <c r="D118" s="8" t="s">
        <v>3184</v>
      </c>
      <c r="E118" s="8" t="s">
        <v>90</v>
      </c>
      <c r="F118" s="2">
        <v>2027</v>
      </c>
      <c r="G118" s="2">
        <v>463</v>
      </c>
      <c r="H118" s="2">
        <v>2030</v>
      </c>
      <c r="I118" s="2">
        <v>575</v>
      </c>
      <c r="J118" s="2" t="s">
        <v>86</v>
      </c>
      <c r="K118" s="2">
        <v>7.5</v>
      </c>
      <c r="L118" s="2">
        <v>7.4885999999999999</v>
      </c>
      <c r="M118" s="2">
        <v>1.14E-2</v>
      </c>
      <c r="N118" s="8" t="s">
        <v>11846</v>
      </c>
      <c r="O118" s="8" t="s">
        <v>11847</v>
      </c>
      <c r="P118" s="2">
        <v>3</v>
      </c>
      <c r="Q118" s="8"/>
      <c r="R118" s="8" t="s">
        <v>3540</v>
      </c>
      <c r="S118" s="8" t="str">
        <f>HYPERLINK("https://seichotoushi-hojo.jp/assets/pdf/koufu/outline_124.pdf","PDFを開く")</f>
        <v>PDFを開く</v>
      </c>
      <c r="T118" s="8" t="s">
        <v>336</v>
      </c>
      <c r="U118" s="8" t="s">
        <v>337</v>
      </c>
    </row>
    <row r="119" spans="1:21" ht="39.950000000000003" customHeight="1">
      <c r="A119" s="5" t="s">
        <v>331</v>
      </c>
      <c r="B119" s="5" t="s">
        <v>73</v>
      </c>
      <c r="C119" s="9" t="s">
        <v>332</v>
      </c>
      <c r="D119" s="9" t="s">
        <v>3188</v>
      </c>
      <c r="E119" s="9" t="s">
        <v>156</v>
      </c>
      <c r="F119" s="5"/>
      <c r="G119" s="5"/>
      <c r="H119" s="5"/>
      <c r="I119" s="5"/>
      <c r="J119" s="5"/>
      <c r="K119" s="5"/>
      <c r="L119" s="5"/>
      <c r="M119" s="5"/>
      <c r="N119" s="9" t="s">
        <v>11850</v>
      </c>
      <c r="O119" s="9"/>
      <c r="P119" s="5"/>
      <c r="Q119" s="9" t="s">
        <v>11851</v>
      </c>
      <c r="R119" s="9"/>
      <c r="S119" s="9" t="str">
        <f>HYPERLINK("https://seichotoushi-hojo.jp/assets/pdf/koufu/outline_124.pdf","PDFを開く")</f>
        <v>PDFを開く</v>
      </c>
      <c r="T119" s="9" t="s">
        <v>336</v>
      </c>
      <c r="U119" s="9" t="s">
        <v>337</v>
      </c>
    </row>
    <row r="120" spans="1:21" ht="39.950000000000003" customHeight="1">
      <c r="A120" s="2" t="s">
        <v>331</v>
      </c>
      <c r="B120" s="2" t="s">
        <v>73</v>
      </c>
      <c r="C120" s="8" t="s">
        <v>332</v>
      </c>
      <c r="D120" s="8" t="s">
        <v>3191</v>
      </c>
      <c r="E120" s="8" t="s">
        <v>92</v>
      </c>
      <c r="F120" s="2">
        <v>2027</v>
      </c>
      <c r="G120" s="2">
        <v>23</v>
      </c>
      <c r="H120" s="2">
        <v>2030</v>
      </c>
      <c r="I120" s="2">
        <v>70</v>
      </c>
      <c r="J120" s="2" t="s">
        <v>2513</v>
      </c>
      <c r="K120" s="2"/>
      <c r="L120" s="2"/>
      <c r="M120" s="2"/>
      <c r="N120" s="8" t="s">
        <v>11846</v>
      </c>
      <c r="O120" s="8" t="s">
        <v>11847</v>
      </c>
      <c r="P120" s="2">
        <v>3</v>
      </c>
      <c r="Q120" s="8"/>
      <c r="R120" s="8" t="s">
        <v>3544</v>
      </c>
      <c r="S120" s="8" t="str">
        <f>HYPERLINK("https://seichotoushi-hojo.jp/assets/pdf/koufu/outline_124.pdf","PDFを開く")</f>
        <v>PDFを開く</v>
      </c>
      <c r="T120" s="8" t="s">
        <v>336</v>
      </c>
      <c r="U120" s="8" t="s">
        <v>337</v>
      </c>
    </row>
    <row r="121" spans="1:21" ht="39.950000000000003" customHeight="1">
      <c r="A121" s="5" t="s">
        <v>338</v>
      </c>
      <c r="B121" s="5" t="s">
        <v>73</v>
      </c>
      <c r="C121" s="9" t="s">
        <v>339</v>
      </c>
      <c r="D121" s="9" t="s">
        <v>3176</v>
      </c>
      <c r="E121" s="9" t="s">
        <v>90</v>
      </c>
      <c r="F121" s="5">
        <v>2027</v>
      </c>
      <c r="G121" s="5">
        <v>15377</v>
      </c>
      <c r="H121" s="5">
        <v>2030</v>
      </c>
      <c r="I121" s="5">
        <v>18036</v>
      </c>
      <c r="J121" s="5" t="s">
        <v>86</v>
      </c>
      <c r="K121" s="5">
        <v>5.5</v>
      </c>
      <c r="L121" s="5">
        <v>5.4603999999999999</v>
      </c>
      <c r="M121" s="5">
        <v>3.9600000000000003E-2</v>
      </c>
      <c r="N121" s="9" t="s">
        <v>11846</v>
      </c>
      <c r="O121" s="9" t="s">
        <v>11847</v>
      </c>
      <c r="P121" s="5">
        <v>2</v>
      </c>
      <c r="Q121" s="9"/>
      <c r="R121" s="9" t="s">
        <v>3548</v>
      </c>
      <c r="S121" s="9" t="str">
        <f>HYPERLINK("https://seichotoushi-hojo.jp/assets/pdf/koufu/outline_125.pdf","PDFを開く")</f>
        <v>PDFを開く</v>
      </c>
      <c r="T121" s="9" t="s">
        <v>345</v>
      </c>
      <c r="U121" s="9" t="s">
        <v>346</v>
      </c>
    </row>
    <row r="122" spans="1:21" ht="39.950000000000003" customHeight="1">
      <c r="A122" s="2" t="s">
        <v>338</v>
      </c>
      <c r="B122" s="2" t="s">
        <v>73</v>
      </c>
      <c r="C122" s="8" t="s">
        <v>339</v>
      </c>
      <c r="D122" s="8" t="s">
        <v>3184</v>
      </c>
      <c r="E122" s="8" t="s">
        <v>90</v>
      </c>
      <c r="F122" s="2">
        <v>2027</v>
      </c>
      <c r="G122" s="2">
        <v>491</v>
      </c>
      <c r="H122" s="2">
        <v>2030</v>
      </c>
      <c r="I122" s="2">
        <v>563</v>
      </c>
      <c r="J122" s="2" t="s">
        <v>86</v>
      </c>
      <c r="K122" s="2">
        <v>4.67</v>
      </c>
      <c r="L122" s="2">
        <v>4.6668000000000003</v>
      </c>
      <c r="M122" s="2">
        <v>3.2000000000000002E-3</v>
      </c>
      <c r="N122" s="8" t="s">
        <v>11846</v>
      </c>
      <c r="O122" s="8" t="s">
        <v>11847</v>
      </c>
      <c r="P122" s="2">
        <v>2</v>
      </c>
      <c r="Q122" s="8"/>
      <c r="R122" s="8" t="s">
        <v>3552</v>
      </c>
      <c r="S122" s="8" t="str">
        <f>HYPERLINK("https://seichotoushi-hojo.jp/assets/pdf/koufu/outline_125.pdf","PDFを開く")</f>
        <v>PDFを開く</v>
      </c>
      <c r="T122" s="8" t="s">
        <v>345</v>
      </c>
      <c r="U122" s="8" t="s">
        <v>346</v>
      </c>
    </row>
    <row r="123" spans="1:21" ht="39.950000000000003" customHeight="1">
      <c r="A123" s="5" t="s">
        <v>338</v>
      </c>
      <c r="B123" s="5" t="s">
        <v>73</v>
      </c>
      <c r="C123" s="9" t="s">
        <v>339</v>
      </c>
      <c r="D123" s="9" t="s">
        <v>3188</v>
      </c>
      <c r="E123" s="9" t="s">
        <v>157</v>
      </c>
      <c r="F123" s="5"/>
      <c r="G123" s="5"/>
      <c r="H123" s="5"/>
      <c r="I123" s="5"/>
      <c r="J123" s="5"/>
      <c r="K123" s="5"/>
      <c r="L123" s="5"/>
      <c r="M123" s="5"/>
      <c r="N123" s="9" t="s">
        <v>11850</v>
      </c>
      <c r="O123" s="9"/>
      <c r="P123" s="5"/>
      <c r="Q123" s="9" t="s">
        <v>11851</v>
      </c>
      <c r="R123" s="9"/>
      <c r="S123" s="9" t="str">
        <f>HYPERLINK("https://seichotoushi-hojo.jp/assets/pdf/koufu/outline_125.pdf","PDFを開く")</f>
        <v>PDFを開く</v>
      </c>
      <c r="T123" s="9" t="s">
        <v>345</v>
      </c>
      <c r="U123" s="9" t="s">
        <v>346</v>
      </c>
    </row>
    <row r="124" spans="1:21" ht="39.950000000000003" customHeight="1">
      <c r="A124" s="2" t="s">
        <v>338</v>
      </c>
      <c r="B124" s="2" t="s">
        <v>73</v>
      </c>
      <c r="C124" s="8" t="s">
        <v>339</v>
      </c>
      <c r="D124" s="8" t="s">
        <v>3191</v>
      </c>
      <c r="E124" s="8" t="s">
        <v>92</v>
      </c>
      <c r="F124" s="2">
        <v>2027</v>
      </c>
      <c r="G124" s="2">
        <v>33</v>
      </c>
      <c r="H124" s="2">
        <v>2030</v>
      </c>
      <c r="I124" s="2">
        <v>50</v>
      </c>
      <c r="J124" s="2" t="s">
        <v>2513</v>
      </c>
      <c r="K124" s="2"/>
      <c r="L124" s="2"/>
      <c r="M124" s="2"/>
      <c r="N124" s="8" t="s">
        <v>11846</v>
      </c>
      <c r="O124" s="8" t="s">
        <v>11847</v>
      </c>
      <c r="P124" s="2">
        <v>2</v>
      </c>
      <c r="Q124" s="8"/>
      <c r="R124" s="8" t="s">
        <v>3555</v>
      </c>
      <c r="S124" s="8" t="str">
        <f>HYPERLINK("https://seichotoushi-hojo.jp/assets/pdf/koufu/outline_125.pdf","PDFを開く")</f>
        <v>PDFを開く</v>
      </c>
      <c r="T124" s="8" t="s">
        <v>345</v>
      </c>
      <c r="U124" s="8" t="s">
        <v>346</v>
      </c>
    </row>
    <row r="125" spans="1:21" ht="39.950000000000003" customHeight="1">
      <c r="A125" s="5" t="s">
        <v>347</v>
      </c>
      <c r="B125" s="5" t="s">
        <v>73</v>
      </c>
      <c r="C125" s="9" t="s">
        <v>348</v>
      </c>
      <c r="D125" s="9" t="s">
        <v>3176</v>
      </c>
      <c r="E125" s="9" t="s">
        <v>90</v>
      </c>
      <c r="F125" s="5">
        <v>2026</v>
      </c>
      <c r="G125" s="5">
        <v>262</v>
      </c>
      <c r="H125" s="5">
        <v>2029</v>
      </c>
      <c r="I125" s="5">
        <v>799</v>
      </c>
      <c r="J125" s="5" t="s">
        <v>86</v>
      </c>
      <c r="K125" s="5">
        <v>45</v>
      </c>
      <c r="L125" s="5">
        <v>45.015700000000002</v>
      </c>
      <c r="M125" s="5">
        <v>1.5699999999999999E-2</v>
      </c>
      <c r="N125" s="9" t="s">
        <v>11846</v>
      </c>
      <c r="O125" s="9" t="s">
        <v>11847</v>
      </c>
      <c r="P125" s="5">
        <v>2</v>
      </c>
      <c r="Q125" s="9"/>
      <c r="R125" s="9" t="s">
        <v>3557</v>
      </c>
      <c r="S125" s="9" t="str">
        <f>HYPERLINK("https://seichotoushi-hojo.jp/assets/pdf/koufu/outline_126.pdf","PDFを開く")</f>
        <v>PDFを開く</v>
      </c>
      <c r="T125" s="9" t="s">
        <v>352</v>
      </c>
      <c r="U125" s="9" t="s">
        <v>353</v>
      </c>
    </row>
    <row r="126" spans="1:21" ht="39.950000000000003" customHeight="1">
      <c r="A126" s="2" t="s">
        <v>347</v>
      </c>
      <c r="B126" s="2" t="s">
        <v>73</v>
      </c>
      <c r="C126" s="8" t="s">
        <v>348</v>
      </c>
      <c r="D126" s="8" t="s">
        <v>3184</v>
      </c>
      <c r="E126" s="8" t="s">
        <v>90</v>
      </c>
      <c r="F126" s="2">
        <v>2026</v>
      </c>
      <c r="G126" s="2">
        <v>247</v>
      </c>
      <c r="H126" s="2">
        <v>2029</v>
      </c>
      <c r="I126" s="2">
        <v>290</v>
      </c>
      <c r="J126" s="2" t="s">
        <v>86</v>
      </c>
      <c r="K126" s="2">
        <v>5.4</v>
      </c>
      <c r="L126" s="2">
        <v>5.4954000000000001</v>
      </c>
      <c r="M126" s="2">
        <v>9.5399999999999999E-2</v>
      </c>
      <c r="N126" s="8" t="s">
        <v>11846</v>
      </c>
      <c r="O126" s="8" t="s">
        <v>11847</v>
      </c>
      <c r="P126" s="2">
        <v>2</v>
      </c>
      <c r="Q126" s="8"/>
      <c r="R126" s="8" t="s">
        <v>3560</v>
      </c>
      <c r="S126" s="8" t="str">
        <f>HYPERLINK("https://seichotoushi-hojo.jp/assets/pdf/koufu/outline_126.pdf","PDFを開く")</f>
        <v>PDFを開く</v>
      </c>
      <c r="T126" s="8" t="s">
        <v>352</v>
      </c>
      <c r="U126" s="8" t="s">
        <v>353</v>
      </c>
    </row>
    <row r="127" spans="1:21" ht="39.950000000000003" customHeight="1">
      <c r="A127" s="5" t="s">
        <v>347</v>
      </c>
      <c r="B127" s="5" t="s">
        <v>73</v>
      </c>
      <c r="C127" s="9" t="s">
        <v>348</v>
      </c>
      <c r="D127" s="9" t="s">
        <v>3188</v>
      </c>
      <c r="E127" s="9" t="s">
        <v>157</v>
      </c>
      <c r="F127" s="5"/>
      <c r="G127" s="5"/>
      <c r="H127" s="5"/>
      <c r="I127" s="5"/>
      <c r="J127" s="5"/>
      <c r="K127" s="5"/>
      <c r="L127" s="5"/>
      <c r="M127" s="5"/>
      <c r="N127" s="9" t="s">
        <v>11850</v>
      </c>
      <c r="O127" s="9"/>
      <c r="P127" s="5"/>
      <c r="Q127" s="9" t="s">
        <v>11851</v>
      </c>
      <c r="R127" s="9"/>
      <c r="S127" s="9" t="str">
        <f>HYPERLINK("https://seichotoushi-hojo.jp/assets/pdf/koufu/outline_126.pdf","PDFを開く")</f>
        <v>PDFを開く</v>
      </c>
      <c r="T127" s="9" t="s">
        <v>352</v>
      </c>
      <c r="U127" s="9" t="s">
        <v>353</v>
      </c>
    </row>
    <row r="128" spans="1:21" ht="39.950000000000003" customHeight="1">
      <c r="A128" s="2" t="s">
        <v>347</v>
      </c>
      <c r="B128" s="2" t="s">
        <v>73</v>
      </c>
      <c r="C128" s="8" t="s">
        <v>348</v>
      </c>
      <c r="D128" s="8" t="s">
        <v>3191</v>
      </c>
      <c r="E128" s="8" t="s">
        <v>92</v>
      </c>
      <c r="F128" s="2">
        <v>2026</v>
      </c>
      <c r="G128" s="2">
        <v>51</v>
      </c>
      <c r="H128" s="2">
        <v>2029</v>
      </c>
      <c r="I128" s="2">
        <v>250</v>
      </c>
      <c r="J128" s="2" t="s">
        <v>2513</v>
      </c>
      <c r="K128" s="2">
        <v>69.8</v>
      </c>
      <c r="L128" s="2"/>
      <c r="M128" s="2"/>
      <c r="N128" s="8" t="s">
        <v>11846</v>
      </c>
      <c r="O128" s="8" t="s">
        <v>11847</v>
      </c>
      <c r="P128" s="2">
        <v>2</v>
      </c>
      <c r="Q128" s="8"/>
      <c r="R128" s="8" t="s">
        <v>3561</v>
      </c>
      <c r="S128" s="8" t="str">
        <f>HYPERLINK("https://seichotoushi-hojo.jp/assets/pdf/koufu/outline_126.pdf","PDFを開く")</f>
        <v>PDFを開く</v>
      </c>
      <c r="T128" s="8" t="s">
        <v>352</v>
      </c>
      <c r="U128" s="8" t="s">
        <v>353</v>
      </c>
    </row>
    <row r="129" spans="1:21" ht="39.950000000000003" customHeight="1">
      <c r="A129" s="5" t="s">
        <v>354</v>
      </c>
      <c r="B129" s="5" t="s">
        <v>73</v>
      </c>
      <c r="C129" s="9" t="s">
        <v>355</v>
      </c>
      <c r="D129" s="9" t="s">
        <v>3176</v>
      </c>
      <c r="E129" s="9" t="s">
        <v>90</v>
      </c>
      <c r="F129" s="5">
        <v>2027</v>
      </c>
      <c r="G129" s="5">
        <v>1226</v>
      </c>
      <c r="H129" s="5">
        <v>2030</v>
      </c>
      <c r="I129" s="5">
        <v>1788</v>
      </c>
      <c r="J129" s="5" t="s">
        <v>86</v>
      </c>
      <c r="K129" s="5">
        <v>13.4</v>
      </c>
      <c r="L129" s="5">
        <v>13.4033</v>
      </c>
      <c r="M129" s="5">
        <v>3.3E-3</v>
      </c>
      <c r="N129" s="9" t="s">
        <v>11846</v>
      </c>
      <c r="O129" s="9"/>
      <c r="P129" s="5">
        <v>2</v>
      </c>
      <c r="Q129" s="9"/>
      <c r="R129" s="9" t="s">
        <v>3564</v>
      </c>
      <c r="S129" s="9" t="str">
        <f>HYPERLINK("https://seichotoushi-hojo.jp/assets/pdf/koufu/outline_127.pdf","PDFを開く")</f>
        <v>PDFを開く</v>
      </c>
      <c r="T129" s="9" t="s">
        <v>360</v>
      </c>
      <c r="U129" s="9" t="s">
        <v>361</v>
      </c>
    </row>
    <row r="130" spans="1:21" ht="39.950000000000003" customHeight="1">
      <c r="A130" s="2" t="s">
        <v>354</v>
      </c>
      <c r="B130" s="2" t="s">
        <v>73</v>
      </c>
      <c r="C130" s="8" t="s">
        <v>355</v>
      </c>
      <c r="D130" s="8" t="s">
        <v>3184</v>
      </c>
      <c r="E130" s="8" t="s">
        <v>90</v>
      </c>
      <c r="F130" s="2">
        <v>2027</v>
      </c>
      <c r="G130" s="2">
        <v>369</v>
      </c>
      <c r="H130" s="2">
        <v>2030</v>
      </c>
      <c r="I130" s="2">
        <v>433</v>
      </c>
      <c r="J130" s="2" t="s">
        <v>86</v>
      </c>
      <c r="K130" s="2">
        <v>5.5</v>
      </c>
      <c r="L130" s="2">
        <v>5.476</v>
      </c>
      <c r="M130" s="2">
        <v>2.4E-2</v>
      </c>
      <c r="N130" s="8" t="s">
        <v>11846</v>
      </c>
      <c r="O130" s="8"/>
      <c r="P130" s="2">
        <v>2</v>
      </c>
      <c r="Q130" s="8"/>
      <c r="R130" s="8" t="s">
        <v>3566</v>
      </c>
      <c r="S130" s="8" t="str">
        <f>HYPERLINK("https://seichotoushi-hojo.jp/assets/pdf/koufu/outline_127.pdf","PDFを開く")</f>
        <v>PDFを開く</v>
      </c>
      <c r="T130" s="8" t="s">
        <v>360</v>
      </c>
      <c r="U130" s="8" t="s">
        <v>361</v>
      </c>
    </row>
    <row r="131" spans="1:21" ht="39.950000000000003" customHeight="1">
      <c r="A131" s="5" t="s">
        <v>354</v>
      </c>
      <c r="B131" s="5" t="s">
        <v>73</v>
      </c>
      <c r="C131" s="9" t="s">
        <v>355</v>
      </c>
      <c r="D131" s="9" t="s">
        <v>3188</v>
      </c>
      <c r="E131" s="9" t="s">
        <v>90</v>
      </c>
      <c r="F131" s="5">
        <v>2027</v>
      </c>
      <c r="G131" s="5">
        <v>1259</v>
      </c>
      <c r="H131" s="5">
        <v>2030</v>
      </c>
      <c r="I131" s="5">
        <v>1428</v>
      </c>
      <c r="J131" s="5" t="s">
        <v>86</v>
      </c>
      <c r="K131" s="5">
        <v>4.3</v>
      </c>
      <c r="L131" s="5">
        <v>4.2880000000000003</v>
      </c>
      <c r="M131" s="5">
        <v>1.2E-2</v>
      </c>
      <c r="N131" s="9" t="s">
        <v>11846</v>
      </c>
      <c r="O131" s="9"/>
      <c r="P131" s="5">
        <v>2</v>
      </c>
      <c r="Q131" s="9"/>
      <c r="R131" s="9" t="s">
        <v>3569</v>
      </c>
      <c r="S131" s="9" t="str">
        <f>HYPERLINK("https://seichotoushi-hojo.jp/assets/pdf/koufu/outline_127.pdf","PDFを開く")</f>
        <v>PDFを開く</v>
      </c>
      <c r="T131" s="9" t="s">
        <v>360</v>
      </c>
      <c r="U131" s="9" t="s">
        <v>361</v>
      </c>
    </row>
    <row r="132" spans="1:21" ht="39.950000000000003" customHeight="1">
      <c r="A132" s="2" t="s">
        <v>354</v>
      </c>
      <c r="B132" s="2" t="s">
        <v>73</v>
      </c>
      <c r="C132" s="8" t="s">
        <v>355</v>
      </c>
      <c r="D132" s="8" t="s">
        <v>3191</v>
      </c>
      <c r="E132" s="8" t="s">
        <v>92</v>
      </c>
      <c r="F132" s="2">
        <v>2027</v>
      </c>
      <c r="G132" s="2">
        <v>115.5</v>
      </c>
      <c r="H132" s="2">
        <v>2030</v>
      </c>
      <c r="I132" s="2">
        <v>133.4</v>
      </c>
      <c r="J132" s="2" t="s">
        <v>2513</v>
      </c>
      <c r="K132" s="2"/>
      <c r="L132" s="2"/>
      <c r="M132" s="2"/>
      <c r="N132" s="8" t="s">
        <v>11846</v>
      </c>
      <c r="O132" s="8"/>
      <c r="P132" s="2">
        <v>2</v>
      </c>
      <c r="Q132" s="8"/>
      <c r="R132" s="8" t="s">
        <v>3572</v>
      </c>
      <c r="S132" s="8" t="str">
        <f>HYPERLINK("https://seichotoushi-hojo.jp/assets/pdf/koufu/outline_127.pdf","PDFを開く")</f>
        <v>PDFを開く</v>
      </c>
      <c r="T132" s="8" t="s">
        <v>360</v>
      </c>
      <c r="U132" s="8" t="s">
        <v>361</v>
      </c>
    </row>
    <row r="133" spans="1:21" ht="39.950000000000003" customHeight="1">
      <c r="A133" s="5" t="s">
        <v>362</v>
      </c>
      <c r="B133" s="5" t="s">
        <v>73</v>
      </c>
      <c r="C133" s="9" t="s">
        <v>363</v>
      </c>
      <c r="D133" s="9" t="s">
        <v>3176</v>
      </c>
      <c r="E133" s="9" t="s">
        <v>90</v>
      </c>
      <c r="F133" s="5">
        <v>2026</v>
      </c>
      <c r="G133" s="5">
        <v>918</v>
      </c>
      <c r="H133" s="5">
        <v>2029</v>
      </c>
      <c r="I133" s="5">
        <v>1415</v>
      </c>
      <c r="J133" s="5" t="s">
        <v>86</v>
      </c>
      <c r="K133" s="5">
        <v>15.5</v>
      </c>
      <c r="L133" s="5">
        <v>15.514900000000001</v>
      </c>
      <c r="M133" s="5">
        <v>1.49E-2</v>
      </c>
      <c r="N133" s="9" t="s">
        <v>11846</v>
      </c>
      <c r="O133" s="9" t="s">
        <v>11847</v>
      </c>
      <c r="P133" s="5">
        <v>2</v>
      </c>
      <c r="Q133" s="9"/>
      <c r="R133" s="9" t="s">
        <v>3576</v>
      </c>
      <c r="S133" s="9" t="str">
        <f>HYPERLINK("https://seichotoushi-hojo.jp/assets/pdf/koufu/outline_128.pdf","PDFを開く")</f>
        <v>PDFを開く</v>
      </c>
      <c r="T133" s="9" t="s">
        <v>367</v>
      </c>
      <c r="U133" s="9" t="s">
        <v>368</v>
      </c>
    </row>
    <row r="134" spans="1:21" ht="39.950000000000003" customHeight="1">
      <c r="A134" s="2" t="s">
        <v>362</v>
      </c>
      <c r="B134" s="2" t="s">
        <v>73</v>
      </c>
      <c r="C134" s="8" t="s">
        <v>363</v>
      </c>
      <c r="D134" s="8" t="s">
        <v>3184</v>
      </c>
      <c r="E134" s="8" t="s">
        <v>90</v>
      </c>
      <c r="F134" s="2">
        <v>2026</v>
      </c>
      <c r="G134" s="2">
        <v>291</v>
      </c>
      <c r="H134" s="2">
        <v>2029</v>
      </c>
      <c r="I134" s="2">
        <v>356</v>
      </c>
      <c r="J134" s="2" t="s">
        <v>86</v>
      </c>
      <c r="K134" s="2">
        <v>7</v>
      </c>
      <c r="L134" s="2">
        <v>6.9512</v>
      </c>
      <c r="M134" s="2">
        <v>4.8800000000000003E-2</v>
      </c>
      <c r="N134" s="8" t="s">
        <v>11846</v>
      </c>
      <c r="O134" s="8" t="s">
        <v>11847</v>
      </c>
      <c r="P134" s="2">
        <v>2</v>
      </c>
      <c r="Q134" s="8"/>
      <c r="R134" s="8" t="s">
        <v>3580</v>
      </c>
      <c r="S134" s="8" t="str">
        <f>HYPERLINK("https://seichotoushi-hojo.jp/assets/pdf/koufu/outline_128.pdf","PDFを開く")</f>
        <v>PDFを開く</v>
      </c>
      <c r="T134" s="8" t="s">
        <v>367</v>
      </c>
      <c r="U134" s="8" t="s">
        <v>368</v>
      </c>
    </row>
    <row r="135" spans="1:21" ht="39.950000000000003" customHeight="1">
      <c r="A135" s="5" t="s">
        <v>362</v>
      </c>
      <c r="B135" s="5" t="s">
        <v>73</v>
      </c>
      <c r="C135" s="9" t="s">
        <v>363</v>
      </c>
      <c r="D135" s="9" t="s">
        <v>3188</v>
      </c>
      <c r="E135" s="9" t="s">
        <v>90</v>
      </c>
      <c r="F135" s="5">
        <v>2026</v>
      </c>
      <c r="G135" s="5">
        <v>2640</v>
      </c>
      <c r="H135" s="5">
        <v>2029</v>
      </c>
      <c r="I135" s="5">
        <v>3058</v>
      </c>
      <c r="J135" s="5" t="s">
        <v>86</v>
      </c>
      <c r="K135" s="5">
        <v>5</v>
      </c>
      <c r="L135" s="5">
        <v>5.0213999999999999</v>
      </c>
      <c r="M135" s="5">
        <v>2.1399999999999999E-2</v>
      </c>
      <c r="N135" s="9" t="s">
        <v>11846</v>
      </c>
      <c r="O135" s="9" t="s">
        <v>11847</v>
      </c>
      <c r="P135" s="5">
        <v>2</v>
      </c>
      <c r="Q135" s="9"/>
      <c r="R135" s="9" t="s">
        <v>3582</v>
      </c>
      <c r="S135" s="9" t="str">
        <f>HYPERLINK("https://seichotoushi-hojo.jp/assets/pdf/koufu/outline_128.pdf","PDFを開く")</f>
        <v>PDFを開く</v>
      </c>
      <c r="T135" s="9" t="s">
        <v>367</v>
      </c>
      <c r="U135" s="9" t="s">
        <v>368</v>
      </c>
    </row>
    <row r="136" spans="1:21" ht="39.950000000000003" customHeight="1">
      <c r="A136" s="2" t="s">
        <v>362</v>
      </c>
      <c r="B136" s="2" t="s">
        <v>73</v>
      </c>
      <c r="C136" s="8" t="s">
        <v>363</v>
      </c>
      <c r="D136" s="8" t="s">
        <v>3191</v>
      </c>
      <c r="E136" s="8" t="s">
        <v>92</v>
      </c>
      <c r="F136" s="2">
        <v>2026</v>
      </c>
      <c r="G136" s="2">
        <v>29</v>
      </c>
      <c r="H136" s="2">
        <v>2029</v>
      </c>
      <c r="I136" s="2">
        <v>87</v>
      </c>
      <c r="J136" s="2" t="s">
        <v>2513</v>
      </c>
      <c r="K136" s="2"/>
      <c r="L136" s="2"/>
      <c r="M136" s="2"/>
      <c r="N136" s="8" t="s">
        <v>11846</v>
      </c>
      <c r="O136" s="8" t="s">
        <v>11847</v>
      </c>
      <c r="P136" s="2">
        <v>2</v>
      </c>
      <c r="Q136" s="8"/>
      <c r="R136" s="8" t="s">
        <v>3585</v>
      </c>
      <c r="S136" s="8" t="str">
        <f>HYPERLINK("https://seichotoushi-hojo.jp/assets/pdf/koufu/outline_128.pdf","PDFを開く")</f>
        <v>PDFを開く</v>
      </c>
      <c r="T136" s="8" t="s">
        <v>367</v>
      </c>
      <c r="U136" s="8" t="s">
        <v>368</v>
      </c>
    </row>
    <row r="137" spans="1:21" ht="39.950000000000003" customHeight="1">
      <c r="A137" s="5" t="s">
        <v>369</v>
      </c>
      <c r="B137" s="5" t="s">
        <v>73</v>
      </c>
      <c r="C137" s="9" t="s">
        <v>370</v>
      </c>
      <c r="D137" s="9" t="s">
        <v>3176</v>
      </c>
      <c r="E137" s="9" t="s">
        <v>92</v>
      </c>
      <c r="F137" s="5">
        <v>2025</v>
      </c>
      <c r="G137" s="5">
        <v>31</v>
      </c>
      <c r="H137" s="5">
        <v>2028</v>
      </c>
      <c r="I137" s="5">
        <v>965</v>
      </c>
      <c r="J137" s="5" t="s">
        <v>86</v>
      </c>
      <c r="K137" s="5"/>
      <c r="L137" s="5">
        <v>214.57329999999999</v>
      </c>
      <c r="M137" s="5"/>
      <c r="N137" s="9" t="s">
        <v>11846</v>
      </c>
      <c r="O137" s="9" t="s">
        <v>11847</v>
      </c>
      <c r="P137" s="5">
        <v>2</v>
      </c>
      <c r="Q137" s="9"/>
      <c r="R137" s="9" t="s">
        <v>3589</v>
      </c>
      <c r="S137" s="9" t="str">
        <f>HYPERLINK("https://seichotoushi-hojo.jp/assets/pdf/koufu/outline_129.pdf","PDFを開く")</f>
        <v>PDFを開く</v>
      </c>
      <c r="T137" s="9" t="s">
        <v>376</v>
      </c>
      <c r="U137" s="9" t="s">
        <v>377</v>
      </c>
    </row>
    <row r="138" spans="1:21" ht="39.950000000000003" customHeight="1">
      <c r="A138" s="2" t="s">
        <v>369</v>
      </c>
      <c r="B138" s="2" t="s">
        <v>73</v>
      </c>
      <c r="C138" s="8" t="s">
        <v>370</v>
      </c>
      <c r="D138" s="8" t="s">
        <v>3184</v>
      </c>
      <c r="E138" s="8" t="s">
        <v>90</v>
      </c>
      <c r="F138" s="2">
        <v>2025</v>
      </c>
      <c r="G138" s="2">
        <v>603</v>
      </c>
      <c r="H138" s="2">
        <v>2028</v>
      </c>
      <c r="I138" s="2">
        <v>739</v>
      </c>
      <c r="J138" s="2" t="s">
        <v>86</v>
      </c>
      <c r="K138" s="2">
        <v>7</v>
      </c>
      <c r="L138" s="2">
        <v>7.0144000000000002</v>
      </c>
      <c r="M138" s="2">
        <v>1.44E-2</v>
      </c>
      <c r="N138" s="8" t="s">
        <v>11846</v>
      </c>
      <c r="O138" s="8" t="s">
        <v>11847</v>
      </c>
      <c r="P138" s="2">
        <v>2</v>
      </c>
      <c r="Q138" s="8"/>
      <c r="R138" s="8" t="s">
        <v>3593</v>
      </c>
      <c r="S138" s="8" t="str">
        <f>HYPERLINK("https://seichotoushi-hojo.jp/assets/pdf/koufu/outline_129.pdf","PDFを開く")</f>
        <v>PDFを開く</v>
      </c>
      <c r="T138" s="8" t="s">
        <v>376</v>
      </c>
      <c r="U138" s="8" t="s">
        <v>377</v>
      </c>
    </row>
    <row r="139" spans="1:21" ht="39.950000000000003" customHeight="1">
      <c r="A139" s="5" t="s">
        <v>369</v>
      </c>
      <c r="B139" s="5" t="s">
        <v>73</v>
      </c>
      <c r="C139" s="9" t="s">
        <v>370</v>
      </c>
      <c r="D139" s="9" t="s">
        <v>3188</v>
      </c>
      <c r="E139" s="9" t="s">
        <v>90</v>
      </c>
      <c r="F139" s="5">
        <v>2025</v>
      </c>
      <c r="G139" s="5">
        <v>1500</v>
      </c>
      <c r="H139" s="5">
        <v>2028</v>
      </c>
      <c r="I139" s="5">
        <v>1838</v>
      </c>
      <c r="J139" s="5" t="s">
        <v>86</v>
      </c>
      <c r="K139" s="5">
        <v>7</v>
      </c>
      <c r="L139" s="5">
        <v>7.0084999999999997</v>
      </c>
      <c r="M139" s="5">
        <v>8.5000000000000006E-3</v>
      </c>
      <c r="N139" s="9" t="s">
        <v>11846</v>
      </c>
      <c r="O139" s="9" t="s">
        <v>11847</v>
      </c>
      <c r="P139" s="5">
        <v>2</v>
      </c>
      <c r="Q139" s="9"/>
      <c r="R139" s="9" t="s">
        <v>3595</v>
      </c>
      <c r="S139" s="9" t="str">
        <f>HYPERLINK("https://seichotoushi-hojo.jp/assets/pdf/koufu/outline_129.pdf","PDFを開く")</f>
        <v>PDFを開く</v>
      </c>
      <c r="T139" s="9" t="s">
        <v>376</v>
      </c>
      <c r="U139" s="9" t="s">
        <v>377</v>
      </c>
    </row>
    <row r="140" spans="1:21" ht="39.950000000000003" customHeight="1">
      <c r="A140" s="2" t="s">
        <v>369</v>
      </c>
      <c r="B140" s="2" t="s">
        <v>73</v>
      </c>
      <c r="C140" s="8" t="s">
        <v>370</v>
      </c>
      <c r="D140" s="8" t="s">
        <v>3191</v>
      </c>
      <c r="E140" s="8" t="s">
        <v>92</v>
      </c>
      <c r="F140" s="2">
        <v>2025</v>
      </c>
      <c r="G140" s="2">
        <v>87</v>
      </c>
      <c r="H140" s="2">
        <v>2028</v>
      </c>
      <c r="I140" s="2">
        <v>112</v>
      </c>
      <c r="J140" s="2" t="s">
        <v>2513</v>
      </c>
      <c r="K140" s="2"/>
      <c r="L140" s="2"/>
      <c r="M140" s="2"/>
      <c r="N140" s="8" t="s">
        <v>11846</v>
      </c>
      <c r="O140" s="8" t="s">
        <v>11847</v>
      </c>
      <c r="P140" s="2">
        <v>2</v>
      </c>
      <c r="Q140" s="8"/>
      <c r="R140" s="8" t="s">
        <v>3597</v>
      </c>
      <c r="S140" s="8" t="str">
        <f>HYPERLINK("https://seichotoushi-hojo.jp/assets/pdf/koufu/outline_129.pdf","PDFを開く")</f>
        <v>PDFを開く</v>
      </c>
      <c r="T140" s="8" t="s">
        <v>376</v>
      </c>
      <c r="U140" s="8" t="s">
        <v>377</v>
      </c>
    </row>
    <row r="141" spans="1:21" ht="39.950000000000003" customHeight="1">
      <c r="A141" s="5" t="s">
        <v>378</v>
      </c>
      <c r="B141" s="5" t="s">
        <v>73</v>
      </c>
      <c r="C141" s="9" t="s">
        <v>379</v>
      </c>
      <c r="D141" s="9" t="s">
        <v>3176</v>
      </c>
      <c r="E141" s="9" t="s">
        <v>90</v>
      </c>
      <c r="F141" s="5">
        <v>2027</v>
      </c>
      <c r="G141" s="5">
        <v>981</v>
      </c>
      <c r="H141" s="5">
        <v>2030</v>
      </c>
      <c r="I141" s="5">
        <v>1531.3</v>
      </c>
      <c r="J141" s="5" t="s">
        <v>86</v>
      </c>
      <c r="K141" s="5">
        <v>16</v>
      </c>
      <c r="L141" s="5">
        <v>16.0015</v>
      </c>
      <c r="M141" s="5">
        <v>1.5E-3</v>
      </c>
      <c r="N141" s="9" t="s">
        <v>11846</v>
      </c>
      <c r="O141" s="9" t="s">
        <v>11847</v>
      </c>
      <c r="P141" s="5">
        <v>2</v>
      </c>
      <c r="Q141" s="9"/>
      <c r="R141" s="9" t="s">
        <v>3600</v>
      </c>
      <c r="S141" s="9" t="str">
        <f>HYPERLINK("https://seichotoushi-hojo.jp/assets/pdf/koufu/outline_13.pdf","PDFを開く")</f>
        <v>PDFを開く</v>
      </c>
      <c r="T141" s="9" t="s">
        <v>384</v>
      </c>
      <c r="U141" s="9" t="s">
        <v>385</v>
      </c>
    </row>
    <row r="142" spans="1:21" ht="39.950000000000003" customHeight="1">
      <c r="A142" s="2" t="s">
        <v>378</v>
      </c>
      <c r="B142" s="2" t="s">
        <v>73</v>
      </c>
      <c r="C142" s="8" t="s">
        <v>379</v>
      </c>
      <c r="D142" s="8" t="s">
        <v>3184</v>
      </c>
      <c r="E142" s="8" t="s">
        <v>90</v>
      </c>
      <c r="F142" s="2">
        <v>2027</v>
      </c>
      <c r="G142" s="2">
        <v>341.5</v>
      </c>
      <c r="H142" s="2">
        <v>2030</v>
      </c>
      <c r="I142" s="2">
        <v>395.3</v>
      </c>
      <c r="J142" s="2" t="s">
        <v>86</v>
      </c>
      <c r="K142" s="2">
        <v>5</v>
      </c>
      <c r="L142" s="2">
        <v>4.9973999999999998</v>
      </c>
      <c r="M142" s="2">
        <v>2.5999999999999999E-3</v>
      </c>
      <c r="N142" s="8" t="s">
        <v>11846</v>
      </c>
      <c r="O142" s="8" t="s">
        <v>11847</v>
      </c>
      <c r="P142" s="2">
        <v>2</v>
      </c>
      <c r="Q142" s="8"/>
      <c r="R142" s="8" t="s">
        <v>3603</v>
      </c>
      <c r="S142" s="8" t="str">
        <f>HYPERLINK("https://seichotoushi-hojo.jp/assets/pdf/koufu/outline_13.pdf","PDFを開く")</f>
        <v>PDFを開く</v>
      </c>
      <c r="T142" s="8" t="s">
        <v>384</v>
      </c>
      <c r="U142" s="8" t="s">
        <v>385</v>
      </c>
    </row>
    <row r="143" spans="1:21" ht="39.950000000000003" customHeight="1">
      <c r="A143" s="5" t="s">
        <v>378</v>
      </c>
      <c r="B143" s="5" t="s">
        <v>73</v>
      </c>
      <c r="C143" s="9" t="s">
        <v>379</v>
      </c>
      <c r="D143" s="9" t="s">
        <v>3188</v>
      </c>
      <c r="E143" s="9" t="s">
        <v>91</v>
      </c>
      <c r="F143" s="5">
        <v>2027</v>
      </c>
      <c r="G143" s="5"/>
      <c r="H143" s="5">
        <v>2030</v>
      </c>
      <c r="I143" s="5"/>
      <c r="J143" s="5" t="s">
        <v>86</v>
      </c>
      <c r="K143" s="5">
        <v>5</v>
      </c>
      <c r="L143" s="5"/>
      <c r="M143" s="5"/>
      <c r="N143" s="9" t="s">
        <v>11846</v>
      </c>
      <c r="O143" s="9" t="s">
        <v>11848</v>
      </c>
      <c r="P143" s="5">
        <v>2</v>
      </c>
      <c r="Q143" s="9"/>
      <c r="R143" s="9" t="s">
        <v>3609</v>
      </c>
      <c r="S143" s="9" t="str">
        <f>HYPERLINK("https://seichotoushi-hojo.jp/assets/pdf/koufu/outline_13.pdf","PDFを開く")</f>
        <v>PDFを開く</v>
      </c>
      <c r="T143" s="9" t="s">
        <v>384</v>
      </c>
      <c r="U143" s="9" t="s">
        <v>385</v>
      </c>
    </row>
    <row r="144" spans="1:21" ht="39.950000000000003" customHeight="1">
      <c r="A144" s="2" t="s">
        <v>378</v>
      </c>
      <c r="B144" s="2" t="s">
        <v>73</v>
      </c>
      <c r="C144" s="8" t="s">
        <v>379</v>
      </c>
      <c r="D144" s="8" t="s">
        <v>3191</v>
      </c>
      <c r="E144" s="8" t="s">
        <v>92</v>
      </c>
      <c r="F144" s="2">
        <v>2027</v>
      </c>
      <c r="G144" s="2">
        <v>111</v>
      </c>
      <c r="H144" s="2">
        <v>2030</v>
      </c>
      <c r="I144" s="2">
        <v>111</v>
      </c>
      <c r="J144" s="2" t="s">
        <v>2513</v>
      </c>
      <c r="K144" s="2"/>
      <c r="L144" s="2"/>
      <c r="M144" s="2"/>
      <c r="N144" s="8" t="s">
        <v>11846</v>
      </c>
      <c r="O144" s="8" t="s">
        <v>11847</v>
      </c>
      <c r="P144" s="2">
        <v>2</v>
      </c>
      <c r="Q144" s="8"/>
      <c r="R144" s="8" t="s">
        <v>3607</v>
      </c>
      <c r="S144" s="8" t="str">
        <f>HYPERLINK("https://seichotoushi-hojo.jp/assets/pdf/koufu/outline_13.pdf","PDFを開く")</f>
        <v>PDFを開く</v>
      </c>
      <c r="T144" s="8" t="s">
        <v>384</v>
      </c>
      <c r="U144" s="8" t="s">
        <v>385</v>
      </c>
    </row>
    <row r="145" spans="1:21" ht="39.950000000000003" customHeight="1">
      <c r="A145" s="5" t="s">
        <v>386</v>
      </c>
      <c r="B145" s="5" t="s">
        <v>73</v>
      </c>
      <c r="C145" s="9" t="s">
        <v>387</v>
      </c>
      <c r="D145" s="9" t="s">
        <v>3176</v>
      </c>
      <c r="E145" s="9" t="s">
        <v>90</v>
      </c>
      <c r="F145" s="5">
        <v>2025</v>
      </c>
      <c r="G145" s="5">
        <v>7406</v>
      </c>
      <c r="H145" s="5">
        <v>2028</v>
      </c>
      <c r="I145" s="5">
        <v>12438</v>
      </c>
      <c r="J145" s="5" t="s">
        <v>86</v>
      </c>
      <c r="K145" s="5">
        <v>19</v>
      </c>
      <c r="L145" s="5">
        <v>18.865400000000001</v>
      </c>
      <c r="M145" s="5">
        <v>0.1346</v>
      </c>
      <c r="N145" s="9" t="s">
        <v>11846</v>
      </c>
      <c r="O145" s="9" t="s">
        <v>11847</v>
      </c>
      <c r="P145" s="5">
        <v>2</v>
      </c>
      <c r="Q145" s="9"/>
      <c r="R145" s="9" t="s">
        <v>3613</v>
      </c>
      <c r="S145" s="9" t="str">
        <f>HYPERLINK("https://seichotoushi-hojo.jp/assets/pdf/koufu/outline_130.pdf","PDFを開く")</f>
        <v>PDFを開く</v>
      </c>
      <c r="T145" s="9" t="s">
        <v>393</v>
      </c>
      <c r="U145" s="9" t="s">
        <v>394</v>
      </c>
    </row>
    <row r="146" spans="1:21" ht="39.950000000000003" customHeight="1">
      <c r="A146" s="2" t="s">
        <v>386</v>
      </c>
      <c r="B146" s="2" t="s">
        <v>73</v>
      </c>
      <c r="C146" s="8" t="s">
        <v>387</v>
      </c>
      <c r="D146" s="8" t="s">
        <v>3184</v>
      </c>
      <c r="E146" s="8" t="s">
        <v>90</v>
      </c>
      <c r="F146" s="2">
        <v>2025</v>
      </c>
      <c r="G146" s="2">
        <v>343</v>
      </c>
      <c r="H146" s="2">
        <v>2028</v>
      </c>
      <c r="I146" s="2">
        <v>410</v>
      </c>
      <c r="J146" s="2" t="s">
        <v>86</v>
      </c>
      <c r="K146" s="2">
        <v>6</v>
      </c>
      <c r="L146" s="2">
        <v>6.1280000000000001</v>
      </c>
      <c r="M146" s="2">
        <v>0.128</v>
      </c>
      <c r="N146" s="8" t="s">
        <v>11846</v>
      </c>
      <c r="O146" s="8" t="s">
        <v>11847</v>
      </c>
      <c r="P146" s="2">
        <v>2</v>
      </c>
      <c r="Q146" s="8"/>
      <c r="R146" s="8" t="s">
        <v>3616</v>
      </c>
      <c r="S146" s="8" t="str">
        <f>HYPERLINK("https://seichotoushi-hojo.jp/assets/pdf/koufu/outline_130.pdf","PDFを開く")</f>
        <v>PDFを開く</v>
      </c>
      <c r="T146" s="8" t="s">
        <v>393</v>
      </c>
      <c r="U146" s="8" t="s">
        <v>394</v>
      </c>
    </row>
    <row r="147" spans="1:21" ht="39.950000000000003" customHeight="1">
      <c r="A147" s="5" t="s">
        <v>386</v>
      </c>
      <c r="B147" s="5" t="s">
        <v>73</v>
      </c>
      <c r="C147" s="9" t="s">
        <v>387</v>
      </c>
      <c r="D147" s="9" t="s">
        <v>3188</v>
      </c>
      <c r="E147" s="9" t="s">
        <v>90</v>
      </c>
      <c r="F147" s="5">
        <v>2025</v>
      </c>
      <c r="G147" s="5">
        <v>1095</v>
      </c>
      <c r="H147" s="5">
        <v>2028</v>
      </c>
      <c r="I147" s="5">
        <v>1335</v>
      </c>
      <c r="J147" s="5" t="s">
        <v>86</v>
      </c>
      <c r="K147" s="5">
        <v>6.8</v>
      </c>
      <c r="L147" s="5">
        <v>6.8289999999999997</v>
      </c>
      <c r="M147" s="5">
        <v>2.9000000000000001E-2</v>
      </c>
      <c r="N147" s="9" t="s">
        <v>11846</v>
      </c>
      <c r="O147" s="9" t="s">
        <v>11847</v>
      </c>
      <c r="P147" s="5">
        <v>2</v>
      </c>
      <c r="Q147" s="9"/>
      <c r="R147" s="9" t="s">
        <v>3619</v>
      </c>
      <c r="S147" s="9" t="str">
        <f>HYPERLINK("https://seichotoushi-hojo.jp/assets/pdf/koufu/outline_130.pdf","PDFを開く")</f>
        <v>PDFを開く</v>
      </c>
      <c r="T147" s="9" t="s">
        <v>393</v>
      </c>
      <c r="U147" s="9" t="s">
        <v>394</v>
      </c>
    </row>
    <row r="148" spans="1:21" ht="39.950000000000003" customHeight="1">
      <c r="A148" s="2" t="s">
        <v>386</v>
      </c>
      <c r="B148" s="2" t="s">
        <v>73</v>
      </c>
      <c r="C148" s="8" t="s">
        <v>387</v>
      </c>
      <c r="D148" s="8" t="s">
        <v>3191</v>
      </c>
      <c r="E148" s="8" t="s">
        <v>92</v>
      </c>
      <c r="F148" s="2">
        <v>2025</v>
      </c>
      <c r="G148" s="2">
        <v>4</v>
      </c>
      <c r="H148" s="2">
        <v>2028</v>
      </c>
      <c r="I148" s="2">
        <v>10</v>
      </c>
      <c r="J148" s="2" t="s">
        <v>2513</v>
      </c>
      <c r="K148" s="2"/>
      <c r="L148" s="2"/>
      <c r="M148" s="2"/>
      <c r="N148" s="8" t="s">
        <v>11846</v>
      </c>
      <c r="O148" s="8" t="s">
        <v>11847</v>
      </c>
      <c r="P148" s="2">
        <v>2</v>
      </c>
      <c r="Q148" s="8"/>
      <c r="R148" s="8" t="s">
        <v>3622</v>
      </c>
      <c r="S148" s="8" t="str">
        <f>HYPERLINK("https://seichotoushi-hojo.jp/assets/pdf/koufu/outline_130.pdf","PDFを開く")</f>
        <v>PDFを開く</v>
      </c>
      <c r="T148" s="8" t="s">
        <v>393</v>
      </c>
      <c r="U148" s="8" t="s">
        <v>394</v>
      </c>
    </row>
    <row r="149" spans="1:21" ht="39.950000000000003" customHeight="1">
      <c r="A149" s="5" t="s">
        <v>395</v>
      </c>
      <c r="B149" s="5" t="s">
        <v>73</v>
      </c>
      <c r="C149" s="9" t="s">
        <v>396</v>
      </c>
      <c r="D149" s="9" t="s">
        <v>3176</v>
      </c>
      <c r="E149" s="9" t="s">
        <v>90</v>
      </c>
      <c r="F149" s="5">
        <v>2026</v>
      </c>
      <c r="G149" s="5">
        <v>403</v>
      </c>
      <c r="H149" s="5">
        <v>2029</v>
      </c>
      <c r="I149" s="5">
        <v>1420</v>
      </c>
      <c r="J149" s="5" t="s">
        <v>86</v>
      </c>
      <c r="K149" s="5">
        <v>52.2</v>
      </c>
      <c r="L149" s="5">
        <v>52.169600000000003</v>
      </c>
      <c r="M149" s="5">
        <v>3.04E-2</v>
      </c>
      <c r="N149" s="9" t="s">
        <v>11846</v>
      </c>
      <c r="O149" s="9" t="s">
        <v>11847</v>
      </c>
      <c r="P149" s="5">
        <v>2</v>
      </c>
      <c r="Q149" s="9"/>
      <c r="R149" s="9" t="s">
        <v>3625</v>
      </c>
      <c r="S149" s="9" t="str">
        <f>HYPERLINK("https://seichotoushi-hojo.jp/assets/pdf/koufu/outline_131.pdf","PDFを開く")</f>
        <v>PDFを開く</v>
      </c>
      <c r="T149" s="9" t="s">
        <v>402</v>
      </c>
      <c r="U149" s="9" t="s">
        <v>403</v>
      </c>
    </row>
    <row r="150" spans="1:21" ht="39.950000000000003" customHeight="1">
      <c r="A150" s="2" t="s">
        <v>395</v>
      </c>
      <c r="B150" s="2" t="s">
        <v>73</v>
      </c>
      <c r="C150" s="8" t="s">
        <v>396</v>
      </c>
      <c r="D150" s="8" t="s">
        <v>3184</v>
      </c>
      <c r="E150" s="8" t="s">
        <v>90</v>
      </c>
      <c r="F150" s="2">
        <v>2026</v>
      </c>
      <c r="G150" s="2">
        <v>408</v>
      </c>
      <c r="H150" s="2">
        <v>2029</v>
      </c>
      <c r="I150" s="2">
        <v>536</v>
      </c>
      <c r="J150" s="2" t="s">
        <v>86</v>
      </c>
      <c r="K150" s="2">
        <v>9.6</v>
      </c>
      <c r="L150" s="2">
        <v>9.5220000000000002</v>
      </c>
      <c r="M150" s="2">
        <v>7.8E-2</v>
      </c>
      <c r="N150" s="8" t="s">
        <v>11846</v>
      </c>
      <c r="O150" s="8" t="s">
        <v>11847</v>
      </c>
      <c r="P150" s="2">
        <v>2</v>
      </c>
      <c r="Q150" s="8"/>
      <c r="R150" s="8" t="s">
        <v>3628</v>
      </c>
      <c r="S150" s="8" t="str">
        <f>HYPERLINK("https://seichotoushi-hojo.jp/assets/pdf/koufu/outline_131.pdf","PDFを開く")</f>
        <v>PDFを開く</v>
      </c>
      <c r="T150" s="8" t="s">
        <v>402</v>
      </c>
      <c r="U150" s="8" t="s">
        <v>403</v>
      </c>
    </row>
    <row r="151" spans="1:21" ht="39.950000000000003" customHeight="1">
      <c r="A151" s="5" t="s">
        <v>395</v>
      </c>
      <c r="B151" s="5" t="s">
        <v>73</v>
      </c>
      <c r="C151" s="9" t="s">
        <v>396</v>
      </c>
      <c r="D151" s="9" t="s">
        <v>3188</v>
      </c>
      <c r="E151" s="9" t="s">
        <v>90</v>
      </c>
      <c r="F151" s="5">
        <v>2026</v>
      </c>
      <c r="G151" s="5">
        <v>400</v>
      </c>
      <c r="H151" s="5">
        <v>2029</v>
      </c>
      <c r="I151" s="5">
        <v>460</v>
      </c>
      <c r="J151" s="5" t="s">
        <v>86</v>
      </c>
      <c r="K151" s="5">
        <v>4.8</v>
      </c>
      <c r="L151" s="5">
        <v>4.7690000000000001</v>
      </c>
      <c r="M151" s="5">
        <v>3.1E-2</v>
      </c>
      <c r="N151" s="9" t="s">
        <v>11846</v>
      </c>
      <c r="O151" s="9" t="s">
        <v>11847</v>
      </c>
      <c r="P151" s="5">
        <v>2</v>
      </c>
      <c r="Q151" s="9"/>
      <c r="R151" s="9" t="s">
        <v>3629</v>
      </c>
      <c r="S151" s="9" t="str">
        <f>HYPERLINK("https://seichotoushi-hojo.jp/assets/pdf/koufu/outline_131.pdf","PDFを開く")</f>
        <v>PDFを開く</v>
      </c>
      <c r="T151" s="9" t="s">
        <v>402</v>
      </c>
      <c r="U151" s="9" t="s">
        <v>403</v>
      </c>
    </row>
    <row r="152" spans="1:21" ht="39.950000000000003" customHeight="1">
      <c r="A152" s="2" t="s">
        <v>395</v>
      </c>
      <c r="B152" s="2" t="s">
        <v>73</v>
      </c>
      <c r="C152" s="8" t="s">
        <v>396</v>
      </c>
      <c r="D152" s="8" t="s">
        <v>3191</v>
      </c>
      <c r="E152" s="8" t="s">
        <v>92</v>
      </c>
      <c r="F152" s="2">
        <v>2026</v>
      </c>
      <c r="G152" s="2">
        <v>76</v>
      </c>
      <c r="H152" s="2">
        <v>2029</v>
      </c>
      <c r="I152" s="2">
        <v>152</v>
      </c>
      <c r="J152" s="2" t="s">
        <v>2513</v>
      </c>
      <c r="K152" s="2">
        <v>26</v>
      </c>
      <c r="L152" s="2"/>
      <c r="M152" s="2"/>
      <c r="N152" s="8" t="s">
        <v>11846</v>
      </c>
      <c r="O152" s="8" t="s">
        <v>11847</v>
      </c>
      <c r="P152" s="2">
        <v>2</v>
      </c>
      <c r="Q152" s="8"/>
      <c r="R152" s="8" t="s">
        <v>3632</v>
      </c>
      <c r="S152" s="8" t="str">
        <f>HYPERLINK("https://seichotoushi-hojo.jp/assets/pdf/koufu/outline_131.pdf","PDFを開く")</f>
        <v>PDFを開く</v>
      </c>
      <c r="T152" s="8" t="s">
        <v>402</v>
      </c>
      <c r="U152" s="8" t="s">
        <v>403</v>
      </c>
    </row>
    <row r="153" spans="1:21" ht="39.950000000000003" customHeight="1">
      <c r="A153" s="5" t="s">
        <v>404</v>
      </c>
      <c r="B153" s="5" t="s">
        <v>73</v>
      </c>
      <c r="C153" s="9" t="s">
        <v>405</v>
      </c>
      <c r="D153" s="9" t="s">
        <v>3176</v>
      </c>
      <c r="E153" s="9" t="s">
        <v>90</v>
      </c>
      <c r="F153" s="5">
        <v>2026</v>
      </c>
      <c r="G153" s="5">
        <v>1406</v>
      </c>
      <c r="H153" s="5">
        <v>2029</v>
      </c>
      <c r="I153" s="5">
        <v>3561</v>
      </c>
      <c r="J153" s="5" t="s">
        <v>86</v>
      </c>
      <c r="K153" s="5">
        <v>36.299999999999997</v>
      </c>
      <c r="L153" s="5">
        <v>36.310400000000001</v>
      </c>
      <c r="M153" s="5">
        <v>1.04E-2</v>
      </c>
      <c r="N153" s="9" t="s">
        <v>11846</v>
      </c>
      <c r="O153" s="9" t="s">
        <v>11847</v>
      </c>
      <c r="P153" s="5">
        <v>2</v>
      </c>
      <c r="Q153" s="9"/>
      <c r="R153" s="9" t="s">
        <v>3635</v>
      </c>
      <c r="S153" s="9" t="str">
        <f>HYPERLINK("https://seichotoushi-hojo.jp/assets/pdf/koufu/outline_132.pdf","PDFを開く")</f>
        <v>PDFを開く</v>
      </c>
      <c r="T153" s="9" t="s">
        <v>410</v>
      </c>
      <c r="U153" s="9" t="s">
        <v>411</v>
      </c>
    </row>
    <row r="154" spans="1:21" ht="39.950000000000003" customHeight="1">
      <c r="A154" s="2" t="s">
        <v>404</v>
      </c>
      <c r="B154" s="2" t="s">
        <v>73</v>
      </c>
      <c r="C154" s="8" t="s">
        <v>405</v>
      </c>
      <c r="D154" s="8" t="s">
        <v>3184</v>
      </c>
      <c r="E154" s="8" t="s">
        <v>90</v>
      </c>
      <c r="F154" s="2">
        <v>2026</v>
      </c>
      <c r="G154" s="2">
        <v>560</v>
      </c>
      <c r="H154" s="2">
        <v>2029</v>
      </c>
      <c r="I154" s="2">
        <v>655</v>
      </c>
      <c r="J154" s="2" t="s">
        <v>86</v>
      </c>
      <c r="K154" s="2">
        <v>5.4</v>
      </c>
      <c r="L154" s="2">
        <v>5.3620999999999999</v>
      </c>
      <c r="M154" s="2">
        <v>3.7900000000000003E-2</v>
      </c>
      <c r="N154" s="8" t="s">
        <v>11846</v>
      </c>
      <c r="O154" s="8" t="s">
        <v>11847</v>
      </c>
      <c r="P154" s="2">
        <v>2</v>
      </c>
      <c r="Q154" s="8"/>
      <c r="R154" s="8" t="s">
        <v>3638</v>
      </c>
      <c r="S154" s="8" t="str">
        <f>HYPERLINK("https://seichotoushi-hojo.jp/assets/pdf/koufu/outline_132.pdf","PDFを開く")</f>
        <v>PDFを開く</v>
      </c>
      <c r="T154" s="8" t="s">
        <v>410</v>
      </c>
      <c r="U154" s="8" t="s">
        <v>411</v>
      </c>
    </row>
    <row r="155" spans="1:21" ht="39.950000000000003" customHeight="1">
      <c r="A155" s="5" t="s">
        <v>404</v>
      </c>
      <c r="B155" s="5" t="s">
        <v>73</v>
      </c>
      <c r="C155" s="9" t="s">
        <v>405</v>
      </c>
      <c r="D155" s="9" t="s">
        <v>3188</v>
      </c>
      <c r="E155" s="9" t="s">
        <v>157</v>
      </c>
      <c r="F155" s="5"/>
      <c r="G155" s="5"/>
      <c r="H155" s="5"/>
      <c r="I155" s="5"/>
      <c r="J155" s="5"/>
      <c r="K155" s="5"/>
      <c r="L155" s="5"/>
      <c r="M155" s="5"/>
      <c r="N155" s="9" t="s">
        <v>11850</v>
      </c>
      <c r="O155" s="9"/>
      <c r="P155" s="5"/>
      <c r="Q155" s="9" t="s">
        <v>11851</v>
      </c>
      <c r="R155" s="9"/>
      <c r="S155" s="9" t="str">
        <f>HYPERLINK("https://seichotoushi-hojo.jp/assets/pdf/koufu/outline_132.pdf","PDFを開く")</f>
        <v>PDFを開く</v>
      </c>
      <c r="T155" s="9" t="s">
        <v>410</v>
      </c>
      <c r="U155" s="9" t="s">
        <v>411</v>
      </c>
    </row>
    <row r="156" spans="1:21" ht="39.950000000000003" customHeight="1">
      <c r="A156" s="2" t="s">
        <v>404</v>
      </c>
      <c r="B156" s="2" t="s">
        <v>73</v>
      </c>
      <c r="C156" s="8" t="s">
        <v>405</v>
      </c>
      <c r="D156" s="8" t="s">
        <v>3191</v>
      </c>
      <c r="E156" s="8" t="s">
        <v>92</v>
      </c>
      <c r="F156" s="2">
        <v>2026</v>
      </c>
      <c r="G156" s="2">
        <v>10</v>
      </c>
      <c r="H156" s="2">
        <v>2029</v>
      </c>
      <c r="I156" s="2">
        <v>65</v>
      </c>
      <c r="J156" s="2" t="s">
        <v>2513</v>
      </c>
      <c r="K156" s="2"/>
      <c r="L156" s="2"/>
      <c r="M156" s="2"/>
      <c r="N156" s="8" t="s">
        <v>11846</v>
      </c>
      <c r="O156" s="8" t="s">
        <v>11847</v>
      </c>
      <c r="P156" s="2">
        <v>2</v>
      </c>
      <c r="Q156" s="8"/>
      <c r="R156" s="8" t="s">
        <v>3641</v>
      </c>
      <c r="S156" s="8" t="str">
        <f>HYPERLINK("https://seichotoushi-hojo.jp/assets/pdf/koufu/outline_132.pdf","PDFを開く")</f>
        <v>PDFを開く</v>
      </c>
      <c r="T156" s="8" t="s">
        <v>410</v>
      </c>
      <c r="U156" s="8" t="s">
        <v>411</v>
      </c>
    </row>
    <row r="157" spans="1:21" ht="39.950000000000003" customHeight="1">
      <c r="A157" s="5" t="s">
        <v>412</v>
      </c>
      <c r="B157" s="5" t="s">
        <v>73</v>
      </c>
      <c r="C157" s="9" t="s">
        <v>413</v>
      </c>
      <c r="D157" s="9" t="s">
        <v>3176</v>
      </c>
      <c r="E157" s="9" t="s">
        <v>90</v>
      </c>
      <c r="F157" s="5">
        <v>2027</v>
      </c>
      <c r="G157" s="5">
        <v>1337</v>
      </c>
      <c r="H157" s="5">
        <v>2030</v>
      </c>
      <c r="I157" s="5">
        <v>2814</v>
      </c>
      <c r="J157" s="5" t="s">
        <v>86</v>
      </c>
      <c r="K157" s="5">
        <v>28.1</v>
      </c>
      <c r="L157" s="5">
        <v>28.153600000000001</v>
      </c>
      <c r="M157" s="5">
        <v>5.3600000000000002E-2</v>
      </c>
      <c r="N157" s="9" t="s">
        <v>11846</v>
      </c>
      <c r="O157" s="9" t="s">
        <v>11852</v>
      </c>
      <c r="P157" s="5">
        <v>2</v>
      </c>
      <c r="Q157" s="9"/>
      <c r="R157" s="9" t="s">
        <v>3644</v>
      </c>
      <c r="S157" s="9" t="str">
        <f>HYPERLINK("https://seichotoushi-hojo.jp/assets/pdf/koufu/outline_134.pdf","PDFを開く")</f>
        <v>PDFを開く</v>
      </c>
      <c r="T157" s="9" t="s">
        <v>421</v>
      </c>
      <c r="U157" s="9" t="s">
        <v>422</v>
      </c>
    </row>
    <row r="158" spans="1:21" ht="39.950000000000003" customHeight="1">
      <c r="A158" s="2" t="s">
        <v>412</v>
      </c>
      <c r="B158" s="2" t="s">
        <v>73</v>
      </c>
      <c r="C158" s="8" t="s">
        <v>413</v>
      </c>
      <c r="D158" s="8" t="s">
        <v>3184</v>
      </c>
      <c r="E158" s="8" t="s">
        <v>90</v>
      </c>
      <c r="F158" s="2">
        <v>2027</v>
      </c>
      <c r="G158" s="2">
        <v>555</v>
      </c>
      <c r="H158" s="2">
        <v>2030</v>
      </c>
      <c r="I158" s="2">
        <v>642</v>
      </c>
      <c r="J158" s="2" t="s">
        <v>86</v>
      </c>
      <c r="K158" s="2">
        <v>5</v>
      </c>
      <c r="L158" s="2">
        <v>4.9737</v>
      </c>
      <c r="M158" s="2">
        <v>2.63E-2</v>
      </c>
      <c r="N158" s="8" t="s">
        <v>11846</v>
      </c>
      <c r="O158" s="8" t="s">
        <v>11852</v>
      </c>
      <c r="P158" s="2">
        <v>2</v>
      </c>
      <c r="Q158" s="8"/>
      <c r="R158" s="8" t="s">
        <v>3650</v>
      </c>
      <c r="S158" s="8" t="str">
        <f>HYPERLINK("https://seichotoushi-hojo.jp/assets/pdf/koufu/outline_134.pdf","PDFを開く")</f>
        <v>PDFを開く</v>
      </c>
      <c r="T158" s="8" t="s">
        <v>421</v>
      </c>
      <c r="U158" s="8" t="s">
        <v>422</v>
      </c>
    </row>
    <row r="159" spans="1:21" ht="39.950000000000003" customHeight="1">
      <c r="A159" s="5" t="s">
        <v>412</v>
      </c>
      <c r="B159" s="5" t="s">
        <v>73</v>
      </c>
      <c r="C159" s="9" t="s">
        <v>413</v>
      </c>
      <c r="D159" s="9" t="s">
        <v>3188</v>
      </c>
      <c r="E159" s="9" t="s">
        <v>90</v>
      </c>
      <c r="F159" s="5">
        <v>2027</v>
      </c>
      <c r="G159" s="5">
        <v>1428</v>
      </c>
      <c r="H159" s="5">
        <v>2030</v>
      </c>
      <c r="I159" s="5">
        <v>1653</v>
      </c>
      <c r="J159" s="5" t="s">
        <v>86</v>
      </c>
      <c r="K159" s="5">
        <v>5</v>
      </c>
      <c r="L159" s="5">
        <v>4.9981</v>
      </c>
      <c r="M159" s="5">
        <v>1.9E-3</v>
      </c>
      <c r="N159" s="9" t="s">
        <v>11846</v>
      </c>
      <c r="O159" s="9" t="s">
        <v>11852</v>
      </c>
      <c r="P159" s="5">
        <v>2</v>
      </c>
      <c r="Q159" s="9"/>
      <c r="R159" s="9" t="s">
        <v>3654</v>
      </c>
      <c r="S159" s="9" t="str">
        <f>HYPERLINK("https://seichotoushi-hojo.jp/assets/pdf/koufu/outline_134.pdf","PDFを開く")</f>
        <v>PDFを開く</v>
      </c>
      <c r="T159" s="9" t="s">
        <v>421</v>
      </c>
      <c r="U159" s="9" t="s">
        <v>422</v>
      </c>
    </row>
    <row r="160" spans="1:21" ht="39.950000000000003" customHeight="1">
      <c r="A160" s="2" t="s">
        <v>412</v>
      </c>
      <c r="B160" s="2" t="s">
        <v>73</v>
      </c>
      <c r="C160" s="8" t="s">
        <v>413</v>
      </c>
      <c r="D160" s="8" t="s">
        <v>3191</v>
      </c>
      <c r="E160" s="8" t="s">
        <v>92</v>
      </c>
      <c r="F160" s="2">
        <v>2027</v>
      </c>
      <c r="G160" s="2">
        <v>72</v>
      </c>
      <c r="H160" s="2">
        <v>2030</v>
      </c>
      <c r="I160" s="2">
        <v>72</v>
      </c>
      <c r="J160" s="2" t="s">
        <v>2513</v>
      </c>
      <c r="K160" s="2"/>
      <c r="L160" s="2"/>
      <c r="M160" s="2"/>
      <c r="N160" s="8" t="s">
        <v>11846</v>
      </c>
      <c r="O160" s="8" t="s">
        <v>11852</v>
      </c>
      <c r="P160" s="2">
        <v>2</v>
      </c>
      <c r="Q160" s="8"/>
      <c r="R160" s="8" t="s">
        <v>3658</v>
      </c>
      <c r="S160" s="8" t="str">
        <f>HYPERLINK("https://seichotoushi-hojo.jp/assets/pdf/koufu/outline_134.pdf","PDFを開く")</f>
        <v>PDFを開く</v>
      </c>
      <c r="T160" s="8" t="s">
        <v>421</v>
      </c>
      <c r="U160" s="8" t="s">
        <v>422</v>
      </c>
    </row>
    <row r="161" spans="1:21" ht="39.950000000000003" customHeight="1">
      <c r="A161" s="5" t="s">
        <v>423</v>
      </c>
      <c r="B161" s="5" t="s">
        <v>73</v>
      </c>
      <c r="C161" s="9" t="s">
        <v>424</v>
      </c>
      <c r="D161" s="9" t="s">
        <v>3176</v>
      </c>
      <c r="E161" s="9" t="s">
        <v>90</v>
      </c>
      <c r="F161" s="5">
        <v>2025</v>
      </c>
      <c r="G161" s="5">
        <v>625</v>
      </c>
      <c r="H161" s="5">
        <v>2028</v>
      </c>
      <c r="I161" s="5">
        <v>987</v>
      </c>
      <c r="J161" s="5" t="s">
        <v>86</v>
      </c>
      <c r="K161" s="5">
        <v>16.5</v>
      </c>
      <c r="L161" s="5">
        <v>16.451699999999999</v>
      </c>
      <c r="M161" s="5">
        <v>4.8300000000000003E-2</v>
      </c>
      <c r="N161" s="9" t="s">
        <v>11846</v>
      </c>
      <c r="O161" s="9" t="s">
        <v>11847</v>
      </c>
      <c r="P161" s="5">
        <v>2</v>
      </c>
      <c r="Q161" s="9"/>
      <c r="R161" s="9" t="s">
        <v>3662</v>
      </c>
      <c r="S161" s="9" t="str">
        <f>HYPERLINK("https://seichotoushi-hojo.jp/assets/pdf/koufu/outline_135.pdf","PDFを開く")</f>
        <v>PDFを開く</v>
      </c>
      <c r="T161" s="9" t="s">
        <v>429</v>
      </c>
      <c r="U161" s="9" t="s">
        <v>430</v>
      </c>
    </row>
    <row r="162" spans="1:21" ht="39.950000000000003" customHeight="1">
      <c r="A162" s="2" t="s">
        <v>423</v>
      </c>
      <c r="B162" s="2" t="s">
        <v>73</v>
      </c>
      <c r="C162" s="8" t="s">
        <v>424</v>
      </c>
      <c r="D162" s="8" t="s">
        <v>3184</v>
      </c>
      <c r="E162" s="8" t="s">
        <v>90</v>
      </c>
      <c r="F162" s="2">
        <v>2025</v>
      </c>
      <c r="G162" s="2">
        <v>451</v>
      </c>
      <c r="H162" s="2">
        <v>2028</v>
      </c>
      <c r="I162" s="2">
        <v>569</v>
      </c>
      <c r="J162" s="2" t="s">
        <v>86</v>
      </c>
      <c r="K162" s="2">
        <v>8.1</v>
      </c>
      <c r="L162" s="2">
        <v>8.0550999999999995</v>
      </c>
      <c r="M162" s="2">
        <v>4.4900000000000002E-2</v>
      </c>
      <c r="N162" s="8" t="s">
        <v>11846</v>
      </c>
      <c r="O162" s="8" t="s">
        <v>11847</v>
      </c>
      <c r="P162" s="2">
        <v>2</v>
      </c>
      <c r="Q162" s="8"/>
      <c r="R162" s="8" t="s">
        <v>3666</v>
      </c>
      <c r="S162" s="8" t="str">
        <f>HYPERLINK("https://seichotoushi-hojo.jp/assets/pdf/koufu/outline_135.pdf","PDFを開く")</f>
        <v>PDFを開く</v>
      </c>
      <c r="T162" s="8" t="s">
        <v>429</v>
      </c>
      <c r="U162" s="8" t="s">
        <v>430</v>
      </c>
    </row>
    <row r="163" spans="1:21" ht="39.950000000000003" customHeight="1">
      <c r="A163" s="5" t="s">
        <v>423</v>
      </c>
      <c r="B163" s="5" t="s">
        <v>73</v>
      </c>
      <c r="C163" s="9" t="s">
        <v>424</v>
      </c>
      <c r="D163" s="9" t="s">
        <v>3188</v>
      </c>
      <c r="E163" s="9" t="s">
        <v>90</v>
      </c>
      <c r="F163" s="5">
        <v>2025</v>
      </c>
      <c r="G163" s="5">
        <v>1077</v>
      </c>
      <c r="H163" s="5">
        <v>2028</v>
      </c>
      <c r="I163" s="5">
        <v>1357</v>
      </c>
      <c r="J163" s="5" t="s">
        <v>86</v>
      </c>
      <c r="K163" s="5">
        <v>8</v>
      </c>
      <c r="L163" s="5">
        <v>8.0076999999999998</v>
      </c>
      <c r="M163" s="5">
        <v>7.7000000000000002E-3</v>
      </c>
      <c r="N163" s="9" t="s">
        <v>11846</v>
      </c>
      <c r="O163" s="9" t="s">
        <v>11847</v>
      </c>
      <c r="P163" s="5">
        <v>2</v>
      </c>
      <c r="Q163" s="9"/>
      <c r="R163" s="9" t="s">
        <v>3669</v>
      </c>
      <c r="S163" s="9" t="str">
        <f>HYPERLINK("https://seichotoushi-hojo.jp/assets/pdf/koufu/outline_135.pdf","PDFを開く")</f>
        <v>PDFを開く</v>
      </c>
      <c r="T163" s="9" t="s">
        <v>429</v>
      </c>
      <c r="U163" s="9" t="s">
        <v>430</v>
      </c>
    </row>
    <row r="164" spans="1:21" ht="39.950000000000003" customHeight="1">
      <c r="A164" s="2" t="s">
        <v>423</v>
      </c>
      <c r="B164" s="2" t="s">
        <v>73</v>
      </c>
      <c r="C164" s="8" t="s">
        <v>424</v>
      </c>
      <c r="D164" s="8" t="s">
        <v>3191</v>
      </c>
      <c r="E164" s="8" t="s">
        <v>92</v>
      </c>
      <c r="F164" s="2">
        <v>2025</v>
      </c>
      <c r="G164" s="2">
        <v>210</v>
      </c>
      <c r="H164" s="2">
        <v>2028</v>
      </c>
      <c r="I164" s="2">
        <v>215</v>
      </c>
      <c r="J164" s="2" t="s">
        <v>2513</v>
      </c>
      <c r="K164" s="2"/>
      <c r="L164" s="2"/>
      <c r="M164" s="2"/>
      <c r="N164" s="8" t="s">
        <v>11846</v>
      </c>
      <c r="O164" s="8" t="s">
        <v>11847</v>
      </c>
      <c r="P164" s="2">
        <v>2</v>
      </c>
      <c r="Q164" s="8"/>
      <c r="R164" s="8" t="s">
        <v>3672</v>
      </c>
      <c r="S164" s="8" t="str">
        <f>HYPERLINK("https://seichotoushi-hojo.jp/assets/pdf/koufu/outline_135.pdf","PDFを開く")</f>
        <v>PDFを開く</v>
      </c>
      <c r="T164" s="8" t="s">
        <v>429</v>
      </c>
      <c r="U164" s="8" t="s">
        <v>430</v>
      </c>
    </row>
    <row r="165" spans="1:21" ht="39.950000000000003" customHeight="1">
      <c r="A165" s="5" t="s">
        <v>431</v>
      </c>
      <c r="B165" s="5" t="s">
        <v>73</v>
      </c>
      <c r="C165" s="9" t="s">
        <v>432</v>
      </c>
      <c r="D165" s="9" t="s">
        <v>3176</v>
      </c>
      <c r="E165" s="9" t="s">
        <v>166</v>
      </c>
      <c r="F165" s="5">
        <v>2027</v>
      </c>
      <c r="G165" s="5">
        <v>577</v>
      </c>
      <c r="H165" s="5">
        <v>2030</v>
      </c>
      <c r="I165" s="5">
        <v>1497</v>
      </c>
      <c r="J165" s="5" t="s">
        <v>86</v>
      </c>
      <c r="K165" s="5">
        <v>37.4</v>
      </c>
      <c r="L165" s="5">
        <v>37.408999999999999</v>
      </c>
      <c r="M165" s="5">
        <v>8.9999999999999993E-3</v>
      </c>
      <c r="N165" s="9" t="s">
        <v>11846</v>
      </c>
      <c r="O165" s="9" t="s">
        <v>292</v>
      </c>
      <c r="P165" s="5">
        <v>2</v>
      </c>
      <c r="Q165" s="9"/>
      <c r="R165" s="9" t="s">
        <v>3687</v>
      </c>
      <c r="S165" s="9" t="str">
        <f>HYPERLINK("https://seichotoushi-hojo.jp/assets/pdf/koufu/outline_136.pdf","PDFを開く")</f>
        <v>PDFを開く</v>
      </c>
      <c r="T165" s="9" t="s">
        <v>438</v>
      </c>
      <c r="U165" s="9" t="s">
        <v>439</v>
      </c>
    </row>
    <row r="166" spans="1:21" ht="39.950000000000003" customHeight="1">
      <c r="A166" s="2" t="s">
        <v>431</v>
      </c>
      <c r="B166" s="2" t="s">
        <v>73</v>
      </c>
      <c r="C166" s="8" t="s">
        <v>432</v>
      </c>
      <c r="D166" s="8" t="s">
        <v>3184</v>
      </c>
      <c r="E166" s="8" t="s">
        <v>166</v>
      </c>
      <c r="F166" s="2">
        <v>2027</v>
      </c>
      <c r="G166" s="2">
        <v>334</v>
      </c>
      <c r="H166" s="2">
        <v>2030</v>
      </c>
      <c r="I166" s="2">
        <v>388</v>
      </c>
      <c r="J166" s="2" t="s">
        <v>86</v>
      </c>
      <c r="K166" s="2">
        <v>5.0999999999999996</v>
      </c>
      <c r="L166" s="2">
        <v>5.1223999999999998</v>
      </c>
      <c r="M166" s="2">
        <v>2.24E-2</v>
      </c>
      <c r="N166" s="8" t="s">
        <v>11846</v>
      </c>
      <c r="O166" s="8" t="s">
        <v>292</v>
      </c>
      <c r="P166" s="2">
        <v>2</v>
      </c>
      <c r="Q166" s="8"/>
      <c r="R166" s="8" t="s">
        <v>3690</v>
      </c>
      <c r="S166" s="8" t="str">
        <f>HYPERLINK("https://seichotoushi-hojo.jp/assets/pdf/koufu/outline_136.pdf","PDFを開く")</f>
        <v>PDFを開く</v>
      </c>
      <c r="T166" s="8" t="s">
        <v>438</v>
      </c>
      <c r="U166" s="8" t="s">
        <v>439</v>
      </c>
    </row>
    <row r="167" spans="1:21" ht="39.950000000000003" customHeight="1">
      <c r="A167" s="5" t="s">
        <v>431</v>
      </c>
      <c r="B167" s="5" t="s">
        <v>73</v>
      </c>
      <c r="C167" s="9" t="s">
        <v>432</v>
      </c>
      <c r="D167" s="9" t="s">
        <v>3188</v>
      </c>
      <c r="E167" s="9" t="s">
        <v>166</v>
      </c>
      <c r="F167" s="5">
        <v>2027</v>
      </c>
      <c r="G167" s="5">
        <v>848</v>
      </c>
      <c r="H167" s="5">
        <v>2030</v>
      </c>
      <c r="I167" s="5">
        <v>1058</v>
      </c>
      <c r="J167" s="5" t="s">
        <v>86</v>
      </c>
      <c r="K167" s="5">
        <v>7.65</v>
      </c>
      <c r="L167" s="5">
        <v>7.6539000000000001</v>
      </c>
      <c r="M167" s="5">
        <v>3.8999999999999998E-3</v>
      </c>
      <c r="N167" s="9" t="s">
        <v>11846</v>
      </c>
      <c r="O167" s="9" t="s">
        <v>292</v>
      </c>
      <c r="P167" s="5">
        <v>2</v>
      </c>
      <c r="Q167" s="9"/>
      <c r="R167" s="9" t="s">
        <v>3691</v>
      </c>
      <c r="S167" s="9" t="str">
        <f>HYPERLINK("https://seichotoushi-hojo.jp/assets/pdf/koufu/outline_136.pdf","PDFを開く")</f>
        <v>PDFを開く</v>
      </c>
      <c r="T167" s="9" t="s">
        <v>438</v>
      </c>
      <c r="U167" s="9" t="s">
        <v>439</v>
      </c>
    </row>
    <row r="168" spans="1:21" ht="39.950000000000003" customHeight="1">
      <c r="A168" s="2" t="s">
        <v>431</v>
      </c>
      <c r="B168" s="2" t="s">
        <v>73</v>
      </c>
      <c r="C168" s="8" t="s">
        <v>432</v>
      </c>
      <c r="D168" s="8" t="s">
        <v>3191</v>
      </c>
      <c r="E168" s="8" t="s">
        <v>166</v>
      </c>
      <c r="F168" s="2">
        <v>2027</v>
      </c>
      <c r="G168" s="2">
        <v>193</v>
      </c>
      <c r="H168" s="2">
        <v>2030</v>
      </c>
      <c r="I168" s="2">
        <v>201</v>
      </c>
      <c r="J168" s="2" t="s">
        <v>2513</v>
      </c>
      <c r="K168" s="2"/>
      <c r="L168" s="2"/>
      <c r="M168" s="2"/>
      <c r="N168" s="8" t="s">
        <v>11846</v>
      </c>
      <c r="O168" s="8" t="s">
        <v>292</v>
      </c>
      <c r="P168" s="2">
        <v>2</v>
      </c>
      <c r="Q168" s="8"/>
      <c r="R168" s="8" t="s">
        <v>3693</v>
      </c>
      <c r="S168" s="8" t="str">
        <f>HYPERLINK("https://seichotoushi-hojo.jp/assets/pdf/koufu/outline_136.pdf","PDFを開く")</f>
        <v>PDFを開く</v>
      </c>
      <c r="T168" s="8" t="s">
        <v>438</v>
      </c>
      <c r="U168" s="8" t="s">
        <v>439</v>
      </c>
    </row>
    <row r="169" spans="1:21" ht="39.950000000000003" customHeight="1">
      <c r="A169" s="5" t="s">
        <v>440</v>
      </c>
      <c r="B169" s="5" t="s">
        <v>73</v>
      </c>
      <c r="C169" s="9" t="s">
        <v>441</v>
      </c>
      <c r="D169" s="9" t="s">
        <v>3176</v>
      </c>
      <c r="E169" s="9" t="s">
        <v>90</v>
      </c>
      <c r="F169" s="5">
        <v>2027</v>
      </c>
      <c r="G169" s="5">
        <v>12158</v>
      </c>
      <c r="H169" s="5">
        <v>2030</v>
      </c>
      <c r="I169" s="5">
        <v>28189</v>
      </c>
      <c r="J169" s="5" t="s">
        <v>447</v>
      </c>
      <c r="K169" s="5">
        <v>32.4</v>
      </c>
      <c r="L169" s="5">
        <v>32.354599999999998</v>
      </c>
      <c r="M169" s="5">
        <v>4.5400000000000003E-2</v>
      </c>
      <c r="N169" s="9" t="s">
        <v>11846</v>
      </c>
      <c r="O169" s="9" t="s">
        <v>11847</v>
      </c>
      <c r="P169" s="5">
        <v>2</v>
      </c>
      <c r="Q169" s="9"/>
      <c r="R169" s="9" t="s">
        <v>3696</v>
      </c>
      <c r="S169" s="9" t="str">
        <f>HYPERLINK("https://seichotoushi-hojo.jp/assets/pdf/koufu/outline_137.pdf","PDFを開く")</f>
        <v>PDFを開く</v>
      </c>
      <c r="T169" s="9" t="s">
        <v>448</v>
      </c>
      <c r="U169" s="9" t="s">
        <v>449</v>
      </c>
    </row>
    <row r="170" spans="1:21" ht="39.950000000000003" customHeight="1">
      <c r="A170" s="2" t="s">
        <v>440</v>
      </c>
      <c r="B170" s="2" t="s">
        <v>73</v>
      </c>
      <c r="C170" s="8" t="s">
        <v>441</v>
      </c>
      <c r="D170" s="8" t="s">
        <v>3184</v>
      </c>
      <c r="E170" s="8" t="s">
        <v>90</v>
      </c>
      <c r="F170" s="2">
        <v>2027</v>
      </c>
      <c r="G170" s="2">
        <v>6456</v>
      </c>
      <c r="H170" s="2">
        <v>2030</v>
      </c>
      <c r="I170" s="2">
        <v>7473</v>
      </c>
      <c r="J170" s="2" t="s">
        <v>447</v>
      </c>
      <c r="K170" s="2">
        <v>5</v>
      </c>
      <c r="L170" s="2">
        <v>4.9970999999999997</v>
      </c>
      <c r="M170" s="2">
        <v>2.8999999999999998E-3</v>
      </c>
      <c r="N170" s="8" t="s">
        <v>11846</v>
      </c>
      <c r="O170" s="8" t="s">
        <v>11847</v>
      </c>
      <c r="P170" s="2">
        <v>2</v>
      </c>
      <c r="Q170" s="8"/>
      <c r="R170" s="8" t="s">
        <v>3700</v>
      </c>
      <c r="S170" s="8" t="str">
        <f>HYPERLINK("https://seichotoushi-hojo.jp/assets/pdf/koufu/outline_137.pdf","PDFを開く")</f>
        <v>PDFを開く</v>
      </c>
      <c r="T170" s="8" t="s">
        <v>448</v>
      </c>
      <c r="U170" s="8" t="s">
        <v>449</v>
      </c>
    </row>
    <row r="171" spans="1:21" ht="39.950000000000003" customHeight="1">
      <c r="A171" s="5" t="s">
        <v>440</v>
      </c>
      <c r="B171" s="5" t="s">
        <v>73</v>
      </c>
      <c r="C171" s="9" t="s">
        <v>441</v>
      </c>
      <c r="D171" s="9" t="s">
        <v>3188</v>
      </c>
      <c r="E171" s="9" t="s">
        <v>90</v>
      </c>
      <c r="F171" s="5">
        <v>2027</v>
      </c>
      <c r="G171" s="5">
        <v>16713</v>
      </c>
      <c r="H171" s="5">
        <v>2030</v>
      </c>
      <c r="I171" s="5">
        <v>19348</v>
      </c>
      <c r="J171" s="5" t="s">
        <v>447</v>
      </c>
      <c r="K171" s="5">
        <v>5</v>
      </c>
      <c r="L171" s="5">
        <v>5.0011000000000001</v>
      </c>
      <c r="M171" s="5">
        <v>1.1000000000000001E-3</v>
      </c>
      <c r="N171" s="9" t="s">
        <v>11846</v>
      </c>
      <c r="O171" s="9" t="s">
        <v>11847</v>
      </c>
      <c r="P171" s="5">
        <v>2</v>
      </c>
      <c r="Q171" s="9"/>
      <c r="R171" s="9" t="s">
        <v>3703</v>
      </c>
      <c r="S171" s="9" t="str">
        <f>HYPERLINK("https://seichotoushi-hojo.jp/assets/pdf/koufu/outline_137.pdf","PDFを開く")</f>
        <v>PDFを開く</v>
      </c>
      <c r="T171" s="9" t="s">
        <v>448</v>
      </c>
      <c r="U171" s="9" t="s">
        <v>449</v>
      </c>
    </row>
    <row r="172" spans="1:21" ht="39.950000000000003" customHeight="1">
      <c r="A172" s="2" t="s">
        <v>440</v>
      </c>
      <c r="B172" s="2" t="s">
        <v>73</v>
      </c>
      <c r="C172" s="8" t="s">
        <v>441</v>
      </c>
      <c r="D172" s="8" t="s">
        <v>3191</v>
      </c>
      <c r="E172" s="8" t="s">
        <v>92</v>
      </c>
      <c r="F172" s="2">
        <v>2027</v>
      </c>
      <c r="G172" s="2">
        <v>28</v>
      </c>
      <c r="H172" s="2">
        <v>2030</v>
      </c>
      <c r="I172" s="2">
        <v>47</v>
      </c>
      <c r="J172" s="2" t="s">
        <v>2513</v>
      </c>
      <c r="K172" s="2"/>
      <c r="L172" s="2"/>
      <c r="M172" s="2"/>
      <c r="N172" s="8" t="s">
        <v>11846</v>
      </c>
      <c r="O172" s="8" t="s">
        <v>11847</v>
      </c>
      <c r="P172" s="2">
        <v>2</v>
      </c>
      <c r="Q172" s="8"/>
      <c r="R172" s="8" t="s">
        <v>3706</v>
      </c>
      <c r="S172" s="8" t="str">
        <f>HYPERLINK("https://seichotoushi-hojo.jp/assets/pdf/koufu/outline_137.pdf","PDFを開く")</f>
        <v>PDFを開く</v>
      </c>
      <c r="T172" s="8" t="s">
        <v>448</v>
      </c>
      <c r="U172" s="8" t="s">
        <v>449</v>
      </c>
    </row>
    <row r="173" spans="1:21" ht="39.950000000000003" customHeight="1">
      <c r="A173" s="5" t="s">
        <v>450</v>
      </c>
      <c r="B173" s="5" t="s">
        <v>73</v>
      </c>
      <c r="C173" s="9" t="s">
        <v>451</v>
      </c>
      <c r="D173" s="9" t="s">
        <v>3176</v>
      </c>
      <c r="E173" s="9" t="s">
        <v>166</v>
      </c>
      <c r="F173" s="5">
        <v>2027</v>
      </c>
      <c r="G173" s="5">
        <v>1162</v>
      </c>
      <c r="H173" s="5">
        <v>2030</v>
      </c>
      <c r="I173" s="5">
        <v>1625</v>
      </c>
      <c r="J173" s="5" t="s">
        <v>86</v>
      </c>
      <c r="K173" s="5">
        <v>11.9</v>
      </c>
      <c r="L173" s="5">
        <v>11.8276</v>
      </c>
      <c r="M173" s="5">
        <v>7.2400000000000006E-2</v>
      </c>
      <c r="N173" s="9" t="s">
        <v>11846</v>
      </c>
      <c r="O173" s="9" t="s">
        <v>292</v>
      </c>
      <c r="P173" s="5">
        <v>2</v>
      </c>
      <c r="Q173" s="9"/>
      <c r="R173" s="9" t="s">
        <v>3719</v>
      </c>
      <c r="S173" s="9" t="str">
        <f>HYPERLINK("https://seichotoushi-hojo.jp/assets/pdf/koufu/outline_138.pdf","PDFを開く")</f>
        <v>PDFを開く</v>
      </c>
      <c r="T173" s="9" t="s">
        <v>457</v>
      </c>
      <c r="U173" s="9" t="s">
        <v>458</v>
      </c>
    </row>
    <row r="174" spans="1:21" ht="39.950000000000003" customHeight="1">
      <c r="A174" s="2" t="s">
        <v>450</v>
      </c>
      <c r="B174" s="2" t="s">
        <v>73</v>
      </c>
      <c r="C174" s="8" t="s">
        <v>451</v>
      </c>
      <c r="D174" s="8" t="s">
        <v>3184</v>
      </c>
      <c r="E174" s="8" t="s">
        <v>166</v>
      </c>
      <c r="F174" s="2">
        <v>2027</v>
      </c>
      <c r="G174" s="2">
        <v>469</v>
      </c>
      <c r="H174" s="2">
        <v>2030</v>
      </c>
      <c r="I174" s="2">
        <v>560</v>
      </c>
      <c r="J174" s="2" t="s">
        <v>86</v>
      </c>
      <c r="K174" s="2">
        <v>6.06</v>
      </c>
      <c r="L174" s="2">
        <v>6.0892999999999997</v>
      </c>
      <c r="M174" s="2">
        <v>2.93E-2</v>
      </c>
      <c r="N174" s="8" t="s">
        <v>11846</v>
      </c>
      <c r="O174" s="8" t="s">
        <v>292</v>
      </c>
      <c r="P174" s="2">
        <v>2</v>
      </c>
      <c r="Q174" s="8"/>
      <c r="R174" s="8" t="s">
        <v>3721</v>
      </c>
      <c r="S174" s="8" t="str">
        <f>HYPERLINK("https://seichotoushi-hojo.jp/assets/pdf/koufu/outline_138.pdf","PDFを開く")</f>
        <v>PDFを開く</v>
      </c>
      <c r="T174" s="8" t="s">
        <v>457</v>
      </c>
      <c r="U174" s="8" t="s">
        <v>458</v>
      </c>
    </row>
    <row r="175" spans="1:21" ht="39.950000000000003" customHeight="1">
      <c r="A175" s="5" t="s">
        <v>450</v>
      </c>
      <c r="B175" s="5" t="s">
        <v>73</v>
      </c>
      <c r="C175" s="9" t="s">
        <v>451</v>
      </c>
      <c r="D175" s="9" t="s">
        <v>3188</v>
      </c>
      <c r="E175" s="9" t="s">
        <v>91</v>
      </c>
      <c r="F175" s="5">
        <v>2027</v>
      </c>
      <c r="G175" s="5"/>
      <c r="H175" s="5">
        <v>2030</v>
      </c>
      <c r="I175" s="5"/>
      <c r="J175" s="5" t="s">
        <v>86</v>
      </c>
      <c r="K175" s="5">
        <v>6</v>
      </c>
      <c r="L175" s="5"/>
      <c r="M175" s="5"/>
      <c r="N175" s="9" t="s">
        <v>11846</v>
      </c>
      <c r="O175" s="9" t="s">
        <v>11848</v>
      </c>
      <c r="P175" s="5">
        <v>7</v>
      </c>
      <c r="Q175" s="9"/>
      <c r="R175" s="9" t="s">
        <v>3724</v>
      </c>
      <c r="S175" s="9" t="str">
        <f>HYPERLINK("https://seichotoushi-hojo.jp/assets/pdf/koufu/outline_138.pdf","PDFを開く")</f>
        <v>PDFを開く</v>
      </c>
      <c r="T175" s="9" t="s">
        <v>457</v>
      </c>
      <c r="U175" s="9" t="s">
        <v>458</v>
      </c>
    </row>
    <row r="176" spans="1:21" ht="39.950000000000003" customHeight="1">
      <c r="A176" s="2" t="s">
        <v>450</v>
      </c>
      <c r="B176" s="2" t="s">
        <v>73</v>
      </c>
      <c r="C176" s="8" t="s">
        <v>451</v>
      </c>
      <c r="D176" s="8" t="s">
        <v>3191</v>
      </c>
      <c r="E176" s="8" t="s">
        <v>166</v>
      </c>
      <c r="F176" s="2">
        <v>2027</v>
      </c>
      <c r="G176" s="2">
        <v>277</v>
      </c>
      <c r="H176" s="2">
        <v>2030</v>
      </c>
      <c r="I176" s="2">
        <v>305</v>
      </c>
      <c r="J176" s="2" t="s">
        <v>2513</v>
      </c>
      <c r="K176" s="2"/>
      <c r="L176" s="2"/>
      <c r="M176" s="2"/>
      <c r="N176" s="8" t="s">
        <v>11846</v>
      </c>
      <c r="O176" s="8" t="s">
        <v>292</v>
      </c>
      <c r="P176" s="2">
        <v>2</v>
      </c>
      <c r="Q176" s="8"/>
      <c r="R176" s="8" t="s">
        <v>3722</v>
      </c>
      <c r="S176" s="8" t="str">
        <f>HYPERLINK("https://seichotoushi-hojo.jp/assets/pdf/koufu/outline_138.pdf","PDFを開く")</f>
        <v>PDFを開く</v>
      </c>
      <c r="T176" s="8" t="s">
        <v>457</v>
      </c>
      <c r="U176" s="8" t="s">
        <v>458</v>
      </c>
    </row>
    <row r="177" spans="1:21" ht="39.950000000000003" customHeight="1">
      <c r="A177" s="5" t="s">
        <v>459</v>
      </c>
      <c r="B177" s="5" t="s">
        <v>73</v>
      </c>
      <c r="C177" s="9" t="s">
        <v>460</v>
      </c>
      <c r="D177" s="9" t="s">
        <v>3176</v>
      </c>
      <c r="E177" s="9" t="s">
        <v>90</v>
      </c>
      <c r="F177" s="5">
        <v>2026</v>
      </c>
      <c r="G177" s="5">
        <v>908</v>
      </c>
      <c r="H177" s="5">
        <v>2029</v>
      </c>
      <c r="I177" s="5">
        <v>1400</v>
      </c>
      <c r="J177" s="5" t="s">
        <v>86</v>
      </c>
      <c r="K177" s="5">
        <v>15.5</v>
      </c>
      <c r="L177" s="5">
        <v>15.526300000000001</v>
      </c>
      <c r="M177" s="5">
        <v>2.63E-2</v>
      </c>
      <c r="N177" s="9" t="s">
        <v>11846</v>
      </c>
      <c r="O177" s="9" t="s">
        <v>11847</v>
      </c>
      <c r="P177" s="5">
        <v>2</v>
      </c>
      <c r="Q177" s="9"/>
      <c r="R177" s="9" t="s">
        <v>3728</v>
      </c>
      <c r="S177" s="9" t="str">
        <f>HYPERLINK("https://seichotoushi-hojo.jp/assets/pdf/koufu/outline_139.pdf","PDFを開く")</f>
        <v>PDFを開く</v>
      </c>
      <c r="T177" s="9" t="s">
        <v>465</v>
      </c>
      <c r="U177" s="9" t="s">
        <v>466</v>
      </c>
    </row>
    <row r="178" spans="1:21" ht="39.950000000000003" customHeight="1">
      <c r="A178" s="2" t="s">
        <v>459</v>
      </c>
      <c r="B178" s="2" t="s">
        <v>73</v>
      </c>
      <c r="C178" s="8" t="s">
        <v>460</v>
      </c>
      <c r="D178" s="8" t="s">
        <v>3184</v>
      </c>
      <c r="E178" s="8" t="s">
        <v>90</v>
      </c>
      <c r="F178" s="2">
        <v>2026</v>
      </c>
      <c r="G178" s="2">
        <v>469</v>
      </c>
      <c r="H178" s="2">
        <v>2029</v>
      </c>
      <c r="I178" s="2">
        <v>535.5</v>
      </c>
      <c r="J178" s="2" t="s">
        <v>86</v>
      </c>
      <c r="K178" s="2">
        <v>4.5</v>
      </c>
      <c r="L178" s="2">
        <v>4.5190999999999999</v>
      </c>
      <c r="M178" s="2">
        <v>1.9099999999999999E-2</v>
      </c>
      <c r="N178" s="8" t="s">
        <v>11846</v>
      </c>
      <c r="O178" s="8" t="s">
        <v>11847</v>
      </c>
      <c r="P178" s="2">
        <v>2</v>
      </c>
      <c r="Q178" s="8"/>
      <c r="R178" s="8" t="s">
        <v>3730</v>
      </c>
      <c r="S178" s="8" t="str">
        <f>HYPERLINK("https://seichotoushi-hojo.jp/assets/pdf/koufu/outline_139.pdf","PDFを開く")</f>
        <v>PDFを開く</v>
      </c>
      <c r="T178" s="8" t="s">
        <v>465</v>
      </c>
      <c r="U178" s="8" t="s">
        <v>466</v>
      </c>
    </row>
    <row r="179" spans="1:21" ht="39.950000000000003" customHeight="1">
      <c r="A179" s="5" t="s">
        <v>459</v>
      </c>
      <c r="B179" s="5" t="s">
        <v>73</v>
      </c>
      <c r="C179" s="9" t="s">
        <v>460</v>
      </c>
      <c r="D179" s="9" t="s">
        <v>3188</v>
      </c>
      <c r="E179" s="9" t="s">
        <v>90</v>
      </c>
      <c r="F179" s="5">
        <v>2026</v>
      </c>
      <c r="G179" s="5">
        <v>1210.8</v>
      </c>
      <c r="H179" s="5">
        <v>2029</v>
      </c>
      <c r="I179" s="5">
        <v>1381.9</v>
      </c>
      <c r="J179" s="5" t="s">
        <v>86</v>
      </c>
      <c r="K179" s="5">
        <v>4.5</v>
      </c>
      <c r="L179" s="5">
        <v>4.5044000000000004</v>
      </c>
      <c r="M179" s="5">
        <v>4.4000000000000003E-3</v>
      </c>
      <c r="N179" s="9" t="s">
        <v>11846</v>
      </c>
      <c r="O179" s="9" t="s">
        <v>11847</v>
      </c>
      <c r="P179" s="5">
        <v>2</v>
      </c>
      <c r="Q179" s="9"/>
      <c r="R179" s="9" t="s">
        <v>3733</v>
      </c>
      <c r="S179" s="9" t="str">
        <f>HYPERLINK("https://seichotoushi-hojo.jp/assets/pdf/koufu/outline_139.pdf","PDFを開く")</f>
        <v>PDFを開く</v>
      </c>
      <c r="T179" s="9" t="s">
        <v>465</v>
      </c>
      <c r="U179" s="9" t="s">
        <v>466</v>
      </c>
    </row>
    <row r="180" spans="1:21" ht="39.950000000000003" customHeight="1">
      <c r="A180" s="2" t="s">
        <v>459</v>
      </c>
      <c r="B180" s="2" t="s">
        <v>73</v>
      </c>
      <c r="C180" s="8" t="s">
        <v>460</v>
      </c>
      <c r="D180" s="8" t="s">
        <v>3191</v>
      </c>
      <c r="E180" s="8" t="s">
        <v>92</v>
      </c>
      <c r="F180" s="2">
        <v>2026</v>
      </c>
      <c r="G180" s="2">
        <v>102</v>
      </c>
      <c r="H180" s="2">
        <v>2029</v>
      </c>
      <c r="I180" s="2">
        <v>237</v>
      </c>
      <c r="J180" s="2" t="s">
        <v>2513</v>
      </c>
      <c r="K180" s="2"/>
      <c r="L180" s="2"/>
      <c r="M180" s="2"/>
      <c r="N180" s="8" t="s">
        <v>11846</v>
      </c>
      <c r="O180" s="8" t="s">
        <v>11847</v>
      </c>
      <c r="P180" s="2">
        <v>2</v>
      </c>
      <c r="Q180" s="8"/>
      <c r="R180" s="8" t="s">
        <v>3736</v>
      </c>
      <c r="S180" s="8" t="str">
        <f>HYPERLINK("https://seichotoushi-hojo.jp/assets/pdf/koufu/outline_139.pdf","PDFを開く")</f>
        <v>PDFを開く</v>
      </c>
      <c r="T180" s="8" t="s">
        <v>465</v>
      </c>
      <c r="U180" s="8" t="s">
        <v>466</v>
      </c>
    </row>
    <row r="181" spans="1:21" ht="39.950000000000003" customHeight="1">
      <c r="A181" s="5" t="s">
        <v>467</v>
      </c>
      <c r="B181" s="5" t="s">
        <v>73</v>
      </c>
      <c r="C181" s="9" t="s">
        <v>468</v>
      </c>
      <c r="D181" s="9" t="s">
        <v>3176</v>
      </c>
      <c r="E181" s="9" t="s">
        <v>90</v>
      </c>
      <c r="F181" s="5">
        <v>2026</v>
      </c>
      <c r="G181" s="5">
        <v>898</v>
      </c>
      <c r="H181" s="5">
        <v>2029</v>
      </c>
      <c r="I181" s="5">
        <v>1337</v>
      </c>
      <c r="J181" s="5" t="s">
        <v>86</v>
      </c>
      <c r="K181" s="5">
        <v>14.1</v>
      </c>
      <c r="L181" s="5">
        <v>14.1874</v>
      </c>
      <c r="M181" s="5">
        <v>8.7400000000000005E-2</v>
      </c>
      <c r="N181" s="9" t="s">
        <v>11846</v>
      </c>
      <c r="O181" s="9" t="s">
        <v>11847</v>
      </c>
      <c r="P181" s="5">
        <v>2</v>
      </c>
      <c r="Q181" s="9"/>
      <c r="R181" s="9" t="s">
        <v>3739</v>
      </c>
      <c r="S181" s="9" t="str">
        <f>HYPERLINK("https://seichotoushi-hojo.jp/assets/pdf/koufu/outline_14.pdf","PDFを開く")</f>
        <v>PDFを開く</v>
      </c>
      <c r="T181" s="9" t="s">
        <v>474</v>
      </c>
      <c r="U181" s="9" t="s">
        <v>475</v>
      </c>
    </row>
    <row r="182" spans="1:21" ht="39.950000000000003" customHeight="1">
      <c r="A182" s="2" t="s">
        <v>467</v>
      </c>
      <c r="B182" s="2" t="s">
        <v>73</v>
      </c>
      <c r="C182" s="8" t="s">
        <v>468</v>
      </c>
      <c r="D182" s="8" t="s">
        <v>3184</v>
      </c>
      <c r="E182" s="8" t="s">
        <v>90</v>
      </c>
      <c r="F182" s="2">
        <v>2026</v>
      </c>
      <c r="G182" s="2">
        <v>562</v>
      </c>
      <c r="H182" s="2">
        <v>2029</v>
      </c>
      <c r="I182" s="2">
        <v>623</v>
      </c>
      <c r="J182" s="2" t="s">
        <v>86</v>
      </c>
      <c r="K182" s="2">
        <v>3.5</v>
      </c>
      <c r="L182" s="2">
        <v>3.4944999999999999</v>
      </c>
      <c r="M182" s="2">
        <v>5.4999999999999997E-3</v>
      </c>
      <c r="N182" s="8" t="s">
        <v>11846</v>
      </c>
      <c r="O182" s="8" t="s">
        <v>11847</v>
      </c>
      <c r="P182" s="2">
        <v>2</v>
      </c>
      <c r="Q182" s="8"/>
      <c r="R182" s="8" t="s">
        <v>3741</v>
      </c>
      <c r="S182" s="8" t="str">
        <f>HYPERLINK("https://seichotoushi-hojo.jp/assets/pdf/koufu/outline_14.pdf","PDFを開く")</f>
        <v>PDFを開く</v>
      </c>
      <c r="T182" s="8" t="s">
        <v>474</v>
      </c>
      <c r="U182" s="8" t="s">
        <v>475</v>
      </c>
    </row>
    <row r="183" spans="1:21" ht="39.950000000000003" customHeight="1">
      <c r="A183" s="5" t="s">
        <v>467</v>
      </c>
      <c r="B183" s="5" t="s">
        <v>73</v>
      </c>
      <c r="C183" s="9" t="s">
        <v>468</v>
      </c>
      <c r="D183" s="9" t="s">
        <v>3188</v>
      </c>
      <c r="E183" s="9" t="s">
        <v>157</v>
      </c>
      <c r="F183" s="5"/>
      <c r="G183" s="5"/>
      <c r="H183" s="5"/>
      <c r="I183" s="5"/>
      <c r="J183" s="5"/>
      <c r="K183" s="5"/>
      <c r="L183" s="5"/>
      <c r="M183" s="5"/>
      <c r="N183" s="9" t="s">
        <v>11850</v>
      </c>
      <c r="O183" s="9"/>
      <c r="P183" s="5"/>
      <c r="Q183" s="9" t="s">
        <v>11851</v>
      </c>
      <c r="R183" s="9"/>
      <c r="S183" s="9" t="str">
        <f>HYPERLINK("https://seichotoushi-hojo.jp/assets/pdf/koufu/outline_14.pdf","PDFを開く")</f>
        <v>PDFを開く</v>
      </c>
      <c r="T183" s="9" t="s">
        <v>474</v>
      </c>
      <c r="U183" s="9" t="s">
        <v>475</v>
      </c>
    </row>
    <row r="184" spans="1:21" ht="39.950000000000003" customHeight="1">
      <c r="A184" s="2" t="s">
        <v>467</v>
      </c>
      <c r="B184" s="2" t="s">
        <v>73</v>
      </c>
      <c r="C184" s="8" t="s">
        <v>468</v>
      </c>
      <c r="D184" s="8" t="s">
        <v>3191</v>
      </c>
      <c r="E184" s="8" t="s">
        <v>92</v>
      </c>
      <c r="F184" s="2">
        <v>2026</v>
      </c>
      <c r="G184" s="2">
        <v>342</v>
      </c>
      <c r="H184" s="2">
        <v>2029</v>
      </c>
      <c r="I184" s="2">
        <v>357</v>
      </c>
      <c r="J184" s="2" t="s">
        <v>2513</v>
      </c>
      <c r="K184" s="2"/>
      <c r="L184" s="2"/>
      <c r="M184" s="2"/>
      <c r="N184" s="8" t="s">
        <v>11846</v>
      </c>
      <c r="O184" s="8" t="s">
        <v>11847</v>
      </c>
      <c r="P184" s="2">
        <v>2</v>
      </c>
      <c r="Q184" s="8"/>
      <c r="R184" s="8" t="s">
        <v>3744</v>
      </c>
      <c r="S184" s="8" t="str">
        <f>HYPERLINK("https://seichotoushi-hojo.jp/assets/pdf/koufu/outline_14.pdf","PDFを開く")</f>
        <v>PDFを開く</v>
      </c>
      <c r="T184" s="8" t="s">
        <v>474</v>
      </c>
      <c r="U184" s="8" t="s">
        <v>475</v>
      </c>
    </row>
    <row r="185" spans="1:21" ht="39.950000000000003" customHeight="1">
      <c r="A185" s="5" t="s">
        <v>476</v>
      </c>
      <c r="B185" s="5" t="s">
        <v>73</v>
      </c>
      <c r="C185" s="9" t="s">
        <v>477</v>
      </c>
      <c r="D185" s="9" t="s">
        <v>3176</v>
      </c>
      <c r="E185" s="9" t="s">
        <v>90</v>
      </c>
      <c r="F185" s="5">
        <v>2026</v>
      </c>
      <c r="G185" s="5">
        <v>701</v>
      </c>
      <c r="H185" s="5">
        <v>2029</v>
      </c>
      <c r="I185" s="5">
        <v>1611</v>
      </c>
      <c r="J185" s="5" t="s">
        <v>86</v>
      </c>
      <c r="K185" s="5">
        <v>32</v>
      </c>
      <c r="L185" s="5">
        <v>31.9651</v>
      </c>
      <c r="M185" s="5">
        <v>3.49E-2</v>
      </c>
      <c r="N185" s="9" t="s">
        <v>11846</v>
      </c>
      <c r="O185" s="9" t="s">
        <v>11847</v>
      </c>
      <c r="P185" s="5">
        <v>3</v>
      </c>
      <c r="Q185" s="9"/>
      <c r="R185" s="9" t="s">
        <v>3747</v>
      </c>
      <c r="S185" s="9" t="str">
        <f>HYPERLINK("https://seichotoushi-hojo.jp/assets/pdf/koufu/outline_140.pdf","PDFを開く")</f>
        <v>PDFを開く</v>
      </c>
      <c r="T185" s="9" t="s">
        <v>483</v>
      </c>
      <c r="U185" s="9" t="s">
        <v>484</v>
      </c>
    </row>
    <row r="186" spans="1:21" ht="39.950000000000003" customHeight="1">
      <c r="A186" s="2" t="s">
        <v>476</v>
      </c>
      <c r="B186" s="2" t="s">
        <v>73</v>
      </c>
      <c r="C186" s="8" t="s">
        <v>477</v>
      </c>
      <c r="D186" s="8" t="s">
        <v>3184</v>
      </c>
      <c r="E186" s="8" t="s">
        <v>90</v>
      </c>
      <c r="F186" s="2">
        <v>2026</v>
      </c>
      <c r="G186" s="2">
        <v>467</v>
      </c>
      <c r="H186" s="2">
        <v>2029</v>
      </c>
      <c r="I186" s="2">
        <v>541</v>
      </c>
      <c r="J186" s="2" t="s">
        <v>86</v>
      </c>
      <c r="K186" s="2">
        <v>5</v>
      </c>
      <c r="L186" s="2">
        <v>5.0251999999999999</v>
      </c>
      <c r="M186" s="2">
        <v>2.52E-2</v>
      </c>
      <c r="N186" s="8" t="s">
        <v>11846</v>
      </c>
      <c r="O186" s="8" t="s">
        <v>11847</v>
      </c>
      <c r="P186" s="2">
        <v>3</v>
      </c>
      <c r="Q186" s="8"/>
      <c r="R186" s="8" t="s">
        <v>3750</v>
      </c>
      <c r="S186" s="8" t="str">
        <f>HYPERLINK("https://seichotoushi-hojo.jp/assets/pdf/koufu/outline_140.pdf","PDFを開く")</f>
        <v>PDFを開く</v>
      </c>
      <c r="T186" s="8" t="s">
        <v>483</v>
      </c>
      <c r="U186" s="8" t="s">
        <v>484</v>
      </c>
    </row>
    <row r="187" spans="1:21" ht="39.950000000000003" customHeight="1">
      <c r="A187" s="5" t="s">
        <v>476</v>
      </c>
      <c r="B187" s="5" t="s">
        <v>73</v>
      </c>
      <c r="C187" s="9" t="s">
        <v>477</v>
      </c>
      <c r="D187" s="9" t="s">
        <v>3188</v>
      </c>
      <c r="E187" s="9" t="s">
        <v>90</v>
      </c>
      <c r="F187" s="5">
        <v>2026</v>
      </c>
      <c r="G187" s="5">
        <v>1169</v>
      </c>
      <c r="H187" s="5">
        <v>2029</v>
      </c>
      <c r="I187" s="5">
        <v>1354</v>
      </c>
      <c r="J187" s="5" t="s">
        <v>86</v>
      </c>
      <c r="K187" s="5">
        <v>5</v>
      </c>
      <c r="L187" s="5">
        <v>5.0190000000000001</v>
      </c>
      <c r="M187" s="5">
        <v>1.9E-2</v>
      </c>
      <c r="N187" s="9" t="s">
        <v>11846</v>
      </c>
      <c r="O187" s="9" t="s">
        <v>11847</v>
      </c>
      <c r="P187" s="5">
        <v>3</v>
      </c>
      <c r="Q187" s="9"/>
      <c r="R187" s="9" t="s">
        <v>3751</v>
      </c>
      <c r="S187" s="9" t="str">
        <f>HYPERLINK("https://seichotoushi-hojo.jp/assets/pdf/koufu/outline_140.pdf","PDFを開く")</f>
        <v>PDFを開く</v>
      </c>
      <c r="T187" s="9" t="s">
        <v>483</v>
      </c>
      <c r="U187" s="9" t="s">
        <v>484</v>
      </c>
    </row>
    <row r="188" spans="1:21" ht="39.950000000000003" customHeight="1">
      <c r="A188" s="2" t="s">
        <v>476</v>
      </c>
      <c r="B188" s="2" t="s">
        <v>73</v>
      </c>
      <c r="C188" s="8" t="s">
        <v>477</v>
      </c>
      <c r="D188" s="8" t="s">
        <v>3191</v>
      </c>
      <c r="E188" s="8" t="s">
        <v>92</v>
      </c>
      <c r="F188" s="2">
        <v>2026</v>
      </c>
      <c r="G188" s="2">
        <v>128</v>
      </c>
      <c r="H188" s="2">
        <v>2029</v>
      </c>
      <c r="I188" s="2">
        <v>166</v>
      </c>
      <c r="J188" s="2" t="s">
        <v>2513</v>
      </c>
      <c r="K188" s="2"/>
      <c r="L188" s="2"/>
      <c r="M188" s="2"/>
      <c r="N188" s="8" t="s">
        <v>11846</v>
      </c>
      <c r="O188" s="8" t="s">
        <v>11847</v>
      </c>
      <c r="P188" s="2">
        <v>3</v>
      </c>
      <c r="Q188" s="8"/>
      <c r="R188" s="8" t="s">
        <v>3753</v>
      </c>
      <c r="S188" s="8" t="str">
        <f>HYPERLINK("https://seichotoushi-hojo.jp/assets/pdf/koufu/outline_140.pdf","PDFを開く")</f>
        <v>PDFを開く</v>
      </c>
      <c r="T188" s="8" t="s">
        <v>483</v>
      </c>
      <c r="U188" s="8" t="s">
        <v>484</v>
      </c>
    </row>
    <row r="189" spans="1:21" ht="39.950000000000003" customHeight="1">
      <c r="A189" s="5" t="s">
        <v>485</v>
      </c>
      <c r="B189" s="5" t="s">
        <v>73</v>
      </c>
      <c r="C189" s="9" t="s">
        <v>486</v>
      </c>
      <c r="D189" s="9" t="s">
        <v>3176</v>
      </c>
      <c r="E189" s="9" t="s">
        <v>90</v>
      </c>
      <c r="F189" s="5">
        <v>2026</v>
      </c>
      <c r="G189" s="5">
        <v>679</v>
      </c>
      <c r="H189" s="5">
        <v>2029</v>
      </c>
      <c r="I189" s="5">
        <v>1750</v>
      </c>
      <c r="J189" s="5" t="s">
        <v>86</v>
      </c>
      <c r="K189" s="5">
        <v>37.1</v>
      </c>
      <c r="L189" s="5">
        <v>37.105899999999998</v>
      </c>
      <c r="M189" s="5">
        <v>5.8999999999999999E-3</v>
      </c>
      <c r="N189" s="9" t="s">
        <v>11846</v>
      </c>
      <c r="O189" s="9" t="s">
        <v>11847</v>
      </c>
      <c r="P189" s="5">
        <v>2</v>
      </c>
      <c r="Q189" s="9"/>
      <c r="R189" s="9" t="s">
        <v>3757</v>
      </c>
      <c r="S189" s="9" t="str">
        <f>HYPERLINK("https://seichotoushi-hojo.jp/assets/pdf/koufu/outline_141.pdf","PDFを開く")</f>
        <v>PDFを開く</v>
      </c>
      <c r="T189" s="9" t="s">
        <v>493</v>
      </c>
      <c r="U189" s="9" t="s">
        <v>494</v>
      </c>
    </row>
    <row r="190" spans="1:21" ht="39.950000000000003" customHeight="1">
      <c r="A190" s="2" t="s">
        <v>485</v>
      </c>
      <c r="B190" s="2" t="s">
        <v>73</v>
      </c>
      <c r="C190" s="8" t="s">
        <v>486</v>
      </c>
      <c r="D190" s="8" t="s">
        <v>3184</v>
      </c>
      <c r="E190" s="8" t="s">
        <v>90</v>
      </c>
      <c r="F190" s="2">
        <v>2026</v>
      </c>
      <c r="G190" s="2">
        <v>356</v>
      </c>
      <c r="H190" s="2">
        <v>2029</v>
      </c>
      <c r="I190" s="2">
        <v>410</v>
      </c>
      <c r="J190" s="2" t="s">
        <v>86</v>
      </c>
      <c r="K190" s="2">
        <v>4.8</v>
      </c>
      <c r="L190" s="2">
        <v>4.8201000000000001</v>
      </c>
      <c r="M190" s="2">
        <v>2.01E-2</v>
      </c>
      <c r="N190" s="8" t="s">
        <v>11846</v>
      </c>
      <c r="O190" s="8" t="s">
        <v>11847</v>
      </c>
      <c r="P190" s="2">
        <v>2</v>
      </c>
      <c r="Q190" s="8"/>
      <c r="R190" s="8" t="s">
        <v>3760</v>
      </c>
      <c r="S190" s="8" t="str">
        <f>HYPERLINK("https://seichotoushi-hojo.jp/assets/pdf/koufu/outline_141.pdf","PDFを開く")</f>
        <v>PDFを開く</v>
      </c>
      <c r="T190" s="8" t="s">
        <v>493</v>
      </c>
      <c r="U190" s="8" t="s">
        <v>494</v>
      </c>
    </row>
    <row r="191" spans="1:21" ht="39.950000000000003" customHeight="1">
      <c r="A191" s="5" t="s">
        <v>485</v>
      </c>
      <c r="B191" s="5" t="s">
        <v>73</v>
      </c>
      <c r="C191" s="9" t="s">
        <v>486</v>
      </c>
      <c r="D191" s="9" t="s">
        <v>3188</v>
      </c>
      <c r="E191" s="9" t="s">
        <v>156</v>
      </c>
      <c r="F191" s="5"/>
      <c r="G191" s="5"/>
      <c r="H191" s="5"/>
      <c r="I191" s="5"/>
      <c r="J191" s="5"/>
      <c r="K191" s="5"/>
      <c r="L191" s="5"/>
      <c r="M191" s="5"/>
      <c r="N191" s="9" t="s">
        <v>11850</v>
      </c>
      <c r="O191" s="9"/>
      <c r="P191" s="5"/>
      <c r="Q191" s="9" t="s">
        <v>11851</v>
      </c>
      <c r="R191" s="9"/>
      <c r="S191" s="9" t="str">
        <f>HYPERLINK("https://seichotoushi-hojo.jp/assets/pdf/koufu/outline_141.pdf","PDFを開く")</f>
        <v>PDFを開く</v>
      </c>
      <c r="T191" s="9" t="s">
        <v>493</v>
      </c>
      <c r="U191" s="9" t="s">
        <v>494</v>
      </c>
    </row>
    <row r="192" spans="1:21" ht="39.950000000000003" customHeight="1">
      <c r="A192" s="2" t="s">
        <v>485</v>
      </c>
      <c r="B192" s="2" t="s">
        <v>73</v>
      </c>
      <c r="C192" s="8" t="s">
        <v>486</v>
      </c>
      <c r="D192" s="8" t="s">
        <v>3191</v>
      </c>
      <c r="E192" s="8" t="s">
        <v>92</v>
      </c>
      <c r="F192" s="2">
        <v>2026</v>
      </c>
      <c r="G192" s="2">
        <v>112</v>
      </c>
      <c r="H192" s="2">
        <v>2029</v>
      </c>
      <c r="I192" s="2">
        <v>270</v>
      </c>
      <c r="J192" s="2" t="s">
        <v>2513</v>
      </c>
      <c r="K192" s="2"/>
      <c r="L192" s="2"/>
      <c r="M192" s="2"/>
      <c r="N192" s="8" t="s">
        <v>11846</v>
      </c>
      <c r="O192" s="8" t="s">
        <v>11847</v>
      </c>
      <c r="P192" s="2">
        <v>2</v>
      </c>
      <c r="Q192" s="8"/>
      <c r="R192" s="8" t="s">
        <v>3761</v>
      </c>
      <c r="S192" s="8" t="str">
        <f>HYPERLINK("https://seichotoushi-hojo.jp/assets/pdf/koufu/outline_141.pdf","PDFを開く")</f>
        <v>PDFを開く</v>
      </c>
      <c r="T192" s="8" t="s">
        <v>493</v>
      </c>
      <c r="U192" s="8" t="s">
        <v>494</v>
      </c>
    </row>
    <row r="193" spans="1:21" ht="39.950000000000003" customHeight="1">
      <c r="A193" s="5" t="s">
        <v>495</v>
      </c>
      <c r="B193" s="5" t="s">
        <v>73</v>
      </c>
      <c r="C193" s="9" t="s">
        <v>496</v>
      </c>
      <c r="D193" s="9" t="s">
        <v>3176</v>
      </c>
      <c r="E193" s="9" t="s">
        <v>92</v>
      </c>
      <c r="F193" s="5">
        <v>2025</v>
      </c>
      <c r="G193" s="5">
        <v>431</v>
      </c>
      <c r="H193" s="5">
        <v>2028</v>
      </c>
      <c r="I193" s="5">
        <v>741</v>
      </c>
      <c r="J193" s="5" t="s">
        <v>86</v>
      </c>
      <c r="K193" s="5"/>
      <c r="L193" s="5">
        <v>19.7973</v>
      </c>
      <c r="M193" s="5"/>
      <c r="N193" s="9" t="s">
        <v>11846</v>
      </c>
      <c r="O193" s="9" t="s">
        <v>11847</v>
      </c>
      <c r="P193" s="5">
        <v>2</v>
      </c>
      <c r="Q193" s="9"/>
      <c r="R193" s="9" t="s">
        <v>3762</v>
      </c>
      <c r="S193" s="9" t="str">
        <f>HYPERLINK("https://seichotoushi-hojo.jp/assets/pdf/koufu/outline_143.pdf","PDFを開く")</f>
        <v>PDFを開く</v>
      </c>
      <c r="T193" s="9" t="s">
        <v>502</v>
      </c>
      <c r="U193" s="9" t="s">
        <v>503</v>
      </c>
    </row>
    <row r="194" spans="1:21" ht="39.950000000000003" customHeight="1">
      <c r="A194" s="2" t="s">
        <v>495</v>
      </c>
      <c r="B194" s="2" t="s">
        <v>73</v>
      </c>
      <c r="C194" s="8" t="s">
        <v>496</v>
      </c>
      <c r="D194" s="8" t="s">
        <v>3184</v>
      </c>
      <c r="E194" s="8" t="s">
        <v>92</v>
      </c>
      <c r="F194" s="2">
        <v>2025</v>
      </c>
      <c r="G194" s="2">
        <v>242</v>
      </c>
      <c r="H194" s="2">
        <v>2028</v>
      </c>
      <c r="I194" s="2">
        <v>280</v>
      </c>
      <c r="J194" s="2" t="s">
        <v>86</v>
      </c>
      <c r="K194" s="2"/>
      <c r="L194" s="2">
        <v>4.9819000000000004</v>
      </c>
      <c r="M194" s="2"/>
      <c r="N194" s="8" t="s">
        <v>11846</v>
      </c>
      <c r="O194" s="8" t="s">
        <v>11847</v>
      </c>
      <c r="P194" s="2">
        <v>2</v>
      </c>
      <c r="Q194" s="8"/>
      <c r="R194" s="8" t="s">
        <v>3764</v>
      </c>
      <c r="S194" s="8" t="str">
        <f>HYPERLINK("https://seichotoushi-hojo.jp/assets/pdf/koufu/outline_143.pdf","PDFを開く")</f>
        <v>PDFを開く</v>
      </c>
      <c r="T194" s="8" t="s">
        <v>502</v>
      </c>
      <c r="U194" s="8" t="s">
        <v>503</v>
      </c>
    </row>
    <row r="195" spans="1:21" ht="39.950000000000003" customHeight="1">
      <c r="A195" s="5" t="s">
        <v>495</v>
      </c>
      <c r="B195" s="5" t="s">
        <v>73</v>
      </c>
      <c r="C195" s="9" t="s">
        <v>496</v>
      </c>
      <c r="D195" s="9" t="s">
        <v>3188</v>
      </c>
      <c r="E195" s="9" t="s">
        <v>157</v>
      </c>
      <c r="F195" s="5"/>
      <c r="G195" s="5"/>
      <c r="H195" s="5"/>
      <c r="I195" s="5"/>
      <c r="J195" s="5"/>
      <c r="K195" s="5"/>
      <c r="L195" s="5"/>
      <c r="M195" s="5"/>
      <c r="N195" s="9" t="s">
        <v>11850</v>
      </c>
      <c r="O195" s="9"/>
      <c r="P195" s="5"/>
      <c r="Q195" s="9" t="s">
        <v>11851</v>
      </c>
      <c r="R195" s="9"/>
      <c r="S195" s="9" t="str">
        <f>HYPERLINK("https://seichotoushi-hojo.jp/assets/pdf/koufu/outline_143.pdf","PDFを開く")</f>
        <v>PDFを開く</v>
      </c>
      <c r="T195" s="9" t="s">
        <v>502</v>
      </c>
      <c r="U195" s="9" t="s">
        <v>503</v>
      </c>
    </row>
    <row r="196" spans="1:21" ht="39.950000000000003" customHeight="1">
      <c r="A196" s="2" t="s">
        <v>495</v>
      </c>
      <c r="B196" s="2" t="s">
        <v>73</v>
      </c>
      <c r="C196" s="8" t="s">
        <v>496</v>
      </c>
      <c r="D196" s="8" t="s">
        <v>3191</v>
      </c>
      <c r="E196" s="8" t="s">
        <v>92</v>
      </c>
      <c r="F196" s="2">
        <v>2025</v>
      </c>
      <c r="G196" s="2">
        <v>572</v>
      </c>
      <c r="H196" s="2">
        <v>2028</v>
      </c>
      <c r="I196" s="2">
        <v>627</v>
      </c>
      <c r="J196" s="2" t="s">
        <v>2513</v>
      </c>
      <c r="K196" s="2"/>
      <c r="L196" s="2"/>
      <c r="M196" s="2"/>
      <c r="N196" s="8" t="s">
        <v>11846</v>
      </c>
      <c r="O196" s="8" t="s">
        <v>11847</v>
      </c>
      <c r="P196" s="2">
        <v>2</v>
      </c>
      <c r="Q196" s="8"/>
      <c r="R196" s="8" t="s">
        <v>3766</v>
      </c>
      <c r="S196" s="8" t="str">
        <f>HYPERLINK("https://seichotoushi-hojo.jp/assets/pdf/koufu/outline_143.pdf","PDFを開く")</f>
        <v>PDFを開く</v>
      </c>
      <c r="T196" s="8" t="s">
        <v>502</v>
      </c>
      <c r="U196" s="8" t="s">
        <v>503</v>
      </c>
    </row>
    <row r="197" spans="1:21" ht="39.950000000000003" customHeight="1">
      <c r="A197" s="5" t="s">
        <v>504</v>
      </c>
      <c r="B197" s="5" t="s">
        <v>73</v>
      </c>
      <c r="C197" s="9" t="s">
        <v>505</v>
      </c>
      <c r="D197" s="9" t="s">
        <v>3176</v>
      </c>
      <c r="E197" s="9" t="s">
        <v>90</v>
      </c>
      <c r="F197" s="5">
        <v>2026</v>
      </c>
      <c r="G197" s="5">
        <v>725</v>
      </c>
      <c r="H197" s="5">
        <v>2029</v>
      </c>
      <c r="I197" s="5">
        <v>1639</v>
      </c>
      <c r="J197" s="5" t="s">
        <v>86</v>
      </c>
      <c r="K197" s="5">
        <v>31.2</v>
      </c>
      <c r="L197" s="5">
        <v>31.244299999999999</v>
      </c>
      <c r="M197" s="5">
        <v>4.4299999999999999E-2</v>
      </c>
      <c r="N197" s="9" t="s">
        <v>11846</v>
      </c>
      <c r="O197" s="9" t="s">
        <v>11847</v>
      </c>
      <c r="P197" s="5">
        <v>2</v>
      </c>
      <c r="Q197" s="9"/>
      <c r="R197" s="9" t="s">
        <v>3788</v>
      </c>
      <c r="S197" s="9" t="str">
        <f>HYPERLINK("https://seichotoushi-hojo.jp/assets/pdf/koufu/outline_145.pdf","PDFを開く")</f>
        <v>PDFを開く</v>
      </c>
      <c r="T197" s="9" t="s">
        <v>511</v>
      </c>
      <c r="U197" s="9" t="s">
        <v>512</v>
      </c>
    </row>
    <row r="198" spans="1:21" ht="39.950000000000003" customHeight="1">
      <c r="A198" s="2" t="s">
        <v>504</v>
      </c>
      <c r="B198" s="2" t="s">
        <v>73</v>
      </c>
      <c r="C198" s="8" t="s">
        <v>505</v>
      </c>
      <c r="D198" s="8" t="s">
        <v>3184</v>
      </c>
      <c r="E198" s="8" t="s">
        <v>90</v>
      </c>
      <c r="F198" s="2">
        <v>2026</v>
      </c>
      <c r="G198" s="2">
        <v>495</v>
      </c>
      <c r="H198" s="2">
        <v>2029</v>
      </c>
      <c r="I198" s="2">
        <v>566</v>
      </c>
      <c r="J198" s="2" t="s">
        <v>86</v>
      </c>
      <c r="K198" s="2">
        <v>4.5999999999999996</v>
      </c>
      <c r="L198" s="2">
        <v>4.5692000000000004</v>
      </c>
      <c r="M198" s="2">
        <v>3.0800000000000001E-2</v>
      </c>
      <c r="N198" s="8" t="s">
        <v>11846</v>
      </c>
      <c r="O198" s="8" t="s">
        <v>11847</v>
      </c>
      <c r="P198" s="2">
        <v>2</v>
      </c>
      <c r="Q198" s="8"/>
      <c r="R198" s="8" t="s">
        <v>3790</v>
      </c>
      <c r="S198" s="8" t="str">
        <f>HYPERLINK("https://seichotoushi-hojo.jp/assets/pdf/koufu/outline_145.pdf","PDFを開く")</f>
        <v>PDFを開く</v>
      </c>
      <c r="T198" s="8" t="s">
        <v>511</v>
      </c>
      <c r="U198" s="8" t="s">
        <v>512</v>
      </c>
    </row>
    <row r="199" spans="1:21" ht="39.950000000000003" customHeight="1">
      <c r="A199" s="5" t="s">
        <v>504</v>
      </c>
      <c r="B199" s="5" t="s">
        <v>73</v>
      </c>
      <c r="C199" s="9" t="s">
        <v>505</v>
      </c>
      <c r="D199" s="9" t="s">
        <v>3188</v>
      </c>
      <c r="E199" s="9" t="s">
        <v>157</v>
      </c>
      <c r="F199" s="5"/>
      <c r="G199" s="5"/>
      <c r="H199" s="5"/>
      <c r="I199" s="5"/>
      <c r="J199" s="5"/>
      <c r="K199" s="5"/>
      <c r="L199" s="5"/>
      <c r="M199" s="5"/>
      <c r="N199" s="9" t="s">
        <v>11850</v>
      </c>
      <c r="O199" s="9"/>
      <c r="P199" s="5"/>
      <c r="Q199" s="9" t="s">
        <v>11851</v>
      </c>
      <c r="R199" s="9"/>
      <c r="S199" s="9" t="str">
        <f>HYPERLINK("https://seichotoushi-hojo.jp/assets/pdf/koufu/outline_145.pdf","PDFを開く")</f>
        <v>PDFを開く</v>
      </c>
      <c r="T199" s="9" t="s">
        <v>511</v>
      </c>
      <c r="U199" s="9" t="s">
        <v>512</v>
      </c>
    </row>
    <row r="200" spans="1:21" ht="39.950000000000003" customHeight="1">
      <c r="A200" s="2" t="s">
        <v>504</v>
      </c>
      <c r="B200" s="2" t="s">
        <v>73</v>
      </c>
      <c r="C200" s="8" t="s">
        <v>505</v>
      </c>
      <c r="D200" s="8" t="s">
        <v>3191</v>
      </c>
      <c r="E200" s="8" t="s">
        <v>92</v>
      </c>
      <c r="F200" s="2">
        <v>2026</v>
      </c>
      <c r="G200" s="2">
        <v>99</v>
      </c>
      <c r="H200" s="2">
        <v>2029</v>
      </c>
      <c r="I200" s="2">
        <v>157</v>
      </c>
      <c r="J200" s="2" t="s">
        <v>2513</v>
      </c>
      <c r="K200" s="2"/>
      <c r="L200" s="2"/>
      <c r="M200" s="2"/>
      <c r="N200" s="8" t="s">
        <v>11846</v>
      </c>
      <c r="O200" s="8" t="s">
        <v>11847</v>
      </c>
      <c r="P200" s="2">
        <v>2</v>
      </c>
      <c r="Q200" s="8"/>
      <c r="R200" s="8" t="s">
        <v>3793</v>
      </c>
      <c r="S200" s="8" t="str">
        <f>HYPERLINK("https://seichotoushi-hojo.jp/assets/pdf/koufu/outline_145.pdf","PDFを開く")</f>
        <v>PDFを開く</v>
      </c>
      <c r="T200" s="8" t="s">
        <v>511</v>
      </c>
      <c r="U200" s="8" t="s">
        <v>512</v>
      </c>
    </row>
    <row r="201" spans="1:21" ht="39.950000000000003" customHeight="1">
      <c r="A201" s="5" t="s">
        <v>513</v>
      </c>
      <c r="B201" s="5" t="s">
        <v>73</v>
      </c>
      <c r="C201" s="9" t="s">
        <v>514</v>
      </c>
      <c r="D201" s="9" t="s">
        <v>3176</v>
      </c>
      <c r="E201" s="9" t="s">
        <v>90</v>
      </c>
      <c r="F201" s="5">
        <v>2026</v>
      </c>
      <c r="G201" s="5">
        <v>812</v>
      </c>
      <c r="H201" s="5">
        <v>2029</v>
      </c>
      <c r="I201" s="5">
        <v>1196</v>
      </c>
      <c r="J201" s="5" t="s">
        <v>86</v>
      </c>
      <c r="K201" s="5">
        <v>14</v>
      </c>
      <c r="L201" s="5">
        <v>13.778</v>
      </c>
      <c r="M201" s="5">
        <v>0.222</v>
      </c>
      <c r="N201" s="9" t="s">
        <v>11846</v>
      </c>
      <c r="O201" s="9" t="s">
        <v>11847</v>
      </c>
      <c r="P201" s="5">
        <v>2</v>
      </c>
      <c r="Q201" s="9"/>
      <c r="R201" s="9" t="s">
        <v>3796</v>
      </c>
      <c r="S201" s="9" t="str">
        <f>HYPERLINK("https://seichotoushi-hojo.jp/assets/pdf/koufu/outline_146.pdf","PDFを開く")</f>
        <v>PDFを開く</v>
      </c>
      <c r="T201" s="9" t="s">
        <v>519</v>
      </c>
      <c r="U201" s="9" t="s">
        <v>520</v>
      </c>
    </row>
    <row r="202" spans="1:21" ht="39.950000000000003" customHeight="1">
      <c r="A202" s="2" t="s">
        <v>513</v>
      </c>
      <c r="B202" s="2" t="s">
        <v>73</v>
      </c>
      <c r="C202" s="8" t="s">
        <v>514</v>
      </c>
      <c r="D202" s="8" t="s">
        <v>3184</v>
      </c>
      <c r="E202" s="8" t="s">
        <v>90</v>
      </c>
      <c r="F202" s="2">
        <v>2026</v>
      </c>
      <c r="G202" s="2">
        <v>490</v>
      </c>
      <c r="H202" s="2">
        <v>2029</v>
      </c>
      <c r="I202" s="2">
        <v>535</v>
      </c>
      <c r="J202" s="2" t="s">
        <v>86</v>
      </c>
      <c r="K202" s="2">
        <v>3</v>
      </c>
      <c r="L202" s="2">
        <v>2.972</v>
      </c>
      <c r="M202" s="2">
        <v>2.8000000000000001E-2</v>
      </c>
      <c r="N202" s="8" t="s">
        <v>11846</v>
      </c>
      <c r="O202" s="8" t="s">
        <v>11847</v>
      </c>
      <c r="P202" s="2">
        <v>2</v>
      </c>
      <c r="Q202" s="8"/>
      <c r="R202" s="8" t="s">
        <v>3798</v>
      </c>
      <c r="S202" s="8" t="str">
        <f>HYPERLINK("https://seichotoushi-hojo.jp/assets/pdf/koufu/outline_146.pdf","PDFを開く")</f>
        <v>PDFを開く</v>
      </c>
      <c r="T202" s="8" t="s">
        <v>519</v>
      </c>
      <c r="U202" s="8" t="s">
        <v>520</v>
      </c>
    </row>
    <row r="203" spans="1:21" ht="39.950000000000003" customHeight="1">
      <c r="A203" s="5" t="s">
        <v>513</v>
      </c>
      <c r="B203" s="5" t="s">
        <v>73</v>
      </c>
      <c r="C203" s="9" t="s">
        <v>514</v>
      </c>
      <c r="D203" s="9" t="s">
        <v>3188</v>
      </c>
      <c r="E203" s="9" t="s">
        <v>157</v>
      </c>
      <c r="F203" s="5"/>
      <c r="G203" s="5"/>
      <c r="H203" s="5"/>
      <c r="I203" s="5"/>
      <c r="J203" s="5"/>
      <c r="K203" s="5"/>
      <c r="L203" s="5"/>
      <c r="M203" s="5"/>
      <c r="N203" s="9" t="s">
        <v>11850</v>
      </c>
      <c r="O203" s="9"/>
      <c r="P203" s="5"/>
      <c r="Q203" s="9" t="s">
        <v>11851</v>
      </c>
      <c r="R203" s="9"/>
      <c r="S203" s="9" t="str">
        <f>HYPERLINK("https://seichotoushi-hojo.jp/assets/pdf/koufu/outline_146.pdf","PDFを開く")</f>
        <v>PDFを開く</v>
      </c>
      <c r="T203" s="9" t="s">
        <v>519</v>
      </c>
      <c r="U203" s="9" t="s">
        <v>520</v>
      </c>
    </row>
    <row r="204" spans="1:21" ht="39.950000000000003" customHeight="1">
      <c r="A204" s="2" t="s">
        <v>513</v>
      </c>
      <c r="B204" s="2" t="s">
        <v>73</v>
      </c>
      <c r="C204" s="8" t="s">
        <v>514</v>
      </c>
      <c r="D204" s="8" t="s">
        <v>3191</v>
      </c>
      <c r="E204" s="8" t="s">
        <v>92</v>
      </c>
      <c r="F204" s="2">
        <v>2026</v>
      </c>
      <c r="G204" s="2">
        <v>732</v>
      </c>
      <c r="H204" s="2">
        <v>2029</v>
      </c>
      <c r="I204" s="2">
        <v>795</v>
      </c>
      <c r="J204" s="2" t="s">
        <v>2513</v>
      </c>
      <c r="K204" s="2"/>
      <c r="L204" s="2"/>
      <c r="M204" s="2"/>
      <c r="N204" s="8" t="s">
        <v>11846</v>
      </c>
      <c r="O204" s="8" t="s">
        <v>11847</v>
      </c>
      <c r="P204" s="2">
        <v>2</v>
      </c>
      <c r="Q204" s="8"/>
      <c r="R204" s="8" t="s">
        <v>3801</v>
      </c>
      <c r="S204" s="8" t="str">
        <f>HYPERLINK("https://seichotoushi-hojo.jp/assets/pdf/koufu/outline_146.pdf","PDFを開く")</f>
        <v>PDFを開く</v>
      </c>
      <c r="T204" s="8" t="s">
        <v>519</v>
      </c>
      <c r="U204" s="8" t="s">
        <v>520</v>
      </c>
    </row>
    <row r="205" spans="1:21" ht="39.950000000000003" customHeight="1">
      <c r="A205" s="5" t="s">
        <v>521</v>
      </c>
      <c r="B205" s="5" t="s">
        <v>73</v>
      </c>
      <c r="C205" s="9" t="s">
        <v>522</v>
      </c>
      <c r="D205" s="9" t="s">
        <v>3176</v>
      </c>
      <c r="E205" s="9" t="s">
        <v>90</v>
      </c>
      <c r="F205" s="5">
        <v>2026</v>
      </c>
      <c r="G205" s="5">
        <v>1008</v>
      </c>
      <c r="H205" s="5">
        <v>2029</v>
      </c>
      <c r="I205" s="5">
        <v>1556</v>
      </c>
      <c r="J205" s="5" t="s">
        <v>86</v>
      </c>
      <c r="K205" s="5">
        <v>15.6</v>
      </c>
      <c r="L205" s="5">
        <v>15.571199999999999</v>
      </c>
      <c r="M205" s="5">
        <v>2.8799999999999999E-2</v>
      </c>
      <c r="N205" s="9" t="s">
        <v>11846</v>
      </c>
      <c r="O205" s="9" t="s">
        <v>11847</v>
      </c>
      <c r="P205" s="5">
        <v>2</v>
      </c>
      <c r="Q205" s="9"/>
      <c r="R205" s="9" t="s">
        <v>3803</v>
      </c>
      <c r="S205" s="9" t="str">
        <f>HYPERLINK("https://seichotoushi-hojo.jp/assets/pdf/koufu/outline_147.pdf","PDFを開く")</f>
        <v>PDFを開く</v>
      </c>
      <c r="T205" s="9" t="s">
        <v>528</v>
      </c>
      <c r="U205" s="9" t="s">
        <v>529</v>
      </c>
    </row>
    <row r="206" spans="1:21" ht="39.950000000000003" customHeight="1">
      <c r="A206" s="2" t="s">
        <v>521</v>
      </c>
      <c r="B206" s="2" t="s">
        <v>73</v>
      </c>
      <c r="C206" s="8" t="s">
        <v>522</v>
      </c>
      <c r="D206" s="8" t="s">
        <v>3184</v>
      </c>
      <c r="E206" s="8" t="s">
        <v>90</v>
      </c>
      <c r="F206" s="2">
        <v>2026</v>
      </c>
      <c r="G206" s="2">
        <v>286</v>
      </c>
      <c r="H206" s="2">
        <v>2029</v>
      </c>
      <c r="I206" s="2">
        <v>331</v>
      </c>
      <c r="J206" s="2" t="s">
        <v>86</v>
      </c>
      <c r="K206" s="2">
        <v>5</v>
      </c>
      <c r="L206" s="2">
        <v>4.9915000000000003</v>
      </c>
      <c r="M206" s="2">
        <v>8.5000000000000006E-3</v>
      </c>
      <c r="N206" s="8" t="s">
        <v>11846</v>
      </c>
      <c r="O206" s="8" t="s">
        <v>11847</v>
      </c>
      <c r="P206" s="2">
        <v>2</v>
      </c>
      <c r="Q206" s="8"/>
      <c r="R206" s="8" t="s">
        <v>3806</v>
      </c>
      <c r="S206" s="8" t="str">
        <f>HYPERLINK("https://seichotoushi-hojo.jp/assets/pdf/koufu/outline_147.pdf","PDFを開く")</f>
        <v>PDFを開く</v>
      </c>
      <c r="T206" s="8" t="s">
        <v>528</v>
      </c>
      <c r="U206" s="8" t="s">
        <v>529</v>
      </c>
    </row>
    <row r="207" spans="1:21" ht="39.950000000000003" customHeight="1">
      <c r="A207" s="5" t="s">
        <v>521</v>
      </c>
      <c r="B207" s="5" t="s">
        <v>73</v>
      </c>
      <c r="C207" s="9" t="s">
        <v>522</v>
      </c>
      <c r="D207" s="9" t="s">
        <v>3188</v>
      </c>
      <c r="E207" s="9" t="s">
        <v>91</v>
      </c>
      <c r="F207" s="5">
        <v>2026</v>
      </c>
      <c r="G207" s="5"/>
      <c r="H207" s="5">
        <v>2029</v>
      </c>
      <c r="I207" s="5"/>
      <c r="J207" s="5" t="s">
        <v>86</v>
      </c>
      <c r="K207" s="5">
        <v>5</v>
      </c>
      <c r="L207" s="5"/>
      <c r="M207" s="5"/>
      <c r="N207" s="9" t="s">
        <v>11846</v>
      </c>
      <c r="O207" s="9" t="s">
        <v>11848</v>
      </c>
      <c r="P207" s="5">
        <v>2</v>
      </c>
      <c r="Q207" s="9"/>
      <c r="R207" s="9" t="s">
        <v>3812</v>
      </c>
      <c r="S207" s="9" t="str">
        <f>HYPERLINK("https://seichotoushi-hojo.jp/assets/pdf/koufu/outline_147.pdf","PDFを開く")</f>
        <v>PDFを開く</v>
      </c>
      <c r="T207" s="9" t="s">
        <v>528</v>
      </c>
      <c r="U207" s="9" t="s">
        <v>529</v>
      </c>
    </row>
    <row r="208" spans="1:21" ht="39.950000000000003" customHeight="1">
      <c r="A208" s="2" t="s">
        <v>521</v>
      </c>
      <c r="B208" s="2" t="s">
        <v>73</v>
      </c>
      <c r="C208" s="8" t="s">
        <v>522</v>
      </c>
      <c r="D208" s="8" t="s">
        <v>3191</v>
      </c>
      <c r="E208" s="8" t="s">
        <v>92</v>
      </c>
      <c r="F208" s="2">
        <v>2026</v>
      </c>
      <c r="G208" s="2">
        <v>48</v>
      </c>
      <c r="H208" s="2">
        <v>2029</v>
      </c>
      <c r="I208" s="2">
        <v>51</v>
      </c>
      <c r="J208" s="2" t="s">
        <v>2513</v>
      </c>
      <c r="K208" s="2"/>
      <c r="L208" s="2"/>
      <c r="M208" s="2"/>
      <c r="N208" s="8" t="s">
        <v>11846</v>
      </c>
      <c r="O208" s="8" t="s">
        <v>11847</v>
      </c>
      <c r="P208" s="2">
        <v>2</v>
      </c>
      <c r="Q208" s="8"/>
      <c r="R208" s="8" t="s">
        <v>3810</v>
      </c>
      <c r="S208" s="8" t="str">
        <f>HYPERLINK("https://seichotoushi-hojo.jp/assets/pdf/koufu/outline_147.pdf","PDFを開く")</f>
        <v>PDFを開く</v>
      </c>
      <c r="T208" s="8" t="s">
        <v>528</v>
      </c>
      <c r="U208" s="8" t="s">
        <v>529</v>
      </c>
    </row>
    <row r="209" spans="1:21" ht="39.950000000000003" customHeight="1">
      <c r="A209" s="5" t="s">
        <v>530</v>
      </c>
      <c r="B209" s="5" t="s">
        <v>73</v>
      </c>
      <c r="C209" s="9" t="s">
        <v>531</v>
      </c>
      <c r="D209" s="9" t="s">
        <v>3176</v>
      </c>
      <c r="E209" s="9" t="s">
        <v>90</v>
      </c>
      <c r="F209" s="5">
        <v>2025</v>
      </c>
      <c r="G209" s="5">
        <v>1166</v>
      </c>
      <c r="H209" s="5">
        <v>2028</v>
      </c>
      <c r="I209" s="5">
        <v>2043</v>
      </c>
      <c r="J209" s="5" t="s">
        <v>86</v>
      </c>
      <c r="K209" s="5">
        <v>20.5</v>
      </c>
      <c r="L209" s="5">
        <v>20.5563</v>
      </c>
      <c r="M209" s="5">
        <v>5.6300000000000003E-2</v>
      </c>
      <c r="N209" s="9" t="s">
        <v>11846</v>
      </c>
      <c r="O209" s="9" t="s">
        <v>11847</v>
      </c>
      <c r="P209" s="5">
        <v>2</v>
      </c>
      <c r="Q209" s="9"/>
      <c r="R209" s="9" t="s">
        <v>3816</v>
      </c>
      <c r="S209" s="9" t="str">
        <f>HYPERLINK("https://seichotoushi-hojo.jp/assets/pdf/koufu/outline_148.pdf","PDFを開く")</f>
        <v>PDFを開く</v>
      </c>
      <c r="T209" s="9" t="s">
        <v>537</v>
      </c>
      <c r="U209" s="9" t="s">
        <v>538</v>
      </c>
    </row>
    <row r="210" spans="1:21" ht="39.950000000000003" customHeight="1">
      <c r="A210" s="2" t="s">
        <v>530</v>
      </c>
      <c r="B210" s="2" t="s">
        <v>73</v>
      </c>
      <c r="C210" s="8" t="s">
        <v>531</v>
      </c>
      <c r="D210" s="8" t="s">
        <v>3184</v>
      </c>
      <c r="E210" s="8" t="s">
        <v>90</v>
      </c>
      <c r="F210" s="2">
        <v>2025</v>
      </c>
      <c r="G210" s="2">
        <v>583</v>
      </c>
      <c r="H210" s="2">
        <v>2028</v>
      </c>
      <c r="I210" s="2">
        <v>677</v>
      </c>
      <c r="J210" s="2" t="s">
        <v>86</v>
      </c>
      <c r="K210" s="2">
        <v>5.0999999999999996</v>
      </c>
      <c r="L210" s="2">
        <v>5.109</v>
      </c>
      <c r="M210" s="2">
        <v>8.9999999999999993E-3</v>
      </c>
      <c r="N210" s="8" t="s">
        <v>11846</v>
      </c>
      <c r="O210" s="8" t="s">
        <v>11847</v>
      </c>
      <c r="P210" s="2">
        <v>2</v>
      </c>
      <c r="Q210" s="8"/>
      <c r="R210" s="8" t="s">
        <v>3819</v>
      </c>
      <c r="S210" s="8" t="str">
        <f>HYPERLINK("https://seichotoushi-hojo.jp/assets/pdf/koufu/outline_148.pdf","PDFを開く")</f>
        <v>PDFを開く</v>
      </c>
      <c r="T210" s="8" t="s">
        <v>537</v>
      </c>
      <c r="U210" s="8" t="s">
        <v>538</v>
      </c>
    </row>
    <row r="211" spans="1:21" ht="39.950000000000003" customHeight="1">
      <c r="A211" s="5" t="s">
        <v>530</v>
      </c>
      <c r="B211" s="5" t="s">
        <v>73</v>
      </c>
      <c r="C211" s="9" t="s">
        <v>531</v>
      </c>
      <c r="D211" s="9" t="s">
        <v>3188</v>
      </c>
      <c r="E211" s="9" t="s">
        <v>156</v>
      </c>
      <c r="F211" s="5"/>
      <c r="G211" s="5"/>
      <c r="H211" s="5"/>
      <c r="I211" s="5"/>
      <c r="J211" s="5"/>
      <c r="K211" s="5"/>
      <c r="L211" s="5"/>
      <c r="M211" s="5"/>
      <c r="N211" s="9" t="s">
        <v>11850</v>
      </c>
      <c r="O211" s="9"/>
      <c r="P211" s="5"/>
      <c r="Q211" s="9" t="s">
        <v>11851</v>
      </c>
      <c r="R211" s="9"/>
      <c r="S211" s="9" t="str">
        <f>HYPERLINK("https://seichotoushi-hojo.jp/assets/pdf/koufu/outline_148.pdf","PDFを開く")</f>
        <v>PDFを開く</v>
      </c>
      <c r="T211" s="9" t="s">
        <v>537</v>
      </c>
      <c r="U211" s="9" t="s">
        <v>538</v>
      </c>
    </row>
    <row r="212" spans="1:21" ht="39.950000000000003" customHeight="1">
      <c r="A212" s="2" t="s">
        <v>530</v>
      </c>
      <c r="B212" s="2" t="s">
        <v>73</v>
      </c>
      <c r="C212" s="8" t="s">
        <v>531</v>
      </c>
      <c r="D212" s="8" t="s">
        <v>3191</v>
      </c>
      <c r="E212" s="8" t="s">
        <v>92</v>
      </c>
      <c r="F212" s="2">
        <v>2025</v>
      </c>
      <c r="G212" s="2">
        <v>71</v>
      </c>
      <c r="H212" s="2">
        <v>2028</v>
      </c>
      <c r="I212" s="2">
        <v>95</v>
      </c>
      <c r="J212" s="2" t="s">
        <v>2513</v>
      </c>
      <c r="K212" s="2"/>
      <c r="L212" s="2"/>
      <c r="M212" s="2"/>
      <c r="N212" s="8" t="s">
        <v>11846</v>
      </c>
      <c r="O212" s="8" t="s">
        <v>11847</v>
      </c>
      <c r="P212" s="2">
        <v>2</v>
      </c>
      <c r="Q212" s="8"/>
      <c r="R212" s="8" t="s">
        <v>3822</v>
      </c>
      <c r="S212" s="8" t="str">
        <f>HYPERLINK("https://seichotoushi-hojo.jp/assets/pdf/koufu/outline_148.pdf","PDFを開く")</f>
        <v>PDFを開く</v>
      </c>
      <c r="T212" s="8" t="s">
        <v>537</v>
      </c>
      <c r="U212" s="8" t="s">
        <v>538</v>
      </c>
    </row>
    <row r="213" spans="1:21" ht="39.950000000000003" customHeight="1">
      <c r="A213" s="5" t="s">
        <v>539</v>
      </c>
      <c r="B213" s="5" t="s">
        <v>73</v>
      </c>
      <c r="C213" s="9" t="s">
        <v>540</v>
      </c>
      <c r="D213" s="9" t="s">
        <v>3176</v>
      </c>
      <c r="E213" s="9" t="s">
        <v>90</v>
      </c>
      <c r="F213" s="5">
        <v>2026</v>
      </c>
      <c r="G213" s="5">
        <v>420</v>
      </c>
      <c r="H213" s="5">
        <v>2029</v>
      </c>
      <c r="I213" s="5">
        <v>544</v>
      </c>
      <c r="J213" s="5" t="s">
        <v>86</v>
      </c>
      <c r="K213" s="5">
        <v>9</v>
      </c>
      <c r="L213" s="5">
        <v>9.0059000000000005</v>
      </c>
      <c r="M213" s="5">
        <v>5.8999999999999999E-3</v>
      </c>
      <c r="N213" s="9" t="s">
        <v>11846</v>
      </c>
      <c r="O213" s="9" t="s">
        <v>11847</v>
      </c>
      <c r="P213" s="5">
        <v>3</v>
      </c>
      <c r="Q213" s="9"/>
      <c r="R213" s="9" t="s">
        <v>3824</v>
      </c>
      <c r="S213" s="9" t="str">
        <f>HYPERLINK("https://seichotoushi-hojo.jp/assets/pdf/koufu/outline_149.pdf","PDFを開く")</f>
        <v>PDFを開く</v>
      </c>
      <c r="T213" s="9" t="s">
        <v>546</v>
      </c>
      <c r="U213" s="9" t="s">
        <v>547</v>
      </c>
    </row>
    <row r="214" spans="1:21" ht="39.950000000000003" customHeight="1">
      <c r="A214" s="2" t="s">
        <v>539</v>
      </c>
      <c r="B214" s="2" t="s">
        <v>73</v>
      </c>
      <c r="C214" s="8" t="s">
        <v>540</v>
      </c>
      <c r="D214" s="8" t="s">
        <v>3184</v>
      </c>
      <c r="E214" s="8" t="s">
        <v>90</v>
      </c>
      <c r="F214" s="2">
        <v>2026</v>
      </c>
      <c r="G214" s="2">
        <v>315</v>
      </c>
      <c r="H214" s="2">
        <v>2029</v>
      </c>
      <c r="I214" s="2">
        <v>360</v>
      </c>
      <c r="J214" s="2" t="s">
        <v>86</v>
      </c>
      <c r="K214" s="2">
        <v>4.5</v>
      </c>
      <c r="L214" s="2">
        <v>4.5515999999999996</v>
      </c>
      <c r="M214" s="2">
        <v>5.16E-2</v>
      </c>
      <c r="N214" s="8" t="s">
        <v>11846</v>
      </c>
      <c r="O214" s="8" t="s">
        <v>11847</v>
      </c>
      <c r="P214" s="2">
        <v>3</v>
      </c>
      <c r="Q214" s="8"/>
      <c r="R214" s="8" t="s">
        <v>3827</v>
      </c>
      <c r="S214" s="8" t="str">
        <f>HYPERLINK("https://seichotoushi-hojo.jp/assets/pdf/koufu/outline_149.pdf","PDFを開く")</f>
        <v>PDFを開く</v>
      </c>
      <c r="T214" s="8" t="s">
        <v>546</v>
      </c>
      <c r="U214" s="8" t="s">
        <v>547</v>
      </c>
    </row>
    <row r="215" spans="1:21" ht="39.950000000000003" customHeight="1">
      <c r="A215" s="5" t="s">
        <v>539</v>
      </c>
      <c r="B215" s="5" t="s">
        <v>73</v>
      </c>
      <c r="C215" s="9" t="s">
        <v>540</v>
      </c>
      <c r="D215" s="9" t="s">
        <v>3188</v>
      </c>
      <c r="E215" s="9" t="s">
        <v>90</v>
      </c>
      <c r="F215" s="5">
        <v>2026</v>
      </c>
      <c r="G215" s="5">
        <v>753</v>
      </c>
      <c r="H215" s="5">
        <v>2029</v>
      </c>
      <c r="I215" s="5">
        <v>847</v>
      </c>
      <c r="J215" s="5" t="s">
        <v>86</v>
      </c>
      <c r="K215" s="5">
        <v>4</v>
      </c>
      <c r="L215" s="5">
        <v>3.9990999999999999</v>
      </c>
      <c r="M215" s="5">
        <v>8.9999999999999998E-4</v>
      </c>
      <c r="N215" s="9" t="s">
        <v>11846</v>
      </c>
      <c r="O215" s="9" t="s">
        <v>11847</v>
      </c>
      <c r="P215" s="5">
        <v>3</v>
      </c>
      <c r="Q215" s="9"/>
      <c r="R215" s="9" t="s">
        <v>3830</v>
      </c>
      <c r="S215" s="9" t="str">
        <f>HYPERLINK("https://seichotoushi-hojo.jp/assets/pdf/koufu/outline_149.pdf","PDFを開く")</f>
        <v>PDFを開く</v>
      </c>
      <c r="T215" s="9" t="s">
        <v>546</v>
      </c>
      <c r="U215" s="9" t="s">
        <v>547</v>
      </c>
    </row>
    <row r="216" spans="1:21" ht="39.950000000000003" customHeight="1">
      <c r="A216" s="2" t="s">
        <v>539</v>
      </c>
      <c r="B216" s="2" t="s">
        <v>73</v>
      </c>
      <c r="C216" s="8" t="s">
        <v>540</v>
      </c>
      <c r="D216" s="8" t="s">
        <v>3191</v>
      </c>
      <c r="E216" s="8" t="s">
        <v>92</v>
      </c>
      <c r="F216" s="2">
        <v>2026</v>
      </c>
      <c r="G216" s="2">
        <v>741</v>
      </c>
      <c r="H216" s="2">
        <v>2029</v>
      </c>
      <c r="I216" s="2">
        <v>927</v>
      </c>
      <c r="J216" s="2" t="s">
        <v>2513</v>
      </c>
      <c r="K216" s="2"/>
      <c r="L216" s="2"/>
      <c r="M216" s="2"/>
      <c r="N216" s="8" t="s">
        <v>11846</v>
      </c>
      <c r="O216" s="8" t="s">
        <v>11847</v>
      </c>
      <c r="P216" s="2">
        <v>3</v>
      </c>
      <c r="Q216" s="8"/>
      <c r="R216" s="8" t="s">
        <v>3832</v>
      </c>
      <c r="S216" s="8" t="str">
        <f>HYPERLINK("https://seichotoushi-hojo.jp/assets/pdf/koufu/outline_149.pdf","PDFを開く")</f>
        <v>PDFを開く</v>
      </c>
      <c r="T216" s="8" t="s">
        <v>546</v>
      </c>
      <c r="U216" s="8" t="s">
        <v>547</v>
      </c>
    </row>
    <row r="217" spans="1:21" ht="39.950000000000003" customHeight="1">
      <c r="A217" s="5" t="s">
        <v>548</v>
      </c>
      <c r="B217" s="5" t="s">
        <v>73</v>
      </c>
      <c r="C217" s="9" t="s">
        <v>549</v>
      </c>
      <c r="D217" s="9" t="s">
        <v>3176</v>
      </c>
      <c r="E217" s="9" t="s">
        <v>90</v>
      </c>
      <c r="F217" s="5">
        <v>2026</v>
      </c>
      <c r="G217" s="5">
        <v>891</v>
      </c>
      <c r="H217" s="5">
        <v>2029</v>
      </c>
      <c r="I217" s="5">
        <v>2999</v>
      </c>
      <c r="J217" s="5" t="s">
        <v>86</v>
      </c>
      <c r="K217" s="5">
        <v>49.9</v>
      </c>
      <c r="L217" s="5">
        <v>49.864800000000002</v>
      </c>
      <c r="M217" s="5">
        <v>3.5200000000000002E-2</v>
      </c>
      <c r="N217" s="9" t="s">
        <v>11846</v>
      </c>
      <c r="O217" s="9" t="s">
        <v>11847</v>
      </c>
      <c r="P217" s="5">
        <v>2</v>
      </c>
      <c r="Q217" s="9"/>
      <c r="R217" s="9" t="s">
        <v>3835</v>
      </c>
      <c r="S217" s="9" t="str">
        <f>HYPERLINK("https://seichotoushi-hojo.jp/assets/pdf/koufu/outline_150.pdf","PDFを開く")</f>
        <v>PDFを開く</v>
      </c>
      <c r="T217" s="9" t="s">
        <v>555</v>
      </c>
      <c r="U217" s="9" t="s">
        <v>556</v>
      </c>
    </row>
    <row r="218" spans="1:21" ht="39.950000000000003" customHeight="1">
      <c r="A218" s="2" t="s">
        <v>548</v>
      </c>
      <c r="B218" s="2" t="s">
        <v>73</v>
      </c>
      <c r="C218" s="8" t="s">
        <v>549</v>
      </c>
      <c r="D218" s="8" t="s">
        <v>3184</v>
      </c>
      <c r="E218" s="8" t="s">
        <v>90</v>
      </c>
      <c r="F218" s="2">
        <v>2026</v>
      </c>
      <c r="G218" s="2">
        <v>382</v>
      </c>
      <c r="H218" s="2">
        <v>2029</v>
      </c>
      <c r="I218" s="2">
        <v>468</v>
      </c>
      <c r="J218" s="2" t="s">
        <v>86</v>
      </c>
      <c r="K218" s="2">
        <v>7</v>
      </c>
      <c r="L218" s="2">
        <v>7.0026000000000002</v>
      </c>
      <c r="M218" s="2">
        <v>2.5999999999999999E-3</v>
      </c>
      <c r="N218" s="8" t="s">
        <v>11846</v>
      </c>
      <c r="O218" s="8" t="s">
        <v>11847</v>
      </c>
      <c r="P218" s="2">
        <v>2</v>
      </c>
      <c r="Q218" s="8"/>
      <c r="R218" s="8" t="s">
        <v>3838</v>
      </c>
      <c r="S218" s="8" t="str">
        <f>HYPERLINK("https://seichotoushi-hojo.jp/assets/pdf/koufu/outline_150.pdf","PDFを開く")</f>
        <v>PDFを開く</v>
      </c>
      <c r="T218" s="8" t="s">
        <v>555</v>
      </c>
      <c r="U218" s="8" t="s">
        <v>556</v>
      </c>
    </row>
    <row r="219" spans="1:21" ht="39.950000000000003" customHeight="1">
      <c r="A219" s="5" t="s">
        <v>548</v>
      </c>
      <c r="B219" s="5" t="s">
        <v>73</v>
      </c>
      <c r="C219" s="9" t="s">
        <v>549</v>
      </c>
      <c r="D219" s="9" t="s">
        <v>3188</v>
      </c>
      <c r="E219" s="9" t="s">
        <v>90</v>
      </c>
      <c r="F219" s="5">
        <v>2026</v>
      </c>
      <c r="G219" s="5">
        <v>1450</v>
      </c>
      <c r="H219" s="5">
        <v>2029</v>
      </c>
      <c r="I219" s="5">
        <v>1650</v>
      </c>
      <c r="J219" s="5" t="s">
        <v>86</v>
      </c>
      <c r="K219" s="5">
        <v>4.4000000000000004</v>
      </c>
      <c r="L219" s="5">
        <v>4.4012000000000002</v>
      </c>
      <c r="M219" s="5">
        <v>1.1999999999999999E-3</v>
      </c>
      <c r="N219" s="9" t="s">
        <v>11846</v>
      </c>
      <c r="O219" s="9" t="s">
        <v>11847</v>
      </c>
      <c r="P219" s="5">
        <v>2</v>
      </c>
      <c r="Q219" s="9"/>
      <c r="R219" s="9" t="s">
        <v>3841</v>
      </c>
      <c r="S219" s="9" t="str">
        <f>HYPERLINK("https://seichotoushi-hojo.jp/assets/pdf/koufu/outline_150.pdf","PDFを開く")</f>
        <v>PDFを開く</v>
      </c>
      <c r="T219" s="9" t="s">
        <v>555</v>
      </c>
      <c r="U219" s="9" t="s">
        <v>556</v>
      </c>
    </row>
    <row r="220" spans="1:21" ht="39.950000000000003" customHeight="1">
      <c r="A220" s="2" t="s">
        <v>548</v>
      </c>
      <c r="B220" s="2" t="s">
        <v>73</v>
      </c>
      <c r="C220" s="8" t="s">
        <v>549</v>
      </c>
      <c r="D220" s="8" t="s">
        <v>3191</v>
      </c>
      <c r="E220" s="8" t="s">
        <v>92</v>
      </c>
      <c r="F220" s="2">
        <v>2026</v>
      </c>
      <c r="G220" s="2">
        <v>130</v>
      </c>
      <c r="H220" s="2">
        <v>2029</v>
      </c>
      <c r="I220" s="2">
        <v>153</v>
      </c>
      <c r="J220" s="2" t="s">
        <v>2513</v>
      </c>
      <c r="K220" s="2"/>
      <c r="L220" s="2"/>
      <c r="M220" s="2"/>
      <c r="N220" s="8" t="s">
        <v>11846</v>
      </c>
      <c r="O220" s="8" t="s">
        <v>11847</v>
      </c>
      <c r="P220" s="2">
        <v>2</v>
      </c>
      <c r="Q220" s="8"/>
      <c r="R220" s="8" t="s">
        <v>3843</v>
      </c>
      <c r="S220" s="8" t="str">
        <f>HYPERLINK("https://seichotoushi-hojo.jp/assets/pdf/koufu/outline_150.pdf","PDFを開く")</f>
        <v>PDFを開く</v>
      </c>
      <c r="T220" s="8" t="s">
        <v>555</v>
      </c>
      <c r="U220" s="8" t="s">
        <v>556</v>
      </c>
    </row>
    <row r="221" spans="1:21" ht="39.950000000000003" customHeight="1">
      <c r="A221" s="5" t="s">
        <v>557</v>
      </c>
      <c r="B221" s="5" t="s">
        <v>73</v>
      </c>
      <c r="C221" s="9" t="s">
        <v>558</v>
      </c>
      <c r="D221" s="9" t="s">
        <v>3176</v>
      </c>
      <c r="E221" s="9" t="s">
        <v>90</v>
      </c>
      <c r="F221" s="5">
        <v>2026</v>
      </c>
      <c r="G221" s="5">
        <v>294</v>
      </c>
      <c r="H221" s="5">
        <v>2029</v>
      </c>
      <c r="I221" s="5">
        <v>541</v>
      </c>
      <c r="J221" s="5" t="s">
        <v>86</v>
      </c>
      <c r="K221" s="5">
        <v>22.6</v>
      </c>
      <c r="L221" s="5">
        <v>22.541499999999999</v>
      </c>
      <c r="M221" s="5">
        <v>5.8500000000000003E-2</v>
      </c>
      <c r="N221" s="9" t="s">
        <v>11846</v>
      </c>
      <c r="O221" s="9" t="s">
        <v>11847</v>
      </c>
      <c r="P221" s="5">
        <v>2</v>
      </c>
      <c r="Q221" s="9"/>
      <c r="R221" s="9" t="s">
        <v>3847</v>
      </c>
      <c r="S221" s="9" t="str">
        <f>HYPERLINK("https://seichotoushi-hojo.jp/assets/pdf/koufu/outline_151.pdf","PDFを開く")</f>
        <v>PDFを開く</v>
      </c>
      <c r="T221" s="9" t="s">
        <v>563</v>
      </c>
      <c r="U221" s="9" t="s">
        <v>564</v>
      </c>
    </row>
    <row r="222" spans="1:21" ht="39.950000000000003" customHeight="1">
      <c r="A222" s="2" t="s">
        <v>557</v>
      </c>
      <c r="B222" s="2" t="s">
        <v>73</v>
      </c>
      <c r="C222" s="8" t="s">
        <v>558</v>
      </c>
      <c r="D222" s="8" t="s">
        <v>3184</v>
      </c>
      <c r="E222" s="8" t="s">
        <v>90</v>
      </c>
      <c r="F222" s="2">
        <v>2026</v>
      </c>
      <c r="G222" s="2">
        <v>277</v>
      </c>
      <c r="H222" s="2">
        <v>2029</v>
      </c>
      <c r="I222" s="2">
        <v>330</v>
      </c>
      <c r="J222" s="2" t="s">
        <v>86</v>
      </c>
      <c r="K222" s="2">
        <v>6</v>
      </c>
      <c r="L222" s="2">
        <v>6.0095000000000001</v>
      </c>
      <c r="M222" s="2">
        <v>9.4999999999999998E-3</v>
      </c>
      <c r="N222" s="8" t="s">
        <v>11846</v>
      </c>
      <c r="O222" s="8" t="s">
        <v>11852</v>
      </c>
      <c r="P222" s="2">
        <v>2</v>
      </c>
      <c r="Q222" s="8"/>
      <c r="R222" s="8" t="s">
        <v>3849</v>
      </c>
      <c r="S222" s="8" t="str">
        <f>HYPERLINK("https://seichotoushi-hojo.jp/assets/pdf/koufu/outline_151.pdf","PDFを開く")</f>
        <v>PDFを開く</v>
      </c>
      <c r="T222" s="8" t="s">
        <v>563</v>
      </c>
      <c r="U222" s="8" t="s">
        <v>564</v>
      </c>
    </row>
    <row r="223" spans="1:21" ht="39.950000000000003" customHeight="1">
      <c r="A223" s="5" t="s">
        <v>557</v>
      </c>
      <c r="B223" s="5" t="s">
        <v>73</v>
      </c>
      <c r="C223" s="9" t="s">
        <v>558</v>
      </c>
      <c r="D223" s="9" t="s">
        <v>3188</v>
      </c>
      <c r="E223" s="9" t="s">
        <v>90</v>
      </c>
      <c r="F223" s="5">
        <v>2026</v>
      </c>
      <c r="G223" s="5">
        <v>1500</v>
      </c>
      <c r="H223" s="5">
        <v>2029</v>
      </c>
      <c r="I223" s="5">
        <v>2000</v>
      </c>
      <c r="J223" s="5" t="s">
        <v>86</v>
      </c>
      <c r="K223" s="5">
        <v>10.1</v>
      </c>
      <c r="L223" s="5">
        <v>10.0642</v>
      </c>
      <c r="M223" s="5">
        <v>3.5799999999999998E-2</v>
      </c>
      <c r="N223" s="9" t="s">
        <v>11846</v>
      </c>
      <c r="O223" s="9" t="s">
        <v>11852</v>
      </c>
      <c r="P223" s="5">
        <v>2</v>
      </c>
      <c r="Q223" s="9"/>
      <c r="R223" s="9" t="s">
        <v>3852</v>
      </c>
      <c r="S223" s="9" t="str">
        <f>HYPERLINK("https://seichotoushi-hojo.jp/assets/pdf/koufu/outline_151.pdf","PDFを開く")</f>
        <v>PDFを開く</v>
      </c>
      <c r="T223" s="9" t="s">
        <v>563</v>
      </c>
      <c r="U223" s="9" t="s">
        <v>564</v>
      </c>
    </row>
    <row r="224" spans="1:21" ht="39.950000000000003" customHeight="1">
      <c r="A224" s="2" t="s">
        <v>557</v>
      </c>
      <c r="B224" s="2" t="s">
        <v>73</v>
      </c>
      <c r="C224" s="8" t="s">
        <v>558</v>
      </c>
      <c r="D224" s="8" t="s">
        <v>3191</v>
      </c>
      <c r="E224" s="8" t="s">
        <v>92</v>
      </c>
      <c r="F224" s="2">
        <v>2026</v>
      </c>
      <c r="G224" s="2">
        <v>450</v>
      </c>
      <c r="H224" s="2">
        <v>2029</v>
      </c>
      <c r="I224" s="2">
        <v>499</v>
      </c>
      <c r="J224" s="2" t="s">
        <v>2513</v>
      </c>
      <c r="K224" s="2"/>
      <c r="L224" s="2"/>
      <c r="M224" s="2"/>
      <c r="N224" s="8" t="s">
        <v>11846</v>
      </c>
      <c r="O224" s="8" t="s">
        <v>11852</v>
      </c>
      <c r="P224" s="2">
        <v>2</v>
      </c>
      <c r="Q224" s="8"/>
      <c r="R224" s="8" t="s">
        <v>3854</v>
      </c>
      <c r="S224" s="8" t="str">
        <f>HYPERLINK("https://seichotoushi-hojo.jp/assets/pdf/koufu/outline_151.pdf","PDFを開く")</f>
        <v>PDFを開く</v>
      </c>
      <c r="T224" s="8" t="s">
        <v>563</v>
      </c>
      <c r="U224" s="8" t="s">
        <v>564</v>
      </c>
    </row>
    <row r="225" spans="1:21" ht="39.950000000000003" customHeight="1">
      <c r="A225" s="5" t="s">
        <v>565</v>
      </c>
      <c r="B225" s="5" t="s">
        <v>73</v>
      </c>
      <c r="C225" s="9" t="s">
        <v>566</v>
      </c>
      <c r="D225" s="9" t="s">
        <v>3176</v>
      </c>
      <c r="E225" s="9" t="s">
        <v>90</v>
      </c>
      <c r="F225" s="5">
        <v>2026</v>
      </c>
      <c r="G225" s="5">
        <v>1295</v>
      </c>
      <c r="H225" s="5">
        <v>2029</v>
      </c>
      <c r="I225" s="5">
        <v>1918</v>
      </c>
      <c r="J225" s="5" t="s">
        <v>86</v>
      </c>
      <c r="K225" s="5">
        <v>14</v>
      </c>
      <c r="L225" s="5">
        <v>13.988099999999999</v>
      </c>
      <c r="M225" s="5">
        <v>1.1900000000000001E-2</v>
      </c>
      <c r="N225" s="9" t="s">
        <v>11846</v>
      </c>
      <c r="O225" s="9" t="s">
        <v>11847</v>
      </c>
      <c r="P225" s="5">
        <v>2</v>
      </c>
      <c r="Q225" s="9"/>
      <c r="R225" s="9" t="s">
        <v>3856</v>
      </c>
      <c r="S225" s="9" t="str">
        <f>HYPERLINK("https://seichotoushi-hojo.jp/assets/pdf/koufu/outline_152.pdf","PDFを開く")</f>
        <v>PDFを開く</v>
      </c>
      <c r="T225" s="9" t="s">
        <v>571</v>
      </c>
      <c r="U225" s="9" t="s">
        <v>572</v>
      </c>
    </row>
    <row r="226" spans="1:21" ht="39.950000000000003" customHeight="1">
      <c r="A226" s="2" t="s">
        <v>565</v>
      </c>
      <c r="B226" s="2" t="s">
        <v>73</v>
      </c>
      <c r="C226" s="8" t="s">
        <v>566</v>
      </c>
      <c r="D226" s="8" t="s">
        <v>3184</v>
      </c>
      <c r="E226" s="8" t="s">
        <v>90</v>
      </c>
      <c r="F226" s="2">
        <v>2026</v>
      </c>
      <c r="G226" s="2">
        <v>503</v>
      </c>
      <c r="H226" s="2">
        <v>2029</v>
      </c>
      <c r="I226" s="2">
        <v>618</v>
      </c>
      <c r="J226" s="2" t="s">
        <v>86</v>
      </c>
      <c r="K226" s="2">
        <v>7.1</v>
      </c>
      <c r="L226" s="2">
        <v>7.1043000000000003</v>
      </c>
      <c r="M226" s="2">
        <v>4.3E-3</v>
      </c>
      <c r="N226" s="8" t="s">
        <v>11846</v>
      </c>
      <c r="O226" s="8" t="s">
        <v>11847</v>
      </c>
      <c r="P226" s="2">
        <v>2</v>
      </c>
      <c r="Q226" s="8"/>
      <c r="R226" s="8" t="s">
        <v>3859</v>
      </c>
      <c r="S226" s="8" t="str">
        <f>HYPERLINK("https://seichotoushi-hojo.jp/assets/pdf/koufu/outline_152.pdf","PDFを開く")</f>
        <v>PDFを開く</v>
      </c>
      <c r="T226" s="8" t="s">
        <v>571</v>
      </c>
      <c r="U226" s="8" t="s">
        <v>572</v>
      </c>
    </row>
    <row r="227" spans="1:21" ht="39.950000000000003" customHeight="1">
      <c r="A227" s="5" t="s">
        <v>565</v>
      </c>
      <c r="B227" s="5" t="s">
        <v>73</v>
      </c>
      <c r="C227" s="9" t="s">
        <v>566</v>
      </c>
      <c r="D227" s="9" t="s">
        <v>3188</v>
      </c>
      <c r="E227" s="9" t="s">
        <v>91</v>
      </c>
      <c r="F227" s="5">
        <v>2026</v>
      </c>
      <c r="G227" s="5"/>
      <c r="H227" s="5">
        <v>2029</v>
      </c>
      <c r="I227" s="5"/>
      <c r="J227" s="5" t="s">
        <v>86</v>
      </c>
      <c r="K227" s="5">
        <v>4.2</v>
      </c>
      <c r="L227" s="5"/>
      <c r="M227" s="5"/>
      <c r="N227" s="9" t="s">
        <v>11846</v>
      </c>
      <c r="O227" s="9" t="s">
        <v>11848</v>
      </c>
      <c r="P227" s="5">
        <v>2</v>
      </c>
      <c r="Q227" s="9"/>
      <c r="R227" s="9" t="s">
        <v>3864</v>
      </c>
      <c r="S227" s="9" t="str">
        <f>HYPERLINK("https://seichotoushi-hojo.jp/assets/pdf/koufu/outline_152.pdf","PDFを開く")</f>
        <v>PDFを開く</v>
      </c>
      <c r="T227" s="9" t="s">
        <v>571</v>
      </c>
      <c r="U227" s="9" t="s">
        <v>572</v>
      </c>
    </row>
    <row r="228" spans="1:21" ht="39.950000000000003" customHeight="1">
      <c r="A228" s="2" t="s">
        <v>565</v>
      </c>
      <c r="B228" s="2" t="s">
        <v>73</v>
      </c>
      <c r="C228" s="8" t="s">
        <v>566</v>
      </c>
      <c r="D228" s="8" t="s">
        <v>3191</v>
      </c>
      <c r="E228" s="8" t="s">
        <v>92</v>
      </c>
      <c r="F228" s="2">
        <v>2026</v>
      </c>
      <c r="G228" s="2">
        <v>105</v>
      </c>
      <c r="H228" s="2">
        <v>2029</v>
      </c>
      <c r="I228" s="2">
        <v>112</v>
      </c>
      <c r="J228" s="2" t="s">
        <v>2513</v>
      </c>
      <c r="K228" s="2"/>
      <c r="L228" s="2"/>
      <c r="M228" s="2"/>
      <c r="N228" s="8" t="s">
        <v>11846</v>
      </c>
      <c r="O228" s="8" t="s">
        <v>11847</v>
      </c>
      <c r="P228" s="2">
        <v>2</v>
      </c>
      <c r="Q228" s="8"/>
      <c r="R228" s="8" t="s">
        <v>3862</v>
      </c>
      <c r="S228" s="8" t="str">
        <f>HYPERLINK("https://seichotoushi-hojo.jp/assets/pdf/koufu/outline_152.pdf","PDFを開く")</f>
        <v>PDFを開く</v>
      </c>
      <c r="T228" s="8" t="s">
        <v>571</v>
      </c>
      <c r="U228" s="8" t="s">
        <v>572</v>
      </c>
    </row>
    <row r="229" spans="1:21" ht="39.950000000000003" customHeight="1">
      <c r="A229" s="5" t="s">
        <v>573</v>
      </c>
      <c r="B229" s="5" t="s">
        <v>73</v>
      </c>
      <c r="C229" s="9" t="s">
        <v>574</v>
      </c>
      <c r="D229" s="9" t="s">
        <v>3176</v>
      </c>
      <c r="E229" s="9" t="s">
        <v>92</v>
      </c>
      <c r="F229" s="5">
        <v>2026</v>
      </c>
      <c r="G229" s="5">
        <v>651</v>
      </c>
      <c r="H229" s="5">
        <v>2029</v>
      </c>
      <c r="I229" s="5">
        <v>951</v>
      </c>
      <c r="J229" s="5" t="s">
        <v>86</v>
      </c>
      <c r="K229" s="5"/>
      <c r="L229" s="5">
        <v>13.466200000000001</v>
      </c>
      <c r="M229" s="5"/>
      <c r="N229" s="9" t="s">
        <v>11846</v>
      </c>
      <c r="O229" s="9" t="s">
        <v>11847</v>
      </c>
      <c r="P229" s="5">
        <v>2</v>
      </c>
      <c r="Q229" s="9"/>
      <c r="R229" s="9" t="s">
        <v>3869</v>
      </c>
      <c r="S229" s="9" t="str">
        <f>HYPERLINK("https://seichotoushi-hojo.jp/assets/pdf/koufu/outline_153.pdf","PDFを開く")</f>
        <v>PDFを開く</v>
      </c>
      <c r="T229" s="9" t="s">
        <v>580</v>
      </c>
      <c r="U229" s="9" t="s">
        <v>581</v>
      </c>
    </row>
    <row r="230" spans="1:21" ht="39.950000000000003" customHeight="1">
      <c r="A230" s="2" t="s">
        <v>573</v>
      </c>
      <c r="B230" s="2" t="s">
        <v>73</v>
      </c>
      <c r="C230" s="8" t="s">
        <v>574</v>
      </c>
      <c r="D230" s="8" t="s">
        <v>3184</v>
      </c>
      <c r="E230" s="8" t="s">
        <v>92</v>
      </c>
      <c r="F230" s="2">
        <v>2026</v>
      </c>
      <c r="G230" s="2">
        <v>443</v>
      </c>
      <c r="H230" s="2">
        <v>2029</v>
      </c>
      <c r="I230" s="2">
        <v>518</v>
      </c>
      <c r="J230" s="2" t="s">
        <v>86</v>
      </c>
      <c r="K230" s="2"/>
      <c r="L230" s="2">
        <v>5.3517999999999999</v>
      </c>
      <c r="M230" s="2"/>
      <c r="N230" s="8" t="s">
        <v>11846</v>
      </c>
      <c r="O230" s="8" t="s">
        <v>11852</v>
      </c>
      <c r="P230" s="2">
        <v>2</v>
      </c>
      <c r="Q230" s="8"/>
      <c r="R230" s="8" t="s">
        <v>3873</v>
      </c>
      <c r="S230" s="8" t="str">
        <f>HYPERLINK("https://seichotoushi-hojo.jp/assets/pdf/koufu/outline_153.pdf","PDFを開く")</f>
        <v>PDFを開く</v>
      </c>
      <c r="T230" s="8" t="s">
        <v>580</v>
      </c>
      <c r="U230" s="8" t="s">
        <v>581</v>
      </c>
    </row>
    <row r="231" spans="1:21" ht="39.950000000000003" customHeight="1">
      <c r="A231" s="5" t="s">
        <v>573</v>
      </c>
      <c r="B231" s="5" t="s">
        <v>73</v>
      </c>
      <c r="C231" s="9" t="s">
        <v>574</v>
      </c>
      <c r="D231" s="9" t="s">
        <v>3188</v>
      </c>
      <c r="E231" s="9" t="s">
        <v>92</v>
      </c>
      <c r="F231" s="5">
        <v>2026</v>
      </c>
      <c r="G231" s="5">
        <v>0</v>
      </c>
      <c r="H231" s="5">
        <v>2029</v>
      </c>
      <c r="I231" s="5">
        <v>0</v>
      </c>
      <c r="J231" s="5" t="s">
        <v>86</v>
      </c>
      <c r="K231" s="5"/>
      <c r="L231" s="5"/>
      <c r="M231" s="5"/>
      <c r="N231" s="9" t="s">
        <v>11846</v>
      </c>
      <c r="O231" s="9" t="s">
        <v>11852</v>
      </c>
      <c r="P231" s="5">
        <v>2</v>
      </c>
      <c r="Q231" s="9"/>
      <c r="R231" s="9" t="s">
        <v>3882</v>
      </c>
      <c r="S231" s="9" t="str">
        <f>HYPERLINK("https://seichotoushi-hojo.jp/assets/pdf/koufu/outline_153.pdf","PDFを開く")</f>
        <v>PDFを開く</v>
      </c>
      <c r="T231" s="9" t="s">
        <v>580</v>
      </c>
      <c r="U231" s="9" t="s">
        <v>581</v>
      </c>
    </row>
    <row r="232" spans="1:21" ht="39.950000000000003" customHeight="1">
      <c r="A232" s="2" t="s">
        <v>573</v>
      </c>
      <c r="B232" s="2" t="s">
        <v>73</v>
      </c>
      <c r="C232" s="8" t="s">
        <v>574</v>
      </c>
      <c r="D232" s="8" t="s">
        <v>3191</v>
      </c>
      <c r="E232" s="8" t="s">
        <v>92</v>
      </c>
      <c r="F232" s="2">
        <v>2026</v>
      </c>
      <c r="G232" s="2">
        <v>388</v>
      </c>
      <c r="H232" s="2">
        <v>2029</v>
      </c>
      <c r="I232" s="2">
        <v>440</v>
      </c>
      <c r="J232" s="2" t="s">
        <v>2513</v>
      </c>
      <c r="K232" s="2"/>
      <c r="L232" s="2"/>
      <c r="M232" s="2"/>
      <c r="N232" s="8" t="s">
        <v>11846</v>
      </c>
      <c r="O232" s="8" t="s">
        <v>11852</v>
      </c>
      <c r="P232" s="2">
        <v>2</v>
      </c>
      <c r="Q232" s="8"/>
      <c r="R232" s="8" t="s">
        <v>3883</v>
      </c>
      <c r="S232" s="8" t="str">
        <f>HYPERLINK("https://seichotoushi-hojo.jp/assets/pdf/koufu/outline_153.pdf","PDFを開く")</f>
        <v>PDFを開く</v>
      </c>
      <c r="T232" s="8" t="s">
        <v>580</v>
      </c>
      <c r="U232" s="8" t="s">
        <v>581</v>
      </c>
    </row>
    <row r="233" spans="1:21" ht="39.950000000000003" customHeight="1">
      <c r="A233" s="5" t="s">
        <v>582</v>
      </c>
      <c r="B233" s="5" t="s">
        <v>73</v>
      </c>
      <c r="C233" s="9" t="s">
        <v>583</v>
      </c>
      <c r="D233" s="9" t="s">
        <v>3176</v>
      </c>
      <c r="E233" s="9" t="s">
        <v>166</v>
      </c>
      <c r="F233" s="5">
        <v>2026</v>
      </c>
      <c r="G233" s="5">
        <v>897</v>
      </c>
      <c r="H233" s="5">
        <v>2029</v>
      </c>
      <c r="I233" s="5">
        <v>1376</v>
      </c>
      <c r="J233" s="5" t="s">
        <v>86</v>
      </c>
      <c r="K233" s="5">
        <v>15.3</v>
      </c>
      <c r="L233" s="5">
        <v>15.3299</v>
      </c>
      <c r="M233" s="5">
        <v>2.9899999999999999E-2</v>
      </c>
      <c r="N233" s="9" t="s">
        <v>11846</v>
      </c>
      <c r="O233" s="9" t="s">
        <v>292</v>
      </c>
      <c r="P233" s="5">
        <v>2</v>
      </c>
      <c r="Q233" s="9"/>
      <c r="R233" s="9" t="s">
        <v>3901</v>
      </c>
      <c r="S233" s="9" t="str">
        <f>HYPERLINK("https://seichotoushi-hojo.jp/assets/pdf/koufu/outline_154.pdf","PDFを開く")</f>
        <v>PDFを開く</v>
      </c>
      <c r="T233" s="9" t="s">
        <v>590</v>
      </c>
      <c r="U233" s="9" t="s">
        <v>591</v>
      </c>
    </row>
    <row r="234" spans="1:21" ht="39.950000000000003" customHeight="1">
      <c r="A234" s="2" t="s">
        <v>582</v>
      </c>
      <c r="B234" s="2" t="s">
        <v>73</v>
      </c>
      <c r="C234" s="8" t="s">
        <v>583</v>
      </c>
      <c r="D234" s="8" t="s">
        <v>3184</v>
      </c>
      <c r="E234" s="8" t="s">
        <v>166</v>
      </c>
      <c r="F234" s="2">
        <v>2026</v>
      </c>
      <c r="G234" s="2">
        <v>414</v>
      </c>
      <c r="H234" s="2">
        <v>2029</v>
      </c>
      <c r="I234" s="2">
        <v>486</v>
      </c>
      <c r="J234" s="2" t="s">
        <v>86</v>
      </c>
      <c r="K234" s="2">
        <v>5.5</v>
      </c>
      <c r="L234" s="2">
        <v>5.4901999999999997</v>
      </c>
      <c r="M234" s="2">
        <v>9.7999999999999997E-3</v>
      </c>
      <c r="N234" s="8" t="s">
        <v>11846</v>
      </c>
      <c r="O234" s="8" t="s">
        <v>292</v>
      </c>
      <c r="P234" s="2">
        <v>2</v>
      </c>
      <c r="Q234" s="8"/>
      <c r="R234" s="8" t="s">
        <v>3903</v>
      </c>
      <c r="S234" s="8" t="str">
        <f>HYPERLINK("https://seichotoushi-hojo.jp/assets/pdf/koufu/outline_154.pdf","PDFを開く")</f>
        <v>PDFを開く</v>
      </c>
      <c r="T234" s="8" t="s">
        <v>590</v>
      </c>
      <c r="U234" s="8" t="s">
        <v>591</v>
      </c>
    </row>
    <row r="235" spans="1:21" ht="39.950000000000003" customHeight="1">
      <c r="A235" s="5" t="s">
        <v>582</v>
      </c>
      <c r="B235" s="5" t="s">
        <v>73</v>
      </c>
      <c r="C235" s="9" t="s">
        <v>583</v>
      </c>
      <c r="D235" s="9" t="s">
        <v>3188</v>
      </c>
      <c r="E235" s="9" t="s">
        <v>166</v>
      </c>
      <c r="F235" s="5">
        <v>2026</v>
      </c>
      <c r="G235" s="5">
        <v>546</v>
      </c>
      <c r="H235" s="5">
        <v>2029</v>
      </c>
      <c r="I235" s="5">
        <v>644</v>
      </c>
      <c r="J235" s="5" t="s">
        <v>86</v>
      </c>
      <c r="K235" s="5">
        <v>5.7</v>
      </c>
      <c r="L235" s="5">
        <v>5.6569000000000003</v>
      </c>
      <c r="M235" s="5">
        <v>4.3099999999999999E-2</v>
      </c>
      <c r="N235" s="9" t="s">
        <v>11846</v>
      </c>
      <c r="O235" s="9" t="s">
        <v>292</v>
      </c>
      <c r="P235" s="5">
        <v>2</v>
      </c>
      <c r="Q235" s="9"/>
      <c r="R235" s="9" t="s">
        <v>3904</v>
      </c>
      <c r="S235" s="9" t="str">
        <f>HYPERLINK("https://seichotoushi-hojo.jp/assets/pdf/koufu/outline_154.pdf","PDFを開く")</f>
        <v>PDFを開く</v>
      </c>
      <c r="T235" s="9" t="s">
        <v>590</v>
      </c>
      <c r="U235" s="9" t="s">
        <v>591</v>
      </c>
    </row>
    <row r="236" spans="1:21" ht="39.950000000000003" customHeight="1">
      <c r="A236" s="2" t="s">
        <v>582</v>
      </c>
      <c r="B236" s="2" t="s">
        <v>73</v>
      </c>
      <c r="C236" s="8" t="s">
        <v>583</v>
      </c>
      <c r="D236" s="8" t="s">
        <v>3191</v>
      </c>
      <c r="E236" s="8" t="s">
        <v>166</v>
      </c>
      <c r="F236" s="2">
        <v>2026</v>
      </c>
      <c r="G236" s="2">
        <v>198</v>
      </c>
      <c r="H236" s="2">
        <v>2029</v>
      </c>
      <c r="I236" s="2">
        <v>220</v>
      </c>
      <c r="J236" s="2" t="s">
        <v>2513</v>
      </c>
      <c r="K236" s="2"/>
      <c r="L236" s="2"/>
      <c r="M236" s="2"/>
      <c r="N236" s="8" t="s">
        <v>11846</v>
      </c>
      <c r="O236" s="8" t="s">
        <v>292</v>
      </c>
      <c r="P236" s="2">
        <v>2</v>
      </c>
      <c r="Q236" s="8"/>
      <c r="R236" s="8" t="s">
        <v>3905</v>
      </c>
      <c r="S236" s="8" t="str">
        <f>HYPERLINK("https://seichotoushi-hojo.jp/assets/pdf/koufu/outline_154.pdf","PDFを開く")</f>
        <v>PDFを開く</v>
      </c>
      <c r="T236" s="8" t="s">
        <v>590</v>
      </c>
      <c r="U236" s="8" t="s">
        <v>591</v>
      </c>
    </row>
    <row r="237" spans="1:21" ht="39.950000000000003" customHeight="1">
      <c r="A237" s="5" t="s">
        <v>592</v>
      </c>
      <c r="B237" s="5" t="s">
        <v>73</v>
      </c>
      <c r="C237" s="9" t="s">
        <v>593</v>
      </c>
      <c r="D237" s="9" t="s">
        <v>3176</v>
      </c>
      <c r="E237" s="9" t="s">
        <v>90</v>
      </c>
      <c r="F237" s="5">
        <v>2026</v>
      </c>
      <c r="G237" s="5">
        <v>1030</v>
      </c>
      <c r="H237" s="5">
        <v>2029</v>
      </c>
      <c r="I237" s="5">
        <v>1538</v>
      </c>
      <c r="J237" s="5" t="s">
        <v>86</v>
      </c>
      <c r="K237" s="5">
        <v>14.3</v>
      </c>
      <c r="L237" s="5">
        <v>14.298299999999999</v>
      </c>
      <c r="M237" s="5">
        <v>1.6999999999999999E-3</v>
      </c>
      <c r="N237" s="9" t="s">
        <v>11846</v>
      </c>
      <c r="O237" s="9" t="s">
        <v>11847</v>
      </c>
      <c r="P237" s="5">
        <v>2</v>
      </c>
      <c r="Q237" s="9"/>
      <c r="R237" s="9" t="s">
        <v>3907</v>
      </c>
      <c r="S237" s="9" t="str">
        <f>HYPERLINK("https://seichotoushi-hojo.jp/assets/pdf/koufu/outline_155.pdf","PDFを開く")</f>
        <v>PDFを開く</v>
      </c>
      <c r="T237" s="9" t="s">
        <v>599</v>
      </c>
      <c r="U237" s="9" t="s">
        <v>600</v>
      </c>
    </row>
    <row r="238" spans="1:21" ht="39.950000000000003" customHeight="1">
      <c r="A238" s="2" t="s">
        <v>592</v>
      </c>
      <c r="B238" s="2" t="s">
        <v>73</v>
      </c>
      <c r="C238" s="8" t="s">
        <v>593</v>
      </c>
      <c r="D238" s="8" t="s">
        <v>3184</v>
      </c>
      <c r="E238" s="8" t="s">
        <v>90</v>
      </c>
      <c r="F238" s="2">
        <v>2026</v>
      </c>
      <c r="G238" s="2">
        <v>635</v>
      </c>
      <c r="H238" s="2">
        <v>2029</v>
      </c>
      <c r="I238" s="2">
        <v>727</v>
      </c>
      <c r="J238" s="2" t="s">
        <v>86</v>
      </c>
      <c r="K238" s="2">
        <v>4.5999999999999996</v>
      </c>
      <c r="L238" s="2">
        <v>4.6132999999999997</v>
      </c>
      <c r="M238" s="2">
        <v>1.3299999999999999E-2</v>
      </c>
      <c r="N238" s="8" t="s">
        <v>11846</v>
      </c>
      <c r="O238" s="8" t="s">
        <v>11847</v>
      </c>
      <c r="P238" s="2">
        <v>2</v>
      </c>
      <c r="Q238" s="8"/>
      <c r="R238" s="8" t="s">
        <v>3910</v>
      </c>
      <c r="S238" s="8" t="str">
        <f>HYPERLINK("https://seichotoushi-hojo.jp/assets/pdf/koufu/outline_155.pdf","PDFを開く")</f>
        <v>PDFを開く</v>
      </c>
      <c r="T238" s="8" t="s">
        <v>599</v>
      </c>
      <c r="U238" s="8" t="s">
        <v>600</v>
      </c>
    </row>
    <row r="239" spans="1:21" ht="39.950000000000003" customHeight="1">
      <c r="A239" s="5" t="s">
        <v>592</v>
      </c>
      <c r="B239" s="5" t="s">
        <v>73</v>
      </c>
      <c r="C239" s="9" t="s">
        <v>593</v>
      </c>
      <c r="D239" s="9" t="s">
        <v>3188</v>
      </c>
      <c r="E239" s="9" t="s">
        <v>90</v>
      </c>
      <c r="F239" s="5">
        <v>2026</v>
      </c>
      <c r="G239" s="5">
        <v>1500</v>
      </c>
      <c r="H239" s="5">
        <v>2029</v>
      </c>
      <c r="I239" s="5">
        <v>1687</v>
      </c>
      <c r="J239" s="5" t="s">
        <v>86</v>
      </c>
      <c r="K239" s="5">
        <v>4</v>
      </c>
      <c r="L239" s="5">
        <v>3.9939</v>
      </c>
      <c r="M239" s="5">
        <v>6.1000000000000004E-3</v>
      </c>
      <c r="N239" s="9" t="s">
        <v>11846</v>
      </c>
      <c r="O239" s="9" t="s">
        <v>11847</v>
      </c>
      <c r="P239" s="5">
        <v>2</v>
      </c>
      <c r="Q239" s="9"/>
      <c r="R239" s="9" t="s">
        <v>3912</v>
      </c>
      <c r="S239" s="9" t="str">
        <f>HYPERLINK("https://seichotoushi-hojo.jp/assets/pdf/koufu/outline_155.pdf","PDFを開く")</f>
        <v>PDFを開く</v>
      </c>
      <c r="T239" s="9" t="s">
        <v>599</v>
      </c>
      <c r="U239" s="9" t="s">
        <v>600</v>
      </c>
    </row>
    <row r="240" spans="1:21" ht="39.950000000000003" customHeight="1">
      <c r="A240" s="2" t="s">
        <v>592</v>
      </c>
      <c r="B240" s="2" t="s">
        <v>73</v>
      </c>
      <c r="C240" s="8" t="s">
        <v>593</v>
      </c>
      <c r="D240" s="8" t="s">
        <v>3191</v>
      </c>
      <c r="E240" s="8" t="s">
        <v>92</v>
      </c>
      <c r="F240" s="2">
        <v>2026</v>
      </c>
      <c r="G240" s="2">
        <v>1099</v>
      </c>
      <c r="H240" s="2">
        <v>2029</v>
      </c>
      <c r="I240" s="2">
        <v>1125</v>
      </c>
      <c r="J240" s="2" t="s">
        <v>2513</v>
      </c>
      <c r="K240" s="2"/>
      <c r="L240" s="2"/>
      <c r="M240" s="2"/>
      <c r="N240" s="8" t="s">
        <v>11846</v>
      </c>
      <c r="O240" s="8" t="s">
        <v>11847</v>
      </c>
      <c r="P240" s="2">
        <v>2</v>
      </c>
      <c r="Q240" s="8"/>
      <c r="R240" s="8" t="s">
        <v>3915</v>
      </c>
      <c r="S240" s="8" t="str">
        <f>HYPERLINK("https://seichotoushi-hojo.jp/assets/pdf/koufu/outline_155.pdf","PDFを開く")</f>
        <v>PDFを開く</v>
      </c>
      <c r="T240" s="8" t="s">
        <v>599</v>
      </c>
      <c r="U240" s="8" t="s">
        <v>600</v>
      </c>
    </row>
    <row r="241" spans="1:21" ht="39.950000000000003" customHeight="1">
      <c r="A241" s="5" t="s">
        <v>601</v>
      </c>
      <c r="B241" s="5" t="s">
        <v>73</v>
      </c>
      <c r="C241" s="9" t="s">
        <v>602</v>
      </c>
      <c r="D241" s="9" t="s">
        <v>3176</v>
      </c>
      <c r="E241" s="9" t="s">
        <v>90</v>
      </c>
      <c r="F241" s="5">
        <v>2026</v>
      </c>
      <c r="G241" s="5">
        <v>280</v>
      </c>
      <c r="H241" s="5">
        <v>2029</v>
      </c>
      <c r="I241" s="5">
        <v>424</v>
      </c>
      <c r="J241" s="5" t="s">
        <v>86</v>
      </c>
      <c r="K241" s="5">
        <v>14.8</v>
      </c>
      <c r="L241" s="5">
        <v>14.8337</v>
      </c>
      <c r="M241" s="5">
        <v>3.3700000000000001E-2</v>
      </c>
      <c r="N241" s="9" t="s">
        <v>11846</v>
      </c>
      <c r="O241" s="9" t="s">
        <v>11847</v>
      </c>
      <c r="P241" s="5">
        <v>2</v>
      </c>
      <c r="Q241" s="9"/>
      <c r="R241" s="9" t="s">
        <v>3917</v>
      </c>
      <c r="S241" s="9" t="str">
        <f>HYPERLINK("https://seichotoushi-hojo.jp/assets/pdf/koufu/outline_156.pdf","PDFを開く")</f>
        <v>PDFを開く</v>
      </c>
      <c r="T241" s="9" t="s">
        <v>607</v>
      </c>
      <c r="U241" s="9" t="s">
        <v>608</v>
      </c>
    </row>
    <row r="242" spans="1:21" ht="39.950000000000003" customHeight="1">
      <c r="A242" s="2" t="s">
        <v>601</v>
      </c>
      <c r="B242" s="2" t="s">
        <v>73</v>
      </c>
      <c r="C242" s="8" t="s">
        <v>602</v>
      </c>
      <c r="D242" s="8" t="s">
        <v>3184</v>
      </c>
      <c r="E242" s="8" t="s">
        <v>90</v>
      </c>
      <c r="F242" s="2">
        <v>2026</v>
      </c>
      <c r="G242" s="2">
        <v>232</v>
      </c>
      <c r="H242" s="2">
        <v>2029</v>
      </c>
      <c r="I242" s="2">
        <v>293</v>
      </c>
      <c r="J242" s="2" t="s">
        <v>86</v>
      </c>
      <c r="K242" s="2">
        <v>8.1999999999999993</v>
      </c>
      <c r="L242" s="2">
        <v>8.0919000000000008</v>
      </c>
      <c r="M242" s="2">
        <v>0.1081</v>
      </c>
      <c r="N242" s="8" t="s">
        <v>11846</v>
      </c>
      <c r="O242" s="8" t="s">
        <v>11847</v>
      </c>
      <c r="P242" s="2">
        <v>2</v>
      </c>
      <c r="Q242" s="8"/>
      <c r="R242" s="8" t="s">
        <v>3919</v>
      </c>
      <c r="S242" s="8" t="str">
        <f>HYPERLINK("https://seichotoushi-hojo.jp/assets/pdf/koufu/outline_156.pdf","PDFを開く")</f>
        <v>PDFを開く</v>
      </c>
      <c r="T242" s="8" t="s">
        <v>607</v>
      </c>
      <c r="U242" s="8" t="s">
        <v>608</v>
      </c>
    </row>
    <row r="243" spans="1:21" ht="39.950000000000003" customHeight="1">
      <c r="A243" s="5" t="s">
        <v>601</v>
      </c>
      <c r="B243" s="5" t="s">
        <v>73</v>
      </c>
      <c r="C243" s="9" t="s">
        <v>602</v>
      </c>
      <c r="D243" s="9" t="s">
        <v>3188</v>
      </c>
      <c r="E243" s="9" t="s">
        <v>90</v>
      </c>
      <c r="F243" s="5">
        <v>2026</v>
      </c>
      <c r="G243" s="5">
        <v>1342</v>
      </c>
      <c r="H243" s="5">
        <v>2029</v>
      </c>
      <c r="I243" s="5">
        <v>1676</v>
      </c>
      <c r="J243" s="5" t="s">
        <v>86</v>
      </c>
      <c r="K243" s="5">
        <v>7.7</v>
      </c>
      <c r="L243" s="5">
        <v>7.6896000000000004</v>
      </c>
      <c r="M243" s="5">
        <v>1.04E-2</v>
      </c>
      <c r="N243" s="9" t="s">
        <v>11846</v>
      </c>
      <c r="O243" s="9" t="s">
        <v>11847</v>
      </c>
      <c r="P243" s="5">
        <v>2</v>
      </c>
      <c r="Q243" s="9"/>
      <c r="R243" s="9" t="s">
        <v>3922</v>
      </c>
      <c r="S243" s="9" t="str">
        <f>HYPERLINK("https://seichotoushi-hojo.jp/assets/pdf/koufu/outline_156.pdf","PDFを開く")</f>
        <v>PDFを開く</v>
      </c>
      <c r="T243" s="9" t="s">
        <v>607</v>
      </c>
      <c r="U243" s="9" t="s">
        <v>608</v>
      </c>
    </row>
    <row r="244" spans="1:21" ht="39.950000000000003" customHeight="1">
      <c r="A244" s="2" t="s">
        <v>601</v>
      </c>
      <c r="B244" s="2" t="s">
        <v>73</v>
      </c>
      <c r="C244" s="8" t="s">
        <v>602</v>
      </c>
      <c r="D244" s="8" t="s">
        <v>3191</v>
      </c>
      <c r="E244" s="8" t="s">
        <v>92</v>
      </c>
      <c r="F244" s="2">
        <v>2026</v>
      </c>
      <c r="G244" s="2">
        <v>306</v>
      </c>
      <c r="H244" s="2">
        <v>2029</v>
      </c>
      <c r="I244" s="2">
        <v>315</v>
      </c>
      <c r="J244" s="2" t="s">
        <v>2513</v>
      </c>
      <c r="K244" s="2"/>
      <c r="L244" s="2"/>
      <c r="M244" s="2"/>
      <c r="N244" s="8" t="s">
        <v>11846</v>
      </c>
      <c r="O244" s="8" t="s">
        <v>11847</v>
      </c>
      <c r="P244" s="2">
        <v>2</v>
      </c>
      <c r="Q244" s="8"/>
      <c r="R244" s="8" t="s">
        <v>3925</v>
      </c>
      <c r="S244" s="8" t="str">
        <f>HYPERLINK("https://seichotoushi-hojo.jp/assets/pdf/koufu/outline_156.pdf","PDFを開く")</f>
        <v>PDFを開く</v>
      </c>
      <c r="T244" s="8" t="s">
        <v>607</v>
      </c>
      <c r="U244" s="8" t="s">
        <v>608</v>
      </c>
    </row>
    <row r="245" spans="1:21" ht="39.950000000000003" customHeight="1">
      <c r="A245" s="5" t="s">
        <v>609</v>
      </c>
      <c r="B245" s="5" t="s">
        <v>73</v>
      </c>
      <c r="C245" s="9" t="s">
        <v>610</v>
      </c>
      <c r="D245" s="9" t="s">
        <v>3176</v>
      </c>
      <c r="E245" s="9" t="s">
        <v>90</v>
      </c>
      <c r="F245" s="5">
        <v>2026</v>
      </c>
      <c r="G245" s="5">
        <v>1145</v>
      </c>
      <c r="H245" s="5">
        <v>2029</v>
      </c>
      <c r="I245" s="5">
        <v>1531</v>
      </c>
      <c r="J245" s="5" t="s">
        <v>86</v>
      </c>
      <c r="K245" s="5">
        <v>10.199999999999999</v>
      </c>
      <c r="L245" s="5">
        <v>10.1683</v>
      </c>
      <c r="M245" s="5">
        <v>3.1699999999999999E-2</v>
      </c>
      <c r="N245" s="9" t="s">
        <v>11846</v>
      </c>
      <c r="O245" s="9" t="s">
        <v>11847</v>
      </c>
      <c r="P245" s="5">
        <v>2</v>
      </c>
      <c r="Q245" s="9"/>
      <c r="R245" s="9" t="s">
        <v>3927</v>
      </c>
      <c r="S245" s="9" t="str">
        <f>HYPERLINK("https://seichotoushi-hojo.jp/assets/pdf/koufu/outline_157.pdf","PDFを開く")</f>
        <v>PDFを開く</v>
      </c>
      <c r="T245" s="9" t="s">
        <v>615</v>
      </c>
      <c r="U245" s="9" t="s">
        <v>616</v>
      </c>
    </row>
    <row r="246" spans="1:21" ht="39.950000000000003" customHeight="1">
      <c r="A246" s="2" t="s">
        <v>609</v>
      </c>
      <c r="B246" s="2" t="s">
        <v>73</v>
      </c>
      <c r="C246" s="8" t="s">
        <v>610</v>
      </c>
      <c r="D246" s="8" t="s">
        <v>3184</v>
      </c>
      <c r="E246" s="8" t="s">
        <v>90</v>
      </c>
      <c r="F246" s="2">
        <v>2026</v>
      </c>
      <c r="G246" s="2">
        <v>470</v>
      </c>
      <c r="H246" s="2">
        <v>2029</v>
      </c>
      <c r="I246" s="2">
        <v>560</v>
      </c>
      <c r="J246" s="2" t="s">
        <v>86</v>
      </c>
      <c r="K246" s="2">
        <v>6</v>
      </c>
      <c r="L246" s="2">
        <v>6.0140000000000002</v>
      </c>
      <c r="M246" s="2">
        <v>1.4E-2</v>
      </c>
      <c r="N246" s="8" t="s">
        <v>11846</v>
      </c>
      <c r="O246" s="8" t="s">
        <v>11847</v>
      </c>
      <c r="P246" s="2">
        <v>2</v>
      </c>
      <c r="Q246" s="8"/>
      <c r="R246" s="8" t="s">
        <v>3929</v>
      </c>
      <c r="S246" s="8" t="str">
        <f>HYPERLINK("https://seichotoushi-hojo.jp/assets/pdf/koufu/outline_157.pdf","PDFを開く")</f>
        <v>PDFを開く</v>
      </c>
      <c r="T246" s="8" t="s">
        <v>615</v>
      </c>
      <c r="U246" s="8" t="s">
        <v>616</v>
      </c>
    </row>
    <row r="247" spans="1:21" ht="39.950000000000003" customHeight="1">
      <c r="A247" s="5" t="s">
        <v>609</v>
      </c>
      <c r="B247" s="5" t="s">
        <v>73</v>
      </c>
      <c r="C247" s="9" t="s">
        <v>610</v>
      </c>
      <c r="D247" s="9" t="s">
        <v>3188</v>
      </c>
      <c r="E247" s="9" t="s">
        <v>156</v>
      </c>
      <c r="F247" s="5"/>
      <c r="G247" s="5"/>
      <c r="H247" s="5"/>
      <c r="I247" s="5"/>
      <c r="J247" s="5"/>
      <c r="K247" s="5"/>
      <c r="L247" s="5"/>
      <c r="M247" s="5"/>
      <c r="N247" s="9" t="s">
        <v>11850</v>
      </c>
      <c r="O247" s="9"/>
      <c r="P247" s="5"/>
      <c r="Q247" s="9" t="s">
        <v>11851</v>
      </c>
      <c r="R247" s="9"/>
      <c r="S247" s="9" t="str">
        <f>HYPERLINK("https://seichotoushi-hojo.jp/assets/pdf/koufu/outline_157.pdf","PDFを開く")</f>
        <v>PDFを開く</v>
      </c>
      <c r="T247" s="9" t="s">
        <v>615</v>
      </c>
      <c r="U247" s="9" t="s">
        <v>616</v>
      </c>
    </row>
    <row r="248" spans="1:21" ht="39.950000000000003" customHeight="1">
      <c r="A248" s="2" t="s">
        <v>609</v>
      </c>
      <c r="B248" s="2" t="s">
        <v>73</v>
      </c>
      <c r="C248" s="8" t="s">
        <v>610</v>
      </c>
      <c r="D248" s="8" t="s">
        <v>3191</v>
      </c>
      <c r="E248" s="8" t="s">
        <v>92</v>
      </c>
      <c r="F248" s="2">
        <v>2026</v>
      </c>
      <c r="G248" s="2">
        <v>363</v>
      </c>
      <c r="H248" s="2">
        <v>2029</v>
      </c>
      <c r="I248" s="2">
        <v>370</v>
      </c>
      <c r="J248" s="2" t="s">
        <v>2513</v>
      </c>
      <c r="K248" s="2"/>
      <c r="L248" s="2"/>
      <c r="M248" s="2"/>
      <c r="N248" s="8" t="s">
        <v>11846</v>
      </c>
      <c r="O248" s="8" t="s">
        <v>11847</v>
      </c>
      <c r="P248" s="2">
        <v>2</v>
      </c>
      <c r="Q248" s="8"/>
      <c r="R248" s="8" t="s">
        <v>3932</v>
      </c>
      <c r="S248" s="8" t="str">
        <f>HYPERLINK("https://seichotoushi-hojo.jp/assets/pdf/koufu/outline_157.pdf","PDFを開く")</f>
        <v>PDFを開く</v>
      </c>
      <c r="T248" s="8" t="s">
        <v>615</v>
      </c>
      <c r="U248" s="8" t="s">
        <v>616</v>
      </c>
    </row>
    <row r="249" spans="1:21" ht="39.950000000000003" customHeight="1">
      <c r="A249" s="5" t="s">
        <v>617</v>
      </c>
      <c r="B249" s="5" t="s">
        <v>73</v>
      </c>
      <c r="C249" s="9" t="s">
        <v>618</v>
      </c>
      <c r="D249" s="9" t="s">
        <v>3176</v>
      </c>
      <c r="E249" s="9" t="s">
        <v>90</v>
      </c>
      <c r="F249" s="5">
        <v>2027</v>
      </c>
      <c r="G249" s="5">
        <v>1892</v>
      </c>
      <c r="H249" s="5">
        <v>2030</v>
      </c>
      <c r="I249" s="5">
        <v>2699</v>
      </c>
      <c r="J249" s="5" t="s">
        <v>86</v>
      </c>
      <c r="K249" s="5">
        <v>12.6</v>
      </c>
      <c r="L249" s="5">
        <v>12.571199999999999</v>
      </c>
      <c r="M249" s="5">
        <v>2.8799999999999999E-2</v>
      </c>
      <c r="N249" s="9" t="s">
        <v>11846</v>
      </c>
      <c r="O249" s="9" t="s">
        <v>11847</v>
      </c>
      <c r="P249" s="5">
        <v>2</v>
      </c>
      <c r="Q249" s="9"/>
      <c r="R249" s="9" t="s">
        <v>3936</v>
      </c>
      <c r="S249" s="9" t="str">
        <f>HYPERLINK("https://seichotoushi-hojo.jp/assets/pdf/koufu/outline_158.pdf","PDFを開く")</f>
        <v>PDFを開く</v>
      </c>
      <c r="T249" s="9" t="s">
        <v>623</v>
      </c>
      <c r="U249" s="9" t="s">
        <v>624</v>
      </c>
    </row>
    <row r="250" spans="1:21" ht="39.950000000000003" customHeight="1">
      <c r="A250" s="2" t="s">
        <v>617</v>
      </c>
      <c r="B250" s="2" t="s">
        <v>73</v>
      </c>
      <c r="C250" s="8" t="s">
        <v>618</v>
      </c>
      <c r="D250" s="8" t="s">
        <v>3184</v>
      </c>
      <c r="E250" s="8" t="s">
        <v>90</v>
      </c>
      <c r="F250" s="2">
        <v>2027</v>
      </c>
      <c r="G250" s="2">
        <v>483</v>
      </c>
      <c r="H250" s="2">
        <v>2030</v>
      </c>
      <c r="I250" s="2">
        <v>567</v>
      </c>
      <c r="J250" s="2" t="s">
        <v>86</v>
      </c>
      <c r="K250" s="2">
        <v>5.5</v>
      </c>
      <c r="L250" s="2">
        <v>5.4901999999999997</v>
      </c>
      <c r="M250" s="2">
        <v>9.7999999999999997E-3</v>
      </c>
      <c r="N250" s="8" t="s">
        <v>11846</v>
      </c>
      <c r="O250" s="8" t="s">
        <v>11847</v>
      </c>
      <c r="P250" s="2">
        <v>2</v>
      </c>
      <c r="Q250" s="8"/>
      <c r="R250" s="8" t="s">
        <v>3939</v>
      </c>
      <c r="S250" s="8" t="str">
        <f>HYPERLINK("https://seichotoushi-hojo.jp/assets/pdf/koufu/outline_158.pdf","PDFを開く")</f>
        <v>PDFを開く</v>
      </c>
      <c r="T250" s="8" t="s">
        <v>623</v>
      </c>
      <c r="U250" s="8" t="s">
        <v>624</v>
      </c>
    </row>
    <row r="251" spans="1:21" ht="39.950000000000003" customHeight="1">
      <c r="A251" s="5" t="s">
        <v>617</v>
      </c>
      <c r="B251" s="5" t="s">
        <v>73</v>
      </c>
      <c r="C251" s="9" t="s">
        <v>618</v>
      </c>
      <c r="D251" s="9" t="s">
        <v>3188</v>
      </c>
      <c r="E251" s="9" t="s">
        <v>90</v>
      </c>
      <c r="F251" s="5">
        <v>2027</v>
      </c>
      <c r="G251" s="5">
        <v>1902</v>
      </c>
      <c r="H251" s="5">
        <v>2030</v>
      </c>
      <c r="I251" s="5">
        <v>2170</v>
      </c>
      <c r="J251" s="5" t="s">
        <v>86</v>
      </c>
      <c r="K251" s="5">
        <v>4.5</v>
      </c>
      <c r="L251" s="5">
        <v>4.492</v>
      </c>
      <c r="M251" s="5">
        <v>8.0000000000000002E-3</v>
      </c>
      <c r="N251" s="9" t="s">
        <v>11846</v>
      </c>
      <c r="O251" s="9" t="s">
        <v>11847</v>
      </c>
      <c r="P251" s="5">
        <v>2</v>
      </c>
      <c r="Q251" s="9"/>
      <c r="R251" s="9" t="s">
        <v>3942</v>
      </c>
      <c r="S251" s="9" t="str">
        <f>HYPERLINK("https://seichotoushi-hojo.jp/assets/pdf/koufu/outline_158.pdf","PDFを開く")</f>
        <v>PDFを開く</v>
      </c>
      <c r="T251" s="9" t="s">
        <v>623</v>
      </c>
      <c r="U251" s="9" t="s">
        <v>624</v>
      </c>
    </row>
    <row r="252" spans="1:21" ht="39.950000000000003" customHeight="1">
      <c r="A252" s="2" t="s">
        <v>617</v>
      </c>
      <c r="B252" s="2" t="s">
        <v>73</v>
      </c>
      <c r="C252" s="8" t="s">
        <v>618</v>
      </c>
      <c r="D252" s="8" t="s">
        <v>3191</v>
      </c>
      <c r="E252" s="8" t="s">
        <v>92</v>
      </c>
      <c r="F252" s="2">
        <v>2027</v>
      </c>
      <c r="G252" s="2">
        <v>55</v>
      </c>
      <c r="H252" s="2">
        <v>2030</v>
      </c>
      <c r="I252" s="2">
        <v>80</v>
      </c>
      <c r="J252" s="2" t="s">
        <v>2513</v>
      </c>
      <c r="K252" s="2"/>
      <c r="L252" s="2"/>
      <c r="M252" s="2"/>
      <c r="N252" s="8" t="s">
        <v>11846</v>
      </c>
      <c r="O252" s="8" t="s">
        <v>11847</v>
      </c>
      <c r="P252" s="2">
        <v>2</v>
      </c>
      <c r="Q252" s="8"/>
      <c r="R252" s="8" t="s">
        <v>3945</v>
      </c>
      <c r="S252" s="8" t="str">
        <f>HYPERLINK("https://seichotoushi-hojo.jp/assets/pdf/koufu/outline_158.pdf","PDFを開く")</f>
        <v>PDFを開く</v>
      </c>
      <c r="T252" s="8" t="s">
        <v>623</v>
      </c>
      <c r="U252" s="8" t="s">
        <v>624</v>
      </c>
    </row>
    <row r="253" spans="1:21" ht="39.950000000000003" customHeight="1">
      <c r="A253" s="5" t="s">
        <v>625</v>
      </c>
      <c r="B253" s="5" t="s">
        <v>73</v>
      </c>
      <c r="C253" s="9" t="s">
        <v>626</v>
      </c>
      <c r="D253" s="9" t="s">
        <v>3176</v>
      </c>
      <c r="E253" s="9" t="s">
        <v>90</v>
      </c>
      <c r="F253" s="5">
        <v>2026</v>
      </c>
      <c r="G253" s="5">
        <v>730</v>
      </c>
      <c r="H253" s="5">
        <v>2029</v>
      </c>
      <c r="I253" s="5">
        <v>999</v>
      </c>
      <c r="J253" s="5" t="s">
        <v>86</v>
      </c>
      <c r="K253" s="5">
        <v>11</v>
      </c>
      <c r="L253" s="5">
        <v>11.023300000000001</v>
      </c>
      <c r="M253" s="5">
        <v>2.3300000000000001E-2</v>
      </c>
      <c r="N253" s="9" t="s">
        <v>11846</v>
      </c>
      <c r="O253" s="9" t="s">
        <v>11847</v>
      </c>
      <c r="P253" s="5">
        <v>2</v>
      </c>
      <c r="Q253" s="9"/>
      <c r="R253" s="9" t="s">
        <v>3946</v>
      </c>
      <c r="S253" s="9" t="str">
        <f>HYPERLINK("https://seichotoushi-hojo.jp/assets/pdf/koufu/outline_159.pdf","PDFを開く")</f>
        <v>PDFを開く</v>
      </c>
      <c r="T253" s="9" t="s">
        <v>632</v>
      </c>
      <c r="U253" s="9" t="s">
        <v>633</v>
      </c>
    </row>
    <row r="254" spans="1:21" ht="39.950000000000003" customHeight="1">
      <c r="A254" s="2" t="s">
        <v>625</v>
      </c>
      <c r="B254" s="2" t="s">
        <v>73</v>
      </c>
      <c r="C254" s="8" t="s">
        <v>626</v>
      </c>
      <c r="D254" s="8" t="s">
        <v>3184</v>
      </c>
      <c r="E254" s="8" t="s">
        <v>90</v>
      </c>
      <c r="F254" s="2">
        <v>2026</v>
      </c>
      <c r="G254" s="2">
        <v>326</v>
      </c>
      <c r="H254" s="2">
        <v>2029</v>
      </c>
      <c r="I254" s="2">
        <v>385</v>
      </c>
      <c r="J254" s="2" t="s">
        <v>86</v>
      </c>
      <c r="K254" s="2">
        <v>5.6</v>
      </c>
      <c r="L254" s="2">
        <v>5.7015000000000002</v>
      </c>
      <c r="M254" s="2">
        <v>0.10150000000000001</v>
      </c>
      <c r="N254" s="8" t="s">
        <v>11846</v>
      </c>
      <c r="O254" s="8" t="s">
        <v>11847</v>
      </c>
      <c r="P254" s="2">
        <v>2</v>
      </c>
      <c r="Q254" s="8"/>
      <c r="R254" s="8" t="s">
        <v>3948</v>
      </c>
      <c r="S254" s="8" t="str">
        <f>HYPERLINK("https://seichotoushi-hojo.jp/assets/pdf/koufu/outline_159.pdf","PDFを開く")</f>
        <v>PDFを開く</v>
      </c>
      <c r="T254" s="8" t="s">
        <v>632</v>
      </c>
      <c r="U254" s="8" t="s">
        <v>633</v>
      </c>
    </row>
    <row r="255" spans="1:21" ht="39.950000000000003" customHeight="1">
      <c r="A255" s="5" t="s">
        <v>625</v>
      </c>
      <c r="B255" s="5" t="s">
        <v>73</v>
      </c>
      <c r="C255" s="9" t="s">
        <v>626</v>
      </c>
      <c r="D255" s="9" t="s">
        <v>3188</v>
      </c>
      <c r="E255" s="9" t="s">
        <v>90</v>
      </c>
      <c r="F255" s="5">
        <v>2026</v>
      </c>
      <c r="G255" s="5">
        <v>1033</v>
      </c>
      <c r="H255" s="5">
        <v>2029</v>
      </c>
      <c r="I255" s="5">
        <v>1162</v>
      </c>
      <c r="J255" s="5" t="s">
        <v>86</v>
      </c>
      <c r="K255" s="5">
        <v>4</v>
      </c>
      <c r="L255" s="5">
        <v>4.0004999999999997</v>
      </c>
      <c r="M255" s="5">
        <v>5.0000000000000001E-4</v>
      </c>
      <c r="N255" s="9" t="s">
        <v>11846</v>
      </c>
      <c r="O255" s="9" t="s">
        <v>11847</v>
      </c>
      <c r="P255" s="5">
        <v>2</v>
      </c>
      <c r="Q255" s="9"/>
      <c r="R255" s="9" t="s">
        <v>3950</v>
      </c>
      <c r="S255" s="9" t="str">
        <f>HYPERLINK("https://seichotoushi-hojo.jp/assets/pdf/koufu/outline_159.pdf","PDFを開く")</f>
        <v>PDFを開く</v>
      </c>
      <c r="T255" s="9" t="s">
        <v>632</v>
      </c>
      <c r="U255" s="9" t="s">
        <v>633</v>
      </c>
    </row>
    <row r="256" spans="1:21" ht="39.950000000000003" customHeight="1">
      <c r="A256" s="2" t="s">
        <v>625</v>
      </c>
      <c r="B256" s="2" t="s">
        <v>73</v>
      </c>
      <c r="C256" s="8" t="s">
        <v>626</v>
      </c>
      <c r="D256" s="8" t="s">
        <v>3191</v>
      </c>
      <c r="E256" s="8" t="s">
        <v>92</v>
      </c>
      <c r="F256" s="2">
        <v>2026</v>
      </c>
      <c r="G256" s="2">
        <v>236</v>
      </c>
      <c r="H256" s="2">
        <v>2029</v>
      </c>
      <c r="I256" s="2">
        <v>236</v>
      </c>
      <c r="J256" s="2" t="s">
        <v>2513</v>
      </c>
      <c r="K256" s="2"/>
      <c r="L256" s="2"/>
      <c r="M256" s="2"/>
      <c r="N256" s="8" t="s">
        <v>11846</v>
      </c>
      <c r="O256" s="8" t="s">
        <v>11847</v>
      </c>
      <c r="P256" s="2">
        <v>2</v>
      </c>
      <c r="Q256" s="8"/>
      <c r="R256" s="8" t="s">
        <v>3952</v>
      </c>
      <c r="S256" s="8" t="str">
        <f>HYPERLINK("https://seichotoushi-hojo.jp/assets/pdf/koufu/outline_159.pdf","PDFを開く")</f>
        <v>PDFを開く</v>
      </c>
      <c r="T256" s="8" t="s">
        <v>632</v>
      </c>
      <c r="U256" s="8" t="s">
        <v>633</v>
      </c>
    </row>
    <row r="257" spans="1:21" ht="39.950000000000003" customHeight="1">
      <c r="A257" s="5" t="s">
        <v>634</v>
      </c>
      <c r="B257" s="5" t="s">
        <v>73</v>
      </c>
      <c r="C257" s="9" t="s">
        <v>635</v>
      </c>
      <c r="D257" s="9" t="s">
        <v>3176</v>
      </c>
      <c r="E257" s="9" t="s">
        <v>166</v>
      </c>
      <c r="F257" s="5">
        <v>2026</v>
      </c>
      <c r="G257" s="5">
        <v>724.9</v>
      </c>
      <c r="H257" s="5">
        <v>2029</v>
      </c>
      <c r="I257" s="5">
        <v>1033.0999999999999</v>
      </c>
      <c r="J257" s="5" t="s">
        <v>86</v>
      </c>
      <c r="K257" s="5">
        <v>12.4</v>
      </c>
      <c r="L257" s="5">
        <v>12.5351</v>
      </c>
      <c r="M257" s="5">
        <v>0.1351</v>
      </c>
      <c r="N257" s="9" t="s">
        <v>11846</v>
      </c>
      <c r="O257" s="9" t="s">
        <v>292</v>
      </c>
      <c r="P257" s="5">
        <v>2</v>
      </c>
      <c r="Q257" s="9"/>
      <c r="R257" s="9" t="s">
        <v>3984</v>
      </c>
      <c r="S257" s="9" t="str">
        <f>HYPERLINK("https://seichotoushi-hojo.jp/assets/pdf/koufu/outline_16.pdf","PDFを開く")</f>
        <v>PDFを開く</v>
      </c>
      <c r="T257" s="9" t="s">
        <v>643</v>
      </c>
      <c r="U257" s="9" t="s">
        <v>644</v>
      </c>
    </row>
    <row r="258" spans="1:21" ht="39.950000000000003" customHeight="1">
      <c r="A258" s="2" t="s">
        <v>634</v>
      </c>
      <c r="B258" s="2" t="s">
        <v>73</v>
      </c>
      <c r="C258" s="8" t="s">
        <v>635</v>
      </c>
      <c r="D258" s="8" t="s">
        <v>3184</v>
      </c>
      <c r="E258" s="8" t="s">
        <v>166</v>
      </c>
      <c r="F258" s="2">
        <v>2026</v>
      </c>
      <c r="G258" s="2">
        <v>428.8</v>
      </c>
      <c r="H258" s="2">
        <v>2029</v>
      </c>
      <c r="I258" s="2">
        <v>544.29999999999995</v>
      </c>
      <c r="J258" s="2" t="s">
        <v>86</v>
      </c>
      <c r="K258" s="2">
        <v>8.26</v>
      </c>
      <c r="L258" s="2">
        <v>8.2749000000000006</v>
      </c>
      <c r="M258" s="2">
        <v>1.49E-2</v>
      </c>
      <c r="N258" s="8" t="s">
        <v>11846</v>
      </c>
      <c r="O258" s="8" t="s">
        <v>292</v>
      </c>
      <c r="P258" s="2">
        <v>2</v>
      </c>
      <c r="Q258" s="8"/>
      <c r="R258" s="8" t="s">
        <v>3987</v>
      </c>
      <c r="S258" s="8" t="str">
        <f>HYPERLINK("https://seichotoushi-hojo.jp/assets/pdf/koufu/outline_16.pdf","PDFを開く")</f>
        <v>PDFを開く</v>
      </c>
      <c r="T258" s="8" t="s">
        <v>643</v>
      </c>
      <c r="U258" s="8" t="s">
        <v>644</v>
      </c>
    </row>
    <row r="259" spans="1:21" ht="39.950000000000003" customHeight="1">
      <c r="A259" s="5" t="s">
        <v>634</v>
      </c>
      <c r="B259" s="5" t="s">
        <v>73</v>
      </c>
      <c r="C259" s="9" t="s">
        <v>635</v>
      </c>
      <c r="D259" s="9" t="s">
        <v>3188</v>
      </c>
      <c r="E259" s="9" t="s">
        <v>156</v>
      </c>
      <c r="F259" s="5"/>
      <c r="G259" s="5"/>
      <c r="H259" s="5"/>
      <c r="I259" s="5"/>
      <c r="J259" s="5"/>
      <c r="K259" s="5"/>
      <c r="L259" s="5"/>
      <c r="M259" s="5"/>
      <c r="N259" s="9" t="s">
        <v>11850</v>
      </c>
      <c r="O259" s="9"/>
      <c r="P259" s="5"/>
      <c r="Q259" s="9" t="s">
        <v>11851</v>
      </c>
      <c r="R259" s="9"/>
      <c r="S259" s="9" t="str">
        <f>HYPERLINK("https://seichotoushi-hojo.jp/assets/pdf/koufu/outline_16.pdf","PDFを開く")</f>
        <v>PDFを開く</v>
      </c>
      <c r="T259" s="9" t="s">
        <v>643</v>
      </c>
      <c r="U259" s="9" t="s">
        <v>644</v>
      </c>
    </row>
    <row r="260" spans="1:21" ht="39.950000000000003" customHeight="1">
      <c r="A260" s="2" t="s">
        <v>634</v>
      </c>
      <c r="B260" s="2" t="s">
        <v>73</v>
      </c>
      <c r="C260" s="8" t="s">
        <v>635</v>
      </c>
      <c r="D260" s="8" t="s">
        <v>3191</v>
      </c>
      <c r="E260" s="8" t="s">
        <v>166</v>
      </c>
      <c r="F260" s="2">
        <v>2026</v>
      </c>
      <c r="G260" s="2">
        <v>118</v>
      </c>
      <c r="H260" s="2">
        <v>2029</v>
      </c>
      <c r="I260" s="2">
        <v>145</v>
      </c>
      <c r="J260" s="2" t="s">
        <v>2513</v>
      </c>
      <c r="K260" s="2"/>
      <c r="L260" s="2"/>
      <c r="M260" s="2"/>
      <c r="N260" s="8" t="s">
        <v>11846</v>
      </c>
      <c r="O260" s="8" t="s">
        <v>292</v>
      </c>
      <c r="P260" s="2">
        <v>2</v>
      </c>
      <c r="Q260" s="8"/>
      <c r="R260" s="8" t="s">
        <v>3990</v>
      </c>
      <c r="S260" s="8" t="str">
        <f>HYPERLINK("https://seichotoushi-hojo.jp/assets/pdf/koufu/outline_16.pdf","PDFを開く")</f>
        <v>PDFを開く</v>
      </c>
      <c r="T260" s="8" t="s">
        <v>643</v>
      </c>
      <c r="U260" s="8" t="s">
        <v>644</v>
      </c>
    </row>
    <row r="261" spans="1:21" ht="39.950000000000003" customHeight="1">
      <c r="A261" s="5" t="s">
        <v>645</v>
      </c>
      <c r="B261" s="5" t="s">
        <v>73</v>
      </c>
      <c r="C261" s="9" t="s">
        <v>646</v>
      </c>
      <c r="D261" s="9" t="s">
        <v>3176</v>
      </c>
      <c r="E261" s="9" t="s">
        <v>90</v>
      </c>
      <c r="F261" s="5"/>
      <c r="G261" s="5">
        <v>897</v>
      </c>
      <c r="H261" s="5"/>
      <c r="I261" s="5">
        <v>1332</v>
      </c>
      <c r="J261" s="5" t="s">
        <v>86</v>
      </c>
      <c r="K261" s="5">
        <v>14.1</v>
      </c>
      <c r="L261" s="5">
        <v>14.087300000000001</v>
      </c>
      <c r="M261" s="5">
        <v>1.2699999999999999E-2</v>
      </c>
      <c r="N261" s="9" t="s">
        <v>11853</v>
      </c>
      <c r="O261" s="9"/>
      <c r="P261" s="5">
        <v>2</v>
      </c>
      <c r="Q261" s="9"/>
      <c r="R261" s="9" t="s">
        <v>3991</v>
      </c>
      <c r="S261" s="9" t="str">
        <f>HYPERLINK("https://seichotoushi-hojo.jp/assets/pdf/koufu/outline_162.pdf","PDFを開く")</f>
        <v>PDFを開く</v>
      </c>
      <c r="T261" s="9" t="s">
        <v>651</v>
      </c>
      <c r="U261" s="9" t="s">
        <v>652</v>
      </c>
    </row>
    <row r="262" spans="1:21" ht="39.950000000000003" customHeight="1">
      <c r="A262" s="2" t="s">
        <v>645</v>
      </c>
      <c r="B262" s="2" t="s">
        <v>73</v>
      </c>
      <c r="C262" s="8" t="s">
        <v>646</v>
      </c>
      <c r="D262" s="8" t="s">
        <v>3184</v>
      </c>
      <c r="E262" s="8" t="s">
        <v>90</v>
      </c>
      <c r="F262" s="2"/>
      <c r="G262" s="2">
        <v>530</v>
      </c>
      <c r="H262" s="2"/>
      <c r="I262" s="2">
        <v>685</v>
      </c>
      <c r="J262" s="2" t="s">
        <v>86</v>
      </c>
      <c r="K262" s="2">
        <v>8.9</v>
      </c>
      <c r="L262" s="2">
        <v>8.9276999999999997</v>
      </c>
      <c r="M262" s="2">
        <v>2.7699999999999999E-2</v>
      </c>
      <c r="N262" s="8" t="s">
        <v>11853</v>
      </c>
      <c r="O262" s="8"/>
      <c r="P262" s="2">
        <v>2</v>
      </c>
      <c r="Q262" s="8"/>
      <c r="R262" s="8" t="s">
        <v>3994</v>
      </c>
      <c r="S262" s="8" t="str">
        <f>HYPERLINK("https://seichotoushi-hojo.jp/assets/pdf/koufu/outline_162.pdf","PDFを開く")</f>
        <v>PDFを開く</v>
      </c>
      <c r="T262" s="8" t="s">
        <v>651</v>
      </c>
      <c r="U262" s="8" t="s">
        <v>652</v>
      </c>
    </row>
    <row r="263" spans="1:21" ht="39.950000000000003" customHeight="1">
      <c r="A263" s="5" t="s">
        <v>645</v>
      </c>
      <c r="B263" s="5" t="s">
        <v>73</v>
      </c>
      <c r="C263" s="9" t="s">
        <v>646</v>
      </c>
      <c r="D263" s="9" t="s">
        <v>3188</v>
      </c>
      <c r="E263" s="9" t="s">
        <v>90</v>
      </c>
      <c r="F263" s="5"/>
      <c r="G263" s="5">
        <v>1753</v>
      </c>
      <c r="H263" s="5"/>
      <c r="I263" s="5">
        <v>2033</v>
      </c>
      <c r="J263" s="5" t="s">
        <v>86</v>
      </c>
      <c r="K263" s="5">
        <v>5.0999999999999996</v>
      </c>
      <c r="L263" s="5">
        <v>5.0635000000000003</v>
      </c>
      <c r="M263" s="5">
        <v>3.6499999999999998E-2</v>
      </c>
      <c r="N263" s="9" t="s">
        <v>11853</v>
      </c>
      <c r="O263" s="9"/>
      <c r="P263" s="5">
        <v>2</v>
      </c>
      <c r="Q263" s="9"/>
      <c r="R263" s="9" t="s">
        <v>3997</v>
      </c>
      <c r="S263" s="9" t="str">
        <f>HYPERLINK("https://seichotoushi-hojo.jp/assets/pdf/koufu/outline_162.pdf","PDFを開く")</f>
        <v>PDFを開く</v>
      </c>
      <c r="T263" s="9" t="s">
        <v>651</v>
      </c>
      <c r="U263" s="9" t="s">
        <v>652</v>
      </c>
    </row>
    <row r="264" spans="1:21" ht="39.950000000000003" customHeight="1">
      <c r="A264" s="2" t="s">
        <v>645</v>
      </c>
      <c r="B264" s="2" t="s">
        <v>73</v>
      </c>
      <c r="C264" s="8" t="s">
        <v>646</v>
      </c>
      <c r="D264" s="8" t="s">
        <v>3191</v>
      </c>
      <c r="E264" s="8" t="s">
        <v>92</v>
      </c>
      <c r="F264" s="2"/>
      <c r="G264" s="2">
        <v>136</v>
      </c>
      <c r="H264" s="2"/>
      <c r="I264" s="2">
        <v>141</v>
      </c>
      <c r="J264" s="2" t="s">
        <v>2513</v>
      </c>
      <c r="K264" s="2"/>
      <c r="L264" s="2"/>
      <c r="M264" s="2"/>
      <c r="N264" s="8" t="s">
        <v>11853</v>
      </c>
      <c r="O264" s="8"/>
      <c r="P264" s="2">
        <v>2</v>
      </c>
      <c r="Q264" s="8"/>
      <c r="R264" s="8" t="s">
        <v>4000</v>
      </c>
      <c r="S264" s="8" t="str">
        <f>HYPERLINK("https://seichotoushi-hojo.jp/assets/pdf/koufu/outline_162.pdf","PDFを開く")</f>
        <v>PDFを開く</v>
      </c>
      <c r="T264" s="8" t="s">
        <v>651</v>
      </c>
      <c r="U264" s="8" t="s">
        <v>652</v>
      </c>
    </row>
    <row r="265" spans="1:21" ht="39.950000000000003" customHeight="1">
      <c r="A265" s="5" t="s">
        <v>653</v>
      </c>
      <c r="B265" s="5" t="s">
        <v>73</v>
      </c>
      <c r="C265" s="9" t="s">
        <v>654</v>
      </c>
      <c r="D265" s="9" t="s">
        <v>3176</v>
      </c>
      <c r="E265" s="9" t="s">
        <v>90</v>
      </c>
      <c r="F265" s="5">
        <v>2026</v>
      </c>
      <c r="G265" s="5">
        <v>1400</v>
      </c>
      <c r="H265" s="5">
        <v>2029</v>
      </c>
      <c r="I265" s="5">
        <v>1643</v>
      </c>
      <c r="J265" s="5" t="s">
        <v>86</v>
      </c>
      <c r="K265" s="5">
        <v>5.5</v>
      </c>
      <c r="L265" s="5">
        <v>5.4798999999999998</v>
      </c>
      <c r="M265" s="5">
        <v>2.01E-2</v>
      </c>
      <c r="N265" s="9" t="s">
        <v>11846</v>
      </c>
      <c r="O265" s="9" t="s">
        <v>11847</v>
      </c>
      <c r="P265" s="5">
        <v>2</v>
      </c>
      <c r="Q265" s="9"/>
      <c r="R265" s="9" t="s">
        <v>4003</v>
      </c>
      <c r="S265" s="9" t="str">
        <f>HYPERLINK("https://seichotoushi-hojo.jp/assets/pdf/koufu/outline_164.pdf","PDFを開く")</f>
        <v>PDFを開く</v>
      </c>
      <c r="T265" s="9" t="s">
        <v>661</v>
      </c>
      <c r="U265" s="9" t="s">
        <v>662</v>
      </c>
    </row>
    <row r="266" spans="1:21" ht="39.950000000000003" customHeight="1">
      <c r="A266" s="2" t="s">
        <v>653</v>
      </c>
      <c r="B266" s="2" t="s">
        <v>73</v>
      </c>
      <c r="C266" s="8" t="s">
        <v>654</v>
      </c>
      <c r="D266" s="8" t="s">
        <v>3184</v>
      </c>
      <c r="E266" s="8" t="s">
        <v>90</v>
      </c>
      <c r="F266" s="2">
        <v>2026</v>
      </c>
      <c r="G266" s="2">
        <v>501</v>
      </c>
      <c r="H266" s="2">
        <v>2029</v>
      </c>
      <c r="I266" s="2">
        <v>564</v>
      </c>
      <c r="J266" s="2" t="s">
        <v>86</v>
      </c>
      <c r="K266" s="2">
        <v>4.0999999999999996</v>
      </c>
      <c r="L266" s="2">
        <v>4.0273000000000003</v>
      </c>
      <c r="M266" s="2">
        <v>7.2700000000000001E-2</v>
      </c>
      <c r="N266" s="8" t="s">
        <v>11846</v>
      </c>
      <c r="O266" s="8" t="s">
        <v>11847</v>
      </c>
      <c r="P266" s="2">
        <v>2</v>
      </c>
      <c r="Q266" s="8"/>
      <c r="R266" s="8" t="s">
        <v>4006</v>
      </c>
      <c r="S266" s="8" t="str">
        <f>HYPERLINK("https://seichotoushi-hojo.jp/assets/pdf/koufu/outline_164.pdf","PDFを開く")</f>
        <v>PDFを開く</v>
      </c>
      <c r="T266" s="8" t="s">
        <v>661</v>
      </c>
      <c r="U266" s="8" t="s">
        <v>662</v>
      </c>
    </row>
    <row r="267" spans="1:21" ht="39.950000000000003" customHeight="1">
      <c r="A267" s="5" t="s">
        <v>653</v>
      </c>
      <c r="B267" s="5" t="s">
        <v>73</v>
      </c>
      <c r="C267" s="9" t="s">
        <v>654</v>
      </c>
      <c r="D267" s="9" t="s">
        <v>3188</v>
      </c>
      <c r="E267" s="9" t="s">
        <v>91</v>
      </c>
      <c r="F267" s="5">
        <v>2026</v>
      </c>
      <c r="G267" s="5"/>
      <c r="H267" s="5">
        <v>2029</v>
      </c>
      <c r="I267" s="5"/>
      <c r="J267" s="5" t="s">
        <v>86</v>
      </c>
      <c r="K267" s="5">
        <v>5</v>
      </c>
      <c r="L267" s="5"/>
      <c r="M267" s="5"/>
      <c r="N267" s="9" t="s">
        <v>11846</v>
      </c>
      <c r="O267" s="9" t="s">
        <v>11848</v>
      </c>
      <c r="P267" s="5">
        <v>2</v>
      </c>
      <c r="Q267" s="9"/>
      <c r="R267" s="9" t="s">
        <v>3382</v>
      </c>
      <c r="S267" s="9" t="str">
        <f>HYPERLINK("https://seichotoushi-hojo.jp/assets/pdf/koufu/outline_164.pdf","PDFを開く")</f>
        <v>PDFを開く</v>
      </c>
      <c r="T267" s="9" t="s">
        <v>661</v>
      </c>
      <c r="U267" s="9" t="s">
        <v>662</v>
      </c>
    </row>
    <row r="268" spans="1:21" ht="39.950000000000003" customHeight="1">
      <c r="A268" s="2" t="s">
        <v>653</v>
      </c>
      <c r="B268" s="2" t="s">
        <v>73</v>
      </c>
      <c r="C268" s="8" t="s">
        <v>654</v>
      </c>
      <c r="D268" s="8" t="s">
        <v>3191</v>
      </c>
      <c r="E268" s="8" t="s">
        <v>92</v>
      </c>
      <c r="F268" s="2">
        <v>2026</v>
      </c>
      <c r="G268" s="2">
        <v>209</v>
      </c>
      <c r="H268" s="2">
        <v>2029</v>
      </c>
      <c r="I268" s="2">
        <v>222</v>
      </c>
      <c r="J268" s="2" t="s">
        <v>2513</v>
      </c>
      <c r="K268" s="2"/>
      <c r="L268" s="2"/>
      <c r="M268" s="2"/>
      <c r="N268" s="8" t="s">
        <v>11846</v>
      </c>
      <c r="O268" s="8" t="s">
        <v>11847</v>
      </c>
      <c r="P268" s="2">
        <v>2</v>
      </c>
      <c r="Q268" s="8"/>
      <c r="R268" s="8" t="s">
        <v>4009</v>
      </c>
      <c r="S268" s="8" t="str">
        <f>HYPERLINK("https://seichotoushi-hojo.jp/assets/pdf/koufu/outline_164.pdf","PDFを開く")</f>
        <v>PDFを開く</v>
      </c>
      <c r="T268" s="8" t="s">
        <v>661</v>
      </c>
      <c r="U268" s="8" t="s">
        <v>662</v>
      </c>
    </row>
    <row r="269" spans="1:21" ht="39.950000000000003" customHeight="1">
      <c r="A269" s="5" t="s">
        <v>663</v>
      </c>
      <c r="B269" s="5" t="s">
        <v>73</v>
      </c>
      <c r="C269" s="9" t="s">
        <v>664</v>
      </c>
      <c r="D269" s="9" t="s">
        <v>3176</v>
      </c>
      <c r="E269" s="9" t="s">
        <v>90</v>
      </c>
      <c r="F269" s="5">
        <v>2026</v>
      </c>
      <c r="G269" s="5">
        <v>1492</v>
      </c>
      <c r="H269" s="5">
        <v>2029</v>
      </c>
      <c r="I269" s="5">
        <v>2579</v>
      </c>
      <c r="J269" s="5" t="s">
        <v>86</v>
      </c>
      <c r="K269" s="5">
        <v>20</v>
      </c>
      <c r="L269" s="5">
        <v>20.012799999999999</v>
      </c>
      <c r="M269" s="5">
        <v>1.2800000000000001E-2</v>
      </c>
      <c r="N269" s="9" t="s">
        <v>11846</v>
      </c>
      <c r="O269" s="9" t="s">
        <v>11847</v>
      </c>
      <c r="P269" s="5">
        <v>2</v>
      </c>
      <c r="Q269" s="9"/>
      <c r="R269" s="9" t="s">
        <v>4013</v>
      </c>
      <c r="S269" s="9" t="str">
        <f>HYPERLINK("https://seichotoushi-hojo.jp/assets/pdf/koufu/outline_166.pdf","PDFを開く")</f>
        <v>PDFを開く</v>
      </c>
      <c r="T269" s="9" t="s">
        <v>669</v>
      </c>
      <c r="U269" s="9" t="s">
        <v>670</v>
      </c>
    </row>
    <row r="270" spans="1:21" ht="39.950000000000003" customHeight="1">
      <c r="A270" s="2" t="s">
        <v>663</v>
      </c>
      <c r="B270" s="2" t="s">
        <v>73</v>
      </c>
      <c r="C270" s="8" t="s">
        <v>664</v>
      </c>
      <c r="D270" s="8" t="s">
        <v>3184</v>
      </c>
      <c r="E270" s="8" t="s">
        <v>166</v>
      </c>
      <c r="F270" s="2">
        <v>2026</v>
      </c>
      <c r="G270" s="2">
        <v>622</v>
      </c>
      <c r="H270" s="2">
        <v>2029</v>
      </c>
      <c r="I270" s="2">
        <v>723</v>
      </c>
      <c r="J270" s="2" t="s">
        <v>86</v>
      </c>
      <c r="K270" s="2">
        <v>5.2</v>
      </c>
      <c r="L270" s="2">
        <v>5.1436000000000002</v>
      </c>
      <c r="M270" s="2">
        <v>5.6399999999999999E-2</v>
      </c>
      <c r="N270" s="8" t="s">
        <v>11846</v>
      </c>
      <c r="O270" s="8" t="s">
        <v>292</v>
      </c>
      <c r="P270" s="2">
        <v>2</v>
      </c>
      <c r="Q270" s="8"/>
      <c r="R270" s="8" t="s">
        <v>4021</v>
      </c>
      <c r="S270" s="8" t="str">
        <f>HYPERLINK("https://seichotoushi-hojo.jp/assets/pdf/koufu/outline_166.pdf","PDFを開く")</f>
        <v>PDFを開く</v>
      </c>
      <c r="T270" s="8" t="s">
        <v>669</v>
      </c>
      <c r="U270" s="8" t="s">
        <v>670</v>
      </c>
    </row>
    <row r="271" spans="1:21" ht="39.950000000000003" customHeight="1">
      <c r="A271" s="5" t="s">
        <v>663</v>
      </c>
      <c r="B271" s="5" t="s">
        <v>73</v>
      </c>
      <c r="C271" s="9" t="s">
        <v>664</v>
      </c>
      <c r="D271" s="9" t="s">
        <v>3188</v>
      </c>
      <c r="E271" s="9" t="s">
        <v>90</v>
      </c>
      <c r="F271" s="5">
        <v>2026</v>
      </c>
      <c r="G271" s="5">
        <v>1428</v>
      </c>
      <c r="H271" s="5">
        <v>2029</v>
      </c>
      <c r="I271" s="5">
        <v>1653</v>
      </c>
      <c r="J271" s="5" t="s">
        <v>86</v>
      </c>
      <c r="K271" s="5">
        <v>5</v>
      </c>
      <c r="L271" s="5">
        <v>4.9981</v>
      </c>
      <c r="M271" s="5">
        <v>1.9E-3</v>
      </c>
      <c r="N271" s="9" t="s">
        <v>11846</v>
      </c>
      <c r="O271" s="9" t="s">
        <v>11847</v>
      </c>
      <c r="P271" s="5">
        <v>2</v>
      </c>
      <c r="Q271" s="9"/>
      <c r="R271" s="9" t="s">
        <v>4018</v>
      </c>
      <c r="S271" s="9" t="str">
        <f>HYPERLINK("https://seichotoushi-hojo.jp/assets/pdf/koufu/outline_166.pdf","PDFを開く")</f>
        <v>PDFを開く</v>
      </c>
      <c r="T271" s="9" t="s">
        <v>669</v>
      </c>
      <c r="U271" s="9" t="s">
        <v>670</v>
      </c>
    </row>
    <row r="272" spans="1:21" ht="39.950000000000003" customHeight="1">
      <c r="A272" s="2" t="s">
        <v>663</v>
      </c>
      <c r="B272" s="2" t="s">
        <v>73</v>
      </c>
      <c r="C272" s="8" t="s">
        <v>664</v>
      </c>
      <c r="D272" s="8" t="s">
        <v>3191</v>
      </c>
      <c r="E272" s="8" t="s">
        <v>92</v>
      </c>
      <c r="F272" s="2">
        <v>2026</v>
      </c>
      <c r="G272" s="2">
        <v>33</v>
      </c>
      <c r="H272" s="2">
        <v>2029</v>
      </c>
      <c r="I272" s="2">
        <v>59</v>
      </c>
      <c r="J272" s="2" t="s">
        <v>2513</v>
      </c>
      <c r="K272" s="2"/>
      <c r="L272" s="2"/>
      <c r="M272" s="2"/>
      <c r="N272" s="8" t="s">
        <v>11846</v>
      </c>
      <c r="O272" s="8" t="s">
        <v>11847</v>
      </c>
      <c r="P272" s="2">
        <v>2</v>
      </c>
      <c r="Q272" s="8"/>
      <c r="R272" s="8" t="s">
        <v>4019</v>
      </c>
      <c r="S272" s="8" t="str">
        <f>HYPERLINK("https://seichotoushi-hojo.jp/assets/pdf/koufu/outline_166.pdf","PDFを開く")</f>
        <v>PDFを開く</v>
      </c>
      <c r="T272" s="8" t="s">
        <v>669</v>
      </c>
      <c r="U272" s="8" t="s">
        <v>670</v>
      </c>
    </row>
    <row r="273" spans="1:21" ht="39.950000000000003" customHeight="1">
      <c r="A273" s="5" t="s">
        <v>671</v>
      </c>
      <c r="B273" s="5" t="s">
        <v>73</v>
      </c>
      <c r="C273" s="9" t="s">
        <v>672</v>
      </c>
      <c r="D273" s="9" t="s">
        <v>3176</v>
      </c>
      <c r="E273" s="9" t="s">
        <v>90</v>
      </c>
      <c r="F273" s="5">
        <v>2026</v>
      </c>
      <c r="G273" s="5">
        <v>1554</v>
      </c>
      <c r="H273" s="5">
        <v>2029</v>
      </c>
      <c r="I273" s="5">
        <v>1911</v>
      </c>
      <c r="J273" s="5" t="s">
        <v>86</v>
      </c>
      <c r="K273" s="5">
        <v>7.1</v>
      </c>
      <c r="L273" s="5">
        <v>7.1363000000000003</v>
      </c>
      <c r="M273" s="5">
        <v>3.6299999999999999E-2</v>
      </c>
      <c r="N273" s="9" t="s">
        <v>11846</v>
      </c>
      <c r="O273" s="9" t="s">
        <v>11847</v>
      </c>
      <c r="P273" s="5">
        <v>2</v>
      </c>
      <c r="Q273" s="9"/>
      <c r="R273" s="9" t="s">
        <v>4023</v>
      </c>
      <c r="S273" s="9" t="str">
        <f>HYPERLINK("https://seichotoushi-hojo.jp/assets/pdf/koufu/outline_167.pdf","PDFを開く")</f>
        <v>PDFを開く</v>
      </c>
      <c r="T273" s="9" t="s">
        <v>678</v>
      </c>
      <c r="U273" s="9" t="s">
        <v>679</v>
      </c>
    </row>
    <row r="274" spans="1:21" ht="39.950000000000003" customHeight="1">
      <c r="A274" s="2" t="s">
        <v>671</v>
      </c>
      <c r="B274" s="2" t="s">
        <v>73</v>
      </c>
      <c r="C274" s="8" t="s">
        <v>672</v>
      </c>
      <c r="D274" s="8" t="s">
        <v>3184</v>
      </c>
      <c r="E274" s="8" t="s">
        <v>90</v>
      </c>
      <c r="F274" s="2">
        <v>2026</v>
      </c>
      <c r="G274" s="2">
        <v>558</v>
      </c>
      <c r="H274" s="2">
        <v>2029</v>
      </c>
      <c r="I274" s="2">
        <v>646</v>
      </c>
      <c r="J274" s="2" t="s">
        <v>86</v>
      </c>
      <c r="K274" s="2">
        <v>5</v>
      </c>
      <c r="L274" s="2">
        <v>5.0025000000000004</v>
      </c>
      <c r="M274" s="2">
        <v>2.5000000000000001E-3</v>
      </c>
      <c r="N274" s="8" t="s">
        <v>11846</v>
      </c>
      <c r="O274" s="8" t="s">
        <v>11847</v>
      </c>
      <c r="P274" s="2">
        <v>2</v>
      </c>
      <c r="Q274" s="8"/>
      <c r="R274" s="8" t="s">
        <v>4025</v>
      </c>
      <c r="S274" s="8" t="str">
        <f>HYPERLINK("https://seichotoushi-hojo.jp/assets/pdf/koufu/outline_167.pdf","PDFを開く")</f>
        <v>PDFを開く</v>
      </c>
      <c r="T274" s="8" t="s">
        <v>678</v>
      </c>
      <c r="U274" s="8" t="s">
        <v>679</v>
      </c>
    </row>
    <row r="275" spans="1:21" ht="39.950000000000003" customHeight="1">
      <c r="A275" s="5" t="s">
        <v>671</v>
      </c>
      <c r="B275" s="5" t="s">
        <v>73</v>
      </c>
      <c r="C275" s="9" t="s">
        <v>672</v>
      </c>
      <c r="D275" s="9" t="s">
        <v>3188</v>
      </c>
      <c r="E275" s="9" t="s">
        <v>90</v>
      </c>
      <c r="F275" s="5">
        <v>2026</v>
      </c>
      <c r="G275" s="5">
        <v>1061</v>
      </c>
      <c r="H275" s="5">
        <v>2029</v>
      </c>
      <c r="I275" s="5">
        <v>1229</v>
      </c>
      <c r="J275" s="5" t="s">
        <v>86</v>
      </c>
      <c r="K275" s="5">
        <v>5</v>
      </c>
      <c r="L275" s="5">
        <v>5.0216000000000003</v>
      </c>
      <c r="M275" s="5">
        <v>2.1600000000000001E-2</v>
      </c>
      <c r="N275" s="9" t="s">
        <v>11846</v>
      </c>
      <c r="O275" s="9" t="s">
        <v>11847</v>
      </c>
      <c r="P275" s="5">
        <v>2</v>
      </c>
      <c r="Q275" s="9"/>
      <c r="R275" s="9" t="s">
        <v>4028</v>
      </c>
      <c r="S275" s="9" t="str">
        <f>HYPERLINK("https://seichotoushi-hojo.jp/assets/pdf/koufu/outline_167.pdf","PDFを開く")</f>
        <v>PDFを開く</v>
      </c>
      <c r="T275" s="9" t="s">
        <v>678</v>
      </c>
      <c r="U275" s="9" t="s">
        <v>679</v>
      </c>
    </row>
    <row r="276" spans="1:21" ht="39.950000000000003" customHeight="1">
      <c r="A276" s="2" t="s">
        <v>671</v>
      </c>
      <c r="B276" s="2" t="s">
        <v>73</v>
      </c>
      <c r="C276" s="8" t="s">
        <v>672</v>
      </c>
      <c r="D276" s="8" t="s">
        <v>3191</v>
      </c>
      <c r="E276" s="8" t="s">
        <v>92</v>
      </c>
      <c r="F276" s="2">
        <v>2026</v>
      </c>
      <c r="G276" s="2">
        <v>379</v>
      </c>
      <c r="H276" s="2">
        <v>2029</v>
      </c>
      <c r="I276" s="2">
        <v>390</v>
      </c>
      <c r="J276" s="2" t="s">
        <v>2513</v>
      </c>
      <c r="K276" s="2"/>
      <c r="L276" s="2"/>
      <c r="M276" s="2"/>
      <c r="N276" s="8" t="s">
        <v>11846</v>
      </c>
      <c r="O276" s="8" t="s">
        <v>11847</v>
      </c>
      <c r="P276" s="2">
        <v>2</v>
      </c>
      <c r="Q276" s="8"/>
      <c r="R276" s="8" t="s">
        <v>4031</v>
      </c>
      <c r="S276" s="8" t="str">
        <f>HYPERLINK("https://seichotoushi-hojo.jp/assets/pdf/koufu/outline_167.pdf","PDFを開く")</f>
        <v>PDFを開く</v>
      </c>
      <c r="T276" s="8" t="s">
        <v>678</v>
      </c>
      <c r="U276" s="8" t="s">
        <v>679</v>
      </c>
    </row>
    <row r="277" spans="1:21" ht="39.950000000000003" customHeight="1">
      <c r="A277" s="5" t="s">
        <v>680</v>
      </c>
      <c r="B277" s="5" t="s">
        <v>73</v>
      </c>
      <c r="C277" s="9" t="s">
        <v>681</v>
      </c>
      <c r="D277" s="9" t="s">
        <v>3176</v>
      </c>
      <c r="E277" s="9" t="s">
        <v>90</v>
      </c>
      <c r="F277" s="5">
        <v>2027</v>
      </c>
      <c r="G277" s="5">
        <v>8275</v>
      </c>
      <c r="H277" s="5">
        <v>2030</v>
      </c>
      <c r="I277" s="5">
        <v>11703</v>
      </c>
      <c r="J277" s="5" t="s">
        <v>86</v>
      </c>
      <c r="K277" s="5">
        <v>12.2</v>
      </c>
      <c r="L277" s="5">
        <v>12.247400000000001</v>
      </c>
      <c r="M277" s="5">
        <v>4.7399999999999998E-2</v>
      </c>
      <c r="N277" s="9" t="s">
        <v>11846</v>
      </c>
      <c r="O277" s="9" t="s">
        <v>11847</v>
      </c>
      <c r="P277" s="5">
        <v>2</v>
      </c>
      <c r="Q277" s="9"/>
      <c r="R277" s="9" t="s">
        <v>4034</v>
      </c>
      <c r="S277" s="9" t="str">
        <f>HYPERLINK("https://seichotoushi-hojo.jp/assets/pdf/koufu/outline_168.pdf","PDFを開く")</f>
        <v>PDFを開く</v>
      </c>
      <c r="T277" s="9" t="s">
        <v>686</v>
      </c>
      <c r="U277" s="9" t="s">
        <v>687</v>
      </c>
    </row>
    <row r="278" spans="1:21" ht="39.950000000000003" customHeight="1">
      <c r="A278" s="2" t="s">
        <v>680</v>
      </c>
      <c r="B278" s="2" t="s">
        <v>73</v>
      </c>
      <c r="C278" s="8" t="s">
        <v>681</v>
      </c>
      <c r="D278" s="8" t="s">
        <v>3184</v>
      </c>
      <c r="E278" s="8" t="s">
        <v>90</v>
      </c>
      <c r="F278" s="2">
        <v>2027</v>
      </c>
      <c r="G278" s="2">
        <v>791</v>
      </c>
      <c r="H278" s="2">
        <v>2030</v>
      </c>
      <c r="I278" s="2">
        <v>929</v>
      </c>
      <c r="J278" s="2" t="s">
        <v>86</v>
      </c>
      <c r="K278" s="2">
        <v>5.5</v>
      </c>
      <c r="L278" s="2">
        <v>5.5065999999999997</v>
      </c>
      <c r="M278" s="2">
        <v>6.6E-3</v>
      </c>
      <c r="N278" s="8" t="s">
        <v>11846</v>
      </c>
      <c r="O278" s="8" t="s">
        <v>11847</v>
      </c>
      <c r="P278" s="2">
        <v>2</v>
      </c>
      <c r="Q278" s="8"/>
      <c r="R278" s="8" t="s">
        <v>4037</v>
      </c>
      <c r="S278" s="8" t="str">
        <f>HYPERLINK("https://seichotoushi-hojo.jp/assets/pdf/koufu/outline_168.pdf","PDFを開く")</f>
        <v>PDFを開く</v>
      </c>
      <c r="T278" s="8" t="s">
        <v>686</v>
      </c>
      <c r="U278" s="8" t="s">
        <v>687</v>
      </c>
    </row>
    <row r="279" spans="1:21" ht="39.950000000000003" customHeight="1">
      <c r="A279" s="5" t="s">
        <v>680</v>
      </c>
      <c r="B279" s="5" t="s">
        <v>73</v>
      </c>
      <c r="C279" s="9" t="s">
        <v>681</v>
      </c>
      <c r="D279" s="9" t="s">
        <v>3188</v>
      </c>
      <c r="E279" s="9" t="s">
        <v>156</v>
      </c>
      <c r="F279" s="5"/>
      <c r="G279" s="5"/>
      <c r="H279" s="5"/>
      <c r="I279" s="5"/>
      <c r="J279" s="5"/>
      <c r="K279" s="5"/>
      <c r="L279" s="5"/>
      <c r="M279" s="5"/>
      <c r="N279" s="9" t="s">
        <v>11850</v>
      </c>
      <c r="O279" s="9"/>
      <c r="P279" s="5"/>
      <c r="Q279" s="9" t="s">
        <v>11851</v>
      </c>
      <c r="R279" s="9"/>
      <c r="S279" s="9" t="str">
        <f>HYPERLINK("https://seichotoushi-hojo.jp/assets/pdf/koufu/outline_168.pdf","PDFを開く")</f>
        <v>PDFを開く</v>
      </c>
      <c r="T279" s="9" t="s">
        <v>686</v>
      </c>
      <c r="U279" s="9" t="s">
        <v>687</v>
      </c>
    </row>
    <row r="280" spans="1:21" ht="39.950000000000003" customHeight="1">
      <c r="A280" s="2" t="s">
        <v>680</v>
      </c>
      <c r="B280" s="2" t="s">
        <v>73</v>
      </c>
      <c r="C280" s="8" t="s">
        <v>681</v>
      </c>
      <c r="D280" s="8" t="s">
        <v>3191</v>
      </c>
      <c r="E280" s="8" t="s">
        <v>92</v>
      </c>
      <c r="F280" s="2">
        <v>2027</v>
      </c>
      <c r="G280" s="2">
        <v>30</v>
      </c>
      <c r="H280" s="2">
        <v>2030</v>
      </c>
      <c r="I280" s="2">
        <v>110</v>
      </c>
      <c r="J280" s="2" t="s">
        <v>2513</v>
      </c>
      <c r="K280" s="2"/>
      <c r="L280" s="2"/>
      <c r="M280" s="2"/>
      <c r="N280" s="8" t="s">
        <v>11846</v>
      </c>
      <c r="O280" s="8" t="s">
        <v>11847</v>
      </c>
      <c r="P280" s="2">
        <v>2</v>
      </c>
      <c r="Q280" s="8"/>
      <c r="R280" s="8" t="s">
        <v>4041</v>
      </c>
      <c r="S280" s="8" t="str">
        <f>HYPERLINK("https://seichotoushi-hojo.jp/assets/pdf/koufu/outline_168.pdf","PDFを開く")</f>
        <v>PDFを開く</v>
      </c>
      <c r="T280" s="8" t="s">
        <v>686</v>
      </c>
      <c r="U280" s="8" t="s">
        <v>687</v>
      </c>
    </row>
    <row r="281" spans="1:21" ht="39.950000000000003" customHeight="1">
      <c r="A281" s="5" t="s">
        <v>688</v>
      </c>
      <c r="B281" s="5" t="s">
        <v>73</v>
      </c>
      <c r="C281" s="9" t="s">
        <v>689</v>
      </c>
      <c r="D281" s="9" t="s">
        <v>3176</v>
      </c>
      <c r="E281" s="9" t="s">
        <v>90</v>
      </c>
      <c r="F281" s="5">
        <v>2027</v>
      </c>
      <c r="G281" s="5">
        <v>3059</v>
      </c>
      <c r="H281" s="5">
        <v>2030</v>
      </c>
      <c r="I281" s="5">
        <v>4247</v>
      </c>
      <c r="J281" s="5" t="s">
        <v>86</v>
      </c>
      <c r="K281" s="5">
        <v>11.6</v>
      </c>
      <c r="L281" s="5">
        <v>11.5581</v>
      </c>
      <c r="M281" s="5">
        <v>4.19E-2</v>
      </c>
      <c r="N281" s="9" t="s">
        <v>11846</v>
      </c>
      <c r="O281" s="9" t="s">
        <v>11847</v>
      </c>
      <c r="P281" s="5">
        <v>2</v>
      </c>
      <c r="Q281" s="9"/>
      <c r="R281" s="9" t="s">
        <v>4043</v>
      </c>
      <c r="S281" s="9" t="str">
        <f>HYPERLINK("https://seichotoushi-hojo.jp/assets/pdf/koufu/outline_169.pdf","PDFを開く")</f>
        <v>PDFを開く</v>
      </c>
      <c r="T281" s="9" t="s">
        <v>694</v>
      </c>
      <c r="U281" s="9" t="s">
        <v>695</v>
      </c>
    </row>
    <row r="282" spans="1:21" ht="39.950000000000003" customHeight="1">
      <c r="A282" s="2" t="s">
        <v>688</v>
      </c>
      <c r="B282" s="2" t="s">
        <v>73</v>
      </c>
      <c r="C282" s="8" t="s">
        <v>689</v>
      </c>
      <c r="D282" s="8" t="s">
        <v>3184</v>
      </c>
      <c r="E282" s="8" t="s">
        <v>90</v>
      </c>
      <c r="F282" s="2">
        <v>2027</v>
      </c>
      <c r="G282" s="2">
        <v>740</v>
      </c>
      <c r="H282" s="2">
        <v>2030</v>
      </c>
      <c r="I282" s="2">
        <v>881</v>
      </c>
      <c r="J282" s="2" t="s">
        <v>86</v>
      </c>
      <c r="K282" s="2">
        <v>6</v>
      </c>
      <c r="L282" s="2">
        <v>5.9859</v>
      </c>
      <c r="M282" s="2">
        <v>1.41E-2</v>
      </c>
      <c r="N282" s="8" t="s">
        <v>11846</v>
      </c>
      <c r="O282" s="8" t="s">
        <v>11847</v>
      </c>
      <c r="P282" s="2">
        <v>2</v>
      </c>
      <c r="Q282" s="8"/>
      <c r="R282" s="8" t="s">
        <v>4046</v>
      </c>
      <c r="S282" s="8" t="str">
        <f>HYPERLINK("https://seichotoushi-hojo.jp/assets/pdf/koufu/outline_169.pdf","PDFを開く")</f>
        <v>PDFを開く</v>
      </c>
      <c r="T282" s="8" t="s">
        <v>694</v>
      </c>
      <c r="U282" s="8" t="s">
        <v>695</v>
      </c>
    </row>
    <row r="283" spans="1:21" ht="39.950000000000003" customHeight="1">
      <c r="A283" s="5" t="s">
        <v>688</v>
      </c>
      <c r="B283" s="5" t="s">
        <v>73</v>
      </c>
      <c r="C283" s="9" t="s">
        <v>689</v>
      </c>
      <c r="D283" s="9" t="s">
        <v>3188</v>
      </c>
      <c r="E283" s="9" t="s">
        <v>157</v>
      </c>
      <c r="F283" s="5"/>
      <c r="G283" s="5"/>
      <c r="H283" s="5"/>
      <c r="I283" s="5"/>
      <c r="J283" s="5"/>
      <c r="K283" s="5"/>
      <c r="L283" s="5"/>
      <c r="M283" s="5"/>
      <c r="N283" s="9" t="s">
        <v>11850</v>
      </c>
      <c r="O283" s="9"/>
      <c r="P283" s="5"/>
      <c r="Q283" s="9" t="s">
        <v>11851</v>
      </c>
      <c r="R283" s="9"/>
      <c r="S283" s="9" t="str">
        <f>HYPERLINK("https://seichotoushi-hojo.jp/assets/pdf/koufu/outline_169.pdf","PDFを開く")</f>
        <v>PDFを開く</v>
      </c>
      <c r="T283" s="9" t="s">
        <v>694</v>
      </c>
      <c r="U283" s="9" t="s">
        <v>695</v>
      </c>
    </row>
    <row r="284" spans="1:21" ht="39.950000000000003" customHeight="1">
      <c r="A284" s="2" t="s">
        <v>688</v>
      </c>
      <c r="B284" s="2" t="s">
        <v>73</v>
      </c>
      <c r="C284" s="8" t="s">
        <v>689</v>
      </c>
      <c r="D284" s="8" t="s">
        <v>3191</v>
      </c>
      <c r="E284" s="8" t="s">
        <v>92</v>
      </c>
      <c r="F284" s="2">
        <v>2027</v>
      </c>
      <c r="G284" s="2">
        <v>158</v>
      </c>
      <c r="H284" s="2">
        <v>2030</v>
      </c>
      <c r="I284" s="2">
        <v>171</v>
      </c>
      <c r="J284" s="2" t="s">
        <v>2513</v>
      </c>
      <c r="K284" s="2"/>
      <c r="L284" s="2"/>
      <c r="M284" s="2"/>
      <c r="N284" s="8" t="s">
        <v>11846</v>
      </c>
      <c r="O284" s="8" t="s">
        <v>11847</v>
      </c>
      <c r="P284" s="2">
        <v>2</v>
      </c>
      <c r="Q284" s="8"/>
      <c r="R284" s="8" t="s">
        <v>4050</v>
      </c>
      <c r="S284" s="8" t="str">
        <f>HYPERLINK("https://seichotoushi-hojo.jp/assets/pdf/koufu/outline_169.pdf","PDFを開く")</f>
        <v>PDFを開く</v>
      </c>
      <c r="T284" s="8" t="s">
        <v>694</v>
      </c>
      <c r="U284" s="8" t="s">
        <v>695</v>
      </c>
    </row>
    <row r="285" spans="1:21" ht="39.950000000000003" customHeight="1">
      <c r="A285" s="5" t="s">
        <v>696</v>
      </c>
      <c r="B285" s="5" t="s">
        <v>73</v>
      </c>
      <c r="C285" s="9" t="s">
        <v>697</v>
      </c>
      <c r="D285" s="9" t="s">
        <v>3176</v>
      </c>
      <c r="E285" s="9" t="s">
        <v>90</v>
      </c>
      <c r="F285" s="5">
        <v>2026</v>
      </c>
      <c r="G285" s="5">
        <v>2439</v>
      </c>
      <c r="H285" s="5">
        <v>2029</v>
      </c>
      <c r="I285" s="5">
        <v>4187</v>
      </c>
      <c r="J285" s="5" t="s">
        <v>86</v>
      </c>
      <c r="K285" s="5">
        <v>19.78</v>
      </c>
      <c r="L285" s="5">
        <v>19.7376</v>
      </c>
      <c r="M285" s="5">
        <v>4.24E-2</v>
      </c>
      <c r="N285" s="9" t="s">
        <v>11846</v>
      </c>
      <c r="O285" s="9" t="s">
        <v>11847</v>
      </c>
      <c r="P285" s="5">
        <v>2</v>
      </c>
      <c r="Q285" s="9"/>
      <c r="R285" s="9" t="s">
        <v>4053</v>
      </c>
      <c r="S285" s="9" t="str">
        <f>HYPERLINK("https://seichotoushi-hojo.jp/assets/pdf/koufu/outline_17.pdf","PDFを開く")</f>
        <v>PDFを開く</v>
      </c>
      <c r="T285" s="9" t="s">
        <v>703</v>
      </c>
      <c r="U285" s="9" t="s">
        <v>704</v>
      </c>
    </row>
    <row r="286" spans="1:21" ht="39.950000000000003" customHeight="1">
      <c r="A286" s="2" t="s">
        <v>696</v>
      </c>
      <c r="B286" s="2" t="s">
        <v>73</v>
      </c>
      <c r="C286" s="8" t="s">
        <v>697</v>
      </c>
      <c r="D286" s="8" t="s">
        <v>3184</v>
      </c>
      <c r="E286" s="8" t="s">
        <v>90</v>
      </c>
      <c r="F286" s="2">
        <v>2026</v>
      </c>
      <c r="G286" s="2">
        <v>497</v>
      </c>
      <c r="H286" s="2">
        <v>2029</v>
      </c>
      <c r="I286" s="2">
        <v>580</v>
      </c>
      <c r="J286" s="2" t="s">
        <v>86</v>
      </c>
      <c r="K286" s="2">
        <v>5.34</v>
      </c>
      <c r="L286" s="2">
        <v>5.2827000000000002</v>
      </c>
      <c r="M286" s="2">
        <v>5.7299999999999997E-2</v>
      </c>
      <c r="N286" s="8" t="s">
        <v>11846</v>
      </c>
      <c r="O286" s="8" t="s">
        <v>11847</v>
      </c>
      <c r="P286" s="2">
        <v>2</v>
      </c>
      <c r="Q286" s="8"/>
      <c r="R286" s="8" t="s">
        <v>4056</v>
      </c>
      <c r="S286" s="8" t="str">
        <f>HYPERLINK("https://seichotoushi-hojo.jp/assets/pdf/koufu/outline_17.pdf","PDFを開く")</f>
        <v>PDFを開く</v>
      </c>
      <c r="T286" s="8" t="s">
        <v>703</v>
      </c>
      <c r="U286" s="8" t="s">
        <v>704</v>
      </c>
    </row>
    <row r="287" spans="1:21" ht="39.950000000000003" customHeight="1">
      <c r="A287" s="5" t="s">
        <v>696</v>
      </c>
      <c r="B287" s="5" t="s">
        <v>73</v>
      </c>
      <c r="C287" s="9" t="s">
        <v>697</v>
      </c>
      <c r="D287" s="9" t="s">
        <v>3188</v>
      </c>
      <c r="E287" s="9" t="s">
        <v>91</v>
      </c>
      <c r="F287" s="5">
        <v>2026</v>
      </c>
      <c r="G287" s="5"/>
      <c r="H287" s="5">
        <v>2029</v>
      </c>
      <c r="I287" s="5"/>
      <c r="J287" s="5" t="s">
        <v>86</v>
      </c>
      <c r="K287" s="5">
        <v>5</v>
      </c>
      <c r="L287" s="5"/>
      <c r="M287" s="5"/>
      <c r="N287" s="9" t="s">
        <v>11846</v>
      </c>
      <c r="O287" s="9" t="s">
        <v>11848</v>
      </c>
      <c r="P287" s="5">
        <v>2</v>
      </c>
      <c r="Q287" s="9"/>
      <c r="R287" s="9" t="s">
        <v>4062</v>
      </c>
      <c r="S287" s="9" t="str">
        <f>HYPERLINK("https://seichotoushi-hojo.jp/assets/pdf/koufu/outline_17.pdf","PDFを開く")</f>
        <v>PDFを開く</v>
      </c>
      <c r="T287" s="9" t="s">
        <v>703</v>
      </c>
      <c r="U287" s="9" t="s">
        <v>704</v>
      </c>
    </row>
    <row r="288" spans="1:21" ht="39.950000000000003" customHeight="1">
      <c r="A288" s="2" t="s">
        <v>696</v>
      </c>
      <c r="B288" s="2" t="s">
        <v>73</v>
      </c>
      <c r="C288" s="8" t="s">
        <v>697</v>
      </c>
      <c r="D288" s="8" t="s">
        <v>3191</v>
      </c>
      <c r="E288" s="8" t="s">
        <v>92</v>
      </c>
      <c r="F288" s="2">
        <v>2026</v>
      </c>
      <c r="G288" s="2">
        <v>213</v>
      </c>
      <c r="H288" s="2">
        <v>2029</v>
      </c>
      <c r="I288" s="2">
        <v>222</v>
      </c>
      <c r="J288" s="2" t="s">
        <v>2513</v>
      </c>
      <c r="K288" s="2"/>
      <c r="L288" s="2"/>
      <c r="M288" s="2"/>
      <c r="N288" s="8" t="s">
        <v>11846</v>
      </c>
      <c r="O288" s="8" t="s">
        <v>11847</v>
      </c>
      <c r="P288" s="2">
        <v>2</v>
      </c>
      <c r="Q288" s="8"/>
      <c r="R288" s="8" t="s">
        <v>4060</v>
      </c>
      <c r="S288" s="8" t="str">
        <f>HYPERLINK("https://seichotoushi-hojo.jp/assets/pdf/koufu/outline_17.pdf","PDFを開く")</f>
        <v>PDFを開く</v>
      </c>
      <c r="T288" s="8" t="s">
        <v>703</v>
      </c>
      <c r="U288" s="8" t="s">
        <v>704</v>
      </c>
    </row>
    <row r="289" spans="1:21" ht="39.950000000000003" customHeight="1">
      <c r="A289" s="5" t="s">
        <v>705</v>
      </c>
      <c r="B289" s="5" t="s">
        <v>73</v>
      </c>
      <c r="C289" s="9" t="s">
        <v>706</v>
      </c>
      <c r="D289" s="9" t="s">
        <v>3176</v>
      </c>
      <c r="E289" s="9" t="s">
        <v>90</v>
      </c>
      <c r="F289" s="5">
        <v>2026</v>
      </c>
      <c r="G289" s="5">
        <v>678</v>
      </c>
      <c r="H289" s="5">
        <v>2029</v>
      </c>
      <c r="I289" s="5">
        <v>852</v>
      </c>
      <c r="J289" s="5" t="s">
        <v>86</v>
      </c>
      <c r="K289" s="5">
        <v>7.9</v>
      </c>
      <c r="L289" s="5">
        <v>7.9120999999999997</v>
      </c>
      <c r="M289" s="5">
        <v>1.21E-2</v>
      </c>
      <c r="N289" s="9" t="s">
        <v>11846</v>
      </c>
      <c r="O289" s="9" t="s">
        <v>11847</v>
      </c>
      <c r="P289" s="5">
        <v>2</v>
      </c>
      <c r="Q289" s="9"/>
      <c r="R289" s="9" t="s">
        <v>4066</v>
      </c>
      <c r="S289" s="9" t="str">
        <f>HYPERLINK("https://seichotoushi-hojo.jp/assets/pdf/koufu/outline_170.pdf","PDFを開く")</f>
        <v>PDFを開く</v>
      </c>
      <c r="T289" s="9" t="s">
        <v>711</v>
      </c>
      <c r="U289" s="9" t="s">
        <v>712</v>
      </c>
    </row>
    <row r="290" spans="1:21" ht="39.950000000000003" customHeight="1">
      <c r="A290" s="2" t="s">
        <v>705</v>
      </c>
      <c r="B290" s="2" t="s">
        <v>73</v>
      </c>
      <c r="C290" s="8" t="s">
        <v>706</v>
      </c>
      <c r="D290" s="8" t="s">
        <v>3184</v>
      </c>
      <c r="E290" s="8" t="s">
        <v>90</v>
      </c>
      <c r="F290" s="2">
        <v>2026</v>
      </c>
      <c r="G290" s="2">
        <v>436</v>
      </c>
      <c r="H290" s="2">
        <v>2029</v>
      </c>
      <c r="I290" s="2">
        <v>499</v>
      </c>
      <c r="J290" s="2" t="s">
        <v>86</v>
      </c>
      <c r="K290" s="2">
        <v>4.5999999999999996</v>
      </c>
      <c r="L290" s="2">
        <v>4.6014999999999997</v>
      </c>
      <c r="M290" s="2">
        <v>1.5E-3</v>
      </c>
      <c r="N290" s="8" t="s">
        <v>11846</v>
      </c>
      <c r="O290" s="8" t="s">
        <v>11847</v>
      </c>
      <c r="P290" s="2">
        <v>2</v>
      </c>
      <c r="Q290" s="8"/>
      <c r="R290" s="8" t="s">
        <v>4069</v>
      </c>
      <c r="S290" s="8" t="str">
        <f>HYPERLINK("https://seichotoushi-hojo.jp/assets/pdf/koufu/outline_170.pdf","PDFを開く")</f>
        <v>PDFを開く</v>
      </c>
      <c r="T290" s="8" t="s">
        <v>711</v>
      </c>
      <c r="U290" s="8" t="s">
        <v>712</v>
      </c>
    </row>
    <row r="291" spans="1:21" ht="39.950000000000003" customHeight="1">
      <c r="A291" s="5" t="s">
        <v>705</v>
      </c>
      <c r="B291" s="5" t="s">
        <v>73</v>
      </c>
      <c r="C291" s="9" t="s">
        <v>706</v>
      </c>
      <c r="D291" s="9" t="s">
        <v>3188</v>
      </c>
      <c r="E291" s="9" t="s">
        <v>156</v>
      </c>
      <c r="F291" s="5"/>
      <c r="G291" s="5"/>
      <c r="H291" s="5"/>
      <c r="I291" s="5"/>
      <c r="J291" s="5"/>
      <c r="K291" s="5"/>
      <c r="L291" s="5"/>
      <c r="M291" s="5"/>
      <c r="N291" s="9" t="s">
        <v>11850</v>
      </c>
      <c r="O291" s="9"/>
      <c r="P291" s="5"/>
      <c r="Q291" s="9" t="s">
        <v>11851</v>
      </c>
      <c r="R291" s="9"/>
      <c r="S291" s="9" t="str">
        <f>HYPERLINK("https://seichotoushi-hojo.jp/assets/pdf/koufu/outline_170.pdf","PDFを開く")</f>
        <v>PDFを開く</v>
      </c>
      <c r="T291" s="9" t="s">
        <v>711</v>
      </c>
      <c r="U291" s="9" t="s">
        <v>712</v>
      </c>
    </row>
    <row r="292" spans="1:21" ht="39.950000000000003" customHeight="1">
      <c r="A292" s="2" t="s">
        <v>705</v>
      </c>
      <c r="B292" s="2" t="s">
        <v>73</v>
      </c>
      <c r="C292" s="8" t="s">
        <v>706</v>
      </c>
      <c r="D292" s="8" t="s">
        <v>3191</v>
      </c>
      <c r="E292" s="8" t="s">
        <v>92</v>
      </c>
      <c r="F292" s="2">
        <v>2026</v>
      </c>
      <c r="G292" s="2">
        <v>22</v>
      </c>
      <c r="H292" s="2">
        <v>2029</v>
      </c>
      <c r="I292" s="2">
        <v>77</v>
      </c>
      <c r="J292" s="2" t="s">
        <v>2513</v>
      </c>
      <c r="K292" s="2"/>
      <c r="L292" s="2"/>
      <c r="M292" s="2"/>
      <c r="N292" s="8" t="s">
        <v>11846</v>
      </c>
      <c r="O292" s="8" t="s">
        <v>11847</v>
      </c>
      <c r="P292" s="2">
        <v>2</v>
      </c>
      <c r="Q292" s="8"/>
      <c r="R292" s="8" t="s">
        <v>4072</v>
      </c>
      <c r="S292" s="8" t="str">
        <f>HYPERLINK("https://seichotoushi-hojo.jp/assets/pdf/koufu/outline_170.pdf","PDFを開く")</f>
        <v>PDFを開く</v>
      </c>
      <c r="T292" s="8" t="s">
        <v>711</v>
      </c>
      <c r="U292" s="8" t="s">
        <v>712</v>
      </c>
    </row>
    <row r="293" spans="1:21" ht="39.950000000000003" customHeight="1">
      <c r="A293" s="5" t="s">
        <v>713</v>
      </c>
      <c r="B293" s="5" t="s">
        <v>73</v>
      </c>
      <c r="C293" s="9" t="s">
        <v>714</v>
      </c>
      <c r="D293" s="9" t="s">
        <v>3176</v>
      </c>
      <c r="E293" s="9" t="s">
        <v>90</v>
      </c>
      <c r="F293" s="5">
        <v>2026</v>
      </c>
      <c r="G293" s="5">
        <v>1588</v>
      </c>
      <c r="H293" s="5">
        <v>2029</v>
      </c>
      <c r="I293" s="5">
        <v>2647</v>
      </c>
      <c r="J293" s="5" t="s">
        <v>86</v>
      </c>
      <c r="K293" s="5">
        <v>18.600000000000001</v>
      </c>
      <c r="L293" s="5">
        <v>18.568100000000001</v>
      </c>
      <c r="M293" s="5">
        <v>3.1899999999999998E-2</v>
      </c>
      <c r="N293" s="9" t="s">
        <v>11846</v>
      </c>
      <c r="O293" s="9" t="s">
        <v>11847</v>
      </c>
      <c r="P293" s="5">
        <v>2</v>
      </c>
      <c r="Q293" s="9"/>
      <c r="R293" s="9" t="s">
        <v>4075</v>
      </c>
      <c r="S293" s="9" t="str">
        <f>HYPERLINK("https://seichotoushi-hojo.jp/assets/pdf/koufu/outline_171.pdf","PDFを開く")</f>
        <v>PDFを開く</v>
      </c>
      <c r="T293" s="9" t="s">
        <v>718</v>
      </c>
      <c r="U293" s="9" t="s">
        <v>719</v>
      </c>
    </row>
    <row r="294" spans="1:21" ht="39.950000000000003" customHeight="1">
      <c r="A294" s="2" t="s">
        <v>713</v>
      </c>
      <c r="B294" s="2" t="s">
        <v>73</v>
      </c>
      <c r="C294" s="8" t="s">
        <v>714</v>
      </c>
      <c r="D294" s="8" t="s">
        <v>3184</v>
      </c>
      <c r="E294" s="8" t="s">
        <v>90</v>
      </c>
      <c r="F294" s="2">
        <v>2026</v>
      </c>
      <c r="G294" s="2">
        <v>408</v>
      </c>
      <c r="H294" s="2">
        <v>2029</v>
      </c>
      <c r="I294" s="2">
        <v>472</v>
      </c>
      <c r="J294" s="2" t="s">
        <v>86</v>
      </c>
      <c r="K294" s="2">
        <v>5</v>
      </c>
      <c r="L294" s="2">
        <v>4.9768999999999997</v>
      </c>
      <c r="M294" s="2">
        <v>2.3099999999999999E-2</v>
      </c>
      <c r="N294" s="8" t="s">
        <v>11846</v>
      </c>
      <c r="O294" s="8" t="s">
        <v>11847</v>
      </c>
      <c r="P294" s="2">
        <v>2</v>
      </c>
      <c r="Q294" s="8"/>
      <c r="R294" s="8" t="s">
        <v>4077</v>
      </c>
      <c r="S294" s="8" t="str">
        <f>HYPERLINK("https://seichotoushi-hojo.jp/assets/pdf/koufu/outline_171.pdf","PDFを開く")</f>
        <v>PDFを開く</v>
      </c>
      <c r="T294" s="8" t="s">
        <v>718</v>
      </c>
      <c r="U294" s="8" t="s">
        <v>719</v>
      </c>
    </row>
    <row r="295" spans="1:21" ht="39.950000000000003" customHeight="1">
      <c r="A295" s="5" t="s">
        <v>713</v>
      </c>
      <c r="B295" s="5" t="s">
        <v>73</v>
      </c>
      <c r="C295" s="9" t="s">
        <v>714</v>
      </c>
      <c r="D295" s="9" t="s">
        <v>3188</v>
      </c>
      <c r="E295" s="9" t="s">
        <v>157</v>
      </c>
      <c r="F295" s="5"/>
      <c r="G295" s="5"/>
      <c r="H295" s="5"/>
      <c r="I295" s="5"/>
      <c r="J295" s="5"/>
      <c r="K295" s="5"/>
      <c r="L295" s="5"/>
      <c r="M295" s="5"/>
      <c r="N295" s="9" t="s">
        <v>11850</v>
      </c>
      <c r="O295" s="9"/>
      <c r="P295" s="5"/>
      <c r="Q295" s="9" t="s">
        <v>11851</v>
      </c>
      <c r="R295" s="9"/>
      <c r="S295" s="9" t="str">
        <f>HYPERLINK("https://seichotoushi-hojo.jp/assets/pdf/koufu/outline_171.pdf","PDFを開く")</f>
        <v>PDFを開く</v>
      </c>
      <c r="T295" s="9" t="s">
        <v>718</v>
      </c>
      <c r="U295" s="9" t="s">
        <v>719</v>
      </c>
    </row>
    <row r="296" spans="1:21" ht="39.950000000000003" customHeight="1">
      <c r="A296" s="2" t="s">
        <v>713</v>
      </c>
      <c r="B296" s="2" t="s">
        <v>73</v>
      </c>
      <c r="C296" s="8" t="s">
        <v>714</v>
      </c>
      <c r="D296" s="8" t="s">
        <v>3191</v>
      </c>
      <c r="E296" s="8" t="s">
        <v>92</v>
      </c>
      <c r="F296" s="2">
        <v>2026</v>
      </c>
      <c r="G296" s="2">
        <v>99</v>
      </c>
      <c r="H296" s="2">
        <v>2029</v>
      </c>
      <c r="I296" s="2">
        <v>120</v>
      </c>
      <c r="J296" s="2" t="s">
        <v>2513</v>
      </c>
      <c r="K296" s="2"/>
      <c r="L296" s="2"/>
      <c r="M296" s="2"/>
      <c r="N296" s="8" t="s">
        <v>11846</v>
      </c>
      <c r="O296" s="8" t="s">
        <v>11847</v>
      </c>
      <c r="P296" s="2">
        <v>2</v>
      </c>
      <c r="Q296" s="8"/>
      <c r="R296" s="8" t="s">
        <v>4079</v>
      </c>
      <c r="S296" s="8" t="str">
        <f>HYPERLINK("https://seichotoushi-hojo.jp/assets/pdf/koufu/outline_171.pdf","PDFを開く")</f>
        <v>PDFを開く</v>
      </c>
      <c r="T296" s="8" t="s">
        <v>718</v>
      </c>
      <c r="U296" s="8" t="s">
        <v>719</v>
      </c>
    </row>
    <row r="297" spans="1:21" ht="39.950000000000003" customHeight="1">
      <c r="A297" s="5" t="s">
        <v>720</v>
      </c>
      <c r="B297" s="5" t="s">
        <v>73</v>
      </c>
      <c r="C297" s="9" t="s">
        <v>721</v>
      </c>
      <c r="D297" s="9" t="s">
        <v>3176</v>
      </c>
      <c r="E297" s="9" t="s">
        <v>90</v>
      </c>
      <c r="F297" s="5">
        <v>2025</v>
      </c>
      <c r="G297" s="5">
        <v>1074</v>
      </c>
      <c r="H297" s="5">
        <v>2028</v>
      </c>
      <c r="I297" s="5">
        <v>2592</v>
      </c>
      <c r="J297" s="5" t="s">
        <v>86</v>
      </c>
      <c r="K297" s="5">
        <v>34.200000000000003</v>
      </c>
      <c r="L297" s="5">
        <v>34.1355</v>
      </c>
      <c r="M297" s="5">
        <v>6.4500000000000002E-2</v>
      </c>
      <c r="N297" s="9" t="s">
        <v>11846</v>
      </c>
      <c r="O297" s="9" t="s">
        <v>11852</v>
      </c>
      <c r="P297" s="5">
        <v>2</v>
      </c>
      <c r="Q297" s="9"/>
      <c r="R297" s="9" t="s">
        <v>4082</v>
      </c>
      <c r="S297" s="9" t="str">
        <f>HYPERLINK("https://seichotoushi-hojo.jp/assets/pdf/koufu/outline_173.pdf","PDFを開く")</f>
        <v>PDFを開く</v>
      </c>
      <c r="T297" s="9" t="s">
        <v>726</v>
      </c>
      <c r="U297" s="9" t="s">
        <v>727</v>
      </c>
    </row>
    <row r="298" spans="1:21" ht="39.950000000000003" customHeight="1">
      <c r="A298" s="2" t="s">
        <v>720</v>
      </c>
      <c r="B298" s="2" t="s">
        <v>73</v>
      </c>
      <c r="C298" s="8" t="s">
        <v>721</v>
      </c>
      <c r="D298" s="8" t="s">
        <v>3184</v>
      </c>
      <c r="E298" s="8" t="s">
        <v>90</v>
      </c>
      <c r="F298" s="2">
        <v>2025</v>
      </c>
      <c r="G298" s="2">
        <v>539</v>
      </c>
      <c r="H298" s="2">
        <v>2028</v>
      </c>
      <c r="I298" s="2">
        <v>644</v>
      </c>
      <c r="J298" s="2" t="s">
        <v>86</v>
      </c>
      <c r="K298" s="2">
        <v>6.1</v>
      </c>
      <c r="L298" s="2">
        <v>6.1123000000000003</v>
      </c>
      <c r="M298" s="2">
        <v>1.23E-2</v>
      </c>
      <c r="N298" s="8" t="s">
        <v>11846</v>
      </c>
      <c r="O298" s="8" t="s">
        <v>11852</v>
      </c>
      <c r="P298" s="2">
        <v>2</v>
      </c>
      <c r="Q298" s="8"/>
      <c r="R298" s="8" t="s">
        <v>4085</v>
      </c>
      <c r="S298" s="8" t="str">
        <f>HYPERLINK("https://seichotoushi-hojo.jp/assets/pdf/koufu/outline_173.pdf","PDFを開く")</f>
        <v>PDFを開く</v>
      </c>
      <c r="T298" s="8" t="s">
        <v>726</v>
      </c>
      <c r="U298" s="8" t="s">
        <v>727</v>
      </c>
    </row>
    <row r="299" spans="1:21" ht="39.950000000000003" customHeight="1">
      <c r="A299" s="5" t="s">
        <v>720</v>
      </c>
      <c r="B299" s="5" t="s">
        <v>73</v>
      </c>
      <c r="C299" s="9" t="s">
        <v>721</v>
      </c>
      <c r="D299" s="9" t="s">
        <v>3188</v>
      </c>
      <c r="E299" s="9" t="s">
        <v>90</v>
      </c>
      <c r="F299" s="5">
        <v>2025</v>
      </c>
      <c r="G299" s="5">
        <v>1650</v>
      </c>
      <c r="H299" s="5">
        <v>2028</v>
      </c>
      <c r="I299" s="5">
        <v>1972</v>
      </c>
      <c r="J299" s="5" t="s">
        <v>86</v>
      </c>
      <c r="K299" s="5">
        <v>6.1</v>
      </c>
      <c r="L299" s="5">
        <v>6.1224999999999996</v>
      </c>
      <c r="M299" s="5">
        <v>2.2499999999999999E-2</v>
      </c>
      <c r="N299" s="9" t="s">
        <v>11846</v>
      </c>
      <c r="O299" s="9" t="s">
        <v>11852</v>
      </c>
      <c r="P299" s="5">
        <v>2</v>
      </c>
      <c r="Q299" s="9"/>
      <c r="R299" s="9" t="s">
        <v>4086</v>
      </c>
      <c r="S299" s="9" t="str">
        <f>HYPERLINK("https://seichotoushi-hojo.jp/assets/pdf/koufu/outline_173.pdf","PDFを開く")</f>
        <v>PDFを開く</v>
      </c>
      <c r="T299" s="9" t="s">
        <v>726</v>
      </c>
      <c r="U299" s="9" t="s">
        <v>727</v>
      </c>
    </row>
    <row r="300" spans="1:21" ht="39.950000000000003" customHeight="1">
      <c r="A300" s="2" t="s">
        <v>720</v>
      </c>
      <c r="B300" s="2" t="s">
        <v>73</v>
      </c>
      <c r="C300" s="8" t="s">
        <v>721</v>
      </c>
      <c r="D300" s="8" t="s">
        <v>3191</v>
      </c>
      <c r="E300" s="8" t="s">
        <v>92</v>
      </c>
      <c r="F300" s="2">
        <v>2025</v>
      </c>
      <c r="G300" s="2">
        <v>35</v>
      </c>
      <c r="H300" s="2">
        <v>2028</v>
      </c>
      <c r="I300" s="2">
        <v>36</v>
      </c>
      <c r="J300" s="2" t="s">
        <v>2513</v>
      </c>
      <c r="K300" s="2"/>
      <c r="L300" s="2"/>
      <c r="M300" s="2"/>
      <c r="N300" s="8" t="s">
        <v>11846</v>
      </c>
      <c r="O300" s="8" t="s">
        <v>11852</v>
      </c>
      <c r="P300" s="2">
        <v>2</v>
      </c>
      <c r="Q300" s="8"/>
      <c r="R300" s="8" t="s">
        <v>4089</v>
      </c>
      <c r="S300" s="8" t="str">
        <f>HYPERLINK("https://seichotoushi-hojo.jp/assets/pdf/koufu/outline_173.pdf","PDFを開く")</f>
        <v>PDFを開く</v>
      </c>
      <c r="T300" s="8" t="s">
        <v>726</v>
      </c>
      <c r="U300" s="8" t="s">
        <v>727</v>
      </c>
    </row>
    <row r="301" spans="1:21" ht="39.950000000000003" customHeight="1">
      <c r="A301" s="5" t="s">
        <v>728</v>
      </c>
      <c r="B301" s="5" t="s">
        <v>73</v>
      </c>
      <c r="C301" s="9" t="s">
        <v>729</v>
      </c>
      <c r="D301" s="9" t="s">
        <v>3176</v>
      </c>
      <c r="E301" s="22" t="s">
        <v>113</v>
      </c>
      <c r="F301" s="5">
        <v>2026</v>
      </c>
      <c r="G301" s="5">
        <v>1237</v>
      </c>
      <c r="H301" s="5">
        <v>2029</v>
      </c>
      <c r="I301" s="5">
        <v>1440</v>
      </c>
      <c r="J301" s="5" t="s">
        <v>86</v>
      </c>
      <c r="K301" s="5">
        <v>12.7</v>
      </c>
      <c r="L301" s="5">
        <v>5.1955999999999998</v>
      </c>
      <c r="M301" s="5">
        <v>7.5044000000000004</v>
      </c>
      <c r="N301" s="9" t="s">
        <v>11846</v>
      </c>
      <c r="O301" s="9" t="s">
        <v>292</v>
      </c>
      <c r="P301" s="5">
        <v>2</v>
      </c>
      <c r="Q301" s="9" t="s">
        <v>11849</v>
      </c>
      <c r="R301" s="9" t="s">
        <v>4116</v>
      </c>
      <c r="S301" s="9" t="str">
        <f>HYPERLINK("https://seichotoushi-hojo.jp/assets/pdf/koufu/outline_174.pdf","PDFを開く")</f>
        <v>PDFを開く</v>
      </c>
      <c r="T301" s="9" t="s">
        <v>734</v>
      </c>
      <c r="U301" s="9" t="s">
        <v>735</v>
      </c>
    </row>
    <row r="302" spans="1:21" ht="39.950000000000003" customHeight="1">
      <c r="A302" s="2" t="s">
        <v>728</v>
      </c>
      <c r="B302" s="2" t="s">
        <v>73</v>
      </c>
      <c r="C302" s="8" t="s">
        <v>729</v>
      </c>
      <c r="D302" s="8" t="s">
        <v>3184</v>
      </c>
      <c r="E302" s="8" t="s">
        <v>90</v>
      </c>
      <c r="F302" s="2">
        <v>2026</v>
      </c>
      <c r="G302" s="2">
        <v>352</v>
      </c>
      <c r="H302" s="2">
        <v>2029</v>
      </c>
      <c r="I302" s="2">
        <v>436</v>
      </c>
      <c r="J302" s="2" t="s">
        <v>86</v>
      </c>
      <c r="K302" s="2">
        <v>7.4</v>
      </c>
      <c r="L302" s="2">
        <v>7.3943000000000003</v>
      </c>
      <c r="M302" s="2">
        <v>5.7000000000000002E-3</v>
      </c>
      <c r="N302" s="8" t="s">
        <v>11846</v>
      </c>
      <c r="O302" s="8" t="s">
        <v>11852</v>
      </c>
      <c r="P302" s="2">
        <v>3</v>
      </c>
      <c r="Q302" s="8"/>
      <c r="R302" s="8" t="s">
        <v>4105</v>
      </c>
      <c r="S302" s="8" t="str">
        <f>HYPERLINK("https://seichotoushi-hojo.jp/assets/pdf/koufu/outline_174.pdf","PDFを開く")</f>
        <v>PDFを開く</v>
      </c>
      <c r="T302" s="8" t="s">
        <v>734</v>
      </c>
      <c r="U302" s="8" t="s">
        <v>735</v>
      </c>
    </row>
    <row r="303" spans="1:21" ht="39.950000000000003" customHeight="1">
      <c r="A303" s="5" t="s">
        <v>728</v>
      </c>
      <c r="B303" s="5" t="s">
        <v>73</v>
      </c>
      <c r="C303" s="9" t="s">
        <v>729</v>
      </c>
      <c r="D303" s="9" t="s">
        <v>3188</v>
      </c>
      <c r="E303" s="9" t="s">
        <v>90</v>
      </c>
      <c r="F303" s="5">
        <v>2026</v>
      </c>
      <c r="G303" s="5">
        <v>360</v>
      </c>
      <c r="H303" s="5">
        <v>2029</v>
      </c>
      <c r="I303" s="5">
        <v>1200</v>
      </c>
      <c r="J303" s="5" t="s">
        <v>86</v>
      </c>
      <c r="K303" s="5">
        <v>49</v>
      </c>
      <c r="L303" s="5">
        <v>49.380200000000002</v>
      </c>
      <c r="M303" s="5">
        <v>0.38019999999999998</v>
      </c>
      <c r="N303" s="9" t="s">
        <v>11846</v>
      </c>
      <c r="O303" s="9" t="s">
        <v>11852</v>
      </c>
      <c r="P303" s="5">
        <v>3</v>
      </c>
      <c r="Q303" s="9"/>
      <c r="R303" s="9" t="s">
        <v>4109</v>
      </c>
      <c r="S303" s="9" t="str">
        <f>HYPERLINK("https://seichotoushi-hojo.jp/assets/pdf/koufu/outline_174.pdf","PDFを開く")</f>
        <v>PDFを開く</v>
      </c>
      <c r="T303" s="9" t="s">
        <v>734</v>
      </c>
      <c r="U303" s="9" t="s">
        <v>735</v>
      </c>
    </row>
    <row r="304" spans="1:21" ht="39.950000000000003" customHeight="1">
      <c r="A304" s="2" t="s">
        <v>728</v>
      </c>
      <c r="B304" s="2" t="s">
        <v>73</v>
      </c>
      <c r="C304" s="8" t="s">
        <v>729</v>
      </c>
      <c r="D304" s="8" t="s">
        <v>3191</v>
      </c>
      <c r="E304" s="8" t="s">
        <v>92</v>
      </c>
      <c r="F304" s="2">
        <v>2026</v>
      </c>
      <c r="G304" s="2">
        <v>78</v>
      </c>
      <c r="H304" s="2">
        <v>2029</v>
      </c>
      <c r="I304" s="2">
        <v>130</v>
      </c>
      <c r="J304" s="2" t="s">
        <v>2513</v>
      </c>
      <c r="K304" s="2">
        <v>19</v>
      </c>
      <c r="L304" s="2"/>
      <c r="M304" s="2"/>
      <c r="N304" s="8" t="s">
        <v>11846</v>
      </c>
      <c r="O304" s="8" t="s">
        <v>11852</v>
      </c>
      <c r="P304" s="2">
        <v>3</v>
      </c>
      <c r="Q304" s="8"/>
      <c r="R304" s="8" t="s">
        <v>4112</v>
      </c>
      <c r="S304" s="8" t="str">
        <f>HYPERLINK("https://seichotoushi-hojo.jp/assets/pdf/koufu/outline_174.pdf","PDFを開く")</f>
        <v>PDFを開く</v>
      </c>
      <c r="T304" s="8" t="s">
        <v>734</v>
      </c>
      <c r="U304" s="8" t="s">
        <v>735</v>
      </c>
    </row>
    <row r="305" spans="1:21" ht="39.950000000000003" customHeight="1">
      <c r="A305" s="5" t="s">
        <v>736</v>
      </c>
      <c r="B305" s="5" t="s">
        <v>73</v>
      </c>
      <c r="C305" s="9" t="s">
        <v>737</v>
      </c>
      <c r="D305" s="9" t="s">
        <v>3176</v>
      </c>
      <c r="E305" s="9" t="s">
        <v>166</v>
      </c>
      <c r="F305" s="5">
        <v>2026</v>
      </c>
      <c r="G305" s="5">
        <v>2338</v>
      </c>
      <c r="H305" s="5">
        <v>2029</v>
      </c>
      <c r="I305" s="5">
        <v>3093</v>
      </c>
      <c r="J305" s="5" t="s">
        <v>86</v>
      </c>
      <c r="K305" s="5">
        <v>9.8000000000000007</v>
      </c>
      <c r="L305" s="5">
        <v>9.7771000000000008</v>
      </c>
      <c r="M305" s="5">
        <v>2.29E-2</v>
      </c>
      <c r="N305" s="9" t="s">
        <v>11846</v>
      </c>
      <c r="O305" s="9" t="s">
        <v>292</v>
      </c>
      <c r="P305" s="5">
        <v>2</v>
      </c>
      <c r="Q305" s="9"/>
      <c r="R305" s="9" t="s">
        <v>4129</v>
      </c>
      <c r="S305" s="9" t="str">
        <f>HYPERLINK("https://seichotoushi-hojo.jp/assets/pdf/koufu/outline_177.pdf","PDFを開く")</f>
        <v>PDFを開く</v>
      </c>
      <c r="T305" s="9" t="s">
        <v>743</v>
      </c>
      <c r="U305" s="9" t="s">
        <v>744</v>
      </c>
    </row>
    <row r="306" spans="1:21" ht="39.950000000000003" customHeight="1">
      <c r="A306" s="2" t="s">
        <v>736</v>
      </c>
      <c r="B306" s="2" t="s">
        <v>73</v>
      </c>
      <c r="C306" s="8" t="s">
        <v>737</v>
      </c>
      <c r="D306" s="8" t="s">
        <v>3184</v>
      </c>
      <c r="E306" s="8" t="s">
        <v>166</v>
      </c>
      <c r="F306" s="2">
        <v>2026</v>
      </c>
      <c r="G306" s="2">
        <v>640</v>
      </c>
      <c r="H306" s="2">
        <v>2029</v>
      </c>
      <c r="I306" s="2">
        <v>747</v>
      </c>
      <c r="J306" s="2" t="s">
        <v>86</v>
      </c>
      <c r="K306" s="2">
        <v>5.3</v>
      </c>
      <c r="L306" s="2">
        <v>5.2882999999999996</v>
      </c>
      <c r="M306" s="2">
        <v>1.17E-2</v>
      </c>
      <c r="N306" s="8" t="s">
        <v>11846</v>
      </c>
      <c r="O306" s="8" t="s">
        <v>292</v>
      </c>
      <c r="P306" s="2">
        <v>2</v>
      </c>
      <c r="Q306" s="8"/>
      <c r="R306" s="8" t="s">
        <v>4130</v>
      </c>
      <c r="S306" s="8" t="str">
        <f>HYPERLINK("https://seichotoushi-hojo.jp/assets/pdf/koufu/outline_177.pdf","PDFを開く")</f>
        <v>PDFを開く</v>
      </c>
      <c r="T306" s="8" t="s">
        <v>743</v>
      </c>
      <c r="U306" s="8" t="s">
        <v>744</v>
      </c>
    </row>
    <row r="307" spans="1:21" ht="39.950000000000003" customHeight="1">
      <c r="A307" s="5" t="s">
        <v>736</v>
      </c>
      <c r="B307" s="5" t="s">
        <v>73</v>
      </c>
      <c r="C307" s="9" t="s">
        <v>737</v>
      </c>
      <c r="D307" s="9" t="s">
        <v>3188</v>
      </c>
      <c r="E307" s="9" t="s">
        <v>90</v>
      </c>
      <c r="F307" s="5">
        <v>2026</v>
      </c>
      <c r="G307" s="5">
        <v>640</v>
      </c>
      <c r="H307" s="5">
        <v>2029</v>
      </c>
      <c r="I307" s="5">
        <v>747</v>
      </c>
      <c r="J307" s="5" t="s">
        <v>86</v>
      </c>
      <c r="K307" s="5">
        <v>5.3</v>
      </c>
      <c r="L307" s="5">
        <v>5.2882999999999996</v>
      </c>
      <c r="M307" s="5">
        <v>1.17E-2</v>
      </c>
      <c r="N307" s="9" t="s">
        <v>11846</v>
      </c>
      <c r="O307" s="9" t="s">
        <v>11852</v>
      </c>
      <c r="P307" s="5">
        <v>2</v>
      </c>
      <c r="Q307" s="9"/>
      <c r="R307" s="9" t="s">
        <v>4124</v>
      </c>
      <c r="S307" s="9" t="str">
        <f>HYPERLINK("https://seichotoushi-hojo.jp/assets/pdf/koufu/outline_177.pdf","PDFを開く")</f>
        <v>PDFを開く</v>
      </c>
      <c r="T307" s="9" t="s">
        <v>743</v>
      </c>
      <c r="U307" s="9" t="s">
        <v>744</v>
      </c>
    </row>
    <row r="308" spans="1:21" ht="39.950000000000003" customHeight="1">
      <c r="A308" s="2" t="s">
        <v>736</v>
      </c>
      <c r="B308" s="2" t="s">
        <v>73</v>
      </c>
      <c r="C308" s="8" t="s">
        <v>737</v>
      </c>
      <c r="D308" s="8" t="s">
        <v>3191</v>
      </c>
      <c r="E308" s="8" t="s">
        <v>166</v>
      </c>
      <c r="F308" s="2">
        <v>2026</v>
      </c>
      <c r="G308" s="2">
        <v>32</v>
      </c>
      <c r="H308" s="2">
        <v>2029</v>
      </c>
      <c r="I308" s="2">
        <v>45</v>
      </c>
      <c r="J308" s="2" t="s">
        <v>2513</v>
      </c>
      <c r="K308" s="2"/>
      <c r="L308" s="2"/>
      <c r="M308" s="2"/>
      <c r="N308" s="8" t="s">
        <v>11846</v>
      </c>
      <c r="O308" s="8" t="s">
        <v>292</v>
      </c>
      <c r="P308" s="2">
        <v>2</v>
      </c>
      <c r="Q308" s="8"/>
      <c r="R308" s="8" t="s">
        <v>4131</v>
      </c>
      <c r="S308" s="8" t="str">
        <f>HYPERLINK("https://seichotoushi-hojo.jp/assets/pdf/koufu/outline_177.pdf","PDFを開く")</f>
        <v>PDFを開く</v>
      </c>
      <c r="T308" s="8" t="s">
        <v>743</v>
      </c>
      <c r="U308" s="8" t="s">
        <v>744</v>
      </c>
    </row>
    <row r="309" spans="1:21" ht="39.950000000000003" customHeight="1">
      <c r="A309" s="5" t="s">
        <v>745</v>
      </c>
      <c r="B309" s="5" t="s">
        <v>73</v>
      </c>
      <c r="C309" s="9" t="s">
        <v>746</v>
      </c>
      <c r="D309" s="9" t="s">
        <v>3176</v>
      </c>
      <c r="E309" s="9" t="s">
        <v>90</v>
      </c>
      <c r="F309" s="5">
        <v>2026</v>
      </c>
      <c r="G309" s="5">
        <v>1407</v>
      </c>
      <c r="H309" s="5">
        <v>2029</v>
      </c>
      <c r="I309" s="5">
        <v>5456</v>
      </c>
      <c r="J309" s="5" t="s">
        <v>86</v>
      </c>
      <c r="K309" s="5">
        <v>57</v>
      </c>
      <c r="L309" s="5">
        <v>57.106200000000001</v>
      </c>
      <c r="M309" s="5">
        <v>0.1062</v>
      </c>
      <c r="N309" s="9" t="s">
        <v>11846</v>
      </c>
      <c r="O309" s="9" t="s">
        <v>11847</v>
      </c>
      <c r="P309" s="5">
        <v>2</v>
      </c>
      <c r="Q309" s="9"/>
      <c r="R309" s="9" t="s">
        <v>4133</v>
      </c>
      <c r="S309" s="9" t="str">
        <f>HYPERLINK("https://seichotoushi-hojo.jp/assets/pdf/koufu/outline_19.pdf","PDFを開く")</f>
        <v>PDFを開く</v>
      </c>
      <c r="T309" s="9" t="s">
        <v>751</v>
      </c>
      <c r="U309" s="9" t="s">
        <v>752</v>
      </c>
    </row>
    <row r="310" spans="1:21" ht="39.950000000000003" customHeight="1">
      <c r="A310" s="2" t="s">
        <v>745</v>
      </c>
      <c r="B310" s="2" t="s">
        <v>73</v>
      </c>
      <c r="C310" s="8" t="s">
        <v>746</v>
      </c>
      <c r="D310" s="8" t="s">
        <v>3184</v>
      </c>
      <c r="E310" s="8" t="s">
        <v>90</v>
      </c>
      <c r="F310" s="2">
        <v>2026</v>
      </c>
      <c r="G310" s="2">
        <v>428</v>
      </c>
      <c r="H310" s="2">
        <v>2029</v>
      </c>
      <c r="I310" s="2">
        <v>482</v>
      </c>
      <c r="J310" s="2" t="s">
        <v>86</v>
      </c>
      <c r="K310" s="2">
        <v>4</v>
      </c>
      <c r="L310" s="2">
        <v>4.0401999999999996</v>
      </c>
      <c r="M310" s="2">
        <v>4.02E-2</v>
      </c>
      <c r="N310" s="8" t="s">
        <v>11846</v>
      </c>
      <c r="O310" s="8" t="s">
        <v>11847</v>
      </c>
      <c r="P310" s="2">
        <v>2</v>
      </c>
      <c r="Q310" s="8"/>
      <c r="R310" s="8" t="s">
        <v>4136</v>
      </c>
      <c r="S310" s="8" t="str">
        <f>HYPERLINK("https://seichotoushi-hojo.jp/assets/pdf/koufu/outline_19.pdf","PDFを開く")</f>
        <v>PDFを開く</v>
      </c>
      <c r="T310" s="8" t="s">
        <v>751</v>
      </c>
      <c r="U310" s="8" t="s">
        <v>752</v>
      </c>
    </row>
    <row r="311" spans="1:21" ht="39.950000000000003" customHeight="1">
      <c r="A311" s="5" t="s">
        <v>745</v>
      </c>
      <c r="B311" s="5" t="s">
        <v>73</v>
      </c>
      <c r="C311" s="9" t="s">
        <v>746</v>
      </c>
      <c r="D311" s="9" t="s">
        <v>3188</v>
      </c>
      <c r="E311" s="9" t="s">
        <v>91</v>
      </c>
      <c r="F311" s="5">
        <v>2026</v>
      </c>
      <c r="G311" s="5"/>
      <c r="H311" s="5">
        <v>2029</v>
      </c>
      <c r="I311" s="5"/>
      <c r="J311" s="5" t="s">
        <v>86</v>
      </c>
      <c r="K311" s="5">
        <v>4</v>
      </c>
      <c r="L311" s="5"/>
      <c r="M311" s="5"/>
      <c r="N311" s="9" t="s">
        <v>11846</v>
      </c>
      <c r="O311" s="9" t="s">
        <v>11848</v>
      </c>
      <c r="P311" s="5">
        <v>2</v>
      </c>
      <c r="Q311" s="9"/>
      <c r="R311" s="9" t="s">
        <v>4140</v>
      </c>
      <c r="S311" s="9" t="str">
        <f>HYPERLINK("https://seichotoushi-hojo.jp/assets/pdf/koufu/outline_19.pdf","PDFを開く")</f>
        <v>PDFを開く</v>
      </c>
      <c r="T311" s="9" t="s">
        <v>751</v>
      </c>
      <c r="U311" s="9" t="s">
        <v>752</v>
      </c>
    </row>
    <row r="312" spans="1:21" ht="39.950000000000003" customHeight="1">
      <c r="A312" s="2" t="s">
        <v>745</v>
      </c>
      <c r="B312" s="2" t="s">
        <v>73</v>
      </c>
      <c r="C312" s="8" t="s">
        <v>746</v>
      </c>
      <c r="D312" s="8" t="s">
        <v>3191</v>
      </c>
      <c r="E312" s="8" t="s">
        <v>92</v>
      </c>
      <c r="F312" s="2">
        <v>2026</v>
      </c>
      <c r="G312" s="2">
        <v>23</v>
      </c>
      <c r="H312" s="2">
        <v>2029</v>
      </c>
      <c r="I312" s="2">
        <v>32</v>
      </c>
      <c r="J312" s="2" t="s">
        <v>2513</v>
      </c>
      <c r="K312" s="2"/>
      <c r="L312" s="2"/>
      <c r="M312" s="2"/>
      <c r="N312" s="8" t="s">
        <v>11846</v>
      </c>
      <c r="O312" s="8" t="s">
        <v>11847</v>
      </c>
      <c r="P312" s="2">
        <v>2</v>
      </c>
      <c r="Q312" s="8"/>
      <c r="R312" s="8" t="s">
        <v>4138</v>
      </c>
      <c r="S312" s="8" t="str">
        <f>HYPERLINK("https://seichotoushi-hojo.jp/assets/pdf/koufu/outline_19.pdf","PDFを開く")</f>
        <v>PDFを開く</v>
      </c>
      <c r="T312" s="8" t="s">
        <v>751</v>
      </c>
      <c r="U312" s="8" t="s">
        <v>752</v>
      </c>
    </row>
    <row r="313" spans="1:21" ht="39.950000000000003" customHeight="1">
      <c r="A313" s="5" t="s">
        <v>753</v>
      </c>
      <c r="B313" s="5" t="s">
        <v>73</v>
      </c>
      <c r="C313" s="9" t="s">
        <v>754</v>
      </c>
      <c r="D313" s="9" t="s">
        <v>3176</v>
      </c>
      <c r="E313" s="9" t="s">
        <v>90</v>
      </c>
      <c r="F313" s="5">
        <v>2024</v>
      </c>
      <c r="G313" s="5">
        <v>1376</v>
      </c>
      <c r="H313" s="5">
        <v>2027</v>
      </c>
      <c r="I313" s="5">
        <v>4166</v>
      </c>
      <c r="J313" s="5" t="s">
        <v>86</v>
      </c>
      <c r="K313" s="5">
        <v>44.7</v>
      </c>
      <c r="L313" s="5">
        <v>44.666200000000003</v>
      </c>
      <c r="M313" s="5">
        <v>3.3799999999999997E-2</v>
      </c>
      <c r="N313" s="9" t="s">
        <v>11846</v>
      </c>
      <c r="O313" s="9" t="s">
        <v>11847</v>
      </c>
      <c r="P313" s="5">
        <v>2</v>
      </c>
      <c r="Q313" s="9"/>
      <c r="R313" s="9" t="s">
        <v>4144</v>
      </c>
      <c r="S313" s="9" t="str">
        <f>HYPERLINK("https://seichotoushi-hojo.jp/assets/pdf/koufu/outline_2.pdf","PDFを開く")</f>
        <v>PDFを開く</v>
      </c>
      <c r="T313" s="9" t="s">
        <v>759</v>
      </c>
      <c r="U313" s="9" t="s">
        <v>760</v>
      </c>
    </row>
    <row r="314" spans="1:21" ht="39.950000000000003" customHeight="1">
      <c r="A314" s="2" t="s">
        <v>753</v>
      </c>
      <c r="B314" s="2" t="s">
        <v>73</v>
      </c>
      <c r="C314" s="8" t="s">
        <v>754</v>
      </c>
      <c r="D314" s="8" t="s">
        <v>3184</v>
      </c>
      <c r="E314" s="8" t="s">
        <v>90</v>
      </c>
      <c r="F314" s="2">
        <v>2024</v>
      </c>
      <c r="G314" s="2">
        <v>661</v>
      </c>
      <c r="H314" s="2">
        <v>2027</v>
      </c>
      <c r="I314" s="2">
        <v>832</v>
      </c>
      <c r="J314" s="2" t="s">
        <v>86</v>
      </c>
      <c r="K314" s="2">
        <v>8</v>
      </c>
      <c r="L314" s="2">
        <v>7.9710000000000001</v>
      </c>
      <c r="M314" s="2">
        <v>2.9000000000000001E-2</v>
      </c>
      <c r="N314" s="8" t="s">
        <v>11846</v>
      </c>
      <c r="O314" s="8" t="s">
        <v>11847</v>
      </c>
      <c r="P314" s="2">
        <v>2</v>
      </c>
      <c r="Q314" s="8"/>
      <c r="R314" s="8" t="s">
        <v>4148</v>
      </c>
      <c r="S314" s="8" t="str">
        <f>HYPERLINK("https://seichotoushi-hojo.jp/assets/pdf/koufu/outline_2.pdf","PDFを開く")</f>
        <v>PDFを開く</v>
      </c>
      <c r="T314" s="8" t="s">
        <v>759</v>
      </c>
      <c r="U314" s="8" t="s">
        <v>760</v>
      </c>
    </row>
    <row r="315" spans="1:21" ht="39.950000000000003" customHeight="1">
      <c r="A315" s="5" t="s">
        <v>753</v>
      </c>
      <c r="B315" s="5" t="s">
        <v>73</v>
      </c>
      <c r="C315" s="9" t="s">
        <v>754</v>
      </c>
      <c r="D315" s="9" t="s">
        <v>3188</v>
      </c>
      <c r="E315" s="9" t="s">
        <v>90</v>
      </c>
      <c r="F315" s="5">
        <v>2024</v>
      </c>
      <c r="G315" s="5">
        <v>3407</v>
      </c>
      <c r="H315" s="5">
        <v>2027</v>
      </c>
      <c r="I315" s="5">
        <v>4292</v>
      </c>
      <c r="J315" s="5" t="s">
        <v>86</v>
      </c>
      <c r="K315" s="5">
        <v>8</v>
      </c>
      <c r="L315" s="5">
        <v>8.0014000000000003</v>
      </c>
      <c r="M315" s="5">
        <v>1.4E-3</v>
      </c>
      <c r="N315" s="9" t="s">
        <v>11846</v>
      </c>
      <c r="O315" s="9" t="s">
        <v>11847</v>
      </c>
      <c r="P315" s="5">
        <v>2</v>
      </c>
      <c r="Q315" s="9"/>
      <c r="R315" s="9" t="s">
        <v>4151</v>
      </c>
      <c r="S315" s="9" t="str">
        <f>HYPERLINK("https://seichotoushi-hojo.jp/assets/pdf/koufu/outline_2.pdf","PDFを開く")</f>
        <v>PDFを開く</v>
      </c>
      <c r="T315" s="9" t="s">
        <v>759</v>
      </c>
      <c r="U315" s="9" t="s">
        <v>760</v>
      </c>
    </row>
    <row r="316" spans="1:21" ht="39.950000000000003" customHeight="1">
      <c r="A316" s="2" t="s">
        <v>753</v>
      </c>
      <c r="B316" s="2" t="s">
        <v>73</v>
      </c>
      <c r="C316" s="8" t="s">
        <v>754</v>
      </c>
      <c r="D316" s="8" t="s">
        <v>3191</v>
      </c>
      <c r="E316" s="8" t="s">
        <v>92</v>
      </c>
      <c r="F316" s="2">
        <v>2024</v>
      </c>
      <c r="G316" s="2">
        <v>2</v>
      </c>
      <c r="H316" s="2">
        <v>2027</v>
      </c>
      <c r="I316" s="2">
        <v>37</v>
      </c>
      <c r="J316" s="2" t="s">
        <v>2513</v>
      </c>
      <c r="K316" s="2"/>
      <c r="L316" s="2"/>
      <c r="M316" s="2"/>
      <c r="N316" s="8" t="s">
        <v>11846</v>
      </c>
      <c r="O316" s="8" t="s">
        <v>11847</v>
      </c>
      <c r="P316" s="2">
        <v>2</v>
      </c>
      <c r="Q316" s="8"/>
      <c r="R316" s="8" t="s">
        <v>4154</v>
      </c>
      <c r="S316" s="8" t="str">
        <f>HYPERLINK("https://seichotoushi-hojo.jp/assets/pdf/koufu/outline_2.pdf","PDFを開く")</f>
        <v>PDFを開く</v>
      </c>
      <c r="T316" s="8" t="s">
        <v>759</v>
      </c>
      <c r="U316" s="8" t="s">
        <v>760</v>
      </c>
    </row>
    <row r="317" spans="1:21" ht="39.950000000000003" customHeight="1">
      <c r="A317" s="5" t="s">
        <v>761</v>
      </c>
      <c r="B317" s="5" t="s">
        <v>73</v>
      </c>
      <c r="C317" s="9" t="s">
        <v>762</v>
      </c>
      <c r="D317" s="9" t="s">
        <v>3176</v>
      </c>
      <c r="E317" s="9" t="s">
        <v>90</v>
      </c>
      <c r="F317" s="5">
        <v>2025</v>
      </c>
      <c r="G317" s="5">
        <v>887</v>
      </c>
      <c r="H317" s="5">
        <v>2028</v>
      </c>
      <c r="I317" s="5">
        <v>1224</v>
      </c>
      <c r="J317" s="5" t="s">
        <v>86</v>
      </c>
      <c r="K317" s="5">
        <v>11.3</v>
      </c>
      <c r="L317" s="5">
        <v>11.331799999999999</v>
      </c>
      <c r="M317" s="5">
        <v>3.1800000000000002E-2</v>
      </c>
      <c r="N317" s="9" t="s">
        <v>11846</v>
      </c>
      <c r="O317" s="9" t="s">
        <v>11847</v>
      </c>
      <c r="P317" s="5">
        <v>2</v>
      </c>
      <c r="Q317" s="9"/>
      <c r="R317" s="9" t="s">
        <v>4157</v>
      </c>
      <c r="S317" s="9" t="str">
        <f>HYPERLINK("https://seichotoushi-hojo.jp/assets/pdf/koufu/outline_20.pdf","PDFを開く")</f>
        <v>PDFを開く</v>
      </c>
      <c r="T317" s="9" t="s">
        <v>767</v>
      </c>
      <c r="U317" s="9" t="s">
        <v>768</v>
      </c>
    </row>
    <row r="318" spans="1:21" ht="39.950000000000003" customHeight="1">
      <c r="A318" s="2" t="s">
        <v>761</v>
      </c>
      <c r="B318" s="2" t="s">
        <v>73</v>
      </c>
      <c r="C318" s="8" t="s">
        <v>762</v>
      </c>
      <c r="D318" s="8" t="s">
        <v>3184</v>
      </c>
      <c r="E318" s="8" t="s">
        <v>90</v>
      </c>
      <c r="F318" s="2">
        <v>2025</v>
      </c>
      <c r="G318" s="2">
        <v>394</v>
      </c>
      <c r="H318" s="2">
        <v>2028</v>
      </c>
      <c r="I318" s="2">
        <v>454</v>
      </c>
      <c r="J318" s="2" t="s">
        <v>86</v>
      </c>
      <c r="K318" s="2">
        <v>4.8</v>
      </c>
      <c r="L318" s="2">
        <v>4.8383000000000003</v>
      </c>
      <c r="M318" s="2">
        <v>3.8300000000000001E-2</v>
      </c>
      <c r="N318" s="8" t="s">
        <v>11846</v>
      </c>
      <c r="O318" s="8" t="s">
        <v>11847</v>
      </c>
      <c r="P318" s="2">
        <v>2</v>
      </c>
      <c r="Q318" s="8"/>
      <c r="R318" s="8" t="s">
        <v>4160</v>
      </c>
      <c r="S318" s="8" t="str">
        <f>HYPERLINK("https://seichotoushi-hojo.jp/assets/pdf/koufu/outline_20.pdf","PDFを開く")</f>
        <v>PDFを開く</v>
      </c>
      <c r="T318" s="8" t="s">
        <v>767</v>
      </c>
      <c r="U318" s="8" t="s">
        <v>768</v>
      </c>
    </row>
    <row r="319" spans="1:21" ht="39.950000000000003" customHeight="1">
      <c r="A319" s="5" t="s">
        <v>761</v>
      </c>
      <c r="B319" s="5" t="s">
        <v>73</v>
      </c>
      <c r="C319" s="9" t="s">
        <v>762</v>
      </c>
      <c r="D319" s="9" t="s">
        <v>3188</v>
      </c>
      <c r="E319" s="9" t="s">
        <v>157</v>
      </c>
      <c r="F319" s="5"/>
      <c r="G319" s="5"/>
      <c r="H319" s="5"/>
      <c r="I319" s="5"/>
      <c r="J319" s="5"/>
      <c r="K319" s="5"/>
      <c r="L319" s="5"/>
      <c r="M319" s="5"/>
      <c r="N319" s="9" t="s">
        <v>11850</v>
      </c>
      <c r="O319" s="9"/>
      <c r="P319" s="5"/>
      <c r="Q319" s="9" t="s">
        <v>11851</v>
      </c>
      <c r="R319" s="9"/>
      <c r="S319" s="9" t="str">
        <f>HYPERLINK("https://seichotoushi-hojo.jp/assets/pdf/koufu/outline_20.pdf","PDFを開く")</f>
        <v>PDFを開く</v>
      </c>
      <c r="T319" s="9" t="s">
        <v>767</v>
      </c>
      <c r="U319" s="9" t="s">
        <v>768</v>
      </c>
    </row>
    <row r="320" spans="1:21" ht="39.950000000000003" customHeight="1">
      <c r="A320" s="2" t="s">
        <v>761</v>
      </c>
      <c r="B320" s="2" t="s">
        <v>73</v>
      </c>
      <c r="C320" s="8" t="s">
        <v>762</v>
      </c>
      <c r="D320" s="8" t="s">
        <v>3191</v>
      </c>
      <c r="E320" s="8" t="s">
        <v>92</v>
      </c>
      <c r="F320" s="2">
        <v>2025</v>
      </c>
      <c r="G320" s="2">
        <v>155</v>
      </c>
      <c r="H320" s="2">
        <v>2028</v>
      </c>
      <c r="I320" s="2">
        <v>170</v>
      </c>
      <c r="J320" s="2" t="s">
        <v>2513</v>
      </c>
      <c r="K320" s="2"/>
      <c r="L320" s="2"/>
      <c r="M320" s="2"/>
      <c r="N320" s="8" t="s">
        <v>11846</v>
      </c>
      <c r="O320" s="8" t="s">
        <v>11847</v>
      </c>
      <c r="P320" s="2">
        <v>2</v>
      </c>
      <c r="Q320" s="8"/>
      <c r="R320" s="8" t="s">
        <v>4163</v>
      </c>
      <c r="S320" s="8" t="str">
        <f>HYPERLINK("https://seichotoushi-hojo.jp/assets/pdf/koufu/outline_20.pdf","PDFを開く")</f>
        <v>PDFを開く</v>
      </c>
      <c r="T320" s="8" t="s">
        <v>767</v>
      </c>
      <c r="U320" s="8" t="s">
        <v>768</v>
      </c>
    </row>
    <row r="321" spans="1:21" ht="39.950000000000003" customHeight="1">
      <c r="A321" s="5" t="s">
        <v>769</v>
      </c>
      <c r="B321" s="5" t="s">
        <v>73</v>
      </c>
      <c r="C321" s="9" t="s">
        <v>770</v>
      </c>
      <c r="D321" s="9" t="s">
        <v>3176</v>
      </c>
      <c r="E321" s="9" t="s">
        <v>90</v>
      </c>
      <c r="F321" s="5">
        <v>2026</v>
      </c>
      <c r="G321" s="5">
        <v>1616</v>
      </c>
      <c r="H321" s="5">
        <v>2029</v>
      </c>
      <c r="I321" s="5">
        <v>2255</v>
      </c>
      <c r="J321" s="5" t="s">
        <v>86</v>
      </c>
      <c r="K321" s="5">
        <v>11.75</v>
      </c>
      <c r="L321" s="5">
        <v>11.7468</v>
      </c>
      <c r="M321" s="5">
        <v>3.2000000000000002E-3</v>
      </c>
      <c r="N321" s="9" t="s">
        <v>11846</v>
      </c>
      <c r="O321" s="9" t="s">
        <v>11847</v>
      </c>
      <c r="P321" s="5">
        <v>2</v>
      </c>
      <c r="Q321" s="9"/>
      <c r="R321" s="9" t="s">
        <v>4166</v>
      </c>
      <c r="S321" s="9" t="str">
        <f>HYPERLINK("https://seichotoushi-hojo.jp/assets/pdf/koufu/outline_21.pdf","PDFを開く")</f>
        <v>PDFを開く</v>
      </c>
      <c r="T321" s="9" t="s">
        <v>776</v>
      </c>
      <c r="U321" s="9" t="s">
        <v>777</v>
      </c>
    </row>
    <row r="322" spans="1:21" ht="39.950000000000003" customHeight="1">
      <c r="A322" s="2" t="s">
        <v>769</v>
      </c>
      <c r="B322" s="2" t="s">
        <v>73</v>
      </c>
      <c r="C322" s="8" t="s">
        <v>770</v>
      </c>
      <c r="D322" s="8" t="s">
        <v>3184</v>
      </c>
      <c r="E322" s="8" t="s">
        <v>90</v>
      </c>
      <c r="F322" s="2">
        <v>2026</v>
      </c>
      <c r="G322" s="2">
        <v>357</v>
      </c>
      <c r="H322" s="2">
        <v>2029</v>
      </c>
      <c r="I322" s="2">
        <v>440</v>
      </c>
      <c r="J322" s="2" t="s">
        <v>86</v>
      </c>
      <c r="K322" s="2">
        <v>7.25</v>
      </c>
      <c r="L322" s="2">
        <v>7.2164999999999999</v>
      </c>
      <c r="M322" s="2">
        <v>3.3500000000000002E-2</v>
      </c>
      <c r="N322" s="8" t="s">
        <v>11846</v>
      </c>
      <c r="O322" s="8" t="s">
        <v>11847</v>
      </c>
      <c r="P322" s="2">
        <v>2</v>
      </c>
      <c r="Q322" s="8"/>
      <c r="R322" s="8" t="s">
        <v>4169</v>
      </c>
      <c r="S322" s="8" t="str">
        <f>HYPERLINK("https://seichotoushi-hojo.jp/assets/pdf/koufu/outline_21.pdf","PDFを開く")</f>
        <v>PDFを開く</v>
      </c>
      <c r="T322" s="8" t="s">
        <v>776</v>
      </c>
      <c r="U322" s="8" t="s">
        <v>777</v>
      </c>
    </row>
    <row r="323" spans="1:21" ht="39.950000000000003" customHeight="1">
      <c r="A323" s="5" t="s">
        <v>769</v>
      </c>
      <c r="B323" s="5" t="s">
        <v>73</v>
      </c>
      <c r="C323" s="9" t="s">
        <v>770</v>
      </c>
      <c r="D323" s="9" t="s">
        <v>3188</v>
      </c>
      <c r="E323" s="9" t="s">
        <v>92</v>
      </c>
      <c r="F323" s="5">
        <v>2026</v>
      </c>
      <c r="G323" s="5">
        <v>0</v>
      </c>
      <c r="H323" s="5">
        <v>2029</v>
      </c>
      <c r="I323" s="5">
        <v>0</v>
      </c>
      <c r="J323" s="5" t="s">
        <v>86</v>
      </c>
      <c r="K323" s="5">
        <v>0</v>
      </c>
      <c r="L323" s="5"/>
      <c r="M323" s="5"/>
      <c r="N323" s="9" t="s">
        <v>11846</v>
      </c>
      <c r="O323" s="9" t="s">
        <v>11847</v>
      </c>
      <c r="P323" s="5">
        <v>2</v>
      </c>
      <c r="Q323" s="9"/>
      <c r="R323" s="9" t="s">
        <v>3268</v>
      </c>
      <c r="S323" s="9" t="str">
        <f>HYPERLINK("https://seichotoushi-hojo.jp/assets/pdf/koufu/outline_21.pdf","PDFを開く")</f>
        <v>PDFを開く</v>
      </c>
      <c r="T323" s="9" t="s">
        <v>776</v>
      </c>
      <c r="U323" s="9" t="s">
        <v>777</v>
      </c>
    </row>
    <row r="324" spans="1:21" ht="39.950000000000003" customHeight="1">
      <c r="A324" s="2" t="s">
        <v>769</v>
      </c>
      <c r="B324" s="2" t="s">
        <v>73</v>
      </c>
      <c r="C324" s="8" t="s">
        <v>770</v>
      </c>
      <c r="D324" s="8" t="s">
        <v>3191</v>
      </c>
      <c r="E324" s="8" t="s">
        <v>92</v>
      </c>
      <c r="F324" s="2">
        <v>2026</v>
      </c>
      <c r="G324" s="2">
        <v>30</v>
      </c>
      <c r="H324" s="2">
        <v>2029</v>
      </c>
      <c r="I324" s="2">
        <v>80</v>
      </c>
      <c r="J324" s="2" t="s">
        <v>2513</v>
      </c>
      <c r="K324" s="2"/>
      <c r="L324" s="2"/>
      <c r="M324" s="2"/>
      <c r="N324" s="8" t="s">
        <v>11846</v>
      </c>
      <c r="O324" s="8" t="s">
        <v>11847</v>
      </c>
      <c r="P324" s="2">
        <v>2</v>
      </c>
      <c r="Q324" s="8"/>
      <c r="R324" s="8" t="s">
        <v>4170</v>
      </c>
      <c r="S324" s="8" t="str">
        <f>HYPERLINK("https://seichotoushi-hojo.jp/assets/pdf/koufu/outline_21.pdf","PDFを開く")</f>
        <v>PDFを開く</v>
      </c>
      <c r="T324" s="8" t="s">
        <v>776</v>
      </c>
      <c r="U324" s="8" t="s">
        <v>777</v>
      </c>
    </row>
    <row r="325" spans="1:21" ht="39.950000000000003" customHeight="1">
      <c r="A325" s="5" t="s">
        <v>778</v>
      </c>
      <c r="B325" s="5" t="s">
        <v>73</v>
      </c>
      <c r="C325" s="9" t="s">
        <v>779</v>
      </c>
      <c r="D325" s="9" t="s">
        <v>3176</v>
      </c>
      <c r="E325" s="9" t="s">
        <v>90</v>
      </c>
      <c r="F325" s="5">
        <v>2026</v>
      </c>
      <c r="G325" s="5">
        <v>1610</v>
      </c>
      <c r="H325" s="5">
        <v>2029</v>
      </c>
      <c r="I325" s="5">
        <v>2004</v>
      </c>
      <c r="J325" s="5" t="s">
        <v>86</v>
      </c>
      <c r="K325" s="5">
        <v>7.6</v>
      </c>
      <c r="L325" s="5">
        <v>7.5698999999999996</v>
      </c>
      <c r="M325" s="5">
        <v>3.0099999999999998E-2</v>
      </c>
      <c r="N325" s="9" t="s">
        <v>11846</v>
      </c>
      <c r="O325" s="9" t="s">
        <v>11847</v>
      </c>
      <c r="P325" s="5">
        <v>2</v>
      </c>
      <c r="Q325" s="9"/>
      <c r="R325" s="9" t="s">
        <v>4172</v>
      </c>
      <c r="S325" s="9" t="str">
        <f>HYPERLINK("https://seichotoushi-hojo.jp/assets/pdf/koufu/outline_22.pdf","PDFを開く")</f>
        <v>PDFを開く</v>
      </c>
      <c r="T325" s="9" t="s">
        <v>782</v>
      </c>
      <c r="U325" s="9" t="s">
        <v>783</v>
      </c>
    </row>
    <row r="326" spans="1:21" ht="39.950000000000003" customHeight="1">
      <c r="A326" s="2" t="s">
        <v>778</v>
      </c>
      <c r="B326" s="2" t="s">
        <v>73</v>
      </c>
      <c r="C326" s="8" t="s">
        <v>779</v>
      </c>
      <c r="D326" s="8" t="s">
        <v>3184</v>
      </c>
      <c r="E326" s="8" t="s">
        <v>90</v>
      </c>
      <c r="F326" s="2">
        <v>2026</v>
      </c>
      <c r="G326" s="2">
        <v>577</v>
      </c>
      <c r="H326" s="2">
        <v>2029</v>
      </c>
      <c r="I326" s="2">
        <v>664</v>
      </c>
      <c r="J326" s="2" t="s">
        <v>86</v>
      </c>
      <c r="K326" s="2">
        <v>4.8</v>
      </c>
      <c r="L326" s="2">
        <v>4.7926000000000002</v>
      </c>
      <c r="M326" s="2">
        <v>7.4000000000000003E-3</v>
      </c>
      <c r="N326" s="8" t="s">
        <v>11846</v>
      </c>
      <c r="O326" s="8" t="s">
        <v>11847</v>
      </c>
      <c r="P326" s="2">
        <v>2</v>
      </c>
      <c r="Q326" s="8"/>
      <c r="R326" s="8" t="s">
        <v>4174</v>
      </c>
      <c r="S326" s="8" t="str">
        <f>HYPERLINK("https://seichotoushi-hojo.jp/assets/pdf/koufu/outline_22.pdf","PDFを開く")</f>
        <v>PDFを開く</v>
      </c>
      <c r="T326" s="8" t="s">
        <v>782</v>
      </c>
      <c r="U326" s="8" t="s">
        <v>783</v>
      </c>
    </row>
    <row r="327" spans="1:21" ht="39.950000000000003" customHeight="1">
      <c r="A327" s="5" t="s">
        <v>778</v>
      </c>
      <c r="B327" s="5" t="s">
        <v>73</v>
      </c>
      <c r="C327" s="9" t="s">
        <v>779</v>
      </c>
      <c r="D327" s="9" t="s">
        <v>3188</v>
      </c>
      <c r="E327" s="9" t="s">
        <v>91</v>
      </c>
      <c r="F327" s="5">
        <v>2026</v>
      </c>
      <c r="G327" s="5"/>
      <c r="H327" s="5">
        <v>2029</v>
      </c>
      <c r="I327" s="5"/>
      <c r="J327" s="5" t="s">
        <v>86</v>
      </c>
      <c r="K327" s="5">
        <v>4</v>
      </c>
      <c r="L327" s="5"/>
      <c r="M327" s="5"/>
      <c r="N327" s="9" t="s">
        <v>11846</v>
      </c>
      <c r="O327" s="9" t="s">
        <v>11848</v>
      </c>
      <c r="P327" s="5">
        <v>2</v>
      </c>
      <c r="Q327" s="9"/>
      <c r="R327" s="9" t="s">
        <v>4180</v>
      </c>
      <c r="S327" s="9" t="str">
        <f>HYPERLINK("https://seichotoushi-hojo.jp/assets/pdf/koufu/outline_22.pdf","PDFを開く")</f>
        <v>PDFを開く</v>
      </c>
      <c r="T327" s="9" t="s">
        <v>782</v>
      </c>
      <c r="U327" s="9" t="s">
        <v>783</v>
      </c>
    </row>
    <row r="328" spans="1:21" ht="39.950000000000003" customHeight="1">
      <c r="A328" s="2" t="s">
        <v>778</v>
      </c>
      <c r="B328" s="2" t="s">
        <v>73</v>
      </c>
      <c r="C328" s="8" t="s">
        <v>779</v>
      </c>
      <c r="D328" s="8" t="s">
        <v>3191</v>
      </c>
      <c r="E328" s="8" t="s">
        <v>92</v>
      </c>
      <c r="F328" s="2">
        <v>2026</v>
      </c>
      <c r="G328" s="2">
        <v>376</v>
      </c>
      <c r="H328" s="2">
        <v>2029</v>
      </c>
      <c r="I328" s="2">
        <v>407</v>
      </c>
      <c r="J328" s="2" t="s">
        <v>2513</v>
      </c>
      <c r="K328" s="2"/>
      <c r="L328" s="2"/>
      <c r="M328" s="2"/>
      <c r="N328" s="8" t="s">
        <v>11846</v>
      </c>
      <c r="O328" s="8" t="s">
        <v>11847</v>
      </c>
      <c r="P328" s="2">
        <v>2</v>
      </c>
      <c r="Q328" s="8"/>
      <c r="R328" s="8" t="s">
        <v>4178</v>
      </c>
      <c r="S328" s="8" t="str">
        <f>HYPERLINK("https://seichotoushi-hojo.jp/assets/pdf/koufu/outline_22.pdf","PDFを開く")</f>
        <v>PDFを開く</v>
      </c>
      <c r="T328" s="8" t="s">
        <v>782</v>
      </c>
      <c r="U328" s="8" t="s">
        <v>783</v>
      </c>
    </row>
    <row r="329" spans="1:21" ht="39.950000000000003" customHeight="1">
      <c r="A329" s="5" t="s">
        <v>784</v>
      </c>
      <c r="B329" s="5" t="s">
        <v>73</v>
      </c>
      <c r="C329" s="9" t="s">
        <v>785</v>
      </c>
      <c r="D329" s="9" t="s">
        <v>3176</v>
      </c>
      <c r="E329" s="9" t="s">
        <v>90</v>
      </c>
      <c r="F329" s="5">
        <v>2027</v>
      </c>
      <c r="G329" s="5">
        <v>2909</v>
      </c>
      <c r="H329" s="5">
        <v>2030</v>
      </c>
      <c r="I329" s="5">
        <v>5595</v>
      </c>
      <c r="J329" s="5" t="s">
        <v>86</v>
      </c>
      <c r="K329" s="5">
        <v>24.36</v>
      </c>
      <c r="L329" s="5">
        <v>24.3614</v>
      </c>
      <c r="M329" s="5">
        <v>1.4E-3</v>
      </c>
      <c r="N329" s="9" t="s">
        <v>11846</v>
      </c>
      <c r="O329" s="9" t="s">
        <v>11847</v>
      </c>
      <c r="P329" s="5">
        <v>2</v>
      </c>
      <c r="Q329" s="9"/>
      <c r="R329" s="9" t="s">
        <v>4184</v>
      </c>
      <c r="S329" s="9" t="str">
        <f>HYPERLINK("https://seichotoushi-hojo.jp/assets/pdf/koufu/outline_23.pdf","PDFを開く")</f>
        <v>PDFを開く</v>
      </c>
      <c r="T329" s="9" t="s">
        <v>790</v>
      </c>
      <c r="U329" s="9" t="s">
        <v>791</v>
      </c>
    </row>
    <row r="330" spans="1:21" ht="39.950000000000003" customHeight="1">
      <c r="A330" s="2" t="s">
        <v>784</v>
      </c>
      <c r="B330" s="2" t="s">
        <v>73</v>
      </c>
      <c r="C330" s="8" t="s">
        <v>785</v>
      </c>
      <c r="D330" s="8" t="s">
        <v>3184</v>
      </c>
      <c r="E330" s="8" t="s">
        <v>90</v>
      </c>
      <c r="F330" s="2">
        <v>2027</v>
      </c>
      <c r="G330" s="2">
        <v>500</v>
      </c>
      <c r="H330" s="2">
        <v>2030</v>
      </c>
      <c r="I330" s="2">
        <v>551</v>
      </c>
      <c r="J330" s="2" t="s">
        <v>86</v>
      </c>
      <c r="K330" s="2">
        <v>3.3</v>
      </c>
      <c r="L330" s="2">
        <v>3.2905000000000002</v>
      </c>
      <c r="M330" s="2">
        <v>9.4999999999999998E-3</v>
      </c>
      <c r="N330" s="8" t="s">
        <v>11846</v>
      </c>
      <c r="O330" s="8" t="s">
        <v>11847</v>
      </c>
      <c r="P330" s="2">
        <v>2</v>
      </c>
      <c r="Q330" s="8"/>
      <c r="R330" s="8" t="s">
        <v>4186</v>
      </c>
      <c r="S330" s="8" t="str">
        <f>HYPERLINK("https://seichotoushi-hojo.jp/assets/pdf/koufu/outline_23.pdf","PDFを開く")</f>
        <v>PDFを開く</v>
      </c>
      <c r="T330" s="8" t="s">
        <v>790</v>
      </c>
      <c r="U330" s="8" t="s">
        <v>791</v>
      </c>
    </row>
    <row r="331" spans="1:21" ht="39.950000000000003" customHeight="1">
      <c r="A331" s="5" t="s">
        <v>784</v>
      </c>
      <c r="B331" s="5" t="s">
        <v>73</v>
      </c>
      <c r="C331" s="9" t="s">
        <v>785</v>
      </c>
      <c r="D331" s="9" t="s">
        <v>3188</v>
      </c>
      <c r="E331" s="9" t="s">
        <v>156</v>
      </c>
      <c r="F331" s="5"/>
      <c r="G331" s="5"/>
      <c r="H331" s="5"/>
      <c r="I331" s="5"/>
      <c r="J331" s="5"/>
      <c r="K331" s="5"/>
      <c r="L331" s="5"/>
      <c r="M331" s="5"/>
      <c r="N331" s="9" t="s">
        <v>11850</v>
      </c>
      <c r="O331" s="9"/>
      <c r="P331" s="5"/>
      <c r="Q331" s="9" t="s">
        <v>11851</v>
      </c>
      <c r="R331" s="9"/>
      <c r="S331" s="9" t="str">
        <f>HYPERLINK("https://seichotoushi-hojo.jp/assets/pdf/koufu/outline_23.pdf","PDFを開く")</f>
        <v>PDFを開く</v>
      </c>
      <c r="T331" s="9" t="s">
        <v>790</v>
      </c>
      <c r="U331" s="9" t="s">
        <v>791</v>
      </c>
    </row>
    <row r="332" spans="1:21" ht="39.950000000000003" customHeight="1">
      <c r="A332" s="2" t="s">
        <v>784</v>
      </c>
      <c r="B332" s="2" t="s">
        <v>73</v>
      </c>
      <c r="C332" s="8" t="s">
        <v>785</v>
      </c>
      <c r="D332" s="8" t="s">
        <v>3191</v>
      </c>
      <c r="E332" s="8" t="s">
        <v>92</v>
      </c>
      <c r="F332" s="2">
        <v>2027</v>
      </c>
      <c r="G332" s="2">
        <v>25</v>
      </c>
      <c r="H332" s="2">
        <v>2030</v>
      </c>
      <c r="I332" s="2">
        <v>65</v>
      </c>
      <c r="J332" s="2" t="s">
        <v>2513</v>
      </c>
      <c r="K332" s="2"/>
      <c r="L332" s="2"/>
      <c r="M332" s="2"/>
      <c r="N332" s="8" t="s">
        <v>11846</v>
      </c>
      <c r="O332" s="8" t="s">
        <v>11847</v>
      </c>
      <c r="P332" s="2">
        <v>2</v>
      </c>
      <c r="Q332" s="8"/>
      <c r="R332" s="8" t="s">
        <v>4187</v>
      </c>
      <c r="S332" s="8" t="str">
        <f>HYPERLINK("https://seichotoushi-hojo.jp/assets/pdf/koufu/outline_23.pdf","PDFを開く")</f>
        <v>PDFを開く</v>
      </c>
      <c r="T332" s="8" t="s">
        <v>790</v>
      </c>
      <c r="U332" s="8" t="s">
        <v>791</v>
      </c>
    </row>
    <row r="333" spans="1:21" ht="39.950000000000003" customHeight="1">
      <c r="A333" s="5" t="s">
        <v>792</v>
      </c>
      <c r="B333" s="5" t="s">
        <v>73</v>
      </c>
      <c r="C333" s="9" t="s">
        <v>793</v>
      </c>
      <c r="D333" s="9" t="s">
        <v>3176</v>
      </c>
      <c r="E333" s="9" t="s">
        <v>90</v>
      </c>
      <c r="F333" s="5">
        <v>2026</v>
      </c>
      <c r="G333" s="5">
        <v>1360</v>
      </c>
      <c r="H333" s="5">
        <v>2029</v>
      </c>
      <c r="I333" s="5">
        <v>2232</v>
      </c>
      <c r="J333" s="5" t="s">
        <v>86</v>
      </c>
      <c r="K333" s="5">
        <v>18</v>
      </c>
      <c r="L333" s="5">
        <v>17.9556</v>
      </c>
      <c r="M333" s="5">
        <v>4.4400000000000002E-2</v>
      </c>
      <c r="N333" s="9" t="s">
        <v>11846</v>
      </c>
      <c r="O333" s="9" t="s">
        <v>11847</v>
      </c>
      <c r="P333" s="5">
        <v>2</v>
      </c>
      <c r="Q333" s="9"/>
      <c r="R333" s="9" t="s">
        <v>4189</v>
      </c>
      <c r="S333" s="9" t="str">
        <f>HYPERLINK("https://seichotoushi-hojo.jp/assets/pdf/koufu/outline_24.pdf","PDFを開く")</f>
        <v>PDFを開く</v>
      </c>
      <c r="T333" s="9" t="s">
        <v>798</v>
      </c>
      <c r="U333" s="9" t="s">
        <v>799</v>
      </c>
    </row>
    <row r="334" spans="1:21" ht="39.950000000000003" customHeight="1">
      <c r="A334" s="2" t="s">
        <v>792</v>
      </c>
      <c r="B334" s="2" t="s">
        <v>73</v>
      </c>
      <c r="C334" s="8" t="s">
        <v>793</v>
      </c>
      <c r="D334" s="8" t="s">
        <v>3184</v>
      </c>
      <c r="E334" s="8" t="s">
        <v>90</v>
      </c>
      <c r="F334" s="2">
        <v>2026</v>
      </c>
      <c r="G334" s="2">
        <v>552</v>
      </c>
      <c r="H334" s="2">
        <v>2029</v>
      </c>
      <c r="I334" s="2">
        <v>639</v>
      </c>
      <c r="J334" s="2" t="s">
        <v>86</v>
      </c>
      <c r="K334" s="2">
        <v>5</v>
      </c>
      <c r="L334" s="2">
        <v>4.9995000000000003</v>
      </c>
      <c r="M334" s="2">
        <v>5.0000000000000001E-4</v>
      </c>
      <c r="N334" s="8" t="s">
        <v>11846</v>
      </c>
      <c r="O334" s="8" t="s">
        <v>11847</v>
      </c>
      <c r="P334" s="2">
        <v>2</v>
      </c>
      <c r="Q334" s="8"/>
      <c r="R334" s="8" t="s">
        <v>4192</v>
      </c>
      <c r="S334" s="8" t="str">
        <f>HYPERLINK("https://seichotoushi-hojo.jp/assets/pdf/koufu/outline_24.pdf","PDFを開く")</f>
        <v>PDFを開く</v>
      </c>
      <c r="T334" s="8" t="s">
        <v>798</v>
      </c>
      <c r="U334" s="8" t="s">
        <v>799</v>
      </c>
    </row>
    <row r="335" spans="1:21" ht="39.950000000000003" customHeight="1">
      <c r="A335" s="5" t="s">
        <v>792</v>
      </c>
      <c r="B335" s="5" t="s">
        <v>73</v>
      </c>
      <c r="C335" s="9" t="s">
        <v>793</v>
      </c>
      <c r="D335" s="9" t="s">
        <v>3188</v>
      </c>
      <c r="E335" s="9" t="s">
        <v>157</v>
      </c>
      <c r="F335" s="5"/>
      <c r="G335" s="5"/>
      <c r="H335" s="5"/>
      <c r="I335" s="5"/>
      <c r="J335" s="5"/>
      <c r="K335" s="5"/>
      <c r="L335" s="5"/>
      <c r="M335" s="5"/>
      <c r="N335" s="9" t="s">
        <v>11850</v>
      </c>
      <c r="O335" s="9"/>
      <c r="P335" s="5"/>
      <c r="Q335" s="9" t="s">
        <v>11851</v>
      </c>
      <c r="R335" s="9"/>
      <c r="S335" s="9" t="str">
        <f>HYPERLINK("https://seichotoushi-hojo.jp/assets/pdf/koufu/outline_24.pdf","PDFを開く")</f>
        <v>PDFを開く</v>
      </c>
      <c r="T335" s="9" t="s">
        <v>798</v>
      </c>
      <c r="U335" s="9" t="s">
        <v>799</v>
      </c>
    </row>
    <row r="336" spans="1:21" ht="39.950000000000003" customHeight="1">
      <c r="A336" s="2" t="s">
        <v>792</v>
      </c>
      <c r="B336" s="2" t="s">
        <v>73</v>
      </c>
      <c r="C336" s="8" t="s">
        <v>793</v>
      </c>
      <c r="D336" s="8" t="s">
        <v>3191</v>
      </c>
      <c r="E336" s="8" t="s">
        <v>92</v>
      </c>
      <c r="F336" s="2">
        <v>2026</v>
      </c>
      <c r="G336" s="2">
        <v>540</v>
      </c>
      <c r="H336" s="2">
        <v>2029</v>
      </c>
      <c r="I336" s="2">
        <v>540</v>
      </c>
      <c r="J336" s="2" t="s">
        <v>2513</v>
      </c>
      <c r="K336" s="2"/>
      <c r="L336" s="2"/>
      <c r="M336" s="2"/>
      <c r="N336" s="8" t="s">
        <v>11846</v>
      </c>
      <c r="O336" s="8" t="s">
        <v>11847</v>
      </c>
      <c r="P336" s="2">
        <v>2</v>
      </c>
      <c r="Q336" s="8"/>
      <c r="R336" s="8" t="s">
        <v>4195</v>
      </c>
      <c r="S336" s="8" t="str">
        <f>HYPERLINK("https://seichotoushi-hojo.jp/assets/pdf/koufu/outline_24.pdf","PDFを開く")</f>
        <v>PDFを開く</v>
      </c>
      <c r="T336" s="8" t="s">
        <v>798</v>
      </c>
      <c r="U336" s="8" t="s">
        <v>799</v>
      </c>
    </row>
    <row r="337" spans="1:21" ht="39.950000000000003" customHeight="1">
      <c r="A337" s="5" t="s">
        <v>800</v>
      </c>
      <c r="B337" s="5" t="s">
        <v>73</v>
      </c>
      <c r="C337" s="9" t="s">
        <v>801</v>
      </c>
      <c r="D337" s="9" t="s">
        <v>3176</v>
      </c>
      <c r="E337" s="9" t="s">
        <v>90</v>
      </c>
      <c r="F337" s="5">
        <v>2026</v>
      </c>
      <c r="G337" s="5">
        <v>1846</v>
      </c>
      <c r="H337" s="5">
        <v>2029</v>
      </c>
      <c r="I337" s="5">
        <v>2467</v>
      </c>
      <c r="J337" s="5" t="s">
        <v>86</v>
      </c>
      <c r="K337" s="5">
        <v>10.19</v>
      </c>
      <c r="L337" s="5">
        <v>10.1486</v>
      </c>
      <c r="M337" s="5">
        <v>4.1399999999999999E-2</v>
      </c>
      <c r="N337" s="9" t="s">
        <v>11846</v>
      </c>
      <c r="O337" s="9" t="s">
        <v>11847</v>
      </c>
      <c r="P337" s="5">
        <v>2</v>
      </c>
      <c r="Q337" s="9"/>
      <c r="R337" s="9" t="s">
        <v>4197</v>
      </c>
      <c r="S337" s="9" t="str">
        <f>HYPERLINK("https://seichotoushi-hojo.jp/assets/pdf/koufu/outline_25.pdf","PDFを開く")</f>
        <v>PDFを開く</v>
      </c>
      <c r="T337" s="9" t="s">
        <v>806</v>
      </c>
      <c r="U337" s="9" t="s">
        <v>807</v>
      </c>
    </row>
    <row r="338" spans="1:21" ht="39.950000000000003" customHeight="1">
      <c r="A338" s="2" t="s">
        <v>800</v>
      </c>
      <c r="B338" s="2" t="s">
        <v>73</v>
      </c>
      <c r="C338" s="8" t="s">
        <v>801</v>
      </c>
      <c r="D338" s="8" t="s">
        <v>3184</v>
      </c>
      <c r="E338" s="8" t="s">
        <v>90</v>
      </c>
      <c r="F338" s="2">
        <v>2026</v>
      </c>
      <c r="G338" s="2">
        <v>471</v>
      </c>
      <c r="H338" s="2">
        <v>2029</v>
      </c>
      <c r="I338" s="2">
        <v>545</v>
      </c>
      <c r="J338" s="2" t="s">
        <v>86</v>
      </c>
      <c r="K338" s="2">
        <v>5</v>
      </c>
      <c r="L338" s="2">
        <v>4.9844999999999997</v>
      </c>
      <c r="M338" s="2">
        <v>1.55E-2</v>
      </c>
      <c r="N338" s="8" t="s">
        <v>11846</v>
      </c>
      <c r="O338" s="8" t="s">
        <v>11847</v>
      </c>
      <c r="P338" s="2">
        <v>2</v>
      </c>
      <c r="Q338" s="8"/>
      <c r="R338" s="8" t="s">
        <v>4199</v>
      </c>
      <c r="S338" s="8" t="str">
        <f>HYPERLINK("https://seichotoushi-hojo.jp/assets/pdf/koufu/outline_25.pdf","PDFを開く")</f>
        <v>PDFを開く</v>
      </c>
      <c r="T338" s="8" t="s">
        <v>806</v>
      </c>
      <c r="U338" s="8" t="s">
        <v>807</v>
      </c>
    </row>
    <row r="339" spans="1:21" ht="39.950000000000003" customHeight="1">
      <c r="A339" s="5" t="s">
        <v>800</v>
      </c>
      <c r="B339" s="5" t="s">
        <v>73</v>
      </c>
      <c r="C339" s="9" t="s">
        <v>801</v>
      </c>
      <c r="D339" s="9" t="s">
        <v>3188</v>
      </c>
      <c r="E339" s="9" t="s">
        <v>157</v>
      </c>
      <c r="F339" s="5"/>
      <c r="G339" s="5"/>
      <c r="H339" s="5"/>
      <c r="I339" s="5"/>
      <c r="J339" s="5"/>
      <c r="K339" s="5"/>
      <c r="L339" s="5"/>
      <c r="M339" s="5"/>
      <c r="N339" s="9" t="s">
        <v>11850</v>
      </c>
      <c r="O339" s="9"/>
      <c r="P339" s="5"/>
      <c r="Q339" s="9" t="s">
        <v>11851</v>
      </c>
      <c r="R339" s="9"/>
      <c r="S339" s="9" t="str">
        <f>HYPERLINK("https://seichotoushi-hojo.jp/assets/pdf/koufu/outline_25.pdf","PDFを開く")</f>
        <v>PDFを開く</v>
      </c>
      <c r="T339" s="9" t="s">
        <v>806</v>
      </c>
      <c r="U339" s="9" t="s">
        <v>807</v>
      </c>
    </row>
    <row r="340" spans="1:21" ht="39.950000000000003" customHeight="1">
      <c r="A340" s="2" t="s">
        <v>800</v>
      </c>
      <c r="B340" s="2" t="s">
        <v>73</v>
      </c>
      <c r="C340" s="8" t="s">
        <v>801</v>
      </c>
      <c r="D340" s="8" t="s">
        <v>3191</v>
      </c>
      <c r="E340" s="8" t="s">
        <v>92</v>
      </c>
      <c r="F340" s="2">
        <v>2026</v>
      </c>
      <c r="G340" s="2">
        <v>80</v>
      </c>
      <c r="H340" s="2">
        <v>2029</v>
      </c>
      <c r="I340" s="2">
        <v>85</v>
      </c>
      <c r="J340" s="2" t="s">
        <v>2513</v>
      </c>
      <c r="K340" s="2"/>
      <c r="L340" s="2"/>
      <c r="M340" s="2"/>
      <c r="N340" s="8" t="s">
        <v>11846</v>
      </c>
      <c r="O340" s="8" t="s">
        <v>11847</v>
      </c>
      <c r="P340" s="2">
        <v>2</v>
      </c>
      <c r="Q340" s="8"/>
      <c r="R340" s="8" t="s">
        <v>4201</v>
      </c>
      <c r="S340" s="8" t="str">
        <f>HYPERLINK("https://seichotoushi-hojo.jp/assets/pdf/koufu/outline_25.pdf","PDFを開く")</f>
        <v>PDFを開く</v>
      </c>
      <c r="T340" s="8" t="s">
        <v>806</v>
      </c>
      <c r="U340" s="8" t="s">
        <v>807</v>
      </c>
    </row>
    <row r="341" spans="1:21" ht="39.950000000000003" customHeight="1">
      <c r="A341" s="5" t="s">
        <v>808</v>
      </c>
      <c r="B341" s="5" t="s">
        <v>73</v>
      </c>
      <c r="C341" s="9" t="s">
        <v>809</v>
      </c>
      <c r="D341" s="9" t="s">
        <v>3176</v>
      </c>
      <c r="E341" s="9" t="s">
        <v>90</v>
      </c>
      <c r="F341" s="5">
        <v>2026</v>
      </c>
      <c r="G341" s="5">
        <v>2604</v>
      </c>
      <c r="H341" s="5">
        <v>2029</v>
      </c>
      <c r="I341" s="5">
        <v>3221</v>
      </c>
      <c r="J341" s="5" t="s">
        <v>86</v>
      </c>
      <c r="K341" s="5">
        <v>7.3</v>
      </c>
      <c r="L341" s="5">
        <v>7.3453999999999997</v>
      </c>
      <c r="M341" s="5">
        <v>4.5400000000000003E-2</v>
      </c>
      <c r="N341" s="9" t="s">
        <v>11846</v>
      </c>
      <c r="O341" s="9"/>
      <c r="P341" s="5">
        <v>2</v>
      </c>
      <c r="Q341" s="9"/>
      <c r="R341" s="9" t="s">
        <v>4204</v>
      </c>
      <c r="S341" s="9" t="str">
        <f>HYPERLINK("https://seichotoushi-hojo.jp/assets/pdf/koufu/outline_26.pdf","PDFを開く")</f>
        <v>PDFを開く</v>
      </c>
      <c r="T341" s="9" t="s">
        <v>814</v>
      </c>
      <c r="U341" s="9" t="s">
        <v>815</v>
      </c>
    </row>
    <row r="342" spans="1:21" ht="39.950000000000003" customHeight="1">
      <c r="A342" s="2" t="s">
        <v>808</v>
      </c>
      <c r="B342" s="2" t="s">
        <v>73</v>
      </c>
      <c r="C342" s="8" t="s">
        <v>809</v>
      </c>
      <c r="D342" s="8" t="s">
        <v>3184</v>
      </c>
      <c r="E342" s="8" t="s">
        <v>90</v>
      </c>
      <c r="F342" s="2">
        <v>2026</v>
      </c>
      <c r="G342" s="2">
        <v>780</v>
      </c>
      <c r="H342" s="2">
        <v>2029</v>
      </c>
      <c r="I342" s="2">
        <v>865</v>
      </c>
      <c r="J342" s="2" t="s">
        <v>86</v>
      </c>
      <c r="K342" s="2">
        <v>3.51</v>
      </c>
      <c r="L342" s="2">
        <v>3.508</v>
      </c>
      <c r="M342" s="2">
        <v>2E-3</v>
      </c>
      <c r="N342" s="8" t="s">
        <v>11846</v>
      </c>
      <c r="O342" s="8"/>
      <c r="P342" s="2">
        <v>2</v>
      </c>
      <c r="Q342" s="8"/>
      <c r="R342" s="8" t="s">
        <v>4207</v>
      </c>
      <c r="S342" s="8" t="str">
        <f>HYPERLINK("https://seichotoushi-hojo.jp/assets/pdf/koufu/outline_26.pdf","PDFを開く")</f>
        <v>PDFを開く</v>
      </c>
      <c r="T342" s="8" t="s">
        <v>814</v>
      </c>
      <c r="U342" s="8" t="s">
        <v>815</v>
      </c>
    </row>
    <row r="343" spans="1:21" ht="39.950000000000003" customHeight="1">
      <c r="A343" s="5" t="s">
        <v>808</v>
      </c>
      <c r="B343" s="5" t="s">
        <v>73</v>
      </c>
      <c r="C343" s="9" t="s">
        <v>809</v>
      </c>
      <c r="D343" s="9" t="s">
        <v>3188</v>
      </c>
      <c r="E343" s="9" t="s">
        <v>91</v>
      </c>
      <c r="F343" s="5">
        <v>2026</v>
      </c>
      <c r="G343" s="5"/>
      <c r="H343" s="5">
        <v>2029</v>
      </c>
      <c r="I343" s="5"/>
      <c r="J343" s="5" t="s">
        <v>86</v>
      </c>
      <c r="K343" s="5">
        <v>3.5</v>
      </c>
      <c r="L343" s="5"/>
      <c r="M343" s="5"/>
      <c r="N343" s="9" t="s">
        <v>11846</v>
      </c>
      <c r="O343" s="9" t="s">
        <v>11848</v>
      </c>
      <c r="P343" s="5">
        <v>2</v>
      </c>
      <c r="Q343" s="9"/>
      <c r="R343" s="9" t="s">
        <v>4214</v>
      </c>
      <c r="S343" s="9" t="str">
        <f>HYPERLINK("https://seichotoushi-hojo.jp/assets/pdf/koufu/outline_26.pdf","PDFを開く")</f>
        <v>PDFを開く</v>
      </c>
      <c r="T343" s="9" t="s">
        <v>814</v>
      </c>
      <c r="U343" s="9" t="s">
        <v>815</v>
      </c>
    </row>
    <row r="344" spans="1:21" ht="39.950000000000003" customHeight="1">
      <c r="A344" s="2" t="s">
        <v>808</v>
      </c>
      <c r="B344" s="2" t="s">
        <v>73</v>
      </c>
      <c r="C344" s="8" t="s">
        <v>809</v>
      </c>
      <c r="D344" s="8" t="s">
        <v>3191</v>
      </c>
      <c r="E344" s="8" t="s">
        <v>92</v>
      </c>
      <c r="F344" s="2">
        <v>2026</v>
      </c>
      <c r="G344" s="2">
        <v>238</v>
      </c>
      <c r="H344" s="2">
        <v>2029</v>
      </c>
      <c r="I344" s="2">
        <v>266</v>
      </c>
      <c r="J344" s="2" t="s">
        <v>2513</v>
      </c>
      <c r="K344" s="2"/>
      <c r="L344" s="2"/>
      <c r="M344" s="2"/>
      <c r="N344" s="8" t="s">
        <v>11846</v>
      </c>
      <c r="O344" s="8"/>
      <c r="P344" s="2">
        <v>2</v>
      </c>
      <c r="Q344" s="8"/>
      <c r="R344" s="8" t="s">
        <v>4211</v>
      </c>
      <c r="S344" s="8" t="str">
        <f>HYPERLINK("https://seichotoushi-hojo.jp/assets/pdf/koufu/outline_26.pdf","PDFを開く")</f>
        <v>PDFを開く</v>
      </c>
      <c r="T344" s="8" t="s">
        <v>814</v>
      </c>
      <c r="U344" s="8" t="s">
        <v>815</v>
      </c>
    </row>
    <row r="345" spans="1:21" ht="39.950000000000003" customHeight="1">
      <c r="A345" s="5" t="s">
        <v>816</v>
      </c>
      <c r="B345" s="5" t="s">
        <v>73</v>
      </c>
      <c r="C345" s="9" t="s">
        <v>817</v>
      </c>
      <c r="D345" s="9" t="s">
        <v>3176</v>
      </c>
      <c r="E345" s="9" t="s">
        <v>92</v>
      </c>
      <c r="F345" s="5">
        <v>2026</v>
      </c>
      <c r="G345" s="5">
        <v>133.6</v>
      </c>
      <c r="H345" s="5">
        <v>2029</v>
      </c>
      <c r="I345" s="5">
        <v>1809.8</v>
      </c>
      <c r="J345" s="5" t="s">
        <v>86</v>
      </c>
      <c r="K345" s="5"/>
      <c r="L345" s="5">
        <v>138.3827</v>
      </c>
      <c r="M345" s="5"/>
      <c r="N345" s="9" t="s">
        <v>11846</v>
      </c>
      <c r="O345" s="9" t="s">
        <v>11847</v>
      </c>
      <c r="P345" s="5">
        <v>2</v>
      </c>
      <c r="Q345" s="9"/>
      <c r="R345" s="9" t="s">
        <v>4218</v>
      </c>
      <c r="S345" s="9" t="str">
        <f>HYPERLINK("https://seichotoushi-hojo.jp/assets/pdf/koufu/outline_27.pdf","PDFを開く")</f>
        <v>PDFを開く</v>
      </c>
      <c r="T345" s="9" t="s">
        <v>823</v>
      </c>
      <c r="U345" s="9" t="s">
        <v>824</v>
      </c>
    </row>
    <row r="346" spans="1:21" ht="39.950000000000003" customHeight="1">
      <c r="A346" s="2" t="s">
        <v>816</v>
      </c>
      <c r="B346" s="2" t="s">
        <v>73</v>
      </c>
      <c r="C346" s="8" t="s">
        <v>817</v>
      </c>
      <c r="D346" s="8" t="s">
        <v>3184</v>
      </c>
      <c r="E346" s="8" t="s">
        <v>90</v>
      </c>
      <c r="F346" s="2">
        <v>2026</v>
      </c>
      <c r="G346" s="2">
        <v>420</v>
      </c>
      <c r="H346" s="2">
        <v>2029</v>
      </c>
      <c r="I346" s="2">
        <v>473</v>
      </c>
      <c r="J346" s="2" t="s">
        <v>86</v>
      </c>
      <c r="K346" s="2">
        <v>4.04</v>
      </c>
      <c r="L346" s="2">
        <v>4.0408999999999997</v>
      </c>
      <c r="M346" s="2">
        <v>8.9999999999999998E-4</v>
      </c>
      <c r="N346" s="8" t="s">
        <v>11846</v>
      </c>
      <c r="O346" s="8" t="s">
        <v>11847</v>
      </c>
      <c r="P346" s="2">
        <v>2</v>
      </c>
      <c r="Q346" s="8"/>
      <c r="R346" s="8" t="s">
        <v>4220</v>
      </c>
      <c r="S346" s="8" t="str">
        <f>HYPERLINK("https://seichotoushi-hojo.jp/assets/pdf/koufu/outline_27.pdf","PDFを開く")</f>
        <v>PDFを開く</v>
      </c>
      <c r="T346" s="8" t="s">
        <v>823</v>
      </c>
      <c r="U346" s="8" t="s">
        <v>824</v>
      </c>
    </row>
    <row r="347" spans="1:21" ht="39.950000000000003" customHeight="1">
      <c r="A347" s="5" t="s">
        <v>816</v>
      </c>
      <c r="B347" s="5" t="s">
        <v>73</v>
      </c>
      <c r="C347" s="9" t="s">
        <v>817</v>
      </c>
      <c r="D347" s="9" t="s">
        <v>3188</v>
      </c>
      <c r="E347" s="9" t="s">
        <v>91</v>
      </c>
      <c r="F347" s="5">
        <v>2026</v>
      </c>
      <c r="G347" s="5"/>
      <c r="H347" s="5">
        <v>2029</v>
      </c>
      <c r="I347" s="5"/>
      <c r="J347" s="5" t="s">
        <v>86</v>
      </c>
      <c r="K347" s="5">
        <v>3.5</v>
      </c>
      <c r="L347" s="5"/>
      <c r="M347" s="5"/>
      <c r="N347" s="9" t="s">
        <v>11846</v>
      </c>
      <c r="O347" s="9" t="s">
        <v>11848</v>
      </c>
      <c r="P347" s="5">
        <v>2</v>
      </c>
      <c r="Q347" s="9"/>
      <c r="R347" s="9" t="s">
        <v>4228</v>
      </c>
      <c r="S347" s="9" t="str">
        <f>HYPERLINK("https://seichotoushi-hojo.jp/assets/pdf/koufu/outline_27.pdf","PDFを開く")</f>
        <v>PDFを開く</v>
      </c>
      <c r="T347" s="9" t="s">
        <v>823</v>
      </c>
      <c r="U347" s="9" t="s">
        <v>824</v>
      </c>
    </row>
    <row r="348" spans="1:21" ht="39.950000000000003" customHeight="1">
      <c r="A348" s="2" t="s">
        <v>816</v>
      </c>
      <c r="B348" s="2" t="s">
        <v>73</v>
      </c>
      <c r="C348" s="8" t="s">
        <v>817</v>
      </c>
      <c r="D348" s="8" t="s">
        <v>3191</v>
      </c>
      <c r="E348" s="8" t="s">
        <v>92</v>
      </c>
      <c r="F348" s="2">
        <v>2026</v>
      </c>
      <c r="G348" s="2">
        <v>21</v>
      </c>
      <c r="H348" s="2">
        <v>2029</v>
      </c>
      <c r="I348" s="2">
        <v>41</v>
      </c>
      <c r="J348" s="2" t="s">
        <v>2513</v>
      </c>
      <c r="K348" s="2"/>
      <c r="L348" s="2"/>
      <c r="M348" s="2"/>
      <c r="N348" s="8" t="s">
        <v>11846</v>
      </c>
      <c r="O348" s="8" t="s">
        <v>11847</v>
      </c>
      <c r="P348" s="2">
        <v>2</v>
      </c>
      <c r="Q348" s="8"/>
      <c r="R348" s="8" t="s">
        <v>4224</v>
      </c>
      <c r="S348" s="8" t="str">
        <f>HYPERLINK("https://seichotoushi-hojo.jp/assets/pdf/koufu/outline_27.pdf","PDFを開く")</f>
        <v>PDFを開く</v>
      </c>
      <c r="T348" s="8" t="s">
        <v>823</v>
      </c>
      <c r="U348" s="8" t="s">
        <v>824</v>
      </c>
    </row>
    <row r="349" spans="1:21" ht="39.950000000000003" customHeight="1">
      <c r="A349" s="5" t="s">
        <v>825</v>
      </c>
      <c r="B349" s="5" t="s">
        <v>73</v>
      </c>
      <c r="C349" s="9" t="s">
        <v>826</v>
      </c>
      <c r="D349" s="9" t="s">
        <v>3176</v>
      </c>
      <c r="E349" s="9" t="s">
        <v>90</v>
      </c>
      <c r="F349" s="5">
        <v>2026</v>
      </c>
      <c r="G349" s="5">
        <v>639</v>
      </c>
      <c r="H349" s="5">
        <v>2029</v>
      </c>
      <c r="I349" s="5">
        <v>1052</v>
      </c>
      <c r="J349" s="5" t="s">
        <v>86</v>
      </c>
      <c r="K349" s="5">
        <v>18.100000000000001</v>
      </c>
      <c r="L349" s="5">
        <v>18.078700000000001</v>
      </c>
      <c r="M349" s="5">
        <v>2.1299999999999999E-2</v>
      </c>
      <c r="N349" s="9" t="s">
        <v>11846</v>
      </c>
      <c r="O349" s="9" t="s">
        <v>11847</v>
      </c>
      <c r="P349" s="5">
        <v>2</v>
      </c>
      <c r="Q349" s="9"/>
      <c r="R349" s="9" t="s">
        <v>4231</v>
      </c>
      <c r="S349" s="9" t="str">
        <f>HYPERLINK("https://seichotoushi-hojo.jp/assets/pdf/koufu/outline_28.pdf","PDFを開く")</f>
        <v>PDFを開く</v>
      </c>
      <c r="T349" s="9" t="s">
        <v>830</v>
      </c>
      <c r="U349" s="9" t="s">
        <v>831</v>
      </c>
    </row>
    <row r="350" spans="1:21" ht="39.950000000000003" customHeight="1">
      <c r="A350" s="2" t="s">
        <v>825</v>
      </c>
      <c r="B350" s="2" t="s">
        <v>73</v>
      </c>
      <c r="C350" s="8" t="s">
        <v>826</v>
      </c>
      <c r="D350" s="8" t="s">
        <v>3184</v>
      </c>
      <c r="E350" s="8" t="s">
        <v>90</v>
      </c>
      <c r="F350" s="2">
        <v>2026</v>
      </c>
      <c r="G350" s="2">
        <v>310</v>
      </c>
      <c r="H350" s="2">
        <v>2029</v>
      </c>
      <c r="I350" s="2">
        <v>357</v>
      </c>
      <c r="J350" s="2" t="s">
        <v>86</v>
      </c>
      <c r="K350" s="2">
        <v>4.8</v>
      </c>
      <c r="L350" s="2">
        <v>4.8178999999999998</v>
      </c>
      <c r="M350" s="2">
        <v>1.7899999999999999E-2</v>
      </c>
      <c r="N350" s="8" t="s">
        <v>11846</v>
      </c>
      <c r="O350" s="8" t="s">
        <v>11847</v>
      </c>
      <c r="P350" s="2">
        <v>2</v>
      </c>
      <c r="Q350" s="8"/>
      <c r="R350" s="8" t="s">
        <v>4233</v>
      </c>
      <c r="S350" s="8" t="str">
        <f>HYPERLINK("https://seichotoushi-hojo.jp/assets/pdf/koufu/outline_28.pdf","PDFを開く")</f>
        <v>PDFを開く</v>
      </c>
      <c r="T350" s="8" t="s">
        <v>830</v>
      </c>
      <c r="U350" s="8" t="s">
        <v>831</v>
      </c>
    </row>
    <row r="351" spans="1:21" ht="39.950000000000003" customHeight="1">
      <c r="A351" s="5" t="s">
        <v>825</v>
      </c>
      <c r="B351" s="5" t="s">
        <v>73</v>
      </c>
      <c r="C351" s="9" t="s">
        <v>826</v>
      </c>
      <c r="D351" s="9" t="s">
        <v>3188</v>
      </c>
      <c r="E351" s="9" t="s">
        <v>91</v>
      </c>
      <c r="F351" s="5">
        <v>2026</v>
      </c>
      <c r="G351" s="5"/>
      <c r="H351" s="5">
        <v>2029</v>
      </c>
      <c r="I351" s="5"/>
      <c r="J351" s="5" t="s">
        <v>86</v>
      </c>
      <c r="K351" s="5">
        <v>11.14</v>
      </c>
      <c r="L351" s="5"/>
      <c r="M351" s="5"/>
      <c r="N351" s="9" t="s">
        <v>11846</v>
      </c>
      <c r="O351" s="9" t="s">
        <v>11848</v>
      </c>
      <c r="P351" s="5">
        <v>2</v>
      </c>
      <c r="Q351" s="9"/>
      <c r="R351" s="9" t="s">
        <v>4239</v>
      </c>
      <c r="S351" s="9" t="str">
        <f>HYPERLINK("https://seichotoushi-hojo.jp/assets/pdf/koufu/outline_28.pdf","PDFを開く")</f>
        <v>PDFを開く</v>
      </c>
      <c r="T351" s="9" t="s">
        <v>830</v>
      </c>
      <c r="U351" s="9" t="s">
        <v>831</v>
      </c>
    </row>
    <row r="352" spans="1:21" ht="39.950000000000003" customHeight="1">
      <c r="A352" s="2" t="s">
        <v>825</v>
      </c>
      <c r="B352" s="2" t="s">
        <v>73</v>
      </c>
      <c r="C352" s="8" t="s">
        <v>826</v>
      </c>
      <c r="D352" s="8" t="s">
        <v>3191</v>
      </c>
      <c r="E352" s="8" t="s">
        <v>92</v>
      </c>
      <c r="F352" s="2">
        <v>2026</v>
      </c>
      <c r="G352" s="2">
        <v>40</v>
      </c>
      <c r="H352" s="2">
        <v>2029</v>
      </c>
      <c r="I352" s="2">
        <v>64</v>
      </c>
      <c r="J352" s="2" t="s">
        <v>2513</v>
      </c>
      <c r="K352" s="2"/>
      <c r="L352" s="2"/>
      <c r="M352" s="2"/>
      <c r="N352" s="8" t="s">
        <v>11846</v>
      </c>
      <c r="O352" s="8" t="s">
        <v>11847</v>
      </c>
      <c r="P352" s="2">
        <v>2</v>
      </c>
      <c r="Q352" s="8"/>
      <c r="R352" s="8" t="s">
        <v>4236</v>
      </c>
      <c r="S352" s="8" t="str">
        <f>HYPERLINK("https://seichotoushi-hojo.jp/assets/pdf/koufu/outline_28.pdf","PDFを開く")</f>
        <v>PDFを開く</v>
      </c>
      <c r="T352" s="8" t="s">
        <v>830</v>
      </c>
      <c r="U352" s="8" t="s">
        <v>831</v>
      </c>
    </row>
    <row r="353" spans="1:21" ht="39.950000000000003" customHeight="1">
      <c r="A353" s="5" t="s">
        <v>832</v>
      </c>
      <c r="B353" s="5" t="s">
        <v>73</v>
      </c>
      <c r="C353" s="9" t="s">
        <v>833</v>
      </c>
      <c r="D353" s="9" t="s">
        <v>3176</v>
      </c>
      <c r="E353" s="9" t="s">
        <v>90</v>
      </c>
      <c r="F353" s="5">
        <v>2025</v>
      </c>
      <c r="G353" s="5">
        <v>1089</v>
      </c>
      <c r="H353" s="5">
        <v>2028</v>
      </c>
      <c r="I353" s="5">
        <v>2386.3000000000002</v>
      </c>
      <c r="J353" s="5" t="s">
        <v>86</v>
      </c>
      <c r="K353" s="5">
        <v>29.9</v>
      </c>
      <c r="L353" s="5">
        <v>29.887</v>
      </c>
      <c r="M353" s="5">
        <v>1.2999999999999999E-2</v>
      </c>
      <c r="N353" s="9" t="s">
        <v>11846</v>
      </c>
      <c r="O353" s="9" t="s">
        <v>11847</v>
      </c>
      <c r="P353" s="5">
        <v>2</v>
      </c>
      <c r="Q353" s="9"/>
      <c r="R353" s="9" t="s">
        <v>4243</v>
      </c>
      <c r="S353" s="9" t="str">
        <f>HYPERLINK("https://seichotoushi-hojo.jp/assets/pdf/koufu/outline_29.pdf","PDFを開く")</f>
        <v>PDFを開く</v>
      </c>
      <c r="T353" s="9" t="s">
        <v>837</v>
      </c>
      <c r="U353" s="9" t="s">
        <v>838</v>
      </c>
    </row>
    <row r="354" spans="1:21" ht="39.950000000000003" customHeight="1">
      <c r="A354" s="2" t="s">
        <v>832</v>
      </c>
      <c r="B354" s="2" t="s">
        <v>73</v>
      </c>
      <c r="C354" s="8" t="s">
        <v>833</v>
      </c>
      <c r="D354" s="8" t="s">
        <v>3184</v>
      </c>
      <c r="E354" s="8" t="s">
        <v>90</v>
      </c>
      <c r="F354" s="2">
        <v>2025</v>
      </c>
      <c r="G354" s="2">
        <v>720</v>
      </c>
      <c r="H354" s="2">
        <v>2028</v>
      </c>
      <c r="I354" s="2">
        <v>822.2</v>
      </c>
      <c r="J354" s="2" t="s">
        <v>86</v>
      </c>
      <c r="K354" s="2">
        <v>4.5199999999999996</v>
      </c>
      <c r="L354" s="2">
        <v>4.5237999999999996</v>
      </c>
      <c r="M354" s="2">
        <v>3.8E-3</v>
      </c>
      <c r="N354" s="8" t="s">
        <v>11846</v>
      </c>
      <c r="O354" s="8" t="s">
        <v>11847</v>
      </c>
      <c r="P354" s="2">
        <v>2</v>
      </c>
      <c r="Q354" s="8"/>
      <c r="R354" s="8" t="s">
        <v>4246</v>
      </c>
      <c r="S354" s="8" t="str">
        <f>HYPERLINK("https://seichotoushi-hojo.jp/assets/pdf/koufu/outline_29.pdf","PDFを開く")</f>
        <v>PDFを開く</v>
      </c>
      <c r="T354" s="8" t="s">
        <v>837</v>
      </c>
      <c r="U354" s="8" t="s">
        <v>838</v>
      </c>
    </row>
    <row r="355" spans="1:21" ht="39.950000000000003" customHeight="1">
      <c r="A355" s="5" t="s">
        <v>832</v>
      </c>
      <c r="B355" s="5" t="s">
        <v>73</v>
      </c>
      <c r="C355" s="9" t="s">
        <v>833</v>
      </c>
      <c r="D355" s="9" t="s">
        <v>3188</v>
      </c>
      <c r="E355" s="9" t="s">
        <v>156</v>
      </c>
      <c r="F355" s="5"/>
      <c r="G355" s="5"/>
      <c r="H355" s="5"/>
      <c r="I355" s="5"/>
      <c r="J355" s="5"/>
      <c r="K355" s="5"/>
      <c r="L355" s="5"/>
      <c r="M355" s="5"/>
      <c r="N355" s="9" t="s">
        <v>11850</v>
      </c>
      <c r="O355" s="9"/>
      <c r="P355" s="5"/>
      <c r="Q355" s="9" t="s">
        <v>11851</v>
      </c>
      <c r="R355" s="9"/>
      <c r="S355" s="9" t="str">
        <f>HYPERLINK("https://seichotoushi-hojo.jp/assets/pdf/koufu/outline_29.pdf","PDFを開く")</f>
        <v>PDFを開く</v>
      </c>
      <c r="T355" s="9" t="s">
        <v>837</v>
      </c>
      <c r="U355" s="9" t="s">
        <v>838</v>
      </c>
    </row>
    <row r="356" spans="1:21" ht="39.950000000000003" customHeight="1">
      <c r="A356" s="2" t="s">
        <v>832</v>
      </c>
      <c r="B356" s="2" t="s">
        <v>73</v>
      </c>
      <c r="C356" s="8" t="s">
        <v>833</v>
      </c>
      <c r="D356" s="8" t="s">
        <v>3191</v>
      </c>
      <c r="E356" s="8" t="s">
        <v>92</v>
      </c>
      <c r="F356" s="2">
        <v>2025</v>
      </c>
      <c r="G356" s="2">
        <v>6</v>
      </c>
      <c r="H356" s="2">
        <v>2028</v>
      </c>
      <c r="I356" s="2">
        <v>53</v>
      </c>
      <c r="J356" s="2" t="s">
        <v>2513</v>
      </c>
      <c r="K356" s="2"/>
      <c r="L356" s="2"/>
      <c r="M356" s="2"/>
      <c r="N356" s="8" t="s">
        <v>11846</v>
      </c>
      <c r="O356" s="8" t="s">
        <v>11847</v>
      </c>
      <c r="P356" s="2">
        <v>2</v>
      </c>
      <c r="Q356" s="8"/>
      <c r="R356" s="8" t="s">
        <v>4249</v>
      </c>
      <c r="S356" s="8" t="str">
        <f>HYPERLINK("https://seichotoushi-hojo.jp/assets/pdf/koufu/outline_29.pdf","PDFを開く")</f>
        <v>PDFを開く</v>
      </c>
      <c r="T356" s="8" t="s">
        <v>837</v>
      </c>
      <c r="U356" s="8" t="s">
        <v>838</v>
      </c>
    </row>
    <row r="357" spans="1:21" ht="39.950000000000003" customHeight="1">
      <c r="A357" s="5" t="s">
        <v>839</v>
      </c>
      <c r="B357" s="5" t="s">
        <v>73</v>
      </c>
      <c r="C357" s="9" t="s">
        <v>840</v>
      </c>
      <c r="D357" s="9" t="s">
        <v>3176</v>
      </c>
      <c r="E357" s="9" t="s">
        <v>90</v>
      </c>
      <c r="F357" s="5">
        <v>2026</v>
      </c>
      <c r="G357" s="5">
        <v>846</v>
      </c>
      <c r="H357" s="5">
        <v>2029</v>
      </c>
      <c r="I357" s="5">
        <v>2065</v>
      </c>
      <c r="J357" s="5" t="s">
        <v>86</v>
      </c>
      <c r="K357" s="5">
        <v>34.659999999999997</v>
      </c>
      <c r="L357" s="5">
        <v>34.642800000000001</v>
      </c>
      <c r="M357" s="5">
        <v>1.72E-2</v>
      </c>
      <c r="N357" s="9" t="s">
        <v>11846</v>
      </c>
      <c r="O357" s="9" t="s">
        <v>11847</v>
      </c>
      <c r="P357" s="5">
        <v>2</v>
      </c>
      <c r="Q357" s="9"/>
      <c r="R357" s="9" t="s">
        <v>4252</v>
      </c>
      <c r="S357" s="9" t="str">
        <f>HYPERLINK("https://seichotoushi-hojo.jp/assets/pdf/koufu/outline_3.pdf","PDFを開く")</f>
        <v>PDFを開く</v>
      </c>
      <c r="T357" s="9" t="s">
        <v>845</v>
      </c>
      <c r="U357" s="9" t="s">
        <v>846</v>
      </c>
    </row>
    <row r="358" spans="1:21" ht="39.950000000000003" customHeight="1">
      <c r="A358" s="2" t="s">
        <v>839</v>
      </c>
      <c r="B358" s="2" t="s">
        <v>73</v>
      </c>
      <c r="C358" s="8" t="s">
        <v>840</v>
      </c>
      <c r="D358" s="8" t="s">
        <v>3184</v>
      </c>
      <c r="E358" s="8" t="s">
        <v>90</v>
      </c>
      <c r="F358" s="2">
        <v>2026</v>
      </c>
      <c r="G358" s="2">
        <v>702</v>
      </c>
      <c r="H358" s="2">
        <v>2029</v>
      </c>
      <c r="I358" s="2">
        <v>790</v>
      </c>
      <c r="J358" s="2" t="s">
        <v>86</v>
      </c>
      <c r="K358" s="2">
        <v>4</v>
      </c>
      <c r="L358" s="2">
        <v>4.0152000000000001</v>
      </c>
      <c r="M358" s="2">
        <v>1.52E-2</v>
      </c>
      <c r="N358" s="8" t="s">
        <v>11846</v>
      </c>
      <c r="O358" s="8" t="s">
        <v>11847</v>
      </c>
      <c r="P358" s="2">
        <v>2</v>
      </c>
      <c r="Q358" s="8"/>
      <c r="R358" s="8" t="s">
        <v>4255</v>
      </c>
      <c r="S358" s="8" t="str">
        <f>HYPERLINK("https://seichotoushi-hojo.jp/assets/pdf/koufu/outline_3.pdf","PDFを開く")</f>
        <v>PDFを開く</v>
      </c>
      <c r="T358" s="8" t="s">
        <v>845</v>
      </c>
      <c r="U358" s="8" t="s">
        <v>846</v>
      </c>
    </row>
    <row r="359" spans="1:21" ht="39.950000000000003" customHeight="1">
      <c r="A359" s="5" t="s">
        <v>839</v>
      </c>
      <c r="B359" s="5" t="s">
        <v>73</v>
      </c>
      <c r="C359" s="9" t="s">
        <v>840</v>
      </c>
      <c r="D359" s="9" t="s">
        <v>3188</v>
      </c>
      <c r="E359" s="9" t="s">
        <v>156</v>
      </c>
      <c r="F359" s="5"/>
      <c r="G359" s="5"/>
      <c r="H359" s="5"/>
      <c r="I359" s="5"/>
      <c r="J359" s="5"/>
      <c r="K359" s="5"/>
      <c r="L359" s="5"/>
      <c r="M359" s="5"/>
      <c r="N359" s="9" t="s">
        <v>11850</v>
      </c>
      <c r="O359" s="9"/>
      <c r="P359" s="5"/>
      <c r="Q359" s="9" t="s">
        <v>11851</v>
      </c>
      <c r="R359" s="9"/>
      <c r="S359" s="9" t="str">
        <f>HYPERLINK("https://seichotoushi-hojo.jp/assets/pdf/koufu/outline_3.pdf","PDFを開く")</f>
        <v>PDFを開く</v>
      </c>
      <c r="T359" s="9" t="s">
        <v>845</v>
      </c>
      <c r="U359" s="9" t="s">
        <v>846</v>
      </c>
    </row>
    <row r="360" spans="1:21" ht="39.950000000000003" customHeight="1">
      <c r="A360" s="2" t="s">
        <v>839</v>
      </c>
      <c r="B360" s="2" t="s">
        <v>73</v>
      </c>
      <c r="C360" s="8" t="s">
        <v>840</v>
      </c>
      <c r="D360" s="8" t="s">
        <v>3191</v>
      </c>
      <c r="E360" s="8" t="s">
        <v>92</v>
      </c>
      <c r="F360" s="2">
        <v>2026</v>
      </c>
      <c r="G360" s="2">
        <v>841</v>
      </c>
      <c r="H360" s="2">
        <v>2029</v>
      </c>
      <c r="I360" s="2">
        <v>902</v>
      </c>
      <c r="J360" s="2" t="s">
        <v>2513</v>
      </c>
      <c r="K360" s="2"/>
      <c r="L360" s="2"/>
      <c r="M360" s="2"/>
      <c r="N360" s="8" t="s">
        <v>11846</v>
      </c>
      <c r="O360" s="8" t="s">
        <v>11847</v>
      </c>
      <c r="P360" s="2">
        <v>2</v>
      </c>
      <c r="Q360" s="8"/>
      <c r="R360" s="8" t="s">
        <v>4259</v>
      </c>
      <c r="S360" s="8" t="str">
        <f>HYPERLINK("https://seichotoushi-hojo.jp/assets/pdf/koufu/outline_3.pdf","PDFを開く")</f>
        <v>PDFを開く</v>
      </c>
      <c r="T360" s="8" t="s">
        <v>845</v>
      </c>
      <c r="U360" s="8" t="s">
        <v>846</v>
      </c>
    </row>
    <row r="361" spans="1:21" ht="39.950000000000003" customHeight="1">
      <c r="A361" s="5" t="s">
        <v>847</v>
      </c>
      <c r="B361" s="5" t="s">
        <v>73</v>
      </c>
      <c r="C361" s="9" t="s">
        <v>848</v>
      </c>
      <c r="D361" s="9" t="s">
        <v>3176</v>
      </c>
      <c r="E361" s="9" t="s">
        <v>90</v>
      </c>
      <c r="F361" s="5">
        <v>2026</v>
      </c>
      <c r="G361" s="5">
        <v>698</v>
      </c>
      <c r="H361" s="5">
        <v>2029</v>
      </c>
      <c r="I361" s="5">
        <v>843</v>
      </c>
      <c r="J361" s="5" t="s">
        <v>86</v>
      </c>
      <c r="K361" s="5">
        <v>6.5</v>
      </c>
      <c r="L361" s="5">
        <v>6.4936999999999996</v>
      </c>
      <c r="M361" s="5">
        <v>6.3E-3</v>
      </c>
      <c r="N361" s="9" t="s">
        <v>11846</v>
      </c>
      <c r="O361" s="9"/>
      <c r="P361" s="5">
        <v>2</v>
      </c>
      <c r="Q361" s="9"/>
      <c r="R361" s="9" t="s">
        <v>4262</v>
      </c>
      <c r="S361" s="9" t="str">
        <f>HYPERLINK("https://seichotoushi-hojo.jp/assets/pdf/koufu/outline_30.pdf","PDFを開く")</f>
        <v>PDFを開く</v>
      </c>
      <c r="T361" s="9" t="s">
        <v>854</v>
      </c>
      <c r="U361" s="9" t="s">
        <v>855</v>
      </c>
    </row>
    <row r="362" spans="1:21" ht="39.950000000000003" customHeight="1">
      <c r="A362" s="2" t="s">
        <v>847</v>
      </c>
      <c r="B362" s="2" t="s">
        <v>73</v>
      </c>
      <c r="C362" s="8" t="s">
        <v>848</v>
      </c>
      <c r="D362" s="8" t="s">
        <v>3184</v>
      </c>
      <c r="E362" s="8" t="s">
        <v>90</v>
      </c>
      <c r="F362" s="2">
        <v>2026</v>
      </c>
      <c r="G362" s="2">
        <v>582</v>
      </c>
      <c r="H362" s="2">
        <v>2029</v>
      </c>
      <c r="I362" s="2">
        <v>694</v>
      </c>
      <c r="J362" s="2" t="s">
        <v>86</v>
      </c>
      <c r="K362" s="2">
        <v>6</v>
      </c>
      <c r="L362" s="2">
        <v>6.0422000000000002</v>
      </c>
      <c r="M362" s="2">
        <v>4.2200000000000001E-2</v>
      </c>
      <c r="N362" s="8" t="s">
        <v>11846</v>
      </c>
      <c r="O362" s="8"/>
      <c r="P362" s="2">
        <v>2</v>
      </c>
      <c r="Q362" s="8"/>
      <c r="R362" s="8" t="s">
        <v>4265</v>
      </c>
      <c r="S362" s="8" t="str">
        <f>HYPERLINK("https://seichotoushi-hojo.jp/assets/pdf/koufu/outline_30.pdf","PDFを開く")</f>
        <v>PDFを開く</v>
      </c>
      <c r="T362" s="8" t="s">
        <v>854</v>
      </c>
      <c r="U362" s="8" t="s">
        <v>855</v>
      </c>
    </row>
    <row r="363" spans="1:21" ht="39.950000000000003" customHeight="1">
      <c r="A363" s="5" t="s">
        <v>847</v>
      </c>
      <c r="B363" s="5" t="s">
        <v>73</v>
      </c>
      <c r="C363" s="9" t="s">
        <v>848</v>
      </c>
      <c r="D363" s="9" t="s">
        <v>3188</v>
      </c>
      <c r="E363" s="9" t="s">
        <v>157</v>
      </c>
      <c r="F363" s="5"/>
      <c r="G363" s="5"/>
      <c r="H363" s="5"/>
      <c r="I363" s="5"/>
      <c r="J363" s="5"/>
      <c r="K363" s="5"/>
      <c r="L363" s="5"/>
      <c r="M363" s="5"/>
      <c r="N363" s="9" t="s">
        <v>11850</v>
      </c>
      <c r="O363" s="9"/>
      <c r="P363" s="5"/>
      <c r="Q363" s="9" t="s">
        <v>11851</v>
      </c>
      <c r="R363" s="9"/>
      <c r="S363" s="9" t="str">
        <f>HYPERLINK("https://seichotoushi-hojo.jp/assets/pdf/koufu/outline_30.pdf","PDFを開く")</f>
        <v>PDFを開く</v>
      </c>
      <c r="T363" s="9" t="s">
        <v>854</v>
      </c>
      <c r="U363" s="9" t="s">
        <v>855</v>
      </c>
    </row>
    <row r="364" spans="1:21" ht="39.950000000000003" customHeight="1">
      <c r="A364" s="2" t="s">
        <v>847</v>
      </c>
      <c r="B364" s="2" t="s">
        <v>73</v>
      </c>
      <c r="C364" s="8" t="s">
        <v>848</v>
      </c>
      <c r="D364" s="8" t="s">
        <v>3191</v>
      </c>
      <c r="E364" s="8" t="s">
        <v>92</v>
      </c>
      <c r="F364" s="2">
        <v>2026</v>
      </c>
      <c r="G364" s="2">
        <v>1600</v>
      </c>
      <c r="H364" s="2">
        <v>2029</v>
      </c>
      <c r="I364" s="2">
        <v>1700</v>
      </c>
      <c r="J364" s="2" t="s">
        <v>2513</v>
      </c>
      <c r="K364" s="2"/>
      <c r="L364" s="2"/>
      <c r="M364" s="2"/>
      <c r="N364" s="8" t="s">
        <v>11846</v>
      </c>
      <c r="O364" s="8"/>
      <c r="P364" s="2">
        <v>2</v>
      </c>
      <c r="Q364" s="8"/>
      <c r="R364" s="8" t="s">
        <v>4269</v>
      </c>
      <c r="S364" s="8" t="str">
        <f>HYPERLINK("https://seichotoushi-hojo.jp/assets/pdf/koufu/outline_30.pdf","PDFを開く")</f>
        <v>PDFを開く</v>
      </c>
      <c r="T364" s="8" t="s">
        <v>854</v>
      </c>
      <c r="U364" s="8" t="s">
        <v>855</v>
      </c>
    </row>
    <row r="365" spans="1:21" ht="39.950000000000003" customHeight="1">
      <c r="A365" s="5" t="s">
        <v>856</v>
      </c>
      <c r="B365" s="5" t="s">
        <v>73</v>
      </c>
      <c r="C365" s="9" t="s">
        <v>857</v>
      </c>
      <c r="D365" s="9" t="s">
        <v>3176</v>
      </c>
      <c r="E365" s="9" t="s">
        <v>90</v>
      </c>
      <c r="F365" s="5">
        <v>2026</v>
      </c>
      <c r="G365" s="5">
        <v>1159</v>
      </c>
      <c r="H365" s="5">
        <v>2029</v>
      </c>
      <c r="I365" s="5">
        <v>1385</v>
      </c>
      <c r="J365" s="5" t="s">
        <v>86</v>
      </c>
      <c r="K365" s="5">
        <v>6.14</v>
      </c>
      <c r="L365" s="5">
        <v>6.1178999999999997</v>
      </c>
      <c r="M365" s="5">
        <v>2.2100000000000002E-2</v>
      </c>
      <c r="N365" s="9" t="s">
        <v>11846</v>
      </c>
      <c r="O365" s="9" t="s">
        <v>11847</v>
      </c>
      <c r="P365" s="5">
        <v>2</v>
      </c>
      <c r="Q365" s="9"/>
      <c r="R365" s="9" t="s">
        <v>4272</v>
      </c>
      <c r="S365" s="9" t="str">
        <f>HYPERLINK("https://seichotoushi-hojo.jp/assets/pdf/koufu/outline_31.pdf","PDFを開く")</f>
        <v>PDFを開く</v>
      </c>
      <c r="T365" s="9" t="s">
        <v>862</v>
      </c>
      <c r="U365" s="9" t="s">
        <v>863</v>
      </c>
    </row>
    <row r="366" spans="1:21" ht="39.950000000000003" customHeight="1">
      <c r="A366" s="2" t="s">
        <v>856</v>
      </c>
      <c r="B366" s="2" t="s">
        <v>73</v>
      </c>
      <c r="C366" s="8" t="s">
        <v>857</v>
      </c>
      <c r="D366" s="8" t="s">
        <v>3184</v>
      </c>
      <c r="E366" s="8" t="s">
        <v>90</v>
      </c>
      <c r="F366" s="2">
        <v>2026</v>
      </c>
      <c r="G366" s="2">
        <v>413</v>
      </c>
      <c r="H366" s="2">
        <v>2029</v>
      </c>
      <c r="I366" s="2">
        <v>502</v>
      </c>
      <c r="J366" s="2" t="s">
        <v>86</v>
      </c>
      <c r="K366" s="2">
        <v>6.72</v>
      </c>
      <c r="L366" s="2">
        <v>6.7213000000000003</v>
      </c>
      <c r="M366" s="2">
        <v>1.2999999999999999E-3</v>
      </c>
      <c r="N366" s="8" t="s">
        <v>11846</v>
      </c>
      <c r="O366" s="8" t="s">
        <v>11847</v>
      </c>
      <c r="P366" s="2">
        <v>2</v>
      </c>
      <c r="Q366" s="8"/>
      <c r="R366" s="8" t="s">
        <v>4275</v>
      </c>
      <c r="S366" s="8" t="str">
        <f>HYPERLINK("https://seichotoushi-hojo.jp/assets/pdf/koufu/outline_31.pdf","PDFを開く")</f>
        <v>PDFを開く</v>
      </c>
      <c r="T366" s="8" t="s">
        <v>862</v>
      </c>
      <c r="U366" s="8" t="s">
        <v>863</v>
      </c>
    </row>
    <row r="367" spans="1:21" ht="39.950000000000003" customHeight="1">
      <c r="A367" s="5" t="s">
        <v>856</v>
      </c>
      <c r="B367" s="5" t="s">
        <v>73</v>
      </c>
      <c r="C367" s="9" t="s">
        <v>857</v>
      </c>
      <c r="D367" s="9" t="s">
        <v>3188</v>
      </c>
      <c r="E367" s="9" t="s">
        <v>90</v>
      </c>
      <c r="F367" s="5">
        <v>2026</v>
      </c>
      <c r="G367" s="5">
        <v>1874</v>
      </c>
      <c r="H367" s="5">
        <v>2029</v>
      </c>
      <c r="I367" s="5">
        <v>2170</v>
      </c>
      <c r="J367" s="5" t="s">
        <v>86</v>
      </c>
      <c r="K367" s="5">
        <v>5</v>
      </c>
      <c r="L367" s="5">
        <v>5.0099</v>
      </c>
      <c r="M367" s="5">
        <v>9.9000000000000008E-3</v>
      </c>
      <c r="N367" s="9" t="s">
        <v>11846</v>
      </c>
      <c r="O367" s="9" t="s">
        <v>11847</v>
      </c>
      <c r="P367" s="5">
        <v>2</v>
      </c>
      <c r="Q367" s="9"/>
      <c r="R367" s="9" t="s">
        <v>4278</v>
      </c>
      <c r="S367" s="9" t="str">
        <f>HYPERLINK("https://seichotoushi-hojo.jp/assets/pdf/koufu/outline_31.pdf","PDFを開く")</f>
        <v>PDFを開く</v>
      </c>
      <c r="T367" s="9" t="s">
        <v>862</v>
      </c>
      <c r="U367" s="9" t="s">
        <v>863</v>
      </c>
    </row>
    <row r="368" spans="1:21" ht="39.950000000000003" customHeight="1">
      <c r="A368" s="2" t="s">
        <v>856</v>
      </c>
      <c r="B368" s="2" t="s">
        <v>73</v>
      </c>
      <c r="C368" s="8" t="s">
        <v>857</v>
      </c>
      <c r="D368" s="8" t="s">
        <v>3191</v>
      </c>
      <c r="E368" s="8" t="s">
        <v>92</v>
      </c>
      <c r="F368" s="2">
        <v>2026</v>
      </c>
      <c r="G368" s="2">
        <v>75</v>
      </c>
      <c r="H368" s="2">
        <v>2029</v>
      </c>
      <c r="I368" s="2">
        <v>102</v>
      </c>
      <c r="J368" s="2" t="s">
        <v>2513</v>
      </c>
      <c r="K368" s="2"/>
      <c r="L368" s="2"/>
      <c r="M368" s="2"/>
      <c r="N368" s="8" t="s">
        <v>11846</v>
      </c>
      <c r="O368" s="8" t="s">
        <v>11847</v>
      </c>
      <c r="P368" s="2">
        <v>2</v>
      </c>
      <c r="Q368" s="8"/>
      <c r="R368" s="8" t="s">
        <v>4280</v>
      </c>
      <c r="S368" s="8" t="str">
        <f>HYPERLINK("https://seichotoushi-hojo.jp/assets/pdf/koufu/outline_31.pdf","PDFを開く")</f>
        <v>PDFを開く</v>
      </c>
      <c r="T368" s="8" t="s">
        <v>862</v>
      </c>
      <c r="U368" s="8" t="s">
        <v>863</v>
      </c>
    </row>
    <row r="369" spans="1:21" ht="39.950000000000003" customHeight="1">
      <c r="A369" s="5" t="s">
        <v>864</v>
      </c>
      <c r="B369" s="5" t="s">
        <v>73</v>
      </c>
      <c r="C369" s="9" t="s">
        <v>865</v>
      </c>
      <c r="D369" s="9" t="s">
        <v>3176</v>
      </c>
      <c r="E369" s="22" t="s">
        <v>113</v>
      </c>
      <c r="F369" s="5">
        <v>2025</v>
      </c>
      <c r="G369" s="5">
        <v>1097</v>
      </c>
      <c r="H369" s="5">
        <v>2029</v>
      </c>
      <c r="I369" s="5">
        <v>1943</v>
      </c>
      <c r="J369" s="5" t="s">
        <v>86</v>
      </c>
      <c r="K369" s="5">
        <v>21</v>
      </c>
      <c r="L369" s="5">
        <v>15.363</v>
      </c>
      <c r="M369" s="5">
        <v>5.6369999999999996</v>
      </c>
      <c r="N369" s="9" t="s">
        <v>11846</v>
      </c>
      <c r="O369" s="9" t="s">
        <v>292</v>
      </c>
      <c r="P369" s="5">
        <v>2</v>
      </c>
      <c r="Q369" s="9" t="s">
        <v>11849</v>
      </c>
      <c r="R369" s="9" t="s">
        <v>4291</v>
      </c>
      <c r="S369" s="9" t="str">
        <f>HYPERLINK("https://seichotoushi-hojo.jp/assets/pdf/koufu/outline_32.pdf","PDFを開く")</f>
        <v>PDFを開く</v>
      </c>
      <c r="T369" s="9" t="s">
        <v>870</v>
      </c>
      <c r="U369" s="9" t="s">
        <v>871</v>
      </c>
    </row>
    <row r="370" spans="1:21" ht="39.950000000000003" customHeight="1">
      <c r="A370" s="2" t="s">
        <v>864</v>
      </c>
      <c r="B370" s="2" t="s">
        <v>73</v>
      </c>
      <c r="C370" s="8" t="s">
        <v>865</v>
      </c>
      <c r="D370" s="8" t="s">
        <v>3184</v>
      </c>
      <c r="E370" s="22" t="s">
        <v>113</v>
      </c>
      <c r="F370" s="2">
        <v>2025</v>
      </c>
      <c r="G370" s="2">
        <v>521</v>
      </c>
      <c r="H370" s="2">
        <v>2029</v>
      </c>
      <c r="I370" s="2">
        <v>594</v>
      </c>
      <c r="J370" s="2" t="s">
        <v>86</v>
      </c>
      <c r="K370" s="2">
        <v>4.51</v>
      </c>
      <c r="L370" s="2">
        <v>3.3325999999999998</v>
      </c>
      <c r="M370" s="2">
        <v>1.1774</v>
      </c>
      <c r="N370" s="8" t="s">
        <v>11846</v>
      </c>
      <c r="O370" s="8" t="s">
        <v>292</v>
      </c>
      <c r="P370" s="2">
        <v>2</v>
      </c>
      <c r="Q370" s="8" t="s">
        <v>11849</v>
      </c>
      <c r="R370" s="8" t="s">
        <v>4292</v>
      </c>
      <c r="S370" s="8" t="str">
        <f>HYPERLINK("https://seichotoushi-hojo.jp/assets/pdf/koufu/outline_32.pdf","PDFを開く")</f>
        <v>PDFを開く</v>
      </c>
      <c r="T370" s="8" t="s">
        <v>870</v>
      </c>
      <c r="U370" s="8" t="s">
        <v>871</v>
      </c>
    </row>
    <row r="371" spans="1:21" ht="39.950000000000003" customHeight="1">
      <c r="A371" s="5" t="s">
        <v>864</v>
      </c>
      <c r="B371" s="5" t="s">
        <v>73</v>
      </c>
      <c r="C371" s="9" t="s">
        <v>865</v>
      </c>
      <c r="D371" s="9" t="s">
        <v>3188</v>
      </c>
      <c r="E371" s="9" t="s">
        <v>91</v>
      </c>
      <c r="F371" s="5">
        <v>2025</v>
      </c>
      <c r="G371" s="5"/>
      <c r="H371" s="5">
        <v>2029</v>
      </c>
      <c r="I371" s="5"/>
      <c r="J371" s="5" t="s">
        <v>86</v>
      </c>
      <c r="K371" s="5">
        <v>3</v>
      </c>
      <c r="L371" s="5"/>
      <c r="M371" s="5"/>
      <c r="N371" s="9" t="s">
        <v>11846</v>
      </c>
      <c r="O371" s="9" t="s">
        <v>11848</v>
      </c>
      <c r="P371" s="5">
        <v>2</v>
      </c>
      <c r="Q371" s="9"/>
      <c r="R371" s="9" t="s">
        <v>4295</v>
      </c>
      <c r="S371" s="9" t="str">
        <f>HYPERLINK("https://seichotoushi-hojo.jp/assets/pdf/koufu/outline_32.pdf","PDFを開く")</f>
        <v>PDFを開く</v>
      </c>
      <c r="T371" s="9" t="s">
        <v>870</v>
      </c>
      <c r="U371" s="9" t="s">
        <v>871</v>
      </c>
    </row>
    <row r="372" spans="1:21" ht="39.950000000000003" customHeight="1">
      <c r="A372" s="2" t="s">
        <v>864</v>
      </c>
      <c r="B372" s="2" t="s">
        <v>73</v>
      </c>
      <c r="C372" s="8" t="s">
        <v>865</v>
      </c>
      <c r="D372" s="8" t="s">
        <v>3191</v>
      </c>
      <c r="E372" s="8" t="s">
        <v>166</v>
      </c>
      <c r="F372" s="2">
        <v>2025</v>
      </c>
      <c r="G372" s="2">
        <v>89</v>
      </c>
      <c r="H372" s="2">
        <v>2029</v>
      </c>
      <c r="I372" s="2">
        <v>95</v>
      </c>
      <c r="J372" s="2" t="s">
        <v>2513</v>
      </c>
      <c r="K372" s="2"/>
      <c r="L372" s="2"/>
      <c r="M372" s="2"/>
      <c r="N372" s="8" t="s">
        <v>11846</v>
      </c>
      <c r="O372" s="8" t="s">
        <v>292</v>
      </c>
      <c r="P372" s="2">
        <v>2</v>
      </c>
      <c r="Q372" s="8"/>
      <c r="R372" s="8" t="s">
        <v>4293</v>
      </c>
      <c r="S372" s="8" t="str">
        <f>HYPERLINK("https://seichotoushi-hojo.jp/assets/pdf/koufu/outline_32.pdf","PDFを開く")</f>
        <v>PDFを開く</v>
      </c>
      <c r="T372" s="8" t="s">
        <v>870</v>
      </c>
      <c r="U372" s="8" t="s">
        <v>871</v>
      </c>
    </row>
    <row r="373" spans="1:21" ht="39.950000000000003" customHeight="1">
      <c r="A373" s="5" t="s">
        <v>872</v>
      </c>
      <c r="B373" s="5" t="s">
        <v>73</v>
      </c>
      <c r="C373" s="9" t="s">
        <v>873</v>
      </c>
      <c r="D373" s="9" t="s">
        <v>3176</v>
      </c>
      <c r="E373" s="9" t="s">
        <v>90</v>
      </c>
      <c r="F373" s="5">
        <v>2025</v>
      </c>
      <c r="G373" s="5">
        <v>1608</v>
      </c>
      <c r="H373" s="5">
        <v>2028</v>
      </c>
      <c r="I373" s="5">
        <v>2044</v>
      </c>
      <c r="J373" s="5" t="s">
        <v>86</v>
      </c>
      <c r="K373" s="5">
        <v>8.34</v>
      </c>
      <c r="L373" s="5">
        <v>8.3256999999999994</v>
      </c>
      <c r="M373" s="5">
        <v>1.43E-2</v>
      </c>
      <c r="N373" s="9" t="s">
        <v>11846</v>
      </c>
      <c r="O373" s="9" t="s">
        <v>11847</v>
      </c>
      <c r="P373" s="5">
        <v>2</v>
      </c>
      <c r="Q373" s="9"/>
      <c r="R373" s="9" t="s">
        <v>4299</v>
      </c>
      <c r="S373" s="9" t="str">
        <f>HYPERLINK("https://seichotoushi-hojo.jp/assets/pdf/koufu/outline_33.pdf","PDFを開く")</f>
        <v>PDFを開く</v>
      </c>
      <c r="T373" s="9" t="s">
        <v>877</v>
      </c>
      <c r="U373" s="9" t="s">
        <v>878</v>
      </c>
    </row>
    <row r="374" spans="1:21" ht="39.950000000000003" customHeight="1">
      <c r="A374" s="2" t="s">
        <v>872</v>
      </c>
      <c r="B374" s="2" t="s">
        <v>73</v>
      </c>
      <c r="C374" s="8" t="s">
        <v>873</v>
      </c>
      <c r="D374" s="8" t="s">
        <v>3184</v>
      </c>
      <c r="E374" s="8" t="s">
        <v>90</v>
      </c>
      <c r="F374" s="2">
        <v>2025</v>
      </c>
      <c r="G374" s="2">
        <v>452</v>
      </c>
      <c r="H374" s="2">
        <v>2028</v>
      </c>
      <c r="I374" s="2">
        <v>523</v>
      </c>
      <c r="J374" s="2" t="s">
        <v>86</v>
      </c>
      <c r="K374" s="2">
        <v>5</v>
      </c>
      <c r="L374" s="2">
        <v>4.9835000000000003</v>
      </c>
      <c r="M374" s="2">
        <v>1.6500000000000001E-2</v>
      </c>
      <c r="N374" s="8" t="s">
        <v>11846</v>
      </c>
      <c r="O374" s="8" t="s">
        <v>11847</v>
      </c>
      <c r="P374" s="2">
        <v>2</v>
      </c>
      <c r="Q374" s="8"/>
      <c r="R374" s="8" t="s">
        <v>4303</v>
      </c>
      <c r="S374" s="8" t="str">
        <f>HYPERLINK("https://seichotoushi-hojo.jp/assets/pdf/koufu/outline_33.pdf","PDFを開く")</f>
        <v>PDFを開く</v>
      </c>
      <c r="T374" s="8" t="s">
        <v>877</v>
      </c>
      <c r="U374" s="8" t="s">
        <v>878</v>
      </c>
    </row>
    <row r="375" spans="1:21" ht="39.950000000000003" customHeight="1">
      <c r="A375" s="5" t="s">
        <v>872</v>
      </c>
      <c r="B375" s="5" t="s">
        <v>73</v>
      </c>
      <c r="C375" s="9" t="s">
        <v>873</v>
      </c>
      <c r="D375" s="9" t="s">
        <v>3188</v>
      </c>
      <c r="E375" s="9" t="s">
        <v>157</v>
      </c>
      <c r="F375" s="5"/>
      <c r="G375" s="5"/>
      <c r="H375" s="5"/>
      <c r="I375" s="5"/>
      <c r="J375" s="5"/>
      <c r="K375" s="5"/>
      <c r="L375" s="5"/>
      <c r="M375" s="5"/>
      <c r="N375" s="9" t="s">
        <v>11850</v>
      </c>
      <c r="O375" s="9"/>
      <c r="P375" s="5"/>
      <c r="Q375" s="9" t="s">
        <v>11851</v>
      </c>
      <c r="R375" s="9"/>
      <c r="S375" s="9" t="str">
        <f>HYPERLINK("https://seichotoushi-hojo.jp/assets/pdf/koufu/outline_33.pdf","PDFを開く")</f>
        <v>PDFを開く</v>
      </c>
      <c r="T375" s="9" t="s">
        <v>877</v>
      </c>
      <c r="U375" s="9" t="s">
        <v>878</v>
      </c>
    </row>
    <row r="376" spans="1:21" ht="39.950000000000003" customHeight="1">
      <c r="A376" s="2" t="s">
        <v>872</v>
      </c>
      <c r="B376" s="2" t="s">
        <v>73</v>
      </c>
      <c r="C376" s="8" t="s">
        <v>873</v>
      </c>
      <c r="D376" s="8" t="s">
        <v>3191</v>
      </c>
      <c r="E376" s="8" t="s">
        <v>92</v>
      </c>
      <c r="F376" s="2">
        <v>2025</v>
      </c>
      <c r="G376" s="2">
        <v>101</v>
      </c>
      <c r="H376" s="2">
        <v>2028</v>
      </c>
      <c r="I376" s="2">
        <v>116</v>
      </c>
      <c r="J376" s="2" t="s">
        <v>2513</v>
      </c>
      <c r="K376" s="2"/>
      <c r="L376" s="2"/>
      <c r="M376" s="2"/>
      <c r="N376" s="8" t="s">
        <v>11846</v>
      </c>
      <c r="O376" s="8" t="s">
        <v>11847</v>
      </c>
      <c r="P376" s="2">
        <v>2</v>
      </c>
      <c r="Q376" s="8"/>
      <c r="R376" s="8" t="s">
        <v>4308</v>
      </c>
      <c r="S376" s="8" t="str">
        <f>HYPERLINK("https://seichotoushi-hojo.jp/assets/pdf/koufu/outline_33.pdf","PDFを開く")</f>
        <v>PDFを開く</v>
      </c>
      <c r="T376" s="8" t="s">
        <v>877</v>
      </c>
      <c r="U376" s="8" t="s">
        <v>878</v>
      </c>
    </row>
    <row r="377" spans="1:21" ht="39.950000000000003" customHeight="1">
      <c r="A377" s="5" t="s">
        <v>879</v>
      </c>
      <c r="B377" s="5" t="s">
        <v>73</v>
      </c>
      <c r="C377" s="9" t="s">
        <v>880</v>
      </c>
      <c r="D377" s="9" t="s">
        <v>3176</v>
      </c>
      <c r="E377" s="9" t="s">
        <v>90</v>
      </c>
      <c r="F377" s="5">
        <v>2026</v>
      </c>
      <c r="G377" s="5">
        <v>2605</v>
      </c>
      <c r="H377" s="5">
        <v>2029</v>
      </c>
      <c r="I377" s="5">
        <v>3672</v>
      </c>
      <c r="J377" s="5" t="s">
        <v>86</v>
      </c>
      <c r="K377" s="5">
        <v>12.1</v>
      </c>
      <c r="L377" s="5">
        <v>12.123900000000001</v>
      </c>
      <c r="M377" s="5">
        <v>2.3900000000000001E-2</v>
      </c>
      <c r="N377" s="9" t="s">
        <v>11846</v>
      </c>
      <c r="O377" s="9" t="s">
        <v>11847</v>
      </c>
      <c r="P377" s="5">
        <v>2</v>
      </c>
      <c r="Q377" s="9"/>
      <c r="R377" s="9" t="s">
        <v>4311</v>
      </c>
      <c r="S377" s="9" t="str">
        <f>HYPERLINK("https://seichotoushi-hojo.jp/assets/pdf/koufu/outline_34.pdf","PDFを開く")</f>
        <v>PDFを開く</v>
      </c>
      <c r="T377" s="9" t="s">
        <v>885</v>
      </c>
      <c r="U377" s="9" t="s">
        <v>886</v>
      </c>
    </row>
    <row r="378" spans="1:21" ht="39.950000000000003" customHeight="1">
      <c r="A378" s="2" t="s">
        <v>879</v>
      </c>
      <c r="B378" s="2" t="s">
        <v>73</v>
      </c>
      <c r="C378" s="8" t="s">
        <v>880</v>
      </c>
      <c r="D378" s="8" t="s">
        <v>3184</v>
      </c>
      <c r="E378" s="8" t="s">
        <v>90</v>
      </c>
      <c r="F378" s="2">
        <v>2026</v>
      </c>
      <c r="G378" s="2">
        <v>532</v>
      </c>
      <c r="H378" s="2">
        <v>2029</v>
      </c>
      <c r="I378" s="2">
        <v>616</v>
      </c>
      <c r="J378" s="2" t="s">
        <v>86</v>
      </c>
      <c r="K378" s="2">
        <v>5</v>
      </c>
      <c r="L378" s="2">
        <v>5.0082000000000004</v>
      </c>
      <c r="M378" s="2">
        <v>8.2000000000000007E-3</v>
      </c>
      <c r="N378" s="8" t="s">
        <v>11846</v>
      </c>
      <c r="O378" s="8" t="s">
        <v>11847</v>
      </c>
      <c r="P378" s="2">
        <v>2</v>
      </c>
      <c r="Q378" s="8"/>
      <c r="R378" s="8" t="s">
        <v>4314</v>
      </c>
      <c r="S378" s="8" t="str">
        <f>HYPERLINK("https://seichotoushi-hojo.jp/assets/pdf/koufu/outline_34.pdf","PDFを開く")</f>
        <v>PDFを開く</v>
      </c>
      <c r="T378" s="8" t="s">
        <v>885</v>
      </c>
      <c r="U378" s="8" t="s">
        <v>886</v>
      </c>
    </row>
    <row r="379" spans="1:21" ht="39.950000000000003" customHeight="1">
      <c r="A379" s="5" t="s">
        <v>879</v>
      </c>
      <c r="B379" s="5" t="s">
        <v>73</v>
      </c>
      <c r="C379" s="9" t="s">
        <v>880</v>
      </c>
      <c r="D379" s="9" t="s">
        <v>3188</v>
      </c>
      <c r="E379" s="9" t="s">
        <v>91</v>
      </c>
      <c r="F379" s="5">
        <v>2026</v>
      </c>
      <c r="G379" s="5"/>
      <c r="H379" s="5">
        <v>2029</v>
      </c>
      <c r="I379" s="5"/>
      <c r="J379" s="5" t="s">
        <v>86</v>
      </c>
      <c r="K379" s="5">
        <v>5</v>
      </c>
      <c r="L379" s="5"/>
      <c r="M379" s="5"/>
      <c r="N379" s="9" t="s">
        <v>11846</v>
      </c>
      <c r="O379" s="9" t="s">
        <v>11848</v>
      </c>
      <c r="P379" s="5">
        <v>2</v>
      </c>
      <c r="Q379" s="9"/>
      <c r="R379" s="9" t="s">
        <v>3382</v>
      </c>
      <c r="S379" s="9" t="str">
        <f>HYPERLINK("https://seichotoushi-hojo.jp/assets/pdf/koufu/outline_34.pdf","PDFを開く")</f>
        <v>PDFを開く</v>
      </c>
      <c r="T379" s="9" t="s">
        <v>885</v>
      </c>
      <c r="U379" s="9" t="s">
        <v>886</v>
      </c>
    </row>
    <row r="380" spans="1:21" ht="39.950000000000003" customHeight="1">
      <c r="A380" s="2" t="s">
        <v>879</v>
      </c>
      <c r="B380" s="2" t="s">
        <v>73</v>
      </c>
      <c r="C380" s="8" t="s">
        <v>880</v>
      </c>
      <c r="D380" s="8" t="s">
        <v>3191</v>
      </c>
      <c r="E380" s="8" t="s">
        <v>92</v>
      </c>
      <c r="F380" s="2">
        <v>2026</v>
      </c>
      <c r="G380" s="2">
        <v>19</v>
      </c>
      <c r="H380" s="2">
        <v>2029</v>
      </c>
      <c r="I380" s="2">
        <v>27</v>
      </c>
      <c r="J380" s="2" t="s">
        <v>2513</v>
      </c>
      <c r="K380" s="2"/>
      <c r="L380" s="2"/>
      <c r="M380" s="2"/>
      <c r="N380" s="8" t="s">
        <v>11846</v>
      </c>
      <c r="O380" s="8" t="s">
        <v>11847</v>
      </c>
      <c r="P380" s="2">
        <v>2</v>
      </c>
      <c r="Q380" s="8"/>
      <c r="R380" s="8" t="s">
        <v>4317</v>
      </c>
      <c r="S380" s="8" t="str">
        <f>HYPERLINK("https://seichotoushi-hojo.jp/assets/pdf/koufu/outline_34.pdf","PDFを開く")</f>
        <v>PDFを開く</v>
      </c>
      <c r="T380" s="8" t="s">
        <v>885</v>
      </c>
      <c r="U380" s="8" t="s">
        <v>886</v>
      </c>
    </row>
    <row r="381" spans="1:21" ht="39.950000000000003" customHeight="1">
      <c r="A381" s="5" t="s">
        <v>887</v>
      </c>
      <c r="B381" s="5" t="s">
        <v>73</v>
      </c>
      <c r="C381" s="9" t="s">
        <v>888</v>
      </c>
      <c r="D381" s="9" t="s">
        <v>3176</v>
      </c>
      <c r="E381" s="9" t="s">
        <v>90</v>
      </c>
      <c r="F381" s="5">
        <v>2026</v>
      </c>
      <c r="G381" s="5">
        <v>2917.9</v>
      </c>
      <c r="H381" s="5">
        <v>2029</v>
      </c>
      <c r="I381" s="5">
        <v>4070.1</v>
      </c>
      <c r="J381" s="5" t="s">
        <v>86</v>
      </c>
      <c r="K381" s="5">
        <v>11.7</v>
      </c>
      <c r="L381" s="5">
        <v>11.732200000000001</v>
      </c>
      <c r="M381" s="5">
        <v>3.2199999999999999E-2</v>
      </c>
      <c r="N381" s="9" t="s">
        <v>11846</v>
      </c>
      <c r="O381" s="9" t="s">
        <v>11847</v>
      </c>
      <c r="P381" s="5">
        <v>2</v>
      </c>
      <c r="Q381" s="9"/>
      <c r="R381" s="9" t="s">
        <v>4322</v>
      </c>
      <c r="S381" s="9" t="str">
        <f>HYPERLINK("https://seichotoushi-hojo.jp/assets/pdf/koufu/outline_35.pdf","PDFを開く")</f>
        <v>PDFを開く</v>
      </c>
      <c r="T381" s="9" t="s">
        <v>892</v>
      </c>
      <c r="U381" s="9" t="s">
        <v>893</v>
      </c>
    </row>
    <row r="382" spans="1:21" ht="39.950000000000003" customHeight="1">
      <c r="A382" s="2" t="s">
        <v>887</v>
      </c>
      <c r="B382" s="2" t="s">
        <v>73</v>
      </c>
      <c r="C382" s="8" t="s">
        <v>888</v>
      </c>
      <c r="D382" s="8" t="s">
        <v>3184</v>
      </c>
      <c r="E382" s="8" t="s">
        <v>90</v>
      </c>
      <c r="F382" s="2">
        <v>2026</v>
      </c>
      <c r="G382" s="2">
        <v>485.7</v>
      </c>
      <c r="H382" s="2">
        <v>2029</v>
      </c>
      <c r="I382" s="2">
        <v>562.20000000000005</v>
      </c>
      <c r="J382" s="2" t="s">
        <v>86</v>
      </c>
      <c r="K382" s="2">
        <v>5</v>
      </c>
      <c r="L382" s="2">
        <v>4.9964000000000004</v>
      </c>
      <c r="M382" s="2">
        <v>3.5999999999999999E-3</v>
      </c>
      <c r="N382" s="8" t="s">
        <v>11846</v>
      </c>
      <c r="O382" s="8" t="s">
        <v>11847</v>
      </c>
      <c r="P382" s="2">
        <v>2</v>
      </c>
      <c r="Q382" s="8"/>
      <c r="R382" s="8" t="s">
        <v>4325</v>
      </c>
      <c r="S382" s="8" t="str">
        <f>HYPERLINK("https://seichotoushi-hojo.jp/assets/pdf/koufu/outline_35.pdf","PDFを開く")</f>
        <v>PDFを開く</v>
      </c>
      <c r="T382" s="8" t="s">
        <v>892</v>
      </c>
      <c r="U382" s="8" t="s">
        <v>893</v>
      </c>
    </row>
    <row r="383" spans="1:21" ht="39.950000000000003" customHeight="1">
      <c r="A383" s="5" t="s">
        <v>887</v>
      </c>
      <c r="B383" s="5" t="s">
        <v>73</v>
      </c>
      <c r="C383" s="9" t="s">
        <v>888</v>
      </c>
      <c r="D383" s="9" t="s">
        <v>3188</v>
      </c>
      <c r="E383" s="9" t="s">
        <v>156</v>
      </c>
      <c r="F383" s="5"/>
      <c r="G383" s="5"/>
      <c r="H383" s="5"/>
      <c r="I383" s="5"/>
      <c r="J383" s="5"/>
      <c r="K383" s="5"/>
      <c r="L383" s="5"/>
      <c r="M383" s="5"/>
      <c r="N383" s="9" t="s">
        <v>11850</v>
      </c>
      <c r="O383" s="9"/>
      <c r="P383" s="5"/>
      <c r="Q383" s="9" t="s">
        <v>11851</v>
      </c>
      <c r="R383" s="9"/>
      <c r="S383" s="9" t="str">
        <f>HYPERLINK("https://seichotoushi-hojo.jp/assets/pdf/koufu/outline_35.pdf","PDFを開く")</f>
        <v>PDFを開く</v>
      </c>
      <c r="T383" s="9" t="s">
        <v>892</v>
      </c>
      <c r="U383" s="9" t="s">
        <v>893</v>
      </c>
    </row>
    <row r="384" spans="1:21" ht="39.950000000000003" customHeight="1">
      <c r="A384" s="2" t="s">
        <v>887</v>
      </c>
      <c r="B384" s="2" t="s">
        <v>73</v>
      </c>
      <c r="C384" s="8" t="s">
        <v>888</v>
      </c>
      <c r="D384" s="8" t="s">
        <v>3191</v>
      </c>
      <c r="E384" s="8" t="s">
        <v>92</v>
      </c>
      <c r="F384" s="2">
        <v>2026</v>
      </c>
      <c r="G384" s="2">
        <v>61</v>
      </c>
      <c r="H384" s="2">
        <v>2029</v>
      </c>
      <c r="I384" s="2">
        <v>71</v>
      </c>
      <c r="J384" s="2" t="s">
        <v>2513</v>
      </c>
      <c r="K384" s="2"/>
      <c r="L384" s="2"/>
      <c r="M384" s="2"/>
      <c r="N384" s="8" t="s">
        <v>11846</v>
      </c>
      <c r="O384" s="8" t="s">
        <v>11847</v>
      </c>
      <c r="P384" s="2">
        <v>2</v>
      </c>
      <c r="Q384" s="8"/>
      <c r="R384" s="8" t="s">
        <v>4327</v>
      </c>
      <c r="S384" s="8" t="str">
        <f>HYPERLINK("https://seichotoushi-hojo.jp/assets/pdf/koufu/outline_35.pdf","PDFを開く")</f>
        <v>PDFを開く</v>
      </c>
      <c r="T384" s="8" t="s">
        <v>892</v>
      </c>
      <c r="U384" s="8" t="s">
        <v>893</v>
      </c>
    </row>
    <row r="385" spans="1:21" ht="39.950000000000003" customHeight="1">
      <c r="A385" s="5" t="s">
        <v>894</v>
      </c>
      <c r="B385" s="5" t="s">
        <v>73</v>
      </c>
      <c r="C385" s="9" t="s">
        <v>895</v>
      </c>
      <c r="D385" s="9" t="s">
        <v>3176</v>
      </c>
      <c r="E385" s="9" t="s">
        <v>90</v>
      </c>
      <c r="F385" s="5">
        <v>2027</v>
      </c>
      <c r="G385" s="5">
        <v>1868</v>
      </c>
      <c r="H385" s="5">
        <v>2030</v>
      </c>
      <c r="I385" s="5">
        <v>2172</v>
      </c>
      <c r="J385" s="5" t="s">
        <v>86</v>
      </c>
      <c r="K385" s="5">
        <v>5.2</v>
      </c>
      <c r="L385" s="5">
        <v>5.1543999999999999</v>
      </c>
      <c r="M385" s="5">
        <v>4.5600000000000002E-2</v>
      </c>
      <c r="N385" s="9" t="s">
        <v>11846</v>
      </c>
      <c r="O385" s="9" t="s">
        <v>11847</v>
      </c>
      <c r="P385" s="5">
        <v>2</v>
      </c>
      <c r="Q385" s="9"/>
      <c r="R385" s="9" t="s">
        <v>4329</v>
      </c>
      <c r="S385" s="9" t="str">
        <f>HYPERLINK("https://seichotoushi-hojo.jp/assets/pdf/koufu/outline_36.pdf","PDFを開く")</f>
        <v>PDFを開く</v>
      </c>
      <c r="T385" s="9" t="s">
        <v>899</v>
      </c>
      <c r="U385" s="9" t="s">
        <v>900</v>
      </c>
    </row>
    <row r="386" spans="1:21" ht="39.950000000000003" customHeight="1">
      <c r="A386" s="2" t="s">
        <v>894</v>
      </c>
      <c r="B386" s="2" t="s">
        <v>73</v>
      </c>
      <c r="C386" s="8" t="s">
        <v>895</v>
      </c>
      <c r="D386" s="8" t="s">
        <v>3184</v>
      </c>
      <c r="E386" s="8" t="s">
        <v>90</v>
      </c>
      <c r="F386" s="2">
        <v>2027</v>
      </c>
      <c r="G386" s="2">
        <v>455</v>
      </c>
      <c r="H386" s="2">
        <v>2030</v>
      </c>
      <c r="I386" s="2">
        <v>515</v>
      </c>
      <c r="J386" s="2" t="s">
        <v>86</v>
      </c>
      <c r="K386" s="2">
        <v>4.2</v>
      </c>
      <c r="L386" s="2">
        <v>4.2153999999999998</v>
      </c>
      <c r="M386" s="2">
        <v>1.54E-2</v>
      </c>
      <c r="N386" s="8" t="s">
        <v>11846</v>
      </c>
      <c r="O386" s="8" t="s">
        <v>11847</v>
      </c>
      <c r="P386" s="2">
        <v>2</v>
      </c>
      <c r="Q386" s="8"/>
      <c r="R386" s="8" t="s">
        <v>4332</v>
      </c>
      <c r="S386" s="8" t="str">
        <f>HYPERLINK("https://seichotoushi-hojo.jp/assets/pdf/koufu/outline_36.pdf","PDFを開く")</f>
        <v>PDFを開く</v>
      </c>
      <c r="T386" s="8" t="s">
        <v>899</v>
      </c>
      <c r="U386" s="8" t="s">
        <v>900</v>
      </c>
    </row>
    <row r="387" spans="1:21" ht="39.950000000000003" customHeight="1">
      <c r="A387" s="5" t="s">
        <v>894</v>
      </c>
      <c r="B387" s="5" t="s">
        <v>73</v>
      </c>
      <c r="C387" s="9" t="s">
        <v>895</v>
      </c>
      <c r="D387" s="9" t="s">
        <v>3188</v>
      </c>
      <c r="E387" s="9" t="s">
        <v>157</v>
      </c>
      <c r="F387" s="5"/>
      <c r="G387" s="5"/>
      <c r="H387" s="5"/>
      <c r="I387" s="5"/>
      <c r="J387" s="5"/>
      <c r="K387" s="5"/>
      <c r="L387" s="5"/>
      <c r="M387" s="5"/>
      <c r="N387" s="9" t="s">
        <v>11850</v>
      </c>
      <c r="O387" s="9"/>
      <c r="P387" s="5"/>
      <c r="Q387" s="9" t="s">
        <v>11851</v>
      </c>
      <c r="R387" s="9"/>
      <c r="S387" s="9" t="str">
        <f>HYPERLINK("https://seichotoushi-hojo.jp/assets/pdf/koufu/outline_36.pdf","PDFを開く")</f>
        <v>PDFを開く</v>
      </c>
      <c r="T387" s="9" t="s">
        <v>899</v>
      </c>
      <c r="U387" s="9" t="s">
        <v>900</v>
      </c>
    </row>
    <row r="388" spans="1:21" ht="39.950000000000003" customHeight="1">
      <c r="A388" s="2" t="s">
        <v>894</v>
      </c>
      <c r="B388" s="2" t="s">
        <v>73</v>
      </c>
      <c r="C388" s="8" t="s">
        <v>895</v>
      </c>
      <c r="D388" s="8" t="s">
        <v>3191</v>
      </c>
      <c r="E388" s="8" t="s">
        <v>157</v>
      </c>
      <c r="F388" s="2"/>
      <c r="G388" s="2"/>
      <c r="H388" s="2"/>
      <c r="I388" s="2"/>
      <c r="J388" s="2"/>
      <c r="K388" s="2"/>
      <c r="L388" s="2"/>
      <c r="M388" s="2"/>
      <c r="N388" s="8" t="s">
        <v>11850</v>
      </c>
      <c r="O388" s="8"/>
      <c r="P388" s="2"/>
      <c r="Q388" s="8" t="s">
        <v>11851</v>
      </c>
      <c r="R388" s="8"/>
      <c r="S388" s="8" t="str">
        <f>HYPERLINK("https://seichotoushi-hojo.jp/assets/pdf/koufu/outline_36.pdf","PDFを開く")</f>
        <v>PDFを開く</v>
      </c>
      <c r="T388" s="8" t="s">
        <v>899</v>
      </c>
      <c r="U388" s="8" t="s">
        <v>900</v>
      </c>
    </row>
    <row r="389" spans="1:21" ht="39.950000000000003" customHeight="1">
      <c r="A389" s="5" t="s">
        <v>901</v>
      </c>
      <c r="B389" s="5" t="s">
        <v>73</v>
      </c>
      <c r="C389" s="9" t="s">
        <v>902</v>
      </c>
      <c r="D389" s="9" t="s">
        <v>3176</v>
      </c>
      <c r="E389" s="9" t="s">
        <v>90</v>
      </c>
      <c r="F389" s="5">
        <v>2025</v>
      </c>
      <c r="G389" s="5">
        <v>400.1</v>
      </c>
      <c r="H389" s="5">
        <v>2028</v>
      </c>
      <c r="I389" s="5">
        <v>632.29999999999995</v>
      </c>
      <c r="J389" s="5" t="s">
        <v>86</v>
      </c>
      <c r="K389" s="5">
        <v>16.48</v>
      </c>
      <c r="L389" s="5">
        <v>16.48</v>
      </c>
      <c r="M389" s="5">
        <v>0</v>
      </c>
      <c r="N389" s="9" t="s">
        <v>11846</v>
      </c>
      <c r="O389" s="9" t="s">
        <v>11847</v>
      </c>
      <c r="P389" s="5">
        <v>2</v>
      </c>
      <c r="Q389" s="9"/>
      <c r="R389" s="9" t="s">
        <v>4336</v>
      </c>
      <c r="S389" s="9" t="str">
        <f>HYPERLINK("https://seichotoushi-hojo.jp/assets/pdf/koufu/outline_37.pdf","PDFを開く")</f>
        <v>PDFを開く</v>
      </c>
      <c r="T389" s="9" t="s">
        <v>907</v>
      </c>
      <c r="U389" s="9" t="s">
        <v>908</v>
      </c>
    </row>
    <row r="390" spans="1:21" ht="39.950000000000003" customHeight="1">
      <c r="A390" s="2" t="s">
        <v>901</v>
      </c>
      <c r="B390" s="2" t="s">
        <v>73</v>
      </c>
      <c r="C390" s="8" t="s">
        <v>902</v>
      </c>
      <c r="D390" s="8" t="s">
        <v>3184</v>
      </c>
      <c r="E390" s="8" t="s">
        <v>90</v>
      </c>
      <c r="F390" s="2">
        <v>2025</v>
      </c>
      <c r="G390" s="2">
        <v>256.2</v>
      </c>
      <c r="H390" s="2">
        <v>2028</v>
      </c>
      <c r="I390" s="2">
        <v>346.4</v>
      </c>
      <c r="J390" s="2" t="s">
        <v>86</v>
      </c>
      <c r="K390" s="2">
        <v>10.58</v>
      </c>
      <c r="L390" s="2">
        <v>10.577400000000001</v>
      </c>
      <c r="M390" s="2">
        <v>2.5999999999999999E-3</v>
      </c>
      <c r="N390" s="8" t="s">
        <v>11846</v>
      </c>
      <c r="O390" s="8" t="s">
        <v>11847</v>
      </c>
      <c r="P390" s="2">
        <v>2</v>
      </c>
      <c r="Q390" s="8"/>
      <c r="R390" s="8" t="s">
        <v>4340</v>
      </c>
      <c r="S390" s="8" t="str">
        <f>HYPERLINK("https://seichotoushi-hojo.jp/assets/pdf/koufu/outline_37.pdf","PDFを開く")</f>
        <v>PDFを開く</v>
      </c>
      <c r="T390" s="8" t="s">
        <v>907</v>
      </c>
      <c r="U390" s="8" t="s">
        <v>908</v>
      </c>
    </row>
    <row r="391" spans="1:21" ht="39.950000000000003" customHeight="1">
      <c r="A391" s="5" t="s">
        <v>901</v>
      </c>
      <c r="B391" s="5" t="s">
        <v>73</v>
      </c>
      <c r="C391" s="9" t="s">
        <v>902</v>
      </c>
      <c r="D391" s="9" t="s">
        <v>3188</v>
      </c>
      <c r="E391" s="9" t="s">
        <v>157</v>
      </c>
      <c r="F391" s="5"/>
      <c r="G391" s="5"/>
      <c r="H391" s="5"/>
      <c r="I391" s="5"/>
      <c r="J391" s="5"/>
      <c r="K391" s="5"/>
      <c r="L391" s="5"/>
      <c r="M391" s="5"/>
      <c r="N391" s="9" t="s">
        <v>11850</v>
      </c>
      <c r="O391" s="9"/>
      <c r="P391" s="5"/>
      <c r="Q391" s="9" t="s">
        <v>11851</v>
      </c>
      <c r="R391" s="9"/>
      <c r="S391" s="9" t="str">
        <f>HYPERLINK("https://seichotoushi-hojo.jp/assets/pdf/koufu/outline_37.pdf","PDFを開く")</f>
        <v>PDFを開く</v>
      </c>
      <c r="T391" s="9" t="s">
        <v>907</v>
      </c>
      <c r="U391" s="9" t="s">
        <v>908</v>
      </c>
    </row>
    <row r="392" spans="1:21" ht="39.950000000000003" customHeight="1">
      <c r="A392" s="2" t="s">
        <v>901</v>
      </c>
      <c r="B392" s="2" t="s">
        <v>73</v>
      </c>
      <c r="C392" s="8" t="s">
        <v>902</v>
      </c>
      <c r="D392" s="8" t="s">
        <v>3191</v>
      </c>
      <c r="E392" s="8" t="s">
        <v>92</v>
      </c>
      <c r="F392" s="2">
        <v>2025</v>
      </c>
      <c r="G392" s="2">
        <v>76</v>
      </c>
      <c r="H392" s="2">
        <v>2028</v>
      </c>
      <c r="I392" s="2">
        <v>83</v>
      </c>
      <c r="J392" s="2" t="s">
        <v>2513</v>
      </c>
      <c r="K392" s="2"/>
      <c r="L392" s="2"/>
      <c r="M392" s="2"/>
      <c r="N392" s="8" t="s">
        <v>11846</v>
      </c>
      <c r="O392" s="8" t="s">
        <v>11847</v>
      </c>
      <c r="P392" s="2">
        <v>2</v>
      </c>
      <c r="Q392" s="8"/>
      <c r="R392" s="8" t="s">
        <v>4342</v>
      </c>
      <c r="S392" s="8" t="str">
        <f>HYPERLINK("https://seichotoushi-hojo.jp/assets/pdf/koufu/outline_37.pdf","PDFを開く")</f>
        <v>PDFを開く</v>
      </c>
      <c r="T392" s="8" t="s">
        <v>907</v>
      </c>
      <c r="U392" s="8" t="s">
        <v>908</v>
      </c>
    </row>
    <row r="393" spans="1:21" ht="39.950000000000003" customHeight="1">
      <c r="A393" s="5" t="s">
        <v>909</v>
      </c>
      <c r="B393" s="5" t="s">
        <v>73</v>
      </c>
      <c r="C393" s="9" t="s">
        <v>910</v>
      </c>
      <c r="D393" s="9" t="s">
        <v>3176</v>
      </c>
      <c r="E393" s="9" t="s">
        <v>90</v>
      </c>
      <c r="F393" s="5">
        <v>2026</v>
      </c>
      <c r="G393" s="5">
        <v>759</v>
      </c>
      <c r="H393" s="5">
        <v>2029</v>
      </c>
      <c r="I393" s="5">
        <v>935</v>
      </c>
      <c r="J393" s="5" t="s">
        <v>86</v>
      </c>
      <c r="K393" s="5">
        <v>7.19</v>
      </c>
      <c r="L393" s="5">
        <v>7.1988000000000003</v>
      </c>
      <c r="M393" s="5">
        <v>8.8000000000000005E-3</v>
      </c>
      <c r="N393" s="9" t="s">
        <v>11846</v>
      </c>
      <c r="O393" s="9" t="s">
        <v>11847</v>
      </c>
      <c r="P393" s="5">
        <v>2</v>
      </c>
      <c r="Q393" s="9"/>
      <c r="R393" s="9" t="s">
        <v>4345</v>
      </c>
      <c r="S393" s="9" t="str">
        <f>HYPERLINK("https://seichotoushi-hojo.jp/assets/pdf/koufu/outline_38.pdf","PDFを開く")</f>
        <v>PDFを開く</v>
      </c>
      <c r="T393" s="9" t="s">
        <v>913</v>
      </c>
      <c r="U393" s="9" t="s">
        <v>914</v>
      </c>
    </row>
    <row r="394" spans="1:21" ht="39.950000000000003" customHeight="1">
      <c r="A394" s="2" t="s">
        <v>909</v>
      </c>
      <c r="B394" s="2" t="s">
        <v>73</v>
      </c>
      <c r="C394" s="8" t="s">
        <v>910</v>
      </c>
      <c r="D394" s="8" t="s">
        <v>3184</v>
      </c>
      <c r="E394" s="8" t="s">
        <v>90</v>
      </c>
      <c r="F394" s="2">
        <v>2026</v>
      </c>
      <c r="G394" s="2">
        <v>550</v>
      </c>
      <c r="H394" s="2">
        <v>2029</v>
      </c>
      <c r="I394" s="2">
        <v>610</v>
      </c>
      <c r="J394" s="2" t="s">
        <v>86</v>
      </c>
      <c r="K394" s="2">
        <v>3.51</v>
      </c>
      <c r="L394" s="2">
        <v>3.5116000000000001</v>
      </c>
      <c r="M394" s="2">
        <v>1.6000000000000001E-3</v>
      </c>
      <c r="N394" s="8" t="s">
        <v>11846</v>
      </c>
      <c r="O394" s="8" t="s">
        <v>11847</v>
      </c>
      <c r="P394" s="2">
        <v>2</v>
      </c>
      <c r="Q394" s="8"/>
      <c r="R394" s="8" t="s">
        <v>4347</v>
      </c>
      <c r="S394" s="8" t="str">
        <f>HYPERLINK("https://seichotoushi-hojo.jp/assets/pdf/koufu/outline_38.pdf","PDFを開く")</f>
        <v>PDFを開く</v>
      </c>
      <c r="T394" s="8" t="s">
        <v>913</v>
      </c>
      <c r="U394" s="8" t="s">
        <v>914</v>
      </c>
    </row>
    <row r="395" spans="1:21" ht="39.950000000000003" customHeight="1">
      <c r="A395" s="5" t="s">
        <v>909</v>
      </c>
      <c r="B395" s="5" t="s">
        <v>73</v>
      </c>
      <c r="C395" s="9" t="s">
        <v>910</v>
      </c>
      <c r="D395" s="9" t="s">
        <v>3188</v>
      </c>
      <c r="E395" s="9" t="s">
        <v>156</v>
      </c>
      <c r="F395" s="5"/>
      <c r="G395" s="5"/>
      <c r="H395" s="5"/>
      <c r="I395" s="5"/>
      <c r="J395" s="5"/>
      <c r="K395" s="5"/>
      <c r="L395" s="5"/>
      <c r="M395" s="5"/>
      <c r="N395" s="9" t="s">
        <v>11850</v>
      </c>
      <c r="O395" s="9"/>
      <c r="P395" s="5"/>
      <c r="Q395" s="9" t="s">
        <v>11851</v>
      </c>
      <c r="R395" s="9"/>
      <c r="S395" s="9" t="str">
        <f>HYPERLINK("https://seichotoushi-hojo.jp/assets/pdf/koufu/outline_38.pdf","PDFを開く")</f>
        <v>PDFを開く</v>
      </c>
      <c r="T395" s="9" t="s">
        <v>913</v>
      </c>
      <c r="U395" s="9" t="s">
        <v>914</v>
      </c>
    </row>
    <row r="396" spans="1:21" ht="39.950000000000003" customHeight="1">
      <c r="A396" s="2" t="s">
        <v>909</v>
      </c>
      <c r="B396" s="2" t="s">
        <v>73</v>
      </c>
      <c r="C396" s="8" t="s">
        <v>910</v>
      </c>
      <c r="D396" s="8" t="s">
        <v>3191</v>
      </c>
      <c r="E396" s="8" t="s">
        <v>92</v>
      </c>
      <c r="F396" s="2">
        <v>2026</v>
      </c>
      <c r="G396" s="2">
        <v>1030</v>
      </c>
      <c r="H396" s="2">
        <v>2029</v>
      </c>
      <c r="I396" s="2">
        <v>1160</v>
      </c>
      <c r="J396" s="2" t="s">
        <v>2513</v>
      </c>
      <c r="K396" s="2"/>
      <c r="L396" s="2"/>
      <c r="M396" s="2"/>
      <c r="N396" s="8" t="s">
        <v>11846</v>
      </c>
      <c r="O396" s="8" t="s">
        <v>11847</v>
      </c>
      <c r="P396" s="2">
        <v>2</v>
      </c>
      <c r="Q396" s="8"/>
      <c r="R396" s="8" t="s">
        <v>4350</v>
      </c>
      <c r="S396" s="8" t="str">
        <f>HYPERLINK("https://seichotoushi-hojo.jp/assets/pdf/koufu/outline_38.pdf","PDFを開く")</f>
        <v>PDFを開く</v>
      </c>
      <c r="T396" s="8" t="s">
        <v>913</v>
      </c>
      <c r="U396" s="8" t="s">
        <v>914</v>
      </c>
    </row>
    <row r="397" spans="1:21" ht="39.950000000000003" customHeight="1">
      <c r="A397" s="5" t="s">
        <v>915</v>
      </c>
      <c r="B397" s="5" t="s">
        <v>73</v>
      </c>
      <c r="C397" s="9" t="s">
        <v>916</v>
      </c>
      <c r="D397" s="9" t="s">
        <v>3176</v>
      </c>
      <c r="E397" s="9" t="s">
        <v>90</v>
      </c>
      <c r="F397" s="5">
        <v>2026</v>
      </c>
      <c r="G397" s="5">
        <v>500</v>
      </c>
      <c r="H397" s="5">
        <v>2029</v>
      </c>
      <c r="I397" s="5">
        <v>800</v>
      </c>
      <c r="J397" s="5" t="s">
        <v>86</v>
      </c>
      <c r="K397" s="5">
        <v>17</v>
      </c>
      <c r="L397" s="5">
        <v>16.960699999999999</v>
      </c>
      <c r="M397" s="5">
        <v>3.9300000000000002E-2</v>
      </c>
      <c r="N397" s="9" t="s">
        <v>11846</v>
      </c>
      <c r="O397" s="9" t="s">
        <v>11847</v>
      </c>
      <c r="P397" s="5">
        <v>2</v>
      </c>
      <c r="Q397" s="9"/>
      <c r="R397" s="9" t="s">
        <v>4353</v>
      </c>
      <c r="S397" s="9" t="str">
        <f>HYPERLINK("https://seichotoushi-hojo.jp/assets/pdf/koufu/outline_39.pdf","PDFを開く")</f>
        <v>PDFを開く</v>
      </c>
      <c r="T397" s="9" t="s">
        <v>922</v>
      </c>
      <c r="U397" s="9" t="s">
        <v>923</v>
      </c>
    </row>
    <row r="398" spans="1:21" ht="39.950000000000003" customHeight="1">
      <c r="A398" s="2" t="s">
        <v>915</v>
      </c>
      <c r="B398" s="2" t="s">
        <v>73</v>
      </c>
      <c r="C398" s="8" t="s">
        <v>916</v>
      </c>
      <c r="D398" s="8" t="s">
        <v>3184</v>
      </c>
      <c r="E398" s="8" t="s">
        <v>90</v>
      </c>
      <c r="F398" s="2">
        <v>2026</v>
      </c>
      <c r="G398" s="2">
        <v>362</v>
      </c>
      <c r="H398" s="2">
        <v>2029</v>
      </c>
      <c r="I398" s="2">
        <v>402</v>
      </c>
      <c r="J398" s="2" t="s">
        <v>86</v>
      </c>
      <c r="K398" s="2">
        <v>3.2</v>
      </c>
      <c r="L398" s="2">
        <v>3.5552999999999999</v>
      </c>
      <c r="M398" s="2">
        <v>0.3553</v>
      </c>
      <c r="N398" s="8" t="s">
        <v>11846</v>
      </c>
      <c r="O398" s="8" t="s">
        <v>11847</v>
      </c>
      <c r="P398" s="2">
        <v>2</v>
      </c>
      <c r="Q398" s="8"/>
      <c r="R398" s="8" t="s">
        <v>4357</v>
      </c>
      <c r="S398" s="8" t="str">
        <f>HYPERLINK("https://seichotoushi-hojo.jp/assets/pdf/koufu/outline_39.pdf","PDFを開く")</f>
        <v>PDFを開く</v>
      </c>
      <c r="T398" s="8" t="s">
        <v>922</v>
      </c>
      <c r="U398" s="8" t="s">
        <v>923</v>
      </c>
    </row>
    <row r="399" spans="1:21" ht="39.950000000000003" customHeight="1">
      <c r="A399" s="5" t="s">
        <v>915</v>
      </c>
      <c r="B399" s="5" t="s">
        <v>73</v>
      </c>
      <c r="C399" s="9" t="s">
        <v>916</v>
      </c>
      <c r="D399" s="9" t="s">
        <v>3188</v>
      </c>
      <c r="E399" s="9" t="s">
        <v>156</v>
      </c>
      <c r="F399" s="5"/>
      <c r="G399" s="5"/>
      <c r="H399" s="5"/>
      <c r="I399" s="5"/>
      <c r="J399" s="5"/>
      <c r="K399" s="5"/>
      <c r="L399" s="5"/>
      <c r="M399" s="5"/>
      <c r="N399" s="9" t="s">
        <v>11850</v>
      </c>
      <c r="O399" s="9"/>
      <c r="P399" s="5"/>
      <c r="Q399" s="9" t="s">
        <v>11851</v>
      </c>
      <c r="R399" s="9"/>
      <c r="S399" s="9" t="str">
        <f>HYPERLINK("https://seichotoushi-hojo.jp/assets/pdf/koufu/outline_39.pdf","PDFを開く")</f>
        <v>PDFを開く</v>
      </c>
      <c r="T399" s="9" t="s">
        <v>922</v>
      </c>
      <c r="U399" s="9" t="s">
        <v>923</v>
      </c>
    </row>
    <row r="400" spans="1:21" ht="39.950000000000003" customHeight="1">
      <c r="A400" s="2" t="s">
        <v>915</v>
      </c>
      <c r="B400" s="2" t="s">
        <v>73</v>
      </c>
      <c r="C400" s="8" t="s">
        <v>916</v>
      </c>
      <c r="D400" s="8" t="s">
        <v>3191</v>
      </c>
      <c r="E400" s="8" t="s">
        <v>92</v>
      </c>
      <c r="F400" s="2">
        <v>2026</v>
      </c>
      <c r="G400" s="2">
        <v>197</v>
      </c>
      <c r="H400" s="2">
        <v>2029</v>
      </c>
      <c r="I400" s="2">
        <v>217</v>
      </c>
      <c r="J400" s="2" t="s">
        <v>2513</v>
      </c>
      <c r="K400" s="2"/>
      <c r="L400" s="2"/>
      <c r="M400" s="2"/>
      <c r="N400" s="8" t="s">
        <v>11846</v>
      </c>
      <c r="O400" s="8" t="s">
        <v>11847</v>
      </c>
      <c r="P400" s="2">
        <v>2</v>
      </c>
      <c r="Q400" s="8"/>
      <c r="R400" s="8" t="s">
        <v>4360</v>
      </c>
      <c r="S400" s="8" t="str">
        <f>HYPERLINK("https://seichotoushi-hojo.jp/assets/pdf/koufu/outline_39.pdf","PDFを開く")</f>
        <v>PDFを開く</v>
      </c>
      <c r="T400" s="8" t="s">
        <v>922</v>
      </c>
      <c r="U400" s="8" t="s">
        <v>923</v>
      </c>
    </row>
    <row r="401" spans="1:21" ht="39.950000000000003" customHeight="1">
      <c r="A401" s="5" t="s">
        <v>924</v>
      </c>
      <c r="B401" s="5" t="s">
        <v>73</v>
      </c>
      <c r="C401" s="9" t="s">
        <v>925</v>
      </c>
      <c r="D401" s="9" t="s">
        <v>3176</v>
      </c>
      <c r="E401" s="9" t="s">
        <v>90</v>
      </c>
      <c r="F401" s="5">
        <v>2025</v>
      </c>
      <c r="G401" s="5">
        <v>1037</v>
      </c>
      <c r="H401" s="5">
        <v>2028</v>
      </c>
      <c r="I401" s="5">
        <v>1474</v>
      </c>
      <c r="J401" s="5" t="s">
        <v>86</v>
      </c>
      <c r="K401" s="5">
        <v>12.4</v>
      </c>
      <c r="L401" s="5">
        <v>12.436199999999999</v>
      </c>
      <c r="M401" s="5">
        <v>3.6200000000000003E-2</v>
      </c>
      <c r="N401" s="9" t="s">
        <v>11846</v>
      </c>
      <c r="O401" s="9" t="s">
        <v>11847</v>
      </c>
      <c r="P401" s="5">
        <v>2</v>
      </c>
      <c r="Q401" s="9"/>
      <c r="R401" s="9" t="s">
        <v>4363</v>
      </c>
      <c r="S401" s="9" t="str">
        <f>HYPERLINK("https://seichotoushi-hojo.jp/assets/pdf/koufu/outline_4.pdf","PDFを開く")</f>
        <v>PDFを開く</v>
      </c>
      <c r="T401" s="9" t="s">
        <v>929</v>
      </c>
      <c r="U401" s="9" t="s">
        <v>930</v>
      </c>
    </row>
    <row r="402" spans="1:21" ht="39.950000000000003" customHeight="1">
      <c r="A402" s="2" t="s">
        <v>924</v>
      </c>
      <c r="B402" s="2" t="s">
        <v>73</v>
      </c>
      <c r="C402" s="8" t="s">
        <v>925</v>
      </c>
      <c r="D402" s="8" t="s">
        <v>3184</v>
      </c>
      <c r="E402" s="8" t="s">
        <v>90</v>
      </c>
      <c r="F402" s="2">
        <v>2025</v>
      </c>
      <c r="G402" s="2">
        <v>621</v>
      </c>
      <c r="H402" s="2">
        <v>2028</v>
      </c>
      <c r="I402" s="2">
        <v>742</v>
      </c>
      <c r="J402" s="2" t="s">
        <v>86</v>
      </c>
      <c r="K402" s="2">
        <v>6.1</v>
      </c>
      <c r="L402" s="2">
        <v>6.1135000000000002</v>
      </c>
      <c r="M402" s="2">
        <v>1.35E-2</v>
      </c>
      <c r="N402" s="8" t="s">
        <v>11846</v>
      </c>
      <c r="O402" s="8" t="s">
        <v>11847</v>
      </c>
      <c r="P402" s="2">
        <v>2</v>
      </c>
      <c r="Q402" s="8"/>
      <c r="R402" s="8" t="s">
        <v>4365</v>
      </c>
      <c r="S402" s="8" t="str">
        <f>HYPERLINK("https://seichotoushi-hojo.jp/assets/pdf/koufu/outline_4.pdf","PDFを開く")</f>
        <v>PDFを開く</v>
      </c>
      <c r="T402" s="8" t="s">
        <v>929</v>
      </c>
      <c r="U402" s="8" t="s">
        <v>930</v>
      </c>
    </row>
    <row r="403" spans="1:21" ht="39.950000000000003" customHeight="1">
      <c r="A403" s="5" t="s">
        <v>924</v>
      </c>
      <c r="B403" s="5" t="s">
        <v>73</v>
      </c>
      <c r="C403" s="9" t="s">
        <v>925</v>
      </c>
      <c r="D403" s="9" t="s">
        <v>3188</v>
      </c>
      <c r="E403" s="9" t="s">
        <v>90</v>
      </c>
      <c r="F403" s="5">
        <v>2025</v>
      </c>
      <c r="G403" s="5">
        <v>1375</v>
      </c>
      <c r="H403" s="5">
        <v>2028</v>
      </c>
      <c r="I403" s="5">
        <v>1525</v>
      </c>
      <c r="J403" s="5" t="s">
        <v>86</v>
      </c>
      <c r="K403" s="5">
        <v>3.5</v>
      </c>
      <c r="L403" s="5">
        <v>3.5116000000000001</v>
      </c>
      <c r="M403" s="5">
        <v>1.1599999999999999E-2</v>
      </c>
      <c r="N403" s="9" t="s">
        <v>11846</v>
      </c>
      <c r="O403" s="9" t="s">
        <v>11847</v>
      </c>
      <c r="P403" s="5">
        <v>2</v>
      </c>
      <c r="Q403" s="9"/>
      <c r="R403" s="9" t="s">
        <v>4367</v>
      </c>
      <c r="S403" s="9" t="str">
        <f>HYPERLINK("https://seichotoushi-hojo.jp/assets/pdf/koufu/outline_4.pdf","PDFを開く")</f>
        <v>PDFを開く</v>
      </c>
      <c r="T403" s="9" t="s">
        <v>929</v>
      </c>
      <c r="U403" s="9" t="s">
        <v>930</v>
      </c>
    </row>
    <row r="404" spans="1:21" ht="39.950000000000003" customHeight="1">
      <c r="A404" s="2" t="s">
        <v>924</v>
      </c>
      <c r="B404" s="2" t="s">
        <v>73</v>
      </c>
      <c r="C404" s="8" t="s">
        <v>925</v>
      </c>
      <c r="D404" s="8" t="s">
        <v>3191</v>
      </c>
      <c r="E404" s="8" t="s">
        <v>92</v>
      </c>
      <c r="F404" s="2">
        <v>2025</v>
      </c>
      <c r="G404" s="2">
        <v>169</v>
      </c>
      <c r="H404" s="2">
        <v>2028</v>
      </c>
      <c r="I404" s="2">
        <v>198</v>
      </c>
      <c r="J404" s="2" t="s">
        <v>2513</v>
      </c>
      <c r="K404" s="2"/>
      <c r="L404" s="2"/>
      <c r="M404" s="2"/>
      <c r="N404" s="8" t="s">
        <v>11846</v>
      </c>
      <c r="O404" s="8" t="s">
        <v>11847</v>
      </c>
      <c r="P404" s="2">
        <v>2</v>
      </c>
      <c r="Q404" s="8"/>
      <c r="R404" s="8" t="s">
        <v>4369</v>
      </c>
      <c r="S404" s="8" t="str">
        <f>HYPERLINK("https://seichotoushi-hojo.jp/assets/pdf/koufu/outline_4.pdf","PDFを開く")</f>
        <v>PDFを開く</v>
      </c>
      <c r="T404" s="8" t="s">
        <v>929</v>
      </c>
      <c r="U404" s="8" t="s">
        <v>930</v>
      </c>
    </row>
    <row r="405" spans="1:21" ht="39.950000000000003" customHeight="1">
      <c r="A405" s="5" t="s">
        <v>931</v>
      </c>
      <c r="B405" s="5" t="s">
        <v>73</v>
      </c>
      <c r="C405" s="9" t="s">
        <v>932</v>
      </c>
      <c r="D405" s="9" t="s">
        <v>3176</v>
      </c>
      <c r="E405" s="9" t="s">
        <v>90</v>
      </c>
      <c r="F405" s="5">
        <v>2025</v>
      </c>
      <c r="G405" s="5">
        <v>2661</v>
      </c>
      <c r="H405" s="5">
        <v>2028</v>
      </c>
      <c r="I405" s="5">
        <v>3095</v>
      </c>
      <c r="J405" s="5" t="s">
        <v>86</v>
      </c>
      <c r="K405" s="5">
        <v>5.2</v>
      </c>
      <c r="L405" s="5">
        <v>5.1651999999999996</v>
      </c>
      <c r="M405" s="5">
        <v>3.4799999999999998E-2</v>
      </c>
      <c r="N405" s="9" t="s">
        <v>11846</v>
      </c>
      <c r="O405" s="9" t="s">
        <v>11847</v>
      </c>
      <c r="P405" s="5">
        <v>2</v>
      </c>
      <c r="Q405" s="9"/>
      <c r="R405" s="9" t="s">
        <v>4371</v>
      </c>
      <c r="S405" s="9" t="str">
        <f>HYPERLINK("https://seichotoushi-hojo.jp/assets/pdf/koufu/outline_40.pdf","PDFを開く")</f>
        <v>PDFを開く</v>
      </c>
      <c r="T405" s="9" t="s">
        <v>938</v>
      </c>
      <c r="U405" s="9" t="s">
        <v>939</v>
      </c>
    </row>
    <row r="406" spans="1:21" ht="39.950000000000003" customHeight="1">
      <c r="A406" s="2" t="s">
        <v>931</v>
      </c>
      <c r="B406" s="2" t="s">
        <v>73</v>
      </c>
      <c r="C406" s="8" t="s">
        <v>932</v>
      </c>
      <c r="D406" s="8" t="s">
        <v>3184</v>
      </c>
      <c r="E406" s="8" t="s">
        <v>90</v>
      </c>
      <c r="F406" s="2">
        <v>2025</v>
      </c>
      <c r="G406" s="2">
        <v>592</v>
      </c>
      <c r="H406" s="2">
        <v>2028</v>
      </c>
      <c r="I406" s="2">
        <v>667</v>
      </c>
      <c r="J406" s="2" t="s">
        <v>86</v>
      </c>
      <c r="K406" s="2">
        <v>4</v>
      </c>
      <c r="L406" s="2">
        <v>4.0561999999999996</v>
      </c>
      <c r="M406" s="2">
        <v>5.62E-2</v>
      </c>
      <c r="N406" s="8" t="s">
        <v>11846</v>
      </c>
      <c r="O406" s="8" t="s">
        <v>11847</v>
      </c>
      <c r="P406" s="2">
        <v>2</v>
      </c>
      <c r="Q406" s="8"/>
      <c r="R406" s="8" t="s">
        <v>4374</v>
      </c>
      <c r="S406" s="8" t="str">
        <f>HYPERLINK("https://seichotoushi-hojo.jp/assets/pdf/koufu/outline_40.pdf","PDFを開く")</f>
        <v>PDFを開く</v>
      </c>
      <c r="T406" s="8" t="s">
        <v>938</v>
      </c>
      <c r="U406" s="8" t="s">
        <v>939</v>
      </c>
    </row>
    <row r="407" spans="1:21" ht="39.950000000000003" customHeight="1">
      <c r="A407" s="5" t="s">
        <v>931</v>
      </c>
      <c r="B407" s="5" t="s">
        <v>73</v>
      </c>
      <c r="C407" s="9" t="s">
        <v>932</v>
      </c>
      <c r="D407" s="9" t="s">
        <v>3188</v>
      </c>
      <c r="E407" s="9" t="s">
        <v>156</v>
      </c>
      <c r="F407" s="5"/>
      <c r="G407" s="5"/>
      <c r="H407" s="5"/>
      <c r="I407" s="5"/>
      <c r="J407" s="5"/>
      <c r="K407" s="5"/>
      <c r="L407" s="5"/>
      <c r="M407" s="5"/>
      <c r="N407" s="9" t="s">
        <v>11850</v>
      </c>
      <c r="O407" s="9"/>
      <c r="P407" s="5"/>
      <c r="Q407" s="9" t="s">
        <v>11851</v>
      </c>
      <c r="R407" s="9"/>
      <c r="S407" s="9" t="str">
        <f>HYPERLINK("https://seichotoushi-hojo.jp/assets/pdf/koufu/outline_40.pdf","PDFを開く")</f>
        <v>PDFを開く</v>
      </c>
      <c r="T407" s="9" t="s">
        <v>938</v>
      </c>
      <c r="U407" s="9" t="s">
        <v>939</v>
      </c>
    </row>
    <row r="408" spans="1:21" ht="39.950000000000003" customHeight="1">
      <c r="A408" s="2" t="s">
        <v>931</v>
      </c>
      <c r="B408" s="2" t="s">
        <v>73</v>
      </c>
      <c r="C408" s="8" t="s">
        <v>932</v>
      </c>
      <c r="D408" s="8" t="s">
        <v>3191</v>
      </c>
      <c r="E408" s="8" t="s">
        <v>92</v>
      </c>
      <c r="F408" s="2">
        <v>2025</v>
      </c>
      <c r="G408" s="2">
        <v>155</v>
      </c>
      <c r="H408" s="2">
        <v>2028</v>
      </c>
      <c r="I408" s="2">
        <v>155</v>
      </c>
      <c r="J408" s="2" t="s">
        <v>2513</v>
      </c>
      <c r="K408" s="2"/>
      <c r="L408" s="2"/>
      <c r="M408" s="2"/>
      <c r="N408" s="8" t="s">
        <v>11846</v>
      </c>
      <c r="O408" s="8" t="s">
        <v>11847</v>
      </c>
      <c r="P408" s="2">
        <v>2</v>
      </c>
      <c r="Q408" s="8"/>
      <c r="R408" s="8" t="s">
        <v>4377</v>
      </c>
      <c r="S408" s="8" t="str">
        <f>HYPERLINK("https://seichotoushi-hojo.jp/assets/pdf/koufu/outline_40.pdf","PDFを開く")</f>
        <v>PDFを開く</v>
      </c>
      <c r="T408" s="8" t="s">
        <v>938</v>
      </c>
      <c r="U408" s="8" t="s">
        <v>939</v>
      </c>
    </row>
    <row r="409" spans="1:21" ht="39.950000000000003" customHeight="1">
      <c r="A409" s="5" t="s">
        <v>940</v>
      </c>
      <c r="B409" s="5" t="s">
        <v>73</v>
      </c>
      <c r="C409" s="9" t="s">
        <v>941</v>
      </c>
      <c r="D409" s="9" t="s">
        <v>3176</v>
      </c>
      <c r="E409" s="9" t="s">
        <v>90</v>
      </c>
      <c r="F409" s="5">
        <v>2026</v>
      </c>
      <c r="G409" s="5">
        <v>785</v>
      </c>
      <c r="H409" s="5">
        <v>2029</v>
      </c>
      <c r="I409" s="5">
        <v>1176</v>
      </c>
      <c r="J409" s="5" t="s">
        <v>86</v>
      </c>
      <c r="K409" s="5">
        <v>14.4</v>
      </c>
      <c r="L409" s="5">
        <v>14.422800000000001</v>
      </c>
      <c r="M409" s="5">
        <v>2.2800000000000001E-2</v>
      </c>
      <c r="N409" s="9" t="s">
        <v>11846</v>
      </c>
      <c r="O409" s="9" t="s">
        <v>11847</v>
      </c>
      <c r="P409" s="5">
        <v>2</v>
      </c>
      <c r="Q409" s="9"/>
      <c r="R409" s="9" t="s">
        <v>4379</v>
      </c>
      <c r="S409" s="9" t="str">
        <f>HYPERLINK("https://seichotoushi-hojo.jp/assets/pdf/koufu/outline_41.pdf","PDFを開く")</f>
        <v>PDFを開く</v>
      </c>
      <c r="T409" s="9" t="s">
        <v>946</v>
      </c>
      <c r="U409" s="9" t="s">
        <v>947</v>
      </c>
    </row>
    <row r="410" spans="1:21" ht="39.950000000000003" customHeight="1">
      <c r="A410" s="2" t="s">
        <v>940</v>
      </c>
      <c r="B410" s="2" t="s">
        <v>73</v>
      </c>
      <c r="C410" s="8" t="s">
        <v>941</v>
      </c>
      <c r="D410" s="8" t="s">
        <v>3184</v>
      </c>
      <c r="E410" s="8" t="s">
        <v>90</v>
      </c>
      <c r="F410" s="2">
        <v>2026</v>
      </c>
      <c r="G410" s="2">
        <v>385</v>
      </c>
      <c r="H410" s="2">
        <v>2029</v>
      </c>
      <c r="I410" s="2">
        <v>500</v>
      </c>
      <c r="J410" s="2" t="s">
        <v>86</v>
      </c>
      <c r="K410" s="2">
        <v>9.07</v>
      </c>
      <c r="L410" s="2">
        <v>9.1029</v>
      </c>
      <c r="M410" s="2">
        <v>3.2899999999999999E-2</v>
      </c>
      <c r="N410" s="8" t="s">
        <v>11846</v>
      </c>
      <c r="O410" s="8" t="s">
        <v>11847</v>
      </c>
      <c r="P410" s="2">
        <v>2</v>
      </c>
      <c r="Q410" s="8"/>
      <c r="R410" s="8" t="s">
        <v>4381</v>
      </c>
      <c r="S410" s="8" t="str">
        <f>HYPERLINK("https://seichotoushi-hojo.jp/assets/pdf/koufu/outline_41.pdf","PDFを開く")</f>
        <v>PDFを開く</v>
      </c>
      <c r="T410" s="8" t="s">
        <v>946</v>
      </c>
      <c r="U410" s="8" t="s">
        <v>947</v>
      </c>
    </row>
    <row r="411" spans="1:21" ht="39.950000000000003" customHeight="1">
      <c r="A411" s="5" t="s">
        <v>940</v>
      </c>
      <c r="B411" s="5" t="s">
        <v>73</v>
      </c>
      <c r="C411" s="9" t="s">
        <v>941</v>
      </c>
      <c r="D411" s="9" t="s">
        <v>3188</v>
      </c>
      <c r="E411" s="9" t="s">
        <v>91</v>
      </c>
      <c r="F411" s="5">
        <v>2026</v>
      </c>
      <c r="G411" s="5"/>
      <c r="H411" s="5">
        <v>2029</v>
      </c>
      <c r="I411" s="5"/>
      <c r="J411" s="5" t="s">
        <v>86</v>
      </c>
      <c r="K411" s="5">
        <v>6.58</v>
      </c>
      <c r="L411" s="5"/>
      <c r="M411" s="5"/>
      <c r="N411" s="9" t="s">
        <v>11846</v>
      </c>
      <c r="O411" s="9" t="s">
        <v>11848</v>
      </c>
      <c r="P411" s="5">
        <v>2</v>
      </c>
      <c r="Q411" s="9"/>
      <c r="R411" s="9" t="s">
        <v>4385</v>
      </c>
      <c r="S411" s="9" t="str">
        <f>HYPERLINK("https://seichotoushi-hojo.jp/assets/pdf/koufu/outline_41.pdf","PDFを開く")</f>
        <v>PDFを開く</v>
      </c>
      <c r="T411" s="9" t="s">
        <v>946</v>
      </c>
      <c r="U411" s="9" t="s">
        <v>947</v>
      </c>
    </row>
    <row r="412" spans="1:21" ht="39.950000000000003" customHeight="1">
      <c r="A412" s="2" t="s">
        <v>940</v>
      </c>
      <c r="B412" s="2" t="s">
        <v>73</v>
      </c>
      <c r="C412" s="8" t="s">
        <v>941</v>
      </c>
      <c r="D412" s="8" t="s">
        <v>3191</v>
      </c>
      <c r="E412" s="8" t="s">
        <v>92</v>
      </c>
      <c r="F412" s="2">
        <v>2026</v>
      </c>
      <c r="G412" s="2">
        <v>41</v>
      </c>
      <c r="H412" s="2">
        <v>2029</v>
      </c>
      <c r="I412" s="2">
        <v>54</v>
      </c>
      <c r="J412" s="2" t="s">
        <v>2513</v>
      </c>
      <c r="K412" s="2"/>
      <c r="L412" s="2"/>
      <c r="M412" s="2"/>
      <c r="N412" s="8" t="s">
        <v>11846</v>
      </c>
      <c r="O412" s="8" t="s">
        <v>11847</v>
      </c>
      <c r="P412" s="2">
        <v>2</v>
      </c>
      <c r="Q412" s="8"/>
      <c r="R412" s="8" t="s">
        <v>4383</v>
      </c>
      <c r="S412" s="8" t="str">
        <f>HYPERLINK("https://seichotoushi-hojo.jp/assets/pdf/koufu/outline_41.pdf","PDFを開く")</f>
        <v>PDFを開く</v>
      </c>
      <c r="T412" s="8" t="s">
        <v>946</v>
      </c>
      <c r="U412" s="8" t="s">
        <v>947</v>
      </c>
    </row>
    <row r="413" spans="1:21" ht="39.950000000000003" customHeight="1">
      <c r="A413" s="5" t="s">
        <v>948</v>
      </c>
      <c r="B413" s="5" t="s">
        <v>73</v>
      </c>
      <c r="C413" s="9" t="s">
        <v>949</v>
      </c>
      <c r="D413" s="9" t="s">
        <v>3176</v>
      </c>
      <c r="E413" s="9" t="s">
        <v>90</v>
      </c>
      <c r="F413" s="5">
        <v>2026</v>
      </c>
      <c r="G413" s="5">
        <v>17623</v>
      </c>
      <c r="H413" s="5">
        <v>2029</v>
      </c>
      <c r="I413" s="5">
        <v>58032</v>
      </c>
      <c r="J413" s="5" t="s">
        <v>447</v>
      </c>
      <c r="K413" s="5">
        <v>49</v>
      </c>
      <c r="L413" s="5">
        <v>48.774799999999999</v>
      </c>
      <c r="M413" s="5">
        <v>0.22520000000000001</v>
      </c>
      <c r="N413" s="9" t="s">
        <v>11846</v>
      </c>
      <c r="O413" s="9" t="s">
        <v>11847</v>
      </c>
      <c r="P413" s="5">
        <v>2</v>
      </c>
      <c r="Q413" s="9"/>
      <c r="R413" s="9" t="s">
        <v>4389</v>
      </c>
      <c r="S413" s="9" t="str">
        <f>HYPERLINK("https://seichotoushi-hojo.jp/assets/pdf/koufu/outline_42.pdf","PDFを開く")</f>
        <v>PDFを開く</v>
      </c>
      <c r="T413" s="9" t="s">
        <v>953</v>
      </c>
      <c r="U413" s="9" t="s">
        <v>954</v>
      </c>
    </row>
    <row r="414" spans="1:21" ht="39.950000000000003" customHeight="1">
      <c r="A414" s="2" t="s">
        <v>948</v>
      </c>
      <c r="B414" s="2" t="s">
        <v>73</v>
      </c>
      <c r="C414" s="8" t="s">
        <v>949</v>
      </c>
      <c r="D414" s="8" t="s">
        <v>3184</v>
      </c>
      <c r="E414" s="8" t="s">
        <v>90</v>
      </c>
      <c r="F414" s="2">
        <v>2026</v>
      </c>
      <c r="G414" s="2">
        <v>8300</v>
      </c>
      <c r="H414" s="2">
        <v>2029</v>
      </c>
      <c r="I414" s="2">
        <v>9883</v>
      </c>
      <c r="J414" s="2" t="s">
        <v>447</v>
      </c>
      <c r="K414" s="2">
        <v>5.95</v>
      </c>
      <c r="L414" s="2">
        <v>5.9912999999999998</v>
      </c>
      <c r="M414" s="2">
        <v>4.1300000000000003E-2</v>
      </c>
      <c r="N414" s="8" t="s">
        <v>11846</v>
      </c>
      <c r="O414" s="8" t="s">
        <v>11847</v>
      </c>
      <c r="P414" s="2">
        <v>2</v>
      </c>
      <c r="Q414" s="8"/>
      <c r="R414" s="8" t="s">
        <v>4392</v>
      </c>
      <c r="S414" s="8" t="str">
        <f>HYPERLINK("https://seichotoushi-hojo.jp/assets/pdf/koufu/outline_42.pdf","PDFを開く")</f>
        <v>PDFを開く</v>
      </c>
      <c r="T414" s="8" t="s">
        <v>953</v>
      </c>
      <c r="U414" s="8" t="s">
        <v>954</v>
      </c>
    </row>
    <row r="415" spans="1:21" ht="39.950000000000003" customHeight="1">
      <c r="A415" s="5" t="s">
        <v>948</v>
      </c>
      <c r="B415" s="5" t="s">
        <v>73</v>
      </c>
      <c r="C415" s="9" t="s">
        <v>949</v>
      </c>
      <c r="D415" s="9" t="s">
        <v>3188</v>
      </c>
      <c r="E415" s="9" t="s">
        <v>91</v>
      </c>
      <c r="F415" s="5">
        <v>2026</v>
      </c>
      <c r="G415" s="5"/>
      <c r="H415" s="5">
        <v>2029</v>
      </c>
      <c r="I415" s="5"/>
      <c r="J415" s="5" t="s">
        <v>447</v>
      </c>
      <c r="K415" s="5">
        <v>3.7</v>
      </c>
      <c r="L415" s="5"/>
      <c r="M415" s="5"/>
      <c r="N415" s="9" t="s">
        <v>11846</v>
      </c>
      <c r="O415" s="9" t="s">
        <v>11848</v>
      </c>
      <c r="P415" s="5">
        <v>2</v>
      </c>
      <c r="Q415" s="9"/>
      <c r="R415" s="9" t="s">
        <v>4398</v>
      </c>
      <c r="S415" s="9" t="str">
        <f>HYPERLINK("https://seichotoushi-hojo.jp/assets/pdf/koufu/outline_42.pdf","PDFを開く")</f>
        <v>PDFを開く</v>
      </c>
      <c r="T415" s="9" t="s">
        <v>953</v>
      </c>
      <c r="U415" s="9" t="s">
        <v>954</v>
      </c>
    </row>
    <row r="416" spans="1:21" ht="39.950000000000003" customHeight="1">
      <c r="A416" s="2" t="s">
        <v>948</v>
      </c>
      <c r="B416" s="2" t="s">
        <v>73</v>
      </c>
      <c r="C416" s="8" t="s">
        <v>949</v>
      </c>
      <c r="D416" s="8" t="s">
        <v>3191</v>
      </c>
      <c r="E416" s="8" t="s">
        <v>92</v>
      </c>
      <c r="F416" s="2">
        <v>2026</v>
      </c>
      <c r="G416" s="2">
        <v>12</v>
      </c>
      <c r="H416" s="2">
        <v>2029</v>
      </c>
      <c r="I416" s="2">
        <v>30</v>
      </c>
      <c r="J416" s="2" t="s">
        <v>2513</v>
      </c>
      <c r="K416" s="2"/>
      <c r="L416" s="2"/>
      <c r="M416" s="2"/>
      <c r="N416" s="8" t="s">
        <v>11846</v>
      </c>
      <c r="O416" s="8" t="s">
        <v>11847</v>
      </c>
      <c r="P416" s="2">
        <v>2</v>
      </c>
      <c r="Q416" s="8"/>
      <c r="R416" s="8" t="s">
        <v>4396</v>
      </c>
      <c r="S416" s="8" t="str">
        <f>HYPERLINK("https://seichotoushi-hojo.jp/assets/pdf/koufu/outline_42.pdf","PDFを開く")</f>
        <v>PDFを開く</v>
      </c>
      <c r="T416" s="8" t="s">
        <v>953</v>
      </c>
      <c r="U416" s="8" t="s">
        <v>954</v>
      </c>
    </row>
    <row r="417" spans="1:21" ht="39.950000000000003" customHeight="1">
      <c r="A417" s="5" t="s">
        <v>955</v>
      </c>
      <c r="B417" s="5" t="s">
        <v>73</v>
      </c>
      <c r="C417" s="9" t="s">
        <v>956</v>
      </c>
      <c r="D417" s="9" t="s">
        <v>3176</v>
      </c>
      <c r="E417" s="9" t="s">
        <v>90</v>
      </c>
      <c r="F417" s="5">
        <v>2025</v>
      </c>
      <c r="G417" s="5">
        <v>6214</v>
      </c>
      <c r="H417" s="5">
        <v>2028</v>
      </c>
      <c r="I417" s="5">
        <v>7359</v>
      </c>
      <c r="J417" s="5" t="s">
        <v>447</v>
      </c>
      <c r="K417" s="5">
        <v>5.79</v>
      </c>
      <c r="L417" s="5">
        <v>5.7991999999999999</v>
      </c>
      <c r="M417" s="5">
        <v>9.1999999999999998E-3</v>
      </c>
      <c r="N417" s="9" t="s">
        <v>11846</v>
      </c>
      <c r="O417" s="9" t="s">
        <v>11856</v>
      </c>
      <c r="P417" s="5">
        <v>3</v>
      </c>
      <c r="Q417" s="9"/>
      <c r="R417" s="9" t="s">
        <v>4403</v>
      </c>
      <c r="S417" s="9" t="str">
        <f>HYPERLINK("https://seichotoushi-hojo.jp/assets/pdf/koufu/outline_43.pdf","PDFを開く")</f>
        <v>PDFを開く</v>
      </c>
      <c r="T417" s="9" t="s">
        <v>963</v>
      </c>
      <c r="U417" s="9" t="s">
        <v>964</v>
      </c>
    </row>
    <row r="418" spans="1:21" ht="39.950000000000003" customHeight="1">
      <c r="A418" s="2" t="s">
        <v>955</v>
      </c>
      <c r="B418" s="2" t="s">
        <v>73</v>
      </c>
      <c r="C418" s="8" t="s">
        <v>956</v>
      </c>
      <c r="D418" s="8" t="s">
        <v>3184</v>
      </c>
      <c r="E418" s="8" t="s">
        <v>90</v>
      </c>
      <c r="F418" s="2">
        <v>2025</v>
      </c>
      <c r="G418" s="2">
        <v>5677</v>
      </c>
      <c r="H418" s="2">
        <v>2028</v>
      </c>
      <c r="I418" s="2">
        <v>6614</v>
      </c>
      <c r="J418" s="2" t="s">
        <v>447</v>
      </c>
      <c r="K418" s="2">
        <v>5.23</v>
      </c>
      <c r="L418" s="2">
        <v>5.2241</v>
      </c>
      <c r="M418" s="2">
        <v>5.8999999999999999E-3</v>
      </c>
      <c r="N418" s="8" t="s">
        <v>11846</v>
      </c>
      <c r="O418" s="8" t="s">
        <v>11856</v>
      </c>
      <c r="P418" s="2">
        <v>3</v>
      </c>
      <c r="Q418" s="8"/>
      <c r="R418" s="8" t="s">
        <v>4407</v>
      </c>
      <c r="S418" s="8" t="str">
        <f>HYPERLINK("https://seichotoushi-hojo.jp/assets/pdf/koufu/outline_43.pdf","PDFを開く")</f>
        <v>PDFを開く</v>
      </c>
      <c r="T418" s="8" t="s">
        <v>963</v>
      </c>
      <c r="U418" s="8" t="s">
        <v>964</v>
      </c>
    </row>
    <row r="419" spans="1:21" ht="39.950000000000003" customHeight="1">
      <c r="A419" s="5" t="s">
        <v>955</v>
      </c>
      <c r="B419" s="5" t="s">
        <v>73</v>
      </c>
      <c r="C419" s="9" t="s">
        <v>956</v>
      </c>
      <c r="D419" s="9" t="s">
        <v>3188</v>
      </c>
      <c r="E419" s="9" t="s">
        <v>156</v>
      </c>
      <c r="F419" s="5"/>
      <c r="G419" s="5"/>
      <c r="H419" s="5"/>
      <c r="I419" s="5"/>
      <c r="J419" s="5"/>
      <c r="K419" s="5"/>
      <c r="L419" s="5"/>
      <c r="M419" s="5"/>
      <c r="N419" s="9" t="s">
        <v>11850</v>
      </c>
      <c r="O419" s="9"/>
      <c r="P419" s="5"/>
      <c r="Q419" s="9" t="s">
        <v>11851</v>
      </c>
      <c r="R419" s="9"/>
      <c r="S419" s="9" t="str">
        <f>HYPERLINK("https://seichotoushi-hojo.jp/assets/pdf/koufu/outline_43.pdf","PDFを開く")</f>
        <v>PDFを開く</v>
      </c>
      <c r="T419" s="9" t="s">
        <v>963</v>
      </c>
      <c r="U419" s="9" t="s">
        <v>964</v>
      </c>
    </row>
    <row r="420" spans="1:21" ht="39.950000000000003" customHeight="1">
      <c r="A420" s="2" t="s">
        <v>955</v>
      </c>
      <c r="B420" s="2" t="s">
        <v>73</v>
      </c>
      <c r="C420" s="8" t="s">
        <v>956</v>
      </c>
      <c r="D420" s="8" t="s">
        <v>3191</v>
      </c>
      <c r="E420" s="8" t="s">
        <v>92</v>
      </c>
      <c r="F420" s="2">
        <v>2025</v>
      </c>
      <c r="G420" s="2">
        <v>1685</v>
      </c>
      <c r="H420" s="2">
        <v>2028</v>
      </c>
      <c r="I420" s="2">
        <v>1985</v>
      </c>
      <c r="J420" s="2" t="s">
        <v>2513</v>
      </c>
      <c r="K420" s="2"/>
      <c r="L420" s="2"/>
      <c r="M420" s="2"/>
      <c r="N420" s="8" t="s">
        <v>11846</v>
      </c>
      <c r="O420" s="8" t="s">
        <v>11856</v>
      </c>
      <c r="P420" s="2">
        <v>3</v>
      </c>
      <c r="Q420" s="8"/>
      <c r="R420" s="8" t="s">
        <v>4411</v>
      </c>
      <c r="S420" s="8" t="str">
        <f>HYPERLINK("https://seichotoushi-hojo.jp/assets/pdf/koufu/outline_43.pdf","PDFを開く")</f>
        <v>PDFを開く</v>
      </c>
      <c r="T420" s="8" t="s">
        <v>963</v>
      </c>
      <c r="U420" s="8" t="s">
        <v>964</v>
      </c>
    </row>
    <row r="421" spans="1:21" ht="39.950000000000003" customHeight="1">
      <c r="A421" s="5" t="s">
        <v>965</v>
      </c>
      <c r="B421" s="5" t="s">
        <v>73</v>
      </c>
      <c r="C421" s="9" t="s">
        <v>966</v>
      </c>
      <c r="D421" s="9" t="s">
        <v>3176</v>
      </c>
      <c r="E421" s="9" t="s">
        <v>90</v>
      </c>
      <c r="F421" s="5">
        <v>2027</v>
      </c>
      <c r="G421" s="5">
        <v>1701</v>
      </c>
      <c r="H421" s="5">
        <v>2030</v>
      </c>
      <c r="I421" s="5">
        <v>2028</v>
      </c>
      <c r="J421" s="5" t="s">
        <v>86</v>
      </c>
      <c r="K421" s="5">
        <v>6</v>
      </c>
      <c r="L421" s="5">
        <v>6.0362999999999998</v>
      </c>
      <c r="M421" s="5">
        <v>3.6299999999999999E-2</v>
      </c>
      <c r="N421" s="9" t="s">
        <v>11846</v>
      </c>
      <c r="O421" s="9" t="s">
        <v>11847</v>
      </c>
      <c r="P421" s="5">
        <v>2</v>
      </c>
      <c r="Q421" s="9"/>
      <c r="R421" s="9" t="s">
        <v>4422</v>
      </c>
      <c r="S421" s="9" t="str">
        <f>HYPERLINK("https://seichotoushi-hojo.jp/assets/pdf/koufu/outline_45.pdf","PDFを開く")</f>
        <v>PDFを開く</v>
      </c>
      <c r="T421" s="9" t="s">
        <v>970</v>
      </c>
      <c r="U421" s="9" t="s">
        <v>971</v>
      </c>
    </row>
    <row r="422" spans="1:21" ht="39.950000000000003" customHeight="1">
      <c r="A422" s="2" t="s">
        <v>965</v>
      </c>
      <c r="B422" s="2" t="s">
        <v>73</v>
      </c>
      <c r="C422" s="8" t="s">
        <v>966</v>
      </c>
      <c r="D422" s="8" t="s">
        <v>3184</v>
      </c>
      <c r="E422" s="8" t="s">
        <v>90</v>
      </c>
      <c r="F422" s="2">
        <v>2027</v>
      </c>
      <c r="G422" s="2">
        <v>728</v>
      </c>
      <c r="H422" s="2">
        <v>2030</v>
      </c>
      <c r="I422" s="2">
        <v>807</v>
      </c>
      <c r="J422" s="2" t="s">
        <v>86</v>
      </c>
      <c r="K422" s="2">
        <v>3.5</v>
      </c>
      <c r="L422" s="2">
        <v>3.4937</v>
      </c>
      <c r="M422" s="2">
        <v>6.3E-3</v>
      </c>
      <c r="N422" s="8" t="s">
        <v>11846</v>
      </c>
      <c r="O422" s="8" t="s">
        <v>11847</v>
      </c>
      <c r="P422" s="2">
        <v>2</v>
      </c>
      <c r="Q422" s="8"/>
      <c r="R422" s="8" t="s">
        <v>4425</v>
      </c>
      <c r="S422" s="8" t="str">
        <f>HYPERLINK("https://seichotoushi-hojo.jp/assets/pdf/koufu/outline_45.pdf","PDFを開く")</f>
        <v>PDFを開く</v>
      </c>
      <c r="T422" s="8" t="s">
        <v>970</v>
      </c>
      <c r="U422" s="8" t="s">
        <v>971</v>
      </c>
    </row>
    <row r="423" spans="1:21" ht="39.950000000000003" customHeight="1">
      <c r="A423" s="5" t="s">
        <v>965</v>
      </c>
      <c r="B423" s="5" t="s">
        <v>73</v>
      </c>
      <c r="C423" s="9" t="s">
        <v>966</v>
      </c>
      <c r="D423" s="9" t="s">
        <v>3188</v>
      </c>
      <c r="E423" s="9" t="s">
        <v>91</v>
      </c>
      <c r="F423" s="5">
        <v>2027</v>
      </c>
      <c r="G423" s="5"/>
      <c r="H423" s="5">
        <v>2030</v>
      </c>
      <c r="I423" s="5"/>
      <c r="J423" s="5" t="s">
        <v>86</v>
      </c>
      <c r="K423" s="5">
        <v>4</v>
      </c>
      <c r="L423" s="5"/>
      <c r="M423" s="5"/>
      <c r="N423" s="9" t="s">
        <v>11846</v>
      </c>
      <c r="O423" s="9" t="s">
        <v>11848</v>
      </c>
      <c r="P423" s="5">
        <v>2</v>
      </c>
      <c r="Q423" s="9"/>
      <c r="R423" s="9" t="s">
        <v>3479</v>
      </c>
      <c r="S423" s="9" t="str">
        <f>HYPERLINK("https://seichotoushi-hojo.jp/assets/pdf/koufu/outline_45.pdf","PDFを開く")</f>
        <v>PDFを開く</v>
      </c>
      <c r="T423" s="9" t="s">
        <v>970</v>
      </c>
      <c r="U423" s="9" t="s">
        <v>971</v>
      </c>
    </row>
    <row r="424" spans="1:21" ht="39.950000000000003" customHeight="1">
      <c r="A424" s="2" t="s">
        <v>965</v>
      </c>
      <c r="B424" s="2" t="s">
        <v>73</v>
      </c>
      <c r="C424" s="8" t="s">
        <v>966</v>
      </c>
      <c r="D424" s="8" t="s">
        <v>3191</v>
      </c>
      <c r="E424" s="8" t="s">
        <v>92</v>
      </c>
      <c r="F424" s="2">
        <v>2027</v>
      </c>
      <c r="G424" s="2">
        <v>96</v>
      </c>
      <c r="H424" s="2">
        <v>2030</v>
      </c>
      <c r="I424" s="2">
        <v>110</v>
      </c>
      <c r="J424" s="2" t="s">
        <v>2513</v>
      </c>
      <c r="K424" s="2"/>
      <c r="L424" s="2"/>
      <c r="M424" s="2"/>
      <c r="N424" s="8" t="s">
        <v>11846</v>
      </c>
      <c r="O424" s="8" t="s">
        <v>11847</v>
      </c>
      <c r="P424" s="2">
        <v>2</v>
      </c>
      <c r="Q424" s="8"/>
      <c r="R424" s="8" t="s">
        <v>4428</v>
      </c>
      <c r="S424" s="8" t="str">
        <f>HYPERLINK("https://seichotoushi-hojo.jp/assets/pdf/koufu/outline_45.pdf","PDFを開く")</f>
        <v>PDFを開く</v>
      </c>
      <c r="T424" s="8" t="s">
        <v>970</v>
      </c>
      <c r="U424" s="8" t="s">
        <v>971</v>
      </c>
    </row>
    <row r="425" spans="1:21" ht="39.950000000000003" customHeight="1">
      <c r="A425" s="5" t="s">
        <v>972</v>
      </c>
      <c r="B425" s="5" t="s">
        <v>73</v>
      </c>
      <c r="C425" s="9" t="s">
        <v>973</v>
      </c>
      <c r="D425" s="9" t="s">
        <v>3176</v>
      </c>
      <c r="E425" s="9" t="s">
        <v>90</v>
      </c>
      <c r="F425" s="5">
        <v>2027</v>
      </c>
      <c r="G425" s="5">
        <v>654</v>
      </c>
      <c r="H425" s="5">
        <v>2030</v>
      </c>
      <c r="I425" s="5">
        <v>823</v>
      </c>
      <c r="J425" s="5" t="s">
        <v>86</v>
      </c>
      <c r="K425" s="5">
        <v>7.93</v>
      </c>
      <c r="L425" s="5">
        <v>7.9627999999999997</v>
      </c>
      <c r="M425" s="5">
        <v>3.2800000000000003E-2</v>
      </c>
      <c r="N425" s="9" t="s">
        <v>11846</v>
      </c>
      <c r="O425" s="9" t="s">
        <v>11847</v>
      </c>
      <c r="P425" s="5">
        <v>2</v>
      </c>
      <c r="Q425" s="9"/>
      <c r="R425" s="9" t="s">
        <v>4432</v>
      </c>
      <c r="S425" s="9" t="str">
        <f>HYPERLINK("https://seichotoushi-hojo.jp/assets/pdf/koufu/outline_46.pdf","PDFを開く")</f>
        <v>PDFを開く</v>
      </c>
      <c r="T425" s="9" t="s">
        <v>976</v>
      </c>
      <c r="U425" s="9" t="s">
        <v>977</v>
      </c>
    </row>
    <row r="426" spans="1:21" ht="39.950000000000003" customHeight="1">
      <c r="A426" s="2" t="s">
        <v>972</v>
      </c>
      <c r="B426" s="2" t="s">
        <v>73</v>
      </c>
      <c r="C426" s="8" t="s">
        <v>973</v>
      </c>
      <c r="D426" s="8" t="s">
        <v>3184</v>
      </c>
      <c r="E426" s="8" t="s">
        <v>90</v>
      </c>
      <c r="F426" s="2">
        <v>2027</v>
      </c>
      <c r="G426" s="2">
        <v>446</v>
      </c>
      <c r="H426" s="2">
        <v>2030</v>
      </c>
      <c r="I426" s="2">
        <v>503</v>
      </c>
      <c r="J426" s="2" t="s">
        <v>86</v>
      </c>
      <c r="K426" s="2">
        <v>4.07</v>
      </c>
      <c r="L426" s="2">
        <v>4.0904999999999996</v>
      </c>
      <c r="M426" s="2">
        <v>2.0500000000000001E-2</v>
      </c>
      <c r="N426" s="8" t="s">
        <v>11846</v>
      </c>
      <c r="O426" s="8" t="s">
        <v>11847</v>
      </c>
      <c r="P426" s="2">
        <v>2</v>
      </c>
      <c r="Q426" s="8"/>
      <c r="R426" s="8" t="s">
        <v>4435</v>
      </c>
      <c r="S426" s="8" t="str">
        <f>HYPERLINK("https://seichotoushi-hojo.jp/assets/pdf/koufu/outline_46.pdf","PDFを開く")</f>
        <v>PDFを開く</v>
      </c>
      <c r="T426" s="8" t="s">
        <v>976</v>
      </c>
      <c r="U426" s="8" t="s">
        <v>977</v>
      </c>
    </row>
    <row r="427" spans="1:21" ht="39.950000000000003" customHeight="1">
      <c r="A427" s="5" t="s">
        <v>972</v>
      </c>
      <c r="B427" s="5" t="s">
        <v>73</v>
      </c>
      <c r="C427" s="9" t="s">
        <v>973</v>
      </c>
      <c r="D427" s="9" t="s">
        <v>3188</v>
      </c>
      <c r="E427" s="9" t="s">
        <v>91</v>
      </c>
      <c r="F427" s="5">
        <v>2027</v>
      </c>
      <c r="G427" s="5"/>
      <c r="H427" s="5">
        <v>2030</v>
      </c>
      <c r="I427" s="5"/>
      <c r="J427" s="5" t="s">
        <v>86</v>
      </c>
      <c r="K427" s="5">
        <v>0</v>
      </c>
      <c r="L427" s="5"/>
      <c r="M427" s="5"/>
      <c r="N427" s="9" t="s">
        <v>11846</v>
      </c>
      <c r="O427" s="9" t="s">
        <v>11848</v>
      </c>
      <c r="P427" s="5">
        <v>2</v>
      </c>
      <c r="Q427" s="9"/>
      <c r="R427" s="9" t="s">
        <v>4439</v>
      </c>
      <c r="S427" s="9" t="str">
        <f>HYPERLINK("https://seichotoushi-hojo.jp/assets/pdf/koufu/outline_46.pdf","PDFを開く")</f>
        <v>PDFを開く</v>
      </c>
      <c r="T427" s="9" t="s">
        <v>976</v>
      </c>
      <c r="U427" s="9" t="s">
        <v>977</v>
      </c>
    </row>
    <row r="428" spans="1:21" ht="39.950000000000003" customHeight="1">
      <c r="A428" s="2" t="s">
        <v>972</v>
      </c>
      <c r="B428" s="2" t="s">
        <v>73</v>
      </c>
      <c r="C428" s="8" t="s">
        <v>973</v>
      </c>
      <c r="D428" s="8" t="s">
        <v>3191</v>
      </c>
      <c r="E428" s="8" t="s">
        <v>92</v>
      </c>
      <c r="F428" s="2">
        <v>2027</v>
      </c>
      <c r="G428" s="2">
        <v>158</v>
      </c>
      <c r="H428" s="2">
        <v>2030</v>
      </c>
      <c r="I428" s="2">
        <v>188</v>
      </c>
      <c r="J428" s="2" t="s">
        <v>2513</v>
      </c>
      <c r="K428" s="2"/>
      <c r="L428" s="2"/>
      <c r="M428" s="2"/>
      <c r="N428" s="8" t="s">
        <v>11846</v>
      </c>
      <c r="O428" s="8" t="s">
        <v>11847</v>
      </c>
      <c r="P428" s="2">
        <v>2</v>
      </c>
      <c r="Q428" s="8"/>
      <c r="R428" s="8" t="s">
        <v>4436</v>
      </c>
      <c r="S428" s="8" t="str">
        <f>HYPERLINK("https://seichotoushi-hojo.jp/assets/pdf/koufu/outline_46.pdf","PDFを開く")</f>
        <v>PDFを開く</v>
      </c>
      <c r="T428" s="8" t="s">
        <v>976</v>
      </c>
      <c r="U428" s="8" t="s">
        <v>977</v>
      </c>
    </row>
    <row r="429" spans="1:21" ht="39.950000000000003" customHeight="1">
      <c r="A429" s="5" t="s">
        <v>978</v>
      </c>
      <c r="B429" s="5" t="s">
        <v>73</v>
      </c>
      <c r="C429" s="9" t="s">
        <v>979</v>
      </c>
      <c r="D429" s="9" t="s">
        <v>3176</v>
      </c>
      <c r="E429" s="9" t="s">
        <v>90</v>
      </c>
      <c r="F429" s="5">
        <v>2025</v>
      </c>
      <c r="G429" s="5">
        <v>1001</v>
      </c>
      <c r="H429" s="5">
        <v>2028</v>
      </c>
      <c r="I429" s="5">
        <v>1414</v>
      </c>
      <c r="J429" s="5" t="s">
        <v>86</v>
      </c>
      <c r="K429" s="5">
        <v>12.3</v>
      </c>
      <c r="L429" s="5">
        <v>12.203200000000001</v>
      </c>
      <c r="M429" s="5">
        <v>9.6799999999999997E-2</v>
      </c>
      <c r="N429" s="9" t="s">
        <v>11846</v>
      </c>
      <c r="O429" s="9" t="s">
        <v>11847</v>
      </c>
      <c r="P429" s="5">
        <v>2</v>
      </c>
      <c r="Q429" s="9"/>
      <c r="R429" s="9" t="s">
        <v>4443</v>
      </c>
      <c r="S429" s="9" t="str">
        <f>HYPERLINK("https://seichotoushi-hojo.jp/assets/pdf/koufu/outline_47.pdf","PDFを開く")</f>
        <v>PDFを開く</v>
      </c>
      <c r="T429" s="9" t="s">
        <v>983</v>
      </c>
      <c r="U429" s="9" t="s">
        <v>984</v>
      </c>
    </row>
    <row r="430" spans="1:21" ht="39.950000000000003" customHeight="1">
      <c r="A430" s="2" t="s">
        <v>978</v>
      </c>
      <c r="B430" s="2" t="s">
        <v>73</v>
      </c>
      <c r="C430" s="8" t="s">
        <v>979</v>
      </c>
      <c r="D430" s="8" t="s">
        <v>3184</v>
      </c>
      <c r="E430" s="8" t="s">
        <v>90</v>
      </c>
      <c r="F430" s="2">
        <v>2025</v>
      </c>
      <c r="G430" s="2">
        <v>610</v>
      </c>
      <c r="H430" s="2">
        <v>2028</v>
      </c>
      <c r="I430" s="2">
        <v>684</v>
      </c>
      <c r="J430" s="2" t="s">
        <v>86</v>
      </c>
      <c r="K430" s="2">
        <v>3.9</v>
      </c>
      <c r="L430" s="2">
        <v>3.8904000000000001</v>
      </c>
      <c r="M430" s="2">
        <v>9.5999999999999992E-3</v>
      </c>
      <c r="N430" s="8" t="s">
        <v>11846</v>
      </c>
      <c r="O430" s="8" t="s">
        <v>11847</v>
      </c>
      <c r="P430" s="2">
        <v>2</v>
      </c>
      <c r="Q430" s="8"/>
      <c r="R430" s="8" t="s">
        <v>4445</v>
      </c>
      <c r="S430" s="8" t="str">
        <f>HYPERLINK("https://seichotoushi-hojo.jp/assets/pdf/koufu/outline_47.pdf","PDFを開く")</f>
        <v>PDFを開く</v>
      </c>
      <c r="T430" s="8" t="s">
        <v>983</v>
      </c>
      <c r="U430" s="8" t="s">
        <v>984</v>
      </c>
    </row>
    <row r="431" spans="1:21" ht="39.950000000000003" customHeight="1">
      <c r="A431" s="5" t="s">
        <v>978</v>
      </c>
      <c r="B431" s="5" t="s">
        <v>73</v>
      </c>
      <c r="C431" s="9" t="s">
        <v>979</v>
      </c>
      <c r="D431" s="9" t="s">
        <v>3188</v>
      </c>
      <c r="E431" s="9" t="s">
        <v>92</v>
      </c>
      <c r="F431" s="5">
        <v>2025</v>
      </c>
      <c r="G431" s="5">
        <v>0</v>
      </c>
      <c r="H431" s="5">
        <v>2028</v>
      </c>
      <c r="I431" s="5">
        <v>0</v>
      </c>
      <c r="J431" s="5" t="s">
        <v>86</v>
      </c>
      <c r="K431" s="5">
        <v>0</v>
      </c>
      <c r="L431" s="5"/>
      <c r="M431" s="5"/>
      <c r="N431" s="9" t="s">
        <v>11846</v>
      </c>
      <c r="O431" s="9" t="s">
        <v>11847</v>
      </c>
      <c r="P431" s="5">
        <v>2</v>
      </c>
      <c r="Q431" s="9"/>
      <c r="R431" s="9" t="s">
        <v>3268</v>
      </c>
      <c r="S431" s="9" t="str">
        <f>HYPERLINK("https://seichotoushi-hojo.jp/assets/pdf/koufu/outline_47.pdf","PDFを開く")</f>
        <v>PDFを開く</v>
      </c>
      <c r="T431" s="9" t="s">
        <v>983</v>
      </c>
      <c r="U431" s="9" t="s">
        <v>984</v>
      </c>
    </row>
    <row r="432" spans="1:21" ht="39.950000000000003" customHeight="1">
      <c r="A432" s="2" t="s">
        <v>978</v>
      </c>
      <c r="B432" s="2" t="s">
        <v>73</v>
      </c>
      <c r="C432" s="8" t="s">
        <v>979</v>
      </c>
      <c r="D432" s="8" t="s">
        <v>3191</v>
      </c>
      <c r="E432" s="8" t="s">
        <v>92</v>
      </c>
      <c r="F432" s="2">
        <v>2025</v>
      </c>
      <c r="G432" s="2">
        <v>183</v>
      </c>
      <c r="H432" s="2">
        <v>2028</v>
      </c>
      <c r="I432" s="2">
        <v>186</v>
      </c>
      <c r="J432" s="2" t="s">
        <v>2513</v>
      </c>
      <c r="K432" s="2"/>
      <c r="L432" s="2"/>
      <c r="M432" s="2"/>
      <c r="N432" s="8" t="s">
        <v>11846</v>
      </c>
      <c r="O432" s="8" t="s">
        <v>11847</v>
      </c>
      <c r="P432" s="2">
        <v>2</v>
      </c>
      <c r="Q432" s="8"/>
      <c r="R432" s="8" t="s">
        <v>4448</v>
      </c>
      <c r="S432" s="8" t="str">
        <f>HYPERLINK("https://seichotoushi-hojo.jp/assets/pdf/koufu/outline_47.pdf","PDFを開く")</f>
        <v>PDFを開く</v>
      </c>
      <c r="T432" s="8" t="s">
        <v>983</v>
      </c>
      <c r="U432" s="8" t="s">
        <v>984</v>
      </c>
    </row>
    <row r="433" spans="1:21" ht="39.950000000000003" customHeight="1">
      <c r="A433" s="5" t="s">
        <v>985</v>
      </c>
      <c r="B433" s="5" t="s">
        <v>73</v>
      </c>
      <c r="C433" s="9" t="s">
        <v>986</v>
      </c>
      <c r="D433" s="9" t="s">
        <v>3176</v>
      </c>
      <c r="E433" s="9" t="s">
        <v>90</v>
      </c>
      <c r="F433" s="5">
        <v>2026</v>
      </c>
      <c r="G433" s="5">
        <v>547</v>
      </c>
      <c r="H433" s="5">
        <v>2029</v>
      </c>
      <c r="I433" s="5">
        <v>1297</v>
      </c>
      <c r="J433" s="5" t="s">
        <v>86</v>
      </c>
      <c r="K433" s="5">
        <v>33.299999999999997</v>
      </c>
      <c r="L433" s="5">
        <v>33.347299999999997</v>
      </c>
      <c r="M433" s="5">
        <v>4.7300000000000002E-2</v>
      </c>
      <c r="N433" s="9" t="s">
        <v>11846</v>
      </c>
      <c r="O433" s="9" t="s">
        <v>11847</v>
      </c>
      <c r="P433" s="5">
        <v>2</v>
      </c>
      <c r="Q433" s="9"/>
      <c r="R433" s="9" t="s">
        <v>4451</v>
      </c>
      <c r="S433" s="9" t="str">
        <f>HYPERLINK("https://seichotoushi-hojo.jp/assets/pdf/koufu/outline_48.pdf","PDFを開く")</f>
        <v>PDFを開く</v>
      </c>
      <c r="T433" s="9" t="s">
        <v>992</v>
      </c>
      <c r="U433" s="9" t="s">
        <v>993</v>
      </c>
    </row>
    <row r="434" spans="1:21" ht="39.950000000000003" customHeight="1">
      <c r="A434" s="2" t="s">
        <v>985</v>
      </c>
      <c r="B434" s="2" t="s">
        <v>73</v>
      </c>
      <c r="C434" s="8" t="s">
        <v>986</v>
      </c>
      <c r="D434" s="8" t="s">
        <v>3184</v>
      </c>
      <c r="E434" s="8" t="s">
        <v>90</v>
      </c>
      <c r="F434" s="2">
        <v>2026</v>
      </c>
      <c r="G434" s="2">
        <v>214</v>
      </c>
      <c r="H434" s="2">
        <v>2029</v>
      </c>
      <c r="I434" s="2">
        <v>254</v>
      </c>
      <c r="J434" s="2" t="s">
        <v>86</v>
      </c>
      <c r="K434" s="2">
        <v>5.9</v>
      </c>
      <c r="L434" s="2">
        <v>5.8781999999999996</v>
      </c>
      <c r="M434" s="2">
        <v>2.18E-2</v>
      </c>
      <c r="N434" s="8" t="s">
        <v>11846</v>
      </c>
      <c r="O434" s="8" t="s">
        <v>11847</v>
      </c>
      <c r="P434" s="2">
        <v>2</v>
      </c>
      <c r="Q434" s="8"/>
      <c r="R434" s="8" t="s">
        <v>4454</v>
      </c>
      <c r="S434" s="8" t="str">
        <f>HYPERLINK("https://seichotoushi-hojo.jp/assets/pdf/koufu/outline_48.pdf","PDFを開く")</f>
        <v>PDFを開く</v>
      </c>
      <c r="T434" s="8" t="s">
        <v>992</v>
      </c>
      <c r="U434" s="8" t="s">
        <v>993</v>
      </c>
    </row>
    <row r="435" spans="1:21" ht="39.950000000000003" customHeight="1">
      <c r="A435" s="5" t="s">
        <v>985</v>
      </c>
      <c r="B435" s="5" t="s">
        <v>73</v>
      </c>
      <c r="C435" s="9" t="s">
        <v>986</v>
      </c>
      <c r="D435" s="9" t="s">
        <v>3188</v>
      </c>
      <c r="E435" s="9" t="s">
        <v>90</v>
      </c>
      <c r="F435" s="5">
        <v>2026</v>
      </c>
      <c r="G435" s="5">
        <v>1361</v>
      </c>
      <c r="H435" s="5">
        <v>2029</v>
      </c>
      <c r="I435" s="5">
        <v>1616</v>
      </c>
      <c r="J435" s="5" t="s">
        <v>86</v>
      </c>
      <c r="K435" s="5">
        <v>5.9</v>
      </c>
      <c r="L435" s="5">
        <v>5.8914999999999997</v>
      </c>
      <c r="M435" s="5">
        <v>8.5000000000000006E-3</v>
      </c>
      <c r="N435" s="9" t="s">
        <v>11846</v>
      </c>
      <c r="O435" s="9" t="s">
        <v>11847</v>
      </c>
      <c r="P435" s="5">
        <v>2</v>
      </c>
      <c r="Q435" s="9"/>
      <c r="R435" s="9" t="s">
        <v>4457</v>
      </c>
      <c r="S435" s="9" t="str">
        <f>HYPERLINK("https://seichotoushi-hojo.jp/assets/pdf/koufu/outline_48.pdf","PDFを開く")</f>
        <v>PDFを開く</v>
      </c>
      <c r="T435" s="9" t="s">
        <v>992</v>
      </c>
      <c r="U435" s="9" t="s">
        <v>993</v>
      </c>
    </row>
    <row r="436" spans="1:21" ht="39.950000000000003" customHeight="1">
      <c r="A436" s="2" t="s">
        <v>985</v>
      </c>
      <c r="B436" s="2" t="s">
        <v>73</v>
      </c>
      <c r="C436" s="8" t="s">
        <v>986</v>
      </c>
      <c r="D436" s="8" t="s">
        <v>3191</v>
      </c>
      <c r="E436" s="8" t="s">
        <v>92</v>
      </c>
      <c r="F436" s="2">
        <v>2026</v>
      </c>
      <c r="G436" s="2">
        <v>115</v>
      </c>
      <c r="H436" s="2">
        <v>2029</v>
      </c>
      <c r="I436" s="2">
        <v>175</v>
      </c>
      <c r="J436" s="2" t="s">
        <v>2513</v>
      </c>
      <c r="K436" s="2"/>
      <c r="L436" s="2"/>
      <c r="M436" s="2"/>
      <c r="N436" s="8" t="s">
        <v>11846</v>
      </c>
      <c r="O436" s="8" t="s">
        <v>11847</v>
      </c>
      <c r="P436" s="2">
        <v>2</v>
      </c>
      <c r="Q436" s="8"/>
      <c r="R436" s="8" t="s">
        <v>4459</v>
      </c>
      <c r="S436" s="8" t="str">
        <f>HYPERLINK("https://seichotoushi-hojo.jp/assets/pdf/koufu/outline_48.pdf","PDFを開く")</f>
        <v>PDFを開く</v>
      </c>
      <c r="T436" s="8" t="s">
        <v>992</v>
      </c>
      <c r="U436" s="8" t="s">
        <v>993</v>
      </c>
    </row>
    <row r="437" spans="1:21" ht="39.950000000000003" customHeight="1">
      <c r="A437" s="5" t="s">
        <v>994</v>
      </c>
      <c r="B437" s="5" t="s">
        <v>73</v>
      </c>
      <c r="C437" s="9" t="s">
        <v>995</v>
      </c>
      <c r="D437" s="9" t="s">
        <v>3176</v>
      </c>
      <c r="E437" s="9" t="s">
        <v>90</v>
      </c>
      <c r="F437" s="5">
        <v>2025</v>
      </c>
      <c r="G437" s="5">
        <v>632</v>
      </c>
      <c r="H437" s="5">
        <v>2028</v>
      </c>
      <c r="I437" s="5">
        <v>817</v>
      </c>
      <c r="J437" s="5" t="s">
        <v>86</v>
      </c>
      <c r="K437" s="5">
        <v>8.9</v>
      </c>
      <c r="L437" s="5">
        <v>8.9352</v>
      </c>
      <c r="M437" s="5">
        <v>3.5200000000000002E-2</v>
      </c>
      <c r="N437" s="9" t="s">
        <v>11846</v>
      </c>
      <c r="O437" s="9" t="s">
        <v>11847</v>
      </c>
      <c r="P437" s="5">
        <v>2</v>
      </c>
      <c r="Q437" s="9"/>
      <c r="R437" s="9" t="s">
        <v>4462</v>
      </c>
      <c r="S437" s="9" t="str">
        <f>HYPERLINK("https://seichotoushi-hojo.jp/assets/pdf/koufu/outline_49.pdf","PDFを開く")</f>
        <v>PDFを開く</v>
      </c>
      <c r="T437" s="9" t="s">
        <v>1001</v>
      </c>
      <c r="U437" s="9" t="s">
        <v>1002</v>
      </c>
    </row>
    <row r="438" spans="1:21" ht="39.950000000000003" customHeight="1">
      <c r="A438" s="2" t="s">
        <v>994</v>
      </c>
      <c r="B438" s="2" t="s">
        <v>73</v>
      </c>
      <c r="C438" s="8" t="s">
        <v>995</v>
      </c>
      <c r="D438" s="8" t="s">
        <v>3184</v>
      </c>
      <c r="E438" s="8" t="s">
        <v>90</v>
      </c>
      <c r="F438" s="2">
        <v>2025</v>
      </c>
      <c r="G438" s="2">
        <v>418</v>
      </c>
      <c r="H438" s="2">
        <v>2028</v>
      </c>
      <c r="I438" s="2">
        <v>470</v>
      </c>
      <c r="J438" s="2" t="s">
        <v>86</v>
      </c>
      <c r="K438" s="2">
        <v>4</v>
      </c>
      <c r="L438" s="2">
        <v>3.9857999999999998</v>
      </c>
      <c r="M438" s="2">
        <v>1.4200000000000001E-2</v>
      </c>
      <c r="N438" s="8" t="s">
        <v>11846</v>
      </c>
      <c r="O438" s="8" t="s">
        <v>11847</v>
      </c>
      <c r="P438" s="2">
        <v>2</v>
      </c>
      <c r="Q438" s="8"/>
      <c r="R438" s="8" t="s">
        <v>4465</v>
      </c>
      <c r="S438" s="8" t="str">
        <f>HYPERLINK("https://seichotoushi-hojo.jp/assets/pdf/koufu/outline_49.pdf","PDFを開く")</f>
        <v>PDFを開く</v>
      </c>
      <c r="T438" s="8" t="s">
        <v>1001</v>
      </c>
      <c r="U438" s="8" t="s">
        <v>1002</v>
      </c>
    </row>
    <row r="439" spans="1:21" ht="39.950000000000003" customHeight="1">
      <c r="A439" s="5" t="s">
        <v>994</v>
      </c>
      <c r="B439" s="5" t="s">
        <v>73</v>
      </c>
      <c r="C439" s="9" t="s">
        <v>995</v>
      </c>
      <c r="D439" s="9" t="s">
        <v>3188</v>
      </c>
      <c r="E439" s="9" t="s">
        <v>91</v>
      </c>
      <c r="F439" s="5">
        <v>2025</v>
      </c>
      <c r="G439" s="5"/>
      <c r="H439" s="5">
        <v>2028</v>
      </c>
      <c r="I439" s="5"/>
      <c r="J439" s="5" t="s">
        <v>86</v>
      </c>
      <c r="K439" s="5">
        <v>4</v>
      </c>
      <c r="L439" s="5"/>
      <c r="M439" s="5"/>
      <c r="N439" s="9" t="s">
        <v>11846</v>
      </c>
      <c r="O439" s="9" t="s">
        <v>11848</v>
      </c>
      <c r="P439" s="5">
        <v>2</v>
      </c>
      <c r="Q439" s="9"/>
      <c r="R439" s="9" t="s">
        <v>4180</v>
      </c>
      <c r="S439" s="9" t="str">
        <f>HYPERLINK("https://seichotoushi-hojo.jp/assets/pdf/koufu/outline_49.pdf","PDFを開く")</f>
        <v>PDFを開く</v>
      </c>
      <c r="T439" s="9" t="s">
        <v>1001</v>
      </c>
      <c r="U439" s="9" t="s">
        <v>1002</v>
      </c>
    </row>
    <row r="440" spans="1:21" ht="39.950000000000003" customHeight="1">
      <c r="A440" s="2" t="s">
        <v>994</v>
      </c>
      <c r="B440" s="2" t="s">
        <v>73</v>
      </c>
      <c r="C440" s="8" t="s">
        <v>995</v>
      </c>
      <c r="D440" s="8" t="s">
        <v>3191</v>
      </c>
      <c r="E440" s="8" t="s">
        <v>92</v>
      </c>
      <c r="F440" s="2">
        <v>2025</v>
      </c>
      <c r="G440" s="2">
        <v>110</v>
      </c>
      <c r="H440" s="2">
        <v>2028</v>
      </c>
      <c r="I440" s="2">
        <v>125</v>
      </c>
      <c r="J440" s="2" t="s">
        <v>2513</v>
      </c>
      <c r="K440" s="2"/>
      <c r="L440" s="2"/>
      <c r="M440" s="2"/>
      <c r="N440" s="8" t="s">
        <v>11846</v>
      </c>
      <c r="O440" s="8" t="s">
        <v>11847</v>
      </c>
      <c r="P440" s="2">
        <v>2</v>
      </c>
      <c r="Q440" s="8"/>
      <c r="R440" s="8" t="s">
        <v>4466</v>
      </c>
      <c r="S440" s="8" t="str">
        <f>HYPERLINK("https://seichotoushi-hojo.jp/assets/pdf/koufu/outline_49.pdf","PDFを開く")</f>
        <v>PDFを開く</v>
      </c>
      <c r="T440" s="8" t="s">
        <v>1001</v>
      </c>
      <c r="U440" s="8" t="s">
        <v>1002</v>
      </c>
    </row>
    <row r="441" spans="1:21" ht="39.950000000000003" customHeight="1">
      <c r="A441" s="5" t="s">
        <v>1003</v>
      </c>
      <c r="B441" s="5" t="s">
        <v>73</v>
      </c>
      <c r="C441" s="9" t="s">
        <v>1004</v>
      </c>
      <c r="D441" s="9" t="s">
        <v>3176</v>
      </c>
      <c r="E441" s="9" t="s">
        <v>90</v>
      </c>
      <c r="F441" s="5">
        <v>2026</v>
      </c>
      <c r="G441" s="5">
        <v>1184</v>
      </c>
      <c r="H441" s="5">
        <v>2029</v>
      </c>
      <c r="I441" s="5">
        <v>1398</v>
      </c>
      <c r="J441" s="5" t="s">
        <v>86</v>
      </c>
      <c r="K441" s="5">
        <v>5.7</v>
      </c>
      <c r="L441" s="5">
        <v>5.6943999999999999</v>
      </c>
      <c r="M441" s="5">
        <v>5.5999999999999999E-3</v>
      </c>
      <c r="N441" s="9" t="s">
        <v>11846</v>
      </c>
      <c r="O441" s="9" t="s">
        <v>11852</v>
      </c>
      <c r="P441" s="5">
        <v>2</v>
      </c>
      <c r="Q441" s="9"/>
      <c r="R441" s="9" t="s">
        <v>4472</v>
      </c>
      <c r="S441" s="9" t="str">
        <f>HYPERLINK("https://seichotoushi-hojo.jp/assets/pdf/koufu/outline_5.pdf","PDFを開く")</f>
        <v>PDFを開く</v>
      </c>
      <c r="T441" s="9" t="s">
        <v>1011</v>
      </c>
      <c r="U441" s="9" t="s">
        <v>1012</v>
      </c>
    </row>
    <row r="442" spans="1:21" ht="39.950000000000003" customHeight="1">
      <c r="A442" s="2" t="s">
        <v>1003</v>
      </c>
      <c r="B442" s="2" t="s">
        <v>73</v>
      </c>
      <c r="C442" s="8" t="s">
        <v>1004</v>
      </c>
      <c r="D442" s="8" t="s">
        <v>3184</v>
      </c>
      <c r="E442" s="8" t="s">
        <v>90</v>
      </c>
      <c r="F442" s="2">
        <v>2026</v>
      </c>
      <c r="G442" s="2">
        <v>721</v>
      </c>
      <c r="H442" s="2">
        <v>2029</v>
      </c>
      <c r="I442" s="2">
        <v>811</v>
      </c>
      <c r="J442" s="2" t="s">
        <v>86</v>
      </c>
      <c r="K442" s="2">
        <v>4</v>
      </c>
      <c r="L442" s="2">
        <v>3.9988000000000001</v>
      </c>
      <c r="M442" s="2">
        <v>1.1999999999999999E-3</v>
      </c>
      <c r="N442" s="8" t="s">
        <v>11846</v>
      </c>
      <c r="O442" s="8" t="s">
        <v>11852</v>
      </c>
      <c r="P442" s="2">
        <v>2</v>
      </c>
      <c r="Q442" s="8"/>
      <c r="R442" s="8" t="s">
        <v>4478</v>
      </c>
      <c r="S442" s="8" t="str">
        <f>HYPERLINK("https://seichotoushi-hojo.jp/assets/pdf/koufu/outline_5.pdf","PDFを開く")</f>
        <v>PDFを開く</v>
      </c>
      <c r="T442" s="8" t="s">
        <v>1011</v>
      </c>
      <c r="U442" s="8" t="s">
        <v>1012</v>
      </c>
    </row>
    <row r="443" spans="1:21" ht="39.950000000000003" customHeight="1">
      <c r="A443" s="5" t="s">
        <v>1003</v>
      </c>
      <c r="B443" s="5" t="s">
        <v>73</v>
      </c>
      <c r="C443" s="9" t="s">
        <v>1004</v>
      </c>
      <c r="D443" s="9" t="s">
        <v>3188</v>
      </c>
      <c r="E443" s="9" t="s">
        <v>156</v>
      </c>
      <c r="F443" s="5"/>
      <c r="G443" s="5"/>
      <c r="H443" s="5"/>
      <c r="I443" s="5"/>
      <c r="J443" s="5"/>
      <c r="K443" s="5"/>
      <c r="L443" s="5"/>
      <c r="M443" s="5"/>
      <c r="N443" s="9" t="s">
        <v>11850</v>
      </c>
      <c r="O443" s="9"/>
      <c r="P443" s="5"/>
      <c r="Q443" s="9" t="s">
        <v>11851</v>
      </c>
      <c r="R443" s="9"/>
      <c r="S443" s="9" t="str">
        <f>HYPERLINK("https://seichotoushi-hojo.jp/assets/pdf/koufu/outline_5.pdf","PDFを開く")</f>
        <v>PDFを開く</v>
      </c>
      <c r="T443" s="9" t="s">
        <v>1011</v>
      </c>
      <c r="U443" s="9" t="s">
        <v>1012</v>
      </c>
    </row>
    <row r="444" spans="1:21" ht="39.950000000000003" customHeight="1">
      <c r="A444" s="2" t="s">
        <v>1003</v>
      </c>
      <c r="B444" s="2" t="s">
        <v>73</v>
      </c>
      <c r="C444" s="8" t="s">
        <v>1004</v>
      </c>
      <c r="D444" s="8" t="s">
        <v>3191</v>
      </c>
      <c r="E444" s="8" t="s">
        <v>92</v>
      </c>
      <c r="F444" s="2">
        <v>2026</v>
      </c>
      <c r="G444" s="2">
        <v>685</v>
      </c>
      <c r="H444" s="2">
        <v>2029</v>
      </c>
      <c r="I444" s="2">
        <v>730</v>
      </c>
      <c r="J444" s="2" t="s">
        <v>2513</v>
      </c>
      <c r="K444" s="2"/>
      <c r="L444" s="2"/>
      <c r="M444" s="2"/>
      <c r="N444" s="8" t="s">
        <v>11846</v>
      </c>
      <c r="O444" s="8" t="s">
        <v>11852</v>
      </c>
      <c r="P444" s="2">
        <v>2</v>
      </c>
      <c r="Q444" s="8"/>
      <c r="R444" s="8" t="s">
        <v>4481</v>
      </c>
      <c r="S444" s="8" t="str">
        <f>HYPERLINK("https://seichotoushi-hojo.jp/assets/pdf/koufu/outline_5.pdf","PDFを開く")</f>
        <v>PDFを開く</v>
      </c>
      <c r="T444" s="8" t="s">
        <v>1011</v>
      </c>
      <c r="U444" s="8" t="s">
        <v>1012</v>
      </c>
    </row>
    <row r="445" spans="1:21" ht="39.950000000000003" customHeight="1">
      <c r="A445" s="5" t="s">
        <v>1013</v>
      </c>
      <c r="B445" s="5" t="s">
        <v>73</v>
      </c>
      <c r="C445" s="9" t="s">
        <v>1014</v>
      </c>
      <c r="D445" s="9" t="s">
        <v>3176</v>
      </c>
      <c r="E445" s="9" t="s">
        <v>90</v>
      </c>
      <c r="F445" s="5">
        <v>2026</v>
      </c>
      <c r="G445" s="5">
        <v>657</v>
      </c>
      <c r="H445" s="5">
        <v>2029</v>
      </c>
      <c r="I445" s="5">
        <v>793</v>
      </c>
      <c r="J445" s="5" t="s">
        <v>86</v>
      </c>
      <c r="K445" s="5">
        <v>6.5</v>
      </c>
      <c r="L445" s="5">
        <v>6.4721000000000002</v>
      </c>
      <c r="M445" s="5">
        <v>2.7900000000000001E-2</v>
      </c>
      <c r="N445" s="9" t="s">
        <v>11846</v>
      </c>
      <c r="O445" s="9" t="s">
        <v>11847</v>
      </c>
      <c r="P445" s="5">
        <v>2</v>
      </c>
      <c r="Q445" s="9"/>
      <c r="R445" s="9" t="s">
        <v>4483</v>
      </c>
      <c r="S445" s="9" t="str">
        <f>HYPERLINK("https://seichotoushi-hojo.jp/assets/pdf/koufu/outline_50.pdf","PDFを開く")</f>
        <v>PDFを開く</v>
      </c>
      <c r="T445" s="9" t="s">
        <v>1018</v>
      </c>
      <c r="U445" s="9" t="s">
        <v>1019</v>
      </c>
    </row>
    <row r="446" spans="1:21" ht="39.950000000000003" customHeight="1">
      <c r="A446" s="2" t="s">
        <v>1013</v>
      </c>
      <c r="B446" s="2" t="s">
        <v>73</v>
      </c>
      <c r="C446" s="8" t="s">
        <v>1014</v>
      </c>
      <c r="D446" s="8" t="s">
        <v>3184</v>
      </c>
      <c r="E446" s="8" t="s">
        <v>90</v>
      </c>
      <c r="F446" s="2">
        <v>2026</v>
      </c>
      <c r="G446" s="2">
        <v>515</v>
      </c>
      <c r="H446" s="2">
        <v>2029</v>
      </c>
      <c r="I446" s="2">
        <v>563</v>
      </c>
      <c r="J446" s="2" t="s">
        <v>86</v>
      </c>
      <c r="K446" s="2">
        <v>3</v>
      </c>
      <c r="L446" s="2">
        <v>3.0150000000000001</v>
      </c>
      <c r="M446" s="2">
        <v>1.4999999999999999E-2</v>
      </c>
      <c r="N446" s="8" t="s">
        <v>11846</v>
      </c>
      <c r="O446" s="8" t="s">
        <v>11847</v>
      </c>
      <c r="P446" s="2">
        <v>2</v>
      </c>
      <c r="Q446" s="8"/>
      <c r="R446" s="8" t="s">
        <v>4485</v>
      </c>
      <c r="S446" s="8" t="str">
        <f>HYPERLINK("https://seichotoushi-hojo.jp/assets/pdf/koufu/outline_50.pdf","PDFを開く")</f>
        <v>PDFを開く</v>
      </c>
      <c r="T446" s="8" t="s">
        <v>1018</v>
      </c>
      <c r="U446" s="8" t="s">
        <v>1019</v>
      </c>
    </row>
    <row r="447" spans="1:21" ht="39.950000000000003" customHeight="1">
      <c r="A447" s="5" t="s">
        <v>1013</v>
      </c>
      <c r="B447" s="5" t="s">
        <v>73</v>
      </c>
      <c r="C447" s="9" t="s">
        <v>1014</v>
      </c>
      <c r="D447" s="9" t="s">
        <v>3188</v>
      </c>
      <c r="E447" s="9" t="s">
        <v>91</v>
      </c>
      <c r="F447" s="5">
        <v>2026</v>
      </c>
      <c r="G447" s="5"/>
      <c r="H447" s="5">
        <v>2029</v>
      </c>
      <c r="I447" s="5"/>
      <c r="J447" s="5" t="s">
        <v>86</v>
      </c>
      <c r="K447" s="5">
        <v>3</v>
      </c>
      <c r="L447" s="5"/>
      <c r="M447" s="5"/>
      <c r="N447" s="9" t="s">
        <v>11846</v>
      </c>
      <c r="O447" s="9" t="s">
        <v>11848</v>
      </c>
      <c r="P447" s="5">
        <v>2</v>
      </c>
      <c r="Q447" s="9"/>
      <c r="R447" s="9" t="s">
        <v>4295</v>
      </c>
      <c r="S447" s="9" t="str">
        <f>HYPERLINK("https://seichotoushi-hojo.jp/assets/pdf/koufu/outline_50.pdf","PDFを開く")</f>
        <v>PDFを開く</v>
      </c>
      <c r="T447" s="9" t="s">
        <v>1018</v>
      </c>
      <c r="U447" s="9" t="s">
        <v>1019</v>
      </c>
    </row>
    <row r="448" spans="1:21" ht="39.950000000000003" customHeight="1">
      <c r="A448" s="2" t="s">
        <v>1013</v>
      </c>
      <c r="B448" s="2" t="s">
        <v>73</v>
      </c>
      <c r="C448" s="8" t="s">
        <v>1014</v>
      </c>
      <c r="D448" s="8" t="s">
        <v>3191</v>
      </c>
      <c r="E448" s="8" t="s">
        <v>92</v>
      </c>
      <c r="F448" s="2">
        <v>2026</v>
      </c>
      <c r="G448" s="2">
        <v>1390</v>
      </c>
      <c r="H448" s="2">
        <v>2029</v>
      </c>
      <c r="I448" s="2">
        <v>1401</v>
      </c>
      <c r="J448" s="2" t="s">
        <v>2513</v>
      </c>
      <c r="K448" s="2"/>
      <c r="L448" s="2"/>
      <c r="M448" s="2"/>
      <c r="N448" s="8" t="s">
        <v>11846</v>
      </c>
      <c r="O448" s="8" t="s">
        <v>11847</v>
      </c>
      <c r="P448" s="2">
        <v>2</v>
      </c>
      <c r="Q448" s="8"/>
      <c r="R448" s="8" t="s">
        <v>4487</v>
      </c>
      <c r="S448" s="8" t="str">
        <f>HYPERLINK("https://seichotoushi-hojo.jp/assets/pdf/koufu/outline_50.pdf","PDFを開く")</f>
        <v>PDFを開く</v>
      </c>
      <c r="T448" s="8" t="s">
        <v>1018</v>
      </c>
      <c r="U448" s="8" t="s">
        <v>1019</v>
      </c>
    </row>
    <row r="449" spans="1:21" ht="39.950000000000003" customHeight="1">
      <c r="A449" s="5" t="s">
        <v>1020</v>
      </c>
      <c r="B449" s="5" t="s">
        <v>73</v>
      </c>
      <c r="C449" s="9" t="s">
        <v>1021</v>
      </c>
      <c r="D449" s="9" t="s">
        <v>3176</v>
      </c>
      <c r="E449" s="9" t="s">
        <v>90</v>
      </c>
      <c r="F449" s="5">
        <v>2026</v>
      </c>
      <c r="G449" s="5">
        <v>1340</v>
      </c>
      <c r="H449" s="5">
        <v>2029</v>
      </c>
      <c r="I449" s="5">
        <v>1587</v>
      </c>
      <c r="J449" s="5" t="s">
        <v>86</v>
      </c>
      <c r="K449" s="5">
        <v>5.81</v>
      </c>
      <c r="L449" s="5">
        <v>5.8011999999999997</v>
      </c>
      <c r="M449" s="5">
        <v>8.8000000000000005E-3</v>
      </c>
      <c r="N449" s="9" t="s">
        <v>11846</v>
      </c>
      <c r="O449" s="9" t="s">
        <v>11847</v>
      </c>
      <c r="P449" s="5">
        <v>2</v>
      </c>
      <c r="Q449" s="9"/>
      <c r="R449" s="9" t="s">
        <v>4493</v>
      </c>
      <c r="S449" s="9" t="str">
        <f>HYPERLINK("https://seichotoushi-hojo.jp/assets/pdf/koufu/outline_51.pdf","PDFを開く")</f>
        <v>PDFを開く</v>
      </c>
      <c r="T449" s="9" t="s">
        <v>1026</v>
      </c>
      <c r="U449" s="9" t="s">
        <v>1027</v>
      </c>
    </row>
    <row r="450" spans="1:21" ht="39.950000000000003" customHeight="1">
      <c r="A450" s="2" t="s">
        <v>1020</v>
      </c>
      <c r="B450" s="2" t="s">
        <v>73</v>
      </c>
      <c r="C450" s="8" t="s">
        <v>1021</v>
      </c>
      <c r="D450" s="8" t="s">
        <v>3184</v>
      </c>
      <c r="E450" s="8" t="s">
        <v>90</v>
      </c>
      <c r="F450" s="2">
        <v>2026</v>
      </c>
      <c r="G450" s="2">
        <v>650</v>
      </c>
      <c r="H450" s="2">
        <v>2029</v>
      </c>
      <c r="I450" s="2">
        <v>763</v>
      </c>
      <c r="J450" s="2" t="s">
        <v>86</v>
      </c>
      <c r="K450" s="2">
        <v>5.51</v>
      </c>
      <c r="L450" s="2">
        <v>5.4882</v>
      </c>
      <c r="M450" s="2">
        <v>2.18E-2</v>
      </c>
      <c r="N450" s="8" t="s">
        <v>11846</v>
      </c>
      <c r="O450" s="8" t="s">
        <v>11847</v>
      </c>
      <c r="P450" s="2">
        <v>2</v>
      </c>
      <c r="Q450" s="8"/>
      <c r="R450" s="8" t="s">
        <v>4496</v>
      </c>
      <c r="S450" s="8" t="str">
        <f>HYPERLINK("https://seichotoushi-hojo.jp/assets/pdf/koufu/outline_51.pdf","PDFを開く")</f>
        <v>PDFを開く</v>
      </c>
      <c r="T450" s="8" t="s">
        <v>1026</v>
      </c>
      <c r="U450" s="8" t="s">
        <v>1027</v>
      </c>
    </row>
    <row r="451" spans="1:21" ht="39.950000000000003" customHeight="1">
      <c r="A451" s="5" t="s">
        <v>1020</v>
      </c>
      <c r="B451" s="5" t="s">
        <v>73</v>
      </c>
      <c r="C451" s="9" t="s">
        <v>1021</v>
      </c>
      <c r="D451" s="9" t="s">
        <v>3188</v>
      </c>
      <c r="E451" s="9" t="s">
        <v>91</v>
      </c>
      <c r="F451" s="5">
        <v>2026</v>
      </c>
      <c r="G451" s="5"/>
      <c r="H451" s="5">
        <v>2029</v>
      </c>
      <c r="I451" s="5"/>
      <c r="J451" s="5" t="s">
        <v>86</v>
      </c>
      <c r="K451" s="5">
        <v>5</v>
      </c>
      <c r="L451" s="5"/>
      <c r="M451" s="5"/>
      <c r="N451" s="9" t="s">
        <v>11846</v>
      </c>
      <c r="O451" s="9" t="s">
        <v>11848</v>
      </c>
      <c r="P451" s="5">
        <v>2</v>
      </c>
      <c r="Q451" s="9"/>
      <c r="R451" s="9" t="s">
        <v>4062</v>
      </c>
      <c r="S451" s="9" t="str">
        <f>HYPERLINK("https://seichotoushi-hojo.jp/assets/pdf/koufu/outline_51.pdf","PDFを開く")</f>
        <v>PDFを開く</v>
      </c>
      <c r="T451" s="9" t="s">
        <v>1026</v>
      </c>
      <c r="U451" s="9" t="s">
        <v>1027</v>
      </c>
    </row>
    <row r="452" spans="1:21" ht="39.950000000000003" customHeight="1">
      <c r="A452" s="2" t="s">
        <v>1020</v>
      </c>
      <c r="B452" s="2" t="s">
        <v>73</v>
      </c>
      <c r="C452" s="8" t="s">
        <v>1021</v>
      </c>
      <c r="D452" s="8" t="s">
        <v>3191</v>
      </c>
      <c r="E452" s="8" t="s">
        <v>92</v>
      </c>
      <c r="F452" s="2">
        <v>2026</v>
      </c>
      <c r="G452" s="2">
        <v>254</v>
      </c>
      <c r="H452" s="2">
        <v>2029</v>
      </c>
      <c r="I452" s="2">
        <v>276</v>
      </c>
      <c r="J452" s="2" t="s">
        <v>2513</v>
      </c>
      <c r="K452" s="2"/>
      <c r="L452" s="2"/>
      <c r="M452" s="2"/>
      <c r="N452" s="8" t="s">
        <v>11846</v>
      </c>
      <c r="O452" s="8" t="s">
        <v>11847</v>
      </c>
      <c r="P452" s="2">
        <v>2</v>
      </c>
      <c r="Q452" s="8"/>
      <c r="R452" s="8" t="s">
        <v>4498</v>
      </c>
      <c r="S452" s="8" t="str">
        <f>HYPERLINK("https://seichotoushi-hojo.jp/assets/pdf/koufu/outline_51.pdf","PDFを開く")</f>
        <v>PDFを開く</v>
      </c>
      <c r="T452" s="8" t="s">
        <v>1026</v>
      </c>
      <c r="U452" s="8" t="s">
        <v>1027</v>
      </c>
    </row>
    <row r="453" spans="1:21" ht="39.950000000000003" customHeight="1">
      <c r="A453" s="5" t="s">
        <v>1028</v>
      </c>
      <c r="B453" s="5" t="s">
        <v>73</v>
      </c>
      <c r="C453" s="9" t="s">
        <v>1029</v>
      </c>
      <c r="D453" s="9" t="s">
        <v>3176</v>
      </c>
      <c r="E453" s="9" t="s">
        <v>90</v>
      </c>
      <c r="F453" s="5">
        <v>2027</v>
      </c>
      <c r="G453" s="5">
        <v>1291</v>
      </c>
      <c r="H453" s="5">
        <v>2030</v>
      </c>
      <c r="I453" s="5">
        <v>1855</v>
      </c>
      <c r="J453" s="5" t="s">
        <v>86</v>
      </c>
      <c r="K453" s="5">
        <v>12.8</v>
      </c>
      <c r="L453" s="5">
        <v>12.842499999999999</v>
      </c>
      <c r="M453" s="5">
        <v>4.2500000000000003E-2</v>
      </c>
      <c r="N453" s="9" t="s">
        <v>11846</v>
      </c>
      <c r="O453" s="9" t="s">
        <v>11847</v>
      </c>
      <c r="P453" s="5">
        <v>2</v>
      </c>
      <c r="Q453" s="9"/>
      <c r="R453" s="9" t="s">
        <v>4503</v>
      </c>
      <c r="S453" s="9" t="str">
        <f>HYPERLINK("https://seichotoushi-hojo.jp/assets/pdf/koufu/outline_52.pdf","PDFを開く")</f>
        <v>PDFを開く</v>
      </c>
      <c r="T453" s="9" t="s">
        <v>1034</v>
      </c>
      <c r="U453" s="9" t="s">
        <v>1035</v>
      </c>
    </row>
    <row r="454" spans="1:21" ht="39.950000000000003" customHeight="1">
      <c r="A454" s="2" t="s">
        <v>1028</v>
      </c>
      <c r="B454" s="2" t="s">
        <v>73</v>
      </c>
      <c r="C454" s="8" t="s">
        <v>1029</v>
      </c>
      <c r="D454" s="8" t="s">
        <v>3184</v>
      </c>
      <c r="E454" s="8" t="s">
        <v>90</v>
      </c>
      <c r="F454" s="2">
        <v>2027</v>
      </c>
      <c r="G454" s="2">
        <v>411</v>
      </c>
      <c r="H454" s="2">
        <v>2030</v>
      </c>
      <c r="I454" s="2">
        <v>470</v>
      </c>
      <c r="J454" s="2" t="s">
        <v>86</v>
      </c>
      <c r="K454" s="2">
        <v>4.5999999999999996</v>
      </c>
      <c r="L454" s="2">
        <v>4.5728</v>
      </c>
      <c r="M454" s="2">
        <v>2.7199999999999998E-2</v>
      </c>
      <c r="N454" s="8" t="s">
        <v>11846</v>
      </c>
      <c r="O454" s="8" t="s">
        <v>11847</v>
      </c>
      <c r="P454" s="2">
        <v>2</v>
      </c>
      <c r="Q454" s="8"/>
      <c r="R454" s="8" t="s">
        <v>4506</v>
      </c>
      <c r="S454" s="8" t="str">
        <f>HYPERLINK("https://seichotoushi-hojo.jp/assets/pdf/koufu/outline_52.pdf","PDFを開く")</f>
        <v>PDFを開く</v>
      </c>
      <c r="T454" s="8" t="s">
        <v>1034</v>
      </c>
      <c r="U454" s="8" t="s">
        <v>1035</v>
      </c>
    </row>
    <row r="455" spans="1:21" ht="39.950000000000003" customHeight="1">
      <c r="A455" s="5" t="s">
        <v>1028</v>
      </c>
      <c r="B455" s="5" t="s">
        <v>73</v>
      </c>
      <c r="C455" s="9" t="s">
        <v>1029</v>
      </c>
      <c r="D455" s="9" t="s">
        <v>3188</v>
      </c>
      <c r="E455" s="9" t="s">
        <v>156</v>
      </c>
      <c r="F455" s="5"/>
      <c r="G455" s="5"/>
      <c r="H455" s="5"/>
      <c r="I455" s="5"/>
      <c r="J455" s="5"/>
      <c r="K455" s="5"/>
      <c r="L455" s="5"/>
      <c r="M455" s="5"/>
      <c r="N455" s="9" t="s">
        <v>11850</v>
      </c>
      <c r="O455" s="9"/>
      <c r="P455" s="5"/>
      <c r="Q455" s="9" t="s">
        <v>11851</v>
      </c>
      <c r="R455" s="9"/>
      <c r="S455" s="9" t="str">
        <f>HYPERLINK("https://seichotoushi-hojo.jp/assets/pdf/koufu/outline_52.pdf","PDFを開く")</f>
        <v>PDFを開く</v>
      </c>
      <c r="T455" s="9" t="s">
        <v>1034</v>
      </c>
      <c r="U455" s="9" t="s">
        <v>1035</v>
      </c>
    </row>
    <row r="456" spans="1:21" ht="39.950000000000003" customHeight="1">
      <c r="A456" s="2" t="s">
        <v>1028</v>
      </c>
      <c r="B456" s="2" t="s">
        <v>73</v>
      </c>
      <c r="C456" s="8" t="s">
        <v>1029</v>
      </c>
      <c r="D456" s="8" t="s">
        <v>3191</v>
      </c>
      <c r="E456" s="8" t="s">
        <v>92</v>
      </c>
      <c r="F456" s="2">
        <v>2027</v>
      </c>
      <c r="G456" s="2">
        <v>60</v>
      </c>
      <c r="H456" s="2">
        <v>2030</v>
      </c>
      <c r="I456" s="2">
        <v>73</v>
      </c>
      <c r="J456" s="2" t="s">
        <v>2513</v>
      </c>
      <c r="K456" s="2"/>
      <c r="L456" s="2"/>
      <c r="M456" s="2"/>
      <c r="N456" s="8" t="s">
        <v>11846</v>
      </c>
      <c r="O456" s="8" t="s">
        <v>11847</v>
      </c>
      <c r="P456" s="2">
        <v>2</v>
      </c>
      <c r="Q456" s="8"/>
      <c r="R456" s="8" t="s">
        <v>4507</v>
      </c>
      <c r="S456" s="8" t="str">
        <f>HYPERLINK("https://seichotoushi-hojo.jp/assets/pdf/koufu/outline_52.pdf","PDFを開く")</f>
        <v>PDFを開く</v>
      </c>
      <c r="T456" s="8" t="s">
        <v>1034</v>
      </c>
      <c r="U456" s="8" t="s">
        <v>1035</v>
      </c>
    </row>
    <row r="457" spans="1:21" ht="39.950000000000003" customHeight="1">
      <c r="A457" s="5" t="s">
        <v>1036</v>
      </c>
      <c r="B457" s="5" t="s">
        <v>73</v>
      </c>
      <c r="C457" s="9" t="s">
        <v>1037</v>
      </c>
      <c r="D457" s="9" t="s">
        <v>3176</v>
      </c>
      <c r="E457" s="9" t="s">
        <v>90</v>
      </c>
      <c r="F457" s="5">
        <v>2026</v>
      </c>
      <c r="G457" s="5">
        <v>425.5</v>
      </c>
      <c r="H457" s="5">
        <v>2029</v>
      </c>
      <c r="I457" s="5">
        <v>618.6</v>
      </c>
      <c r="J457" s="5" t="s">
        <v>86</v>
      </c>
      <c r="K457" s="5">
        <v>13.29</v>
      </c>
      <c r="L457" s="5">
        <v>13.2844</v>
      </c>
      <c r="M457" s="5">
        <v>5.5999999999999999E-3</v>
      </c>
      <c r="N457" s="9" t="s">
        <v>11846</v>
      </c>
      <c r="O457" s="9" t="s">
        <v>11847</v>
      </c>
      <c r="P457" s="5">
        <v>2</v>
      </c>
      <c r="Q457" s="9"/>
      <c r="R457" s="9" t="s">
        <v>4510</v>
      </c>
      <c r="S457" s="9" t="str">
        <f>HYPERLINK("https://seichotoushi-hojo.jp/assets/pdf/koufu/outline_53.pdf","PDFを開く")</f>
        <v>PDFを開く</v>
      </c>
      <c r="T457" s="9" t="s">
        <v>1042</v>
      </c>
      <c r="U457" s="9" t="s">
        <v>1043</v>
      </c>
    </row>
    <row r="458" spans="1:21" ht="39.950000000000003" customHeight="1">
      <c r="A458" s="2" t="s">
        <v>1036</v>
      </c>
      <c r="B458" s="2" t="s">
        <v>73</v>
      </c>
      <c r="C458" s="8" t="s">
        <v>1037</v>
      </c>
      <c r="D458" s="8" t="s">
        <v>3184</v>
      </c>
      <c r="E458" s="8" t="s">
        <v>90</v>
      </c>
      <c r="F458" s="2">
        <v>2026</v>
      </c>
      <c r="G458" s="2">
        <v>343.3</v>
      </c>
      <c r="H458" s="2">
        <v>2029</v>
      </c>
      <c r="I458" s="2">
        <v>409.3</v>
      </c>
      <c r="J458" s="2" t="s">
        <v>86</v>
      </c>
      <c r="K458" s="2">
        <v>6.04</v>
      </c>
      <c r="L458" s="2">
        <v>6.0366</v>
      </c>
      <c r="M458" s="2">
        <v>3.3999999999999998E-3</v>
      </c>
      <c r="N458" s="8" t="s">
        <v>11846</v>
      </c>
      <c r="O458" s="8" t="s">
        <v>11847</v>
      </c>
      <c r="P458" s="2">
        <v>2</v>
      </c>
      <c r="Q458" s="8"/>
      <c r="R458" s="8" t="s">
        <v>4513</v>
      </c>
      <c r="S458" s="8" t="str">
        <f>HYPERLINK("https://seichotoushi-hojo.jp/assets/pdf/koufu/outline_53.pdf","PDFを開く")</f>
        <v>PDFを開く</v>
      </c>
      <c r="T458" s="8" t="s">
        <v>1042</v>
      </c>
      <c r="U458" s="8" t="s">
        <v>1043</v>
      </c>
    </row>
    <row r="459" spans="1:21" ht="39.950000000000003" customHeight="1">
      <c r="A459" s="5" t="s">
        <v>1036</v>
      </c>
      <c r="B459" s="5" t="s">
        <v>73</v>
      </c>
      <c r="C459" s="9" t="s">
        <v>1037</v>
      </c>
      <c r="D459" s="9" t="s">
        <v>3188</v>
      </c>
      <c r="E459" s="9" t="s">
        <v>156</v>
      </c>
      <c r="F459" s="5"/>
      <c r="G459" s="5"/>
      <c r="H459" s="5"/>
      <c r="I459" s="5"/>
      <c r="J459" s="5"/>
      <c r="K459" s="5"/>
      <c r="L459" s="5"/>
      <c r="M459" s="5"/>
      <c r="N459" s="9" t="s">
        <v>11850</v>
      </c>
      <c r="O459" s="9"/>
      <c r="P459" s="5"/>
      <c r="Q459" s="9" t="s">
        <v>11851</v>
      </c>
      <c r="R459" s="9"/>
      <c r="S459" s="9" t="str">
        <f>HYPERLINK("https://seichotoushi-hojo.jp/assets/pdf/koufu/outline_53.pdf","PDFを開く")</f>
        <v>PDFを開く</v>
      </c>
      <c r="T459" s="9" t="s">
        <v>1042</v>
      </c>
      <c r="U459" s="9" t="s">
        <v>1043</v>
      </c>
    </row>
    <row r="460" spans="1:21" ht="39.950000000000003" customHeight="1">
      <c r="A460" s="2" t="s">
        <v>1036</v>
      </c>
      <c r="B460" s="2" t="s">
        <v>73</v>
      </c>
      <c r="C460" s="8" t="s">
        <v>1037</v>
      </c>
      <c r="D460" s="8" t="s">
        <v>3191</v>
      </c>
      <c r="E460" s="8" t="s">
        <v>92</v>
      </c>
      <c r="F460" s="2">
        <v>2026</v>
      </c>
      <c r="G460" s="2">
        <v>197</v>
      </c>
      <c r="H460" s="2">
        <v>2029</v>
      </c>
      <c r="I460" s="2">
        <v>189</v>
      </c>
      <c r="J460" s="2" t="s">
        <v>2513</v>
      </c>
      <c r="K460" s="2"/>
      <c r="L460" s="2"/>
      <c r="M460" s="2"/>
      <c r="N460" s="8" t="s">
        <v>11846</v>
      </c>
      <c r="O460" s="8" t="s">
        <v>11847</v>
      </c>
      <c r="P460" s="2">
        <v>2</v>
      </c>
      <c r="Q460" s="8"/>
      <c r="R460" s="8" t="s">
        <v>4516</v>
      </c>
      <c r="S460" s="8" t="str">
        <f>HYPERLINK("https://seichotoushi-hojo.jp/assets/pdf/koufu/outline_53.pdf","PDFを開く")</f>
        <v>PDFを開く</v>
      </c>
      <c r="T460" s="8" t="s">
        <v>1042</v>
      </c>
      <c r="U460" s="8" t="s">
        <v>1043</v>
      </c>
    </row>
    <row r="461" spans="1:21" ht="39.950000000000003" customHeight="1">
      <c r="A461" s="5" t="s">
        <v>1044</v>
      </c>
      <c r="B461" s="5" t="s">
        <v>73</v>
      </c>
      <c r="C461" s="9" t="s">
        <v>1045</v>
      </c>
      <c r="D461" s="9" t="s">
        <v>3176</v>
      </c>
      <c r="E461" s="9" t="s">
        <v>90</v>
      </c>
      <c r="F461" s="5">
        <v>2025</v>
      </c>
      <c r="G461" s="5">
        <v>5326</v>
      </c>
      <c r="H461" s="5">
        <v>2028</v>
      </c>
      <c r="I461" s="5">
        <v>10537</v>
      </c>
      <c r="J461" s="5" t="s">
        <v>86</v>
      </c>
      <c r="K461" s="5">
        <v>25.5</v>
      </c>
      <c r="L461" s="5">
        <v>25.537099999999999</v>
      </c>
      <c r="M461" s="5">
        <v>3.7100000000000001E-2</v>
      </c>
      <c r="N461" s="9" t="s">
        <v>11846</v>
      </c>
      <c r="O461" s="9"/>
      <c r="P461" s="5">
        <v>2</v>
      </c>
      <c r="Q461" s="9"/>
      <c r="R461" s="9" t="s">
        <v>4520</v>
      </c>
      <c r="S461" s="9" t="str">
        <f>HYPERLINK("https://seichotoushi-hojo.jp/assets/pdf/koufu/outline_55.pdf","PDFを開く")</f>
        <v>PDFを開く</v>
      </c>
      <c r="T461" s="9" t="s">
        <v>1052</v>
      </c>
      <c r="U461" s="9" t="s">
        <v>1053</v>
      </c>
    </row>
    <row r="462" spans="1:21" ht="39.950000000000003" customHeight="1">
      <c r="A462" s="2" t="s">
        <v>1044</v>
      </c>
      <c r="B462" s="2" t="s">
        <v>73</v>
      </c>
      <c r="C462" s="8" t="s">
        <v>1045</v>
      </c>
      <c r="D462" s="8" t="s">
        <v>3184</v>
      </c>
      <c r="E462" s="8" t="s">
        <v>90</v>
      </c>
      <c r="F462" s="2">
        <v>2025</v>
      </c>
      <c r="G462" s="2">
        <v>597</v>
      </c>
      <c r="H462" s="2">
        <v>2028</v>
      </c>
      <c r="I462" s="2">
        <v>653</v>
      </c>
      <c r="J462" s="2" t="s">
        <v>86</v>
      </c>
      <c r="K462" s="2">
        <v>3</v>
      </c>
      <c r="L462" s="2">
        <v>3.0337999999999998</v>
      </c>
      <c r="M462" s="2">
        <v>3.3799999999999997E-2</v>
      </c>
      <c r="N462" s="8" t="s">
        <v>11846</v>
      </c>
      <c r="O462" s="8" t="s">
        <v>11852</v>
      </c>
      <c r="P462" s="2">
        <v>2</v>
      </c>
      <c r="Q462" s="8"/>
      <c r="R462" s="8" t="s">
        <v>4522</v>
      </c>
      <c r="S462" s="8" t="str">
        <f>HYPERLINK("https://seichotoushi-hojo.jp/assets/pdf/koufu/outline_55.pdf","PDFを開く")</f>
        <v>PDFを開く</v>
      </c>
      <c r="T462" s="8" t="s">
        <v>1052</v>
      </c>
      <c r="U462" s="8" t="s">
        <v>1053</v>
      </c>
    </row>
    <row r="463" spans="1:21" ht="39.950000000000003" customHeight="1">
      <c r="A463" s="5" t="s">
        <v>1044</v>
      </c>
      <c r="B463" s="5" t="s">
        <v>73</v>
      </c>
      <c r="C463" s="9" t="s">
        <v>1045</v>
      </c>
      <c r="D463" s="9" t="s">
        <v>3188</v>
      </c>
      <c r="E463" s="9" t="s">
        <v>157</v>
      </c>
      <c r="F463" s="5"/>
      <c r="G463" s="5"/>
      <c r="H463" s="5"/>
      <c r="I463" s="5"/>
      <c r="J463" s="5"/>
      <c r="K463" s="5"/>
      <c r="L463" s="5"/>
      <c r="M463" s="5"/>
      <c r="N463" s="9" t="s">
        <v>11850</v>
      </c>
      <c r="O463" s="9"/>
      <c r="P463" s="5"/>
      <c r="Q463" s="9" t="s">
        <v>11851</v>
      </c>
      <c r="R463" s="9"/>
      <c r="S463" s="9" t="str">
        <f>HYPERLINK("https://seichotoushi-hojo.jp/assets/pdf/koufu/outline_55.pdf","PDFを開く")</f>
        <v>PDFを開く</v>
      </c>
      <c r="T463" s="9" t="s">
        <v>1052</v>
      </c>
      <c r="U463" s="9" t="s">
        <v>1053</v>
      </c>
    </row>
    <row r="464" spans="1:21" ht="39.950000000000003" customHeight="1">
      <c r="A464" s="2" t="s">
        <v>1044</v>
      </c>
      <c r="B464" s="2" t="s">
        <v>73</v>
      </c>
      <c r="C464" s="8" t="s">
        <v>1045</v>
      </c>
      <c r="D464" s="8" t="s">
        <v>3191</v>
      </c>
      <c r="E464" s="8" t="s">
        <v>157</v>
      </c>
      <c r="F464" s="2"/>
      <c r="G464" s="2"/>
      <c r="H464" s="2"/>
      <c r="I464" s="2"/>
      <c r="J464" s="2"/>
      <c r="K464" s="2"/>
      <c r="L464" s="2"/>
      <c r="M464" s="2"/>
      <c r="N464" s="8" t="s">
        <v>11850</v>
      </c>
      <c r="O464" s="8"/>
      <c r="P464" s="2"/>
      <c r="Q464" s="8" t="s">
        <v>11851</v>
      </c>
      <c r="R464" s="8"/>
      <c r="S464" s="8" t="str">
        <f>HYPERLINK("https://seichotoushi-hojo.jp/assets/pdf/koufu/outline_55.pdf","PDFを開く")</f>
        <v>PDFを開く</v>
      </c>
      <c r="T464" s="8" t="s">
        <v>1052</v>
      </c>
      <c r="U464" s="8" t="s">
        <v>1053</v>
      </c>
    </row>
    <row r="465" spans="1:21" ht="39.950000000000003" customHeight="1">
      <c r="A465" s="5" t="s">
        <v>1054</v>
      </c>
      <c r="B465" s="5" t="s">
        <v>73</v>
      </c>
      <c r="C465" s="9" t="s">
        <v>1055</v>
      </c>
      <c r="D465" s="9" t="s">
        <v>3176</v>
      </c>
      <c r="E465" s="22" t="s">
        <v>113</v>
      </c>
      <c r="F465" s="5">
        <v>2025</v>
      </c>
      <c r="G465" s="5">
        <v>692</v>
      </c>
      <c r="H465" s="5">
        <v>2028</v>
      </c>
      <c r="I465" s="5">
        <v>1173</v>
      </c>
      <c r="J465" s="5" t="s">
        <v>86</v>
      </c>
      <c r="K465" s="5">
        <v>21.6</v>
      </c>
      <c r="L465" s="5">
        <v>19.2332</v>
      </c>
      <c r="M465" s="5">
        <v>2.3668</v>
      </c>
      <c r="N465" s="9" t="s">
        <v>11846</v>
      </c>
      <c r="O465" s="9" t="s">
        <v>292</v>
      </c>
      <c r="P465" s="5">
        <v>2</v>
      </c>
      <c r="Q465" s="9" t="s">
        <v>11849</v>
      </c>
      <c r="R465" s="9" t="s">
        <v>4532</v>
      </c>
      <c r="S465" s="9" t="str">
        <f>HYPERLINK("https://seichotoushi-hojo.jp/assets/pdf/koufu/outline_56.pdf","PDFを開く")</f>
        <v>PDFを開く</v>
      </c>
      <c r="T465" s="9" t="s">
        <v>1061</v>
      </c>
      <c r="U465" s="9" t="s">
        <v>1062</v>
      </c>
    </row>
    <row r="466" spans="1:21" ht="39.950000000000003" customHeight="1">
      <c r="A466" s="2" t="s">
        <v>1054</v>
      </c>
      <c r="B466" s="2" t="s">
        <v>73</v>
      </c>
      <c r="C466" s="8" t="s">
        <v>1055</v>
      </c>
      <c r="D466" s="8" t="s">
        <v>3184</v>
      </c>
      <c r="E466" s="8" t="s">
        <v>90</v>
      </c>
      <c r="F466" s="2">
        <v>2025</v>
      </c>
      <c r="G466" s="2">
        <v>384</v>
      </c>
      <c r="H466" s="2">
        <v>2028</v>
      </c>
      <c r="I466" s="2">
        <v>425</v>
      </c>
      <c r="J466" s="2" t="s">
        <v>86</v>
      </c>
      <c r="K466" s="2">
        <v>3.4</v>
      </c>
      <c r="L466" s="2">
        <v>3.4394</v>
      </c>
      <c r="M466" s="2">
        <v>3.9399999999999998E-2</v>
      </c>
      <c r="N466" s="8" t="s">
        <v>11846</v>
      </c>
      <c r="O466" s="8" t="s">
        <v>11847</v>
      </c>
      <c r="P466" s="2">
        <v>3</v>
      </c>
      <c r="Q466" s="8"/>
      <c r="R466" s="8" t="s">
        <v>4526</v>
      </c>
      <c r="S466" s="8" t="str">
        <f>HYPERLINK("https://seichotoushi-hojo.jp/assets/pdf/koufu/outline_56.pdf","PDFを開く")</f>
        <v>PDFを開く</v>
      </c>
      <c r="T466" s="8" t="s">
        <v>1061</v>
      </c>
      <c r="U466" s="8" t="s">
        <v>1062</v>
      </c>
    </row>
    <row r="467" spans="1:21" ht="39.950000000000003" customHeight="1">
      <c r="A467" s="5" t="s">
        <v>1054</v>
      </c>
      <c r="B467" s="5" t="s">
        <v>73</v>
      </c>
      <c r="C467" s="9" t="s">
        <v>1055</v>
      </c>
      <c r="D467" s="9" t="s">
        <v>3188</v>
      </c>
      <c r="E467" s="9" t="s">
        <v>92</v>
      </c>
      <c r="F467" s="5">
        <v>2025</v>
      </c>
      <c r="G467" s="5">
        <v>0</v>
      </c>
      <c r="H467" s="5">
        <v>2028</v>
      </c>
      <c r="I467" s="5">
        <v>0</v>
      </c>
      <c r="J467" s="5" t="s">
        <v>86</v>
      </c>
      <c r="K467" s="5">
        <v>0</v>
      </c>
      <c r="L467" s="5"/>
      <c r="M467" s="5"/>
      <c r="N467" s="9" t="s">
        <v>11846</v>
      </c>
      <c r="O467" s="9" t="s">
        <v>11847</v>
      </c>
      <c r="P467" s="5">
        <v>3</v>
      </c>
      <c r="Q467" s="9"/>
      <c r="R467" s="9" t="s">
        <v>3268</v>
      </c>
      <c r="S467" s="9" t="str">
        <f>HYPERLINK("https://seichotoushi-hojo.jp/assets/pdf/koufu/outline_56.pdf","PDFを開く")</f>
        <v>PDFを開く</v>
      </c>
      <c r="T467" s="9" t="s">
        <v>1061</v>
      </c>
      <c r="U467" s="9" t="s">
        <v>1062</v>
      </c>
    </row>
    <row r="468" spans="1:21" ht="39.950000000000003" customHeight="1">
      <c r="A468" s="2" t="s">
        <v>1054</v>
      </c>
      <c r="B468" s="2" t="s">
        <v>73</v>
      </c>
      <c r="C468" s="8" t="s">
        <v>1055</v>
      </c>
      <c r="D468" s="8" t="s">
        <v>3191</v>
      </c>
      <c r="E468" s="8" t="s">
        <v>92</v>
      </c>
      <c r="F468" s="2">
        <v>2025</v>
      </c>
      <c r="G468" s="2">
        <v>12</v>
      </c>
      <c r="H468" s="2">
        <v>2028</v>
      </c>
      <c r="I468" s="2">
        <v>71</v>
      </c>
      <c r="J468" s="2" t="s">
        <v>2513</v>
      </c>
      <c r="K468" s="2"/>
      <c r="L468" s="2"/>
      <c r="M468" s="2"/>
      <c r="N468" s="8" t="s">
        <v>11846</v>
      </c>
      <c r="O468" s="8" t="s">
        <v>11847</v>
      </c>
      <c r="P468" s="2">
        <v>3</v>
      </c>
      <c r="Q468" s="8"/>
      <c r="R468" s="8" t="s">
        <v>4528</v>
      </c>
      <c r="S468" s="8" t="str">
        <f>HYPERLINK("https://seichotoushi-hojo.jp/assets/pdf/koufu/outline_56.pdf","PDFを開く")</f>
        <v>PDFを開く</v>
      </c>
      <c r="T468" s="8" t="s">
        <v>1061</v>
      </c>
      <c r="U468" s="8" t="s">
        <v>1062</v>
      </c>
    </row>
    <row r="469" spans="1:21" ht="39.950000000000003" customHeight="1">
      <c r="A469" s="5" t="s">
        <v>1063</v>
      </c>
      <c r="B469" s="5" t="s">
        <v>73</v>
      </c>
      <c r="C469" s="9" t="s">
        <v>1064</v>
      </c>
      <c r="D469" s="9" t="s">
        <v>3176</v>
      </c>
      <c r="E469" s="9" t="s">
        <v>90</v>
      </c>
      <c r="F469" s="5">
        <v>2024</v>
      </c>
      <c r="G469" s="5">
        <v>993</v>
      </c>
      <c r="H469" s="5">
        <v>2027</v>
      </c>
      <c r="I469" s="5">
        <v>1275</v>
      </c>
      <c r="J469" s="5" t="s">
        <v>86</v>
      </c>
      <c r="K469" s="5">
        <v>8.6999999999999993</v>
      </c>
      <c r="L469" s="5">
        <v>8.6892999999999994</v>
      </c>
      <c r="M469" s="5">
        <v>1.0699999999999999E-2</v>
      </c>
      <c r="N469" s="9" t="s">
        <v>11846</v>
      </c>
      <c r="O469" s="9"/>
      <c r="P469" s="5">
        <v>2</v>
      </c>
      <c r="Q469" s="9"/>
      <c r="R469" s="9" t="s">
        <v>4537</v>
      </c>
      <c r="S469" s="9" t="str">
        <f>HYPERLINK("https://seichotoushi-hojo.jp/assets/pdf/koufu/outline_58.pdf","PDFを開く")</f>
        <v>PDFを開く</v>
      </c>
      <c r="T469" s="9" t="s">
        <v>1069</v>
      </c>
      <c r="U469" s="9" t="s">
        <v>1070</v>
      </c>
    </row>
    <row r="470" spans="1:21" ht="39.950000000000003" customHeight="1">
      <c r="A470" s="2" t="s">
        <v>1063</v>
      </c>
      <c r="B470" s="2" t="s">
        <v>73</v>
      </c>
      <c r="C470" s="8" t="s">
        <v>1064</v>
      </c>
      <c r="D470" s="8" t="s">
        <v>3184</v>
      </c>
      <c r="E470" s="8" t="s">
        <v>90</v>
      </c>
      <c r="F470" s="2">
        <v>2024</v>
      </c>
      <c r="G470" s="2">
        <v>457</v>
      </c>
      <c r="H470" s="2">
        <v>2027</v>
      </c>
      <c r="I470" s="2">
        <v>508</v>
      </c>
      <c r="J470" s="2" t="s">
        <v>86</v>
      </c>
      <c r="K470" s="2">
        <v>3.6</v>
      </c>
      <c r="L470" s="2">
        <v>3.5895000000000001</v>
      </c>
      <c r="M470" s="2">
        <v>1.0500000000000001E-2</v>
      </c>
      <c r="N470" s="8" t="s">
        <v>11846</v>
      </c>
      <c r="O470" s="8"/>
      <c r="P470" s="2">
        <v>2</v>
      </c>
      <c r="Q470" s="8"/>
      <c r="R470" s="8" t="s">
        <v>4540</v>
      </c>
      <c r="S470" s="8" t="str">
        <f>HYPERLINK("https://seichotoushi-hojo.jp/assets/pdf/koufu/outline_58.pdf","PDFを開く")</f>
        <v>PDFを開く</v>
      </c>
      <c r="T470" s="8" t="s">
        <v>1069</v>
      </c>
      <c r="U470" s="8" t="s">
        <v>1070</v>
      </c>
    </row>
    <row r="471" spans="1:21" ht="39.950000000000003" customHeight="1">
      <c r="A471" s="5" t="s">
        <v>1063</v>
      </c>
      <c r="B471" s="5" t="s">
        <v>73</v>
      </c>
      <c r="C471" s="9" t="s">
        <v>1064</v>
      </c>
      <c r="D471" s="9" t="s">
        <v>3188</v>
      </c>
      <c r="E471" s="9" t="s">
        <v>156</v>
      </c>
      <c r="F471" s="5"/>
      <c r="G471" s="5"/>
      <c r="H471" s="5"/>
      <c r="I471" s="5"/>
      <c r="J471" s="5"/>
      <c r="K471" s="5"/>
      <c r="L471" s="5"/>
      <c r="M471" s="5"/>
      <c r="N471" s="9" t="s">
        <v>11850</v>
      </c>
      <c r="O471" s="9"/>
      <c r="P471" s="5"/>
      <c r="Q471" s="9" t="s">
        <v>11851</v>
      </c>
      <c r="R471" s="9"/>
      <c r="S471" s="9" t="str">
        <f>HYPERLINK("https://seichotoushi-hojo.jp/assets/pdf/koufu/outline_58.pdf","PDFを開く")</f>
        <v>PDFを開く</v>
      </c>
      <c r="T471" s="9" t="s">
        <v>1069</v>
      </c>
      <c r="U471" s="9" t="s">
        <v>1070</v>
      </c>
    </row>
    <row r="472" spans="1:21" ht="39.950000000000003" customHeight="1">
      <c r="A472" s="2" t="s">
        <v>1063</v>
      </c>
      <c r="B472" s="2" t="s">
        <v>73</v>
      </c>
      <c r="C472" s="8" t="s">
        <v>1064</v>
      </c>
      <c r="D472" s="8" t="s">
        <v>3191</v>
      </c>
      <c r="E472" s="8" t="s">
        <v>92</v>
      </c>
      <c r="F472" s="2">
        <v>2024</v>
      </c>
      <c r="G472" s="2">
        <v>32</v>
      </c>
      <c r="H472" s="2">
        <v>2027</v>
      </c>
      <c r="I472" s="2">
        <v>110</v>
      </c>
      <c r="J472" s="2" t="s">
        <v>2513</v>
      </c>
      <c r="K472" s="2"/>
      <c r="L472" s="2"/>
      <c r="M472" s="2"/>
      <c r="N472" s="8" t="s">
        <v>11846</v>
      </c>
      <c r="O472" s="8"/>
      <c r="P472" s="2">
        <v>2</v>
      </c>
      <c r="Q472" s="8"/>
      <c r="R472" s="8" t="s">
        <v>4542</v>
      </c>
      <c r="S472" s="8" t="str">
        <f>HYPERLINK("https://seichotoushi-hojo.jp/assets/pdf/koufu/outline_58.pdf","PDFを開く")</f>
        <v>PDFを開く</v>
      </c>
      <c r="T472" s="8" t="s">
        <v>1069</v>
      </c>
      <c r="U472" s="8" t="s">
        <v>1070</v>
      </c>
    </row>
    <row r="473" spans="1:21" ht="39.950000000000003" customHeight="1">
      <c r="A473" s="5" t="s">
        <v>1071</v>
      </c>
      <c r="B473" s="5" t="s">
        <v>73</v>
      </c>
      <c r="C473" s="9" t="s">
        <v>1072</v>
      </c>
      <c r="D473" s="9" t="s">
        <v>3176</v>
      </c>
      <c r="E473" s="9" t="s">
        <v>166</v>
      </c>
      <c r="F473" s="5">
        <v>2026</v>
      </c>
      <c r="G473" s="5">
        <v>1573</v>
      </c>
      <c r="H473" s="5">
        <v>2029</v>
      </c>
      <c r="I473" s="5">
        <v>1748</v>
      </c>
      <c r="J473" s="5" t="s">
        <v>86</v>
      </c>
      <c r="K473" s="5">
        <v>3.6</v>
      </c>
      <c r="L473" s="5">
        <v>3.5788000000000002</v>
      </c>
      <c r="M473" s="5">
        <v>2.12E-2</v>
      </c>
      <c r="N473" s="9" t="s">
        <v>11846</v>
      </c>
      <c r="O473" s="9" t="s">
        <v>292</v>
      </c>
      <c r="P473" s="5">
        <v>2</v>
      </c>
      <c r="Q473" s="9"/>
      <c r="R473" s="9" t="s">
        <v>4544</v>
      </c>
      <c r="S473" s="9" t="str">
        <f>HYPERLINK("https://seichotoushi-hojo.jp/assets/pdf/koufu/outline_61.pdf","PDFを開く")</f>
        <v>PDFを開く</v>
      </c>
      <c r="T473" s="9" t="s">
        <v>1078</v>
      </c>
      <c r="U473" s="9" t="s">
        <v>1079</v>
      </c>
    </row>
    <row r="474" spans="1:21" ht="39.950000000000003" customHeight="1">
      <c r="A474" s="2" t="s">
        <v>1071</v>
      </c>
      <c r="B474" s="2" t="s">
        <v>73</v>
      </c>
      <c r="C474" s="8" t="s">
        <v>1072</v>
      </c>
      <c r="D474" s="8" t="s">
        <v>3184</v>
      </c>
      <c r="E474" s="8" t="s">
        <v>166</v>
      </c>
      <c r="F474" s="2">
        <v>2026</v>
      </c>
      <c r="G474" s="2">
        <v>541</v>
      </c>
      <c r="H474" s="2">
        <v>2029</v>
      </c>
      <c r="I474" s="2">
        <v>591</v>
      </c>
      <c r="J474" s="2" t="s">
        <v>86</v>
      </c>
      <c r="K474" s="2">
        <v>3</v>
      </c>
      <c r="L474" s="2">
        <v>2.9904000000000002</v>
      </c>
      <c r="M474" s="2">
        <v>9.5999999999999992E-3</v>
      </c>
      <c r="N474" s="8" t="s">
        <v>11846</v>
      </c>
      <c r="O474" s="8" t="s">
        <v>292</v>
      </c>
      <c r="P474" s="2">
        <v>2</v>
      </c>
      <c r="Q474" s="8"/>
      <c r="R474" s="8" t="s">
        <v>4546</v>
      </c>
      <c r="S474" s="8" t="str">
        <f>HYPERLINK("https://seichotoushi-hojo.jp/assets/pdf/koufu/outline_61.pdf","PDFを開く")</f>
        <v>PDFを開く</v>
      </c>
      <c r="T474" s="8" t="s">
        <v>1078</v>
      </c>
      <c r="U474" s="8" t="s">
        <v>1079</v>
      </c>
    </row>
    <row r="475" spans="1:21" ht="39.950000000000003" customHeight="1">
      <c r="A475" s="5" t="s">
        <v>1071</v>
      </c>
      <c r="B475" s="5" t="s">
        <v>73</v>
      </c>
      <c r="C475" s="9" t="s">
        <v>1072</v>
      </c>
      <c r="D475" s="9" t="s">
        <v>3188</v>
      </c>
      <c r="E475" s="9" t="s">
        <v>157</v>
      </c>
      <c r="F475" s="5"/>
      <c r="G475" s="5"/>
      <c r="H475" s="5"/>
      <c r="I475" s="5"/>
      <c r="J475" s="5"/>
      <c r="K475" s="5"/>
      <c r="L475" s="5"/>
      <c r="M475" s="5"/>
      <c r="N475" s="9" t="s">
        <v>11850</v>
      </c>
      <c r="O475" s="9"/>
      <c r="P475" s="5"/>
      <c r="Q475" s="9" t="s">
        <v>11851</v>
      </c>
      <c r="R475" s="9"/>
      <c r="S475" s="9" t="str">
        <f>HYPERLINK("https://seichotoushi-hojo.jp/assets/pdf/koufu/outline_61.pdf","PDFを開く")</f>
        <v>PDFを開く</v>
      </c>
      <c r="T475" s="9" t="s">
        <v>1078</v>
      </c>
      <c r="U475" s="9" t="s">
        <v>1079</v>
      </c>
    </row>
    <row r="476" spans="1:21" ht="39.950000000000003" customHeight="1">
      <c r="A476" s="2" t="s">
        <v>1071</v>
      </c>
      <c r="B476" s="2" t="s">
        <v>73</v>
      </c>
      <c r="C476" s="8" t="s">
        <v>1072</v>
      </c>
      <c r="D476" s="8" t="s">
        <v>3191</v>
      </c>
      <c r="E476" s="8" t="s">
        <v>166</v>
      </c>
      <c r="F476" s="2">
        <v>2026</v>
      </c>
      <c r="G476" s="2">
        <v>311</v>
      </c>
      <c r="H476" s="2">
        <v>2029</v>
      </c>
      <c r="I476" s="2">
        <v>519</v>
      </c>
      <c r="J476" s="2" t="s">
        <v>2513</v>
      </c>
      <c r="K476" s="2"/>
      <c r="L476" s="2"/>
      <c r="M476" s="2"/>
      <c r="N476" s="8" t="s">
        <v>11846</v>
      </c>
      <c r="O476" s="8" t="s">
        <v>292</v>
      </c>
      <c r="P476" s="2">
        <v>2</v>
      </c>
      <c r="Q476" s="8"/>
      <c r="R476" s="8" t="s">
        <v>4549</v>
      </c>
      <c r="S476" s="8" t="str">
        <f>HYPERLINK("https://seichotoushi-hojo.jp/assets/pdf/koufu/outline_61.pdf","PDFを開く")</f>
        <v>PDFを開く</v>
      </c>
      <c r="T476" s="8" t="s">
        <v>1078</v>
      </c>
      <c r="U476" s="8" t="s">
        <v>1079</v>
      </c>
    </row>
    <row r="477" spans="1:21" ht="39.950000000000003" customHeight="1">
      <c r="A477" s="5" t="s">
        <v>1080</v>
      </c>
      <c r="B477" s="5" t="s">
        <v>73</v>
      </c>
      <c r="C477" s="9" t="s">
        <v>1081</v>
      </c>
      <c r="D477" s="9" t="s">
        <v>3176</v>
      </c>
      <c r="E477" s="9" t="s">
        <v>90</v>
      </c>
      <c r="F477" s="5">
        <v>2027</v>
      </c>
      <c r="G477" s="5">
        <v>3795</v>
      </c>
      <c r="H477" s="5">
        <v>2030</v>
      </c>
      <c r="I477" s="5">
        <v>4336</v>
      </c>
      <c r="J477" s="5" t="s">
        <v>86</v>
      </c>
      <c r="K477" s="5">
        <v>4.5</v>
      </c>
      <c r="L477" s="5">
        <v>4.5423999999999998</v>
      </c>
      <c r="M477" s="5">
        <v>4.24E-2</v>
      </c>
      <c r="N477" s="9" t="s">
        <v>11846</v>
      </c>
      <c r="O477" s="9" t="s">
        <v>11847</v>
      </c>
      <c r="P477" s="5">
        <v>2</v>
      </c>
      <c r="Q477" s="9"/>
      <c r="R477" s="9" t="s">
        <v>4557</v>
      </c>
      <c r="S477" s="9" t="str">
        <f>HYPERLINK("https://seichotoushi-hojo.jp/assets/pdf/koufu/outline_62.pdf","PDFを開く")</f>
        <v>PDFを開く</v>
      </c>
      <c r="T477" s="9" t="s">
        <v>1086</v>
      </c>
      <c r="U477" s="9" t="s">
        <v>1087</v>
      </c>
    </row>
    <row r="478" spans="1:21" ht="39.950000000000003" customHeight="1">
      <c r="A478" s="2" t="s">
        <v>1080</v>
      </c>
      <c r="B478" s="2" t="s">
        <v>73</v>
      </c>
      <c r="C478" s="8" t="s">
        <v>1081</v>
      </c>
      <c r="D478" s="8" t="s">
        <v>3184</v>
      </c>
      <c r="E478" s="8" t="s">
        <v>90</v>
      </c>
      <c r="F478" s="2">
        <v>2027</v>
      </c>
      <c r="G478" s="2">
        <v>481</v>
      </c>
      <c r="H478" s="2">
        <v>2030</v>
      </c>
      <c r="I478" s="2">
        <v>528</v>
      </c>
      <c r="J478" s="2" t="s">
        <v>86</v>
      </c>
      <c r="K478" s="2">
        <v>3.1</v>
      </c>
      <c r="L478" s="2">
        <v>3.1564000000000001</v>
      </c>
      <c r="M478" s="2">
        <v>5.6399999999999999E-2</v>
      </c>
      <c r="N478" s="8" t="s">
        <v>11846</v>
      </c>
      <c r="O478" s="8" t="s">
        <v>11847</v>
      </c>
      <c r="P478" s="2">
        <v>2</v>
      </c>
      <c r="Q478" s="8"/>
      <c r="R478" s="8" t="s">
        <v>4560</v>
      </c>
      <c r="S478" s="8" t="str">
        <f>HYPERLINK("https://seichotoushi-hojo.jp/assets/pdf/koufu/outline_62.pdf","PDFを開く")</f>
        <v>PDFを開く</v>
      </c>
      <c r="T478" s="8" t="s">
        <v>1086</v>
      </c>
      <c r="U478" s="8" t="s">
        <v>1087</v>
      </c>
    </row>
    <row r="479" spans="1:21" ht="39.950000000000003" customHeight="1">
      <c r="A479" s="5" t="s">
        <v>1080</v>
      </c>
      <c r="B479" s="5" t="s">
        <v>73</v>
      </c>
      <c r="C479" s="9" t="s">
        <v>1081</v>
      </c>
      <c r="D479" s="9" t="s">
        <v>3188</v>
      </c>
      <c r="E479" s="9" t="s">
        <v>91</v>
      </c>
      <c r="F479" s="5">
        <v>2027</v>
      </c>
      <c r="G479" s="5"/>
      <c r="H479" s="5">
        <v>2030</v>
      </c>
      <c r="I479" s="5"/>
      <c r="J479" s="5" t="s">
        <v>86</v>
      </c>
      <c r="K479" s="5">
        <v>3.1</v>
      </c>
      <c r="L479" s="5"/>
      <c r="M479" s="5"/>
      <c r="N479" s="9" t="s">
        <v>11846</v>
      </c>
      <c r="O479" s="9" t="s">
        <v>11848</v>
      </c>
      <c r="P479" s="5">
        <v>2</v>
      </c>
      <c r="Q479" s="9"/>
      <c r="R479" s="9" t="s">
        <v>4566</v>
      </c>
      <c r="S479" s="9" t="str">
        <f>HYPERLINK("https://seichotoushi-hojo.jp/assets/pdf/koufu/outline_62.pdf","PDFを開く")</f>
        <v>PDFを開く</v>
      </c>
      <c r="T479" s="9" t="s">
        <v>1086</v>
      </c>
      <c r="U479" s="9" t="s">
        <v>1087</v>
      </c>
    </row>
    <row r="480" spans="1:21" ht="39.950000000000003" customHeight="1">
      <c r="A480" s="2" t="s">
        <v>1080</v>
      </c>
      <c r="B480" s="2" t="s">
        <v>73</v>
      </c>
      <c r="C480" s="8" t="s">
        <v>1081</v>
      </c>
      <c r="D480" s="8" t="s">
        <v>3191</v>
      </c>
      <c r="E480" s="8" t="s">
        <v>92</v>
      </c>
      <c r="F480" s="2">
        <v>2027</v>
      </c>
      <c r="G480" s="2">
        <v>184</v>
      </c>
      <c r="H480" s="2">
        <v>2030</v>
      </c>
      <c r="I480" s="2">
        <v>232</v>
      </c>
      <c r="J480" s="2" t="s">
        <v>2513</v>
      </c>
      <c r="K480" s="2"/>
      <c r="L480" s="2"/>
      <c r="M480" s="2"/>
      <c r="N480" s="8" t="s">
        <v>11846</v>
      </c>
      <c r="O480" s="8" t="s">
        <v>11847</v>
      </c>
      <c r="P480" s="2">
        <v>2</v>
      </c>
      <c r="Q480" s="8"/>
      <c r="R480" s="8" t="s">
        <v>4564</v>
      </c>
      <c r="S480" s="8" t="str">
        <f>HYPERLINK("https://seichotoushi-hojo.jp/assets/pdf/koufu/outline_62.pdf","PDFを開く")</f>
        <v>PDFを開く</v>
      </c>
      <c r="T480" s="8" t="s">
        <v>1086</v>
      </c>
      <c r="U480" s="8" t="s">
        <v>1087</v>
      </c>
    </row>
    <row r="481" spans="1:21" ht="39.950000000000003" customHeight="1">
      <c r="A481" s="5" t="s">
        <v>1088</v>
      </c>
      <c r="B481" s="5" t="s">
        <v>73</v>
      </c>
      <c r="C481" s="9" t="s">
        <v>1089</v>
      </c>
      <c r="D481" s="9" t="s">
        <v>3176</v>
      </c>
      <c r="E481" s="22" t="s">
        <v>113</v>
      </c>
      <c r="F481" s="5">
        <v>2027</v>
      </c>
      <c r="G481" s="5">
        <v>4600</v>
      </c>
      <c r="H481" s="5">
        <v>2030</v>
      </c>
      <c r="I481" s="5">
        <v>5993</v>
      </c>
      <c r="J481" s="5" t="s">
        <v>86</v>
      </c>
      <c r="K481" s="5">
        <v>12.9</v>
      </c>
      <c r="L481" s="5">
        <v>9.2182999999999993</v>
      </c>
      <c r="M481" s="5">
        <v>3.6817000000000002</v>
      </c>
      <c r="N481" s="9" t="s">
        <v>11846</v>
      </c>
      <c r="O481" s="9" t="s">
        <v>292</v>
      </c>
      <c r="P481" s="5">
        <v>2</v>
      </c>
      <c r="Q481" s="9" t="s">
        <v>11849</v>
      </c>
      <c r="R481" s="9" t="s">
        <v>4580</v>
      </c>
      <c r="S481" s="9" t="str">
        <f>HYPERLINK("https://seichotoushi-hojo.jp/assets/pdf/koufu/outline_63.pdf","PDFを開く")</f>
        <v>PDFを開く</v>
      </c>
      <c r="T481" s="9" t="s">
        <v>1094</v>
      </c>
      <c r="U481" s="9" t="s">
        <v>1095</v>
      </c>
    </row>
    <row r="482" spans="1:21" ht="39.950000000000003" customHeight="1">
      <c r="A482" s="2" t="s">
        <v>1088</v>
      </c>
      <c r="B482" s="2" t="s">
        <v>73</v>
      </c>
      <c r="C482" s="8" t="s">
        <v>1089</v>
      </c>
      <c r="D482" s="8" t="s">
        <v>3184</v>
      </c>
      <c r="E482" s="8" t="s">
        <v>90</v>
      </c>
      <c r="F482" s="2">
        <v>2027</v>
      </c>
      <c r="G482" s="2">
        <v>735</v>
      </c>
      <c r="H482" s="2">
        <v>2030</v>
      </c>
      <c r="I482" s="2">
        <v>824</v>
      </c>
      <c r="J482" s="2" t="s">
        <v>86</v>
      </c>
      <c r="K482" s="2">
        <v>3.18</v>
      </c>
      <c r="L482" s="2">
        <v>3.8835000000000002</v>
      </c>
      <c r="M482" s="2">
        <v>0.70350000000000001</v>
      </c>
      <c r="N482" s="8" t="s">
        <v>11846</v>
      </c>
      <c r="O482" s="8" t="s">
        <v>11847</v>
      </c>
      <c r="P482" s="2">
        <v>2</v>
      </c>
      <c r="Q482" s="8"/>
      <c r="R482" s="8" t="s">
        <v>4575</v>
      </c>
      <c r="S482" s="8" t="str">
        <f>HYPERLINK("https://seichotoushi-hojo.jp/assets/pdf/koufu/outline_63.pdf","PDFを開く")</f>
        <v>PDFを開く</v>
      </c>
      <c r="T482" s="8" t="s">
        <v>1094</v>
      </c>
      <c r="U482" s="8" t="s">
        <v>1095</v>
      </c>
    </row>
    <row r="483" spans="1:21" ht="39.950000000000003" customHeight="1">
      <c r="A483" s="5" t="s">
        <v>1088</v>
      </c>
      <c r="B483" s="5" t="s">
        <v>73</v>
      </c>
      <c r="C483" s="9" t="s">
        <v>1089</v>
      </c>
      <c r="D483" s="9" t="s">
        <v>3188</v>
      </c>
      <c r="E483" s="9" t="s">
        <v>91</v>
      </c>
      <c r="F483" s="5">
        <v>2027</v>
      </c>
      <c r="G483" s="5"/>
      <c r="H483" s="5">
        <v>2030</v>
      </c>
      <c r="I483" s="5"/>
      <c r="J483" s="5" t="s">
        <v>86</v>
      </c>
      <c r="K483" s="5">
        <v>3</v>
      </c>
      <c r="L483" s="5"/>
      <c r="M483" s="5"/>
      <c r="N483" s="9" t="s">
        <v>11846</v>
      </c>
      <c r="O483" s="9" t="s">
        <v>11848</v>
      </c>
      <c r="P483" s="5">
        <v>2</v>
      </c>
      <c r="Q483" s="9"/>
      <c r="R483" s="9" t="s">
        <v>4583</v>
      </c>
      <c r="S483" s="9" t="str">
        <f>HYPERLINK("https://seichotoushi-hojo.jp/assets/pdf/koufu/outline_63.pdf","PDFを開く")</f>
        <v>PDFを開く</v>
      </c>
      <c r="T483" s="9" t="s">
        <v>1094</v>
      </c>
      <c r="U483" s="9" t="s">
        <v>1095</v>
      </c>
    </row>
    <row r="484" spans="1:21" ht="39.950000000000003" customHeight="1">
      <c r="A484" s="2" t="s">
        <v>1088</v>
      </c>
      <c r="B484" s="2" t="s">
        <v>73</v>
      </c>
      <c r="C484" s="8" t="s">
        <v>1089</v>
      </c>
      <c r="D484" s="8" t="s">
        <v>3191</v>
      </c>
      <c r="E484" s="8" t="s">
        <v>92</v>
      </c>
      <c r="F484" s="2">
        <v>2027</v>
      </c>
      <c r="G484" s="2">
        <v>17</v>
      </c>
      <c r="H484" s="2">
        <v>2030</v>
      </c>
      <c r="I484" s="2">
        <v>17</v>
      </c>
      <c r="J484" s="2" t="s">
        <v>2513</v>
      </c>
      <c r="K484" s="2">
        <v>1.6</v>
      </c>
      <c r="L484" s="2"/>
      <c r="M484" s="2"/>
      <c r="N484" s="8" t="s">
        <v>11846</v>
      </c>
      <c r="O484" s="8" t="s">
        <v>11847</v>
      </c>
      <c r="P484" s="2">
        <v>2</v>
      </c>
      <c r="Q484" s="8"/>
      <c r="R484" s="8" t="s">
        <v>4578</v>
      </c>
      <c r="S484" s="8" t="str">
        <f>HYPERLINK("https://seichotoushi-hojo.jp/assets/pdf/koufu/outline_63.pdf","PDFを開く")</f>
        <v>PDFを開く</v>
      </c>
      <c r="T484" s="8" t="s">
        <v>1094</v>
      </c>
      <c r="U484" s="8" t="s">
        <v>1095</v>
      </c>
    </row>
    <row r="485" spans="1:21" ht="39.950000000000003" customHeight="1">
      <c r="A485" s="5" t="s">
        <v>1096</v>
      </c>
      <c r="B485" s="5" t="s">
        <v>73</v>
      </c>
      <c r="C485" s="9" t="s">
        <v>1097</v>
      </c>
      <c r="D485" s="9" t="s">
        <v>3176</v>
      </c>
      <c r="E485" s="9" t="s">
        <v>90</v>
      </c>
      <c r="F485" s="5">
        <v>2025</v>
      </c>
      <c r="G485" s="5">
        <v>1745</v>
      </c>
      <c r="H485" s="5">
        <v>2028</v>
      </c>
      <c r="I485" s="5">
        <v>2587</v>
      </c>
      <c r="J485" s="5" t="s">
        <v>86</v>
      </c>
      <c r="K485" s="5">
        <v>14.1</v>
      </c>
      <c r="L485" s="5">
        <v>14.0251</v>
      </c>
      <c r="M485" s="5">
        <v>7.4899999999999994E-2</v>
      </c>
      <c r="N485" s="9" t="s">
        <v>11846</v>
      </c>
      <c r="O485" s="9" t="s">
        <v>11847</v>
      </c>
      <c r="P485" s="5">
        <v>2</v>
      </c>
      <c r="Q485" s="9"/>
      <c r="R485" s="9" t="s">
        <v>4587</v>
      </c>
      <c r="S485" s="9" t="str">
        <f>HYPERLINK("https://seichotoushi-hojo.jp/assets/pdf/koufu/outline_65.pdf","PDFを開く")</f>
        <v>PDFを開く</v>
      </c>
      <c r="T485" s="9" t="s">
        <v>1102</v>
      </c>
      <c r="U485" s="9" t="s">
        <v>1103</v>
      </c>
    </row>
    <row r="486" spans="1:21" ht="39.950000000000003" customHeight="1">
      <c r="A486" s="2" t="s">
        <v>1096</v>
      </c>
      <c r="B486" s="2" t="s">
        <v>73</v>
      </c>
      <c r="C486" s="8" t="s">
        <v>1097</v>
      </c>
      <c r="D486" s="8" t="s">
        <v>3184</v>
      </c>
      <c r="E486" s="8" t="s">
        <v>90</v>
      </c>
      <c r="F486" s="2">
        <v>2025</v>
      </c>
      <c r="G486" s="2">
        <v>486</v>
      </c>
      <c r="H486" s="2">
        <v>2028</v>
      </c>
      <c r="I486" s="2">
        <v>531</v>
      </c>
      <c r="J486" s="2" t="s">
        <v>86</v>
      </c>
      <c r="K486" s="2">
        <v>3</v>
      </c>
      <c r="L486" s="2">
        <v>2.9958</v>
      </c>
      <c r="M486" s="2">
        <v>4.1999999999999997E-3</v>
      </c>
      <c r="N486" s="8" t="s">
        <v>11846</v>
      </c>
      <c r="O486" s="8" t="s">
        <v>11847</v>
      </c>
      <c r="P486" s="2">
        <v>2</v>
      </c>
      <c r="Q486" s="8"/>
      <c r="R486" s="8" t="s">
        <v>4589</v>
      </c>
      <c r="S486" s="8" t="str">
        <f>HYPERLINK("https://seichotoushi-hojo.jp/assets/pdf/koufu/outline_65.pdf","PDFを開く")</f>
        <v>PDFを開く</v>
      </c>
      <c r="T486" s="8" t="s">
        <v>1102</v>
      </c>
      <c r="U486" s="8" t="s">
        <v>1103</v>
      </c>
    </row>
    <row r="487" spans="1:21" ht="39.950000000000003" customHeight="1">
      <c r="A487" s="5" t="s">
        <v>1096</v>
      </c>
      <c r="B487" s="5" t="s">
        <v>73</v>
      </c>
      <c r="C487" s="9" t="s">
        <v>1097</v>
      </c>
      <c r="D487" s="9" t="s">
        <v>3188</v>
      </c>
      <c r="E487" s="9" t="s">
        <v>91</v>
      </c>
      <c r="F487" s="5">
        <v>2025</v>
      </c>
      <c r="G487" s="5"/>
      <c r="H487" s="5">
        <v>2028</v>
      </c>
      <c r="I487" s="5"/>
      <c r="J487" s="5" t="s">
        <v>86</v>
      </c>
      <c r="K487" s="5">
        <v>3</v>
      </c>
      <c r="L487" s="5"/>
      <c r="M487" s="5"/>
      <c r="N487" s="9" t="s">
        <v>11846</v>
      </c>
      <c r="O487" s="9" t="s">
        <v>11848</v>
      </c>
      <c r="P487" s="5">
        <v>2</v>
      </c>
      <c r="Q487" s="9"/>
      <c r="R487" s="9" t="s">
        <v>4295</v>
      </c>
      <c r="S487" s="9" t="str">
        <f>HYPERLINK("https://seichotoushi-hojo.jp/assets/pdf/koufu/outline_65.pdf","PDFを開く")</f>
        <v>PDFを開く</v>
      </c>
      <c r="T487" s="9" t="s">
        <v>1102</v>
      </c>
      <c r="U487" s="9" t="s">
        <v>1103</v>
      </c>
    </row>
    <row r="488" spans="1:21" ht="39.950000000000003" customHeight="1">
      <c r="A488" s="2" t="s">
        <v>1096</v>
      </c>
      <c r="B488" s="2" t="s">
        <v>73</v>
      </c>
      <c r="C488" s="8" t="s">
        <v>1097</v>
      </c>
      <c r="D488" s="8" t="s">
        <v>3191</v>
      </c>
      <c r="E488" s="8" t="s">
        <v>92</v>
      </c>
      <c r="F488" s="2">
        <v>2025</v>
      </c>
      <c r="G488" s="2">
        <v>164</v>
      </c>
      <c r="H488" s="2">
        <v>2028</v>
      </c>
      <c r="I488" s="2">
        <v>178</v>
      </c>
      <c r="J488" s="2" t="s">
        <v>2513</v>
      </c>
      <c r="K488" s="2"/>
      <c r="L488" s="2"/>
      <c r="M488" s="2"/>
      <c r="N488" s="8" t="s">
        <v>11846</v>
      </c>
      <c r="O488" s="8" t="s">
        <v>11847</v>
      </c>
      <c r="P488" s="2">
        <v>2</v>
      </c>
      <c r="Q488" s="8"/>
      <c r="R488" s="8" t="s">
        <v>4591</v>
      </c>
      <c r="S488" s="8" t="str">
        <f>HYPERLINK("https://seichotoushi-hojo.jp/assets/pdf/koufu/outline_65.pdf","PDFを開く")</f>
        <v>PDFを開く</v>
      </c>
      <c r="T488" s="8" t="s">
        <v>1102</v>
      </c>
      <c r="U488" s="8" t="s">
        <v>1103</v>
      </c>
    </row>
    <row r="489" spans="1:21" ht="39.950000000000003" customHeight="1">
      <c r="A489" s="5" t="s">
        <v>1104</v>
      </c>
      <c r="B489" s="5" t="s">
        <v>73</v>
      </c>
      <c r="C489" s="9" t="s">
        <v>1105</v>
      </c>
      <c r="D489" s="9" t="s">
        <v>3176</v>
      </c>
      <c r="E489" s="9" t="s">
        <v>90</v>
      </c>
      <c r="F489" s="5">
        <v>2026</v>
      </c>
      <c r="G489" s="5">
        <v>1130</v>
      </c>
      <c r="H489" s="5">
        <v>2029</v>
      </c>
      <c r="I489" s="5">
        <v>2606</v>
      </c>
      <c r="J489" s="5" t="s">
        <v>86</v>
      </c>
      <c r="K489" s="5">
        <v>32.1</v>
      </c>
      <c r="L489" s="5">
        <v>32.119</v>
      </c>
      <c r="M489" s="5">
        <v>1.9E-2</v>
      </c>
      <c r="N489" s="9" t="s">
        <v>11846</v>
      </c>
      <c r="O489" s="9" t="s">
        <v>11847</v>
      </c>
      <c r="P489" s="5">
        <v>2</v>
      </c>
      <c r="Q489" s="9"/>
      <c r="R489" s="9" t="s">
        <v>4596</v>
      </c>
      <c r="S489" s="9" t="str">
        <f>HYPERLINK("https://seichotoushi-hojo.jp/assets/pdf/koufu/outline_66.pdf","PDFを開く")</f>
        <v>PDFを開く</v>
      </c>
      <c r="T489" s="9" t="s">
        <v>1111</v>
      </c>
      <c r="U489" s="9" t="s">
        <v>1112</v>
      </c>
    </row>
    <row r="490" spans="1:21" ht="39.950000000000003" customHeight="1">
      <c r="A490" s="2" t="s">
        <v>1104</v>
      </c>
      <c r="B490" s="2" t="s">
        <v>73</v>
      </c>
      <c r="C490" s="8" t="s">
        <v>1105</v>
      </c>
      <c r="D490" s="8" t="s">
        <v>3184</v>
      </c>
      <c r="E490" s="8" t="s">
        <v>90</v>
      </c>
      <c r="F490" s="2">
        <v>2026</v>
      </c>
      <c r="G490" s="2">
        <v>477</v>
      </c>
      <c r="H490" s="2">
        <v>2029</v>
      </c>
      <c r="I490" s="2">
        <v>529</v>
      </c>
      <c r="J490" s="2" t="s">
        <v>86</v>
      </c>
      <c r="K490" s="2">
        <v>3.5</v>
      </c>
      <c r="L490" s="2">
        <v>3.5091999999999999</v>
      </c>
      <c r="M490" s="2">
        <v>9.1999999999999998E-3</v>
      </c>
      <c r="N490" s="8" t="s">
        <v>11846</v>
      </c>
      <c r="O490" s="8" t="s">
        <v>11847</v>
      </c>
      <c r="P490" s="2">
        <v>2</v>
      </c>
      <c r="Q490" s="8"/>
      <c r="R490" s="8" t="s">
        <v>4598</v>
      </c>
      <c r="S490" s="8" t="str">
        <f>HYPERLINK("https://seichotoushi-hojo.jp/assets/pdf/koufu/outline_66.pdf","PDFを開く")</f>
        <v>PDFを開く</v>
      </c>
      <c r="T490" s="8" t="s">
        <v>1111</v>
      </c>
      <c r="U490" s="8" t="s">
        <v>1112</v>
      </c>
    </row>
    <row r="491" spans="1:21" ht="39.950000000000003" customHeight="1">
      <c r="A491" s="5" t="s">
        <v>1104</v>
      </c>
      <c r="B491" s="5" t="s">
        <v>73</v>
      </c>
      <c r="C491" s="9" t="s">
        <v>1105</v>
      </c>
      <c r="D491" s="9" t="s">
        <v>3188</v>
      </c>
      <c r="E491" s="9" t="s">
        <v>91</v>
      </c>
      <c r="F491" s="5">
        <v>2026</v>
      </c>
      <c r="G491" s="5"/>
      <c r="H491" s="5">
        <v>2029</v>
      </c>
      <c r="I491" s="5"/>
      <c r="J491" s="5" t="s">
        <v>86</v>
      </c>
      <c r="K491" s="5">
        <v>3.5</v>
      </c>
      <c r="L491" s="5"/>
      <c r="M491" s="5"/>
      <c r="N491" s="9" t="s">
        <v>11846</v>
      </c>
      <c r="O491" s="9" t="s">
        <v>11848</v>
      </c>
      <c r="P491" s="5">
        <v>2</v>
      </c>
      <c r="Q491" s="9"/>
      <c r="R491" s="9" t="s">
        <v>4603</v>
      </c>
      <c r="S491" s="9" t="str">
        <f>HYPERLINK("https://seichotoushi-hojo.jp/assets/pdf/koufu/outline_66.pdf","PDFを開く")</f>
        <v>PDFを開く</v>
      </c>
      <c r="T491" s="9" t="s">
        <v>1111</v>
      </c>
      <c r="U491" s="9" t="s">
        <v>1112</v>
      </c>
    </row>
    <row r="492" spans="1:21" ht="39.950000000000003" customHeight="1">
      <c r="A492" s="2" t="s">
        <v>1104</v>
      </c>
      <c r="B492" s="2" t="s">
        <v>73</v>
      </c>
      <c r="C492" s="8" t="s">
        <v>1105</v>
      </c>
      <c r="D492" s="8" t="s">
        <v>3191</v>
      </c>
      <c r="E492" s="8" t="s">
        <v>92</v>
      </c>
      <c r="F492" s="2">
        <v>2026</v>
      </c>
      <c r="G492" s="2">
        <v>16</v>
      </c>
      <c r="H492" s="2">
        <v>2029</v>
      </c>
      <c r="I492" s="2">
        <v>38</v>
      </c>
      <c r="J492" s="2" t="s">
        <v>2513</v>
      </c>
      <c r="K492" s="2"/>
      <c r="L492" s="2"/>
      <c r="M492" s="2"/>
      <c r="N492" s="8" t="s">
        <v>11846</v>
      </c>
      <c r="O492" s="8" t="s">
        <v>11847</v>
      </c>
      <c r="P492" s="2">
        <v>2</v>
      </c>
      <c r="Q492" s="8"/>
      <c r="R492" s="8" t="s">
        <v>4601</v>
      </c>
      <c r="S492" s="8" t="str">
        <f>HYPERLINK("https://seichotoushi-hojo.jp/assets/pdf/koufu/outline_66.pdf","PDFを開く")</f>
        <v>PDFを開く</v>
      </c>
      <c r="T492" s="8" t="s">
        <v>1111</v>
      </c>
      <c r="U492" s="8" t="s">
        <v>1112</v>
      </c>
    </row>
    <row r="493" spans="1:21" ht="39.950000000000003" customHeight="1">
      <c r="A493" s="5" t="s">
        <v>1113</v>
      </c>
      <c r="B493" s="5" t="s">
        <v>73</v>
      </c>
      <c r="C493" s="9" t="s">
        <v>1114</v>
      </c>
      <c r="D493" s="9" t="s">
        <v>3176</v>
      </c>
      <c r="E493" s="9" t="s">
        <v>90</v>
      </c>
      <c r="F493" s="5">
        <v>2025</v>
      </c>
      <c r="G493" s="5">
        <v>2917.9</v>
      </c>
      <c r="H493" s="5">
        <v>2028</v>
      </c>
      <c r="I493" s="5">
        <v>3469.6</v>
      </c>
      <c r="J493" s="5" t="s">
        <v>86</v>
      </c>
      <c r="K493" s="5">
        <v>5.9</v>
      </c>
      <c r="L493" s="5">
        <v>5.9424000000000001</v>
      </c>
      <c r="M493" s="5">
        <v>4.24E-2</v>
      </c>
      <c r="N493" s="9" t="s">
        <v>11846</v>
      </c>
      <c r="O493" s="9" t="s">
        <v>11847</v>
      </c>
      <c r="P493" s="5">
        <v>2</v>
      </c>
      <c r="Q493" s="9"/>
      <c r="R493" s="9" t="s">
        <v>4606</v>
      </c>
      <c r="S493" s="9" t="str">
        <f>HYPERLINK("https://seichotoushi-hojo.jp/assets/pdf/koufu/outline_67.pdf","PDFを開く")</f>
        <v>PDFを開く</v>
      </c>
      <c r="T493" s="9" t="s">
        <v>1118</v>
      </c>
      <c r="U493" s="9" t="s">
        <v>1119</v>
      </c>
    </row>
    <row r="494" spans="1:21" ht="39.950000000000003" customHeight="1">
      <c r="A494" s="2" t="s">
        <v>1113</v>
      </c>
      <c r="B494" s="2" t="s">
        <v>73</v>
      </c>
      <c r="C494" s="8" t="s">
        <v>1114</v>
      </c>
      <c r="D494" s="8" t="s">
        <v>3184</v>
      </c>
      <c r="E494" s="8" t="s">
        <v>90</v>
      </c>
      <c r="F494" s="2">
        <v>2025</v>
      </c>
      <c r="G494" s="2">
        <v>613.70000000000005</v>
      </c>
      <c r="H494" s="2">
        <v>2028</v>
      </c>
      <c r="I494" s="2">
        <v>700.3</v>
      </c>
      <c r="J494" s="2" t="s">
        <v>86</v>
      </c>
      <c r="K494" s="2">
        <v>4.5</v>
      </c>
      <c r="L494" s="2">
        <v>4.4983000000000004</v>
      </c>
      <c r="M494" s="2">
        <v>1.6999999999999999E-3</v>
      </c>
      <c r="N494" s="8" t="s">
        <v>11846</v>
      </c>
      <c r="O494" s="8" t="s">
        <v>11847</v>
      </c>
      <c r="P494" s="2">
        <v>2</v>
      </c>
      <c r="Q494" s="8"/>
      <c r="R494" s="8" t="s">
        <v>4609</v>
      </c>
      <c r="S494" s="8" t="str">
        <f>HYPERLINK("https://seichotoushi-hojo.jp/assets/pdf/koufu/outline_67.pdf","PDFを開く")</f>
        <v>PDFを開く</v>
      </c>
      <c r="T494" s="8" t="s">
        <v>1118</v>
      </c>
      <c r="U494" s="8" t="s">
        <v>1119</v>
      </c>
    </row>
    <row r="495" spans="1:21" ht="39.950000000000003" customHeight="1">
      <c r="A495" s="5" t="s">
        <v>1113</v>
      </c>
      <c r="B495" s="5" t="s">
        <v>73</v>
      </c>
      <c r="C495" s="9" t="s">
        <v>1114</v>
      </c>
      <c r="D495" s="9" t="s">
        <v>3188</v>
      </c>
      <c r="E495" s="9" t="s">
        <v>157</v>
      </c>
      <c r="F495" s="5"/>
      <c r="G495" s="5"/>
      <c r="H495" s="5"/>
      <c r="I495" s="5"/>
      <c r="J495" s="5"/>
      <c r="K495" s="5"/>
      <c r="L495" s="5"/>
      <c r="M495" s="5"/>
      <c r="N495" s="9" t="s">
        <v>11850</v>
      </c>
      <c r="O495" s="9"/>
      <c r="P495" s="5"/>
      <c r="Q495" s="9" t="s">
        <v>11851</v>
      </c>
      <c r="R495" s="9"/>
      <c r="S495" s="9" t="str">
        <f>HYPERLINK("https://seichotoushi-hojo.jp/assets/pdf/koufu/outline_67.pdf","PDFを開く")</f>
        <v>PDFを開く</v>
      </c>
      <c r="T495" s="9" t="s">
        <v>1118</v>
      </c>
      <c r="U495" s="9" t="s">
        <v>1119</v>
      </c>
    </row>
    <row r="496" spans="1:21" ht="39.950000000000003" customHeight="1">
      <c r="A496" s="2" t="s">
        <v>1113</v>
      </c>
      <c r="B496" s="2" t="s">
        <v>73</v>
      </c>
      <c r="C496" s="8" t="s">
        <v>1114</v>
      </c>
      <c r="D496" s="8" t="s">
        <v>3191</v>
      </c>
      <c r="E496" s="8" t="s">
        <v>92</v>
      </c>
      <c r="F496" s="2">
        <v>2025</v>
      </c>
      <c r="G496" s="2">
        <v>285</v>
      </c>
      <c r="H496" s="2">
        <v>2028</v>
      </c>
      <c r="I496" s="2">
        <v>325</v>
      </c>
      <c r="J496" s="2" t="s">
        <v>2513</v>
      </c>
      <c r="K496" s="2"/>
      <c r="L496" s="2"/>
      <c r="M496" s="2"/>
      <c r="N496" s="8" t="s">
        <v>11846</v>
      </c>
      <c r="O496" s="8" t="s">
        <v>11847</v>
      </c>
      <c r="P496" s="2">
        <v>2</v>
      </c>
      <c r="Q496" s="8"/>
      <c r="R496" s="8" t="s">
        <v>4612</v>
      </c>
      <c r="S496" s="8" t="str">
        <f>HYPERLINK("https://seichotoushi-hojo.jp/assets/pdf/koufu/outline_67.pdf","PDFを開く")</f>
        <v>PDFを開く</v>
      </c>
      <c r="T496" s="8" t="s">
        <v>1118</v>
      </c>
      <c r="U496" s="8" t="s">
        <v>1119</v>
      </c>
    </row>
    <row r="497" spans="1:21" ht="39.950000000000003" customHeight="1">
      <c r="A497" s="5" t="s">
        <v>1120</v>
      </c>
      <c r="B497" s="5" t="s">
        <v>73</v>
      </c>
      <c r="C497" s="9" t="s">
        <v>1121</v>
      </c>
      <c r="D497" s="9" t="s">
        <v>3176</v>
      </c>
      <c r="E497" s="9" t="s">
        <v>90</v>
      </c>
      <c r="F497" s="5">
        <v>2025</v>
      </c>
      <c r="G497" s="5">
        <v>1308</v>
      </c>
      <c r="H497" s="5">
        <v>2028</v>
      </c>
      <c r="I497" s="5">
        <v>1423</v>
      </c>
      <c r="J497" s="5" t="s">
        <v>86</v>
      </c>
      <c r="K497" s="5">
        <v>2.9</v>
      </c>
      <c r="L497" s="5">
        <v>2.8488000000000002</v>
      </c>
      <c r="M497" s="5">
        <v>5.1200000000000002E-2</v>
      </c>
      <c r="N497" s="9" t="s">
        <v>11846</v>
      </c>
      <c r="O497" s="9" t="s">
        <v>11847</v>
      </c>
      <c r="P497" s="5">
        <v>2</v>
      </c>
      <c r="Q497" s="9"/>
      <c r="R497" s="9" t="s">
        <v>4615</v>
      </c>
      <c r="S497" s="9" t="str">
        <f>HYPERLINK("https://seichotoushi-hojo.jp/assets/pdf/koufu/outline_68.pdf","PDFを開く")</f>
        <v>PDFを開く</v>
      </c>
      <c r="T497" s="9" t="s">
        <v>1125</v>
      </c>
      <c r="U497" s="9" t="s">
        <v>1126</v>
      </c>
    </row>
    <row r="498" spans="1:21" ht="39.950000000000003" customHeight="1">
      <c r="A498" s="2" t="s">
        <v>1120</v>
      </c>
      <c r="B498" s="2" t="s">
        <v>73</v>
      </c>
      <c r="C498" s="8" t="s">
        <v>1121</v>
      </c>
      <c r="D498" s="8" t="s">
        <v>3184</v>
      </c>
      <c r="E498" s="8" t="s">
        <v>90</v>
      </c>
      <c r="F498" s="2">
        <v>2025</v>
      </c>
      <c r="G498" s="2">
        <v>669.3</v>
      </c>
      <c r="H498" s="2">
        <v>2028</v>
      </c>
      <c r="I498" s="2">
        <v>731.5</v>
      </c>
      <c r="J498" s="2" t="s">
        <v>86</v>
      </c>
      <c r="K498" s="2">
        <v>3.01</v>
      </c>
      <c r="L498" s="2">
        <v>3.0065</v>
      </c>
      <c r="M498" s="2">
        <v>3.5000000000000001E-3</v>
      </c>
      <c r="N498" s="8" t="s">
        <v>11846</v>
      </c>
      <c r="O498" s="8" t="s">
        <v>11847</v>
      </c>
      <c r="P498" s="2">
        <v>2</v>
      </c>
      <c r="Q498" s="8"/>
      <c r="R498" s="8" t="s">
        <v>4618</v>
      </c>
      <c r="S498" s="8" t="str">
        <f>HYPERLINK("https://seichotoushi-hojo.jp/assets/pdf/koufu/outline_68.pdf","PDFを開く")</f>
        <v>PDFを開く</v>
      </c>
      <c r="T498" s="8" t="s">
        <v>1125</v>
      </c>
      <c r="U498" s="8" t="s">
        <v>1126</v>
      </c>
    </row>
    <row r="499" spans="1:21" ht="39.950000000000003" customHeight="1">
      <c r="A499" s="5" t="s">
        <v>1120</v>
      </c>
      <c r="B499" s="5" t="s">
        <v>73</v>
      </c>
      <c r="C499" s="9" t="s">
        <v>1121</v>
      </c>
      <c r="D499" s="9" t="s">
        <v>3188</v>
      </c>
      <c r="E499" s="9" t="s">
        <v>91</v>
      </c>
      <c r="F499" s="5">
        <v>2025</v>
      </c>
      <c r="G499" s="5"/>
      <c r="H499" s="5">
        <v>2028</v>
      </c>
      <c r="I499" s="5"/>
      <c r="J499" s="5" t="s">
        <v>86</v>
      </c>
      <c r="K499" s="5">
        <v>5</v>
      </c>
      <c r="L499" s="5"/>
      <c r="M499" s="5"/>
      <c r="N499" s="9" t="s">
        <v>11846</v>
      </c>
      <c r="O499" s="9" t="s">
        <v>11848</v>
      </c>
      <c r="P499" s="5">
        <v>2</v>
      </c>
      <c r="Q499" s="9"/>
      <c r="R499" s="9" t="s">
        <v>4625</v>
      </c>
      <c r="S499" s="9" t="str">
        <f>HYPERLINK("https://seichotoushi-hojo.jp/assets/pdf/koufu/outline_68.pdf","PDFを開く")</f>
        <v>PDFを開く</v>
      </c>
      <c r="T499" s="9" t="s">
        <v>1125</v>
      </c>
      <c r="U499" s="9" t="s">
        <v>1126</v>
      </c>
    </row>
    <row r="500" spans="1:21" ht="39.950000000000003" customHeight="1">
      <c r="A500" s="2" t="s">
        <v>1120</v>
      </c>
      <c r="B500" s="2" t="s">
        <v>73</v>
      </c>
      <c r="C500" s="8" t="s">
        <v>1121</v>
      </c>
      <c r="D500" s="8" t="s">
        <v>3191</v>
      </c>
      <c r="E500" s="8" t="s">
        <v>92</v>
      </c>
      <c r="F500" s="2">
        <v>2025</v>
      </c>
      <c r="G500" s="2">
        <v>978</v>
      </c>
      <c r="H500" s="2">
        <v>2028</v>
      </c>
      <c r="I500" s="2">
        <v>1129</v>
      </c>
      <c r="J500" s="2" t="s">
        <v>2513</v>
      </c>
      <c r="K500" s="2"/>
      <c r="L500" s="2"/>
      <c r="M500" s="2"/>
      <c r="N500" s="8" t="s">
        <v>11846</v>
      </c>
      <c r="O500" s="8" t="s">
        <v>11847</v>
      </c>
      <c r="P500" s="2">
        <v>2</v>
      </c>
      <c r="Q500" s="8"/>
      <c r="R500" s="8" t="s">
        <v>4622</v>
      </c>
      <c r="S500" s="8" t="str">
        <f>HYPERLINK("https://seichotoushi-hojo.jp/assets/pdf/koufu/outline_68.pdf","PDFを開く")</f>
        <v>PDFを開く</v>
      </c>
      <c r="T500" s="8" t="s">
        <v>1125</v>
      </c>
      <c r="U500" s="8" t="s">
        <v>1126</v>
      </c>
    </row>
    <row r="501" spans="1:21" ht="39.950000000000003" customHeight="1">
      <c r="A501" s="5" t="s">
        <v>1127</v>
      </c>
      <c r="B501" s="5" t="s">
        <v>73</v>
      </c>
      <c r="C501" s="9" t="s">
        <v>1128</v>
      </c>
      <c r="D501" s="9" t="s">
        <v>3176</v>
      </c>
      <c r="E501" s="9" t="s">
        <v>90</v>
      </c>
      <c r="F501" s="5">
        <v>2026</v>
      </c>
      <c r="G501" s="5">
        <v>10001</v>
      </c>
      <c r="H501" s="5">
        <v>2029</v>
      </c>
      <c r="I501" s="5">
        <v>11690</v>
      </c>
      <c r="J501" s="5" t="s">
        <v>86</v>
      </c>
      <c r="K501" s="5">
        <v>5.3</v>
      </c>
      <c r="L501" s="5">
        <v>5.3392999999999997</v>
      </c>
      <c r="M501" s="5">
        <v>3.9300000000000002E-2</v>
      </c>
      <c r="N501" s="9" t="s">
        <v>11846</v>
      </c>
      <c r="O501" s="9" t="s">
        <v>11847</v>
      </c>
      <c r="P501" s="5">
        <v>2</v>
      </c>
      <c r="Q501" s="9"/>
      <c r="R501" s="9" t="s">
        <v>4629</v>
      </c>
      <c r="S501" s="9" t="str">
        <f>HYPERLINK("https://seichotoushi-hojo.jp/assets/pdf/koufu/outline_69.pdf","PDFを開く")</f>
        <v>PDFを開く</v>
      </c>
      <c r="T501" s="9" t="s">
        <v>1133</v>
      </c>
      <c r="U501" s="9" t="s">
        <v>1134</v>
      </c>
    </row>
    <row r="502" spans="1:21" ht="39.950000000000003" customHeight="1">
      <c r="A502" s="2" t="s">
        <v>1127</v>
      </c>
      <c r="B502" s="2" t="s">
        <v>73</v>
      </c>
      <c r="C502" s="8" t="s">
        <v>1128</v>
      </c>
      <c r="D502" s="8" t="s">
        <v>3184</v>
      </c>
      <c r="E502" s="8" t="s">
        <v>90</v>
      </c>
      <c r="F502" s="2">
        <v>2026</v>
      </c>
      <c r="G502" s="2">
        <v>6892</v>
      </c>
      <c r="H502" s="2">
        <v>2029</v>
      </c>
      <c r="I502" s="2">
        <v>7980</v>
      </c>
      <c r="J502" s="2" t="s">
        <v>86</v>
      </c>
      <c r="K502" s="2">
        <v>5.01</v>
      </c>
      <c r="L502" s="2">
        <v>5.0072000000000001</v>
      </c>
      <c r="M502" s="2">
        <v>2.8E-3</v>
      </c>
      <c r="N502" s="8" t="s">
        <v>11846</v>
      </c>
      <c r="O502" s="8" t="s">
        <v>11847</v>
      </c>
      <c r="P502" s="2">
        <v>2</v>
      </c>
      <c r="Q502" s="8"/>
      <c r="R502" s="8" t="s">
        <v>4632</v>
      </c>
      <c r="S502" s="8" t="str">
        <f>HYPERLINK("https://seichotoushi-hojo.jp/assets/pdf/koufu/outline_69.pdf","PDFを開く")</f>
        <v>PDFを開く</v>
      </c>
      <c r="T502" s="8" t="s">
        <v>1133</v>
      </c>
      <c r="U502" s="8" t="s">
        <v>1134</v>
      </c>
    </row>
    <row r="503" spans="1:21" ht="39.950000000000003" customHeight="1">
      <c r="A503" s="5" t="s">
        <v>1127</v>
      </c>
      <c r="B503" s="5" t="s">
        <v>73</v>
      </c>
      <c r="C503" s="9" t="s">
        <v>1128</v>
      </c>
      <c r="D503" s="9" t="s">
        <v>3188</v>
      </c>
      <c r="E503" s="9" t="s">
        <v>91</v>
      </c>
      <c r="F503" s="5">
        <v>2026</v>
      </c>
      <c r="G503" s="5"/>
      <c r="H503" s="5">
        <v>2029</v>
      </c>
      <c r="I503" s="5"/>
      <c r="J503" s="5" t="s">
        <v>86</v>
      </c>
      <c r="K503" s="5">
        <v>5</v>
      </c>
      <c r="L503" s="5"/>
      <c r="M503" s="5"/>
      <c r="N503" s="9" t="s">
        <v>11846</v>
      </c>
      <c r="O503" s="9" t="s">
        <v>11848</v>
      </c>
      <c r="P503" s="5">
        <v>2</v>
      </c>
      <c r="Q503" s="9"/>
      <c r="R503" s="9" t="s">
        <v>4062</v>
      </c>
      <c r="S503" s="9" t="str">
        <f>HYPERLINK("https://seichotoushi-hojo.jp/assets/pdf/koufu/outline_69.pdf","PDFを開く")</f>
        <v>PDFを開く</v>
      </c>
      <c r="T503" s="9" t="s">
        <v>1133</v>
      </c>
      <c r="U503" s="9" t="s">
        <v>1134</v>
      </c>
    </row>
    <row r="504" spans="1:21" ht="39.950000000000003" customHeight="1">
      <c r="A504" s="2" t="s">
        <v>1127</v>
      </c>
      <c r="B504" s="2" t="s">
        <v>73</v>
      </c>
      <c r="C504" s="8" t="s">
        <v>1128</v>
      </c>
      <c r="D504" s="8" t="s">
        <v>3191</v>
      </c>
      <c r="E504" s="8" t="s">
        <v>92</v>
      </c>
      <c r="F504" s="2">
        <v>2026</v>
      </c>
      <c r="G504" s="2">
        <v>209</v>
      </c>
      <c r="H504" s="2">
        <v>2029</v>
      </c>
      <c r="I504" s="2">
        <v>227</v>
      </c>
      <c r="J504" s="2" t="s">
        <v>2513</v>
      </c>
      <c r="K504" s="2"/>
      <c r="L504" s="2"/>
      <c r="M504" s="2"/>
      <c r="N504" s="8" t="s">
        <v>11846</v>
      </c>
      <c r="O504" s="8" t="s">
        <v>11847</v>
      </c>
      <c r="P504" s="2">
        <v>2</v>
      </c>
      <c r="Q504" s="8"/>
      <c r="R504" s="8" t="s">
        <v>4634</v>
      </c>
      <c r="S504" s="8" t="str">
        <f>HYPERLINK("https://seichotoushi-hojo.jp/assets/pdf/koufu/outline_69.pdf","PDFを開く")</f>
        <v>PDFを開く</v>
      </c>
      <c r="T504" s="8" t="s">
        <v>1133</v>
      </c>
      <c r="U504" s="8" t="s">
        <v>1134</v>
      </c>
    </row>
    <row r="505" spans="1:21" ht="39.950000000000003" customHeight="1">
      <c r="A505" s="5" t="s">
        <v>1135</v>
      </c>
      <c r="B505" s="5" t="s">
        <v>73</v>
      </c>
      <c r="C505" s="9" t="s">
        <v>1136</v>
      </c>
      <c r="D505" s="9" t="s">
        <v>3176</v>
      </c>
      <c r="E505" s="9" t="s">
        <v>90</v>
      </c>
      <c r="F505" s="5">
        <v>2026</v>
      </c>
      <c r="G505" s="5">
        <v>4373</v>
      </c>
      <c r="H505" s="5">
        <v>2029</v>
      </c>
      <c r="I505" s="5">
        <v>5649</v>
      </c>
      <c r="J505" s="5" t="s">
        <v>86</v>
      </c>
      <c r="K505" s="5">
        <v>8.91</v>
      </c>
      <c r="L505" s="5">
        <v>8.9091000000000005</v>
      </c>
      <c r="M505" s="5">
        <v>8.9999999999999998E-4</v>
      </c>
      <c r="N505" s="9" t="s">
        <v>11846</v>
      </c>
      <c r="O505" s="9" t="s">
        <v>11847</v>
      </c>
      <c r="P505" s="5">
        <v>2</v>
      </c>
      <c r="Q505" s="9"/>
      <c r="R505" s="9" t="s">
        <v>4638</v>
      </c>
      <c r="S505" s="9" t="str">
        <f>HYPERLINK("https://seichotoushi-hojo.jp/assets/pdf/koufu/outline_7.pdf","PDFを開く")</f>
        <v>PDFを開く</v>
      </c>
      <c r="T505" s="9" t="s">
        <v>1144</v>
      </c>
      <c r="U505" s="9" t="s">
        <v>1145</v>
      </c>
    </row>
    <row r="506" spans="1:21" ht="39.950000000000003" customHeight="1">
      <c r="A506" s="2" t="s">
        <v>1135</v>
      </c>
      <c r="B506" s="2" t="s">
        <v>73</v>
      </c>
      <c r="C506" s="8" t="s">
        <v>1136</v>
      </c>
      <c r="D506" s="8" t="s">
        <v>3184</v>
      </c>
      <c r="E506" s="8" t="s">
        <v>90</v>
      </c>
      <c r="F506" s="2">
        <v>2026</v>
      </c>
      <c r="G506" s="2">
        <v>655</v>
      </c>
      <c r="H506" s="2">
        <v>2029</v>
      </c>
      <c r="I506" s="2">
        <v>734</v>
      </c>
      <c r="J506" s="2" t="s">
        <v>86</v>
      </c>
      <c r="K506" s="2">
        <v>3.87</v>
      </c>
      <c r="L506" s="2">
        <v>3.8687999999999998</v>
      </c>
      <c r="M506" s="2">
        <v>1.1999999999999999E-3</v>
      </c>
      <c r="N506" s="8" t="s">
        <v>11846</v>
      </c>
      <c r="O506" s="8" t="s">
        <v>11847</v>
      </c>
      <c r="P506" s="2">
        <v>2</v>
      </c>
      <c r="Q506" s="8"/>
      <c r="R506" s="8" t="s">
        <v>4640</v>
      </c>
      <c r="S506" s="8" t="str">
        <f>HYPERLINK("https://seichotoushi-hojo.jp/assets/pdf/koufu/outline_7.pdf","PDFを開く")</f>
        <v>PDFを開く</v>
      </c>
      <c r="T506" s="8" t="s">
        <v>1144</v>
      </c>
      <c r="U506" s="8" t="s">
        <v>1145</v>
      </c>
    </row>
    <row r="507" spans="1:21" ht="39.950000000000003" customHeight="1">
      <c r="A507" s="5" t="s">
        <v>1135</v>
      </c>
      <c r="B507" s="5" t="s">
        <v>73</v>
      </c>
      <c r="C507" s="9" t="s">
        <v>1136</v>
      </c>
      <c r="D507" s="9" t="s">
        <v>3188</v>
      </c>
      <c r="E507" s="9" t="s">
        <v>156</v>
      </c>
      <c r="F507" s="5"/>
      <c r="G507" s="5"/>
      <c r="H507" s="5"/>
      <c r="I507" s="5"/>
      <c r="J507" s="5"/>
      <c r="K507" s="5"/>
      <c r="L507" s="5"/>
      <c r="M507" s="5"/>
      <c r="N507" s="9" t="s">
        <v>11850</v>
      </c>
      <c r="O507" s="9"/>
      <c r="P507" s="5"/>
      <c r="Q507" s="9" t="s">
        <v>11851</v>
      </c>
      <c r="R507" s="9"/>
      <c r="S507" s="9" t="str">
        <f>HYPERLINK("https://seichotoushi-hojo.jp/assets/pdf/koufu/outline_7.pdf","PDFを開く")</f>
        <v>PDFを開く</v>
      </c>
      <c r="T507" s="9" t="s">
        <v>1144</v>
      </c>
      <c r="U507" s="9" t="s">
        <v>1145</v>
      </c>
    </row>
    <row r="508" spans="1:21" ht="39.950000000000003" customHeight="1">
      <c r="A508" s="2" t="s">
        <v>1135</v>
      </c>
      <c r="B508" s="2" t="s">
        <v>73</v>
      </c>
      <c r="C508" s="8" t="s">
        <v>1136</v>
      </c>
      <c r="D508" s="8" t="s">
        <v>3191</v>
      </c>
      <c r="E508" s="8" t="s">
        <v>92</v>
      </c>
      <c r="F508" s="2">
        <v>2026</v>
      </c>
      <c r="G508" s="2">
        <v>228</v>
      </c>
      <c r="H508" s="2">
        <v>2029</v>
      </c>
      <c r="I508" s="2">
        <v>291</v>
      </c>
      <c r="J508" s="2" t="s">
        <v>2513</v>
      </c>
      <c r="K508" s="2"/>
      <c r="L508" s="2"/>
      <c r="M508" s="2"/>
      <c r="N508" s="8" t="s">
        <v>11846</v>
      </c>
      <c r="O508" s="8" t="s">
        <v>11847</v>
      </c>
      <c r="P508" s="2">
        <v>2</v>
      </c>
      <c r="Q508" s="8"/>
      <c r="R508" s="8" t="s">
        <v>4643</v>
      </c>
      <c r="S508" s="8" t="str">
        <f>HYPERLINK("https://seichotoushi-hojo.jp/assets/pdf/koufu/outline_7.pdf","PDFを開く")</f>
        <v>PDFを開く</v>
      </c>
      <c r="T508" s="8" t="s">
        <v>1144</v>
      </c>
      <c r="U508" s="8" t="s">
        <v>1145</v>
      </c>
    </row>
    <row r="509" spans="1:21" ht="39.950000000000003" customHeight="1">
      <c r="A509" s="5" t="s">
        <v>1146</v>
      </c>
      <c r="B509" s="5" t="s">
        <v>73</v>
      </c>
      <c r="C509" s="9" t="s">
        <v>1147</v>
      </c>
      <c r="D509" s="9" t="s">
        <v>3176</v>
      </c>
      <c r="E509" s="9" t="s">
        <v>90</v>
      </c>
      <c r="F509" s="5">
        <v>2025</v>
      </c>
      <c r="G509" s="5">
        <v>921.2</v>
      </c>
      <c r="H509" s="5">
        <v>2028</v>
      </c>
      <c r="I509" s="5">
        <v>1229.5</v>
      </c>
      <c r="J509" s="5" t="s">
        <v>86</v>
      </c>
      <c r="K509" s="5">
        <v>10</v>
      </c>
      <c r="L509" s="5">
        <v>10.101100000000001</v>
      </c>
      <c r="M509" s="5">
        <v>0.1011</v>
      </c>
      <c r="N509" s="9" t="s">
        <v>11846</v>
      </c>
      <c r="O509" s="9" t="s">
        <v>11847</v>
      </c>
      <c r="P509" s="5">
        <v>2</v>
      </c>
      <c r="Q509" s="9"/>
      <c r="R509" s="9" t="s">
        <v>4645</v>
      </c>
      <c r="S509" s="9" t="str">
        <f>HYPERLINK("https://seichotoushi-hojo.jp/assets/pdf/koufu/outline_70.pdf","PDFを開く")</f>
        <v>PDFを開く</v>
      </c>
      <c r="T509" s="9" t="s">
        <v>1152</v>
      </c>
      <c r="U509" s="9" t="s">
        <v>1153</v>
      </c>
    </row>
    <row r="510" spans="1:21" ht="39.950000000000003" customHeight="1">
      <c r="A510" s="2" t="s">
        <v>1146</v>
      </c>
      <c r="B510" s="2" t="s">
        <v>73</v>
      </c>
      <c r="C510" s="8" t="s">
        <v>1147</v>
      </c>
      <c r="D510" s="8" t="s">
        <v>3184</v>
      </c>
      <c r="E510" s="8" t="s">
        <v>90</v>
      </c>
      <c r="F510" s="2">
        <v>2025</v>
      </c>
      <c r="G510" s="2">
        <v>477.4</v>
      </c>
      <c r="H510" s="2">
        <v>2028</v>
      </c>
      <c r="I510" s="2">
        <v>552.70000000000005</v>
      </c>
      <c r="J510" s="2" t="s">
        <v>86</v>
      </c>
      <c r="K510" s="2">
        <v>5</v>
      </c>
      <c r="L510" s="2">
        <v>5.0031999999999996</v>
      </c>
      <c r="M510" s="2">
        <v>3.2000000000000002E-3</v>
      </c>
      <c r="N510" s="8" t="s">
        <v>11846</v>
      </c>
      <c r="O510" s="8" t="s">
        <v>11847</v>
      </c>
      <c r="P510" s="2">
        <v>2</v>
      </c>
      <c r="Q510" s="8"/>
      <c r="R510" s="8" t="s">
        <v>4648</v>
      </c>
      <c r="S510" s="8" t="str">
        <f>HYPERLINK("https://seichotoushi-hojo.jp/assets/pdf/koufu/outline_70.pdf","PDFを開く")</f>
        <v>PDFを開く</v>
      </c>
      <c r="T510" s="8" t="s">
        <v>1152</v>
      </c>
      <c r="U510" s="8" t="s">
        <v>1153</v>
      </c>
    </row>
    <row r="511" spans="1:21" ht="39.950000000000003" customHeight="1">
      <c r="A511" s="5" t="s">
        <v>1146</v>
      </c>
      <c r="B511" s="5" t="s">
        <v>73</v>
      </c>
      <c r="C511" s="9" t="s">
        <v>1147</v>
      </c>
      <c r="D511" s="9" t="s">
        <v>3188</v>
      </c>
      <c r="E511" s="9" t="s">
        <v>91</v>
      </c>
      <c r="F511" s="5">
        <v>2025</v>
      </c>
      <c r="G511" s="5"/>
      <c r="H511" s="5">
        <v>2028</v>
      </c>
      <c r="I511" s="5"/>
      <c r="J511" s="5" t="s">
        <v>86</v>
      </c>
      <c r="K511" s="5">
        <v>4</v>
      </c>
      <c r="L511" s="5"/>
      <c r="M511" s="5"/>
      <c r="N511" s="9" t="s">
        <v>11846</v>
      </c>
      <c r="O511" s="9" t="s">
        <v>11848</v>
      </c>
      <c r="P511" s="5">
        <v>2</v>
      </c>
      <c r="Q511" s="9"/>
      <c r="R511" s="9" t="s">
        <v>4653</v>
      </c>
      <c r="S511" s="9" t="str">
        <f>HYPERLINK("https://seichotoushi-hojo.jp/assets/pdf/koufu/outline_70.pdf","PDFを開く")</f>
        <v>PDFを開く</v>
      </c>
      <c r="T511" s="9" t="s">
        <v>1152</v>
      </c>
      <c r="U511" s="9" t="s">
        <v>1153</v>
      </c>
    </row>
    <row r="512" spans="1:21" ht="39.950000000000003" customHeight="1">
      <c r="A512" s="2" t="s">
        <v>1146</v>
      </c>
      <c r="B512" s="2" t="s">
        <v>73</v>
      </c>
      <c r="C512" s="8" t="s">
        <v>1147</v>
      </c>
      <c r="D512" s="8" t="s">
        <v>3191</v>
      </c>
      <c r="E512" s="8" t="s">
        <v>92</v>
      </c>
      <c r="F512" s="2">
        <v>2025</v>
      </c>
      <c r="G512" s="2">
        <v>123</v>
      </c>
      <c r="H512" s="2">
        <v>2028</v>
      </c>
      <c r="I512" s="2">
        <v>130</v>
      </c>
      <c r="J512" s="2" t="s">
        <v>2513</v>
      </c>
      <c r="K512" s="2"/>
      <c r="L512" s="2"/>
      <c r="M512" s="2"/>
      <c r="N512" s="8" t="s">
        <v>11846</v>
      </c>
      <c r="O512" s="8" t="s">
        <v>11847</v>
      </c>
      <c r="P512" s="2">
        <v>2</v>
      </c>
      <c r="Q512" s="8"/>
      <c r="R512" s="8" t="s">
        <v>4651</v>
      </c>
      <c r="S512" s="8" t="str">
        <f>HYPERLINK("https://seichotoushi-hojo.jp/assets/pdf/koufu/outline_70.pdf","PDFを開く")</f>
        <v>PDFを開く</v>
      </c>
      <c r="T512" s="8" t="s">
        <v>1152</v>
      </c>
      <c r="U512" s="8" t="s">
        <v>1153</v>
      </c>
    </row>
    <row r="513" spans="1:21" ht="39.950000000000003" customHeight="1">
      <c r="A513" s="5" t="s">
        <v>1154</v>
      </c>
      <c r="B513" s="5" t="s">
        <v>73</v>
      </c>
      <c r="C513" s="9" t="s">
        <v>1155</v>
      </c>
      <c r="D513" s="9" t="s">
        <v>3176</v>
      </c>
      <c r="E513" s="9" t="s">
        <v>90</v>
      </c>
      <c r="F513" s="5">
        <v>2026</v>
      </c>
      <c r="G513" s="5">
        <v>764</v>
      </c>
      <c r="H513" s="5">
        <v>2029</v>
      </c>
      <c r="I513" s="5">
        <v>1451</v>
      </c>
      <c r="J513" s="5" t="s">
        <v>86</v>
      </c>
      <c r="K513" s="5">
        <v>23.8</v>
      </c>
      <c r="L513" s="5">
        <v>23.839200000000002</v>
      </c>
      <c r="M513" s="5">
        <v>3.9199999999999999E-2</v>
      </c>
      <c r="N513" s="9" t="s">
        <v>11846</v>
      </c>
      <c r="O513" s="9" t="s">
        <v>11847</v>
      </c>
      <c r="P513" s="5">
        <v>2</v>
      </c>
      <c r="Q513" s="9"/>
      <c r="R513" s="9" t="s">
        <v>4657</v>
      </c>
      <c r="S513" s="9" t="str">
        <f>HYPERLINK("https://seichotoushi-hojo.jp/assets/pdf/koufu/outline_71.pdf","PDFを開く")</f>
        <v>PDFを開く</v>
      </c>
      <c r="T513" s="9" t="s">
        <v>1159</v>
      </c>
      <c r="U513" s="9" t="s">
        <v>1160</v>
      </c>
    </row>
    <row r="514" spans="1:21" ht="39.950000000000003" customHeight="1">
      <c r="A514" s="2" t="s">
        <v>1154</v>
      </c>
      <c r="B514" s="2" t="s">
        <v>73</v>
      </c>
      <c r="C514" s="8" t="s">
        <v>1155</v>
      </c>
      <c r="D514" s="8" t="s">
        <v>3184</v>
      </c>
      <c r="E514" s="8" t="s">
        <v>90</v>
      </c>
      <c r="F514" s="2">
        <v>2026</v>
      </c>
      <c r="G514" s="2">
        <v>510</v>
      </c>
      <c r="H514" s="2">
        <v>2029</v>
      </c>
      <c r="I514" s="2">
        <v>590</v>
      </c>
      <c r="J514" s="2" t="s">
        <v>86</v>
      </c>
      <c r="K514" s="2">
        <v>4.99</v>
      </c>
      <c r="L514" s="2">
        <v>4.9768999999999997</v>
      </c>
      <c r="M514" s="2">
        <v>1.3100000000000001E-2</v>
      </c>
      <c r="N514" s="8" t="s">
        <v>11846</v>
      </c>
      <c r="O514" s="8" t="s">
        <v>11847</v>
      </c>
      <c r="P514" s="2">
        <v>2</v>
      </c>
      <c r="Q514" s="8"/>
      <c r="R514" s="8" t="s">
        <v>4660</v>
      </c>
      <c r="S514" s="8" t="str">
        <f>HYPERLINK("https://seichotoushi-hojo.jp/assets/pdf/koufu/outline_71.pdf","PDFを開く")</f>
        <v>PDFを開く</v>
      </c>
      <c r="T514" s="8" t="s">
        <v>1159</v>
      </c>
      <c r="U514" s="8" t="s">
        <v>1160</v>
      </c>
    </row>
    <row r="515" spans="1:21" ht="39.950000000000003" customHeight="1">
      <c r="A515" s="5" t="s">
        <v>1154</v>
      </c>
      <c r="B515" s="5" t="s">
        <v>73</v>
      </c>
      <c r="C515" s="9" t="s">
        <v>1155</v>
      </c>
      <c r="D515" s="9" t="s">
        <v>3188</v>
      </c>
      <c r="E515" s="9" t="s">
        <v>91</v>
      </c>
      <c r="F515" s="5">
        <v>2026</v>
      </c>
      <c r="G515" s="5"/>
      <c r="H515" s="5">
        <v>2029</v>
      </c>
      <c r="I515" s="5"/>
      <c r="J515" s="5" t="s">
        <v>86</v>
      </c>
      <c r="K515" s="5">
        <v>5</v>
      </c>
      <c r="L515" s="5"/>
      <c r="M515" s="5"/>
      <c r="N515" s="9" t="s">
        <v>11846</v>
      </c>
      <c r="O515" s="9" t="s">
        <v>11848</v>
      </c>
      <c r="P515" s="5">
        <v>2</v>
      </c>
      <c r="Q515" s="9"/>
      <c r="R515" s="9" t="s">
        <v>4062</v>
      </c>
      <c r="S515" s="9" t="str">
        <f>HYPERLINK("https://seichotoushi-hojo.jp/assets/pdf/koufu/outline_71.pdf","PDFを開く")</f>
        <v>PDFを開く</v>
      </c>
      <c r="T515" s="9" t="s">
        <v>1159</v>
      </c>
      <c r="U515" s="9" t="s">
        <v>1160</v>
      </c>
    </row>
    <row r="516" spans="1:21" ht="39.950000000000003" customHeight="1">
      <c r="A516" s="2" t="s">
        <v>1154</v>
      </c>
      <c r="B516" s="2" t="s">
        <v>73</v>
      </c>
      <c r="C516" s="8" t="s">
        <v>1155</v>
      </c>
      <c r="D516" s="8" t="s">
        <v>3191</v>
      </c>
      <c r="E516" s="8" t="s">
        <v>92</v>
      </c>
      <c r="F516" s="2">
        <v>2026</v>
      </c>
      <c r="G516" s="2">
        <v>137</v>
      </c>
      <c r="H516" s="2">
        <v>2029</v>
      </c>
      <c r="I516" s="2">
        <v>144</v>
      </c>
      <c r="J516" s="2" t="s">
        <v>2513</v>
      </c>
      <c r="K516" s="2"/>
      <c r="L516" s="2"/>
      <c r="M516" s="2"/>
      <c r="N516" s="8" t="s">
        <v>11846</v>
      </c>
      <c r="O516" s="8" t="s">
        <v>11847</v>
      </c>
      <c r="P516" s="2">
        <v>2</v>
      </c>
      <c r="Q516" s="8"/>
      <c r="R516" s="8" t="s">
        <v>4663</v>
      </c>
      <c r="S516" s="8" t="str">
        <f>HYPERLINK("https://seichotoushi-hojo.jp/assets/pdf/koufu/outline_71.pdf","PDFを開く")</f>
        <v>PDFを開く</v>
      </c>
      <c r="T516" s="8" t="s">
        <v>1159</v>
      </c>
      <c r="U516" s="8" t="s">
        <v>1160</v>
      </c>
    </row>
    <row r="517" spans="1:21" ht="39.950000000000003" customHeight="1">
      <c r="A517" s="5" t="s">
        <v>1161</v>
      </c>
      <c r="B517" s="5" t="s">
        <v>73</v>
      </c>
      <c r="C517" s="9" t="s">
        <v>1162</v>
      </c>
      <c r="D517" s="9" t="s">
        <v>3176</v>
      </c>
      <c r="E517" s="22" t="s">
        <v>113</v>
      </c>
      <c r="F517" s="5">
        <v>2025</v>
      </c>
      <c r="G517" s="5">
        <v>858</v>
      </c>
      <c r="H517" s="5">
        <v>2028</v>
      </c>
      <c r="I517" s="5">
        <v>991</v>
      </c>
      <c r="J517" s="5" t="s">
        <v>86</v>
      </c>
      <c r="K517" s="5">
        <v>9.9</v>
      </c>
      <c r="L517" s="5">
        <v>4.9208999999999996</v>
      </c>
      <c r="M517" s="5">
        <v>4.9790999999999999</v>
      </c>
      <c r="N517" s="9" t="s">
        <v>11846</v>
      </c>
      <c r="O517" s="9" t="s">
        <v>292</v>
      </c>
      <c r="P517" s="5">
        <v>2</v>
      </c>
      <c r="Q517" s="9" t="s">
        <v>11849</v>
      </c>
      <c r="R517" s="9" t="s">
        <v>4675</v>
      </c>
      <c r="S517" s="9" t="str">
        <f>HYPERLINK("https://seichotoushi-hojo.jp/assets/pdf/koufu/outline_72.pdf","PDFを開く")</f>
        <v>PDFを開く</v>
      </c>
      <c r="T517" s="9" t="s">
        <v>1167</v>
      </c>
      <c r="U517" s="9" t="s">
        <v>1168</v>
      </c>
    </row>
    <row r="518" spans="1:21" ht="39.950000000000003" customHeight="1">
      <c r="A518" s="2" t="s">
        <v>1161</v>
      </c>
      <c r="B518" s="2" t="s">
        <v>73</v>
      </c>
      <c r="C518" s="8" t="s">
        <v>1162</v>
      </c>
      <c r="D518" s="8" t="s">
        <v>3184</v>
      </c>
      <c r="E518" s="8" t="s">
        <v>90</v>
      </c>
      <c r="F518" s="2">
        <v>2025</v>
      </c>
      <c r="G518" s="2">
        <v>407</v>
      </c>
      <c r="H518" s="2">
        <v>2028</v>
      </c>
      <c r="I518" s="2">
        <v>465</v>
      </c>
      <c r="J518" s="2" t="s">
        <v>86</v>
      </c>
      <c r="K518" s="2">
        <v>4.5</v>
      </c>
      <c r="L518" s="2">
        <v>4.5408999999999997</v>
      </c>
      <c r="M518" s="2">
        <v>4.0899999999999999E-2</v>
      </c>
      <c r="N518" s="8" t="s">
        <v>11846</v>
      </c>
      <c r="O518" s="8" t="s">
        <v>11847</v>
      </c>
      <c r="P518" s="2">
        <v>2</v>
      </c>
      <c r="Q518" s="8"/>
      <c r="R518" s="8" t="s">
        <v>4670</v>
      </c>
      <c r="S518" s="8" t="str">
        <f>HYPERLINK("https://seichotoushi-hojo.jp/assets/pdf/koufu/outline_72.pdf","PDFを開く")</f>
        <v>PDFを開く</v>
      </c>
      <c r="T518" s="8" t="s">
        <v>1167</v>
      </c>
      <c r="U518" s="8" t="s">
        <v>1168</v>
      </c>
    </row>
    <row r="519" spans="1:21" ht="39.950000000000003" customHeight="1">
      <c r="A519" s="5" t="s">
        <v>1161</v>
      </c>
      <c r="B519" s="5" t="s">
        <v>73</v>
      </c>
      <c r="C519" s="9" t="s">
        <v>1162</v>
      </c>
      <c r="D519" s="9" t="s">
        <v>3188</v>
      </c>
      <c r="E519" s="9" t="s">
        <v>92</v>
      </c>
      <c r="F519" s="5">
        <v>2025</v>
      </c>
      <c r="G519" s="5">
        <v>0</v>
      </c>
      <c r="H519" s="5">
        <v>2028</v>
      </c>
      <c r="I519" s="5">
        <v>0</v>
      </c>
      <c r="J519" s="5" t="s">
        <v>86</v>
      </c>
      <c r="K519" s="5">
        <v>0</v>
      </c>
      <c r="L519" s="5"/>
      <c r="M519" s="5"/>
      <c r="N519" s="9" t="s">
        <v>11846</v>
      </c>
      <c r="O519" s="9" t="s">
        <v>11847</v>
      </c>
      <c r="P519" s="5">
        <v>2</v>
      </c>
      <c r="Q519" s="9"/>
      <c r="R519" s="9" t="s">
        <v>4672</v>
      </c>
      <c r="S519" s="9" t="str">
        <f>HYPERLINK("https://seichotoushi-hojo.jp/assets/pdf/koufu/outline_72.pdf","PDFを開く")</f>
        <v>PDFを開く</v>
      </c>
      <c r="T519" s="9" t="s">
        <v>1167</v>
      </c>
      <c r="U519" s="9" t="s">
        <v>1168</v>
      </c>
    </row>
    <row r="520" spans="1:21" ht="39.950000000000003" customHeight="1">
      <c r="A520" s="2" t="s">
        <v>1161</v>
      </c>
      <c r="B520" s="2" t="s">
        <v>73</v>
      </c>
      <c r="C520" s="8" t="s">
        <v>1162</v>
      </c>
      <c r="D520" s="8" t="s">
        <v>3191</v>
      </c>
      <c r="E520" s="8" t="s">
        <v>92</v>
      </c>
      <c r="F520" s="2">
        <v>2025</v>
      </c>
      <c r="G520" s="2">
        <v>57</v>
      </c>
      <c r="H520" s="2">
        <v>2028</v>
      </c>
      <c r="I520" s="2">
        <v>153</v>
      </c>
      <c r="J520" s="2" t="s">
        <v>2513</v>
      </c>
      <c r="K520" s="2"/>
      <c r="L520" s="2"/>
      <c r="M520" s="2"/>
      <c r="N520" s="8" t="s">
        <v>11846</v>
      </c>
      <c r="O520" s="8" t="s">
        <v>11847</v>
      </c>
      <c r="P520" s="2">
        <v>2</v>
      </c>
      <c r="Q520" s="8"/>
      <c r="R520" s="8" t="s">
        <v>4674</v>
      </c>
      <c r="S520" s="8" t="str">
        <f>HYPERLINK("https://seichotoushi-hojo.jp/assets/pdf/koufu/outline_72.pdf","PDFを開く")</f>
        <v>PDFを開く</v>
      </c>
      <c r="T520" s="8" t="s">
        <v>1167</v>
      </c>
      <c r="U520" s="8" t="s">
        <v>1168</v>
      </c>
    </row>
    <row r="521" spans="1:21" ht="39.950000000000003" customHeight="1">
      <c r="A521" s="5" t="s">
        <v>1169</v>
      </c>
      <c r="B521" s="5" t="s">
        <v>73</v>
      </c>
      <c r="C521" s="9" t="s">
        <v>1170</v>
      </c>
      <c r="D521" s="9" t="s">
        <v>3176</v>
      </c>
      <c r="E521" s="9" t="s">
        <v>90</v>
      </c>
      <c r="F521" s="5">
        <v>2025</v>
      </c>
      <c r="G521" s="5">
        <v>2272.9</v>
      </c>
      <c r="H521" s="5">
        <v>2028</v>
      </c>
      <c r="I521" s="5">
        <v>3382.2</v>
      </c>
      <c r="J521" s="5" t="s">
        <v>86</v>
      </c>
      <c r="K521" s="5">
        <v>14.2</v>
      </c>
      <c r="L521" s="5">
        <v>14.1668</v>
      </c>
      <c r="M521" s="5">
        <v>3.32E-2</v>
      </c>
      <c r="N521" s="9" t="s">
        <v>11846</v>
      </c>
      <c r="O521" s="9" t="s">
        <v>11847</v>
      </c>
      <c r="P521" s="5">
        <v>2</v>
      </c>
      <c r="Q521" s="9"/>
      <c r="R521" s="9" t="s">
        <v>4677</v>
      </c>
      <c r="S521" s="9" t="str">
        <f>HYPERLINK("https://seichotoushi-hojo.jp/assets/pdf/koufu/outline_73.pdf","PDFを開く")</f>
        <v>PDFを開く</v>
      </c>
      <c r="T521" s="9" t="s">
        <v>1176</v>
      </c>
      <c r="U521" s="9" t="s">
        <v>1177</v>
      </c>
    </row>
    <row r="522" spans="1:21" ht="39.950000000000003" customHeight="1">
      <c r="A522" s="2" t="s">
        <v>1169</v>
      </c>
      <c r="B522" s="2" t="s">
        <v>73</v>
      </c>
      <c r="C522" s="8" t="s">
        <v>1170</v>
      </c>
      <c r="D522" s="8" t="s">
        <v>3184</v>
      </c>
      <c r="E522" s="8" t="s">
        <v>90</v>
      </c>
      <c r="F522" s="2">
        <v>2025</v>
      </c>
      <c r="G522" s="2">
        <v>526.5</v>
      </c>
      <c r="H522" s="2">
        <v>2028</v>
      </c>
      <c r="I522" s="2">
        <v>606</v>
      </c>
      <c r="J522" s="2" t="s">
        <v>86</v>
      </c>
      <c r="K522" s="2">
        <v>4.8</v>
      </c>
      <c r="L522" s="2">
        <v>4.7991999999999999</v>
      </c>
      <c r="M522" s="2">
        <v>8.0000000000000004E-4</v>
      </c>
      <c r="N522" s="8" t="s">
        <v>11846</v>
      </c>
      <c r="O522" s="8" t="s">
        <v>11847</v>
      </c>
      <c r="P522" s="2">
        <v>2</v>
      </c>
      <c r="Q522" s="8"/>
      <c r="R522" s="8" t="s">
        <v>4680</v>
      </c>
      <c r="S522" s="8" t="str">
        <f>HYPERLINK("https://seichotoushi-hojo.jp/assets/pdf/koufu/outline_73.pdf","PDFを開く")</f>
        <v>PDFを開く</v>
      </c>
      <c r="T522" s="8" t="s">
        <v>1176</v>
      </c>
      <c r="U522" s="8" t="s">
        <v>1177</v>
      </c>
    </row>
    <row r="523" spans="1:21" ht="39.950000000000003" customHeight="1">
      <c r="A523" s="5" t="s">
        <v>1169</v>
      </c>
      <c r="B523" s="5" t="s">
        <v>73</v>
      </c>
      <c r="C523" s="9" t="s">
        <v>1170</v>
      </c>
      <c r="D523" s="9" t="s">
        <v>3188</v>
      </c>
      <c r="E523" s="9" t="s">
        <v>91</v>
      </c>
      <c r="F523" s="5">
        <v>2025</v>
      </c>
      <c r="G523" s="5"/>
      <c r="H523" s="5">
        <v>2028</v>
      </c>
      <c r="I523" s="5"/>
      <c r="J523" s="5" t="s">
        <v>86</v>
      </c>
      <c r="K523" s="5">
        <v>4.8</v>
      </c>
      <c r="L523" s="5"/>
      <c r="M523" s="5"/>
      <c r="N523" s="9" t="s">
        <v>11846</v>
      </c>
      <c r="O523" s="9" t="s">
        <v>11848</v>
      </c>
      <c r="P523" s="5">
        <v>2</v>
      </c>
      <c r="Q523" s="9"/>
      <c r="R523" s="9" t="s">
        <v>4685</v>
      </c>
      <c r="S523" s="9" t="str">
        <f>HYPERLINK("https://seichotoushi-hojo.jp/assets/pdf/koufu/outline_73.pdf","PDFを開く")</f>
        <v>PDFを開く</v>
      </c>
      <c r="T523" s="9" t="s">
        <v>1176</v>
      </c>
      <c r="U523" s="9" t="s">
        <v>1177</v>
      </c>
    </row>
    <row r="524" spans="1:21" ht="39.950000000000003" customHeight="1">
      <c r="A524" s="2" t="s">
        <v>1169</v>
      </c>
      <c r="B524" s="2" t="s">
        <v>73</v>
      </c>
      <c r="C524" s="8" t="s">
        <v>1170</v>
      </c>
      <c r="D524" s="8" t="s">
        <v>3191</v>
      </c>
      <c r="E524" s="8" t="s">
        <v>92</v>
      </c>
      <c r="F524" s="2">
        <v>2025</v>
      </c>
      <c r="G524" s="2">
        <v>144</v>
      </c>
      <c r="H524" s="2">
        <v>2028</v>
      </c>
      <c r="I524" s="2">
        <v>153</v>
      </c>
      <c r="J524" s="2" t="s">
        <v>2513</v>
      </c>
      <c r="K524" s="2"/>
      <c r="L524" s="2"/>
      <c r="M524" s="2"/>
      <c r="N524" s="8" t="s">
        <v>11846</v>
      </c>
      <c r="O524" s="8" t="s">
        <v>11847</v>
      </c>
      <c r="P524" s="2">
        <v>2</v>
      </c>
      <c r="Q524" s="8"/>
      <c r="R524" s="8" t="s">
        <v>4683</v>
      </c>
      <c r="S524" s="8" t="str">
        <f>HYPERLINK("https://seichotoushi-hojo.jp/assets/pdf/koufu/outline_73.pdf","PDFを開く")</f>
        <v>PDFを開く</v>
      </c>
      <c r="T524" s="8" t="s">
        <v>1176</v>
      </c>
      <c r="U524" s="8" t="s">
        <v>1177</v>
      </c>
    </row>
    <row r="525" spans="1:21" ht="39.950000000000003" customHeight="1">
      <c r="A525" s="5" t="s">
        <v>1178</v>
      </c>
      <c r="B525" s="5" t="s">
        <v>73</v>
      </c>
      <c r="C525" s="9" t="s">
        <v>1179</v>
      </c>
      <c r="D525" s="9" t="s">
        <v>3176</v>
      </c>
      <c r="E525" s="9" t="s">
        <v>90</v>
      </c>
      <c r="F525" s="5">
        <v>2026</v>
      </c>
      <c r="G525" s="5">
        <v>620</v>
      </c>
      <c r="H525" s="5">
        <v>2029</v>
      </c>
      <c r="I525" s="5">
        <v>788</v>
      </c>
      <c r="J525" s="5" t="s">
        <v>86</v>
      </c>
      <c r="K525" s="5">
        <v>8.8000000000000007</v>
      </c>
      <c r="L525" s="5">
        <v>8.3207000000000004</v>
      </c>
      <c r="M525" s="5">
        <v>0.4793</v>
      </c>
      <c r="N525" s="9" t="s">
        <v>11846</v>
      </c>
      <c r="O525" s="9" t="s">
        <v>11847</v>
      </c>
      <c r="P525" s="5">
        <v>2</v>
      </c>
      <c r="Q525" s="9"/>
      <c r="R525" s="9" t="s">
        <v>4689</v>
      </c>
      <c r="S525" s="9" t="str">
        <f>HYPERLINK("https://seichotoushi-hojo.jp/assets/pdf/koufu/outline_74.pdf","PDFを開く")</f>
        <v>PDFを開く</v>
      </c>
      <c r="T525" s="9" t="s">
        <v>1183</v>
      </c>
      <c r="U525" s="9" t="s">
        <v>1184</v>
      </c>
    </row>
    <row r="526" spans="1:21" ht="39.950000000000003" customHeight="1">
      <c r="A526" s="2" t="s">
        <v>1178</v>
      </c>
      <c r="B526" s="2" t="s">
        <v>73</v>
      </c>
      <c r="C526" s="8" t="s">
        <v>1179</v>
      </c>
      <c r="D526" s="8" t="s">
        <v>3184</v>
      </c>
      <c r="E526" s="8" t="s">
        <v>90</v>
      </c>
      <c r="F526" s="2">
        <v>2026</v>
      </c>
      <c r="G526" s="2">
        <v>402</v>
      </c>
      <c r="H526" s="2">
        <v>2029</v>
      </c>
      <c r="I526" s="2">
        <v>489</v>
      </c>
      <c r="J526" s="2" t="s">
        <v>86</v>
      </c>
      <c r="K526" s="2">
        <v>6.72</v>
      </c>
      <c r="L526" s="2">
        <v>6.7483000000000004</v>
      </c>
      <c r="M526" s="2">
        <v>2.8299999999999999E-2</v>
      </c>
      <c r="N526" s="8" t="s">
        <v>11846</v>
      </c>
      <c r="O526" s="8" t="s">
        <v>11847</v>
      </c>
      <c r="P526" s="2">
        <v>2</v>
      </c>
      <c r="Q526" s="8"/>
      <c r="R526" s="8" t="s">
        <v>4691</v>
      </c>
      <c r="S526" s="8" t="str">
        <f>HYPERLINK("https://seichotoushi-hojo.jp/assets/pdf/koufu/outline_74.pdf","PDFを開く")</f>
        <v>PDFを開く</v>
      </c>
      <c r="T526" s="8" t="s">
        <v>1183</v>
      </c>
      <c r="U526" s="8" t="s">
        <v>1184</v>
      </c>
    </row>
    <row r="527" spans="1:21" ht="39.950000000000003" customHeight="1">
      <c r="A527" s="5" t="s">
        <v>1178</v>
      </c>
      <c r="B527" s="5" t="s">
        <v>73</v>
      </c>
      <c r="C527" s="9" t="s">
        <v>1179</v>
      </c>
      <c r="D527" s="9" t="s">
        <v>3188</v>
      </c>
      <c r="E527" s="9" t="s">
        <v>156</v>
      </c>
      <c r="F527" s="5"/>
      <c r="G527" s="5"/>
      <c r="H527" s="5"/>
      <c r="I527" s="5"/>
      <c r="J527" s="5"/>
      <c r="K527" s="5"/>
      <c r="L527" s="5"/>
      <c r="M527" s="5"/>
      <c r="N527" s="9" t="s">
        <v>11850</v>
      </c>
      <c r="O527" s="9"/>
      <c r="P527" s="5"/>
      <c r="Q527" s="9" t="s">
        <v>11851</v>
      </c>
      <c r="R527" s="9"/>
      <c r="S527" s="9" t="str">
        <f>HYPERLINK("https://seichotoushi-hojo.jp/assets/pdf/koufu/outline_74.pdf","PDFを開く")</f>
        <v>PDFを開く</v>
      </c>
      <c r="T527" s="9" t="s">
        <v>1183</v>
      </c>
      <c r="U527" s="9" t="s">
        <v>1184</v>
      </c>
    </row>
    <row r="528" spans="1:21" ht="39.950000000000003" customHeight="1">
      <c r="A528" s="2" t="s">
        <v>1178</v>
      </c>
      <c r="B528" s="2" t="s">
        <v>73</v>
      </c>
      <c r="C528" s="8" t="s">
        <v>1179</v>
      </c>
      <c r="D528" s="8" t="s">
        <v>3191</v>
      </c>
      <c r="E528" s="8" t="s">
        <v>92</v>
      </c>
      <c r="F528" s="2">
        <v>2026</v>
      </c>
      <c r="G528" s="2">
        <v>210</v>
      </c>
      <c r="H528" s="2">
        <v>2029</v>
      </c>
      <c r="I528" s="2">
        <v>285</v>
      </c>
      <c r="J528" s="2" t="s">
        <v>2513</v>
      </c>
      <c r="K528" s="2"/>
      <c r="L528" s="2"/>
      <c r="M528" s="2"/>
      <c r="N528" s="8" t="s">
        <v>11846</v>
      </c>
      <c r="O528" s="8" t="s">
        <v>11847</v>
      </c>
      <c r="P528" s="2">
        <v>2</v>
      </c>
      <c r="Q528" s="8"/>
      <c r="R528" s="8" t="s">
        <v>4694</v>
      </c>
      <c r="S528" s="8" t="str">
        <f>HYPERLINK("https://seichotoushi-hojo.jp/assets/pdf/koufu/outline_74.pdf","PDFを開く")</f>
        <v>PDFを開く</v>
      </c>
      <c r="T528" s="8" t="s">
        <v>1183</v>
      </c>
      <c r="U528" s="8" t="s">
        <v>1184</v>
      </c>
    </row>
    <row r="529" spans="1:21" ht="39.950000000000003" customHeight="1">
      <c r="A529" s="5" t="s">
        <v>1185</v>
      </c>
      <c r="B529" s="5" t="s">
        <v>73</v>
      </c>
      <c r="C529" s="9" t="s">
        <v>1186</v>
      </c>
      <c r="D529" s="9" t="s">
        <v>3176</v>
      </c>
      <c r="E529" s="9" t="s">
        <v>90</v>
      </c>
      <c r="F529" s="5">
        <v>2027</v>
      </c>
      <c r="G529" s="5">
        <v>652</v>
      </c>
      <c r="H529" s="5">
        <v>2030</v>
      </c>
      <c r="I529" s="5">
        <v>1141</v>
      </c>
      <c r="J529" s="5" t="s">
        <v>86</v>
      </c>
      <c r="K529" s="5">
        <v>21.3</v>
      </c>
      <c r="L529" s="5">
        <v>20.507100000000001</v>
      </c>
      <c r="M529" s="5">
        <v>0.79290000000000005</v>
      </c>
      <c r="N529" s="9" t="s">
        <v>11846</v>
      </c>
      <c r="O529" s="9" t="s">
        <v>11847</v>
      </c>
      <c r="P529" s="5">
        <v>2</v>
      </c>
      <c r="Q529" s="9"/>
      <c r="R529" s="9" t="s">
        <v>4696</v>
      </c>
      <c r="S529" s="9" t="str">
        <f>HYPERLINK("https://seichotoushi-hojo.jp/assets/pdf/koufu/outline_75.pdf","PDFを開く")</f>
        <v>PDFを開く</v>
      </c>
      <c r="T529" s="9" t="s">
        <v>1191</v>
      </c>
      <c r="U529" s="9" t="s">
        <v>1192</v>
      </c>
    </row>
    <row r="530" spans="1:21" ht="39.950000000000003" customHeight="1">
      <c r="A530" s="2" t="s">
        <v>1185</v>
      </c>
      <c r="B530" s="2" t="s">
        <v>73</v>
      </c>
      <c r="C530" s="8" t="s">
        <v>1186</v>
      </c>
      <c r="D530" s="8" t="s">
        <v>3184</v>
      </c>
      <c r="E530" s="8" t="s">
        <v>90</v>
      </c>
      <c r="F530" s="2">
        <v>2027</v>
      </c>
      <c r="G530" s="2">
        <v>435</v>
      </c>
      <c r="H530" s="2">
        <v>2030</v>
      </c>
      <c r="I530" s="2">
        <v>485</v>
      </c>
      <c r="J530" s="2" t="s">
        <v>86</v>
      </c>
      <c r="K530" s="2">
        <v>3.67</v>
      </c>
      <c r="L530" s="2">
        <v>3.6932999999999998</v>
      </c>
      <c r="M530" s="2">
        <v>2.3300000000000001E-2</v>
      </c>
      <c r="N530" s="8" t="s">
        <v>11846</v>
      </c>
      <c r="O530" s="8" t="s">
        <v>11847</v>
      </c>
      <c r="P530" s="2">
        <v>2</v>
      </c>
      <c r="Q530" s="8"/>
      <c r="R530" s="8" t="s">
        <v>4699</v>
      </c>
      <c r="S530" s="8" t="str">
        <f>HYPERLINK("https://seichotoushi-hojo.jp/assets/pdf/koufu/outline_75.pdf","PDFを開く")</f>
        <v>PDFを開く</v>
      </c>
      <c r="T530" s="8" t="s">
        <v>1191</v>
      </c>
      <c r="U530" s="8" t="s">
        <v>1192</v>
      </c>
    </row>
    <row r="531" spans="1:21" ht="39.950000000000003" customHeight="1">
      <c r="A531" s="5" t="s">
        <v>1185</v>
      </c>
      <c r="B531" s="5" t="s">
        <v>73</v>
      </c>
      <c r="C531" s="9" t="s">
        <v>1186</v>
      </c>
      <c r="D531" s="9" t="s">
        <v>3188</v>
      </c>
      <c r="E531" s="9" t="s">
        <v>91</v>
      </c>
      <c r="F531" s="5">
        <v>2027</v>
      </c>
      <c r="G531" s="5"/>
      <c r="H531" s="5">
        <v>2030</v>
      </c>
      <c r="I531" s="5"/>
      <c r="J531" s="5" t="s">
        <v>86</v>
      </c>
      <c r="K531" s="5">
        <v>3.85</v>
      </c>
      <c r="L531" s="5"/>
      <c r="M531" s="5"/>
      <c r="N531" s="9" t="s">
        <v>11846</v>
      </c>
      <c r="O531" s="9" t="s">
        <v>11848</v>
      </c>
      <c r="P531" s="5">
        <v>2</v>
      </c>
      <c r="Q531" s="9"/>
      <c r="R531" s="9" t="s">
        <v>4705</v>
      </c>
      <c r="S531" s="9" t="str">
        <f>HYPERLINK("https://seichotoushi-hojo.jp/assets/pdf/koufu/outline_75.pdf","PDFを開く")</f>
        <v>PDFを開く</v>
      </c>
      <c r="T531" s="9" t="s">
        <v>1191</v>
      </c>
      <c r="U531" s="9" t="s">
        <v>1192</v>
      </c>
    </row>
    <row r="532" spans="1:21" ht="39.950000000000003" customHeight="1">
      <c r="A532" s="2" t="s">
        <v>1185</v>
      </c>
      <c r="B532" s="2" t="s">
        <v>73</v>
      </c>
      <c r="C532" s="8" t="s">
        <v>1186</v>
      </c>
      <c r="D532" s="8" t="s">
        <v>3191</v>
      </c>
      <c r="E532" s="8" t="s">
        <v>92</v>
      </c>
      <c r="F532" s="2">
        <v>2027</v>
      </c>
      <c r="G532" s="2">
        <v>166</v>
      </c>
      <c r="H532" s="2">
        <v>2030</v>
      </c>
      <c r="I532" s="2">
        <v>181</v>
      </c>
      <c r="J532" s="2" t="s">
        <v>2513</v>
      </c>
      <c r="K532" s="2"/>
      <c r="L532" s="2"/>
      <c r="M532" s="2"/>
      <c r="N532" s="8" t="s">
        <v>11846</v>
      </c>
      <c r="O532" s="8" t="s">
        <v>11847</v>
      </c>
      <c r="P532" s="2">
        <v>2</v>
      </c>
      <c r="Q532" s="8"/>
      <c r="R532" s="8" t="s">
        <v>4702</v>
      </c>
      <c r="S532" s="8" t="str">
        <f>HYPERLINK("https://seichotoushi-hojo.jp/assets/pdf/koufu/outline_75.pdf","PDFを開く")</f>
        <v>PDFを開く</v>
      </c>
      <c r="T532" s="8" t="s">
        <v>1191</v>
      </c>
      <c r="U532" s="8" t="s">
        <v>1192</v>
      </c>
    </row>
    <row r="533" spans="1:21" ht="39.950000000000003" customHeight="1">
      <c r="A533" s="5" t="s">
        <v>1193</v>
      </c>
      <c r="B533" s="5" t="s">
        <v>73</v>
      </c>
      <c r="C533" s="9" t="s">
        <v>1194</v>
      </c>
      <c r="D533" s="9" t="s">
        <v>3176</v>
      </c>
      <c r="E533" s="9" t="s">
        <v>90</v>
      </c>
      <c r="F533" s="5">
        <v>2026</v>
      </c>
      <c r="G533" s="5">
        <v>973</v>
      </c>
      <c r="H533" s="5">
        <v>2029</v>
      </c>
      <c r="I533" s="5">
        <v>1200</v>
      </c>
      <c r="J533" s="5" t="s">
        <v>86</v>
      </c>
      <c r="K533" s="5">
        <v>7.22</v>
      </c>
      <c r="L533" s="5">
        <v>7.2397999999999998</v>
      </c>
      <c r="M533" s="5">
        <v>1.9800000000000002E-2</v>
      </c>
      <c r="N533" s="9" t="s">
        <v>11846</v>
      </c>
      <c r="O533" s="9" t="s">
        <v>11847</v>
      </c>
      <c r="P533" s="5">
        <v>4</v>
      </c>
      <c r="Q533" s="9"/>
      <c r="R533" s="9" t="s">
        <v>4709</v>
      </c>
      <c r="S533" s="9" t="str">
        <f>HYPERLINK("https://seichotoushi-hojo.jp/assets/pdf/koufu/outline_76.pdf","PDFを開く")</f>
        <v>PDFを開く</v>
      </c>
      <c r="T533" s="9" t="s">
        <v>1201</v>
      </c>
      <c r="U533" s="9" t="s">
        <v>1202</v>
      </c>
    </row>
    <row r="534" spans="1:21" ht="39.950000000000003" customHeight="1">
      <c r="A534" s="2" t="s">
        <v>1193</v>
      </c>
      <c r="B534" s="2" t="s">
        <v>73</v>
      </c>
      <c r="C534" s="8" t="s">
        <v>1194</v>
      </c>
      <c r="D534" s="8" t="s">
        <v>3184</v>
      </c>
      <c r="E534" s="8" t="s">
        <v>90</v>
      </c>
      <c r="F534" s="2">
        <v>2026</v>
      </c>
      <c r="G534" s="2">
        <v>560</v>
      </c>
      <c r="H534" s="2">
        <v>2029</v>
      </c>
      <c r="I534" s="2">
        <v>615</v>
      </c>
      <c r="J534" s="2" t="s">
        <v>86</v>
      </c>
      <c r="K534" s="2">
        <v>3.19</v>
      </c>
      <c r="L534" s="2">
        <v>3.1720999999999999</v>
      </c>
      <c r="M534" s="2">
        <v>1.7899999999999999E-2</v>
      </c>
      <c r="N534" s="8" t="s">
        <v>11846</v>
      </c>
      <c r="O534" s="8" t="s">
        <v>11847</v>
      </c>
      <c r="P534" s="2">
        <v>4</v>
      </c>
      <c r="Q534" s="8"/>
      <c r="R534" s="8" t="s">
        <v>4711</v>
      </c>
      <c r="S534" s="8" t="str">
        <f>HYPERLINK("https://seichotoushi-hojo.jp/assets/pdf/koufu/outline_76.pdf","PDFを開く")</f>
        <v>PDFを開く</v>
      </c>
      <c r="T534" s="8" t="s">
        <v>1201</v>
      </c>
      <c r="U534" s="8" t="s">
        <v>1202</v>
      </c>
    </row>
    <row r="535" spans="1:21" ht="39.950000000000003" customHeight="1">
      <c r="A535" s="5" t="s">
        <v>1193</v>
      </c>
      <c r="B535" s="5" t="s">
        <v>73</v>
      </c>
      <c r="C535" s="9" t="s">
        <v>1194</v>
      </c>
      <c r="D535" s="9" t="s">
        <v>3188</v>
      </c>
      <c r="E535" s="9" t="s">
        <v>91</v>
      </c>
      <c r="F535" s="5">
        <v>2026</v>
      </c>
      <c r="G535" s="5"/>
      <c r="H535" s="5">
        <v>2029</v>
      </c>
      <c r="I535" s="5"/>
      <c r="J535" s="5" t="s">
        <v>86</v>
      </c>
      <c r="K535" s="5">
        <v>3</v>
      </c>
      <c r="L535" s="5"/>
      <c r="M535" s="5"/>
      <c r="N535" s="9" t="s">
        <v>11846</v>
      </c>
      <c r="O535" s="9" t="s">
        <v>11848</v>
      </c>
      <c r="P535" s="5">
        <v>4</v>
      </c>
      <c r="Q535" s="9"/>
      <c r="R535" s="9" t="s">
        <v>4716</v>
      </c>
      <c r="S535" s="9" t="str">
        <f>HYPERLINK("https://seichotoushi-hojo.jp/assets/pdf/koufu/outline_76.pdf","PDFを開く")</f>
        <v>PDFを開く</v>
      </c>
      <c r="T535" s="9" t="s">
        <v>1201</v>
      </c>
      <c r="U535" s="9" t="s">
        <v>1202</v>
      </c>
    </row>
    <row r="536" spans="1:21" ht="39.950000000000003" customHeight="1">
      <c r="A536" s="2" t="s">
        <v>1193</v>
      </c>
      <c r="B536" s="2" t="s">
        <v>73</v>
      </c>
      <c r="C536" s="8" t="s">
        <v>1194</v>
      </c>
      <c r="D536" s="8" t="s">
        <v>3191</v>
      </c>
      <c r="E536" s="8" t="s">
        <v>92</v>
      </c>
      <c r="F536" s="2">
        <v>2026</v>
      </c>
      <c r="G536" s="2">
        <v>420</v>
      </c>
      <c r="H536" s="2">
        <v>2029</v>
      </c>
      <c r="I536" s="2">
        <v>429</v>
      </c>
      <c r="J536" s="2" t="s">
        <v>2513</v>
      </c>
      <c r="K536" s="2"/>
      <c r="L536" s="2"/>
      <c r="M536" s="2"/>
      <c r="N536" s="8" t="s">
        <v>11846</v>
      </c>
      <c r="O536" s="8" t="s">
        <v>11847</v>
      </c>
      <c r="P536" s="2">
        <v>4</v>
      </c>
      <c r="Q536" s="8"/>
      <c r="R536" s="8" t="s">
        <v>4714</v>
      </c>
      <c r="S536" s="8" t="str">
        <f>HYPERLINK("https://seichotoushi-hojo.jp/assets/pdf/koufu/outline_76.pdf","PDFを開く")</f>
        <v>PDFを開く</v>
      </c>
      <c r="T536" s="8" t="s">
        <v>1201</v>
      </c>
      <c r="U536" s="8" t="s">
        <v>1202</v>
      </c>
    </row>
    <row r="537" spans="1:21" ht="39.950000000000003" customHeight="1">
      <c r="A537" s="5" t="s">
        <v>1203</v>
      </c>
      <c r="B537" s="5" t="s">
        <v>73</v>
      </c>
      <c r="C537" s="9" t="s">
        <v>1204</v>
      </c>
      <c r="D537" s="9" t="s">
        <v>3176</v>
      </c>
      <c r="E537" s="9" t="s">
        <v>90</v>
      </c>
      <c r="F537" s="5">
        <v>2026</v>
      </c>
      <c r="G537" s="5">
        <v>538</v>
      </c>
      <c r="H537" s="5">
        <v>2029</v>
      </c>
      <c r="I537" s="5">
        <v>682</v>
      </c>
      <c r="J537" s="5" t="s">
        <v>86</v>
      </c>
      <c r="K537" s="5">
        <v>8.25</v>
      </c>
      <c r="L537" s="5">
        <v>8.2265999999999995</v>
      </c>
      <c r="M537" s="5">
        <v>2.3400000000000001E-2</v>
      </c>
      <c r="N537" s="9" t="s">
        <v>11846</v>
      </c>
      <c r="O537" s="9" t="s">
        <v>11847</v>
      </c>
      <c r="P537" s="5">
        <v>2</v>
      </c>
      <c r="Q537" s="9"/>
      <c r="R537" s="9" t="s">
        <v>4720</v>
      </c>
      <c r="S537" s="9" t="str">
        <f>HYPERLINK("https://seichotoushi-hojo.jp/assets/pdf/koufu/outline_77.pdf","PDFを開く")</f>
        <v>PDFを開く</v>
      </c>
      <c r="T537" s="9" t="s">
        <v>1209</v>
      </c>
      <c r="U537" s="9" t="s">
        <v>1210</v>
      </c>
    </row>
    <row r="538" spans="1:21" ht="39.950000000000003" customHeight="1">
      <c r="A538" s="2" t="s">
        <v>1203</v>
      </c>
      <c r="B538" s="2" t="s">
        <v>73</v>
      </c>
      <c r="C538" s="8" t="s">
        <v>1204</v>
      </c>
      <c r="D538" s="8" t="s">
        <v>3184</v>
      </c>
      <c r="E538" s="8" t="s">
        <v>90</v>
      </c>
      <c r="F538" s="2">
        <v>2026</v>
      </c>
      <c r="G538" s="2">
        <v>534</v>
      </c>
      <c r="H538" s="2">
        <v>2029</v>
      </c>
      <c r="I538" s="2">
        <v>671</v>
      </c>
      <c r="J538" s="2" t="s">
        <v>86</v>
      </c>
      <c r="K538" s="2">
        <v>7.89</v>
      </c>
      <c r="L538" s="2">
        <v>7.9097</v>
      </c>
      <c r="M538" s="2">
        <v>1.9699999999999999E-2</v>
      </c>
      <c r="N538" s="8" t="s">
        <v>11846</v>
      </c>
      <c r="O538" s="8" t="s">
        <v>11847</v>
      </c>
      <c r="P538" s="2">
        <v>2</v>
      </c>
      <c r="Q538" s="8"/>
      <c r="R538" s="8" t="s">
        <v>4723</v>
      </c>
      <c r="S538" s="8" t="str">
        <f>HYPERLINK("https://seichotoushi-hojo.jp/assets/pdf/koufu/outline_77.pdf","PDFを開く")</f>
        <v>PDFを開く</v>
      </c>
      <c r="T538" s="8" t="s">
        <v>1209</v>
      </c>
      <c r="U538" s="8" t="s">
        <v>1210</v>
      </c>
    </row>
    <row r="539" spans="1:21" ht="39.950000000000003" customHeight="1">
      <c r="A539" s="5" t="s">
        <v>1203</v>
      </c>
      <c r="B539" s="5" t="s">
        <v>73</v>
      </c>
      <c r="C539" s="9" t="s">
        <v>1204</v>
      </c>
      <c r="D539" s="9" t="s">
        <v>3188</v>
      </c>
      <c r="E539" s="9" t="s">
        <v>156</v>
      </c>
      <c r="F539" s="5"/>
      <c r="G539" s="5"/>
      <c r="H539" s="5"/>
      <c r="I539" s="5"/>
      <c r="J539" s="5"/>
      <c r="K539" s="5"/>
      <c r="L539" s="5"/>
      <c r="M539" s="5"/>
      <c r="N539" s="9" t="s">
        <v>11850</v>
      </c>
      <c r="O539" s="9"/>
      <c r="P539" s="5"/>
      <c r="Q539" s="9" t="s">
        <v>11851</v>
      </c>
      <c r="R539" s="9"/>
      <c r="S539" s="9" t="str">
        <f>HYPERLINK("https://seichotoushi-hojo.jp/assets/pdf/koufu/outline_77.pdf","PDFを開く")</f>
        <v>PDFを開く</v>
      </c>
      <c r="T539" s="9" t="s">
        <v>1209</v>
      </c>
      <c r="U539" s="9" t="s">
        <v>1210</v>
      </c>
    </row>
    <row r="540" spans="1:21" ht="39.950000000000003" customHeight="1">
      <c r="A540" s="2" t="s">
        <v>1203</v>
      </c>
      <c r="B540" s="2" t="s">
        <v>73</v>
      </c>
      <c r="C540" s="8" t="s">
        <v>1204</v>
      </c>
      <c r="D540" s="8" t="s">
        <v>3191</v>
      </c>
      <c r="E540" s="8" t="s">
        <v>92</v>
      </c>
      <c r="F540" s="2">
        <v>2026</v>
      </c>
      <c r="G540" s="2">
        <v>109</v>
      </c>
      <c r="H540" s="2">
        <v>2029</v>
      </c>
      <c r="I540" s="2">
        <v>117</v>
      </c>
      <c r="J540" s="2" t="s">
        <v>2513</v>
      </c>
      <c r="K540" s="2"/>
      <c r="L540" s="2"/>
      <c r="M540" s="2"/>
      <c r="N540" s="8" t="s">
        <v>11846</v>
      </c>
      <c r="O540" s="8" t="s">
        <v>11847</v>
      </c>
      <c r="P540" s="2">
        <v>2</v>
      </c>
      <c r="Q540" s="8"/>
      <c r="R540" s="8" t="s">
        <v>4726</v>
      </c>
      <c r="S540" s="8" t="str">
        <f>HYPERLINK("https://seichotoushi-hojo.jp/assets/pdf/koufu/outline_77.pdf","PDFを開く")</f>
        <v>PDFを開く</v>
      </c>
      <c r="T540" s="8" t="s">
        <v>1209</v>
      </c>
      <c r="U540" s="8" t="s">
        <v>1210</v>
      </c>
    </row>
    <row r="541" spans="1:21" ht="39.950000000000003" customHeight="1">
      <c r="A541" s="5" t="s">
        <v>1211</v>
      </c>
      <c r="B541" s="5" t="s">
        <v>73</v>
      </c>
      <c r="C541" s="9" t="s">
        <v>1212</v>
      </c>
      <c r="D541" s="9" t="s">
        <v>3176</v>
      </c>
      <c r="E541" s="9" t="s">
        <v>90</v>
      </c>
      <c r="F541" s="5">
        <v>2026</v>
      </c>
      <c r="G541" s="5">
        <v>1935</v>
      </c>
      <c r="H541" s="5">
        <v>2029</v>
      </c>
      <c r="I541" s="5">
        <v>3567</v>
      </c>
      <c r="J541" s="5" t="s">
        <v>86</v>
      </c>
      <c r="K541" s="5">
        <v>22.6</v>
      </c>
      <c r="L541" s="5">
        <v>22.6142</v>
      </c>
      <c r="M541" s="5">
        <v>1.4200000000000001E-2</v>
      </c>
      <c r="N541" s="9" t="s">
        <v>11846</v>
      </c>
      <c r="O541" s="9" t="s">
        <v>11847</v>
      </c>
      <c r="P541" s="5">
        <v>2</v>
      </c>
      <c r="Q541" s="9"/>
      <c r="R541" s="9" t="s">
        <v>4729</v>
      </c>
      <c r="S541" s="9" t="str">
        <f>HYPERLINK("https://seichotoushi-hojo.jp/assets/pdf/koufu/outline_78.pdf","PDFを開く")</f>
        <v>PDFを開く</v>
      </c>
      <c r="T541" s="9" t="s">
        <v>1217</v>
      </c>
      <c r="U541" s="9" t="s">
        <v>1218</v>
      </c>
    </row>
    <row r="542" spans="1:21" ht="39.950000000000003" customHeight="1">
      <c r="A542" s="2" t="s">
        <v>1211</v>
      </c>
      <c r="B542" s="2" t="s">
        <v>73</v>
      </c>
      <c r="C542" s="8" t="s">
        <v>1212</v>
      </c>
      <c r="D542" s="8" t="s">
        <v>3184</v>
      </c>
      <c r="E542" s="8" t="s">
        <v>90</v>
      </c>
      <c r="F542" s="2">
        <v>2026</v>
      </c>
      <c r="G542" s="2">
        <v>374</v>
      </c>
      <c r="H542" s="2">
        <v>2029</v>
      </c>
      <c r="I542" s="2">
        <v>415</v>
      </c>
      <c r="J542" s="2" t="s">
        <v>86</v>
      </c>
      <c r="K542" s="2">
        <v>3.53</v>
      </c>
      <c r="L542" s="2">
        <v>3.5282</v>
      </c>
      <c r="M542" s="2">
        <v>1.8E-3</v>
      </c>
      <c r="N542" s="8" t="s">
        <v>11846</v>
      </c>
      <c r="O542" s="8" t="s">
        <v>11847</v>
      </c>
      <c r="P542" s="2">
        <v>2</v>
      </c>
      <c r="Q542" s="8"/>
      <c r="R542" s="8" t="s">
        <v>4732</v>
      </c>
      <c r="S542" s="8" t="str">
        <f>HYPERLINK("https://seichotoushi-hojo.jp/assets/pdf/koufu/outline_78.pdf","PDFを開く")</f>
        <v>PDFを開く</v>
      </c>
      <c r="T542" s="8" t="s">
        <v>1217</v>
      </c>
      <c r="U542" s="8" t="s">
        <v>1218</v>
      </c>
    </row>
    <row r="543" spans="1:21" ht="39.950000000000003" customHeight="1">
      <c r="A543" s="5" t="s">
        <v>1211</v>
      </c>
      <c r="B543" s="5" t="s">
        <v>73</v>
      </c>
      <c r="C543" s="9" t="s">
        <v>1212</v>
      </c>
      <c r="D543" s="9" t="s">
        <v>3188</v>
      </c>
      <c r="E543" s="9" t="s">
        <v>92</v>
      </c>
      <c r="F543" s="5">
        <v>2026</v>
      </c>
      <c r="G543" s="5">
        <v>0</v>
      </c>
      <c r="H543" s="5">
        <v>2029</v>
      </c>
      <c r="I543" s="5">
        <v>0</v>
      </c>
      <c r="J543" s="5" t="s">
        <v>86</v>
      </c>
      <c r="K543" s="5">
        <v>0</v>
      </c>
      <c r="L543" s="5"/>
      <c r="M543" s="5"/>
      <c r="N543" s="9" t="s">
        <v>11846</v>
      </c>
      <c r="O543" s="9" t="s">
        <v>11847</v>
      </c>
      <c r="P543" s="5">
        <v>2</v>
      </c>
      <c r="Q543" s="9"/>
      <c r="R543" s="9" t="s">
        <v>3268</v>
      </c>
      <c r="S543" s="9" t="str">
        <f>HYPERLINK("https://seichotoushi-hojo.jp/assets/pdf/koufu/outline_78.pdf","PDFを開く")</f>
        <v>PDFを開く</v>
      </c>
      <c r="T543" s="9" t="s">
        <v>1217</v>
      </c>
      <c r="U543" s="9" t="s">
        <v>1218</v>
      </c>
    </row>
    <row r="544" spans="1:21" ht="39.950000000000003" customHeight="1">
      <c r="A544" s="2" t="s">
        <v>1211</v>
      </c>
      <c r="B544" s="2" t="s">
        <v>73</v>
      </c>
      <c r="C544" s="8" t="s">
        <v>1212</v>
      </c>
      <c r="D544" s="8" t="s">
        <v>3191</v>
      </c>
      <c r="E544" s="8" t="s">
        <v>92</v>
      </c>
      <c r="F544" s="2">
        <v>2026</v>
      </c>
      <c r="G544" s="2">
        <v>15</v>
      </c>
      <c r="H544" s="2">
        <v>2029</v>
      </c>
      <c r="I544" s="2">
        <v>33</v>
      </c>
      <c r="J544" s="2" t="s">
        <v>2513</v>
      </c>
      <c r="K544" s="2"/>
      <c r="L544" s="2"/>
      <c r="M544" s="2"/>
      <c r="N544" s="8" t="s">
        <v>11846</v>
      </c>
      <c r="O544" s="8" t="s">
        <v>11847</v>
      </c>
      <c r="P544" s="2">
        <v>2</v>
      </c>
      <c r="Q544" s="8"/>
      <c r="R544" s="8" t="s">
        <v>4735</v>
      </c>
      <c r="S544" s="8" t="str">
        <f>HYPERLINK("https://seichotoushi-hojo.jp/assets/pdf/koufu/outline_78.pdf","PDFを開く")</f>
        <v>PDFを開く</v>
      </c>
      <c r="T544" s="8" t="s">
        <v>1217</v>
      </c>
      <c r="U544" s="8" t="s">
        <v>1218</v>
      </c>
    </row>
    <row r="545" spans="1:21" ht="39.950000000000003" customHeight="1">
      <c r="A545" s="5" t="s">
        <v>1219</v>
      </c>
      <c r="B545" s="5" t="s">
        <v>73</v>
      </c>
      <c r="C545" s="9" t="s">
        <v>1220</v>
      </c>
      <c r="D545" s="9" t="s">
        <v>3176</v>
      </c>
      <c r="E545" s="9" t="s">
        <v>90</v>
      </c>
      <c r="F545" s="5">
        <v>2027</v>
      </c>
      <c r="G545" s="5">
        <v>1177</v>
      </c>
      <c r="H545" s="5">
        <v>2030</v>
      </c>
      <c r="I545" s="5">
        <v>1712.5</v>
      </c>
      <c r="J545" s="5" t="s">
        <v>86</v>
      </c>
      <c r="K545" s="5">
        <v>13.3</v>
      </c>
      <c r="L545" s="5">
        <v>13.314299999999999</v>
      </c>
      <c r="M545" s="5">
        <v>1.43E-2</v>
      </c>
      <c r="N545" s="9" t="s">
        <v>11846</v>
      </c>
      <c r="O545" s="9" t="s">
        <v>11847</v>
      </c>
      <c r="P545" s="5">
        <v>2</v>
      </c>
      <c r="Q545" s="9"/>
      <c r="R545" s="9" t="s">
        <v>4737</v>
      </c>
      <c r="S545" s="9" t="str">
        <f>HYPERLINK("https://seichotoushi-hojo.jp/assets/pdf/koufu/outline_79.pdf","PDFを開く")</f>
        <v>PDFを開く</v>
      </c>
      <c r="T545" s="9" t="s">
        <v>1224</v>
      </c>
      <c r="U545" s="9" t="s">
        <v>1225</v>
      </c>
    </row>
    <row r="546" spans="1:21" ht="39.950000000000003" customHeight="1">
      <c r="A546" s="2" t="s">
        <v>1219</v>
      </c>
      <c r="B546" s="2" t="s">
        <v>73</v>
      </c>
      <c r="C546" s="8" t="s">
        <v>1220</v>
      </c>
      <c r="D546" s="8" t="s">
        <v>3184</v>
      </c>
      <c r="E546" s="8" t="s">
        <v>90</v>
      </c>
      <c r="F546" s="2">
        <v>2027</v>
      </c>
      <c r="G546" s="2">
        <v>618</v>
      </c>
      <c r="H546" s="2">
        <v>2030</v>
      </c>
      <c r="I546" s="2">
        <v>715</v>
      </c>
      <c r="J546" s="2" t="s">
        <v>86</v>
      </c>
      <c r="K546" s="2">
        <v>5</v>
      </c>
      <c r="L546" s="2">
        <v>4.9798</v>
      </c>
      <c r="M546" s="2">
        <v>2.0199999999999999E-2</v>
      </c>
      <c r="N546" s="8" t="s">
        <v>11846</v>
      </c>
      <c r="O546" s="8" t="s">
        <v>11847</v>
      </c>
      <c r="P546" s="2">
        <v>2</v>
      </c>
      <c r="Q546" s="8"/>
      <c r="R546" s="8" t="s">
        <v>4739</v>
      </c>
      <c r="S546" s="8" t="str">
        <f>HYPERLINK("https://seichotoushi-hojo.jp/assets/pdf/koufu/outline_79.pdf","PDFを開く")</f>
        <v>PDFを開く</v>
      </c>
      <c r="T546" s="8" t="s">
        <v>1224</v>
      </c>
      <c r="U546" s="8" t="s">
        <v>1225</v>
      </c>
    </row>
    <row r="547" spans="1:21" ht="39.950000000000003" customHeight="1">
      <c r="A547" s="5" t="s">
        <v>1219</v>
      </c>
      <c r="B547" s="5" t="s">
        <v>73</v>
      </c>
      <c r="C547" s="9" t="s">
        <v>1220</v>
      </c>
      <c r="D547" s="9" t="s">
        <v>3188</v>
      </c>
      <c r="E547" s="9" t="s">
        <v>91</v>
      </c>
      <c r="F547" s="5">
        <v>2027</v>
      </c>
      <c r="G547" s="5"/>
      <c r="H547" s="5">
        <v>2030</v>
      </c>
      <c r="I547" s="5"/>
      <c r="J547" s="5" t="s">
        <v>86</v>
      </c>
      <c r="K547" s="5">
        <v>5</v>
      </c>
      <c r="L547" s="5"/>
      <c r="M547" s="5"/>
      <c r="N547" s="9" t="s">
        <v>11846</v>
      </c>
      <c r="O547" s="9" t="s">
        <v>11848</v>
      </c>
      <c r="P547" s="5">
        <v>2</v>
      </c>
      <c r="Q547" s="9"/>
      <c r="R547" s="9" t="s">
        <v>3382</v>
      </c>
      <c r="S547" s="9" t="str">
        <f>HYPERLINK("https://seichotoushi-hojo.jp/assets/pdf/koufu/outline_79.pdf","PDFを開く")</f>
        <v>PDFを開く</v>
      </c>
      <c r="T547" s="9" t="s">
        <v>1224</v>
      </c>
      <c r="U547" s="9" t="s">
        <v>1225</v>
      </c>
    </row>
    <row r="548" spans="1:21" ht="39.950000000000003" customHeight="1">
      <c r="A548" s="2" t="s">
        <v>1219</v>
      </c>
      <c r="B548" s="2" t="s">
        <v>73</v>
      </c>
      <c r="C548" s="8" t="s">
        <v>1220</v>
      </c>
      <c r="D548" s="8" t="s">
        <v>3191</v>
      </c>
      <c r="E548" s="8" t="s">
        <v>92</v>
      </c>
      <c r="F548" s="2">
        <v>2027</v>
      </c>
      <c r="G548" s="2">
        <v>117</v>
      </c>
      <c r="H548" s="2">
        <v>2030</v>
      </c>
      <c r="I548" s="2">
        <v>127</v>
      </c>
      <c r="J548" s="2" t="s">
        <v>2513</v>
      </c>
      <c r="K548" s="2"/>
      <c r="L548" s="2"/>
      <c r="M548" s="2"/>
      <c r="N548" s="8" t="s">
        <v>11846</v>
      </c>
      <c r="O548" s="8" t="s">
        <v>11847</v>
      </c>
      <c r="P548" s="2">
        <v>2</v>
      </c>
      <c r="Q548" s="8"/>
      <c r="R548" s="8" t="s">
        <v>4741</v>
      </c>
      <c r="S548" s="8" t="str">
        <f>HYPERLINK("https://seichotoushi-hojo.jp/assets/pdf/koufu/outline_79.pdf","PDFを開く")</f>
        <v>PDFを開く</v>
      </c>
      <c r="T548" s="8" t="s">
        <v>1224</v>
      </c>
      <c r="U548" s="8" t="s">
        <v>1225</v>
      </c>
    </row>
    <row r="549" spans="1:21" ht="39.950000000000003" customHeight="1">
      <c r="A549" s="5" t="s">
        <v>1226</v>
      </c>
      <c r="B549" s="5" t="s">
        <v>73</v>
      </c>
      <c r="C549" s="9" t="s">
        <v>1227</v>
      </c>
      <c r="D549" s="9" t="s">
        <v>3176</v>
      </c>
      <c r="E549" s="9" t="s">
        <v>90</v>
      </c>
      <c r="F549" s="5">
        <v>2026</v>
      </c>
      <c r="G549" s="5">
        <v>722</v>
      </c>
      <c r="H549" s="5">
        <v>2029</v>
      </c>
      <c r="I549" s="5">
        <v>2788</v>
      </c>
      <c r="J549" s="5" t="s">
        <v>86</v>
      </c>
      <c r="K549" s="5">
        <v>56.9</v>
      </c>
      <c r="L549" s="5">
        <v>56.886400000000002</v>
      </c>
      <c r="M549" s="5">
        <v>1.3599999999999999E-2</v>
      </c>
      <c r="N549" s="9" t="s">
        <v>11846</v>
      </c>
      <c r="O549" s="9" t="s">
        <v>11847</v>
      </c>
      <c r="P549" s="5">
        <v>2</v>
      </c>
      <c r="Q549" s="9"/>
      <c r="R549" s="9" t="s">
        <v>4746</v>
      </c>
      <c r="S549" s="9" t="str">
        <f>HYPERLINK("https://seichotoushi-hojo.jp/assets/pdf/koufu/outline_8.pdf","PDFを開く")</f>
        <v>PDFを開く</v>
      </c>
      <c r="T549" s="9" t="s">
        <v>1231</v>
      </c>
      <c r="U549" s="9" t="s">
        <v>1232</v>
      </c>
    </row>
    <row r="550" spans="1:21" ht="39.950000000000003" customHeight="1">
      <c r="A550" s="2" t="s">
        <v>1226</v>
      </c>
      <c r="B550" s="2" t="s">
        <v>73</v>
      </c>
      <c r="C550" s="8" t="s">
        <v>1227</v>
      </c>
      <c r="D550" s="8" t="s">
        <v>3184</v>
      </c>
      <c r="E550" s="8" t="s">
        <v>166</v>
      </c>
      <c r="F550" s="2">
        <v>2026</v>
      </c>
      <c r="G550" s="2">
        <v>623</v>
      </c>
      <c r="H550" s="2">
        <v>2029</v>
      </c>
      <c r="I550" s="2">
        <v>691</v>
      </c>
      <c r="J550" s="2" t="s">
        <v>86</v>
      </c>
      <c r="K550" s="2">
        <v>3.5</v>
      </c>
      <c r="L550" s="2">
        <v>3.5133999999999999</v>
      </c>
      <c r="M550" s="2">
        <v>1.34E-2</v>
      </c>
      <c r="N550" s="8" t="s">
        <v>11846</v>
      </c>
      <c r="O550" s="8" t="s">
        <v>292</v>
      </c>
      <c r="P550" s="2">
        <v>2</v>
      </c>
      <c r="Q550" s="8"/>
      <c r="R550" s="8" t="s">
        <v>4750</v>
      </c>
      <c r="S550" s="8" t="str">
        <f>HYPERLINK("https://seichotoushi-hojo.jp/assets/pdf/koufu/outline_8.pdf","PDFを開く")</f>
        <v>PDFを開く</v>
      </c>
      <c r="T550" s="8" t="s">
        <v>1231</v>
      </c>
      <c r="U550" s="8" t="s">
        <v>1232</v>
      </c>
    </row>
    <row r="551" spans="1:21" ht="39.950000000000003" customHeight="1">
      <c r="A551" s="5" t="s">
        <v>1226</v>
      </c>
      <c r="B551" s="5" t="s">
        <v>73</v>
      </c>
      <c r="C551" s="9" t="s">
        <v>1227</v>
      </c>
      <c r="D551" s="9" t="s">
        <v>3188</v>
      </c>
      <c r="E551" s="9" t="s">
        <v>157</v>
      </c>
      <c r="F551" s="5"/>
      <c r="G551" s="5"/>
      <c r="H551" s="5"/>
      <c r="I551" s="5"/>
      <c r="J551" s="5"/>
      <c r="K551" s="5"/>
      <c r="L551" s="5"/>
      <c r="M551" s="5"/>
      <c r="N551" s="9" t="s">
        <v>11850</v>
      </c>
      <c r="O551" s="9"/>
      <c r="P551" s="5"/>
      <c r="Q551" s="9" t="s">
        <v>11851</v>
      </c>
      <c r="R551" s="9"/>
      <c r="S551" s="9" t="str">
        <f>HYPERLINK("https://seichotoushi-hojo.jp/assets/pdf/koufu/outline_8.pdf","PDFを開く")</f>
        <v>PDFを開く</v>
      </c>
      <c r="T551" s="9" t="s">
        <v>1231</v>
      </c>
      <c r="U551" s="9" t="s">
        <v>1232</v>
      </c>
    </row>
    <row r="552" spans="1:21" ht="39.950000000000003" customHeight="1">
      <c r="A552" s="2" t="s">
        <v>1226</v>
      </c>
      <c r="B552" s="2" t="s">
        <v>73</v>
      </c>
      <c r="C552" s="8" t="s">
        <v>1227</v>
      </c>
      <c r="D552" s="8" t="s">
        <v>3191</v>
      </c>
      <c r="E552" s="8" t="s">
        <v>92</v>
      </c>
      <c r="F552" s="2">
        <v>2026</v>
      </c>
      <c r="G552" s="2">
        <v>24</v>
      </c>
      <c r="H552" s="2">
        <v>2029</v>
      </c>
      <c r="I552" s="2">
        <v>46</v>
      </c>
      <c r="J552" s="2" t="s">
        <v>2513</v>
      </c>
      <c r="K552" s="2"/>
      <c r="L552" s="2"/>
      <c r="M552" s="2"/>
      <c r="N552" s="8" t="s">
        <v>11846</v>
      </c>
      <c r="O552" s="8" t="s">
        <v>11847</v>
      </c>
      <c r="P552" s="2">
        <v>2</v>
      </c>
      <c r="Q552" s="8"/>
      <c r="R552" s="8" t="s">
        <v>4749</v>
      </c>
      <c r="S552" s="8" t="str">
        <f>HYPERLINK("https://seichotoushi-hojo.jp/assets/pdf/koufu/outline_8.pdf","PDFを開く")</f>
        <v>PDFを開く</v>
      </c>
      <c r="T552" s="8" t="s">
        <v>1231</v>
      </c>
      <c r="U552" s="8" t="s">
        <v>1232</v>
      </c>
    </row>
    <row r="553" spans="1:21" ht="39.950000000000003" customHeight="1">
      <c r="A553" s="5" t="s">
        <v>1233</v>
      </c>
      <c r="B553" s="5" t="s">
        <v>73</v>
      </c>
      <c r="C553" s="9" t="s">
        <v>1234</v>
      </c>
      <c r="D553" s="9" t="s">
        <v>3176</v>
      </c>
      <c r="E553" s="9" t="s">
        <v>90</v>
      </c>
      <c r="F553" s="5">
        <v>2026</v>
      </c>
      <c r="G553" s="5">
        <v>984</v>
      </c>
      <c r="H553" s="5">
        <v>2029</v>
      </c>
      <c r="I553" s="5">
        <v>1180</v>
      </c>
      <c r="J553" s="5" t="s">
        <v>86</v>
      </c>
      <c r="K553" s="5">
        <v>6</v>
      </c>
      <c r="L553" s="5">
        <v>6.2419000000000002</v>
      </c>
      <c r="M553" s="5">
        <v>0.2419</v>
      </c>
      <c r="N553" s="9" t="s">
        <v>11846</v>
      </c>
      <c r="O553" s="9" t="s">
        <v>11847</v>
      </c>
      <c r="P553" s="5">
        <v>2</v>
      </c>
      <c r="Q553" s="9"/>
      <c r="R553" s="9" t="s">
        <v>4752</v>
      </c>
      <c r="S553" s="9" t="str">
        <f>HYPERLINK("https://seichotoushi-hojo.jp/assets/pdf/koufu/outline_80.pdf","PDFを開く")</f>
        <v>PDFを開く</v>
      </c>
      <c r="T553" s="9" t="s">
        <v>1238</v>
      </c>
      <c r="U553" s="9" t="s">
        <v>1239</v>
      </c>
    </row>
    <row r="554" spans="1:21" ht="39.950000000000003" customHeight="1">
      <c r="A554" s="2" t="s">
        <v>1233</v>
      </c>
      <c r="B554" s="2" t="s">
        <v>73</v>
      </c>
      <c r="C554" s="8" t="s">
        <v>1234</v>
      </c>
      <c r="D554" s="8" t="s">
        <v>3184</v>
      </c>
      <c r="E554" s="8" t="s">
        <v>90</v>
      </c>
      <c r="F554" s="2">
        <v>2026</v>
      </c>
      <c r="G554" s="2">
        <v>413</v>
      </c>
      <c r="H554" s="2">
        <v>2029</v>
      </c>
      <c r="I554" s="2">
        <v>478</v>
      </c>
      <c r="J554" s="2" t="s">
        <v>86</v>
      </c>
      <c r="K554" s="2">
        <v>5</v>
      </c>
      <c r="L554" s="2">
        <v>4.9927000000000001</v>
      </c>
      <c r="M554" s="2">
        <v>7.3000000000000001E-3</v>
      </c>
      <c r="N554" s="8" t="s">
        <v>11846</v>
      </c>
      <c r="O554" s="8" t="s">
        <v>11847</v>
      </c>
      <c r="P554" s="2">
        <v>2</v>
      </c>
      <c r="Q554" s="8"/>
      <c r="R554" s="8" t="s">
        <v>4754</v>
      </c>
      <c r="S554" s="8" t="str">
        <f>HYPERLINK("https://seichotoushi-hojo.jp/assets/pdf/koufu/outline_80.pdf","PDFを開く")</f>
        <v>PDFを開く</v>
      </c>
      <c r="T554" s="8" t="s">
        <v>1238</v>
      </c>
      <c r="U554" s="8" t="s">
        <v>1239</v>
      </c>
    </row>
    <row r="555" spans="1:21" ht="39.950000000000003" customHeight="1">
      <c r="A555" s="5" t="s">
        <v>1233</v>
      </c>
      <c r="B555" s="5" t="s">
        <v>73</v>
      </c>
      <c r="C555" s="9" t="s">
        <v>1234</v>
      </c>
      <c r="D555" s="9" t="s">
        <v>3188</v>
      </c>
      <c r="E555" s="9" t="s">
        <v>91</v>
      </c>
      <c r="F555" s="5">
        <v>2026</v>
      </c>
      <c r="G555" s="5"/>
      <c r="H555" s="5">
        <v>2029</v>
      </c>
      <c r="I555" s="5"/>
      <c r="J555" s="5" t="s">
        <v>86</v>
      </c>
      <c r="K555" s="5">
        <v>5</v>
      </c>
      <c r="L555" s="5"/>
      <c r="M555" s="5"/>
      <c r="N555" s="9" t="s">
        <v>11846</v>
      </c>
      <c r="O555" s="9" t="s">
        <v>11848</v>
      </c>
      <c r="P555" s="5">
        <v>2</v>
      </c>
      <c r="Q555" s="9"/>
      <c r="R555" s="9" t="s">
        <v>4761</v>
      </c>
      <c r="S555" s="9" t="str">
        <f>HYPERLINK("https://seichotoushi-hojo.jp/assets/pdf/koufu/outline_80.pdf","PDFを開く")</f>
        <v>PDFを開く</v>
      </c>
      <c r="T555" s="9" t="s">
        <v>1238</v>
      </c>
      <c r="U555" s="9" t="s">
        <v>1239</v>
      </c>
    </row>
    <row r="556" spans="1:21" ht="39.950000000000003" customHeight="1">
      <c r="A556" s="2" t="s">
        <v>1233</v>
      </c>
      <c r="B556" s="2" t="s">
        <v>73</v>
      </c>
      <c r="C556" s="8" t="s">
        <v>1234</v>
      </c>
      <c r="D556" s="8" t="s">
        <v>3191</v>
      </c>
      <c r="E556" s="8" t="s">
        <v>92</v>
      </c>
      <c r="F556" s="2">
        <v>2026</v>
      </c>
      <c r="G556" s="2">
        <v>113</v>
      </c>
      <c r="H556" s="2">
        <v>2029</v>
      </c>
      <c r="I556" s="2">
        <v>143</v>
      </c>
      <c r="J556" s="2" t="s">
        <v>2513</v>
      </c>
      <c r="K556" s="2"/>
      <c r="L556" s="2"/>
      <c r="M556" s="2"/>
      <c r="N556" s="8" t="s">
        <v>11846</v>
      </c>
      <c r="O556" s="8" t="s">
        <v>11847</v>
      </c>
      <c r="P556" s="2">
        <v>2</v>
      </c>
      <c r="Q556" s="8"/>
      <c r="R556" s="8" t="s">
        <v>4758</v>
      </c>
      <c r="S556" s="8" t="str">
        <f>HYPERLINK("https://seichotoushi-hojo.jp/assets/pdf/koufu/outline_80.pdf","PDFを開く")</f>
        <v>PDFを開く</v>
      </c>
      <c r="T556" s="8" t="s">
        <v>1238</v>
      </c>
      <c r="U556" s="8" t="s">
        <v>1239</v>
      </c>
    </row>
    <row r="557" spans="1:21" ht="39.950000000000003" customHeight="1">
      <c r="A557" s="5" t="s">
        <v>1240</v>
      </c>
      <c r="B557" s="5" t="s">
        <v>73</v>
      </c>
      <c r="C557" s="9" t="s">
        <v>1241</v>
      </c>
      <c r="D557" s="9" t="s">
        <v>3176</v>
      </c>
      <c r="E557" s="9" t="s">
        <v>90</v>
      </c>
      <c r="F557" s="5">
        <v>2026</v>
      </c>
      <c r="G557" s="5">
        <v>827</v>
      </c>
      <c r="H557" s="5">
        <v>2029</v>
      </c>
      <c r="I557" s="5">
        <v>1194</v>
      </c>
      <c r="J557" s="5" t="s">
        <v>86</v>
      </c>
      <c r="K557" s="5">
        <v>13</v>
      </c>
      <c r="L557" s="5">
        <v>13.0229</v>
      </c>
      <c r="M557" s="5">
        <v>2.29E-2</v>
      </c>
      <c r="N557" s="9" t="s">
        <v>11846</v>
      </c>
      <c r="O557" s="9" t="s">
        <v>11847</v>
      </c>
      <c r="P557" s="5">
        <v>2</v>
      </c>
      <c r="Q557" s="9"/>
      <c r="R557" s="9" t="s">
        <v>4766</v>
      </c>
      <c r="S557" s="9" t="str">
        <f>HYPERLINK("https://seichotoushi-hojo.jp/assets/pdf/koufu/outline_81.pdf","PDFを開く")</f>
        <v>PDFを開く</v>
      </c>
      <c r="T557" s="9" t="s">
        <v>1246</v>
      </c>
      <c r="U557" s="9" t="s">
        <v>1247</v>
      </c>
    </row>
    <row r="558" spans="1:21" ht="39.950000000000003" customHeight="1">
      <c r="A558" s="2" t="s">
        <v>1240</v>
      </c>
      <c r="B558" s="2" t="s">
        <v>73</v>
      </c>
      <c r="C558" s="8" t="s">
        <v>1241</v>
      </c>
      <c r="D558" s="8" t="s">
        <v>3184</v>
      </c>
      <c r="E558" s="8" t="s">
        <v>90</v>
      </c>
      <c r="F558" s="2">
        <v>2026</v>
      </c>
      <c r="G558" s="2">
        <v>433</v>
      </c>
      <c r="H558" s="2">
        <v>2029</v>
      </c>
      <c r="I558" s="2">
        <v>501</v>
      </c>
      <c r="J558" s="2" t="s">
        <v>86</v>
      </c>
      <c r="K558" s="2">
        <v>5</v>
      </c>
      <c r="L558" s="2">
        <v>4.9824000000000002</v>
      </c>
      <c r="M558" s="2">
        <v>1.7600000000000001E-2</v>
      </c>
      <c r="N558" s="8" t="s">
        <v>11846</v>
      </c>
      <c r="O558" s="8" t="s">
        <v>11847</v>
      </c>
      <c r="P558" s="2">
        <v>2</v>
      </c>
      <c r="Q558" s="8"/>
      <c r="R558" s="8" t="s">
        <v>4769</v>
      </c>
      <c r="S558" s="8" t="str">
        <f>HYPERLINK("https://seichotoushi-hojo.jp/assets/pdf/koufu/outline_81.pdf","PDFを開く")</f>
        <v>PDFを開く</v>
      </c>
      <c r="T558" s="8" t="s">
        <v>1246</v>
      </c>
      <c r="U558" s="8" t="s">
        <v>1247</v>
      </c>
    </row>
    <row r="559" spans="1:21" ht="39.950000000000003" customHeight="1">
      <c r="A559" s="5" t="s">
        <v>1240</v>
      </c>
      <c r="B559" s="5" t="s">
        <v>73</v>
      </c>
      <c r="C559" s="9" t="s">
        <v>1241</v>
      </c>
      <c r="D559" s="9" t="s">
        <v>3188</v>
      </c>
      <c r="E559" s="9" t="s">
        <v>90</v>
      </c>
      <c r="F559" s="5">
        <v>2026</v>
      </c>
      <c r="G559" s="5">
        <v>863</v>
      </c>
      <c r="H559" s="5">
        <v>2029</v>
      </c>
      <c r="I559" s="5">
        <v>999</v>
      </c>
      <c r="J559" s="5" t="s">
        <v>86</v>
      </c>
      <c r="K559" s="5">
        <v>5</v>
      </c>
      <c r="L559" s="5">
        <v>4.9988999999999999</v>
      </c>
      <c r="M559" s="5">
        <v>1.1000000000000001E-3</v>
      </c>
      <c r="N559" s="9" t="s">
        <v>11846</v>
      </c>
      <c r="O559" s="9" t="s">
        <v>11847</v>
      </c>
      <c r="P559" s="5">
        <v>2</v>
      </c>
      <c r="Q559" s="9"/>
      <c r="R559" s="9" t="s">
        <v>4771</v>
      </c>
      <c r="S559" s="9" t="str">
        <f>HYPERLINK("https://seichotoushi-hojo.jp/assets/pdf/koufu/outline_81.pdf","PDFを開く")</f>
        <v>PDFを開く</v>
      </c>
      <c r="T559" s="9" t="s">
        <v>1246</v>
      </c>
      <c r="U559" s="9" t="s">
        <v>1247</v>
      </c>
    </row>
    <row r="560" spans="1:21" ht="39.950000000000003" customHeight="1">
      <c r="A560" s="2" t="s">
        <v>1240</v>
      </c>
      <c r="B560" s="2" t="s">
        <v>73</v>
      </c>
      <c r="C560" s="8" t="s">
        <v>1241</v>
      </c>
      <c r="D560" s="8" t="s">
        <v>3191</v>
      </c>
      <c r="E560" s="8" t="s">
        <v>92</v>
      </c>
      <c r="F560" s="2">
        <v>2026</v>
      </c>
      <c r="G560" s="2">
        <v>195</v>
      </c>
      <c r="H560" s="2">
        <v>2029</v>
      </c>
      <c r="I560" s="2">
        <v>195</v>
      </c>
      <c r="J560" s="2" t="s">
        <v>2513</v>
      </c>
      <c r="K560" s="2"/>
      <c r="L560" s="2"/>
      <c r="M560" s="2"/>
      <c r="N560" s="8" t="s">
        <v>11846</v>
      </c>
      <c r="O560" s="8" t="s">
        <v>11847</v>
      </c>
      <c r="P560" s="2">
        <v>2</v>
      </c>
      <c r="Q560" s="8"/>
      <c r="R560" s="8" t="s">
        <v>4773</v>
      </c>
      <c r="S560" s="8" t="str">
        <f>HYPERLINK("https://seichotoushi-hojo.jp/assets/pdf/koufu/outline_81.pdf","PDFを開く")</f>
        <v>PDFを開く</v>
      </c>
      <c r="T560" s="8" t="s">
        <v>1246</v>
      </c>
      <c r="U560" s="8" t="s">
        <v>1247</v>
      </c>
    </row>
    <row r="561" spans="1:21" ht="39.950000000000003" customHeight="1">
      <c r="A561" s="5" t="s">
        <v>1248</v>
      </c>
      <c r="B561" s="5" t="s">
        <v>73</v>
      </c>
      <c r="C561" s="9" t="s">
        <v>1249</v>
      </c>
      <c r="D561" s="9" t="s">
        <v>3176</v>
      </c>
      <c r="E561" s="9" t="s">
        <v>92</v>
      </c>
      <c r="F561" s="5">
        <v>2026</v>
      </c>
      <c r="G561" s="5">
        <v>724</v>
      </c>
      <c r="H561" s="5">
        <v>2030</v>
      </c>
      <c r="I561" s="5">
        <v>943</v>
      </c>
      <c r="J561" s="5" t="s">
        <v>86</v>
      </c>
      <c r="K561" s="5"/>
      <c r="L561" s="5">
        <v>6.83</v>
      </c>
      <c r="M561" s="5"/>
      <c r="N561" s="9" t="s">
        <v>11846</v>
      </c>
      <c r="O561" s="9" t="s">
        <v>11847</v>
      </c>
      <c r="P561" s="5">
        <v>2</v>
      </c>
      <c r="Q561" s="9"/>
      <c r="R561" s="9" t="s">
        <v>4775</v>
      </c>
      <c r="S561" s="9" t="str">
        <f>HYPERLINK("https://seichotoushi-hojo.jp/assets/pdf/koufu/outline_82.pdf","PDFを開く")</f>
        <v>PDFを開く</v>
      </c>
      <c r="T561" s="9" t="s">
        <v>1253</v>
      </c>
      <c r="U561" s="9" t="s">
        <v>1254</v>
      </c>
    </row>
    <row r="562" spans="1:21" ht="39.950000000000003" customHeight="1">
      <c r="A562" s="2" t="s">
        <v>1248</v>
      </c>
      <c r="B562" s="2" t="s">
        <v>73</v>
      </c>
      <c r="C562" s="8" t="s">
        <v>1249</v>
      </c>
      <c r="D562" s="8" t="s">
        <v>3184</v>
      </c>
      <c r="E562" s="8" t="s">
        <v>90</v>
      </c>
      <c r="F562" s="2">
        <v>2026</v>
      </c>
      <c r="G562" s="2">
        <v>570</v>
      </c>
      <c r="H562" s="2">
        <v>2030</v>
      </c>
      <c r="I562" s="2">
        <v>642</v>
      </c>
      <c r="J562" s="2" t="s">
        <v>86</v>
      </c>
      <c r="K562" s="2">
        <v>4</v>
      </c>
      <c r="L562" s="2">
        <v>3.0185</v>
      </c>
      <c r="M562" s="2">
        <v>0.98150000000000004</v>
      </c>
      <c r="N562" s="8" t="s">
        <v>11846</v>
      </c>
      <c r="O562" s="8" t="s">
        <v>11847</v>
      </c>
      <c r="P562" s="2">
        <v>2</v>
      </c>
      <c r="Q562" s="8"/>
      <c r="R562" s="8" t="s">
        <v>4779</v>
      </c>
      <c r="S562" s="8" t="str">
        <f>HYPERLINK("https://seichotoushi-hojo.jp/assets/pdf/koufu/outline_82.pdf","PDFを開く")</f>
        <v>PDFを開く</v>
      </c>
      <c r="T562" s="8" t="s">
        <v>1253</v>
      </c>
      <c r="U562" s="8" t="s">
        <v>1254</v>
      </c>
    </row>
    <row r="563" spans="1:21" ht="39.950000000000003" customHeight="1">
      <c r="A563" s="5" t="s">
        <v>1248</v>
      </c>
      <c r="B563" s="5" t="s">
        <v>73</v>
      </c>
      <c r="C563" s="9" t="s">
        <v>1249</v>
      </c>
      <c r="D563" s="9" t="s">
        <v>3188</v>
      </c>
      <c r="E563" s="9" t="s">
        <v>91</v>
      </c>
      <c r="F563" s="5">
        <v>2026</v>
      </c>
      <c r="G563" s="5"/>
      <c r="H563" s="5">
        <v>2030</v>
      </c>
      <c r="I563" s="5"/>
      <c r="J563" s="5" t="s">
        <v>86</v>
      </c>
      <c r="K563" s="5">
        <v>4</v>
      </c>
      <c r="L563" s="5"/>
      <c r="M563" s="5"/>
      <c r="N563" s="9" t="s">
        <v>11846</v>
      </c>
      <c r="O563" s="9" t="s">
        <v>11848</v>
      </c>
      <c r="P563" s="5">
        <v>2</v>
      </c>
      <c r="Q563" s="9"/>
      <c r="R563" s="9" t="s">
        <v>4784</v>
      </c>
      <c r="S563" s="9" t="str">
        <f>HYPERLINK("https://seichotoushi-hojo.jp/assets/pdf/koufu/outline_82.pdf","PDFを開く")</f>
        <v>PDFを開く</v>
      </c>
      <c r="T563" s="9" t="s">
        <v>1253</v>
      </c>
      <c r="U563" s="9" t="s">
        <v>1254</v>
      </c>
    </row>
    <row r="564" spans="1:21" ht="39.950000000000003" customHeight="1">
      <c r="A564" s="2" t="s">
        <v>1248</v>
      </c>
      <c r="B564" s="2" t="s">
        <v>73</v>
      </c>
      <c r="C564" s="8" t="s">
        <v>1249</v>
      </c>
      <c r="D564" s="8" t="s">
        <v>3191</v>
      </c>
      <c r="E564" s="8" t="s">
        <v>92</v>
      </c>
      <c r="F564" s="2">
        <v>2026</v>
      </c>
      <c r="G564" s="2">
        <v>220</v>
      </c>
      <c r="H564" s="2">
        <v>2030</v>
      </c>
      <c r="I564" s="2">
        <v>270</v>
      </c>
      <c r="J564" s="2" t="s">
        <v>2513</v>
      </c>
      <c r="K564" s="2"/>
      <c r="L564" s="2"/>
      <c r="M564" s="2"/>
      <c r="N564" s="8" t="s">
        <v>11846</v>
      </c>
      <c r="O564" s="8" t="s">
        <v>11847</v>
      </c>
      <c r="P564" s="2">
        <v>2</v>
      </c>
      <c r="Q564" s="8"/>
      <c r="R564" s="8" t="s">
        <v>4781</v>
      </c>
      <c r="S564" s="8" t="str">
        <f>HYPERLINK("https://seichotoushi-hojo.jp/assets/pdf/koufu/outline_82.pdf","PDFを開く")</f>
        <v>PDFを開く</v>
      </c>
      <c r="T564" s="8" t="s">
        <v>1253</v>
      </c>
      <c r="U564" s="8" t="s">
        <v>1254</v>
      </c>
    </row>
    <row r="565" spans="1:21" ht="39.950000000000003" customHeight="1">
      <c r="A565" s="5" t="s">
        <v>1255</v>
      </c>
      <c r="B565" s="5" t="s">
        <v>73</v>
      </c>
      <c r="C565" s="9" t="s">
        <v>1256</v>
      </c>
      <c r="D565" s="9" t="s">
        <v>3176</v>
      </c>
      <c r="E565" s="9" t="s">
        <v>92</v>
      </c>
      <c r="F565" s="5">
        <v>2025</v>
      </c>
      <c r="G565" s="5">
        <v>393</v>
      </c>
      <c r="H565" s="5">
        <v>2028</v>
      </c>
      <c r="I565" s="5">
        <v>1656</v>
      </c>
      <c r="J565" s="5" t="s">
        <v>86</v>
      </c>
      <c r="K565" s="5"/>
      <c r="L565" s="5">
        <v>61.518599999999999</v>
      </c>
      <c r="M565" s="5"/>
      <c r="N565" s="9" t="s">
        <v>11846</v>
      </c>
      <c r="O565" s="9" t="s">
        <v>11847</v>
      </c>
      <c r="P565" s="5">
        <v>2</v>
      </c>
      <c r="Q565" s="9"/>
      <c r="R565" s="9" t="s">
        <v>4787</v>
      </c>
      <c r="S565" s="9" t="str">
        <f>HYPERLINK("https://seichotoushi-hojo.jp/assets/pdf/koufu/outline_83.pdf","PDFを開く")</f>
        <v>PDFを開く</v>
      </c>
      <c r="T565" s="9" t="s">
        <v>1261</v>
      </c>
      <c r="U565" s="9" t="s">
        <v>1262</v>
      </c>
    </row>
    <row r="566" spans="1:21" ht="39.950000000000003" customHeight="1">
      <c r="A566" s="2" t="s">
        <v>1255</v>
      </c>
      <c r="B566" s="2" t="s">
        <v>73</v>
      </c>
      <c r="C566" s="8" t="s">
        <v>1256</v>
      </c>
      <c r="D566" s="8" t="s">
        <v>3184</v>
      </c>
      <c r="E566" s="8" t="s">
        <v>92</v>
      </c>
      <c r="F566" s="2">
        <v>2025</v>
      </c>
      <c r="G566" s="2">
        <v>448.6</v>
      </c>
      <c r="H566" s="2">
        <v>2028</v>
      </c>
      <c r="I566" s="2">
        <v>501.2</v>
      </c>
      <c r="J566" s="2" t="s">
        <v>86</v>
      </c>
      <c r="K566" s="2"/>
      <c r="L566" s="2">
        <v>3.7648999999999999</v>
      </c>
      <c r="M566" s="2"/>
      <c r="N566" s="8" t="s">
        <v>11846</v>
      </c>
      <c r="O566" s="8" t="s">
        <v>11847</v>
      </c>
      <c r="P566" s="2">
        <v>2</v>
      </c>
      <c r="Q566" s="8"/>
      <c r="R566" s="8" t="s">
        <v>4790</v>
      </c>
      <c r="S566" s="8" t="str">
        <f>HYPERLINK("https://seichotoushi-hojo.jp/assets/pdf/koufu/outline_83.pdf","PDFを開く")</f>
        <v>PDFを開く</v>
      </c>
      <c r="T566" s="8" t="s">
        <v>1261</v>
      </c>
      <c r="U566" s="8" t="s">
        <v>1262</v>
      </c>
    </row>
    <row r="567" spans="1:21" ht="39.950000000000003" customHeight="1">
      <c r="A567" s="5" t="s">
        <v>1255</v>
      </c>
      <c r="B567" s="5" t="s">
        <v>73</v>
      </c>
      <c r="C567" s="9" t="s">
        <v>1256</v>
      </c>
      <c r="D567" s="9" t="s">
        <v>3188</v>
      </c>
      <c r="E567" s="9" t="s">
        <v>92</v>
      </c>
      <c r="F567" s="5">
        <v>2025</v>
      </c>
      <c r="G567" s="5">
        <v>1254.2</v>
      </c>
      <c r="H567" s="5">
        <v>2028</v>
      </c>
      <c r="I567" s="5">
        <v>1404</v>
      </c>
      <c r="J567" s="5" t="s">
        <v>86</v>
      </c>
      <c r="K567" s="5"/>
      <c r="L567" s="5">
        <v>3.8325</v>
      </c>
      <c r="M567" s="5"/>
      <c r="N567" s="9" t="s">
        <v>11846</v>
      </c>
      <c r="O567" s="9" t="s">
        <v>11847</v>
      </c>
      <c r="P567" s="5">
        <v>2</v>
      </c>
      <c r="Q567" s="9"/>
      <c r="R567" s="9" t="s">
        <v>4793</v>
      </c>
      <c r="S567" s="9" t="str">
        <f>HYPERLINK("https://seichotoushi-hojo.jp/assets/pdf/koufu/outline_83.pdf","PDFを開く")</f>
        <v>PDFを開く</v>
      </c>
      <c r="T567" s="9" t="s">
        <v>1261</v>
      </c>
      <c r="U567" s="9" t="s">
        <v>1262</v>
      </c>
    </row>
    <row r="568" spans="1:21" ht="39.950000000000003" customHeight="1">
      <c r="A568" s="2" t="s">
        <v>1255</v>
      </c>
      <c r="B568" s="2" t="s">
        <v>73</v>
      </c>
      <c r="C568" s="8" t="s">
        <v>1256</v>
      </c>
      <c r="D568" s="8" t="s">
        <v>3191</v>
      </c>
      <c r="E568" s="8" t="s">
        <v>157</v>
      </c>
      <c r="F568" s="2"/>
      <c r="G568" s="2"/>
      <c r="H568" s="2"/>
      <c r="I568" s="2"/>
      <c r="J568" s="2"/>
      <c r="K568" s="2"/>
      <c r="L568" s="2"/>
      <c r="M568" s="2"/>
      <c r="N568" s="8" t="s">
        <v>11850</v>
      </c>
      <c r="O568" s="8"/>
      <c r="P568" s="2"/>
      <c r="Q568" s="8" t="s">
        <v>11851</v>
      </c>
      <c r="R568" s="8"/>
      <c r="S568" s="8" t="str">
        <f>HYPERLINK("https://seichotoushi-hojo.jp/assets/pdf/koufu/outline_83.pdf","PDFを開く")</f>
        <v>PDFを開く</v>
      </c>
      <c r="T568" s="8" t="s">
        <v>1261</v>
      </c>
      <c r="U568" s="8" t="s">
        <v>1262</v>
      </c>
    </row>
    <row r="569" spans="1:21" ht="39.950000000000003" customHeight="1">
      <c r="A569" s="5" t="s">
        <v>1263</v>
      </c>
      <c r="B569" s="5" t="s">
        <v>73</v>
      </c>
      <c r="C569" s="9" t="s">
        <v>1264</v>
      </c>
      <c r="D569" s="9" t="s">
        <v>3176</v>
      </c>
      <c r="E569" s="9" t="s">
        <v>92</v>
      </c>
      <c r="F569" s="5">
        <v>2026</v>
      </c>
      <c r="G569" s="5">
        <v>1803</v>
      </c>
      <c r="H569" s="5">
        <v>2029</v>
      </c>
      <c r="I569" s="5">
        <v>17781</v>
      </c>
      <c r="J569" s="5" t="s">
        <v>86</v>
      </c>
      <c r="K569" s="5"/>
      <c r="L569" s="5">
        <v>114.44710000000001</v>
      </c>
      <c r="M569" s="5"/>
      <c r="N569" s="9" t="s">
        <v>11846</v>
      </c>
      <c r="O569" s="9" t="s">
        <v>11847</v>
      </c>
      <c r="P569" s="5">
        <v>2</v>
      </c>
      <c r="Q569" s="9"/>
      <c r="R569" s="9" t="s">
        <v>4796</v>
      </c>
      <c r="S569" s="9" t="str">
        <f>HYPERLINK("https://seichotoushi-hojo.jp/assets/pdf/koufu/outline_84.pdf","PDFを開く")</f>
        <v>PDFを開く</v>
      </c>
      <c r="T569" s="9" t="s">
        <v>1270</v>
      </c>
      <c r="U569" s="9" t="s">
        <v>1271</v>
      </c>
    </row>
    <row r="570" spans="1:21" ht="39.950000000000003" customHeight="1">
      <c r="A570" s="2" t="s">
        <v>1263</v>
      </c>
      <c r="B570" s="2" t="s">
        <v>73</v>
      </c>
      <c r="C570" s="8" t="s">
        <v>1264</v>
      </c>
      <c r="D570" s="8" t="s">
        <v>3184</v>
      </c>
      <c r="E570" s="8" t="s">
        <v>90</v>
      </c>
      <c r="F570" s="2">
        <v>2026</v>
      </c>
      <c r="G570" s="2">
        <v>708</v>
      </c>
      <c r="H570" s="2">
        <v>2029</v>
      </c>
      <c r="I570" s="2">
        <v>868</v>
      </c>
      <c r="J570" s="2" t="s">
        <v>86</v>
      </c>
      <c r="K570" s="2">
        <v>7</v>
      </c>
      <c r="L570" s="2">
        <v>7.0274999999999999</v>
      </c>
      <c r="M570" s="2">
        <v>2.75E-2</v>
      </c>
      <c r="N570" s="8" t="s">
        <v>11846</v>
      </c>
      <c r="O570" s="8" t="s">
        <v>11847</v>
      </c>
      <c r="P570" s="2">
        <v>2</v>
      </c>
      <c r="Q570" s="8"/>
      <c r="R570" s="8" t="s">
        <v>4799</v>
      </c>
      <c r="S570" s="8" t="str">
        <f>HYPERLINK("https://seichotoushi-hojo.jp/assets/pdf/koufu/outline_84.pdf","PDFを開く")</f>
        <v>PDFを開く</v>
      </c>
      <c r="T570" s="8" t="s">
        <v>1270</v>
      </c>
      <c r="U570" s="8" t="s">
        <v>1271</v>
      </c>
    </row>
    <row r="571" spans="1:21" ht="39.950000000000003" customHeight="1">
      <c r="A571" s="5" t="s">
        <v>1263</v>
      </c>
      <c r="B571" s="5" t="s">
        <v>73</v>
      </c>
      <c r="C571" s="9" t="s">
        <v>1264</v>
      </c>
      <c r="D571" s="9" t="s">
        <v>3188</v>
      </c>
      <c r="E571" s="9" t="s">
        <v>90</v>
      </c>
      <c r="F571" s="5">
        <v>2026</v>
      </c>
      <c r="G571" s="5">
        <v>1395</v>
      </c>
      <c r="H571" s="5">
        <v>2029</v>
      </c>
      <c r="I571" s="5">
        <v>1709</v>
      </c>
      <c r="J571" s="5" t="s">
        <v>86</v>
      </c>
      <c r="K571" s="5">
        <v>7</v>
      </c>
      <c r="L571" s="5">
        <v>7.0014000000000003</v>
      </c>
      <c r="M571" s="5">
        <v>1.4E-3</v>
      </c>
      <c r="N571" s="9" t="s">
        <v>11846</v>
      </c>
      <c r="O571" s="9" t="s">
        <v>11847</v>
      </c>
      <c r="P571" s="5">
        <v>2</v>
      </c>
      <c r="Q571" s="9"/>
      <c r="R571" s="9" t="s">
        <v>4802</v>
      </c>
      <c r="S571" s="9" t="str">
        <f>HYPERLINK("https://seichotoushi-hojo.jp/assets/pdf/koufu/outline_84.pdf","PDFを開く")</f>
        <v>PDFを開く</v>
      </c>
      <c r="T571" s="9" t="s">
        <v>1270</v>
      </c>
      <c r="U571" s="9" t="s">
        <v>1271</v>
      </c>
    </row>
    <row r="572" spans="1:21" ht="39.950000000000003" customHeight="1">
      <c r="A572" s="2" t="s">
        <v>1263</v>
      </c>
      <c r="B572" s="2" t="s">
        <v>73</v>
      </c>
      <c r="C572" s="8" t="s">
        <v>1264</v>
      </c>
      <c r="D572" s="8" t="s">
        <v>3191</v>
      </c>
      <c r="E572" s="8" t="s">
        <v>92</v>
      </c>
      <c r="F572" s="2">
        <v>2026</v>
      </c>
      <c r="G572" s="2">
        <v>23</v>
      </c>
      <c r="H572" s="2">
        <v>2029</v>
      </c>
      <c r="I572" s="2">
        <v>26</v>
      </c>
      <c r="J572" s="2" t="s">
        <v>2513</v>
      </c>
      <c r="K572" s="2"/>
      <c r="L572" s="2"/>
      <c r="M572" s="2"/>
      <c r="N572" s="8" t="s">
        <v>11846</v>
      </c>
      <c r="O572" s="8" t="s">
        <v>11847</v>
      </c>
      <c r="P572" s="2">
        <v>2</v>
      </c>
      <c r="Q572" s="8"/>
      <c r="R572" s="8" t="s">
        <v>4804</v>
      </c>
      <c r="S572" s="8" t="str">
        <f>HYPERLINK("https://seichotoushi-hojo.jp/assets/pdf/koufu/outline_84.pdf","PDFを開く")</f>
        <v>PDFを開く</v>
      </c>
      <c r="T572" s="8" t="s">
        <v>1270</v>
      </c>
      <c r="U572" s="8" t="s">
        <v>1271</v>
      </c>
    </row>
    <row r="573" spans="1:21" ht="39.950000000000003" customHeight="1">
      <c r="A573" s="5" t="s">
        <v>1272</v>
      </c>
      <c r="B573" s="5" t="s">
        <v>73</v>
      </c>
      <c r="C573" s="9" t="s">
        <v>1273</v>
      </c>
      <c r="D573" s="9" t="s">
        <v>3176</v>
      </c>
      <c r="E573" s="9" t="s">
        <v>90</v>
      </c>
      <c r="F573" s="5">
        <v>2026</v>
      </c>
      <c r="G573" s="5">
        <v>767</v>
      </c>
      <c r="H573" s="5">
        <v>2029</v>
      </c>
      <c r="I573" s="5">
        <v>1008</v>
      </c>
      <c r="J573" s="5" t="s">
        <v>86</v>
      </c>
      <c r="K573" s="5">
        <v>9.5</v>
      </c>
      <c r="L573" s="5">
        <v>9.5355000000000008</v>
      </c>
      <c r="M573" s="5">
        <v>3.5499999999999997E-2</v>
      </c>
      <c r="N573" s="9" t="s">
        <v>11846</v>
      </c>
      <c r="O573" s="9" t="s">
        <v>11847</v>
      </c>
      <c r="P573" s="5">
        <v>2</v>
      </c>
      <c r="Q573" s="9"/>
      <c r="R573" s="9" t="s">
        <v>4806</v>
      </c>
      <c r="S573" s="9" t="str">
        <f>HYPERLINK("https://seichotoushi-hojo.jp/assets/pdf/koufu/outline_85.pdf","PDFを開く")</f>
        <v>PDFを開く</v>
      </c>
      <c r="T573" s="9" t="s">
        <v>1279</v>
      </c>
      <c r="U573" s="9" t="s">
        <v>1280</v>
      </c>
    </row>
    <row r="574" spans="1:21" ht="39.950000000000003" customHeight="1">
      <c r="A574" s="2" t="s">
        <v>1272</v>
      </c>
      <c r="B574" s="2" t="s">
        <v>73</v>
      </c>
      <c r="C574" s="8" t="s">
        <v>1273</v>
      </c>
      <c r="D574" s="8" t="s">
        <v>3184</v>
      </c>
      <c r="E574" s="8" t="s">
        <v>90</v>
      </c>
      <c r="F574" s="2">
        <v>2026</v>
      </c>
      <c r="G574" s="2">
        <v>415</v>
      </c>
      <c r="H574" s="2">
        <v>2029</v>
      </c>
      <c r="I574" s="2">
        <v>494</v>
      </c>
      <c r="J574" s="2" t="s">
        <v>86</v>
      </c>
      <c r="K574" s="2">
        <v>6</v>
      </c>
      <c r="L574" s="2">
        <v>5.9805999999999999</v>
      </c>
      <c r="M574" s="2">
        <v>1.9400000000000001E-2</v>
      </c>
      <c r="N574" s="8" t="s">
        <v>11846</v>
      </c>
      <c r="O574" s="8" t="s">
        <v>11847</v>
      </c>
      <c r="P574" s="2">
        <v>2</v>
      </c>
      <c r="Q574" s="8"/>
      <c r="R574" s="8" t="s">
        <v>4807</v>
      </c>
      <c r="S574" s="8" t="str">
        <f>HYPERLINK("https://seichotoushi-hojo.jp/assets/pdf/koufu/outline_85.pdf","PDFを開く")</f>
        <v>PDFを開く</v>
      </c>
      <c r="T574" s="8" t="s">
        <v>1279</v>
      </c>
      <c r="U574" s="8" t="s">
        <v>1280</v>
      </c>
    </row>
    <row r="575" spans="1:21" ht="39.950000000000003" customHeight="1">
      <c r="A575" s="5" t="s">
        <v>1272</v>
      </c>
      <c r="B575" s="5" t="s">
        <v>73</v>
      </c>
      <c r="C575" s="9" t="s">
        <v>1273</v>
      </c>
      <c r="D575" s="9" t="s">
        <v>3188</v>
      </c>
      <c r="E575" s="9" t="s">
        <v>91</v>
      </c>
      <c r="F575" s="5">
        <v>2026</v>
      </c>
      <c r="G575" s="5"/>
      <c r="H575" s="5">
        <v>2029</v>
      </c>
      <c r="I575" s="5"/>
      <c r="J575" s="5" t="s">
        <v>86</v>
      </c>
      <c r="K575" s="5">
        <v>6</v>
      </c>
      <c r="L575" s="5"/>
      <c r="M575" s="5"/>
      <c r="N575" s="9" t="s">
        <v>11846</v>
      </c>
      <c r="O575" s="9" t="s">
        <v>11848</v>
      </c>
      <c r="P575" s="5">
        <v>2</v>
      </c>
      <c r="Q575" s="9"/>
      <c r="R575" s="9" t="s">
        <v>4813</v>
      </c>
      <c r="S575" s="9" t="str">
        <f>HYPERLINK("https://seichotoushi-hojo.jp/assets/pdf/koufu/outline_85.pdf","PDFを開く")</f>
        <v>PDFを開く</v>
      </c>
      <c r="T575" s="9" t="s">
        <v>1279</v>
      </c>
      <c r="U575" s="9" t="s">
        <v>1280</v>
      </c>
    </row>
    <row r="576" spans="1:21" ht="39.950000000000003" customHeight="1">
      <c r="A576" s="2" t="s">
        <v>1272</v>
      </c>
      <c r="B576" s="2" t="s">
        <v>73</v>
      </c>
      <c r="C576" s="8" t="s">
        <v>1273</v>
      </c>
      <c r="D576" s="8" t="s">
        <v>3191</v>
      </c>
      <c r="E576" s="8" t="s">
        <v>92</v>
      </c>
      <c r="F576" s="2">
        <v>2026</v>
      </c>
      <c r="G576" s="2">
        <v>94</v>
      </c>
      <c r="H576" s="2">
        <v>2029</v>
      </c>
      <c r="I576" s="2">
        <v>104</v>
      </c>
      <c r="J576" s="2" t="s">
        <v>2513</v>
      </c>
      <c r="K576" s="2"/>
      <c r="L576" s="2"/>
      <c r="M576" s="2"/>
      <c r="N576" s="8" t="s">
        <v>11846</v>
      </c>
      <c r="O576" s="8" t="s">
        <v>11847</v>
      </c>
      <c r="P576" s="2">
        <v>2</v>
      </c>
      <c r="Q576" s="8"/>
      <c r="R576" s="8" t="s">
        <v>4811</v>
      </c>
      <c r="S576" s="8" t="str">
        <f>HYPERLINK("https://seichotoushi-hojo.jp/assets/pdf/koufu/outline_85.pdf","PDFを開く")</f>
        <v>PDFを開く</v>
      </c>
      <c r="T576" s="8" t="s">
        <v>1279</v>
      </c>
      <c r="U576" s="8" t="s">
        <v>1280</v>
      </c>
    </row>
    <row r="577" spans="1:21" ht="39.950000000000003" customHeight="1">
      <c r="A577" s="5" t="s">
        <v>1281</v>
      </c>
      <c r="B577" s="5" t="s">
        <v>73</v>
      </c>
      <c r="C577" s="9" t="s">
        <v>1282</v>
      </c>
      <c r="D577" s="9" t="s">
        <v>3176</v>
      </c>
      <c r="E577" s="9" t="s">
        <v>166</v>
      </c>
      <c r="F577" s="5">
        <v>2026</v>
      </c>
      <c r="G577" s="5">
        <v>9308</v>
      </c>
      <c r="H577" s="5">
        <v>2029</v>
      </c>
      <c r="I577" s="5">
        <v>13803</v>
      </c>
      <c r="J577" s="5" t="s">
        <v>86</v>
      </c>
      <c r="K577" s="5">
        <v>14</v>
      </c>
      <c r="L577" s="5">
        <v>14.0352</v>
      </c>
      <c r="M577" s="5">
        <v>3.5200000000000002E-2</v>
      </c>
      <c r="N577" s="9" t="s">
        <v>11846</v>
      </c>
      <c r="O577" s="9" t="s">
        <v>292</v>
      </c>
      <c r="P577" s="5">
        <v>2</v>
      </c>
      <c r="Q577" s="9"/>
      <c r="R577" s="9" t="s">
        <v>4817</v>
      </c>
      <c r="S577" s="9" t="str">
        <f>HYPERLINK("https://seichotoushi-hojo.jp/assets/pdf/koufu/outline_86.pdf","PDFを開く")</f>
        <v>PDFを開く</v>
      </c>
      <c r="T577" s="9" t="s">
        <v>1285</v>
      </c>
      <c r="U577" s="9" t="s">
        <v>1286</v>
      </c>
    </row>
    <row r="578" spans="1:21" ht="39.950000000000003" customHeight="1">
      <c r="A578" s="2" t="s">
        <v>1281</v>
      </c>
      <c r="B578" s="2" t="s">
        <v>73</v>
      </c>
      <c r="C578" s="8" t="s">
        <v>1282</v>
      </c>
      <c r="D578" s="8" t="s">
        <v>3184</v>
      </c>
      <c r="E578" s="8" t="s">
        <v>166</v>
      </c>
      <c r="F578" s="2">
        <v>2026</v>
      </c>
      <c r="G578" s="2">
        <v>609</v>
      </c>
      <c r="H578" s="2">
        <v>2029</v>
      </c>
      <c r="I578" s="2">
        <v>695</v>
      </c>
      <c r="J578" s="2" t="s">
        <v>86</v>
      </c>
      <c r="K578" s="2">
        <v>4.5</v>
      </c>
      <c r="L578" s="2">
        <v>4.5015000000000001</v>
      </c>
      <c r="M578" s="2">
        <v>1.5E-3</v>
      </c>
      <c r="N578" s="8" t="s">
        <v>11846</v>
      </c>
      <c r="O578" s="8" t="s">
        <v>292</v>
      </c>
      <c r="P578" s="2">
        <v>2</v>
      </c>
      <c r="Q578" s="8"/>
      <c r="R578" s="8" t="s">
        <v>4820</v>
      </c>
      <c r="S578" s="8" t="str">
        <f>HYPERLINK("https://seichotoushi-hojo.jp/assets/pdf/koufu/outline_86.pdf","PDFを開く")</f>
        <v>PDFを開く</v>
      </c>
      <c r="T578" s="8" t="s">
        <v>1285</v>
      </c>
      <c r="U578" s="8" t="s">
        <v>1286</v>
      </c>
    </row>
    <row r="579" spans="1:21" ht="39.950000000000003" customHeight="1">
      <c r="A579" s="5" t="s">
        <v>1281</v>
      </c>
      <c r="B579" s="5" t="s">
        <v>73</v>
      </c>
      <c r="C579" s="9" t="s">
        <v>1282</v>
      </c>
      <c r="D579" s="9" t="s">
        <v>3188</v>
      </c>
      <c r="E579" s="9" t="s">
        <v>166</v>
      </c>
      <c r="F579" s="5">
        <v>2026</v>
      </c>
      <c r="G579" s="5">
        <v>4139</v>
      </c>
      <c r="H579" s="5">
        <v>2029</v>
      </c>
      <c r="I579" s="5">
        <v>4723</v>
      </c>
      <c r="J579" s="5" t="s">
        <v>86</v>
      </c>
      <c r="K579" s="5">
        <v>4.45</v>
      </c>
      <c r="L579" s="5">
        <v>4.4978999999999996</v>
      </c>
      <c r="M579" s="5">
        <v>4.7899999999999998E-2</v>
      </c>
      <c r="N579" s="9" t="s">
        <v>11846</v>
      </c>
      <c r="O579" s="9" t="s">
        <v>292</v>
      </c>
      <c r="P579" s="5">
        <v>2</v>
      </c>
      <c r="Q579" s="9"/>
      <c r="R579" s="9" t="s">
        <v>4823</v>
      </c>
      <c r="S579" s="9" t="str">
        <f>HYPERLINK("https://seichotoushi-hojo.jp/assets/pdf/koufu/outline_86.pdf","PDFを開く")</f>
        <v>PDFを開く</v>
      </c>
      <c r="T579" s="9" t="s">
        <v>1285</v>
      </c>
      <c r="U579" s="9" t="s">
        <v>1286</v>
      </c>
    </row>
    <row r="580" spans="1:21" ht="39.950000000000003" customHeight="1">
      <c r="A580" s="2" t="s">
        <v>1281</v>
      </c>
      <c r="B580" s="2" t="s">
        <v>73</v>
      </c>
      <c r="C580" s="8" t="s">
        <v>1282</v>
      </c>
      <c r="D580" s="8" t="s">
        <v>3191</v>
      </c>
      <c r="E580" s="8" t="s">
        <v>157</v>
      </c>
      <c r="F580" s="2"/>
      <c r="G580" s="2"/>
      <c r="H580" s="2"/>
      <c r="I580" s="2"/>
      <c r="J580" s="2"/>
      <c r="K580" s="2"/>
      <c r="L580" s="2"/>
      <c r="M580" s="2"/>
      <c r="N580" s="8" t="s">
        <v>11850</v>
      </c>
      <c r="O580" s="8"/>
      <c r="P580" s="2"/>
      <c r="Q580" s="8" t="s">
        <v>11851</v>
      </c>
      <c r="R580" s="8"/>
      <c r="S580" s="8" t="str">
        <f>HYPERLINK("https://seichotoushi-hojo.jp/assets/pdf/koufu/outline_86.pdf","PDFを開く")</f>
        <v>PDFを開く</v>
      </c>
      <c r="T580" s="8" t="s">
        <v>1285</v>
      </c>
      <c r="U580" s="8" t="s">
        <v>1286</v>
      </c>
    </row>
    <row r="581" spans="1:21" ht="39.950000000000003" customHeight="1">
      <c r="A581" s="5" t="s">
        <v>1287</v>
      </c>
      <c r="B581" s="5" t="s">
        <v>73</v>
      </c>
      <c r="C581" s="9" t="s">
        <v>1288</v>
      </c>
      <c r="D581" s="9" t="s">
        <v>3176</v>
      </c>
      <c r="E581" s="9" t="s">
        <v>166</v>
      </c>
      <c r="F581" s="5">
        <v>2027</v>
      </c>
      <c r="G581" s="5">
        <v>1889</v>
      </c>
      <c r="H581" s="5">
        <v>2030</v>
      </c>
      <c r="I581" s="5">
        <v>2191</v>
      </c>
      <c r="J581" s="5" t="s">
        <v>86</v>
      </c>
      <c r="K581" s="5">
        <v>5.0999999999999996</v>
      </c>
      <c r="L581" s="5">
        <v>5.0678999999999998</v>
      </c>
      <c r="M581" s="5">
        <v>3.2099999999999997E-2</v>
      </c>
      <c r="N581" s="9" t="s">
        <v>11846</v>
      </c>
      <c r="O581" s="9" t="s">
        <v>292</v>
      </c>
      <c r="P581" s="5">
        <v>2</v>
      </c>
      <c r="Q581" s="9"/>
      <c r="R581" s="9" t="s">
        <v>4838</v>
      </c>
      <c r="S581" s="9" t="str">
        <f>HYPERLINK("https://seichotoushi-hojo.jp/assets/pdf/koufu/outline_87.pdf","PDFを開く")</f>
        <v>PDFを開く</v>
      </c>
      <c r="T581" s="9" t="s">
        <v>1292</v>
      </c>
      <c r="U581" s="9" t="s">
        <v>1293</v>
      </c>
    </row>
    <row r="582" spans="1:21" ht="39.950000000000003" customHeight="1">
      <c r="A582" s="2" t="s">
        <v>1287</v>
      </c>
      <c r="B582" s="2" t="s">
        <v>73</v>
      </c>
      <c r="C582" s="8" t="s">
        <v>1288</v>
      </c>
      <c r="D582" s="8" t="s">
        <v>3184</v>
      </c>
      <c r="E582" s="8" t="s">
        <v>166</v>
      </c>
      <c r="F582" s="2">
        <v>2027</v>
      </c>
      <c r="G582" s="2">
        <v>779</v>
      </c>
      <c r="H582" s="2">
        <v>2030</v>
      </c>
      <c r="I582" s="2">
        <v>876</v>
      </c>
      <c r="J582" s="2" t="s">
        <v>86</v>
      </c>
      <c r="K582" s="2">
        <v>4</v>
      </c>
      <c r="L582" s="2">
        <v>3.9893999999999998</v>
      </c>
      <c r="M582" s="2">
        <v>1.06E-2</v>
      </c>
      <c r="N582" s="8" t="s">
        <v>11846</v>
      </c>
      <c r="O582" s="8" t="s">
        <v>292</v>
      </c>
      <c r="P582" s="2">
        <v>2</v>
      </c>
      <c r="Q582" s="8"/>
      <c r="R582" s="8" t="s">
        <v>4840</v>
      </c>
      <c r="S582" s="8" t="str">
        <f>HYPERLINK("https://seichotoushi-hojo.jp/assets/pdf/koufu/outline_87.pdf","PDFを開く")</f>
        <v>PDFを開く</v>
      </c>
      <c r="T582" s="8" t="s">
        <v>1292</v>
      </c>
      <c r="U582" s="8" t="s">
        <v>1293</v>
      </c>
    </row>
    <row r="583" spans="1:21" ht="39.950000000000003" customHeight="1">
      <c r="A583" s="5" t="s">
        <v>1287</v>
      </c>
      <c r="B583" s="5" t="s">
        <v>73</v>
      </c>
      <c r="C583" s="9" t="s">
        <v>1288</v>
      </c>
      <c r="D583" s="9" t="s">
        <v>3188</v>
      </c>
      <c r="E583" s="9" t="s">
        <v>166</v>
      </c>
      <c r="F583" s="5">
        <v>2027</v>
      </c>
      <c r="G583" s="5">
        <v>6244</v>
      </c>
      <c r="H583" s="5">
        <v>2030</v>
      </c>
      <c r="I583" s="5">
        <v>7024</v>
      </c>
      <c r="J583" s="5" t="s">
        <v>86</v>
      </c>
      <c r="K583" s="5">
        <v>4</v>
      </c>
      <c r="L583" s="5">
        <v>4.0016999999999996</v>
      </c>
      <c r="M583" s="5">
        <v>1.6999999999999999E-3</v>
      </c>
      <c r="N583" s="9" t="s">
        <v>11846</v>
      </c>
      <c r="O583" s="9" t="s">
        <v>292</v>
      </c>
      <c r="P583" s="5">
        <v>2</v>
      </c>
      <c r="Q583" s="9"/>
      <c r="R583" s="9" t="s">
        <v>4842</v>
      </c>
      <c r="S583" s="9" t="str">
        <f>HYPERLINK("https://seichotoushi-hojo.jp/assets/pdf/koufu/outline_87.pdf","PDFを開く")</f>
        <v>PDFを開く</v>
      </c>
      <c r="T583" s="9" t="s">
        <v>1292</v>
      </c>
      <c r="U583" s="9" t="s">
        <v>1293</v>
      </c>
    </row>
    <row r="584" spans="1:21" ht="39.950000000000003" customHeight="1">
      <c r="A584" s="2" t="s">
        <v>1287</v>
      </c>
      <c r="B584" s="2" t="s">
        <v>73</v>
      </c>
      <c r="C584" s="8" t="s">
        <v>1288</v>
      </c>
      <c r="D584" s="8" t="s">
        <v>3191</v>
      </c>
      <c r="E584" s="8" t="s">
        <v>166</v>
      </c>
      <c r="F584" s="2">
        <v>2027</v>
      </c>
      <c r="G584" s="2">
        <v>1124</v>
      </c>
      <c r="H584" s="2">
        <v>2030</v>
      </c>
      <c r="I584" s="2">
        <v>1214</v>
      </c>
      <c r="J584" s="2" t="s">
        <v>2513</v>
      </c>
      <c r="K584" s="2">
        <v>2.6</v>
      </c>
      <c r="L584" s="2"/>
      <c r="M584" s="2"/>
      <c r="N584" s="8" t="s">
        <v>11846</v>
      </c>
      <c r="O584" s="8" t="s">
        <v>292</v>
      </c>
      <c r="P584" s="2">
        <v>2</v>
      </c>
      <c r="Q584" s="8"/>
      <c r="R584" s="8" t="s">
        <v>4845</v>
      </c>
      <c r="S584" s="8" t="str">
        <f>HYPERLINK("https://seichotoushi-hojo.jp/assets/pdf/koufu/outline_87.pdf","PDFを開く")</f>
        <v>PDFを開く</v>
      </c>
      <c r="T584" s="8" t="s">
        <v>1292</v>
      </c>
      <c r="U584" s="8" t="s">
        <v>1293</v>
      </c>
    </row>
    <row r="585" spans="1:21" ht="39.950000000000003" customHeight="1">
      <c r="A585" s="5" t="s">
        <v>1294</v>
      </c>
      <c r="B585" s="5" t="s">
        <v>73</v>
      </c>
      <c r="C585" s="9" t="s">
        <v>1295</v>
      </c>
      <c r="D585" s="9" t="s">
        <v>3176</v>
      </c>
      <c r="E585" s="9" t="s">
        <v>90</v>
      </c>
      <c r="F585" s="5">
        <v>2025</v>
      </c>
      <c r="G585" s="5">
        <v>2827</v>
      </c>
      <c r="H585" s="5">
        <v>2028</v>
      </c>
      <c r="I585" s="5">
        <v>3797</v>
      </c>
      <c r="J585" s="5" t="s">
        <v>86</v>
      </c>
      <c r="K585" s="5">
        <v>10.3</v>
      </c>
      <c r="L585" s="5">
        <v>10.3329</v>
      </c>
      <c r="M585" s="5">
        <v>3.2899999999999999E-2</v>
      </c>
      <c r="N585" s="9" t="s">
        <v>11846</v>
      </c>
      <c r="O585" s="9" t="s">
        <v>11847</v>
      </c>
      <c r="P585" s="5">
        <v>2</v>
      </c>
      <c r="Q585" s="9"/>
      <c r="R585" s="9" t="s">
        <v>4848</v>
      </c>
      <c r="S585" s="9" t="str">
        <f>HYPERLINK("https://seichotoushi-hojo.jp/assets/pdf/koufu/outline_88.pdf","PDFを開く")</f>
        <v>PDFを開く</v>
      </c>
      <c r="T585" s="9" t="s">
        <v>1301</v>
      </c>
      <c r="U585" s="9" t="s">
        <v>1302</v>
      </c>
    </row>
    <row r="586" spans="1:21" ht="39.950000000000003" customHeight="1">
      <c r="A586" s="2" t="s">
        <v>1294</v>
      </c>
      <c r="B586" s="2" t="s">
        <v>73</v>
      </c>
      <c r="C586" s="8" t="s">
        <v>1295</v>
      </c>
      <c r="D586" s="8" t="s">
        <v>3184</v>
      </c>
      <c r="E586" s="8" t="s">
        <v>90</v>
      </c>
      <c r="F586" s="2">
        <v>2025</v>
      </c>
      <c r="G586" s="2">
        <v>534</v>
      </c>
      <c r="H586" s="2">
        <v>2028</v>
      </c>
      <c r="I586" s="2">
        <v>592</v>
      </c>
      <c r="J586" s="2" t="s">
        <v>86</v>
      </c>
      <c r="K586" s="2">
        <v>3.51</v>
      </c>
      <c r="L586" s="2">
        <v>3.4967999999999999</v>
      </c>
      <c r="M586" s="2">
        <v>1.32E-2</v>
      </c>
      <c r="N586" s="8" t="s">
        <v>11846</v>
      </c>
      <c r="O586" s="8" t="s">
        <v>11847</v>
      </c>
      <c r="P586" s="2">
        <v>2</v>
      </c>
      <c r="Q586" s="8"/>
      <c r="R586" s="8" t="s">
        <v>4850</v>
      </c>
      <c r="S586" s="8" t="str">
        <f>HYPERLINK("https://seichotoushi-hojo.jp/assets/pdf/koufu/outline_88.pdf","PDFを開く")</f>
        <v>PDFを開く</v>
      </c>
      <c r="T586" s="8" t="s">
        <v>1301</v>
      </c>
      <c r="U586" s="8" t="s">
        <v>1302</v>
      </c>
    </row>
    <row r="587" spans="1:21" ht="39.950000000000003" customHeight="1">
      <c r="A587" s="5" t="s">
        <v>1294</v>
      </c>
      <c r="B587" s="5" t="s">
        <v>73</v>
      </c>
      <c r="C587" s="9" t="s">
        <v>1295</v>
      </c>
      <c r="D587" s="9" t="s">
        <v>3188</v>
      </c>
      <c r="E587" s="9" t="s">
        <v>91</v>
      </c>
      <c r="F587" s="5">
        <v>2025</v>
      </c>
      <c r="G587" s="5"/>
      <c r="H587" s="5">
        <v>2028</v>
      </c>
      <c r="I587" s="5"/>
      <c r="J587" s="5" t="s">
        <v>86</v>
      </c>
      <c r="K587" s="5">
        <v>3.35</v>
      </c>
      <c r="L587" s="5"/>
      <c r="M587" s="5"/>
      <c r="N587" s="9" t="s">
        <v>11846</v>
      </c>
      <c r="O587" s="9" t="s">
        <v>11848</v>
      </c>
      <c r="P587" s="5">
        <v>2</v>
      </c>
      <c r="Q587" s="9"/>
      <c r="R587" s="9" t="s">
        <v>4856</v>
      </c>
      <c r="S587" s="9" t="str">
        <f>HYPERLINK("https://seichotoushi-hojo.jp/assets/pdf/koufu/outline_88.pdf","PDFを開く")</f>
        <v>PDFを開く</v>
      </c>
      <c r="T587" s="9" t="s">
        <v>1301</v>
      </c>
      <c r="U587" s="9" t="s">
        <v>1302</v>
      </c>
    </row>
    <row r="588" spans="1:21" ht="39.950000000000003" customHeight="1">
      <c r="A588" s="2" t="s">
        <v>1294</v>
      </c>
      <c r="B588" s="2" t="s">
        <v>73</v>
      </c>
      <c r="C588" s="8" t="s">
        <v>1295</v>
      </c>
      <c r="D588" s="8" t="s">
        <v>3191</v>
      </c>
      <c r="E588" s="8" t="s">
        <v>92</v>
      </c>
      <c r="F588" s="2">
        <v>2025</v>
      </c>
      <c r="G588" s="2">
        <v>200</v>
      </c>
      <c r="H588" s="2">
        <v>2028</v>
      </c>
      <c r="I588" s="2">
        <v>236</v>
      </c>
      <c r="J588" s="2" t="s">
        <v>2513</v>
      </c>
      <c r="K588" s="2"/>
      <c r="L588" s="2"/>
      <c r="M588" s="2"/>
      <c r="N588" s="8" t="s">
        <v>11846</v>
      </c>
      <c r="O588" s="8" t="s">
        <v>11847</v>
      </c>
      <c r="P588" s="2">
        <v>2</v>
      </c>
      <c r="Q588" s="8"/>
      <c r="R588" s="8" t="s">
        <v>4853</v>
      </c>
      <c r="S588" s="8" t="str">
        <f>HYPERLINK("https://seichotoushi-hojo.jp/assets/pdf/koufu/outline_88.pdf","PDFを開く")</f>
        <v>PDFを開く</v>
      </c>
      <c r="T588" s="8" t="s">
        <v>1301</v>
      </c>
      <c r="U588" s="8" t="s">
        <v>1302</v>
      </c>
    </row>
    <row r="589" spans="1:21" ht="39.950000000000003" customHeight="1">
      <c r="A589" s="5" t="s">
        <v>1303</v>
      </c>
      <c r="B589" s="5" t="s">
        <v>73</v>
      </c>
      <c r="C589" s="9" t="s">
        <v>1304</v>
      </c>
      <c r="D589" s="9" t="s">
        <v>3176</v>
      </c>
      <c r="E589" s="9" t="s">
        <v>90</v>
      </c>
      <c r="F589" s="5">
        <v>2026</v>
      </c>
      <c r="G589" s="5">
        <v>1912</v>
      </c>
      <c r="H589" s="5">
        <v>2029</v>
      </c>
      <c r="I589" s="5">
        <v>2196</v>
      </c>
      <c r="J589" s="5" t="s">
        <v>86</v>
      </c>
      <c r="K589" s="5">
        <v>4.7</v>
      </c>
      <c r="L589" s="5">
        <v>4.7244999999999999</v>
      </c>
      <c r="M589" s="5">
        <v>2.4500000000000001E-2</v>
      </c>
      <c r="N589" s="9" t="s">
        <v>11846</v>
      </c>
      <c r="O589" s="9" t="s">
        <v>11847</v>
      </c>
      <c r="P589" s="5">
        <v>2</v>
      </c>
      <c r="Q589" s="9"/>
      <c r="R589" s="9" t="s">
        <v>4859</v>
      </c>
      <c r="S589" s="9" t="str">
        <f>HYPERLINK("https://seichotoushi-hojo.jp/assets/pdf/koufu/outline_89.pdf","PDFを開く")</f>
        <v>PDFを開く</v>
      </c>
      <c r="T589" s="9" t="s">
        <v>1309</v>
      </c>
      <c r="U589" s="9" t="s">
        <v>1310</v>
      </c>
    </row>
    <row r="590" spans="1:21" ht="39.950000000000003" customHeight="1">
      <c r="A590" s="2" t="s">
        <v>1303</v>
      </c>
      <c r="B590" s="2" t="s">
        <v>73</v>
      </c>
      <c r="C590" s="8" t="s">
        <v>1304</v>
      </c>
      <c r="D590" s="8" t="s">
        <v>3184</v>
      </c>
      <c r="E590" s="8" t="s">
        <v>90</v>
      </c>
      <c r="F590" s="2">
        <v>2026</v>
      </c>
      <c r="G590" s="2">
        <v>634</v>
      </c>
      <c r="H590" s="2">
        <v>2029</v>
      </c>
      <c r="I590" s="2">
        <v>713</v>
      </c>
      <c r="J590" s="2" t="s">
        <v>86</v>
      </c>
      <c r="K590" s="2">
        <v>4</v>
      </c>
      <c r="L590" s="2">
        <v>3.992</v>
      </c>
      <c r="M590" s="2">
        <v>8.0000000000000002E-3</v>
      </c>
      <c r="N590" s="8" t="s">
        <v>11846</v>
      </c>
      <c r="O590" s="8" t="s">
        <v>11847</v>
      </c>
      <c r="P590" s="2">
        <v>2</v>
      </c>
      <c r="Q590" s="8"/>
      <c r="R590" s="8" t="s">
        <v>4861</v>
      </c>
      <c r="S590" s="8" t="str">
        <f>HYPERLINK("https://seichotoushi-hojo.jp/assets/pdf/koufu/outline_89.pdf","PDFを開く")</f>
        <v>PDFを開く</v>
      </c>
      <c r="T590" s="8" t="s">
        <v>1309</v>
      </c>
      <c r="U590" s="8" t="s">
        <v>1310</v>
      </c>
    </row>
    <row r="591" spans="1:21" ht="39.950000000000003" customHeight="1">
      <c r="A591" s="5" t="s">
        <v>1303</v>
      </c>
      <c r="B591" s="5" t="s">
        <v>73</v>
      </c>
      <c r="C591" s="9" t="s">
        <v>1304</v>
      </c>
      <c r="D591" s="9" t="s">
        <v>3188</v>
      </c>
      <c r="E591" s="9" t="s">
        <v>157</v>
      </c>
      <c r="F591" s="5"/>
      <c r="G591" s="5"/>
      <c r="H591" s="5"/>
      <c r="I591" s="5"/>
      <c r="J591" s="5"/>
      <c r="K591" s="5"/>
      <c r="L591" s="5"/>
      <c r="M591" s="5"/>
      <c r="N591" s="9" t="s">
        <v>11850</v>
      </c>
      <c r="O591" s="9"/>
      <c r="P591" s="5"/>
      <c r="Q591" s="9" t="s">
        <v>11851</v>
      </c>
      <c r="R591" s="9"/>
      <c r="S591" s="9" t="str">
        <f>HYPERLINK("https://seichotoushi-hojo.jp/assets/pdf/koufu/outline_89.pdf","PDFを開く")</f>
        <v>PDFを開く</v>
      </c>
      <c r="T591" s="9" t="s">
        <v>1309</v>
      </c>
      <c r="U591" s="9" t="s">
        <v>1310</v>
      </c>
    </row>
    <row r="592" spans="1:21" ht="39.950000000000003" customHeight="1">
      <c r="A592" s="2" t="s">
        <v>1303</v>
      </c>
      <c r="B592" s="2" t="s">
        <v>73</v>
      </c>
      <c r="C592" s="8" t="s">
        <v>1304</v>
      </c>
      <c r="D592" s="8" t="s">
        <v>3191</v>
      </c>
      <c r="E592" s="8" t="s">
        <v>92</v>
      </c>
      <c r="F592" s="2">
        <v>2026</v>
      </c>
      <c r="G592" s="2">
        <v>29</v>
      </c>
      <c r="H592" s="2">
        <v>2029</v>
      </c>
      <c r="I592" s="2">
        <v>87</v>
      </c>
      <c r="J592" s="2" t="s">
        <v>2513</v>
      </c>
      <c r="K592" s="2"/>
      <c r="L592" s="2"/>
      <c r="M592" s="2"/>
      <c r="N592" s="8" t="s">
        <v>11846</v>
      </c>
      <c r="O592" s="8" t="s">
        <v>11847</v>
      </c>
      <c r="P592" s="2">
        <v>2</v>
      </c>
      <c r="Q592" s="8"/>
      <c r="R592" s="8" t="s">
        <v>4864</v>
      </c>
      <c r="S592" s="8" t="str">
        <f>HYPERLINK("https://seichotoushi-hojo.jp/assets/pdf/koufu/outline_89.pdf","PDFを開く")</f>
        <v>PDFを開く</v>
      </c>
      <c r="T592" s="8" t="s">
        <v>1309</v>
      </c>
      <c r="U592" s="8" t="s">
        <v>1310</v>
      </c>
    </row>
    <row r="593" spans="1:21" ht="39.950000000000003" customHeight="1">
      <c r="A593" s="5" t="s">
        <v>1311</v>
      </c>
      <c r="B593" s="5" t="s">
        <v>73</v>
      </c>
      <c r="C593" s="9" t="s">
        <v>1312</v>
      </c>
      <c r="D593" s="9" t="s">
        <v>3176</v>
      </c>
      <c r="E593" s="9" t="s">
        <v>92</v>
      </c>
      <c r="F593" s="5">
        <v>2026</v>
      </c>
      <c r="G593" s="5">
        <v>-517</v>
      </c>
      <c r="H593" s="5">
        <v>2029</v>
      </c>
      <c r="I593" s="5">
        <v>4324</v>
      </c>
      <c r="J593" s="5" t="s">
        <v>86</v>
      </c>
      <c r="K593" s="5">
        <v>1</v>
      </c>
      <c r="L593" s="5"/>
      <c r="M593" s="5"/>
      <c r="N593" s="9" t="s">
        <v>11846</v>
      </c>
      <c r="O593" s="9" t="s">
        <v>11847</v>
      </c>
      <c r="P593" s="5">
        <v>2</v>
      </c>
      <c r="Q593" s="9"/>
      <c r="R593" s="9" t="s">
        <v>4866</v>
      </c>
      <c r="S593" s="9" t="str">
        <f>HYPERLINK("https://seichotoushi-hojo.jp/assets/pdf/koufu/outline_9.pdf","PDFを開く")</f>
        <v>PDFを開く</v>
      </c>
      <c r="T593" s="9" t="s">
        <v>1316</v>
      </c>
      <c r="U593" s="9" t="s">
        <v>1317</v>
      </c>
    </row>
    <row r="594" spans="1:21" ht="39.950000000000003" customHeight="1">
      <c r="A594" s="2" t="s">
        <v>1311</v>
      </c>
      <c r="B594" s="2" t="s">
        <v>73</v>
      </c>
      <c r="C594" s="8" t="s">
        <v>1312</v>
      </c>
      <c r="D594" s="8" t="s">
        <v>3184</v>
      </c>
      <c r="E594" s="8" t="s">
        <v>90</v>
      </c>
      <c r="F594" s="2">
        <v>2026</v>
      </c>
      <c r="G594" s="2">
        <v>690</v>
      </c>
      <c r="H594" s="2">
        <v>2029</v>
      </c>
      <c r="I594" s="2">
        <v>757</v>
      </c>
      <c r="J594" s="2" t="s">
        <v>86</v>
      </c>
      <c r="K594" s="2">
        <v>3.16</v>
      </c>
      <c r="L594" s="2">
        <v>3.1373000000000002</v>
      </c>
      <c r="M594" s="2">
        <v>2.2700000000000001E-2</v>
      </c>
      <c r="N594" s="8" t="s">
        <v>11846</v>
      </c>
      <c r="O594" s="8" t="s">
        <v>11847</v>
      </c>
      <c r="P594" s="2">
        <v>2</v>
      </c>
      <c r="Q594" s="8"/>
      <c r="R594" s="8" t="s">
        <v>4869</v>
      </c>
      <c r="S594" s="8" t="str">
        <f>HYPERLINK("https://seichotoushi-hojo.jp/assets/pdf/koufu/outline_9.pdf","PDFを開く")</f>
        <v>PDFを開く</v>
      </c>
      <c r="T594" s="8" t="s">
        <v>1316</v>
      </c>
      <c r="U594" s="8" t="s">
        <v>1317</v>
      </c>
    </row>
    <row r="595" spans="1:21" ht="39.950000000000003" customHeight="1">
      <c r="A595" s="5" t="s">
        <v>1311</v>
      </c>
      <c r="B595" s="5" t="s">
        <v>73</v>
      </c>
      <c r="C595" s="9" t="s">
        <v>1312</v>
      </c>
      <c r="D595" s="9" t="s">
        <v>3188</v>
      </c>
      <c r="E595" s="9" t="s">
        <v>91</v>
      </c>
      <c r="F595" s="5">
        <v>2026</v>
      </c>
      <c r="G595" s="5"/>
      <c r="H595" s="5">
        <v>2029</v>
      </c>
      <c r="I595" s="5"/>
      <c r="J595" s="5" t="s">
        <v>86</v>
      </c>
      <c r="K595" s="5">
        <v>3.48</v>
      </c>
      <c r="L595" s="5"/>
      <c r="M595" s="5"/>
      <c r="N595" s="9" t="s">
        <v>11846</v>
      </c>
      <c r="O595" s="9" t="s">
        <v>11848</v>
      </c>
      <c r="P595" s="5">
        <v>2</v>
      </c>
      <c r="Q595" s="9"/>
      <c r="R595" s="9" t="s">
        <v>4876</v>
      </c>
      <c r="S595" s="9" t="str">
        <f>HYPERLINK("https://seichotoushi-hojo.jp/assets/pdf/koufu/outline_9.pdf","PDFを開く")</f>
        <v>PDFを開く</v>
      </c>
      <c r="T595" s="9" t="s">
        <v>1316</v>
      </c>
      <c r="U595" s="9" t="s">
        <v>1317</v>
      </c>
    </row>
    <row r="596" spans="1:21" ht="39.950000000000003" customHeight="1">
      <c r="A596" s="2" t="s">
        <v>1311</v>
      </c>
      <c r="B596" s="2" t="s">
        <v>73</v>
      </c>
      <c r="C596" s="8" t="s">
        <v>1312</v>
      </c>
      <c r="D596" s="8" t="s">
        <v>3191</v>
      </c>
      <c r="E596" s="8" t="s">
        <v>92</v>
      </c>
      <c r="F596" s="2">
        <v>2026</v>
      </c>
      <c r="G596" s="2">
        <v>84</v>
      </c>
      <c r="H596" s="2">
        <v>2029</v>
      </c>
      <c r="I596" s="2">
        <v>132</v>
      </c>
      <c r="J596" s="2" t="s">
        <v>2513</v>
      </c>
      <c r="K596" s="2"/>
      <c r="L596" s="2"/>
      <c r="M596" s="2"/>
      <c r="N596" s="8" t="s">
        <v>11846</v>
      </c>
      <c r="O596" s="8" t="s">
        <v>11847</v>
      </c>
      <c r="P596" s="2">
        <v>2</v>
      </c>
      <c r="Q596" s="8"/>
      <c r="R596" s="8" t="s">
        <v>4873</v>
      </c>
      <c r="S596" s="8" t="str">
        <f>HYPERLINK("https://seichotoushi-hojo.jp/assets/pdf/koufu/outline_9.pdf","PDFを開く")</f>
        <v>PDFを開く</v>
      </c>
      <c r="T596" s="8" t="s">
        <v>1316</v>
      </c>
      <c r="U596" s="8" t="s">
        <v>1317</v>
      </c>
    </row>
    <row r="597" spans="1:21" ht="39.950000000000003" customHeight="1">
      <c r="A597" s="5" t="s">
        <v>1318</v>
      </c>
      <c r="B597" s="5" t="s">
        <v>73</v>
      </c>
      <c r="C597" s="9" t="s">
        <v>1319</v>
      </c>
      <c r="D597" s="9" t="s">
        <v>3176</v>
      </c>
      <c r="E597" s="22" t="s">
        <v>113</v>
      </c>
      <c r="F597" s="5">
        <v>2025</v>
      </c>
      <c r="G597" s="5">
        <v>762</v>
      </c>
      <c r="H597" s="5">
        <v>2028</v>
      </c>
      <c r="I597" s="5">
        <v>1327</v>
      </c>
      <c r="J597" s="5" t="s">
        <v>86</v>
      </c>
      <c r="K597" s="5">
        <v>15</v>
      </c>
      <c r="L597" s="5">
        <v>20.311</v>
      </c>
      <c r="M597" s="5">
        <v>5.3109999999999999</v>
      </c>
      <c r="N597" s="9" t="s">
        <v>11846</v>
      </c>
      <c r="O597" s="9" t="s">
        <v>292</v>
      </c>
      <c r="P597" s="5">
        <v>2</v>
      </c>
      <c r="Q597" s="9" t="s">
        <v>11849</v>
      </c>
      <c r="R597" s="9" t="s">
        <v>4887</v>
      </c>
      <c r="S597" s="9" t="str">
        <f>HYPERLINK("https://seichotoushi-hojo.jp/assets/pdf/koufu/outline_91.pdf","PDFを開く")</f>
        <v>PDFを開く</v>
      </c>
      <c r="T597" s="9" t="s">
        <v>1326</v>
      </c>
      <c r="U597" s="9" t="s">
        <v>1327</v>
      </c>
    </row>
    <row r="598" spans="1:21" ht="39.950000000000003" customHeight="1">
      <c r="A598" s="2" t="s">
        <v>1318</v>
      </c>
      <c r="B598" s="2" t="s">
        <v>73</v>
      </c>
      <c r="C598" s="8" t="s">
        <v>1319</v>
      </c>
      <c r="D598" s="8" t="s">
        <v>3184</v>
      </c>
      <c r="E598" s="8" t="s">
        <v>90</v>
      </c>
      <c r="F598" s="2">
        <v>2025</v>
      </c>
      <c r="G598" s="2">
        <v>618</v>
      </c>
      <c r="H598" s="2">
        <v>2028</v>
      </c>
      <c r="I598" s="2">
        <v>716</v>
      </c>
      <c r="J598" s="2" t="s">
        <v>86</v>
      </c>
      <c r="K598" s="2">
        <v>5</v>
      </c>
      <c r="L598" s="2">
        <v>5.0286999999999997</v>
      </c>
      <c r="M598" s="2">
        <v>2.87E-2</v>
      </c>
      <c r="N598" s="8" t="s">
        <v>11846</v>
      </c>
      <c r="O598" s="8" t="s">
        <v>11847</v>
      </c>
      <c r="P598" s="2">
        <v>2</v>
      </c>
      <c r="Q598" s="8"/>
      <c r="R598" s="8" t="s">
        <v>4882</v>
      </c>
      <c r="S598" s="8" t="str">
        <f>HYPERLINK("https://seichotoushi-hojo.jp/assets/pdf/koufu/outline_91.pdf","PDFを開く")</f>
        <v>PDFを開く</v>
      </c>
      <c r="T598" s="8" t="s">
        <v>1326</v>
      </c>
      <c r="U598" s="8" t="s">
        <v>1327</v>
      </c>
    </row>
    <row r="599" spans="1:21" ht="39.950000000000003" customHeight="1">
      <c r="A599" s="5" t="s">
        <v>1318</v>
      </c>
      <c r="B599" s="5" t="s">
        <v>73</v>
      </c>
      <c r="C599" s="9" t="s">
        <v>1319</v>
      </c>
      <c r="D599" s="9" t="s">
        <v>3188</v>
      </c>
      <c r="E599" s="9" t="s">
        <v>92</v>
      </c>
      <c r="F599" s="5">
        <v>2025</v>
      </c>
      <c r="G599" s="5">
        <v>0</v>
      </c>
      <c r="H599" s="5">
        <v>2028</v>
      </c>
      <c r="I599" s="5">
        <v>0</v>
      </c>
      <c r="J599" s="5" t="s">
        <v>86</v>
      </c>
      <c r="K599" s="5">
        <v>0</v>
      </c>
      <c r="L599" s="5"/>
      <c r="M599" s="5"/>
      <c r="N599" s="9" t="s">
        <v>11846</v>
      </c>
      <c r="O599" s="9" t="s">
        <v>11847</v>
      </c>
      <c r="P599" s="5">
        <v>2</v>
      </c>
      <c r="Q599" s="9"/>
      <c r="R599" s="9" t="s">
        <v>4884</v>
      </c>
      <c r="S599" s="9" t="str">
        <f>HYPERLINK("https://seichotoushi-hojo.jp/assets/pdf/koufu/outline_91.pdf","PDFを開く")</f>
        <v>PDFを開く</v>
      </c>
      <c r="T599" s="9" t="s">
        <v>1326</v>
      </c>
      <c r="U599" s="9" t="s">
        <v>1327</v>
      </c>
    </row>
    <row r="600" spans="1:21" ht="39.950000000000003" customHeight="1">
      <c r="A600" s="2" t="s">
        <v>1318</v>
      </c>
      <c r="B600" s="2" t="s">
        <v>73</v>
      </c>
      <c r="C600" s="8" t="s">
        <v>1319</v>
      </c>
      <c r="D600" s="8" t="s">
        <v>3191</v>
      </c>
      <c r="E600" s="8" t="s">
        <v>92</v>
      </c>
      <c r="F600" s="2">
        <v>2025</v>
      </c>
      <c r="G600" s="2">
        <v>126</v>
      </c>
      <c r="H600" s="2">
        <v>2028</v>
      </c>
      <c r="I600" s="2">
        <v>144</v>
      </c>
      <c r="J600" s="2" t="s">
        <v>2513</v>
      </c>
      <c r="K600" s="2"/>
      <c r="L600" s="2"/>
      <c r="M600" s="2"/>
      <c r="N600" s="8" t="s">
        <v>11846</v>
      </c>
      <c r="O600" s="8" t="s">
        <v>11847</v>
      </c>
      <c r="P600" s="2">
        <v>2</v>
      </c>
      <c r="Q600" s="8"/>
      <c r="R600" s="8" t="s">
        <v>4886</v>
      </c>
      <c r="S600" s="8" t="str">
        <f>HYPERLINK("https://seichotoushi-hojo.jp/assets/pdf/koufu/outline_91.pdf","PDFを開く")</f>
        <v>PDFを開く</v>
      </c>
      <c r="T600" s="8" t="s">
        <v>1326</v>
      </c>
      <c r="U600" s="8" t="s">
        <v>1327</v>
      </c>
    </row>
    <row r="601" spans="1:21" ht="39.950000000000003" customHeight="1">
      <c r="A601" s="5" t="s">
        <v>1328</v>
      </c>
      <c r="B601" s="5" t="s">
        <v>73</v>
      </c>
      <c r="C601" s="9" t="s">
        <v>1329</v>
      </c>
      <c r="D601" s="9" t="s">
        <v>3176</v>
      </c>
      <c r="E601" s="9" t="s">
        <v>90</v>
      </c>
      <c r="F601" s="5">
        <v>2026</v>
      </c>
      <c r="G601" s="5">
        <v>1156</v>
      </c>
      <c r="H601" s="5">
        <v>2029</v>
      </c>
      <c r="I601" s="5">
        <v>1941</v>
      </c>
      <c r="J601" s="5" t="s">
        <v>86</v>
      </c>
      <c r="K601" s="5">
        <v>18.8</v>
      </c>
      <c r="L601" s="5">
        <v>18.856400000000001</v>
      </c>
      <c r="M601" s="5">
        <v>5.6399999999999999E-2</v>
      </c>
      <c r="N601" s="9" t="s">
        <v>11846</v>
      </c>
      <c r="O601" s="9" t="s">
        <v>11847</v>
      </c>
      <c r="P601" s="5">
        <v>2</v>
      </c>
      <c r="Q601" s="9"/>
      <c r="R601" s="9" t="s">
        <v>4891</v>
      </c>
      <c r="S601" s="9" t="str">
        <f>HYPERLINK("https://seichotoushi-hojo.jp/assets/pdf/koufu/outline_92.pdf","PDFを開く")</f>
        <v>PDFを開く</v>
      </c>
      <c r="T601" s="9" t="s">
        <v>1333</v>
      </c>
      <c r="U601" s="9" t="s">
        <v>1334</v>
      </c>
    </row>
    <row r="602" spans="1:21" ht="39.950000000000003" customHeight="1">
      <c r="A602" s="2" t="s">
        <v>1328</v>
      </c>
      <c r="B602" s="2" t="s">
        <v>73</v>
      </c>
      <c r="C602" s="8" t="s">
        <v>1329</v>
      </c>
      <c r="D602" s="8" t="s">
        <v>3184</v>
      </c>
      <c r="E602" s="8" t="s">
        <v>90</v>
      </c>
      <c r="F602" s="2">
        <v>2026</v>
      </c>
      <c r="G602" s="2">
        <v>522</v>
      </c>
      <c r="H602" s="2">
        <v>2029</v>
      </c>
      <c r="I602" s="2">
        <v>588</v>
      </c>
      <c r="J602" s="2" t="s">
        <v>86</v>
      </c>
      <c r="K602" s="2">
        <v>4.03</v>
      </c>
      <c r="L602" s="2">
        <v>4.0484</v>
      </c>
      <c r="M602" s="2">
        <v>1.84E-2</v>
      </c>
      <c r="N602" s="8" t="s">
        <v>11846</v>
      </c>
      <c r="O602" s="8" t="s">
        <v>11847</v>
      </c>
      <c r="P602" s="2">
        <v>2</v>
      </c>
      <c r="Q602" s="8"/>
      <c r="R602" s="8" t="s">
        <v>4895</v>
      </c>
      <c r="S602" s="8" t="str">
        <f>HYPERLINK("https://seichotoushi-hojo.jp/assets/pdf/koufu/outline_92.pdf","PDFを開く")</f>
        <v>PDFを開く</v>
      </c>
      <c r="T602" s="8" t="s">
        <v>1333</v>
      </c>
      <c r="U602" s="8" t="s">
        <v>1334</v>
      </c>
    </row>
    <row r="603" spans="1:21" ht="39.950000000000003" customHeight="1">
      <c r="A603" s="5" t="s">
        <v>1328</v>
      </c>
      <c r="B603" s="5" t="s">
        <v>73</v>
      </c>
      <c r="C603" s="9" t="s">
        <v>1329</v>
      </c>
      <c r="D603" s="9" t="s">
        <v>3188</v>
      </c>
      <c r="E603" s="9" t="s">
        <v>91</v>
      </c>
      <c r="F603" s="5">
        <v>2026</v>
      </c>
      <c r="G603" s="5"/>
      <c r="H603" s="5">
        <v>2029</v>
      </c>
      <c r="I603" s="5"/>
      <c r="J603" s="5" t="s">
        <v>86</v>
      </c>
      <c r="K603" s="5">
        <v>4.01</v>
      </c>
      <c r="L603" s="5"/>
      <c r="M603" s="5"/>
      <c r="N603" s="9" t="s">
        <v>11846</v>
      </c>
      <c r="O603" s="9" t="s">
        <v>11848</v>
      </c>
      <c r="P603" s="5">
        <v>2</v>
      </c>
      <c r="Q603" s="9"/>
      <c r="R603" s="9" t="s">
        <v>4900</v>
      </c>
      <c r="S603" s="9" t="str">
        <f>HYPERLINK("https://seichotoushi-hojo.jp/assets/pdf/koufu/outline_92.pdf","PDFを開く")</f>
        <v>PDFを開く</v>
      </c>
      <c r="T603" s="9" t="s">
        <v>1333</v>
      </c>
      <c r="U603" s="9" t="s">
        <v>1334</v>
      </c>
    </row>
    <row r="604" spans="1:21" ht="39.950000000000003" customHeight="1">
      <c r="A604" s="2" t="s">
        <v>1328</v>
      </c>
      <c r="B604" s="2" t="s">
        <v>73</v>
      </c>
      <c r="C604" s="8" t="s">
        <v>1329</v>
      </c>
      <c r="D604" s="8" t="s">
        <v>3191</v>
      </c>
      <c r="E604" s="8" t="s">
        <v>92</v>
      </c>
      <c r="F604" s="2">
        <v>2026</v>
      </c>
      <c r="G604" s="2">
        <v>195</v>
      </c>
      <c r="H604" s="2">
        <v>2029</v>
      </c>
      <c r="I604" s="2">
        <v>230</v>
      </c>
      <c r="J604" s="2" t="s">
        <v>2513</v>
      </c>
      <c r="K604" s="2"/>
      <c r="L604" s="2"/>
      <c r="M604" s="2"/>
      <c r="N604" s="8" t="s">
        <v>11846</v>
      </c>
      <c r="O604" s="8" t="s">
        <v>11847</v>
      </c>
      <c r="P604" s="2">
        <v>2</v>
      </c>
      <c r="Q604" s="8"/>
      <c r="R604" s="8" t="s">
        <v>4897</v>
      </c>
      <c r="S604" s="8" t="str">
        <f>HYPERLINK("https://seichotoushi-hojo.jp/assets/pdf/koufu/outline_92.pdf","PDFを開く")</f>
        <v>PDFを開く</v>
      </c>
      <c r="T604" s="8" t="s">
        <v>1333</v>
      </c>
      <c r="U604" s="8" t="s">
        <v>1334</v>
      </c>
    </row>
    <row r="605" spans="1:21" ht="39.950000000000003" customHeight="1">
      <c r="A605" s="5" t="s">
        <v>1335</v>
      </c>
      <c r="B605" s="5" t="s">
        <v>73</v>
      </c>
      <c r="C605" s="9" t="s">
        <v>1336</v>
      </c>
      <c r="D605" s="9" t="s">
        <v>3176</v>
      </c>
      <c r="E605" s="9" t="s">
        <v>90</v>
      </c>
      <c r="F605" s="5">
        <v>2027</v>
      </c>
      <c r="G605" s="5">
        <v>9853</v>
      </c>
      <c r="H605" s="5">
        <v>2030</v>
      </c>
      <c r="I605" s="5">
        <v>24107</v>
      </c>
      <c r="J605" s="5" t="s">
        <v>447</v>
      </c>
      <c r="K605" s="5">
        <v>34.799999999999997</v>
      </c>
      <c r="L605" s="5">
        <v>34.748800000000003</v>
      </c>
      <c r="M605" s="5">
        <v>5.1200000000000002E-2</v>
      </c>
      <c r="N605" s="9" t="s">
        <v>11846</v>
      </c>
      <c r="O605" s="9" t="s">
        <v>11847</v>
      </c>
      <c r="P605" s="5">
        <v>2</v>
      </c>
      <c r="Q605" s="9"/>
      <c r="R605" s="9" t="s">
        <v>4904</v>
      </c>
      <c r="S605" s="9" t="str">
        <f>HYPERLINK("https://seichotoushi-hojo.jp/assets/pdf/koufu/outline_93.pdf","PDFを開く")</f>
        <v>PDFを開く</v>
      </c>
      <c r="T605" s="9" t="s">
        <v>1341</v>
      </c>
      <c r="U605" s="9" t="s">
        <v>1342</v>
      </c>
    </row>
    <row r="606" spans="1:21" ht="39.950000000000003" customHeight="1">
      <c r="A606" s="2" t="s">
        <v>1335</v>
      </c>
      <c r="B606" s="2" t="s">
        <v>73</v>
      </c>
      <c r="C606" s="8" t="s">
        <v>1336</v>
      </c>
      <c r="D606" s="8" t="s">
        <v>3184</v>
      </c>
      <c r="E606" s="8" t="s">
        <v>90</v>
      </c>
      <c r="F606" s="2">
        <v>2027</v>
      </c>
      <c r="G606" s="2">
        <v>5565</v>
      </c>
      <c r="H606" s="2">
        <v>2030</v>
      </c>
      <c r="I606" s="2">
        <v>6305</v>
      </c>
      <c r="J606" s="2" t="s">
        <v>447</v>
      </c>
      <c r="K606" s="2">
        <v>4.3</v>
      </c>
      <c r="L606" s="2">
        <v>4.2492999999999999</v>
      </c>
      <c r="M606" s="2">
        <v>5.0700000000000002E-2</v>
      </c>
      <c r="N606" s="8" t="s">
        <v>11846</v>
      </c>
      <c r="O606" s="8" t="s">
        <v>11847</v>
      </c>
      <c r="P606" s="2">
        <v>2</v>
      </c>
      <c r="Q606" s="8"/>
      <c r="R606" s="8" t="s">
        <v>4907</v>
      </c>
      <c r="S606" s="8" t="str">
        <f>HYPERLINK("https://seichotoushi-hojo.jp/assets/pdf/koufu/outline_93.pdf","PDFを開く")</f>
        <v>PDFを開く</v>
      </c>
      <c r="T606" s="8" t="s">
        <v>1341</v>
      </c>
      <c r="U606" s="8" t="s">
        <v>1342</v>
      </c>
    </row>
    <row r="607" spans="1:21" ht="39.950000000000003" customHeight="1">
      <c r="A607" s="5" t="s">
        <v>1335</v>
      </c>
      <c r="B607" s="5" t="s">
        <v>73</v>
      </c>
      <c r="C607" s="9" t="s">
        <v>1336</v>
      </c>
      <c r="D607" s="9" t="s">
        <v>3188</v>
      </c>
      <c r="E607" s="9" t="s">
        <v>156</v>
      </c>
      <c r="F607" s="5"/>
      <c r="G607" s="5"/>
      <c r="H607" s="5"/>
      <c r="I607" s="5"/>
      <c r="J607" s="5"/>
      <c r="K607" s="5"/>
      <c r="L607" s="5"/>
      <c r="M607" s="5"/>
      <c r="N607" s="9" t="s">
        <v>11850</v>
      </c>
      <c r="O607" s="9"/>
      <c r="P607" s="5"/>
      <c r="Q607" s="9" t="s">
        <v>11851</v>
      </c>
      <c r="R607" s="9"/>
      <c r="S607" s="9" t="str">
        <f>HYPERLINK("https://seichotoushi-hojo.jp/assets/pdf/koufu/outline_93.pdf","PDFを開く")</f>
        <v>PDFを開く</v>
      </c>
      <c r="T607" s="9" t="s">
        <v>1341</v>
      </c>
      <c r="U607" s="9" t="s">
        <v>1342</v>
      </c>
    </row>
    <row r="608" spans="1:21" ht="39.950000000000003" customHeight="1">
      <c r="A608" s="2" t="s">
        <v>1335</v>
      </c>
      <c r="B608" s="2" t="s">
        <v>73</v>
      </c>
      <c r="C608" s="8" t="s">
        <v>1336</v>
      </c>
      <c r="D608" s="8" t="s">
        <v>3191</v>
      </c>
      <c r="E608" s="8" t="s">
        <v>157</v>
      </c>
      <c r="F608" s="2"/>
      <c r="G608" s="2"/>
      <c r="H608" s="2"/>
      <c r="I608" s="2"/>
      <c r="J608" s="2"/>
      <c r="K608" s="2"/>
      <c r="L608" s="2"/>
      <c r="M608" s="2"/>
      <c r="N608" s="8" t="s">
        <v>11850</v>
      </c>
      <c r="O608" s="8"/>
      <c r="P608" s="2"/>
      <c r="Q608" s="8" t="s">
        <v>11851</v>
      </c>
      <c r="R608" s="8"/>
      <c r="S608" s="8" t="str">
        <f>HYPERLINK("https://seichotoushi-hojo.jp/assets/pdf/koufu/outline_93.pdf","PDFを開く")</f>
        <v>PDFを開く</v>
      </c>
      <c r="T608" s="8" t="s">
        <v>1341</v>
      </c>
      <c r="U608" s="8" t="s">
        <v>1342</v>
      </c>
    </row>
    <row r="609" spans="1:21" ht="39.950000000000003" customHeight="1">
      <c r="A609" s="5" t="s">
        <v>1343</v>
      </c>
      <c r="B609" s="5" t="s">
        <v>73</v>
      </c>
      <c r="C609" s="9" t="s">
        <v>1344</v>
      </c>
      <c r="D609" s="9" t="s">
        <v>3176</v>
      </c>
      <c r="E609" s="9" t="s">
        <v>90</v>
      </c>
      <c r="F609" s="5">
        <v>2027</v>
      </c>
      <c r="G609" s="5">
        <v>1133</v>
      </c>
      <c r="H609" s="5">
        <v>2030</v>
      </c>
      <c r="I609" s="5">
        <v>1765</v>
      </c>
      <c r="J609" s="5" t="s">
        <v>86</v>
      </c>
      <c r="K609" s="5">
        <v>16.100000000000001</v>
      </c>
      <c r="L609" s="5">
        <v>15.923500000000001</v>
      </c>
      <c r="M609" s="5">
        <v>0.17649999999999999</v>
      </c>
      <c r="N609" s="9" t="s">
        <v>11846</v>
      </c>
      <c r="O609" s="9" t="s">
        <v>11847</v>
      </c>
      <c r="P609" s="5">
        <v>2</v>
      </c>
      <c r="Q609" s="9"/>
      <c r="R609" s="9" t="s">
        <v>4911</v>
      </c>
      <c r="S609" s="9" t="str">
        <f>HYPERLINK("https://seichotoushi-hojo.jp/assets/pdf/koufu/outline_94.pdf","PDFを開く")</f>
        <v>PDFを開く</v>
      </c>
      <c r="T609" s="9" t="s">
        <v>1348</v>
      </c>
      <c r="U609" s="9" t="s">
        <v>1349</v>
      </c>
    </row>
    <row r="610" spans="1:21" ht="39.950000000000003" customHeight="1">
      <c r="A610" s="2" t="s">
        <v>1343</v>
      </c>
      <c r="B610" s="2" t="s">
        <v>73</v>
      </c>
      <c r="C610" s="8" t="s">
        <v>1344</v>
      </c>
      <c r="D610" s="8" t="s">
        <v>3184</v>
      </c>
      <c r="E610" s="8" t="s">
        <v>90</v>
      </c>
      <c r="F610" s="2">
        <v>2027</v>
      </c>
      <c r="G610" s="2">
        <v>509</v>
      </c>
      <c r="H610" s="2">
        <v>2030</v>
      </c>
      <c r="I610" s="2">
        <v>623</v>
      </c>
      <c r="J610" s="2" t="s">
        <v>86</v>
      </c>
      <c r="K610" s="2">
        <v>7</v>
      </c>
      <c r="L610" s="2">
        <v>6.9687000000000001</v>
      </c>
      <c r="M610" s="2">
        <v>3.1300000000000001E-2</v>
      </c>
      <c r="N610" s="8" t="s">
        <v>11846</v>
      </c>
      <c r="O610" s="8" t="s">
        <v>11847</v>
      </c>
      <c r="P610" s="2">
        <v>2</v>
      </c>
      <c r="Q610" s="8"/>
      <c r="R610" s="8" t="s">
        <v>4913</v>
      </c>
      <c r="S610" s="8" t="str">
        <f>HYPERLINK("https://seichotoushi-hojo.jp/assets/pdf/koufu/outline_94.pdf","PDFを開く")</f>
        <v>PDFを開く</v>
      </c>
      <c r="T610" s="8" t="s">
        <v>1348</v>
      </c>
      <c r="U610" s="8" t="s">
        <v>1349</v>
      </c>
    </row>
    <row r="611" spans="1:21" ht="39.950000000000003" customHeight="1">
      <c r="A611" s="5" t="s">
        <v>1343</v>
      </c>
      <c r="B611" s="5" t="s">
        <v>73</v>
      </c>
      <c r="C611" s="9" t="s">
        <v>1344</v>
      </c>
      <c r="D611" s="9" t="s">
        <v>3188</v>
      </c>
      <c r="E611" s="9" t="s">
        <v>91</v>
      </c>
      <c r="F611" s="5">
        <v>2027</v>
      </c>
      <c r="G611" s="5"/>
      <c r="H611" s="5">
        <v>2030</v>
      </c>
      <c r="I611" s="5"/>
      <c r="J611" s="5" t="s">
        <v>86</v>
      </c>
      <c r="K611" s="5">
        <v>5.98</v>
      </c>
      <c r="L611" s="5"/>
      <c r="M611" s="5"/>
      <c r="N611" s="9" t="s">
        <v>11846</v>
      </c>
      <c r="O611" s="9" t="s">
        <v>11848</v>
      </c>
      <c r="P611" s="5">
        <v>2</v>
      </c>
      <c r="Q611" s="9"/>
      <c r="R611" s="9" t="s">
        <v>4917</v>
      </c>
      <c r="S611" s="9" t="str">
        <f>HYPERLINK("https://seichotoushi-hojo.jp/assets/pdf/koufu/outline_94.pdf","PDFを開く")</f>
        <v>PDFを開く</v>
      </c>
      <c r="T611" s="9" t="s">
        <v>1348</v>
      </c>
      <c r="U611" s="9" t="s">
        <v>1349</v>
      </c>
    </row>
    <row r="612" spans="1:21" ht="39.950000000000003" customHeight="1">
      <c r="A612" s="2" t="s">
        <v>1343</v>
      </c>
      <c r="B612" s="2" t="s">
        <v>73</v>
      </c>
      <c r="C612" s="8" t="s">
        <v>1344</v>
      </c>
      <c r="D612" s="8" t="s">
        <v>3191</v>
      </c>
      <c r="E612" s="8" t="s">
        <v>92</v>
      </c>
      <c r="F612" s="2">
        <v>2027</v>
      </c>
      <c r="G612" s="2">
        <v>20</v>
      </c>
      <c r="H612" s="2">
        <v>2030</v>
      </c>
      <c r="I612" s="2">
        <v>20</v>
      </c>
      <c r="J612" s="2" t="s">
        <v>2513</v>
      </c>
      <c r="K612" s="2"/>
      <c r="L612" s="2"/>
      <c r="M612" s="2"/>
      <c r="N612" s="8" t="s">
        <v>11846</v>
      </c>
      <c r="O612" s="8" t="s">
        <v>11847</v>
      </c>
      <c r="P612" s="2">
        <v>2</v>
      </c>
      <c r="Q612" s="8"/>
      <c r="R612" s="8" t="s">
        <v>4915</v>
      </c>
      <c r="S612" s="8" t="str">
        <f>HYPERLINK("https://seichotoushi-hojo.jp/assets/pdf/koufu/outline_94.pdf","PDFを開く")</f>
        <v>PDFを開く</v>
      </c>
      <c r="T612" s="8" t="s">
        <v>1348</v>
      </c>
      <c r="U612" s="8" t="s">
        <v>1349</v>
      </c>
    </row>
    <row r="613" spans="1:21" ht="39.950000000000003" customHeight="1">
      <c r="A613" s="5" t="s">
        <v>1350</v>
      </c>
      <c r="B613" s="5" t="s">
        <v>73</v>
      </c>
      <c r="C613" s="9" t="s">
        <v>1351</v>
      </c>
      <c r="D613" s="9" t="s">
        <v>3176</v>
      </c>
      <c r="E613" s="22" t="s">
        <v>113</v>
      </c>
      <c r="F613" s="5">
        <v>2026</v>
      </c>
      <c r="G613" s="5">
        <v>3192</v>
      </c>
      <c r="H613" s="5">
        <v>2029</v>
      </c>
      <c r="I613" s="5">
        <v>3275</v>
      </c>
      <c r="J613" s="5" t="s">
        <v>86</v>
      </c>
      <c r="K613" s="5">
        <v>2.4</v>
      </c>
      <c r="L613" s="5">
        <v>0.85929999999999995</v>
      </c>
      <c r="M613" s="5">
        <v>1.5407</v>
      </c>
      <c r="N613" s="9" t="s">
        <v>11846</v>
      </c>
      <c r="O613" s="9" t="s">
        <v>292</v>
      </c>
      <c r="P613" s="5">
        <v>2</v>
      </c>
      <c r="Q613" s="9" t="s">
        <v>11849</v>
      </c>
      <c r="R613" s="9" t="s">
        <v>4929</v>
      </c>
      <c r="S613" s="9" t="str">
        <f>HYPERLINK("https://seichotoushi-hojo.jp/assets/pdf/koufu/outline_95.pdf","PDFを開く")</f>
        <v>PDFを開く</v>
      </c>
      <c r="T613" s="9" t="s">
        <v>1356</v>
      </c>
      <c r="U613" s="9" t="s">
        <v>1357</v>
      </c>
    </row>
    <row r="614" spans="1:21" ht="39.950000000000003" customHeight="1">
      <c r="A614" s="2" t="s">
        <v>1350</v>
      </c>
      <c r="B614" s="2" t="s">
        <v>73</v>
      </c>
      <c r="C614" s="8" t="s">
        <v>1351</v>
      </c>
      <c r="D614" s="8" t="s">
        <v>3184</v>
      </c>
      <c r="E614" s="8" t="s">
        <v>166</v>
      </c>
      <c r="F614" s="2">
        <v>2026</v>
      </c>
      <c r="G614" s="2">
        <v>930</v>
      </c>
      <c r="H614" s="2">
        <v>2029</v>
      </c>
      <c r="I614" s="2">
        <v>1017</v>
      </c>
      <c r="J614" s="2" t="s">
        <v>86</v>
      </c>
      <c r="K614" s="2">
        <v>3</v>
      </c>
      <c r="L614" s="2">
        <v>3.0257999999999998</v>
      </c>
      <c r="M614" s="2">
        <v>2.58E-2</v>
      </c>
      <c r="N614" s="8" t="s">
        <v>11846</v>
      </c>
      <c r="O614" s="8" t="s">
        <v>292</v>
      </c>
      <c r="P614" s="2">
        <v>2</v>
      </c>
      <c r="Q614" s="8"/>
      <c r="R614" s="8" t="s">
        <v>4931</v>
      </c>
      <c r="S614" s="8" t="str">
        <f>HYPERLINK("https://seichotoushi-hojo.jp/assets/pdf/koufu/outline_95.pdf","PDFを開く")</f>
        <v>PDFを開く</v>
      </c>
      <c r="T614" s="8" t="s">
        <v>1356</v>
      </c>
      <c r="U614" s="8" t="s">
        <v>1357</v>
      </c>
    </row>
    <row r="615" spans="1:21" ht="39.950000000000003" customHeight="1">
      <c r="A615" s="5" t="s">
        <v>1350</v>
      </c>
      <c r="B615" s="5" t="s">
        <v>73</v>
      </c>
      <c r="C615" s="9" t="s">
        <v>1351</v>
      </c>
      <c r="D615" s="9" t="s">
        <v>3188</v>
      </c>
      <c r="E615" s="9" t="s">
        <v>91</v>
      </c>
      <c r="F615" s="5">
        <v>2026</v>
      </c>
      <c r="G615" s="5"/>
      <c r="H615" s="5">
        <v>2029</v>
      </c>
      <c r="I615" s="5"/>
      <c r="J615" s="5" t="s">
        <v>86</v>
      </c>
      <c r="K615" s="5">
        <v>3</v>
      </c>
      <c r="L615" s="5"/>
      <c r="M615" s="5"/>
      <c r="N615" s="9" t="s">
        <v>11846</v>
      </c>
      <c r="O615" s="9" t="s">
        <v>11848</v>
      </c>
      <c r="P615" s="5">
        <v>2</v>
      </c>
      <c r="Q615" s="9"/>
      <c r="R615" s="9" t="s">
        <v>4295</v>
      </c>
      <c r="S615" s="9" t="str">
        <f>HYPERLINK("https://seichotoushi-hojo.jp/assets/pdf/koufu/outline_95.pdf","PDFを開く")</f>
        <v>PDFを開く</v>
      </c>
      <c r="T615" s="9" t="s">
        <v>1356</v>
      </c>
      <c r="U615" s="9" t="s">
        <v>1357</v>
      </c>
    </row>
    <row r="616" spans="1:21" ht="39.950000000000003" customHeight="1">
      <c r="A616" s="2" t="s">
        <v>1350</v>
      </c>
      <c r="B616" s="2" t="s">
        <v>73</v>
      </c>
      <c r="C616" s="8" t="s">
        <v>1351</v>
      </c>
      <c r="D616" s="8" t="s">
        <v>3191</v>
      </c>
      <c r="E616" s="8" t="s">
        <v>166</v>
      </c>
      <c r="F616" s="2">
        <v>2026</v>
      </c>
      <c r="G616" s="2">
        <v>801</v>
      </c>
      <c r="H616" s="2">
        <v>2029</v>
      </c>
      <c r="I616" s="2">
        <v>868</v>
      </c>
      <c r="J616" s="2" t="s">
        <v>2513</v>
      </c>
      <c r="K616" s="2"/>
      <c r="L616" s="2"/>
      <c r="M616" s="2"/>
      <c r="N616" s="8" t="s">
        <v>11846</v>
      </c>
      <c r="O616" s="8" t="s">
        <v>292</v>
      </c>
      <c r="P616" s="2">
        <v>2</v>
      </c>
      <c r="Q616" s="8"/>
      <c r="R616" s="8" t="s">
        <v>4933</v>
      </c>
      <c r="S616" s="8" t="str">
        <f>HYPERLINK("https://seichotoushi-hojo.jp/assets/pdf/koufu/outline_95.pdf","PDFを開く")</f>
        <v>PDFを開く</v>
      </c>
      <c r="T616" s="8" t="s">
        <v>1356</v>
      </c>
      <c r="U616" s="8" t="s">
        <v>1357</v>
      </c>
    </row>
    <row r="617" spans="1:21" ht="39.950000000000003" customHeight="1">
      <c r="A617" s="5" t="s">
        <v>1358</v>
      </c>
      <c r="B617" s="5" t="s">
        <v>73</v>
      </c>
      <c r="C617" s="9" t="s">
        <v>1359</v>
      </c>
      <c r="D617" s="9" t="s">
        <v>3176</v>
      </c>
      <c r="E617" s="9" t="s">
        <v>90</v>
      </c>
      <c r="F617" s="5">
        <v>2026</v>
      </c>
      <c r="G617" s="5">
        <v>681.8</v>
      </c>
      <c r="H617" s="5">
        <v>2029</v>
      </c>
      <c r="I617" s="5">
        <v>797.7</v>
      </c>
      <c r="J617" s="5" t="s">
        <v>86</v>
      </c>
      <c r="K617" s="5">
        <v>5.37</v>
      </c>
      <c r="L617" s="5">
        <v>5.3726000000000003</v>
      </c>
      <c r="M617" s="5">
        <v>2.5999999999999999E-3</v>
      </c>
      <c r="N617" s="9" t="s">
        <v>11846</v>
      </c>
      <c r="O617" s="9" t="s">
        <v>11847</v>
      </c>
      <c r="P617" s="5">
        <v>2</v>
      </c>
      <c r="Q617" s="9"/>
      <c r="R617" s="9" t="s">
        <v>4937</v>
      </c>
      <c r="S617" s="9" t="str">
        <f>HYPERLINK("https://seichotoushi-hojo.jp/assets/pdf/koufu/outline_96.pdf","PDFを開く")</f>
        <v>PDFを開く</v>
      </c>
      <c r="T617" s="9" t="s">
        <v>1365</v>
      </c>
      <c r="U617" s="9" t="s">
        <v>1366</v>
      </c>
    </row>
    <row r="618" spans="1:21" ht="39.950000000000003" customHeight="1">
      <c r="A618" s="2" t="s">
        <v>1358</v>
      </c>
      <c r="B618" s="2" t="s">
        <v>73</v>
      </c>
      <c r="C618" s="8" t="s">
        <v>1359</v>
      </c>
      <c r="D618" s="8" t="s">
        <v>3184</v>
      </c>
      <c r="E618" s="8" t="s">
        <v>90</v>
      </c>
      <c r="F618" s="2">
        <v>2026</v>
      </c>
      <c r="G618" s="2">
        <v>547.29999999999995</v>
      </c>
      <c r="H618" s="2">
        <v>2029</v>
      </c>
      <c r="I618" s="2">
        <v>599.1</v>
      </c>
      <c r="J618" s="2" t="s">
        <v>86</v>
      </c>
      <c r="K618" s="2">
        <v>3.06</v>
      </c>
      <c r="L618" s="2">
        <v>3.0602999999999998</v>
      </c>
      <c r="M618" s="2">
        <v>2.9999999999999997E-4</v>
      </c>
      <c r="N618" s="8" t="s">
        <v>11846</v>
      </c>
      <c r="O618" s="8" t="s">
        <v>11856</v>
      </c>
      <c r="P618" s="2">
        <v>2</v>
      </c>
      <c r="Q618" s="8"/>
      <c r="R618" s="8" t="s">
        <v>4940</v>
      </c>
      <c r="S618" s="8" t="str">
        <f>HYPERLINK("https://seichotoushi-hojo.jp/assets/pdf/koufu/outline_96.pdf","PDFを開く")</f>
        <v>PDFを開く</v>
      </c>
      <c r="T618" s="8" t="s">
        <v>1365</v>
      </c>
      <c r="U618" s="8" t="s">
        <v>1366</v>
      </c>
    </row>
    <row r="619" spans="1:21" ht="39.950000000000003" customHeight="1">
      <c r="A619" s="5" t="s">
        <v>1358</v>
      </c>
      <c r="B619" s="5" t="s">
        <v>73</v>
      </c>
      <c r="C619" s="9" t="s">
        <v>1359</v>
      </c>
      <c r="D619" s="9" t="s">
        <v>3188</v>
      </c>
      <c r="E619" s="9" t="s">
        <v>91</v>
      </c>
      <c r="F619" s="5">
        <v>2026</v>
      </c>
      <c r="G619" s="5"/>
      <c r="H619" s="5">
        <v>2029</v>
      </c>
      <c r="I619" s="5"/>
      <c r="J619" s="5" t="s">
        <v>86</v>
      </c>
      <c r="K619" s="5">
        <v>3.13</v>
      </c>
      <c r="L619" s="5"/>
      <c r="M619" s="5"/>
      <c r="N619" s="9" t="s">
        <v>11846</v>
      </c>
      <c r="O619" s="9" t="s">
        <v>11848</v>
      </c>
      <c r="P619" s="5">
        <v>2</v>
      </c>
      <c r="Q619" s="9"/>
      <c r="R619" s="9" t="s">
        <v>4950</v>
      </c>
      <c r="S619" s="9" t="str">
        <f>HYPERLINK("https://seichotoushi-hojo.jp/assets/pdf/koufu/outline_96.pdf","PDFを開く")</f>
        <v>PDFを開く</v>
      </c>
      <c r="T619" s="9" t="s">
        <v>1365</v>
      </c>
      <c r="U619" s="9" t="s">
        <v>1366</v>
      </c>
    </row>
    <row r="620" spans="1:21" ht="39.950000000000003" customHeight="1">
      <c r="A620" s="2" t="s">
        <v>1358</v>
      </c>
      <c r="B620" s="2" t="s">
        <v>73</v>
      </c>
      <c r="C620" s="8" t="s">
        <v>1359</v>
      </c>
      <c r="D620" s="8" t="s">
        <v>3191</v>
      </c>
      <c r="E620" s="8" t="s">
        <v>92</v>
      </c>
      <c r="F620" s="2">
        <v>2026</v>
      </c>
      <c r="G620" s="2">
        <v>768</v>
      </c>
      <c r="H620" s="2">
        <v>2029</v>
      </c>
      <c r="I620" s="2">
        <v>796</v>
      </c>
      <c r="J620" s="2" t="s">
        <v>2513</v>
      </c>
      <c r="K620" s="2"/>
      <c r="L620" s="2"/>
      <c r="M620" s="2"/>
      <c r="N620" s="8" t="s">
        <v>11846</v>
      </c>
      <c r="O620" s="8" t="s">
        <v>11847</v>
      </c>
      <c r="P620" s="2">
        <v>2</v>
      </c>
      <c r="Q620" s="8"/>
      <c r="R620" s="8" t="s">
        <v>4947</v>
      </c>
      <c r="S620" s="8" t="str">
        <f>HYPERLINK("https://seichotoushi-hojo.jp/assets/pdf/koufu/outline_96.pdf","PDFを開く")</f>
        <v>PDFを開く</v>
      </c>
      <c r="T620" s="8" t="s">
        <v>1365</v>
      </c>
      <c r="U620" s="8" t="s">
        <v>1366</v>
      </c>
    </row>
    <row r="621" spans="1:21" ht="39.950000000000003" customHeight="1">
      <c r="A621" s="5" t="s">
        <v>1367</v>
      </c>
      <c r="B621" s="5" t="s">
        <v>73</v>
      </c>
      <c r="C621" s="9" t="s">
        <v>1368</v>
      </c>
      <c r="D621" s="9" t="s">
        <v>3176</v>
      </c>
      <c r="E621" s="9" t="s">
        <v>90</v>
      </c>
      <c r="F621" s="5">
        <v>2026</v>
      </c>
      <c r="G621" s="5">
        <v>3201.6</v>
      </c>
      <c r="H621" s="5">
        <v>2029</v>
      </c>
      <c r="I621" s="5">
        <v>4634.1000000000004</v>
      </c>
      <c r="J621" s="5" t="s">
        <v>86</v>
      </c>
      <c r="K621" s="5">
        <v>13.2</v>
      </c>
      <c r="L621" s="5">
        <v>13.1183</v>
      </c>
      <c r="M621" s="5">
        <v>8.1699999999999995E-2</v>
      </c>
      <c r="N621" s="9" t="s">
        <v>11846</v>
      </c>
      <c r="O621" s="9" t="s">
        <v>11847</v>
      </c>
      <c r="P621" s="5">
        <v>5</v>
      </c>
      <c r="Q621" s="9"/>
      <c r="R621" s="9" t="s">
        <v>4954</v>
      </c>
      <c r="S621" s="9" t="str">
        <f>HYPERLINK("https://seichotoushi-hojo.jp/assets/pdf/koufu/outline_97.pdf","PDFを開く")</f>
        <v>PDFを開く</v>
      </c>
      <c r="T621" s="9" t="s">
        <v>1375</v>
      </c>
      <c r="U621" s="9" t="s">
        <v>1376</v>
      </c>
    </row>
    <row r="622" spans="1:21" ht="39.950000000000003" customHeight="1">
      <c r="A622" s="2" t="s">
        <v>1367</v>
      </c>
      <c r="B622" s="2" t="s">
        <v>73</v>
      </c>
      <c r="C622" s="8" t="s">
        <v>1368</v>
      </c>
      <c r="D622" s="8" t="s">
        <v>3184</v>
      </c>
      <c r="E622" s="8" t="s">
        <v>90</v>
      </c>
      <c r="F622" s="2">
        <v>2026</v>
      </c>
      <c r="G622" s="2">
        <v>560</v>
      </c>
      <c r="H622" s="2">
        <v>2029</v>
      </c>
      <c r="I622" s="2">
        <v>611.6</v>
      </c>
      <c r="J622" s="2" t="s">
        <v>86</v>
      </c>
      <c r="K622" s="2">
        <v>2.98</v>
      </c>
      <c r="L622" s="2">
        <v>2.9815999999999998</v>
      </c>
      <c r="M622" s="2">
        <v>1.6000000000000001E-3</v>
      </c>
      <c r="N622" s="8" t="s">
        <v>11846</v>
      </c>
      <c r="O622" s="8" t="s">
        <v>11847</v>
      </c>
      <c r="P622" s="2">
        <v>5</v>
      </c>
      <c r="Q622" s="8"/>
      <c r="R622" s="8" t="s">
        <v>4957</v>
      </c>
      <c r="S622" s="8" t="str">
        <f>HYPERLINK("https://seichotoushi-hojo.jp/assets/pdf/koufu/outline_97.pdf","PDFを開く")</f>
        <v>PDFを開く</v>
      </c>
      <c r="T622" s="8" t="s">
        <v>1375</v>
      </c>
      <c r="U622" s="8" t="s">
        <v>1376</v>
      </c>
    </row>
    <row r="623" spans="1:21" ht="39.950000000000003" customHeight="1">
      <c r="A623" s="5" t="s">
        <v>1367</v>
      </c>
      <c r="B623" s="5" t="s">
        <v>73</v>
      </c>
      <c r="C623" s="9" t="s">
        <v>1368</v>
      </c>
      <c r="D623" s="9" t="s">
        <v>3188</v>
      </c>
      <c r="E623" s="9" t="s">
        <v>157</v>
      </c>
      <c r="F623" s="5"/>
      <c r="G623" s="5"/>
      <c r="H623" s="5"/>
      <c r="I623" s="5"/>
      <c r="J623" s="5"/>
      <c r="K623" s="5"/>
      <c r="L623" s="5"/>
      <c r="M623" s="5"/>
      <c r="N623" s="9" t="s">
        <v>11850</v>
      </c>
      <c r="O623" s="9"/>
      <c r="P623" s="5"/>
      <c r="Q623" s="9" t="s">
        <v>11851</v>
      </c>
      <c r="R623" s="9"/>
      <c r="S623" s="9" t="str">
        <f>HYPERLINK("https://seichotoushi-hojo.jp/assets/pdf/koufu/outline_97.pdf","PDFを開く")</f>
        <v>PDFを開く</v>
      </c>
      <c r="T623" s="9" t="s">
        <v>1375</v>
      </c>
      <c r="U623" s="9" t="s">
        <v>1376</v>
      </c>
    </row>
    <row r="624" spans="1:21" ht="39.950000000000003" customHeight="1">
      <c r="A624" s="2" t="s">
        <v>1367</v>
      </c>
      <c r="B624" s="2" t="s">
        <v>73</v>
      </c>
      <c r="C624" s="8" t="s">
        <v>1368</v>
      </c>
      <c r="D624" s="8" t="s">
        <v>3191</v>
      </c>
      <c r="E624" s="8" t="s">
        <v>157</v>
      </c>
      <c r="F624" s="2"/>
      <c r="G624" s="2"/>
      <c r="H624" s="2"/>
      <c r="I624" s="2"/>
      <c r="J624" s="2"/>
      <c r="K624" s="2"/>
      <c r="L624" s="2"/>
      <c r="M624" s="2"/>
      <c r="N624" s="8" t="s">
        <v>11850</v>
      </c>
      <c r="O624" s="8"/>
      <c r="P624" s="2"/>
      <c r="Q624" s="8" t="s">
        <v>11851</v>
      </c>
      <c r="R624" s="8"/>
      <c r="S624" s="8" t="str">
        <f>HYPERLINK("https://seichotoushi-hojo.jp/assets/pdf/koufu/outline_97.pdf","PDFを開く")</f>
        <v>PDFを開く</v>
      </c>
      <c r="T624" s="8" t="s">
        <v>1375</v>
      </c>
      <c r="U624" s="8" t="s">
        <v>1376</v>
      </c>
    </row>
    <row r="625" spans="1:21" ht="39.950000000000003" customHeight="1">
      <c r="A625" s="5" t="s">
        <v>1377</v>
      </c>
      <c r="B625" s="5" t="s">
        <v>73</v>
      </c>
      <c r="C625" s="9" t="s">
        <v>1378</v>
      </c>
      <c r="D625" s="9" t="s">
        <v>3176</v>
      </c>
      <c r="E625" s="9" t="s">
        <v>90</v>
      </c>
      <c r="F625" s="5">
        <v>2026</v>
      </c>
      <c r="G625" s="5">
        <v>2239</v>
      </c>
      <c r="H625" s="5">
        <v>2029</v>
      </c>
      <c r="I625" s="5">
        <v>3148</v>
      </c>
      <c r="J625" s="5" t="s">
        <v>86</v>
      </c>
      <c r="K625" s="5">
        <v>12</v>
      </c>
      <c r="L625" s="5">
        <v>12.0281</v>
      </c>
      <c r="M625" s="5">
        <v>2.81E-2</v>
      </c>
      <c r="N625" s="9" t="s">
        <v>11846</v>
      </c>
      <c r="O625" s="9" t="s">
        <v>11847</v>
      </c>
      <c r="P625" s="5">
        <v>2</v>
      </c>
      <c r="Q625" s="9"/>
      <c r="R625" s="9" t="s">
        <v>4960</v>
      </c>
      <c r="S625" s="9" t="str">
        <f>HYPERLINK("https://seichotoushi-hojo.jp/assets/pdf/koufu/outline_99.pdf","PDFを開く")</f>
        <v>PDFを開く</v>
      </c>
      <c r="T625" s="9" t="s">
        <v>1383</v>
      </c>
      <c r="U625" s="9" t="s">
        <v>1384</v>
      </c>
    </row>
    <row r="626" spans="1:21" ht="39.950000000000003" customHeight="1">
      <c r="A626" s="2" t="s">
        <v>1377</v>
      </c>
      <c r="B626" s="2" t="s">
        <v>73</v>
      </c>
      <c r="C626" s="8" t="s">
        <v>1378</v>
      </c>
      <c r="D626" s="8" t="s">
        <v>3184</v>
      </c>
      <c r="E626" s="8" t="s">
        <v>90</v>
      </c>
      <c r="F626" s="2">
        <v>2026</v>
      </c>
      <c r="G626" s="2">
        <v>617</v>
      </c>
      <c r="H626" s="2">
        <v>2029</v>
      </c>
      <c r="I626" s="2">
        <v>702</v>
      </c>
      <c r="J626" s="2" t="s">
        <v>86</v>
      </c>
      <c r="K626" s="2">
        <v>5</v>
      </c>
      <c r="L626" s="2">
        <v>4.3959999999999999</v>
      </c>
      <c r="M626" s="2">
        <v>0.60399999999999998</v>
      </c>
      <c r="N626" s="8" t="s">
        <v>11846</v>
      </c>
      <c r="O626" s="8" t="s">
        <v>11847</v>
      </c>
      <c r="P626" s="2">
        <v>2</v>
      </c>
      <c r="Q626" s="8"/>
      <c r="R626" s="8" t="s">
        <v>4963</v>
      </c>
      <c r="S626" s="8" t="str">
        <f>HYPERLINK("https://seichotoushi-hojo.jp/assets/pdf/koufu/outline_99.pdf","PDFを開く")</f>
        <v>PDFを開く</v>
      </c>
      <c r="T626" s="8" t="s">
        <v>1383</v>
      </c>
      <c r="U626" s="8" t="s">
        <v>1384</v>
      </c>
    </row>
    <row r="627" spans="1:21" ht="39.950000000000003" customHeight="1">
      <c r="A627" s="5" t="s">
        <v>1377</v>
      </c>
      <c r="B627" s="5" t="s">
        <v>73</v>
      </c>
      <c r="C627" s="9" t="s">
        <v>1378</v>
      </c>
      <c r="D627" s="9" t="s">
        <v>3188</v>
      </c>
      <c r="E627" s="9" t="s">
        <v>156</v>
      </c>
      <c r="F627" s="5"/>
      <c r="G627" s="5"/>
      <c r="H627" s="5"/>
      <c r="I627" s="5"/>
      <c r="J627" s="5"/>
      <c r="K627" s="5"/>
      <c r="L627" s="5"/>
      <c r="M627" s="5"/>
      <c r="N627" s="9" t="s">
        <v>11850</v>
      </c>
      <c r="O627" s="9"/>
      <c r="P627" s="5"/>
      <c r="Q627" s="9" t="s">
        <v>11851</v>
      </c>
      <c r="R627" s="9"/>
      <c r="S627" s="9" t="str">
        <f>HYPERLINK("https://seichotoushi-hojo.jp/assets/pdf/koufu/outline_99.pdf","PDFを開く")</f>
        <v>PDFを開く</v>
      </c>
      <c r="T627" s="9" t="s">
        <v>1383</v>
      </c>
      <c r="U627" s="9" t="s">
        <v>1384</v>
      </c>
    </row>
    <row r="628" spans="1:21" ht="39.950000000000003" customHeight="1">
      <c r="A628" s="2" t="s">
        <v>1377</v>
      </c>
      <c r="B628" s="2" t="s">
        <v>73</v>
      </c>
      <c r="C628" s="8" t="s">
        <v>1378</v>
      </c>
      <c r="D628" s="8" t="s">
        <v>3191</v>
      </c>
      <c r="E628" s="8" t="s">
        <v>92</v>
      </c>
      <c r="F628" s="2">
        <v>2026</v>
      </c>
      <c r="G628" s="2">
        <v>285</v>
      </c>
      <c r="H628" s="2">
        <v>2029</v>
      </c>
      <c r="I628" s="2">
        <v>324</v>
      </c>
      <c r="J628" s="2" t="s">
        <v>2513</v>
      </c>
      <c r="K628" s="2"/>
      <c r="L628" s="2"/>
      <c r="M628" s="2"/>
      <c r="N628" s="8" t="s">
        <v>11846</v>
      </c>
      <c r="O628" s="8" t="s">
        <v>11847</v>
      </c>
      <c r="P628" s="2">
        <v>2</v>
      </c>
      <c r="Q628" s="8"/>
      <c r="R628" s="8" t="s">
        <v>4964</v>
      </c>
      <c r="S628" s="8" t="str">
        <f>HYPERLINK("https://seichotoushi-hojo.jp/assets/pdf/koufu/outline_99.pdf","PDFを開く")</f>
        <v>PDFを開く</v>
      </c>
      <c r="T628" s="8" t="s">
        <v>1383</v>
      </c>
      <c r="U628" s="8" t="s">
        <v>1384</v>
      </c>
    </row>
    <row r="629" spans="1:21" ht="39.950000000000003" customHeight="1">
      <c r="A629" s="5" t="s">
        <v>1385</v>
      </c>
      <c r="B629" s="5" t="s">
        <v>1386</v>
      </c>
      <c r="C629" s="9" t="s">
        <v>1387</v>
      </c>
      <c r="D629" s="9" t="s">
        <v>3176</v>
      </c>
      <c r="E629" s="9" t="s">
        <v>166</v>
      </c>
      <c r="F629" s="5">
        <v>2026</v>
      </c>
      <c r="G629" s="5">
        <v>1849</v>
      </c>
      <c r="H629" s="5">
        <v>2029</v>
      </c>
      <c r="I629" s="5">
        <v>2225</v>
      </c>
      <c r="J629" s="5" t="s">
        <v>86</v>
      </c>
      <c r="K629" s="5">
        <v>6.4</v>
      </c>
      <c r="L629" s="5">
        <v>6.3647</v>
      </c>
      <c r="M629" s="5">
        <v>3.5299999999999998E-2</v>
      </c>
      <c r="N629" s="9" t="s">
        <v>11846</v>
      </c>
      <c r="O629" s="9" t="s">
        <v>292</v>
      </c>
      <c r="P629" s="5">
        <v>2</v>
      </c>
      <c r="Q629" s="9"/>
      <c r="R629" s="9" t="s">
        <v>4974</v>
      </c>
      <c r="S629" s="9" t="str">
        <f>HYPERLINK("https://seichotoushi-hojo.jp/assets/pdf/koufu/outline__179.pdf","PDFを開く")</f>
        <v>PDFを開く</v>
      </c>
      <c r="T629" s="9" t="s">
        <v>1393</v>
      </c>
      <c r="U629" s="9" t="s">
        <v>1394</v>
      </c>
    </row>
    <row r="630" spans="1:21" ht="39.950000000000003" customHeight="1">
      <c r="A630" s="2" t="s">
        <v>1385</v>
      </c>
      <c r="B630" s="2" t="s">
        <v>1386</v>
      </c>
      <c r="C630" s="8" t="s">
        <v>1387</v>
      </c>
      <c r="D630" s="8" t="s">
        <v>3184</v>
      </c>
      <c r="E630" s="8" t="s">
        <v>166</v>
      </c>
      <c r="F630" s="2">
        <v>2026</v>
      </c>
      <c r="G630" s="2">
        <v>589</v>
      </c>
      <c r="H630" s="2">
        <v>2029</v>
      </c>
      <c r="I630" s="2">
        <v>680</v>
      </c>
      <c r="J630" s="2" t="s">
        <v>86</v>
      </c>
      <c r="K630" s="2">
        <v>5</v>
      </c>
      <c r="L630" s="2">
        <v>4.9054000000000002</v>
      </c>
      <c r="M630" s="2">
        <v>9.4600000000000004E-2</v>
      </c>
      <c r="N630" s="8" t="s">
        <v>11846</v>
      </c>
      <c r="O630" s="8" t="s">
        <v>292</v>
      </c>
      <c r="P630" s="2">
        <v>2</v>
      </c>
      <c r="Q630" s="8"/>
      <c r="R630" s="8" t="s">
        <v>4976</v>
      </c>
      <c r="S630" s="8" t="str">
        <f>HYPERLINK("https://seichotoushi-hojo.jp/assets/pdf/koufu/outline__179.pdf","PDFを開く")</f>
        <v>PDFを開く</v>
      </c>
      <c r="T630" s="8" t="s">
        <v>1393</v>
      </c>
      <c r="U630" s="8" t="s">
        <v>1394</v>
      </c>
    </row>
    <row r="631" spans="1:21" ht="39.950000000000003" customHeight="1">
      <c r="A631" s="5" t="s">
        <v>1385</v>
      </c>
      <c r="B631" s="5" t="s">
        <v>1386</v>
      </c>
      <c r="C631" s="9" t="s">
        <v>1387</v>
      </c>
      <c r="D631" s="9" t="s">
        <v>3188</v>
      </c>
      <c r="E631" s="9" t="s">
        <v>90</v>
      </c>
      <c r="F631" s="5">
        <v>2026</v>
      </c>
      <c r="G631" s="5">
        <v>384</v>
      </c>
      <c r="H631" s="5">
        <v>2029</v>
      </c>
      <c r="I631" s="5">
        <v>424</v>
      </c>
      <c r="J631" s="5" t="s">
        <v>86</v>
      </c>
      <c r="K631" s="5">
        <v>3.33</v>
      </c>
      <c r="L631" s="5">
        <v>3.3582000000000001</v>
      </c>
      <c r="M631" s="5">
        <v>2.8199999999999999E-2</v>
      </c>
      <c r="N631" s="9" t="s">
        <v>11846</v>
      </c>
      <c r="O631" s="9" t="s">
        <v>11847</v>
      </c>
      <c r="P631" s="5">
        <v>2</v>
      </c>
      <c r="Q631" s="9"/>
      <c r="R631" s="9" t="s">
        <v>4971</v>
      </c>
      <c r="S631" s="9" t="str">
        <f>HYPERLINK("https://seichotoushi-hojo.jp/assets/pdf/koufu/outline__179.pdf","PDFを開く")</f>
        <v>PDFを開く</v>
      </c>
      <c r="T631" s="9" t="s">
        <v>1393</v>
      </c>
      <c r="U631" s="9" t="s">
        <v>1394</v>
      </c>
    </row>
    <row r="632" spans="1:21" ht="39.950000000000003" customHeight="1">
      <c r="A632" s="2" t="s">
        <v>1385</v>
      </c>
      <c r="B632" s="2" t="s">
        <v>1386</v>
      </c>
      <c r="C632" s="8" t="s">
        <v>1387</v>
      </c>
      <c r="D632" s="8" t="s">
        <v>3191</v>
      </c>
      <c r="E632" s="8" t="s">
        <v>166</v>
      </c>
      <c r="F632" s="2">
        <v>2026</v>
      </c>
      <c r="G632" s="2">
        <v>59</v>
      </c>
      <c r="H632" s="2">
        <v>2029</v>
      </c>
      <c r="I632" s="2">
        <v>78</v>
      </c>
      <c r="J632" s="2" t="s">
        <v>2513</v>
      </c>
      <c r="K632" s="2"/>
      <c r="L632" s="2"/>
      <c r="M632" s="2"/>
      <c r="N632" s="8" t="s">
        <v>11846</v>
      </c>
      <c r="O632" s="8" t="s">
        <v>292</v>
      </c>
      <c r="P632" s="2">
        <v>2</v>
      </c>
      <c r="Q632" s="8"/>
      <c r="R632" s="8" t="s">
        <v>4978</v>
      </c>
      <c r="S632" s="8" t="str">
        <f>HYPERLINK("https://seichotoushi-hojo.jp/assets/pdf/koufu/outline__179.pdf","PDFを開く")</f>
        <v>PDFを開く</v>
      </c>
      <c r="T632" s="8" t="s">
        <v>1393</v>
      </c>
      <c r="U632" s="8" t="s">
        <v>1394</v>
      </c>
    </row>
    <row r="633" spans="1:21" ht="39.950000000000003" customHeight="1">
      <c r="A633" s="5" t="s">
        <v>1395</v>
      </c>
      <c r="B633" s="5" t="s">
        <v>1386</v>
      </c>
      <c r="C633" s="9" t="s">
        <v>1396</v>
      </c>
      <c r="D633" s="9" t="s">
        <v>3176</v>
      </c>
      <c r="E633" s="9" t="s">
        <v>90</v>
      </c>
      <c r="F633" s="5">
        <v>2026</v>
      </c>
      <c r="G633" s="5">
        <v>1036</v>
      </c>
      <c r="H633" s="5">
        <v>2029</v>
      </c>
      <c r="I633" s="5">
        <v>1590</v>
      </c>
      <c r="J633" s="5" t="s">
        <v>86</v>
      </c>
      <c r="K633" s="5">
        <v>15.3</v>
      </c>
      <c r="L633" s="5">
        <v>15.348599999999999</v>
      </c>
      <c r="M633" s="5">
        <v>4.8599999999999997E-2</v>
      </c>
      <c r="N633" s="9" t="s">
        <v>11846</v>
      </c>
      <c r="O633" s="9" t="s">
        <v>11852</v>
      </c>
      <c r="P633" s="5">
        <v>6</v>
      </c>
      <c r="Q633" s="9"/>
      <c r="R633" s="9" t="s">
        <v>4980</v>
      </c>
      <c r="S633" s="9" t="str">
        <f>HYPERLINK("https://seichotoushi-hojo.jp/assets/pdf/koufu/outline__181.pdf","PDFを開く")</f>
        <v>PDFを開く</v>
      </c>
      <c r="T633" s="9" t="s">
        <v>1403</v>
      </c>
      <c r="U633" s="9" t="s">
        <v>1404</v>
      </c>
    </row>
    <row r="634" spans="1:21" ht="39.950000000000003" customHeight="1">
      <c r="A634" s="2" t="s">
        <v>1395</v>
      </c>
      <c r="B634" s="2" t="s">
        <v>1386</v>
      </c>
      <c r="C634" s="8" t="s">
        <v>1396</v>
      </c>
      <c r="D634" s="8" t="s">
        <v>3184</v>
      </c>
      <c r="E634" s="8" t="s">
        <v>90</v>
      </c>
      <c r="F634" s="2">
        <v>2026</v>
      </c>
      <c r="G634" s="2">
        <v>325</v>
      </c>
      <c r="H634" s="2">
        <v>2029</v>
      </c>
      <c r="I634" s="2">
        <v>371</v>
      </c>
      <c r="J634" s="2" t="s">
        <v>86</v>
      </c>
      <c r="K634" s="2">
        <v>4.5</v>
      </c>
      <c r="L634" s="2">
        <v>4.5114000000000001</v>
      </c>
      <c r="M634" s="2">
        <v>1.14E-2</v>
      </c>
      <c r="N634" s="8" t="s">
        <v>11846</v>
      </c>
      <c r="O634" s="8" t="s">
        <v>11852</v>
      </c>
      <c r="P634" s="2">
        <v>6</v>
      </c>
      <c r="Q634" s="8"/>
      <c r="R634" s="8" t="s">
        <v>4983</v>
      </c>
      <c r="S634" s="8" t="str">
        <f>HYPERLINK("https://seichotoushi-hojo.jp/assets/pdf/koufu/outline__181.pdf","PDFを開く")</f>
        <v>PDFを開く</v>
      </c>
      <c r="T634" s="8" t="s">
        <v>1403</v>
      </c>
      <c r="U634" s="8" t="s">
        <v>1404</v>
      </c>
    </row>
    <row r="635" spans="1:21" ht="39.950000000000003" customHeight="1">
      <c r="A635" s="5" t="s">
        <v>1395</v>
      </c>
      <c r="B635" s="5" t="s">
        <v>1386</v>
      </c>
      <c r="C635" s="9" t="s">
        <v>1396</v>
      </c>
      <c r="D635" s="9" t="s">
        <v>3188</v>
      </c>
      <c r="E635" s="9" t="s">
        <v>90</v>
      </c>
      <c r="F635" s="5">
        <v>2026</v>
      </c>
      <c r="G635" s="5">
        <v>364</v>
      </c>
      <c r="H635" s="5">
        <v>2029</v>
      </c>
      <c r="I635" s="5">
        <v>409</v>
      </c>
      <c r="J635" s="5" t="s">
        <v>86</v>
      </c>
      <c r="K635" s="5">
        <v>4</v>
      </c>
      <c r="L635" s="5">
        <v>3.9618000000000002</v>
      </c>
      <c r="M635" s="5">
        <v>3.8199999999999998E-2</v>
      </c>
      <c r="N635" s="9" t="s">
        <v>11846</v>
      </c>
      <c r="O635" s="9" t="s">
        <v>11852</v>
      </c>
      <c r="P635" s="5">
        <v>6</v>
      </c>
      <c r="Q635" s="9"/>
      <c r="R635" s="9" t="s">
        <v>4987</v>
      </c>
      <c r="S635" s="9" t="str">
        <f>HYPERLINK("https://seichotoushi-hojo.jp/assets/pdf/koufu/outline__181.pdf","PDFを開く")</f>
        <v>PDFを開く</v>
      </c>
      <c r="T635" s="9" t="s">
        <v>1403</v>
      </c>
      <c r="U635" s="9" t="s">
        <v>1404</v>
      </c>
    </row>
    <row r="636" spans="1:21" ht="39.950000000000003" customHeight="1">
      <c r="A636" s="2" t="s">
        <v>1395</v>
      </c>
      <c r="B636" s="2" t="s">
        <v>1386</v>
      </c>
      <c r="C636" s="8" t="s">
        <v>1396</v>
      </c>
      <c r="D636" s="8" t="s">
        <v>3191</v>
      </c>
      <c r="E636" s="8" t="s">
        <v>166</v>
      </c>
      <c r="F636" s="2">
        <v>2026</v>
      </c>
      <c r="G636" s="2">
        <v>135</v>
      </c>
      <c r="H636" s="2">
        <v>2029</v>
      </c>
      <c r="I636" s="2">
        <v>147</v>
      </c>
      <c r="J636" s="2" t="s">
        <v>2513</v>
      </c>
      <c r="K636" s="2"/>
      <c r="L636" s="2"/>
      <c r="M636" s="2"/>
      <c r="N636" s="8" t="s">
        <v>11846</v>
      </c>
      <c r="O636" s="8" t="s">
        <v>292</v>
      </c>
      <c r="P636" s="2">
        <v>2</v>
      </c>
      <c r="Q636" s="8"/>
      <c r="R636" s="8" t="s">
        <v>4993</v>
      </c>
      <c r="S636" s="8" t="str">
        <f>HYPERLINK("https://seichotoushi-hojo.jp/assets/pdf/koufu/outline__181.pdf","PDFを開く")</f>
        <v>PDFを開く</v>
      </c>
      <c r="T636" s="8" t="s">
        <v>1403</v>
      </c>
      <c r="U636" s="8" t="s">
        <v>1404</v>
      </c>
    </row>
    <row r="637" spans="1:21" ht="39.950000000000003" customHeight="1">
      <c r="A637" s="5" t="s">
        <v>1405</v>
      </c>
      <c r="B637" s="5" t="s">
        <v>1386</v>
      </c>
      <c r="C637" s="9" t="s">
        <v>1406</v>
      </c>
      <c r="D637" s="9" t="s">
        <v>3176</v>
      </c>
      <c r="E637" s="9" t="s">
        <v>90</v>
      </c>
      <c r="F637" s="5">
        <v>2026</v>
      </c>
      <c r="G637" s="5">
        <v>693</v>
      </c>
      <c r="H637" s="5">
        <v>2029</v>
      </c>
      <c r="I637" s="5">
        <v>1185</v>
      </c>
      <c r="J637" s="5" t="s">
        <v>86</v>
      </c>
      <c r="K637" s="5">
        <v>19.600000000000001</v>
      </c>
      <c r="L637" s="5">
        <v>19.5809</v>
      </c>
      <c r="M637" s="5">
        <v>1.9099999999999999E-2</v>
      </c>
      <c r="N637" s="9" t="s">
        <v>11846</v>
      </c>
      <c r="O637" s="9" t="s">
        <v>11847</v>
      </c>
      <c r="P637" s="5">
        <v>2</v>
      </c>
      <c r="Q637" s="9"/>
      <c r="R637" s="9" t="s">
        <v>4995</v>
      </c>
      <c r="S637" s="9" t="str">
        <f>HYPERLINK("https://seichotoushi-hojo.jp/assets/pdf/koufu/outline__182.pdf","PDFを開く")</f>
        <v>PDFを開く</v>
      </c>
      <c r="T637" s="9" t="s">
        <v>1412</v>
      </c>
      <c r="U637" s="9" t="s">
        <v>1413</v>
      </c>
    </row>
    <row r="638" spans="1:21" ht="39.950000000000003" customHeight="1">
      <c r="A638" s="2" t="s">
        <v>1405</v>
      </c>
      <c r="B638" s="2" t="s">
        <v>1386</v>
      </c>
      <c r="C638" s="8" t="s">
        <v>1406</v>
      </c>
      <c r="D638" s="8" t="s">
        <v>3184</v>
      </c>
      <c r="E638" s="8" t="s">
        <v>90</v>
      </c>
      <c r="F638" s="2">
        <v>2026</v>
      </c>
      <c r="G638" s="2">
        <v>534</v>
      </c>
      <c r="H638" s="2">
        <v>2029</v>
      </c>
      <c r="I638" s="2">
        <v>619</v>
      </c>
      <c r="J638" s="2" t="s">
        <v>86</v>
      </c>
      <c r="K638" s="2">
        <v>5.0999999999999996</v>
      </c>
      <c r="L638" s="2">
        <v>5.0468999999999999</v>
      </c>
      <c r="M638" s="2">
        <v>5.3100000000000001E-2</v>
      </c>
      <c r="N638" s="8" t="s">
        <v>11846</v>
      </c>
      <c r="O638" s="8" t="s">
        <v>11847</v>
      </c>
      <c r="P638" s="2">
        <v>2</v>
      </c>
      <c r="Q638" s="8"/>
      <c r="R638" s="8" t="s">
        <v>4997</v>
      </c>
      <c r="S638" s="8" t="str">
        <f>HYPERLINK("https://seichotoushi-hojo.jp/assets/pdf/koufu/outline__182.pdf","PDFを開く")</f>
        <v>PDFを開く</v>
      </c>
      <c r="T638" s="8" t="s">
        <v>1412</v>
      </c>
      <c r="U638" s="8" t="s">
        <v>1413</v>
      </c>
    </row>
    <row r="639" spans="1:21" ht="39.950000000000003" customHeight="1">
      <c r="A639" s="5" t="s">
        <v>1405</v>
      </c>
      <c r="B639" s="5" t="s">
        <v>1386</v>
      </c>
      <c r="C639" s="9" t="s">
        <v>1406</v>
      </c>
      <c r="D639" s="9" t="s">
        <v>3188</v>
      </c>
      <c r="E639" s="9" t="s">
        <v>90</v>
      </c>
      <c r="F639" s="5">
        <v>2026</v>
      </c>
      <c r="G639" s="5">
        <v>1624</v>
      </c>
      <c r="H639" s="5">
        <v>2029</v>
      </c>
      <c r="I639" s="5">
        <v>1880</v>
      </c>
      <c r="J639" s="5" t="s">
        <v>86</v>
      </c>
      <c r="K639" s="5">
        <v>5</v>
      </c>
      <c r="L639" s="5">
        <v>5.0003000000000002</v>
      </c>
      <c r="M639" s="5">
        <v>2.9999999999999997E-4</v>
      </c>
      <c r="N639" s="9" t="s">
        <v>11846</v>
      </c>
      <c r="O639" s="9" t="s">
        <v>11847</v>
      </c>
      <c r="P639" s="5">
        <v>2</v>
      </c>
      <c r="Q639" s="9"/>
      <c r="R639" s="9" t="s">
        <v>5000</v>
      </c>
      <c r="S639" s="9" t="str">
        <f>HYPERLINK("https://seichotoushi-hojo.jp/assets/pdf/koufu/outline__182.pdf","PDFを開く")</f>
        <v>PDFを開く</v>
      </c>
      <c r="T639" s="9" t="s">
        <v>1412</v>
      </c>
      <c r="U639" s="9" t="s">
        <v>1413</v>
      </c>
    </row>
    <row r="640" spans="1:21" ht="39.950000000000003" customHeight="1">
      <c r="A640" s="2" t="s">
        <v>1405</v>
      </c>
      <c r="B640" s="2" t="s">
        <v>1386</v>
      </c>
      <c r="C640" s="8" t="s">
        <v>1406</v>
      </c>
      <c r="D640" s="8" t="s">
        <v>3191</v>
      </c>
      <c r="E640" s="8" t="s">
        <v>92</v>
      </c>
      <c r="F640" s="2">
        <v>2026</v>
      </c>
      <c r="G640" s="2">
        <v>287</v>
      </c>
      <c r="H640" s="2">
        <v>2029</v>
      </c>
      <c r="I640" s="2">
        <v>385</v>
      </c>
      <c r="J640" s="2" t="s">
        <v>2513</v>
      </c>
      <c r="K640" s="2"/>
      <c r="L640" s="2"/>
      <c r="M640" s="2"/>
      <c r="N640" s="8" t="s">
        <v>11846</v>
      </c>
      <c r="O640" s="8" t="s">
        <v>11847</v>
      </c>
      <c r="P640" s="2">
        <v>2</v>
      </c>
      <c r="Q640" s="8"/>
      <c r="R640" s="8" t="s">
        <v>5003</v>
      </c>
      <c r="S640" s="8" t="str">
        <f>HYPERLINK("https://seichotoushi-hojo.jp/assets/pdf/koufu/outline__182.pdf","PDFを開く")</f>
        <v>PDFを開く</v>
      </c>
      <c r="T640" s="8" t="s">
        <v>1412</v>
      </c>
      <c r="U640" s="8" t="s">
        <v>1413</v>
      </c>
    </row>
    <row r="641" spans="1:21" ht="39.950000000000003" customHeight="1">
      <c r="A641" s="5" t="s">
        <v>1414</v>
      </c>
      <c r="B641" s="5" t="s">
        <v>1386</v>
      </c>
      <c r="C641" s="9" t="s">
        <v>1415</v>
      </c>
      <c r="D641" s="9" t="s">
        <v>3176</v>
      </c>
      <c r="E641" s="9" t="s">
        <v>90</v>
      </c>
      <c r="F641" s="5">
        <v>2027</v>
      </c>
      <c r="G641" s="5">
        <v>925</v>
      </c>
      <c r="H641" s="5">
        <v>2030</v>
      </c>
      <c r="I641" s="5">
        <v>1695</v>
      </c>
      <c r="J641" s="5" t="s">
        <v>86</v>
      </c>
      <c r="K641" s="5">
        <v>22.4</v>
      </c>
      <c r="L641" s="5">
        <v>22.3703</v>
      </c>
      <c r="M641" s="5">
        <v>2.9700000000000001E-2</v>
      </c>
      <c r="N641" s="9" t="s">
        <v>11846</v>
      </c>
      <c r="O641" s="9" t="s">
        <v>11847</v>
      </c>
      <c r="P641" s="5">
        <v>2</v>
      </c>
      <c r="Q641" s="9"/>
      <c r="R641" s="9" t="s">
        <v>5006</v>
      </c>
      <c r="S641" s="9" t="str">
        <f>HYPERLINK("https://seichotoushi-hojo.jp/assets/pdf/koufu/outline__183.pdf","PDFを開く")</f>
        <v>PDFを開く</v>
      </c>
      <c r="T641" s="9" t="s">
        <v>1420</v>
      </c>
      <c r="U641" s="9" t="s">
        <v>1421</v>
      </c>
    </row>
    <row r="642" spans="1:21" ht="39.950000000000003" customHeight="1">
      <c r="A642" s="2" t="s">
        <v>1414</v>
      </c>
      <c r="B642" s="2" t="s">
        <v>1386</v>
      </c>
      <c r="C642" s="8" t="s">
        <v>1415</v>
      </c>
      <c r="D642" s="8" t="s">
        <v>3184</v>
      </c>
      <c r="E642" s="8" t="s">
        <v>90</v>
      </c>
      <c r="F642" s="2">
        <v>2027</v>
      </c>
      <c r="G642" s="2">
        <v>385</v>
      </c>
      <c r="H642" s="2">
        <v>2030</v>
      </c>
      <c r="I642" s="2">
        <v>446</v>
      </c>
      <c r="J642" s="2" t="s">
        <v>86</v>
      </c>
      <c r="K642" s="2">
        <v>5</v>
      </c>
      <c r="L642" s="2">
        <v>5.0247000000000002</v>
      </c>
      <c r="M642" s="2">
        <v>2.47E-2</v>
      </c>
      <c r="N642" s="8" t="s">
        <v>11846</v>
      </c>
      <c r="O642" s="8" t="s">
        <v>11847</v>
      </c>
      <c r="P642" s="2">
        <v>2</v>
      </c>
      <c r="Q642" s="8"/>
      <c r="R642" s="8" t="s">
        <v>5009</v>
      </c>
      <c r="S642" s="8" t="str">
        <f>HYPERLINK("https://seichotoushi-hojo.jp/assets/pdf/koufu/outline__183.pdf","PDFを開く")</f>
        <v>PDFを開く</v>
      </c>
      <c r="T642" s="8" t="s">
        <v>1420</v>
      </c>
      <c r="U642" s="8" t="s">
        <v>1421</v>
      </c>
    </row>
    <row r="643" spans="1:21" ht="39.950000000000003" customHeight="1">
      <c r="A643" s="5" t="s">
        <v>1414</v>
      </c>
      <c r="B643" s="5" t="s">
        <v>1386</v>
      </c>
      <c r="C643" s="9" t="s">
        <v>1415</v>
      </c>
      <c r="D643" s="9" t="s">
        <v>3188</v>
      </c>
      <c r="E643" s="9" t="s">
        <v>90</v>
      </c>
      <c r="F643" s="5">
        <v>2027</v>
      </c>
      <c r="G643" s="5">
        <v>1041</v>
      </c>
      <c r="H643" s="5">
        <v>2030</v>
      </c>
      <c r="I643" s="5">
        <v>1205</v>
      </c>
      <c r="J643" s="5" t="s">
        <v>86</v>
      </c>
      <c r="K643" s="5">
        <v>5</v>
      </c>
      <c r="L643" s="5">
        <v>4.9974999999999996</v>
      </c>
      <c r="M643" s="5">
        <v>2.5000000000000001E-3</v>
      </c>
      <c r="N643" s="9" t="s">
        <v>11846</v>
      </c>
      <c r="O643" s="9" t="s">
        <v>11847</v>
      </c>
      <c r="P643" s="5">
        <v>2</v>
      </c>
      <c r="Q643" s="9"/>
      <c r="R643" s="9" t="s">
        <v>5011</v>
      </c>
      <c r="S643" s="9" t="str">
        <f>HYPERLINK("https://seichotoushi-hojo.jp/assets/pdf/koufu/outline__183.pdf","PDFを開く")</f>
        <v>PDFを開く</v>
      </c>
      <c r="T643" s="9" t="s">
        <v>1420</v>
      </c>
      <c r="U643" s="9" t="s">
        <v>1421</v>
      </c>
    </row>
    <row r="644" spans="1:21" ht="39.950000000000003" customHeight="1">
      <c r="A644" s="2" t="s">
        <v>1414</v>
      </c>
      <c r="B644" s="2" t="s">
        <v>1386</v>
      </c>
      <c r="C644" s="8" t="s">
        <v>1415</v>
      </c>
      <c r="D644" s="8" t="s">
        <v>3191</v>
      </c>
      <c r="E644" s="8" t="s">
        <v>92</v>
      </c>
      <c r="F644" s="2">
        <v>2027</v>
      </c>
      <c r="G644" s="2">
        <v>190</v>
      </c>
      <c r="H644" s="2">
        <v>2030</v>
      </c>
      <c r="I644" s="2">
        <v>208</v>
      </c>
      <c r="J644" s="2" t="s">
        <v>2513</v>
      </c>
      <c r="K644" s="2"/>
      <c r="L644" s="2"/>
      <c r="M644" s="2"/>
      <c r="N644" s="8" t="s">
        <v>11846</v>
      </c>
      <c r="O644" s="8" t="s">
        <v>11847</v>
      </c>
      <c r="P644" s="2">
        <v>2</v>
      </c>
      <c r="Q644" s="8"/>
      <c r="R644" s="8" t="s">
        <v>5014</v>
      </c>
      <c r="S644" s="8" t="str">
        <f>HYPERLINK("https://seichotoushi-hojo.jp/assets/pdf/koufu/outline__183.pdf","PDFを開く")</f>
        <v>PDFを開く</v>
      </c>
      <c r="T644" s="8" t="s">
        <v>1420</v>
      </c>
      <c r="U644" s="8" t="s">
        <v>1421</v>
      </c>
    </row>
    <row r="645" spans="1:21" ht="39.950000000000003" customHeight="1">
      <c r="A645" s="5" t="s">
        <v>1422</v>
      </c>
      <c r="B645" s="5" t="s">
        <v>1386</v>
      </c>
      <c r="C645" s="9" t="s">
        <v>1423</v>
      </c>
      <c r="D645" s="9" t="s">
        <v>3176</v>
      </c>
      <c r="E645" s="9" t="s">
        <v>166</v>
      </c>
      <c r="F645" s="5">
        <v>2025</v>
      </c>
      <c r="G645" s="5">
        <v>1392</v>
      </c>
      <c r="H645" s="5">
        <v>2028</v>
      </c>
      <c r="I645" s="5">
        <v>1957</v>
      </c>
      <c r="J645" s="5" t="s">
        <v>86</v>
      </c>
      <c r="K645" s="5">
        <v>12</v>
      </c>
      <c r="L645" s="5">
        <v>12.025600000000001</v>
      </c>
      <c r="M645" s="5">
        <v>2.5600000000000001E-2</v>
      </c>
      <c r="N645" s="9" t="s">
        <v>11846</v>
      </c>
      <c r="O645" s="9" t="s">
        <v>292</v>
      </c>
      <c r="P645" s="5">
        <v>2</v>
      </c>
      <c r="Q645" s="9"/>
      <c r="R645" s="9" t="s">
        <v>5022</v>
      </c>
      <c r="S645" s="9" t="str">
        <f>HYPERLINK("https://seichotoushi-hojo.jp/assets/pdf/koufu/outline__184.pdf","PDFを開く")</f>
        <v>PDFを開く</v>
      </c>
      <c r="T645" s="9" t="s">
        <v>1429</v>
      </c>
      <c r="U645" s="9" t="s">
        <v>1430</v>
      </c>
    </row>
    <row r="646" spans="1:21" ht="39.950000000000003" customHeight="1">
      <c r="A646" s="2" t="s">
        <v>1422</v>
      </c>
      <c r="B646" s="2" t="s">
        <v>1386</v>
      </c>
      <c r="C646" s="8" t="s">
        <v>1423</v>
      </c>
      <c r="D646" s="8" t="s">
        <v>3184</v>
      </c>
      <c r="E646" s="8" t="s">
        <v>166</v>
      </c>
      <c r="F646" s="2">
        <v>2025</v>
      </c>
      <c r="G646" s="2">
        <v>520</v>
      </c>
      <c r="H646" s="2">
        <v>2028</v>
      </c>
      <c r="I646" s="2">
        <v>603</v>
      </c>
      <c r="J646" s="2" t="s">
        <v>86</v>
      </c>
      <c r="K646" s="2">
        <v>5</v>
      </c>
      <c r="L646" s="2">
        <v>5.0601000000000003</v>
      </c>
      <c r="M646" s="2">
        <v>6.0100000000000001E-2</v>
      </c>
      <c r="N646" s="8" t="s">
        <v>11846</v>
      </c>
      <c r="O646" s="8" t="s">
        <v>292</v>
      </c>
      <c r="P646" s="2">
        <v>2</v>
      </c>
      <c r="Q646" s="8"/>
      <c r="R646" s="8" t="s">
        <v>5024</v>
      </c>
      <c r="S646" s="8" t="str">
        <f>HYPERLINK("https://seichotoushi-hojo.jp/assets/pdf/koufu/outline__184.pdf","PDFを開く")</f>
        <v>PDFを開く</v>
      </c>
      <c r="T646" s="8" t="s">
        <v>1429</v>
      </c>
      <c r="U646" s="8" t="s">
        <v>1430</v>
      </c>
    </row>
    <row r="647" spans="1:21" ht="39.950000000000003" customHeight="1">
      <c r="A647" s="5" t="s">
        <v>1422</v>
      </c>
      <c r="B647" s="5" t="s">
        <v>1386</v>
      </c>
      <c r="C647" s="9" t="s">
        <v>1423</v>
      </c>
      <c r="D647" s="9" t="s">
        <v>3188</v>
      </c>
      <c r="E647" s="9" t="s">
        <v>91</v>
      </c>
      <c r="F647" s="5">
        <v>2025</v>
      </c>
      <c r="G647" s="5"/>
      <c r="H647" s="5">
        <v>2028</v>
      </c>
      <c r="I647" s="5"/>
      <c r="J647" s="5" t="s">
        <v>86</v>
      </c>
      <c r="K647" s="5">
        <v>5</v>
      </c>
      <c r="L647" s="5"/>
      <c r="M647" s="5"/>
      <c r="N647" s="9" t="s">
        <v>11846</v>
      </c>
      <c r="O647" s="9" t="s">
        <v>11848</v>
      </c>
      <c r="P647" s="5">
        <v>2</v>
      </c>
      <c r="Q647" s="9"/>
      <c r="R647" s="9" t="s">
        <v>3382</v>
      </c>
      <c r="S647" s="9" t="str">
        <f>HYPERLINK("https://seichotoushi-hojo.jp/assets/pdf/koufu/outline__184.pdf","PDFを開く")</f>
        <v>PDFを開く</v>
      </c>
      <c r="T647" s="9" t="s">
        <v>1429</v>
      </c>
      <c r="U647" s="9" t="s">
        <v>1430</v>
      </c>
    </row>
    <row r="648" spans="1:21" ht="39.950000000000003" customHeight="1">
      <c r="A648" s="2" t="s">
        <v>1422</v>
      </c>
      <c r="B648" s="2" t="s">
        <v>1386</v>
      </c>
      <c r="C648" s="8" t="s">
        <v>1423</v>
      </c>
      <c r="D648" s="8" t="s">
        <v>3191</v>
      </c>
      <c r="E648" s="8" t="s">
        <v>166</v>
      </c>
      <c r="F648" s="2">
        <v>2025</v>
      </c>
      <c r="G648" s="2">
        <v>104</v>
      </c>
      <c r="H648" s="2">
        <v>2028</v>
      </c>
      <c r="I648" s="2">
        <v>117</v>
      </c>
      <c r="J648" s="2" t="s">
        <v>2513</v>
      </c>
      <c r="K648" s="2"/>
      <c r="L648" s="2"/>
      <c r="M648" s="2"/>
      <c r="N648" s="8" t="s">
        <v>11846</v>
      </c>
      <c r="O648" s="8" t="s">
        <v>292</v>
      </c>
      <c r="P648" s="2">
        <v>2</v>
      </c>
      <c r="Q648" s="8"/>
      <c r="R648" s="8" t="s">
        <v>5025</v>
      </c>
      <c r="S648" s="8" t="str">
        <f>HYPERLINK("https://seichotoushi-hojo.jp/assets/pdf/koufu/outline__184.pdf","PDFを開く")</f>
        <v>PDFを開く</v>
      </c>
      <c r="T648" s="8" t="s">
        <v>1429</v>
      </c>
      <c r="U648" s="8" t="s">
        <v>1430</v>
      </c>
    </row>
    <row r="649" spans="1:21" ht="39.950000000000003" customHeight="1">
      <c r="A649" s="5" t="s">
        <v>1431</v>
      </c>
      <c r="B649" s="5" t="s">
        <v>1386</v>
      </c>
      <c r="C649" s="9" t="s">
        <v>1432</v>
      </c>
      <c r="D649" s="9" t="s">
        <v>3176</v>
      </c>
      <c r="E649" s="9" t="s">
        <v>90</v>
      </c>
      <c r="F649" s="5">
        <v>2026</v>
      </c>
      <c r="G649" s="5">
        <v>656</v>
      </c>
      <c r="H649" s="5">
        <v>2029</v>
      </c>
      <c r="I649" s="5">
        <v>780</v>
      </c>
      <c r="J649" s="5" t="s">
        <v>86</v>
      </c>
      <c r="K649" s="5">
        <v>5.9</v>
      </c>
      <c r="L649" s="5">
        <v>5.9409000000000001</v>
      </c>
      <c r="M649" s="5">
        <v>4.0899999999999999E-2</v>
      </c>
      <c r="N649" s="9" t="s">
        <v>11846</v>
      </c>
      <c r="O649" s="9" t="s">
        <v>11847</v>
      </c>
      <c r="P649" s="5">
        <v>2</v>
      </c>
      <c r="Q649" s="9"/>
      <c r="R649" s="9" t="s">
        <v>5029</v>
      </c>
      <c r="S649" s="9" t="str">
        <f>HYPERLINK("https://seichotoushi-hojo.jp/assets/pdf/koufu/outline__188.pdf","PDFを開く")</f>
        <v>PDFを開く</v>
      </c>
      <c r="T649" s="9" t="s">
        <v>1438</v>
      </c>
      <c r="U649" s="9" t="s">
        <v>1439</v>
      </c>
    </row>
    <row r="650" spans="1:21" ht="39.950000000000003" customHeight="1">
      <c r="A650" s="2" t="s">
        <v>1431</v>
      </c>
      <c r="B650" s="2" t="s">
        <v>1386</v>
      </c>
      <c r="C650" s="8" t="s">
        <v>1432</v>
      </c>
      <c r="D650" s="8" t="s">
        <v>3184</v>
      </c>
      <c r="E650" s="8" t="s">
        <v>90</v>
      </c>
      <c r="F650" s="2">
        <v>2026</v>
      </c>
      <c r="G650" s="2">
        <v>556</v>
      </c>
      <c r="H650" s="2">
        <v>2029</v>
      </c>
      <c r="I650" s="2">
        <v>645</v>
      </c>
      <c r="J650" s="2" t="s">
        <v>86</v>
      </c>
      <c r="K650" s="2">
        <v>5.0999999999999996</v>
      </c>
      <c r="L650" s="2">
        <v>5.0739000000000001</v>
      </c>
      <c r="M650" s="2">
        <v>2.6100000000000002E-2</v>
      </c>
      <c r="N650" s="8" t="s">
        <v>11846</v>
      </c>
      <c r="O650" s="8" t="s">
        <v>11847</v>
      </c>
      <c r="P650" s="2">
        <v>2</v>
      </c>
      <c r="Q650" s="8"/>
      <c r="R650" s="8" t="s">
        <v>5031</v>
      </c>
      <c r="S650" s="8" t="str">
        <f>HYPERLINK("https://seichotoushi-hojo.jp/assets/pdf/koufu/outline__188.pdf","PDFを開く")</f>
        <v>PDFを開く</v>
      </c>
      <c r="T650" s="8" t="s">
        <v>1438</v>
      </c>
      <c r="U650" s="8" t="s">
        <v>1439</v>
      </c>
    </row>
    <row r="651" spans="1:21" ht="39.950000000000003" customHeight="1">
      <c r="A651" s="5" t="s">
        <v>1431</v>
      </c>
      <c r="B651" s="5" t="s">
        <v>1386</v>
      </c>
      <c r="C651" s="9" t="s">
        <v>1432</v>
      </c>
      <c r="D651" s="9" t="s">
        <v>3188</v>
      </c>
      <c r="E651" s="9" t="s">
        <v>90</v>
      </c>
      <c r="F651" s="5">
        <v>2026</v>
      </c>
      <c r="G651" s="5">
        <v>1355</v>
      </c>
      <c r="H651" s="5">
        <v>2029</v>
      </c>
      <c r="I651" s="5">
        <v>1804</v>
      </c>
      <c r="J651" s="5" t="s">
        <v>86</v>
      </c>
      <c r="K651" s="5">
        <v>10</v>
      </c>
      <c r="L651" s="5">
        <v>10.0101</v>
      </c>
      <c r="M651" s="5">
        <v>1.01E-2</v>
      </c>
      <c r="N651" s="9" t="s">
        <v>11846</v>
      </c>
      <c r="O651" s="9" t="s">
        <v>11847</v>
      </c>
      <c r="P651" s="5">
        <v>2</v>
      </c>
      <c r="Q651" s="9"/>
      <c r="R651" s="9" t="s">
        <v>5034</v>
      </c>
      <c r="S651" s="9" t="str">
        <f>HYPERLINK("https://seichotoushi-hojo.jp/assets/pdf/koufu/outline__188.pdf","PDFを開く")</f>
        <v>PDFを開く</v>
      </c>
      <c r="T651" s="9" t="s">
        <v>1438</v>
      </c>
      <c r="U651" s="9" t="s">
        <v>1439</v>
      </c>
    </row>
    <row r="652" spans="1:21" ht="39.950000000000003" customHeight="1">
      <c r="A652" s="2" t="s">
        <v>1431</v>
      </c>
      <c r="B652" s="2" t="s">
        <v>1386</v>
      </c>
      <c r="C652" s="8" t="s">
        <v>1432</v>
      </c>
      <c r="D652" s="8" t="s">
        <v>3191</v>
      </c>
      <c r="E652" s="8" t="s">
        <v>92</v>
      </c>
      <c r="F652" s="2">
        <v>2026</v>
      </c>
      <c r="G652" s="2">
        <v>311</v>
      </c>
      <c r="H652" s="2">
        <v>2029</v>
      </c>
      <c r="I652" s="2">
        <v>496</v>
      </c>
      <c r="J652" s="2" t="s">
        <v>2513</v>
      </c>
      <c r="K652" s="2"/>
      <c r="L652" s="2"/>
      <c r="M652" s="2"/>
      <c r="N652" s="8" t="s">
        <v>11846</v>
      </c>
      <c r="O652" s="8" t="s">
        <v>11847</v>
      </c>
      <c r="P652" s="2">
        <v>2</v>
      </c>
      <c r="Q652" s="8"/>
      <c r="R652" s="8" t="s">
        <v>5036</v>
      </c>
      <c r="S652" s="8" t="str">
        <f>HYPERLINK("https://seichotoushi-hojo.jp/assets/pdf/koufu/outline__188.pdf","PDFを開く")</f>
        <v>PDFを開く</v>
      </c>
      <c r="T652" s="8" t="s">
        <v>1438</v>
      </c>
      <c r="U652" s="8" t="s">
        <v>1439</v>
      </c>
    </row>
    <row r="653" spans="1:21" ht="39.950000000000003" customHeight="1">
      <c r="A653" s="5" t="s">
        <v>1440</v>
      </c>
      <c r="B653" s="5" t="s">
        <v>1386</v>
      </c>
      <c r="C653" s="9" t="s">
        <v>1441</v>
      </c>
      <c r="D653" s="9" t="s">
        <v>3176</v>
      </c>
      <c r="E653" s="9" t="s">
        <v>90</v>
      </c>
      <c r="F653" s="5">
        <v>2027</v>
      </c>
      <c r="G653" s="5">
        <v>1013</v>
      </c>
      <c r="H653" s="5">
        <v>2030</v>
      </c>
      <c r="I653" s="5">
        <v>2045</v>
      </c>
      <c r="J653" s="5" t="s">
        <v>86</v>
      </c>
      <c r="K653" s="5">
        <v>26.4</v>
      </c>
      <c r="L653" s="5">
        <v>26.384699999999999</v>
      </c>
      <c r="M653" s="5">
        <v>1.5299999999999999E-2</v>
      </c>
      <c r="N653" s="9" t="s">
        <v>11846</v>
      </c>
      <c r="O653" s="9" t="s">
        <v>11847</v>
      </c>
      <c r="P653" s="5">
        <v>2</v>
      </c>
      <c r="Q653" s="9"/>
      <c r="R653" s="9" t="s">
        <v>5039</v>
      </c>
      <c r="S653" s="9" t="str">
        <f>HYPERLINK("https://seichotoushi-hojo.jp/assets/pdf/koufu/outline__189.pdf","PDFを開く")</f>
        <v>PDFを開く</v>
      </c>
      <c r="T653" s="9" t="s">
        <v>1447</v>
      </c>
      <c r="U653" s="9" t="s">
        <v>1448</v>
      </c>
    </row>
    <row r="654" spans="1:21" ht="39.950000000000003" customHeight="1">
      <c r="A654" s="2" t="s">
        <v>1440</v>
      </c>
      <c r="B654" s="2" t="s">
        <v>1386</v>
      </c>
      <c r="C654" s="8" t="s">
        <v>1441</v>
      </c>
      <c r="D654" s="8" t="s">
        <v>3184</v>
      </c>
      <c r="E654" s="8" t="s">
        <v>90</v>
      </c>
      <c r="F654" s="2">
        <v>2027</v>
      </c>
      <c r="G654" s="2">
        <v>433</v>
      </c>
      <c r="H654" s="2">
        <v>2030</v>
      </c>
      <c r="I654" s="2">
        <v>531</v>
      </c>
      <c r="J654" s="2" t="s">
        <v>86</v>
      </c>
      <c r="K654" s="2">
        <v>7</v>
      </c>
      <c r="L654" s="2">
        <v>7.0373999999999999</v>
      </c>
      <c r="M654" s="2">
        <v>3.7400000000000003E-2</v>
      </c>
      <c r="N654" s="8" t="s">
        <v>11846</v>
      </c>
      <c r="O654" s="8" t="s">
        <v>11847</v>
      </c>
      <c r="P654" s="2">
        <v>2</v>
      </c>
      <c r="Q654" s="8"/>
      <c r="R654" s="8" t="s">
        <v>5041</v>
      </c>
      <c r="S654" s="8" t="str">
        <f>HYPERLINK("https://seichotoushi-hojo.jp/assets/pdf/koufu/outline__189.pdf","PDFを開く")</f>
        <v>PDFを開く</v>
      </c>
      <c r="T654" s="8" t="s">
        <v>1447</v>
      </c>
      <c r="U654" s="8" t="s">
        <v>1448</v>
      </c>
    </row>
    <row r="655" spans="1:21" ht="39.950000000000003" customHeight="1">
      <c r="A655" s="5" t="s">
        <v>1440</v>
      </c>
      <c r="B655" s="5" t="s">
        <v>1386</v>
      </c>
      <c r="C655" s="9" t="s">
        <v>1441</v>
      </c>
      <c r="D655" s="9" t="s">
        <v>3188</v>
      </c>
      <c r="E655" s="9" t="s">
        <v>90</v>
      </c>
      <c r="F655" s="5">
        <v>2027</v>
      </c>
      <c r="G655" s="5">
        <v>1473</v>
      </c>
      <c r="H655" s="5">
        <v>2030</v>
      </c>
      <c r="I655" s="5">
        <v>1706</v>
      </c>
      <c r="J655" s="5" t="s">
        <v>86</v>
      </c>
      <c r="K655" s="5">
        <v>5</v>
      </c>
      <c r="L655" s="5">
        <v>5.0167999999999999</v>
      </c>
      <c r="M655" s="5">
        <v>1.6799999999999999E-2</v>
      </c>
      <c r="N655" s="9" t="s">
        <v>11846</v>
      </c>
      <c r="O655" s="9" t="s">
        <v>11847</v>
      </c>
      <c r="P655" s="5">
        <v>2</v>
      </c>
      <c r="Q655" s="9"/>
      <c r="R655" s="9" t="s">
        <v>5043</v>
      </c>
      <c r="S655" s="9" t="str">
        <f>HYPERLINK("https://seichotoushi-hojo.jp/assets/pdf/koufu/outline__189.pdf","PDFを開く")</f>
        <v>PDFを開く</v>
      </c>
      <c r="T655" s="9" t="s">
        <v>1447</v>
      </c>
      <c r="U655" s="9" t="s">
        <v>1448</v>
      </c>
    </row>
    <row r="656" spans="1:21" ht="39.950000000000003" customHeight="1">
      <c r="A656" s="2" t="s">
        <v>1440</v>
      </c>
      <c r="B656" s="2" t="s">
        <v>1386</v>
      </c>
      <c r="C656" s="8" t="s">
        <v>1441</v>
      </c>
      <c r="D656" s="8" t="s">
        <v>3191</v>
      </c>
      <c r="E656" s="8" t="s">
        <v>92</v>
      </c>
      <c r="F656" s="2">
        <v>2027</v>
      </c>
      <c r="G656" s="2">
        <v>60</v>
      </c>
      <c r="H656" s="2">
        <v>2030</v>
      </c>
      <c r="I656" s="2">
        <v>75</v>
      </c>
      <c r="J656" s="2" t="s">
        <v>2513</v>
      </c>
      <c r="K656" s="2"/>
      <c r="L656" s="2"/>
      <c r="M656" s="2"/>
      <c r="N656" s="8" t="s">
        <v>11846</v>
      </c>
      <c r="O656" s="8" t="s">
        <v>11847</v>
      </c>
      <c r="P656" s="2">
        <v>2</v>
      </c>
      <c r="Q656" s="8"/>
      <c r="R656" s="8" t="s">
        <v>5045</v>
      </c>
      <c r="S656" s="8" t="str">
        <f>HYPERLINK("https://seichotoushi-hojo.jp/assets/pdf/koufu/outline__189.pdf","PDFを開く")</f>
        <v>PDFを開く</v>
      </c>
      <c r="T656" s="8" t="s">
        <v>1447</v>
      </c>
      <c r="U656" s="8" t="s">
        <v>1448</v>
      </c>
    </row>
    <row r="657" spans="1:21" ht="39.950000000000003" customHeight="1">
      <c r="A657" s="5" t="s">
        <v>1449</v>
      </c>
      <c r="B657" s="5" t="s">
        <v>1386</v>
      </c>
      <c r="C657" s="9" t="s">
        <v>1450</v>
      </c>
      <c r="D657" s="9" t="s">
        <v>3176</v>
      </c>
      <c r="E657" s="9" t="s">
        <v>90</v>
      </c>
      <c r="F657" s="5">
        <v>2025</v>
      </c>
      <c r="G657" s="5">
        <v>671</v>
      </c>
      <c r="H657" s="5">
        <v>2028</v>
      </c>
      <c r="I657" s="5">
        <v>973</v>
      </c>
      <c r="J657" s="5" t="s">
        <v>86</v>
      </c>
      <c r="K657" s="5">
        <v>13.2</v>
      </c>
      <c r="L657" s="5">
        <v>13.187099999999999</v>
      </c>
      <c r="M657" s="5">
        <v>1.29E-2</v>
      </c>
      <c r="N657" s="9" t="s">
        <v>11846</v>
      </c>
      <c r="O657" s="9" t="s">
        <v>11847</v>
      </c>
      <c r="P657" s="5">
        <v>2</v>
      </c>
      <c r="Q657" s="9"/>
      <c r="R657" s="9" t="s">
        <v>5047</v>
      </c>
      <c r="S657" s="9" t="str">
        <f>HYPERLINK("https://seichotoushi-hojo.jp/assets/pdf/koufu/outline__190.pdf","PDFを開く")</f>
        <v>PDFを開く</v>
      </c>
      <c r="T657" s="9" t="s">
        <v>1456</v>
      </c>
      <c r="U657" s="9" t="s">
        <v>1457</v>
      </c>
    </row>
    <row r="658" spans="1:21" ht="39.950000000000003" customHeight="1">
      <c r="A658" s="2" t="s">
        <v>1449</v>
      </c>
      <c r="B658" s="2" t="s">
        <v>1386</v>
      </c>
      <c r="C658" s="8" t="s">
        <v>1450</v>
      </c>
      <c r="D658" s="8" t="s">
        <v>3184</v>
      </c>
      <c r="E658" s="8" t="s">
        <v>90</v>
      </c>
      <c r="F658" s="2">
        <v>2025</v>
      </c>
      <c r="G658" s="2">
        <v>292</v>
      </c>
      <c r="H658" s="2">
        <v>2028</v>
      </c>
      <c r="I658" s="2">
        <v>373</v>
      </c>
      <c r="J658" s="2" t="s">
        <v>86</v>
      </c>
      <c r="K658" s="2">
        <v>8.5</v>
      </c>
      <c r="L658" s="2">
        <v>8.5030999999999999</v>
      </c>
      <c r="M658" s="2">
        <v>3.0999999999999999E-3</v>
      </c>
      <c r="N658" s="8" t="s">
        <v>11846</v>
      </c>
      <c r="O658" s="8" t="s">
        <v>11847</v>
      </c>
      <c r="P658" s="2">
        <v>2</v>
      </c>
      <c r="Q658" s="8"/>
      <c r="R658" s="8" t="s">
        <v>5050</v>
      </c>
      <c r="S658" s="8" t="str">
        <f>HYPERLINK("https://seichotoushi-hojo.jp/assets/pdf/koufu/outline__190.pdf","PDFを開く")</f>
        <v>PDFを開く</v>
      </c>
      <c r="T658" s="8" t="s">
        <v>1456</v>
      </c>
      <c r="U658" s="8" t="s">
        <v>1457</v>
      </c>
    </row>
    <row r="659" spans="1:21" ht="39.950000000000003" customHeight="1">
      <c r="A659" s="5" t="s">
        <v>1449</v>
      </c>
      <c r="B659" s="5" t="s">
        <v>1386</v>
      </c>
      <c r="C659" s="9" t="s">
        <v>1450</v>
      </c>
      <c r="D659" s="9" t="s">
        <v>3188</v>
      </c>
      <c r="E659" s="9" t="s">
        <v>90</v>
      </c>
      <c r="F659" s="5">
        <v>2025</v>
      </c>
      <c r="G659" s="5">
        <v>1100</v>
      </c>
      <c r="H659" s="5">
        <v>2028</v>
      </c>
      <c r="I659" s="5">
        <v>1290</v>
      </c>
      <c r="J659" s="5" t="s">
        <v>86</v>
      </c>
      <c r="K659" s="5">
        <v>5.5</v>
      </c>
      <c r="L659" s="5">
        <v>5.4546000000000001</v>
      </c>
      <c r="M659" s="5">
        <v>4.5400000000000003E-2</v>
      </c>
      <c r="N659" s="9" t="s">
        <v>11846</v>
      </c>
      <c r="O659" s="9" t="s">
        <v>11847</v>
      </c>
      <c r="P659" s="5">
        <v>2</v>
      </c>
      <c r="Q659" s="9"/>
      <c r="R659" s="9" t="s">
        <v>5052</v>
      </c>
      <c r="S659" s="9" t="str">
        <f>HYPERLINK("https://seichotoushi-hojo.jp/assets/pdf/koufu/outline__190.pdf","PDFを開く")</f>
        <v>PDFを開く</v>
      </c>
      <c r="T659" s="9" t="s">
        <v>1456</v>
      </c>
      <c r="U659" s="9" t="s">
        <v>1457</v>
      </c>
    </row>
    <row r="660" spans="1:21" ht="39.950000000000003" customHeight="1">
      <c r="A660" s="2" t="s">
        <v>1449</v>
      </c>
      <c r="B660" s="2" t="s">
        <v>1386</v>
      </c>
      <c r="C660" s="8" t="s">
        <v>1450</v>
      </c>
      <c r="D660" s="8" t="s">
        <v>3191</v>
      </c>
      <c r="E660" s="8" t="s">
        <v>92</v>
      </c>
      <c r="F660" s="2">
        <v>2025</v>
      </c>
      <c r="G660" s="2">
        <v>106</v>
      </c>
      <c r="H660" s="2">
        <v>2028</v>
      </c>
      <c r="I660" s="2">
        <v>127</v>
      </c>
      <c r="J660" s="2" t="s">
        <v>2513</v>
      </c>
      <c r="K660" s="2"/>
      <c r="L660" s="2"/>
      <c r="M660" s="2"/>
      <c r="N660" s="8" t="s">
        <v>11846</v>
      </c>
      <c r="O660" s="8" t="s">
        <v>11847</v>
      </c>
      <c r="P660" s="2">
        <v>2</v>
      </c>
      <c r="Q660" s="8"/>
      <c r="R660" s="8" t="s">
        <v>5055</v>
      </c>
      <c r="S660" s="8" t="str">
        <f>HYPERLINK("https://seichotoushi-hojo.jp/assets/pdf/koufu/outline__190.pdf","PDFを開く")</f>
        <v>PDFを開く</v>
      </c>
      <c r="T660" s="8" t="s">
        <v>1456</v>
      </c>
      <c r="U660" s="8" t="s">
        <v>1457</v>
      </c>
    </row>
    <row r="661" spans="1:21" ht="39.950000000000003" customHeight="1">
      <c r="A661" s="5" t="s">
        <v>1458</v>
      </c>
      <c r="B661" s="5" t="s">
        <v>1386</v>
      </c>
      <c r="C661" s="9" t="s">
        <v>1459</v>
      </c>
      <c r="D661" s="9" t="s">
        <v>3176</v>
      </c>
      <c r="E661" s="9" t="s">
        <v>90</v>
      </c>
      <c r="F661" s="5">
        <v>2026</v>
      </c>
      <c r="G661" s="5">
        <v>1668</v>
      </c>
      <c r="H661" s="5">
        <v>2029</v>
      </c>
      <c r="I661" s="5">
        <v>2592</v>
      </c>
      <c r="J661" s="5" t="s">
        <v>86</v>
      </c>
      <c r="K661" s="5">
        <v>15.8</v>
      </c>
      <c r="L661" s="5">
        <v>15.8278</v>
      </c>
      <c r="M661" s="5">
        <v>2.7799999999999998E-2</v>
      </c>
      <c r="N661" s="9" t="s">
        <v>11846</v>
      </c>
      <c r="O661" s="9" t="s">
        <v>11847</v>
      </c>
      <c r="P661" s="5">
        <v>2</v>
      </c>
      <c r="Q661" s="9"/>
      <c r="R661" s="9" t="s">
        <v>5057</v>
      </c>
      <c r="S661" s="9" t="str">
        <f>HYPERLINK("https://seichotoushi-hojo.jp/assets/pdf/koufu/outline__191.pdf","PDFを開く")</f>
        <v>PDFを開く</v>
      </c>
      <c r="T661" s="9" t="s">
        <v>1465</v>
      </c>
      <c r="U661" s="9" t="s">
        <v>1466</v>
      </c>
    </row>
    <row r="662" spans="1:21" ht="39.950000000000003" customHeight="1">
      <c r="A662" s="2" t="s">
        <v>1458</v>
      </c>
      <c r="B662" s="2" t="s">
        <v>1386</v>
      </c>
      <c r="C662" s="8" t="s">
        <v>1459</v>
      </c>
      <c r="D662" s="8" t="s">
        <v>3184</v>
      </c>
      <c r="E662" s="8" t="s">
        <v>90</v>
      </c>
      <c r="F662" s="2">
        <v>2026</v>
      </c>
      <c r="G662" s="2">
        <v>438</v>
      </c>
      <c r="H662" s="2">
        <v>2029</v>
      </c>
      <c r="I662" s="2">
        <v>536</v>
      </c>
      <c r="J662" s="2" t="s">
        <v>86</v>
      </c>
      <c r="K662" s="2">
        <v>7</v>
      </c>
      <c r="L662" s="2">
        <v>6.9622000000000002</v>
      </c>
      <c r="M662" s="2">
        <v>3.78E-2</v>
      </c>
      <c r="N662" s="8" t="s">
        <v>11846</v>
      </c>
      <c r="O662" s="8" t="s">
        <v>11847</v>
      </c>
      <c r="P662" s="2">
        <v>2</v>
      </c>
      <c r="Q662" s="8"/>
      <c r="R662" s="8" t="s">
        <v>5059</v>
      </c>
      <c r="S662" s="8" t="str">
        <f>HYPERLINK("https://seichotoushi-hojo.jp/assets/pdf/koufu/outline__191.pdf","PDFを開く")</f>
        <v>PDFを開く</v>
      </c>
      <c r="T662" s="8" t="s">
        <v>1465</v>
      </c>
      <c r="U662" s="8" t="s">
        <v>1466</v>
      </c>
    </row>
    <row r="663" spans="1:21" ht="39.950000000000003" customHeight="1">
      <c r="A663" s="5" t="s">
        <v>1458</v>
      </c>
      <c r="B663" s="5" t="s">
        <v>1386</v>
      </c>
      <c r="C663" s="9" t="s">
        <v>1459</v>
      </c>
      <c r="D663" s="9" t="s">
        <v>3188</v>
      </c>
      <c r="E663" s="9" t="s">
        <v>90</v>
      </c>
      <c r="F663" s="5">
        <v>2026</v>
      </c>
      <c r="G663" s="5">
        <v>1000</v>
      </c>
      <c r="H663" s="5">
        <v>2029</v>
      </c>
      <c r="I663" s="5">
        <v>1125</v>
      </c>
      <c r="J663" s="5" t="s">
        <v>86</v>
      </c>
      <c r="K663" s="5">
        <v>4</v>
      </c>
      <c r="L663" s="5">
        <v>4.0042</v>
      </c>
      <c r="M663" s="5">
        <v>4.1999999999999997E-3</v>
      </c>
      <c r="N663" s="9" t="s">
        <v>11846</v>
      </c>
      <c r="O663" s="9" t="s">
        <v>11847</v>
      </c>
      <c r="P663" s="5">
        <v>2</v>
      </c>
      <c r="Q663" s="9"/>
      <c r="R663" s="9" t="s">
        <v>5060</v>
      </c>
      <c r="S663" s="9" t="str">
        <f>HYPERLINK("https://seichotoushi-hojo.jp/assets/pdf/koufu/outline__191.pdf","PDFを開く")</f>
        <v>PDFを開く</v>
      </c>
      <c r="T663" s="9" t="s">
        <v>1465</v>
      </c>
      <c r="U663" s="9" t="s">
        <v>1466</v>
      </c>
    </row>
    <row r="664" spans="1:21" ht="39.950000000000003" customHeight="1">
      <c r="A664" s="2" t="s">
        <v>1458</v>
      </c>
      <c r="B664" s="2" t="s">
        <v>1386</v>
      </c>
      <c r="C664" s="8" t="s">
        <v>1459</v>
      </c>
      <c r="D664" s="8" t="s">
        <v>3191</v>
      </c>
      <c r="E664" s="8" t="s">
        <v>92</v>
      </c>
      <c r="F664" s="2">
        <v>2026</v>
      </c>
      <c r="G664" s="2">
        <v>100</v>
      </c>
      <c r="H664" s="2">
        <v>2029</v>
      </c>
      <c r="I664" s="2">
        <v>140</v>
      </c>
      <c r="J664" s="2" t="s">
        <v>2513</v>
      </c>
      <c r="K664" s="2"/>
      <c r="L664" s="2"/>
      <c r="M664" s="2"/>
      <c r="N664" s="8" t="s">
        <v>11846</v>
      </c>
      <c r="O664" s="8" t="s">
        <v>11847</v>
      </c>
      <c r="P664" s="2">
        <v>2</v>
      </c>
      <c r="Q664" s="8"/>
      <c r="R664" s="8" t="s">
        <v>5061</v>
      </c>
      <c r="S664" s="8" t="str">
        <f>HYPERLINK("https://seichotoushi-hojo.jp/assets/pdf/koufu/outline__191.pdf","PDFを開く")</f>
        <v>PDFを開く</v>
      </c>
      <c r="T664" s="8" t="s">
        <v>1465</v>
      </c>
      <c r="U664" s="8" t="s">
        <v>1466</v>
      </c>
    </row>
    <row r="665" spans="1:21" ht="39.950000000000003" customHeight="1">
      <c r="A665" s="5" t="s">
        <v>1467</v>
      </c>
      <c r="B665" s="5" t="s">
        <v>1386</v>
      </c>
      <c r="C665" s="9" t="s">
        <v>1468</v>
      </c>
      <c r="D665" s="9" t="s">
        <v>3176</v>
      </c>
      <c r="E665" s="9" t="s">
        <v>92</v>
      </c>
      <c r="F665" s="5">
        <v>2026</v>
      </c>
      <c r="G665" s="5">
        <v>753</v>
      </c>
      <c r="H665" s="5">
        <v>2029</v>
      </c>
      <c r="I665" s="5">
        <v>8748</v>
      </c>
      <c r="J665" s="5" t="s">
        <v>86</v>
      </c>
      <c r="K665" s="5"/>
      <c r="L665" s="5">
        <v>126.4842</v>
      </c>
      <c r="M665" s="5"/>
      <c r="N665" s="9" t="s">
        <v>11846</v>
      </c>
      <c r="O665" s="9" t="s">
        <v>11847</v>
      </c>
      <c r="P665" s="5">
        <v>2</v>
      </c>
      <c r="Q665" s="9"/>
      <c r="R665" s="9" t="s">
        <v>5063</v>
      </c>
      <c r="S665" s="9" t="str">
        <f>HYPERLINK("https://seichotoushi-hojo.jp/assets/pdf/koufu/outline__192.pdf","PDFを開く")</f>
        <v>PDFを開く</v>
      </c>
      <c r="T665" s="9" t="s">
        <v>1472</v>
      </c>
      <c r="U665" s="9" t="s">
        <v>1473</v>
      </c>
    </row>
    <row r="666" spans="1:21" ht="39.950000000000003" customHeight="1">
      <c r="A666" s="2" t="s">
        <v>1467</v>
      </c>
      <c r="B666" s="2" t="s">
        <v>1386</v>
      </c>
      <c r="C666" s="8" t="s">
        <v>1468</v>
      </c>
      <c r="D666" s="8" t="s">
        <v>3184</v>
      </c>
      <c r="E666" s="8" t="s">
        <v>90</v>
      </c>
      <c r="F666" s="2">
        <v>2026</v>
      </c>
      <c r="G666" s="2">
        <v>641</v>
      </c>
      <c r="H666" s="2">
        <v>2029</v>
      </c>
      <c r="I666" s="2">
        <v>742</v>
      </c>
      <c r="J666" s="2" t="s">
        <v>86</v>
      </c>
      <c r="K666" s="2">
        <v>5</v>
      </c>
      <c r="L666" s="2">
        <v>4.9981999999999998</v>
      </c>
      <c r="M666" s="2">
        <v>1.8E-3</v>
      </c>
      <c r="N666" s="8" t="s">
        <v>11846</v>
      </c>
      <c r="O666" s="8" t="s">
        <v>11847</v>
      </c>
      <c r="P666" s="2">
        <v>2</v>
      </c>
      <c r="Q666" s="8"/>
      <c r="R666" s="8" t="s">
        <v>5066</v>
      </c>
      <c r="S666" s="8" t="str">
        <f>HYPERLINK("https://seichotoushi-hojo.jp/assets/pdf/koufu/outline__192.pdf","PDFを開く")</f>
        <v>PDFを開く</v>
      </c>
      <c r="T666" s="8" t="s">
        <v>1472</v>
      </c>
      <c r="U666" s="8" t="s">
        <v>1473</v>
      </c>
    </row>
    <row r="667" spans="1:21" ht="39.950000000000003" customHeight="1">
      <c r="A667" s="5" t="s">
        <v>1467</v>
      </c>
      <c r="B667" s="5" t="s">
        <v>1386</v>
      </c>
      <c r="C667" s="9" t="s">
        <v>1468</v>
      </c>
      <c r="D667" s="9" t="s">
        <v>3188</v>
      </c>
      <c r="E667" s="9" t="s">
        <v>92</v>
      </c>
      <c r="F667" s="5">
        <v>2026</v>
      </c>
      <c r="G667" s="5">
        <v>0</v>
      </c>
      <c r="H667" s="5">
        <v>2029</v>
      </c>
      <c r="I667" s="5">
        <v>0</v>
      </c>
      <c r="J667" s="5" t="s">
        <v>86</v>
      </c>
      <c r="K667" s="5"/>
      <c r="L667" s="5"/>
      <c r="M667" s="5"/>
      <c r="N667" s="9" t="s">
        <v>11846</v>
      </c>
      <c r="O667" s="9" t="s">
        <v>11847</v>
      </c>
      <c r="P667" s="5">
        <v>2</v>
      </c>
      <c r="Q667" s="9"/>
      <c r="R667" s="9" t="s">
        <v>5067</v>
      </c>
      <c r="S667" s="9" t="str">
        <f>HYPERLINK("https://seichotoushi-hojo.jp/assets/pdf/koufu/outline__192.pdf","PDFを開く")</f>
        <v>PDFを開く</v>
      </c>
      <c r="T667" s="9" t="s">
        <v>1472</v>
      </c>
      <c r="U667" s="9" t="s">
        <v>1473</v>
      </c>
    </row>
    <row r="668" spans="1:21" ht="39.950000000000003" customHeight="1">
      <c r="A668" s="2" t="s">
        <v>1467</v>
      </c>
      <c r="B668" s="2" t="s">
        <v>1386</v>
      </c>
      <c r="C668" s="8" t="s">
        <v>1468</v>
      </c>
      <c r="D668" s="8" t="s">
        <v>3191</v>
      </c>
      <c r="E668" s="8" t="s">
        <v>92</v>
      </c>
      <c r="F668" s="2">
        <v>2026</v>
      </c>
      <c r="G668" s="2">
        <v>110</v>
      </c>
      <c r="H668" s="2">
        <v>2029</v>
      </c>
      <c r="I668" s="2">
        <v>150</v>
      </c>
      <c r="J668" s="2" t="s">
        <v>2513</v>
      </c>
      <c r="K668" s="2"/>
      <c r="L668" s="2"/>
      <c r="M668" s="2"/>
      <c r="N668" s="8" t="s">
        <v>11846</v>
      </c>
      <c r="O668" s="8" t="s">
        <v>11847</v>
      </c>
      <c r="P668" s="2">
        <v>2</v>
      </c>
      <c r="Q668" s="8"/>
      <c r="R668" s="8" t="s">
        <v>5068</v>
      </c>
      <c r="S668" s="8" t="str">
        <f>HYPERLINK("https://seichotoushi-hojo.jp/assets/pdf/koufu/outline__192.pdf","PDFを開く")</f>
        <v>PDFを開く</v>
      </c>
      <c r="T668" s="8" t="s">
        <v>1472</v>
      </c>
      <c r="U668" s="8" t="s">
        <v>1473</v>
      </c>
    </row>
    <row r="669" spans="1:21" ht="39.950000000000003" customHeight="1">
      <c r="A669" s="5" t="s">
        <v>1474</v>
      </c>
      <c r="B669" s="5" t="s">
        <v>1386</v>
      </c>
      <c r="C669" s="9" t="s">
        <v>1475</v>
      </c>
      <c r="D669" s="9" t="s">
        <v>3176</v>
      </c>
      <c r="E669" s="9" t="s">
        <v>90</v>
      </c>
      <c r="F669" s="5">
        <v>2026</v>
      </c>
      <c r="G669" s="5">
        <v>2352</v>
      </c>
      <c r="H669" s="5">
        <v>2029</v>
      </c>
      <c r="I669" s="5">
        <v>4375</v>
      </c>
      <c r="J669" s="5" t="s">
        <v>86</v>
      </c>
      <c r="K669" s="5">
        <v>23</v>
      </c>
      <c r="L669" s="5">
        <v>22.983499999999999</v>
      </c>
      <c r="M669" s="5">
        <v>1.6500000000000001E-2</v>
      </c>
      <c r="N669" s="9" t="s">
        <v>11846</v>
      </c>
      <c r="O669" s="9" t="s">
        <v>11847</v>
      </c>
      <c r="P669" s="5">
        <v>2</v>
      </c>
      <c r="Q669" s="9"/>
      <c r="R669" s="9" t="s">
        <v>5070</v>
      </c>
      <c r="S669" s="9" t="str">
        <f>HYPERLINK("https://seichotoushi-hojo.jp/assets/pdf/koufu/outline__194.pdf","PDFを開く")</f>
        <v>PDFを開く</v>
      </c>
      <c r="T669" s="9" t="s">
        <v>1481</v>
      </c>
      <c r="U669" s="9" t="s">
        <v>1482</v>
      </c>
    </row>
    <row r="670" spans="1:21" ht="39.950000000000003" customHeight="1">
      <c r="A670" s="2" t="s">
        <v>1474</v>
      </c>
      <c r="B670" s="2" t="s">
        <v>1386</v>
      </c>
      <c r="C670" s="8" t="s">
        <v>1475</v>
      </c>
      <c r="D670" s="8" t="s">
        <v>3184</v>
      </c>
      <c r="E670" s="8" t="s">
        <v>90</v>
      </c>
      <c r="F670" s="2">
        <v>2026</v>
      </c>
      <c r="G670" s="2">
        <v>661</v>
      </c>
      <c r="H670" s="2">
        <v>2029</v>
      </c>
      <c r="I670" s="2">
        <v>766</v>
      </c>
      <c r="J670" s="2" t="s">
        <v>86</v>
      </c>
      <c r="K670" s="2">
        <v>5</v>
      </c>
      <c r="L670" s="2">
        <v>5.0369999999999999</v>
      </c>
      <c r="M670" s="2">
        <v>3.6999999999999998E-2</v>
      </c>
      <c r="N670" s="8" t="s">
        <v>11846</v>
      </c>
      <c r="O670" s="8" t="s">
        <v>11847</v>
      </c>
      <c r="P670" s="2">
        <v>2</v>
      </c>
      <c r="Q670" s="8"/>
      <c r="R670" s="8" t="s">
        <v>5072</v>
      </c>
      <c r="S670" s="8" t="str">
        <f>HYPERLINK("https://seichotoushi-hojo.jp/assets/pdf/koufu/outline__194.pdf","PDFを開く")</f>
        <v>PDFを開く</v>
      </c>
      <c r="T670" s="8" t="s">
        <v>1481</v>
      </c>
      <c r="U670" s="8" t="s">
        <v>1482</v>
      </c>
    </row>
    <row r="671" spans="1:21" ht="39.950000000000003" customHeight="1">
      <c r="A671" s="5" t="s">
        <v>1474</v>
      </c>
      <c r="B671" s="5" t="s">
        <v>1386</v>
      </c>
      <c r="C671" s="9" t="s">
        <v>1475</v>
      </c>
      <c r="D671" s="9" t="s">
        <v>3188</v>
      </c>
      <c r="E671" s="9" t="s">
        <v>156</v>
      </c>
      <c r="F671" s="5"/>
      <c r="G671" s="5"/>
      <c r="H671" s="5"/>
      <c r="I671" s="5"/>
      <c r="J671" s="5"/>
      <c r="K671" s="5"/>
      <c r="L671" s="5"/>
      <c r="M671" s="5"/>
      <c r="N671" s="9" t="s">
        <v>11850</v>
      </c>
      <c r="O671" s="9"/>
      <c r="P671" s="5"/>
      <c r="Q671" s="9" t="s">
        <v>11851</v>
      </c>
      <c r="R671" s="9"/>
      <c r="S671" s="9" t="str">
        <f>HYPERLINK("https://seichotoushi-hojo.jp/assets/pdf/koufu/outline__194.pdf","PDFを開く")</f>
        <v>PDFを開く</v>
      </c>
      <c r="T671" s="9" t="s">
        <v>1481</v>
      </c>
      <c r="U671" s="9" t="s">
        <v>1482</v>
      </c>
    </row>
    <row r="672" spans="1:21" ht="39.950000000000003" customHeight="1">
      <c r="A672" s="2" t="s">
        <v>1474</v>
      </c>
      <c r="B672" s="2" t="s">
        <v>1386</v>
      </c>
      <c r="C672" s="8" t="s">
        <v>1475</v>
      </c>
      <c r="D672" s="8" t="s">
        <v>3191</v>
      </c>
      <c r="E672" s="8" t="s">
        <v>92</v>
      </c>
      <c r="F672" s="2">
        <v>2026</v>
      </c>
      <c r="G672" s="2">
        <v>384</v>
      </c>
      <c r="H672" s="2">
        <v>2029</v>
      </c>
      <c r="I672" s="2">
        <v>384</v>
      </c>
      <c r="J672" s="2" t="s">
        <v>2513</v>
      </c>
      <c r="K672" s="2"/>
      <c r="L672" s="2"/>
      <c r="M672" s="2"/>
      <c r="N672" s="8" t="s">
        <v>11846</v>
      </c>
      <c r="O672" s="8" t="s">
        <v>11847</v>
      </c>
      <c r="P672" s="2">
        <v>2</v>
      </c>
      <c r="Q672" s="8"/>
      <c r="R672" s="8" t="s">
        <v>5075</v>
      </c>
      <c r="S672" s="8" t="str">
        <f>HYPERLINK("https://seichotoushi-hojo.jp/assets/pdf/koufu/outline__194.pdf","PDFを開く")</f>
        <v>PDFを開く</v>
      </c>
      <c r="T672" s="8" t="s">
        <v>1481</v>
      </c>
      <c r="U672" s="8" t="s">
        <v>1482</v>
      </c>
    </row>
    <row r="673" spans="1:21" ht="39.950000000000003" customHeight="1">
      <c r="A673" s="5" t="s">
        <v>1483</v>
      </c>
      <c r="B673" s="5" t="s">
        <v>1386</v>
      </c>
      <c r="C673" s="9" t="s">
        <v>1484</v>
      </c>
      <c r="D673" s="9" t="s">
        <v>3176</v>
      </c>
      <c r="E673" s="9" t="s">
        <v>92</v>
      </c>
      <c r="F673" s="5">
        <v>2026</v>
      </c>
      <c r="G673" s="5">
        <v>805</v>
      </c>
      <c r="H673" s="5">
        <v>2029</v>
      </c>
      <c r="I673" s="5">
        <v>1169</v>
      </c>
      <c r="J673" s="5" t="s">
        <v>86</v>
      </c>
      <c r="K673" s="5"/>
      <c r="L673" s="5">
        <v>13.2417</v>
      </c>
      <c r="M673" s="5"/>
      <c r="N673" s="9" t="s">
        <v>11846</v>
      </c>
      <c r="O673" s="9" t="s">
        <v>11847</v>
      </c>
      <c r="P673" s="5">
        <v>2</v>
      </c>
      <c r="Q673" s="9"/>
      <c r="R673" s="9" t="s">
        <v>5077</v>
      </c>
      <c r="S673" s="9" t="str">
        <f>HYPERLINK("https://seichotoushi-hojo.jp/assets/pdf/koufu/outline__195.pdf","PDFを開く")</f>
        <v>PDFを開く</v>
      </c>
      <c r="T673" s="9" t="s">
        <v>1489</v>
      </c>
      <c r="U673" s="9" t="s">
        <v>1490</v>
      </c>
    </row>
    <row r="674" spans="1:21" ht="39.950000000000003" customHeight="1">
      <c r="A674" s="2" t="s">
        <v>1483</v>
      </c>
      <c r="B674" s="2" t="s">
        <v>1386</v>
      </c>
      <c r="C674" s="8" t="s">
        <v>1484</v>
      </c>
      <c r="D674" s="8" t="s">
        <v>3184</v>
      </c>
      <c r="E674" s="8" t="s">
        <v>92</v>
      </c>
      <c r="F674" s="2">
        <v>2026</v>
      </c>
      <c r="G674" s="2">
        <v>569</v>
      </c>
      <c r="H674" s="2">
        <v>2029</v>
      </c>
      <c r="I674" s="2">
        <v>650</v>
      </c>
      <c r="J674" s="2" t="s">
        <v>86</v>
      </c>
      <c r="K674" s="2"/>
      <c r="L674" s="2">
        <v>4.5362999999999998</v>
      </c>
      <c r="M674" s="2"/>
      <c r="N674" s="8" t="s">
        <v>11846</v>
      </c>
      <c r="O674" s="8" t="s">
        <v>11852</v>
      </c>
      <c r="P674" s="2">
        <v>2</v>
      </c>
      <c r="Q674" s="8"/>
      <c r="R674" s="8" t="s">
        <v>5078</v>
      </c>
      <c r="S674" s="8" t="str">
        <f>HYPERLINK("https://seichotoushi-hojo.jp/assets/pdf/koufu/outline__195.pdf","PDFを開く")</f>
        <v>PDFを開く</v>
      </c>
      <c r="T674" s="8" t="s">
        <v>1489</v>
      </c>
      <c r="U674" s="8" t="s">
        <v>1490</v>
      </c>
    </row>
    <row r="675" spans="1:21" ht="39.950000000000003" customHeight="1">
      <c r="A675" s="5" t="s">
        <v>1483</v>
      </c>
      <c r="B675" s="5" t="s">
        <v>1386</v>
      </c>
      <c r="C675" s="9" t="s">
        <v>1484</v>
      </c>
      <c r="D675" s="9" t="s">
        <v>3188</v>
      </c>
      <c r="E675" s="9" t="s">
        <v>92</v>
      </c>
      <c r="F675" s="5">
        <v>2026</v>
      </c>
      <c r="G675" s="5">
        <v>1160</v>
      </c>
      <c r="H675" s="5">
        <v>2029</v>
      </c>
      <c r="I675" s="5">
        <v>1323</v>
      </c>
      <c r="J675" s="5" t="s">
        <v>86</v>
      </c>
      <c r="K675" s="5"/>
      <c r="L675" s="5">
        <v>4.4802</v>
      </c>
      <c r="M675" s="5"/>
      <c r="N675" s="9" t="s">
        <v>11846</v>
      </c>
      <c r="O675" s="9" t="s">
        <v>11852</v>
      </c>
      <c r="P675" s="5">
        <v>2</v>
      </c>
      <c r="Q675" s="9"/>
      <c r="R675" s="9" t="s">
        <v>5081</v>
      </c>
      <c r="S675" s="9" t="str">
        <f>HYPERLINK("https://seichotoushi-hojo.jp/assets/pdf/koufu/outline__195.pdf","PDFを開く")</f>
        <v>PDFを開く</v>
      </c>
      <c r="T675" s="9" t="s">
        <v>1489</v>
      </c>
      <c r="U675" s="9" t="s">
        <v>1490</v>
      </c>
    </row>
    <row r="676" spans="1:21" ht="39.950000000000003" customHeight="1">
      <c r="A676" s="2" t="s">
        <v>1483</v>
      </c>
      <c r="B676" s="2" t="s">
        <v>1386</v>
      </c>
      <c r="C676" s="8" t="s">
        <v>1484</v>
      </c>
      <c r="D676" s="8" t="s">
        <v>3191</v>
      </c>
      <c r="E676" s="8" t="s">
        <v>92</v>
      </c>
      <c r="F676" s="2">
        <v>2026</v>
      </c>
      <c r="G676" s="2">
        <v>168</v>
      </c>
      <c r="H676" s="2">
        <v>2029</v>
      </c>
      <c r="I676" s="2">
        <v>180</v>
      </c>
      <c r="J676" s="2" t="s">
        <v>2513</v>
      </c>
      <c r="K676" s="2"/>
      <c r="L676" s="2"/>
      <c r="M676" s="2"/>
      <c r="N676" s="8" t="s">
        <v>11846</v>
      </c>
      <c r="O676" s="8" t="s">
        <v>11852</v>
      </c>
      <c r="P676" s="2">
        <v>2</v>
      </c>
      <c r="Q676" s="8"/>
      <c r="R676" s="8" t="s">
        <v>5084</v>
      </c>
      <c r="S676" s="8" t="str">
        <f>HYPERLINK("https://seichotoushi-hojo.jp/assets/pdf/koufu/outline__195.pdf","PDFを開く")</f>
        <v>PDFを開く</v>
      </c>
      <c r="T676" s="8" t="s">
        <v>1489</v>
      </c>
      <c r="U676" s="8" t="s">
        <v>1490</v>
      </c>
    </row>
    <row r="677" spans="1:21" ht="39.950000000000003" customHeight="1">
      <c r="A677" s="5" t="s">
        <v>1491</v>
      </c>
      <c r="B677" s="5" t="s">
        <v>1386</v>
      </c>
      <c r="C677" s="9" t="s">
        <v>1492</v>
      </c>
      <c r="D677" s="9" t="s">
        <v>3176</v>
      </c>
      <c r="E677" s="9" t="s">
        <v>90</v>
      </c>
      <c r="F677" s="5">
        <v>2027</v>
      </c>
      <c r="G677" s="5">
        <v>1157</v>
      </c>
      <c r="H677" s="5">
        <v>2030</v>
      </c>
      <c r="I677" s="5">
        <v>1519</v>
      </c>
      <c r="J677" s="5" t="s">
        <v>86</v>
      </c>
      <c r="K677" s="5">
        <v>9.5</v>
      </c>
      <c r="L677" s="5">
        <v>9.4984999999999999</v>
      </c>
      <c r="M677" s="5">
        <v>1.5E-3</v>
      </c>
      <c r="N677" s="9" t="s">
        <v>11846</v>
      </c>
      <c r="O677" s="9" t="s">
        <v>11847</v>
      </c>
      <c r="P677" s="5">
        <v>2</v>
      </c>
      <c r="Q677" s="9"/>
      <c r="R677" s="9" t="s">
        <v>5090</v>
      </c>
      <c r="S677" s="9" t="str">
        <f>HYPERLINK("https://seichotoushi-hojo.jp/assets/pdf/koufu/outline__196.pdf","PDFを開く")</f>
        <v>PDFを開く</v>
      </c>
      <c r="T677" s="9" t="s">
        <v>1497</v>
      </c>
      <c r="U677" s="9" t="s">
        <v>1498</v>
      </c>
    </row>
    <row r="678" spans="1:21" ht="39.950000000000003" customHeight="1">
      <c r="A678" s="2" t="s">
        <v>1491</v>
      </c>
      <c r="B678" s="2" t="s">
        <v>1386</v>
      </c>
      <c r="C678" s="8" t="s">
        <v>1492</v>
      </c>
      <c r="D678" s="8" t="s">
        <v>3184</v>
      </c>
      <c r="E678" s="8" t="s">
        <v>90</v>
      </c>
      <c r="F678" s="2">
        <v>2027</v>
      </c>
      <c r="G678" s="2">
        <v>563</v>
      </c>
      <c r="H678" s="2">
        <v>2030</v>
      </c>
      <c r="I678" s="2">
        <v>633</v>
      </c>
      <c r="J678" s="2" t="s">
        <v>86</v>
      </c>
      <c r="K678" s="2">
        <v>4</v>
      </c>
      <c r="L678" s="2">
        <v>3.9836999999999998</v>
      </c>
      <c r="M678" s="2">
        <v>1.6299999999999999E-2</v>
      </c>
      <c r="N678" s="8" t="s">
        <v>11846</v>
      </c>
      <c r="O678" s="8" t="s">
        <v>11847</v>
      </c>
      <c r="P678" s="2">
        <v>2</v>
      </c>
      <c r="Q678" s="8"/>
      <c r="R678" s="8" t="s">
        <v>5092</v>
      </c>
      <c r="S678" s="8" t="str">
        <f>HYPERLINK("https://seichotoushi-hojo.jp/assets/pdf/koufu/outline__196.pdf","PDFを開く")</f>
        <v>PDFを開く</v>
      </c>
      <c r="T678" s="8" t="s">
        <v>1497</v>
      </c>
      <c r="U678" s="8" t="s">
        <v>1498</v>
      </c>
    </row>
    <row r="679" spans="1:21" ht="39.950000000000003" customHeight="1">
      <c r="A679" s="5" t="s">
        <v>1491</v>
      </c>
      <c r="B679" s="5" t="s">
        <v>1386</v>
      </c>
      <c r="C679" s="9" t="s">
        <v>1492</v>
      </c>
      <c r="D679" s="9" t="s">
        <v>3188</v>
      </c>
      <c r="E679" s="9" t="s">
        <v>91</v>
      </c>
      <c r="F679" s="5">
        <v>2027</v>
      </c>
      <c r="G679" s="5"/>
      <c r="H679" s="5">
        <v>2030</v>
      </c>
      <c r="I679" s="5"/>
      <c r="J679" s="5" t="s">
        <v>86</v>
      </c>
      <c r="K679" s="5">
        <v>3.7</v>
      </c>
      <c r="L679" s="5"/>
      <c r="M679" s="5"/>
      <c r="N679" s="9" t="s">
        <v>11846</v>
      </c>
      <c r="O679" s="9" t="s">
        <v>11848</v>
      </c>
      <c r="P679" s="5">
        <v>2</v>
      </c>
      <c r="Q679" s="9"/>
      <c r="R679" s="9" t="s">
        <v>5098</v>
      </c>
      <c r="S679" s="9" t="str">
        <f>HYPERLINK("https://seichotoushi-hojo.jp/assets/pdf/koufu/outline__196.pdf","PDFを開く")</f>
        <v>PDFを開く</v>
      </c>
      <c r="T679" s="9" t="s">
        <v>1497</v>
      </c>
      <c r="U679" s="9" t="s">
        <v>1498</v>
      </c>
    </row>
    <row r="680" spans="1:21" ht="39.950000000000003" customHeight="1">
      <c r="A680" s="2" t="s">
        <v>1491</v>
      </c>
      <c r="B680" s="2" t="s">
        <v>1386</v>
      </c>
      <c r="C680" s="8" t="s">
        <v>1492</v>
      </c>
      <c r="D680" s="8" t="s">
        <v>3191</v>
      </c>
      <c r="E680" s="8" t="s">
        <v>92</v>
      </c>
      <c r="F680" s="2">
        <v>2027</v>
      </c>
      <c r="G680" s="2">
        <v>79</v>
      </c>
      <c r="H680" s="2">
        <v>2030</v>
      </c>
      <c r="I680" s="2">
        <v>89</v>
      </c>
      <c r="J680" s="2" t="s">
        <v>2513</v>
      </c>
      <c r="K680" s="2"/>
      <c r="L680" s="2"/>
      <c r="M680" s="2"/>
      <c r="N680" s="8" t="s">
        <v>11846</v>
      </c>
      <c r="O680" s="8" t="s">
        <v>11847</v>
      </c>
      <c r="P680" s="2">
        <v>2</v>
      </c>
      <c r="Q680" s="8"/>
      <c r="R680" s="8" t="s">
        <v>5096</v>
      </c>
      <c r="S680" s="8" t="str">
        <f>HYPERLINK("https://seichotoushi-hojo.jp/assets/pdf/koufu/outline__196.pdf","PDFを開く")</f>
        <v>PDFを開く</v>
      </c>
      <c r="T680" s="8" t="s">
        <v>1497</v>
      </c>
      <c r="U680" s="8" t="s">
        <v>1498</v>
      </c>
    </row>
    <row r="681" spans="1:21" ht="39.950000000000003" customHeight="1">
      <c r="A681" s="5" t="s">
        <v>1499</v>
      </c>
      <c r="B681" s="5" t="s">
        <v>1386</v>
      </c>
      <c r="C681" s="9" t="s">
        <v>1500</v>
      </c>
      <c r="D681" s="9" t="s">
        <v>3176</v>
      </c>
      <c r="E681" s="9" t="s">
        <v>90</v>
      </c>
      <c r="F681" s="5">
        <v>2026</v>
      </c>
      <c r="G681" s="5">
        <v>564</v>
      </c>
      <c r="H681" s="5">
        <v>2029</v>
      </c>
      <c r="I681" s="5">
        <v>894</v>
      </c>
      <c r="J681" s="5" t="s">
        <v>86</v>
      </c>
      <c r="K681" s="5">
        <v>16.600000000000001</v>
      </c>
      <c r="L681" s="5">
        <v>16.596699999999998</v>
      </c>
      <c r="M681" s="5">
        <v>3.3E-3</v>
      </c>
      <c r="N681" s="9" t="s">
        <v>11846</v>
      </c>
      <c r="O681" s="9" t="s">
        <v>11847</v>
      </c>
      <c r="P681" s="5">
        <v>2</v>
      </c>
      <c r="Q681" s="9"/>
      <c r="R681" s="9" t="s">
        <v>5101</v>
      </c>
      <c r="S681" s="9" t="str">
        <f>HYPERLINK("https://seichotoushi-hojo.jp/assets/pdf/koufu/outline__197.pdf","PDFを開く")</f>
        <v>PDFを開く</v>
      </c>
      <c r="T681" s="9" t="s">
        <v>1504</v>
      </c>
      <c r="U681" s="9" t="s">
        <v>1505</v>
      </c>
    </row>
    <row r="682" spans="1:21" ht="39.950000000000003" customHeight="1">
      <c r="A682" s="2" t="s">
        <v>1499</v>
      </c>
      <c r="B682" s="2" t="s">
        <v>1386</v>
      </c>
      <c r="C682" s="8" t="s">
        <v>1500</v>
      </c>
      <c r="D682" s="8" t="s">
        <v>3184</v>
      </c>
      <c r="E682" s="8" t="s">
        <v>90</v>
      </c>
      <c r="F682" s="2">
        <v>2026</v>
      </c>
      <c r="G682" s="2">
        <v>434</v>
      </c>
      <c r="H682" s="2">
        <v>2029</v>
      </c>
      <c r="I682" s="2">
        <v>495</v>
      </c>
      <c r="J682" s="2" t="s">
        <v>86</v>
      </c>
      <c r="K682" s="2">
        <v>4.5</v>
      </c>
      <c r="L682" s="2">
        <v>4.4813000000000001</v>
      </c>
      <c r="M682" s="2">
        <v>1.8700000000000001E-2</v>
      </c>
      <c r="N682" s="8" t="s">
        <v>11846</v>
      </c>
      <c r="O682" s="8" t="s">
        <v>11847</v>
      </c>
      <c r="P682" s="2">
        <v>2</v>
      </c>
      <c r="Q682" s="8"/>
      <c r="R682" s="8" t="s">
        <v>5104</v>
      </c>
      <c r="S682" s="8" t="str">
        <f>HYPERLINK("https://seichotoushi-hojo.jp/assets/pdf/koufu/outline__197.pdf","PDFを開く")</f>
        <v>PDFを開く</v>
      </c>
      <c r="T682" s="8" t="s">
        <v>1504</v>
      </c>
      <c r="U682" s="8" t="s">
        <v>1505</v>
      </c>
    </row>
    <row r="683" spans="1:21" ht="39.950000000000003" customHeight="1">
      <c r="A683" s="5" t="s">
        <v>1499</v>
      </c>
      <c r="B683" s="5" t="s">
        <v>1386</v>
      </c>
      <c r="C683" s="9" t="s">
        <v>1500</v>
      </c>
      <c r="D683" s="9" t="s">
        <v>3188</v>
      </c>
      <c r="E683" s="9" t="s">
        <v>90</v>
      </c>
      <c r="F683" s="5">
        <v>2026</v>
      </c>
      <c r="G683" s="5">
        <v>1645</v>
      </c>
      <c r="H683" s="5">
        <v>2029</v>
      </c>
      <c r="I683" s="5">
        <v>1877</v>
      </c>
      <c r="J683" s="5" t="s">
        <v>86</v>
      </c>
      <c r="K683" s="5">
        <v>4.5</v>
      </c>
      <c r="L683" s="5">
        <v>4.4958999999999998</v>
      </c>
      <c r="M683" s="5">
        <v>4.1000000000000003E-3</v>
      </c>
      <c r="N683" s="9" t="s">
        <v>11846</v>
      </c>
      <c r="O683" s="9" t="s">
        <v>11847</v>
      </c>
      <c r="P683" s="5">
        <v>2</v>
      </c>
      <c r="Q683" s="9"/>
      <c r="R683" s="9" t="s">
        <v>5106</v>
      </c>
      <c r="S683" s="9" t="str">
        <f>HYPERLINK("https://seichotoushi-hojo.jp/assets/pdf/koufu/outline__197.pdf","PDFを開く")</f>
        <v>PDFを開く</v>
      </c>
      <c r="T683" s="9" t="s">
        <v>1504</v>
      </c>
      <c r="U683" s="9" t="s">
        <v>1505</v>
      </c>
    </row>
    <row r="684" spans="1:21" ht="39.950000000000003" customHeight="1">
      <c r="A684" s="2" t="s">
        <v>1499</v>
      </c>
      <c r="B684" s="2" t="s">
        <v>1386</v>
      </c>
      <c r="C684" s="8" t="s">
        <v>1500</v>
      </c>
      <c r="D684" s="8" t="s">
        <v>3191</v>
      </c>
      <c r="E684" s="8" t="s">
        <v>92</v>
      </c>
      <c r="F684" s="2">
        <v>2026</v>
      </c>
      <c r="G684" s="2">
        <v>422</v>
      </c>
      <c r="H684" s="2">
        <v>2029</v>
      </c>
      <c r="I684" s="2">
        <v>431</v>
      </c>
      <c r="J684" s="2" t="s">
        <v>2513</v>
      </c>
      <c r="K684" s="2"/>
      <c r="L684" s="2"/>
      <c r="M684" s="2"/>
      <c r="N684" s="8" t="s">
        <v>11846</v>
      </c>
      <c r="O684" s="8" t="s">
        <v>11847</v>
      </c>
      <c r="P684" s="2">
        <v>2</v>
      </c>
      <c r="Q684" s="8"/>
      <c r="R684" s="8" t="s">
        <v>5109</v>
      </c>
      <c r="S684" s="8" t="str">
        <f>HYPERLINK("https://seichotoushi-hojo.jp/assets/pdf/koufu/outline__197.pdf","PDFを開く")</f>
        <v>PDFを開く</v>
      </c>
      <c r="T684" s="8" t="s">
        <v>1504</v>
      </c>
      <c r="U684" s="8" t="s">
        <v>1505</v>
      </c>
    </row>
    <row r="685" spans="1:21" ht="39.950000000000003" customHeight="1">
      <c r="A685" s="5" t="s">
        <v>1506</v>
      </c>
      <c r="B685" s="5" t="s">
        <v>1386</v>
      </c>
      <c r="C685" s="9" t="s">
        <v>1507</v>
      </c>
      <c r="D685" s="9" t="s">
        <v>3176</v>
      </c>
      <c r="E685" s="9" t="s">
        <v>90</v>
      </c>
      <c r="F685" s="5">
        <v>2026</v>
      </c>
      <c r="G685" s="5">
        <v>548</v>
      </c>
      <c r="H685" s="5">
        <v>2029</v>
      </c>
      <c r="I685" s="5">
        <v>3157</v>
      </c>
      <c r="J685" s="5" t="s">
        <v>86</v>
      </c>
      <c r="K685" s="5">
        <v>79.2</v>
      </c>
      <c r="L685" s="5">
        <v>79.266000000000005</v>
      </c>
      <c r="M685" s="5">
        <v>6.6000000000000003E-2</v>
      </c>
      <c r="N685" s="9" t="s">
        <v>11846</v>
      </c>
      <c r="O685" s="9" t="s">
        <v>11847</v>
      </c>
      <c r="P685" s="5">
        <v>2</v>
      </c>
      <c r="Q685" s="9"/>
      <c r="R685" s="9" t="s">
        <v>5111</v>
      </c>
      <c r="S685" s="9" t="str">
        <f>HYPERLINK("https://seichotoushi-hojo.jp/assets/pdf/koufu/outline__198.pdf","PDFを開く")</f>
        <v>PDFを開く</v>
      </c>
      <c r="T685" s="9" t="s">
        <v>1512</v>
      </c>
      <c r="U685" s="9" t="s">
        <v>1513</v>
      </c>
    </row>
    <row r="686" spans="1:21" ht="39.950000000000003" customHeight="1">
      <c r="A686" s="2" t="s">
        <v>1506</v>
      </c>
      <c r="B686" s="2" t="s">
        <v>1386</v>
      </c>
      <c r="C686" s="8" t="s">
        <v>1507</v>
      </c>
      <c r="D686" s="8" t="s">
        <v>3184</v>
      </c>
      <c r="E686" s="8" t="s">
        <v>90</v>
      </c>
      <c r="F686" s="2">
        <v>2026</v>
      </c>
      <c r="G686" s="2">
        <v>451</v>
      </c>
      <c r="H686" s="2">
        <v>2029</v>
      </c>
      <c r="I686" s="2">
        <v>537</v>
      </c>
      <c r="J686" s="2" t="s">
        <v>86</v>
      </c>
      <c r="K686" s="2">
        <v>6</v>
      </c>
      <c r="L686" s="2">
        <v>5.9901999999999997</v>
      </c>
      <c r="M686" s="2">
        <v>9.7999999999999997E-3</v>
      </c>
      <c r="N686" s="8" t="s">
        <v>11846</v>
      </c>
      <c r="O686" s="8" t="s">
        <v>11847</v>
      </c>
      <c r="P686" s="2">
        <v>2</v>
      </c>
      <c r="Q686" s="8"/>
      <c r="R686" s="8" t="s">
        <v>5113</v>
      </c>
      <c r="S686" s="8" t="str">
        <f>HYPERLINK("https://seichotoushi-hojo.jp/assets/pdf/koufu/outline__198.pdf","PDFを開く")</f>
        <v>PDFを開く</v>
      </c>
      <c r="T686" s="8" t="s">
        <v>1512</v>
      </c>
      <c r="U686" s="8" t="s">
        <v>1513</v>
      </c>
    </row>
    <row r="687" spans="1:21" ht="39.950000000000003" customHeight="1">
      <c r="A687" s="5" t="s">
        <v>1506</v>
      </c>
      <c r="B687" s="5" t="s">
        <v>1386</v>
      </c>
      <c r="C687" s="9" t="s">
        <v>1507</v>
      </c>
      <c r="D687" s="9" t="s">
        <v>3188</v>
      </c>
      <c r="E687" s="9" t="s">
        <v>156</v>
      </c>
      <c r="F687" s="5"/>
      <c r="G687" s="5"/>
      <c r="H687" s="5"/>
      <c r="I687" s="5"/>
      <c r="J687" s="5"/>
      <c r="K687" s="5"/>
      <c r="L687" s="5"/>
      <c r="M687" s="5"/>
      <c r="N687" s="9" t="s">
        <v>11850</v>
      </c>
      <c r="O687" s="9"/>
      <c r="P687" s="5"/>
      <c r="Q687" s="9" t="s">
        <v>11851</v>
      </c>
      <c r="R687" s="9"/>
      <c r="S687" s="9" t="str">
        <f>HYPERLINK("https://seichotoushi-hojo.jp/assets/pdf/koufu/outline__198.pdf","PDFを開く")</f>
        <v>PDFを開く</v>
      </c>
      <c r="T687" s="9" t="s">
        <v>1512</v>
      </c>
      <c r="U687" s="9" t="s">
        <v>1513</v>
      </c>
    </row>
    <row r="688" spans="1:21" ht="39.950000000000003" customHeight="1">
      <c r="A688" s="2" t="s">
        <v>1506</v>
      </c>
      <c r="B688" s="2" t="s">
        <v>1386</v>
      </c>
      <c r="C688" s="8" t="s">
        <v>1507</v>
      </c>
      <c r="D688" s="8" t="s">
        <v>3191</v>
      </c>
      <c r="E688" s="8" t="s">
        <v>92</v>
      </c>
      <c r="F688" s="2">
        <v>2026</v>
      </c>
      <c r="G688" s="2">
        <v>30</v>
      </c>
      <c r="H688" s="2">
        <v>2029</v>
      </c>
      <c r="I688" s="2">
        <v>44</v>
      </c>
      <c r="J688" s="2" t="s">
        <v>2513</v>
      </c>
      <c r="K688" s="2"/>
      <c r="L688" s="2"/>
      <c r="M688" s="2"/>
      <c r="N688" s="8" t="s">
        <v>11846</v>
      </c>
      <c r="O688" s="8" t="s">
        <v>11847</v>
      </c>
      <c r="P688" s="2">
        <v>2</v>
      </c>
      <c r="Q688" s="8"/>
      <c r="R688" s="8" t="s">
        <v>5114</v>
      </c>
      <c r="S688" s="8" t="str">
        <f>HYPERLINK("https://seichotoushi-hojo.jp/assets/pdf/koufu/outline__198.pdf","PDFを開く")</f>
        <v>PDFを開く</v>
      </c>
      <c r="T688" s="8" t="s">
        <v>1512</v>
      </c>
      <c r="U688" s="8" t="s">
        <v>1513</v>
      </c>
    </row>
    <row r="689" spans="1:21" ht="39.950000000000003" customHeight="1">
      <c r="A689" s="5" t="s">
        <v>1514</v>
      </c>
      <c r="B689" s="5" t="s">
        <v>1386</v>
      </c>
      <c r="C689" s="9" t="s">
        <v>1515</v>
      </c>
      <c r="D689" s="9" t="s">
        <v>3176</v>
      </c>
      <c r="E689" s="9" t="s">
        <v>90</v>
      </c>
      <c r="F689" s="5">
        <v>2026</v>
      </c>
      <c r="G689" s="5">
        <v>1406</v>
      </c>
      <c r="H689" s="5">
        <v>2029</v>
      </c>
      <c r="I689" s="5">
        <v>1506</v>
      </c>
      <c r="J689" s="5"/>
      <c r="K689" s="5">
        <v>2.2999999999999998</v>
      </c>
      <c r="L689" s="5">
        <v>2.3167</v>
      </c>
      <c r="M689" s="5">
        <v>1.67E-2</v>
      </c>
      <c r="N689" s="9" t="s">
        <v>11846</v>
      </c>
      <c r="O689" s="9" t="s">
        <v>11847</v>
      </c>
      <c r="P689" s="5">
        <v>3</v>
      </c>
      <c r="Q689" s="9" t="s">
        <v>11855</v>
      </c>
      <c r="R689" s="9" t="s">
        <v>5116</v>
      </c>
      <c r="S689" s="9" t="str">
        <f>HYPERLINK("https://seichotoushi-hojo.jp/assets/pdf/koufu/outline__199.pdf","PDFを開く")</f>
        <v>PDFを開く</v>
      </c>
      <c r="T689" s="9" t="s">
        <v>1520</v>
      </c>
      <c r="U689" s="9" t="s">
        <v>1521</v>
      </c>
    </row>
    <row r="690" spans="1:21" ht="39.950000000000003" customHeight="1">
      <c r="A690" s="2" t="s">
        <v>1514</v>
      </c>
      <c r="B690" s="2" t="s">
        <v>1386</v>
      </c>
      <c r="C690" s="8" t="s">
        <v>1515</v>
      </c>
      <c r="D690" s="8" t="s">
        <v>3184</v>
      </c>
      <c r="E690" s="8" t="s">
        <v>90</v>
      </c>
      <c r="F690" s="2">
        <v>2026</v>
      </c>
      <c r="G690" s="2">
        <v>550</v>
      </c>
      <c r="H690" s="2">
        <v>2029</v>
      </c>
      <c r="I690" s="2">
        <v>795</v>
      </c>
      <c r="J690" s="2"/>
      <c r="K690" s="2">
        <v>13.1</v>
      </c>
      <c r="L690" s="2">
        <v>13.066700000000001</v>
      </c>
      <c r="M690" s="2">
        <v>3.3300000000000003E-2</v>
      </c>
      <c r="N690" s="8" t="s">
        <v>11846</v>
      </c>
      <c r="O690" s="8" t="s">
        <v>11847</v>
      </c>
      <c r="P690" s="2">
        <v>3</v>
      </c>
      <c r="Q690" s="8" t="s">
        <v>11855</v>
      </c>
      <c r="R690" s="8" t="s">
        <v>5118</v>
      </c>
      <c r="S690" s="8" t="str">
        <f>HYPERLINK("https://seichotoushi-hojo.jp/assets/pdf/koufu/outline__199.pdf","PDFを開く")</f>
        <v>PDFを開く</v>
      </c>
      <c r="T690" s="8" t="s">
        <v>1520</v>
      </c>
      <c r="U690" s="8" t="s">
        <v>1521</v>
      </c>
    </row>
    <row r="691" spans="1:21" ht="39.950000000000003" customHeight="1">
      <c r="A691" s="5" t="s">
        <v>1514</v>
      </c>
      <c r="B691" s="5" t="s">
        <v>1386</v>
      </c>
      <c r="C691" s="9" t="s">
        <v>1515</v>
      </c>
      <c r="D691" s="9" t="s">
        <v>3188</v>
      </c>
      <c r="E691" s="9" t="s">
        <v>90</v>
      </c>
      <c r="F691" s="5">
        <v>2026</v>
      </c>
      <c r="G691" s="5">
        <v>750</v>
      </c>
      <c r="H691" s="5">
        <v>2029</v>
      </c>
      <c r="I691" s="5">
        <v>1700</v>
      </c>
      <c r="J691" s="5"/>
      <c r="K691" s="5">
        <v>31.4</v>
      </c>
      <c r="L691" s="5">
        <v>31.3598</v>
      </c>
      <c r="M691" s="5">
        <v>4.02E-2</v>
      </c>
      <c r="N691" s="9" t="s">
        <v>11846</v>
      </c>
      <c r="O691" s="9" t="s">
        <v>11847</v>
      </c>
      <c r="P691" s="5">
        <v>3</v>
      </c>
      <c r="Q691" s="9" t="s">
        <v>11855</v>
      </c>
      <c r="R691" s="9" t="s">
        <v>5119</v>
      </c>
      <c r="S691" s="9" t="str">
        <f>HYPERLINK("https://seichotoushi-hojo.jp/assets/pdf/koufu/outline__199.pdf","PDFを開く")</f>
        <v>PDFを開く</v>
      </c>
      <c r="T691" s="9" t="s">
        <v>1520</v>
      </c>
      <c r="U691" s="9" t="s">
        <v>1521</v>
      </c>
    </row>
    <row r="692" spans="1:21" ht="39.950000000000003" customHeight="1">
      <c r="A692" s="2" t="s">
        <v>1514</v>
      </c>
      <c r="B692" s="2" t="s">
        <v>1386</v>
      </c>
      <c r="C692" s="8" t="s">
        <v>1515</v>
      </c>
      <c r="D692" s="8" t="s">
        <v>3191</v>
      </c>
      <c r="E692" s="8" t="s">
        <v>92</v>
      </c>
      <c r="F692" s="2">
        <v>2026</v>
      </c>
      <c r="G692" s="2">
        <v>15</v>
      </c>
      <c r="H692" s="2">
        <v>2029</v>
      </c>
      <c r="I692" s="2">
        <v>40</v>
      </c>
      <c r="J692" s="2" t="s">
        <v>2513</v>
      </c>
      <c r="K692" s="2"/>
      <c r="L692" s="2"/>
      <c r="M692" s="2"/>
      <c r="N692" s="8" t="s">
        <v>11846</v>
      </c>
      <c r="O692" s="8" t="s">
        <v>11847</v>
      </c>
      <c r="P692" s="2">
        <v>3</v>
      </c>
      <c r="Q692" s="8"/>
      <c r="R692" s="8" t="s">
        <v>5120</v>
      </c>
      <c r="S692" s="8" t="str">
        <f>HYPERLINK("https://seichotoushi-hojo.jp/assets/pdf/koufu/outline__199.pdf","PDFを開く")</f>
        <v>PDFを開く</v>
      </c>
      <c r="T692" s="8" t="s">
        <v>1520</v>
      </c>
      <c r="U692" s="8" t="s">
        <v>1521</v>
      </c>
    </row>
    <row r="693" spans="1:21" ht="39.950000000000003" customHeight="1">
      <c r="A693" s="5" t="s">
        <v>1522</v>
      </c>
      <c r="B693" s="5" t="s">
        <v>1386</v>
      </c>
      <c r="C693" s="9" t="s">
        <v>1523</v>
      </c>
      <c r="D693" s="9" t="s">
        <v>3176</v>
      </c>
      <c r="E693" s="9" t="s">
        <v>90</v>
      </c>
      <c r="F693" s="5">
        <v>2026</v>
      </c>
      <c r="G693" s="5">
        <v>1064</v>
      </c>
      <c r="H693" s="5">
        <v>2029</v>
      </c>
      <c r="I693" s="5">
        <v>1417</v>
      </c>
      <c r="J693" s="5" t="s">
        <v>86</v>
      </c>
      <c r="K693" s="5">
        <v>10</v>
      </c>
      <c r="L693" s="5">
        <v>10.021100000000001</v>
      </c>
      <c r="M693" s="5">
        <v>2.1100000000000001E-2</v>
      </c>
      <c r="N693" s="9" t="s">
        <v>11846</v>
      </c>
      <c r="O693" s="9" t="s">
        <v>11847</v>
      </c>
      <c r="P693" s="5">
        <v>2</v>
      </c>
      <c r="Q693" s="9"/>
      <c r="R693" s="9" t="s">
        <v>5123</v>
      </c>
      <c r="S693" s="9" t="str">
        <f>HYPERLINK("https://seichotoushi-hojo.jp/assets/pdf/koufu/outline__200.pdf","PDFを開く")</f>
        <v>PDFを開く</v>
      </c>
      <c r="T693" s="9" t="s">
        <v>1526</v>
      </c>
      <c r="U693" s="9" t="s">
        <v>1527</v>
      </c>
    </row>
    <row r="694" spans="1:21" ht="39.950000000000003" customHeight="1">
      <c r="A694" s="2" t="s">
        <v>1522</v>
      </c>
      <c r="B694" s="2" t="s">
        <v>1386</v>
      </c>
      <c r="C694" s="8" t="s">
        <v>1523</v>
      </c>
      <c r="D694" s="8" t="s">
        <v>3184</v>
      </c>
      <c r="E694" s="8" t="s">
        <v>90</v>
      </c>
      <c r="F694" s="2">
        <v>2026</v>
      </c>
      <c r="G694" s="2">
        <v>372</v>
      </c>
      <c r="H694" s="2">
        <v>2029</v>
      </c>
      <c r="I694" s="2">
        <v>406</v>
      </c>
      <c r="J694" s="2" t="s">
        <v>86</v>
      </c>
      <c r="K694" s="2">
        <v>3</v>
      </c>
      <c r="L694" s="2">
        <v>2.9582000000000002</v>
      </c>
      <c r="M694" s="2">
        <v>4.1799999999999997E-2</v>
      </c>
      <c r="N694" s="8" t="s">
        <v>11846</v>
      </c>
      <c r="O694" s="8" t="s">
        <v>11847</v>
      </c>
      <c r="P694" s="2">
        <v>2</v>
      </c>
      <c r="Q694" s="8"/>
      <c r="R694" s="8" t="s">
        <v>5127</v>
      </c>
      <c r="S694" s="8" t="str">
        <f>HYPERLINK("https://seichotoushi-hojo.jp/assets/pdf/koufu/outline__200.pdf","PDFを開く")</f>
        <v>PDFを開く</v>
      </c>
      <c r="T694" s="8" t="s">
        <v>1526</v>
      </c>
      <c r="U694" s="8" t="s">
        <v>1527</v>
      </c>
    </row>
    <row r="695" spans="1:21" ht="39.950000000000003" customHeight="1">
      <c r="A695" s="5" t="s">
        <v>1522</v>
      </c>
      <c r="B695" s="5" t="s">
        <v>1386</v>
      </c>
      <c r="C695" s="9" t="s">
        <v>1523</v>
      </c>
      <c r="D695" s="9" t="s">
        <v>3188</v>
      </c>
      <c r="E695" s="9" t="s">
        <v>90</v>
      </c>
      <c r="F695" s="5">
        <v>2026</v>
      </c>
      <c r="G695" s="5">
        <v>2733</v>
      </c>
      <c r="H695" s="5">
        <v>2029</v>
      </c>
      <c r="I695" s="5">
        <v>2987</v>
      </c>
      <c r="J695" s="5" t="s">
        <v>86</v>
      </c>
      <c r="K695" s="5">
        <v>3</v>
      </c>
      <c r="L695" s="5">
        <v>3.0066000000000002</v>
      </c>
      <c r="M695" s="5">
        <v>6.6E-3</v>
      </c>
      <c r="N695" s="9" t="s">
        <v>11846</v>
      </c>
      <c r="O695" s="9" t="s">
        <v>11847</v>
      </c>
      <c r="P695" s="5">
        <v>2</v>
      </c>
      <c r="Q695" s="9"/>
      <c r="R695" s="9" t="s">
        <v>5129</v>
      </c>
      <c r="S695" s="9" t="str">
        <f>HYPERLINK("https://seichotoushi-hojo.jp/assets/pdf/koufu/outline__200.pdf","PDFを開く")</f>
        <v>PDFを開く</v>
      </c>
      <c r="T695" s="9" t="s">
        <v>1526</v>
      </c>
      <c r="U695" s="9" t="s">
        <v>1527</v>
      </c>
    </row>
    <row r="696" spans="1:21" ht="39.950000000000003" customHeight="1">
      <c r="A696" s="2" t="s">
        <v>1522</v>
      </c>
      <c r="B696" s="2" t="s">
        <v>1386</v>
      </c>
      <c r="C696" s="8" t="s">
        <v>1523</v>
      </c>
      <c r="D696" s="8" t="s">
        <v>3191</v>
      </c>
      <c r="E696" s="8" t="s">
        <v>92</v>
      </c>
      <c r="F696" s="2">
        <v>2026</v>
      </c>
      <c r="G696" s="2">
        <v>130</v>
      </c>
      <c r="H696" s="2">
        <v>2029</v>
      </c>
      <c r="I696" s="2">
        <v>164</v>
      </c>
      <c r="J696" s="2" t="s">
        <v>2513</v>
      </c>
      <c r="K696" s="2"/>
      <c r="L696" s="2"/>
      <c r="M696" s="2"/>
      <c r="N696" s="8" t="s">
        <v>11846</v>
      </c>
      <c r="O696" s="8" t="s">
        <v>11847</v>
      </c>
      <c r="P696" s="2">
        <v>2</v>
      </c>
      <c r="Q696" s="8"/>
      <c r="R696" s="8" t="s">
        <v>5131</v>
      </c>
      <c r="S696" s="8" t="str">
        <f>HYPERLINK("https://seichotoushi-hojo.jp/assets/pdf/koufu/outline__200.pdf","PDFを開く")</f>
        <v>PDFを開く</v>
      </c>
      <c r="T696" s="8" t="s">
        <v>1526</v>
      </c>
      <c r="U696" s="8" t="s">
        <v>1527</v>
      </c>
    </row>
    <row r="697" spans="1:21" ht="39.950000000000003" customHeight="1">
      <c r="A697" s="5" t="s">
        <v>1528</v>
      </c>
      <c r="B697" s="5" t="s">
        <v>1386</v>
      </c>
      <c r="C697" s="9" t="s">
        <v>1529</v>
      </c>
      <c r="D697" s="9" t="s">
        <v>3176</v>
      </c>
      <c r="E697" s="9" t="s">
        <v>166</v>
      </c>
      <c r="F697" s="5">
        <v>2026</v>
      </c>
      <c r="G697" s="5">
        <v>1125</v>
      </c>
      <c r="H697" s="5">
        <v>2029</v>
      </c>
      <c r="I697" s="5">
        <v>1705</v>
      </c>
      <c r="J697" s="5" t="s">
        <v>86</v>
      </c>
      <c r="K697" s="5">
        <v>14.9</v>
      </c>
      <c r="L697" s="5">
        <v>14.8658</v>
      </c>
      <c r="M697" s="5">
        <v>3.4200000000000001E-2</v>
      </c>
      <c r="N697" s="9" t="s">
        <v>11846</v>
      </c>
      <c r="O697" s="9" t="s">
        <v>292</v>
      </c>
      <c r="P697" s="5">
        <v>2</v>
      </c>
      <c r="Q697" s="9"/>
      <c r="R697" s="9" t="s">
        <v>5142</v>
      </c>
      <c r="S697" s="9" t="str">
        <f>HYPERLINK("https://seichotoushi-hojo.jp/assets/pdf/koufu/outline__201.pdf","PDFを開く")</f>
        <v>PDFを開く</v>
      </c>
      <c r="T697" s="9" t="s">
        <v>1533</v>
      </c>
      <c r="U697" s="9" t="s">
        <v>1534</v>
      </c>
    </row>
    <row r="698" spans="1:21" ht="39.950000000000003" customHeight="1">
      <c r="A698" s="2" t="s">
        <v>1528</v>
      </c>
      <c r="B698" s="2" t="s">
        <v>1386</v>
      </c>
      <c r="C698" s="8" t="s">
        <v>1529</v>
      </c>
      <c r="D698" s="8" t="s">
        <v>3184</v>
      </c>
      <c r="E698" s="8" t="s">
        <v>90</v>
      </c>
      <c r="F698" s="2">
        <v>2026</v>
      </c>
      <c r="G698" s="2">
        <v>45</v>
      </c>
      <c r="H698" s="2">
        <v>2029</v>
      </c>
      <c r="I698" s="2">
        <v>52</v>
      </c>
      <c r="J698" s="2" t="s">
        <v>86</v>
      </c>
      <c r="K698" s="2">
        <v>5</v>
      </c>
      <c r="L698" s="2">
        <v>4.9374000000000002</v>
      </c>
      <c r="M698" s="2">
        <v>6.2600000000000003E-2</v>
      </c>
      <c r="N698" s="8" t="s">
        <v>11846</v>
      </c>
      <c r="O698" s="8" t="s">
        <v>11852</v>
      </c>
      <c r="P698" s="2">
        <v>2</v>
      </c>
      <c r="Q698" s="8"/>
      <c r="R698" s="8" t="s">
        <v>5134</v>
      </c>
      <c r="S698" s="8" t="str">
        <f>HYPERLINK("https://seichotoushi-hojo.jp/assets/pdf/koufu/outline__201.pdf","PDFを開く")</f>
        <v>PDFを開く</v>
      </c>
      <c r="T698" s="8" t="s">
        <v>1533</v>
      </c>
      <c r="U698" s="8" t="s">
        <v>1534</v>
      </c>
    </row>
    <row r="699" spans="1:21" ht="39.950000000000003" customHeight="1">
      <c r="A699" s="5" t="s">
        <v>1528</v>
      </c>
      <c r="B699" s="5" t="s">
        <v>1386</v>
      </c>
      <c r="C699" s="9" t="s">
        <v>1529</v>
      </c>
      <c r="D699" s="9" t="s">
        <v>3188</v>
      </c>
      <c r="E699" s="9" t="s">
        <v>92</v>
      </c>
      <c r="F699" s="5">
        <v>2026</v>
      </c>
      <c r="G699" s="5">
        <v>0</v>
      </c>
      <c r="H699" s="5">
        <v>2029</v>
      </c>
      <c r="I699" s="5">
        <v>0</v>
      </c>
      <c r="J699" s="5" t="s">
        <v>86</v>
      </c>
      <c r="K699" s="5"/>
      <c r="L699" s="5"/>
      <c r="M699" s="5"/>
      <c r="N699" s="9" t="s">
        <v>11846</v>
      </c>
      <c r="O699" s="9" t="s">
        <v>11852</v>
      </c>
      <c r="P699" s="5">
        <v>2</v>
      </c>
      <c r="Q699" s="9"/>
      <c r="R699" s="9" t="s">
        <v>5137</v>
      </c>
      <c r="S699" s="9" t="str">
        <f>HYPERLINK("https://seichotoushi-hojo.jp/assets/pdf/koufu/outline__201.pdf","PDFを開く")</f>
        <v>PDFを開く</v>
      </c>
      <c r="T699" s="9" t="s">
        <v>1533</v>
      </c>
      <c r="U699" s="9" t="s">
        <v>1534</v>
      </c>
    </row>
    <row r="700" spans="1:21" ht="39.950000000000003" customHeight="1">
      <c r="A700" s="2" t="s">
        <v>1528</v>
      </c>
      <c r="B700" s="2" t="s">
        <v>1386</v>
      </c>
      <c r="C700" s="8" t="s">
        <v>1529</v>
      </c>
      <c r="D700" s="8" t="s">
        <v>3191</v>
      </c>
      <c r="E700" s="8" t="s">
        <v>92</v>
      </c>
      <c r="F700" s="2">
        <v>2026</v>
      </c>
      <c r="G700" s="2">
        <v>72</v>
      </c>
      <c r="H700" s="2">
        <v>2029</v>
      </c>
      <c r="I700" s="2">
        <v>224</v>
      </c>
      <c r="J700" s="2" t="s">
        <v>2513</v>
      </c>
      <c r="K700" s="2"/>
      <c r="L700" s="2"/>
      <c r="M700" s="2"/>
      <c r="N700" s="8" t="s">
        <v>11846</v>
      </c>
      <c r="O700" s="8" t="s">
        <v>11852</v>
      </c>
      <c r="P700" s="2">
        <v>2</v>
      </c>
      <c r="Q700" s="8"/>
      <c r="R700" s="8" t="s">
        <v>5138</v>
      </c>
      <c r="S700" s="8" t="str">
        <f>HYPERLINK("https://seichotoushi-hojo.jp/assets/pdf/koufu/outline__201.pdf","PDFを開く")</f>
        <v>PDFを開く</v>
      </c>
      <c r="T700" s="8" t="s">
        <v>1533</v>
      </c>
      <c r="U700" s="8" t="s">
        <v>1534</v>
      </c>
    </row>
    <row r="701" spans="1:21" ht="39.950000000000003" customHeight="1">
      <c r="A701" s="5" t="s">
        <v>1535</v>
      </c>
      <c r="B701" s="5" t="s">
        <v>1386</v>
      </c>
      <c r="C701" s="9" t="s">
        <v>1536</v>
      </c>
      <c r="D701" s="9" t="s">
        <v>3176</v>
      </c>
      <c r="E701" s="9" t="s">
        <v>90</v>
      </c>
      <c r="F701" s="5">
        <v>2026</v>
      </c>
      <c r="G701" s="5">
        <v>2551</v>
      </c>
      <c r="H701" s="5">
        <v>2029</v>
      </c>
      <c r="I701" s="5">
        <v>3845</v>
      </c>
      <c r="J701" s="5" t="s">
        <v>86</v>
      </c>
      <c r="K701" s="5">
        <v>14.6</v>
      </c>
      <c r="L701" s="5">
        <v>14.6556</v>
      </c>
      <c r="M701" s="5">
        <v>5.5599999999999997E-2</v>
      </c>
      <c r="N701" s="9" t="s">
        <v>11846</v>
      </c>
      <c r="O701" s="9" t="s">
        <v>11847</v>
      </c>
      <c r="P701" s="5">
        <v>3</v>
      </c>
      <c r="Q701" s="9"/>
      <c r="R701" s="9" t="s">
        <v>5145</v>
      </c>
      <c r="S701" s="9" t="str">
        <f>HYPERLINK("https://seichotoushi-hojo.jp/assets/pdf/koufu/outline__202.pdf","PDFを開く")</f>
        <v>PDFを開く</v>
      </c>
      <c r="T701" s="9" t="s">
        <v>1541</v>
      </c>
      <c r="U701" s="9" t="s">
        <v>1542</v>
      </c>
    </row>
    <row r="702" spans="1:21" ht="39.950000000000003" customHeight="1">
      <c r="A702" s="2" t="s">
        <v>1535</v>
      </c>
      <c r="B702" s="2" t="s">
        <v>1386</v>
      </c>
      <c r="C702" s="8" t="s">
        <v>1536</v>
      </c>
      <c r="D702" s="8" t="s">
        <v>3184</v>
      </c>
      <c r="E702" s="8" t="s">
        <v>90</v>
      </c>
      <c r="F702" s="2">
        <v>2026</v>
      </c>
      <c r="G702" s="2">
        <v>580</v>
      </c>
      <c r="H702" s="2">
        <v>2029</v>
      </c>
      <c r="I702" s="2">
        <v>715</v>
      </c>
      <c r="J702" s="2" t="s">
        <v>86</v>
      </c>
      <c r="K702" s="2">
        <v>7.2</v>
      </c>
      <c r="L702" s="2">
        <v>7.2241999999999997</v>
      </c>
      <c r="M702" s="2">
        <v>2.4199999999999999E-2</v>
      </c>
      <c r="N702" s="8" t="s">
        <v>11846</v>
      </c>
      <c r="O702" s="8" t="s">
        <v>11847</v>
      </c>
      <c r="P702" s="2">
        <v>3</v>
      </c>
      <c r="Q702" s="8"/>
      <c r="R702" s="8" t="s">
        <v>5148</v>
      </c>
      <c r="S702" s="8" t="str">
        <f>HYPERLINK("https://seichotoushi-hojo.jp/assets/pdf/koufu/outline__202.pdf","PDFを開く")</f>
        <v>PDFを開く</v>
      </c>
      <c r="T702" s="8" t="s">
        <v>1541</v>
      </c>
      <c r="U702" s="8" t="s">
        <v>1542</v>
      </c>
    </row>
    <row r="703" spans="1:21" ht="39.950000000000003" customHeight="1">
      <c r="A703" s="5" t="s">
        <v>1535</v>
      </c>
      <c r="B703" s="5" t="s">
        <v>1386</v>
      </c>
      <c r="C703" s="9" t="s">
        <v>1536</v>
      </c>
      <c r="D703" s="9" t="s">
        <v>3188</v>
      </c>
      <c r="E703" s="9" t="s">
        <v>90</v>
      </c>
      <c r="F703" s="5">
        <v>2026</v>
      </c>
      <c r="G703" s="5">
        <v>1200</v>
      </c>
      <c r="H703" s="5">
        <v>2029</v>
      </c>
      <c r="I703" s="5">
        <v>1350</v>
      </c>
      <c r="J703" s="5" t="s">
        <v>86</v>
      </c>
      <c r="K703" s="5">
        <v>4</v>
      </c>
      <c r="L703" s="5">
        <v>4.0042</v>
      </c>
      <c r="M703" s="5">
        <v>4.1999999999999997E-3</v>
      </c>
      <c r="N703" s="9" t="s">
        <v>11846</v>
      </c>
      <c r="O703" s="9" t="s">
        <v>11847</v>
      </c>
      <c r="P703" s="5">
        <v>3</v>
      </c>
      <c r="Q703" s="9"/>
      <c r="R703" s="9" t="s">
        <v>5149</v>
      </c>
      <c r="S703" s="9" t="str">
        <f>HYPERLINK("https://seichotoushi-hojo.jp/assets/pdf/koufu/outline__202.pdf","PDFを開く")</f>
        <v>PDFを開く</v>
      </c>
      <c r="T703" s="9" t="s">
        <v>1541</v>
      </c>
      <c r="U703" s="9" t="s">
        <v>1542</v>
      </c>
    </row>
    <row r="704" spans="1:21" ht="39.950000000000003" customHeight="1">
      <c r="A704" s="2" t="s">
        <v>1535</v>
      </c>
      <c r="B704" s="2" t="s">
        <v>1386</v>
      </c>
      <c r="C704" s="8" t="s">
        <v>1536</v>
      </c>
      <c r="D704" s="8" t="s">
        <v>3191</v>
      </c>
      <c r="E704" s="8" t="s">
        <v>92</v>
      </c>
      <c r="F704" s="2">
        <v>2026</v>
      </c>
      <c r="G704" s="2">
        <v>6</v>
      </c>
      <c r="H704" s="2">
        <v>2029</v>
      </c>
      <c r="I704" s="2">
        <v>47</v>
      </c>
      <c r="J704" s="2" t="s">
        <v>2513</v>
      </c>
      <c r="K704" s="2"/>
      <c r="L704" s="2"/>
      <c r="M704" s="2"/>
      <c r="N704" s="8" t="s">
        <v>11846</v>
      </c>
      <c r="O704" s="8" t="s">
        <v>11847</v>
      </c>
      <c r="P704" s="2">
        <v>3</v>
      </c>
      <c r="Q704" s="8"/>
      <c r="R704" s="8" t="s">
        <v>5151</v>
      </c>
      <c r="S704" s="8" t="str">
        <f>HYPERLINK("https://seichotoushi-hojo.jp/assets/pdf/koufu/outline__202.pdf","PDFを開く")</f>
        <v>PDFを開く</v>
      </c>
      <c r="T704" s="8" t="s">
        <v>1541</v>
      </c>
      <c r="U704" s="8" t="s">
        <v>1542</v>
      </c>
    </row>
    <row r="705" spans="1:21" ht="39.950000000000003" customHeight="1">
      <c r="A705" s="5" t="s">
        <v>1543</v>
      </c>
      <c r="B705" s="5" t="s">
        <v>1386</v>
      </c>
      <c r="C705" s="9" t="s">
        <v>1544</v>
      </c>
      <c r="D705" s="9" t="s">
        <v>3176</v>
      </c>
      <c r="E705" s="9" t="s">
        <v>90</v>
      </c>
      <c r="F705" s="5">
        <v>2026</v>
      </c>
      <c r="G705" s="5">
        <v>670</v>
      </c>
      <c r="H705" s="5">
        <v>2029</v>
      </c>
      <c r="I705" s="5">
        <v>1530</v>
      </c>
      <c r="J705" s="5" t="s">
        <v>86</v>
      </c>
      <c r="K705" s="5">
        <v>31.7</v>
      </c>
      <c r="L705" s="5">
        <v>31.6858</v>
      </c>
      <c r="M705" s="5">
        <v>1.4200000000000001E-2</v>
      </c>
      <c r="N705" s="9" t="s">
        <v>11846</v>
      </c>
      <c r="O705" s="9" t="s">
        <v>11847</v>
      </c>
      <c r="P705" s="5">
        <v>3</v>
      </c>
      <c r="Q705" s="9"/>
      <c r="R705" s="9" t="s">
        <v>5154</v>
      </c>
      <c r="S705" s="9" t="str">
        <f>HYPERLINK("https://seichotoushi-hojo.jp/assets/pdf/koufu/outline__203.pdf","PDFを開く")</f>
        <v>PDFを開く</v>
      </c>
      <c r="T705" s="9" t="s">
        <v>1549</v>
      </c>
      <c r="U705" s="9" t="s">
        <v>1550</v>
      </c>
    </row>
    <row r="706" spans="1:21" ht="39.950000000000003" customHeight="1">
      <c r="A706" s="2" t="s">
        <v>1543</v>
      </c>
      <c r="B706" s="2" t="s">
        <v>1386</v>
      </c>
      <c r="C706" s="8" t="s">
        <v>1544</v>
      </c>
      <c r="D706" s="8" t="s">
        <v>3184</v>
      </c>
      <c r="E706" s="8" t="s">
        <v>90</v>
      </c>
      <c r="F706" s="2">
        <v>2026</v>
      </c>
      <c r="G706" s="2">
        <v>413</v>
      </c>
      <c r="H706" s="2">
        <v>2029</v>
      </c>
      <c r="I706" s="2">
        <v>501</v>
      </c>
      <c r="J706" s="2" t="s">
        <v>86</v>
      </c>
      <c r="K706" s="2">
        <v>7</v>
      </c>
      <c r="L706" s="2">
        <v>6.6504000000000003</v>
      </c>
      <c r="M706" s="2">
        <v>0.34960000000000002</v>
      </c>
      <c r="N706" s="8" t="s">
        <v>11846</v>
      </c>
      <c r="O706" s="8" t="s">
        <v>11847</v>
      </c>
      <c r="P706" s="2">
        <v>3</v>
      </c>
      <c r="Q706" s="8"/>
      <c r="R706" s="8" t="s">
        <v>5156</v>
      </c>
      <c r="S706" s="8" t="str">
        <f>HYPERLINK("https://seichotoushi-hojo.jp/assets/pdf/koufu/outline__203.pdf","PDFを開く")</f>
        <v>PDFを開く</v>
      </c>
      <c r="T706" s="8" t="s">
        <v>1549</v>
      </c>
      <c r="U706" s="8" t="s">
        <v>1550</v>
      </c>
    </row>
    <row r="707" spans="1:21" ht="39.950000000000003" customHeight="1">
      <c r="A707" s="5" t="s">
        <v>1543</v>
      </c>
      <c r="B707" s="5" t="s">
        <v>1386</v>
      </c>
      <c r="C707" s="9" t="s">
        <v>1544</v>
      </c>
      <c r="D707" s="9" t="s">
        <v>3188</v>
      </c>
      <c r="E707" s="9" t="s">
        <v>90</v>
      </c>
      <c r="F707" s="5">
        <v>2026</v>
      </c>
      <c r="G707" s="5">
        <v>1314</v>
      </c>
      <c r="H707" s="5">
        <v>2029</v>
      </c>
      <c r="I707" s="5">
        <v>1828</v>
      </c>
      <c r="J707" s="5" t="s">
        <v>86</v>
      </c>
      <c r="K707" s="5">
        <v>11.6</v>
      </c>
      <c r="L707" s="5">
        <v>11.6333</v>
      </c>
      <c r="M707" s="5">
        <v>3.3300000000000003E-2</v>
      </c>
      <c r="N707" s="9" t="s">
        <v>11846</v>
      </c>
      <c r="O707" s="9" t="s">
        <v>11847</v>
      </c>
      <c r="P707" s="5">
        <v>3</v>
      </c>
      <c r="Q707" s="9"/>
      <c r="R707" s="9" t="s">
        <v>5158</v>
      </c>
      <c r="S707" s="9" t="str">
        <f>HYPERLINK("https://seichotoushi-hojo.jp/assets/pdf/koufu/outline__203.pdf","PDFを開く")</f>
        <v>PDFを開く</v>
      </c>
      <c r="T707" s="9" t="s">
        <v>1549</v>
      </c>
      <c r="U707" s="9" t="s">
        <v>1550</v>
      </c>
    </row>
    <row r="708" spans="1:21" ht="39.950000000000003" customHeight="1">
      <c r="A708" s="2" t="s">
        <v>1543</v>
      </c>
      <c r="B708" s="2" t="s">
        <v>1386</v>
      </c>
      <c r="C708" s="8" t="s">
        <v>1544</v>
      </c>
      <c r="D708" s="8" t="s">
        <v>3191</v>
      </c>
      <c r="E708" s="8" t="s">
        <v>92</v>
      </c>
      <c r="F708" s="2">
        <v>2026</v>
      </c>
      <c r="G708" s="2">
        <v>115</v>
      </c>
      <c r="H708" s="2">
        <v>2029</v>
      </c>
      <c r="I708" s="2">
        <v>172</v>
      </c>
      <c r="J708" s="2" t="s">
        <v>2513</v>
      </c>
      <c r="K708" s="2"/>
      <c r="L708" s="2"/>
      <c r="M708" s="2"/>
      <c r="N708" s="8" t="s">
        <v>11846</v>
      </c>
      <c r="O708" s="8" t="s">
        <v>11847</v>
      </c>
      <c r="P708" s="2">
        <v>3</v>
      </c>
      <c r="Q708" s="8"/>
      <c r="R708" s="8" t="s">
        <v>5160</v>
      </c>
      <c r="S708" s="8" t="str">
        <f>HYPERLINK("https://seichotoushi-hojo.jp/assets/pdf/koufu/outline__203.pdf","PDFを開く")</f>
        <v>PDFを開く</v>
      </c>
      <c r="T708" s="8" t="s">
        <v>1549</v>
      </c>
      <c r="U708" s="8" t="s">
        <v>1550</v>
      </c>
    </row>
    <row r="709" spans="1:21" ht="39.950000000000003" customHeight="1">
      <c r="A709" s="5" t="s">
        <v>1551</v>
      </c>
      <c r="B709" s="5" t="s">
        <v>1386</v>
      </c>
      <c r="C709" s="9" t="s">
        <v>1552</v>
      </c>
      <c r="D709" s="9" t="s">
        <v>3176</v>
      </c>
      <c r="E709" s="9" t="s">
        <v>90</v>
      </c>
      <c r="F709" s="5">
        <v>2026</v>
      </c>
      <c r="G709" s="5">
        <v>1937</v>
      </c>
      <c r="H709" s="5">
        <v>2029</v>
      </c>
      <c r="I709" s="5">
        <v>2215</v>
      </c>
      <c r="J709" s="5" t="s">
        <v>86</v>
      </c>
      <c r="K709" s="5">
        <v>4.5999999999999996</v>
      </c>
      <c r="L709" s="5">
        <v>4.5717999999999996</v>
      </c>
      <c r="M709" s="5">
        <v>2.8199999999999999E-2</v>
      </c>
      <c r="N709" s="9" t="s">
        <v>11846</v>
      </c>
      <c r="O709" s="9" t="s">
        <v>11847</v>
      </c>
      <c r="P709" s="5">
        <v>2</v>
      </c>
      <c r="Q709" s="9"/>
      <c r="R709" s="9" t="s">
        <v>5163</v>
      </c>
      <c r="S709" s="9" t="str">
        <f>HYPERLINK("https://seichotoushi-hojo.jp/assets/pdf/koufu/outline__204.pdf","PDFを開く")</f>
        <v>PDFを開く</v>
      </c>
      <c r="T709" s="9" t="s">
        <v>1558</v>
      </c>
      <c r="U709" s="9" t="s">
        <v>1559</v>
      </c>
    </row>
    <row r="710" spans="1:21" ht="39.950000000000003" customHeight="1">
      <c r="A710" s="2" t="s">
        <v>1551</v>
      </c>
      <c r="B710" s="2" t="s">
        <v>1386</v>
      </c>
      <c r="C710" s="8" t="s">
        <v>1552</v>
      </c>
      <c r="D710" s="8" t="s">
        <v>3184</v>
      </c>
      <c r="E710" s="8" t="s">
        <v>90</v>
      </c>
      <c r="F710" s="2">
        <v>2026</v>
      </c>
      <c r="G710" s="2">
        <v>830</v>
      </c>
      <c r="H710" s="2">
        <v>2029</v>
      </c>
      <c r="I710" s="2">
        <v>918</v>
      </c>
      <c r="J710" s="2" t="s">
        <v>86</v>
      </c>
      <c r="K710" s="2">
        <v>3.4</v>
      </c>
      <c r="L710" s="2">
        <v>3.4161000000000001</v>
      </c>
      <c r="M710" s="2">
        <v>1.61E-2</v>
      </c>
      <c r="N710" s="8" t="s">
        <v>11846</v>
      </c>
      <c r="O710" s="8" t="s">
        <v>11847</v>
      </c>
      <c r="P710" s="2">
        <v>2</v>
      </c>
      <c r="Q710" s="8"/>
      <c r="R710" s="8" t="s">
        <v>5166</v>
      </c>
      <c r="S710" s="8" t="str">
        <f>HYPERLINK("https://seichotoushi-hojo.jp/assets/pdf/koufu/outline__204.pdf","PDFを開く")</f>
        <v>PDFを開く</v>
      </c>
      <c r="T710" s="8" t="s">
        <v>1558</v>
      </c>
      <c r="U710" s="8" t="s">
        <v>1559</v>
      </c>
    </row>
    <row r="711" spans="1:21" ht="39.950000000000003" customHeight="1">
      <c r="A711" s="5" t="s">
        <v>1551</v>
      </c>
      <c r="B711" s="5" t="s">
        <v>1386</v>
      </c>
      <c r="C711" s="9" t="s">
        <v>1552</v>
      </c>
      <c r="D711" s="9" t="s">
        <v>3188</v>
      </c>
      <c r="E711" s="9" t="s">
        <v>90</v>
      </c>
      <c r="F711" s="5">
        <v>2026</v>
      </c>
      <c r="G711" s="5">
        <v>2688</v>
      </c>
      <c r="H711" s="5">
        <v>2029</v>
      </c>
      <c r="I711" s="5">
        <v>2938</v>
      </c>
      <c r="J711" s="5" t="s">
        <v>86</v>
      </c>
      <c r="K711" s="5">
        <v>3</v>
      </c>
      <c r="L711" s="5">
        <v>3.0087999999999999</v>
      </c>
      <c r="M711" s="5">
        <v>8.8000000000000005E-3</v>
      </c>
      <c r="N711" s="9" t="s">
        <v>11846</v>
      </c>
      <c r="O711" s="9" t="s">
        <v>11847</v>
      </c>
      <c r="P711" s="5">
        <v>2</v>
      </c>
      <c r="Q711" s="9"/>
      <c r="R711" s="9" t="s">
        <v>5168</v>
      </c>
      <c r="S711" s="9" t="str">
        <f>HYPERLINK("https://seichotoushi-hojo.jp/assets/pdf/koufu/outline__204.pdf","PDFを開く")</f>
        <v>PDFを開く</v>
      </c>
      <c r="T711" s="9" t="s">
        <v>1558</v>
      </c>
      <c r="U711" s="9" t="s">
        <v>1559</v>
      </c>
    </row>
    <row r="712" spans="1:21" ht="39.950000000000003" customHeight="1">
      <c r="A712" s="2" t="s">
        <v>1551</v>
      </c>
      <c r="B712" s="2" t="s">
        <v>1386</v>
      </c>
      <c r="C712" s="8" t="s">
        <v>1552</v>
      </c>
      <c r="D712" s="8" t="s">
        <v>3191</v>
      </c>
      <c r="E712" s="8" t="s">
        <v>92</v>
      </c>
      <c r="F712" s="2">
        <v>2026</v>
      </c>
      <c r="G712" s="2">
        <v>318</v>
      </c>
      <c r="H712" s="2">
        <v>2029</v>
      </c>
      <c r="I712" s="2">
        <v>392</v>
      </c>
      <c r="J712" s="2" t="s">
        <v>2513</v>
      </c>
      <c r="K712" s="2"/>
      <c r="L712" s="2"/>
      <c r="M712" s="2"/>
      <c r="N712" s="8" t="s">
        <v>11846</v>
      </c>
      <c r="O712" s="8" t="s">
        <v>11847</v>
      </c>
      <c r="P712" s="2">
        <v>2</v>
      </c>
      <c r="Q712" s="8"/>
      <c r="R712" s="8" t="s">
        <v>5171</v>
      </c>
      <c r="S712" s="8" t="str">
        <f>HYPERLINK("https://seichotoushi-hojo.jp/assets/pdf/koufu/outline__204.pdf","PDFを開く")</f>
        <v>PDFを開く</v>
      </c>
      <c r="T712" s="8" t="s">
        <v>1558</v>
      </c>
      <c r="U712" s="8" t="s">
        <v>1559</v>
      </c>
    </row>
    <row r="713" spans="1:21" ht="39.950000000000003" customHeight="1">
      <c r="A713" s="5" t="s">
        <v>1560</v>
      </c>
      <c r="B713" s="5" t="s">
        <v>1386</v>
      </c>
      <c r="C713" s="9" t="s">
        <v>1561</v>
      </c>
      <c r="D713" s="9" t="s">
        <v>3176</v>
      </c>
      <c r="E713" s="9" t="s">
        <v>90</v>
      </c>
      <c r="F713" s="5">
        <v>2025</v>
      </c>
      <c r="G713" s="5">
        <v>2358</v>
      </c>
      <c r="H713" s="5">
        <v>2028</v>
      </c>
      <c r="I713" s="5">
        <v>3883</v>
      </c>
      <c r="J713" s="5" t="s">
        <v>86</v>
      </c>
      <c r="K713" s="5">
        <v>18.100000000000001</v>
      </c>
      <c r="L713" s="5">
        <v>18.0886</v>
      </c>
      <c r="M713" s="5">
        <v>1.14E-2</v>
      </c>
      <c r="N713" s="9" t="s">
        <v>11846</v>
      </c>
      <c r="O713" s="9" t="s">
        <v>11847</v>
      </c>
      <c r="P713" s="5">
        <v>2</v>
      </c>
      <c r="Q713" s="9"/>
      <c r="R713" s="9" t="s">
        <v>5174</v>
      </c>
      <c r="S713" s="9" t="str">
        <f>HYPERLINK("https://seichotoushi-hojo.jp/assets/pdf/koufu/outline__205.pdf","PDFを開く")</f>
        <v>PDFを開く</v>
      </c>
      <c r="T713" s="9" t="s">
        <v>1567</v>
      </c>
      <c r="U713" s="9" t="s">
        <v>1568</v>
      </c>
    </row>
    <row r="714" spans="1:21" ht="39.950000000000003" customHeight="1">
      <c r="A714" s="2" t="s">
        <v>1560</v>
      </c>
      <c r="B714" s="2" t="s">
        <v>1386</v>
      </c>
      <c r="C714" s="8" t="s">
        <v>1561</v>
      </c>
      <c r="D714" s="8" t="s">
        <v>3184</v>
      </c>
      <c r="E714" s="8" t="s">
        <v>90</v>
      </c>
      <c r="F714" s="2">
        <v>2025</v>
      </c>
      <c r="G714" s="2">
        <v>643</v>
      </c>
      <c r="H714" s="2">
        <v>2028</v>
      </c>
      <c r="I714" s="2">
        <v>817</v>
      </c>
      <c r="J714" s="2" t="s">
        <v>86</v>
      </c>
      <c r="K714" s="2">
        <v>8.3000000000000007</v>
      </c>
      <c r="L714" s="2">
        <v>8.3104999999999993</v>
      </c>
      <c r="M714" s="2">
        <v>1.0500000000000001E-2</v>
      </c>
      <c r="N714" s="8" t="s">
        <v>11846</v>
      </c>
      <c r="O714" s="8" t="s">
        <v>11847</v>
      </c>
      <c r="P714" s="2">
        <v>2</v>
      </c>
      <c r="Q714" s="8"/>
      <c r="R714" s="8" t="s">
        <v>5177</v>
      </c>
      <c r="S714" s="8" t="str">
        <f>HYPERLINK("https://seichotoushi-hojo.jp/assets/pdf/koufu/outline__205.pdf","PDFを開く")</f>
        <v>PDFを開く</v>
      </c>
      <c r="T714" s="8" t="s">
        <v>1567</v>
      </c>
      <c r="U714" s="8" t="s">
        <v>1568</v>
      </c>
    </row>
    <row r="715" spans="1:21" ht="39.950000000000003" customHeight="1">
      <c r="A715" s="5" t="s">
        <v>1560</v>
      </c>
      <c r="B715" s="5" t="s">
        <v>1386</v>
      </c>
      <c r="C715" s="9" t="s">
        <v>1561</v>
      </c>
      <c r="D715" s="9" t="s">
        <v>3188</v>
      </c>
      <c r="E715" s="9" t="s">
        <v>90</v>
      </c>
      <c r="F715" s="5">
        <v>2025</v>
      </c>
      <c r="G715" s="5">
        <v>9988</v>
      </c>
      <c r="H715" s="5">
        <v>2028</v>
      </c>
      <c r="I715" s="5">
        <v>11057</v>
      </c>
      <c r="J715" s="5" t="s">
        <v>86</v>
      </c>
      <c r="K715" s="5">
        <v>3.4</v>
      </c>
      <c r="L715" s="5">
        <v>3.4474</v>
      </c>
      <c r="M715" s="5">
        <v>4.7399999999999998E-2</v>
      </c>
      <c r="N715" s="9" t="s">
        <v>11846</v>
      </c>
      <c r="O715" s="9" t="s">
        <v>11847</v>
      </c>
      <c r="P715" s="5">
        <v>2</v>
      </c>
      <c r="Q715" s="9"/>
      <c r="R715" s="9" t="s">
        <v>5179</v>
      </c>
      <c r="S715" s="9" t="str">
        <f>HYPERLINK("https://seichotoushi-hojo.jp/assets/pdf/koufu/outline__205.pdf","PDFを開く")</f>
        <v>PDFを開く</v>
      </c>
      <c r="T715" s="9" t="s">
        <v>1567</v>
      </c>
      <c r="U715" s="9" t="s">
        <v>1568</v>
      </c>
    </row>
    <row r="716" spans="1:21" ht="39.950000000000003" customHeight="1">
      <c r="A716" s="2" t="s">
        <v>1560</v>
      </c>
      <c r="B716" s="2" t="s">
        <v>1386</v>
      </c>
      <c r="C716" s="8" t="s">
        <v>1561</v>
      </c>
      <c r="D716" s="8" t="s">
        <v>3191</v>
      </c>
      <c r="E716" s="8" t="s">
        <v>92</v>
      </c>
      <c r="F716" s="2">
        <v>2025</v>
      </c>
      <c r="G716" s="2">
        <v>93</v>
      </c>
      <c r="H716" s="2">
        <v>2028</v>
      </c>
      <c r="I716" s="2">
        <v>101</v>
      </c>
      <c r="J716" s="2" t="s">
        <v>2513</v>
      </c>
      <c r="K716" s="2"/>
      <c r="L716" s="2"/>
      <c r="M716" s="2"/>
      <c r="N716" s="8" t="s">
        <v>11846</v>
      </c>
      <c r="O716" s="8" t="s">
        <v>11847</v>
      </c>
      <c r="P716" s="2">
        <v>2</v>
      </c>
      <c r="Q716" s="8"/>
      <c r="R716" s="8" t="s">
        <v>5182</v>
      </c>
      <c r="S716" s="8" t="str">
        <f>HYPERLINK("https://seichotoushi-hojo.jp/assets/pdf/koufu/outline__205.pdf","PDFを開く")</f>
        <v>PDFを開く</v>
      </c>
      <c r="T716" s="8" t="s">
        <v>1567</v>
      </c>
      <c r="U716" s="8" t="s">
        <v>1568</v>
      </c>
    </row>
    <row r="717" spans="1:21" ht="39.950000000000003" customHeight="1">
      <c r="A717" s="5" t="s">
        <v>1569</v>
      </c>
      <c r="B717" s="5" t="s">
        <v>1386</v>
      </c>
      <c r="C717" s="9" t="s">
        <v>1570</v>
      </c>
      <c r="D717" s="9" t="s">
        <v>3176</v>
      </c>
      <c r="E717" s="9" t="s">
        <v>90</v>
      </c>
      <c r="F717" s="5">
        <v>2026</v>
      </c>
      <c r="G717" s="5">
        <v>460</v>
      </c>
      <c r="H717" s="5">
        <v>2029</v>
      </c>
      <c r="I717" s="5">
        <v>1432</v>
      </c>
      <c r="J717" s="5" t="s">
        <v>86</v>
      </c>
      <c r="K717" s="5">
        <v>46</v>
      </c>
      <c r="L717" s="5">
        <v>46.014200000000002</v>
      </c>
      <c r="M717" s="5">
        <v>1.4200000000000001E-2</v>
      </c>
      <c r="N717" s="9" t="s">
        <v>11846</v>
      </c>
      <c r="O717" s="9" t="s">
        <v>11847</v>
      </c>
      <c r="P717" s="5">
        <v>2</v>
      </c>
      <c r="Q717" s="9"/>
      <c r="R717" s="9" t="s">
        <v>5184</v>
      </c>
      <c r="S717" s="9" t="str">
        <f>HYPERLINK("https://seichotoushi-hojo.jp/assets/pdf/koufu/outline__206.pdf","PDFを開く")</f>
        <v>PDFを開く</v>
      </c>
      <c r="T717" s="9" t="s">
        <v>1574</v>
      </c>
      <c r="U717" s="9" t="s">
        <v>1575</v>
      </c>
    </row>
    <row r="718" spans="1:21" ht="39.950000000000003" customHeight="1">
      <c r="A718" s="2" t="s">
        <v>1569</v>
      </c>
      <c r="B718" s="2" t="s">
        <v>1386</v>
      </c>
      <c r="C718" s="8" t="s">
        <v>1570</v>
      </c>
      <c r="D718" s="8" t="s">
        <v>3184</v>
      </c>
      <c r="E718" s="8" t="s">
        <v>90</v>
      </c>
      <c r="F718" s="2">
        <v>2026</v>
      </c>
      <c r="G718" s="2">
        <v>363</v>
      </c>
      <c r="H718" s="2">
        <v>2029</v>
      </c>
      <c r="I718" s="2">
        <v>436</v>
      </c>
      <c r="J718" s="2" t="s">
        <v>86</v>
      </c>
      <c r="K718" s="2">
        <v>6.3</v>
      </c>
      <c r="L718" s="2">
        <v>6.2984</v>
      </c>
      <c r="M718" s="2">
        <v>1.6000000000000001E-3</v>
      </c>
      <c r="N718" s="8" t="s">
        <v>11846</v>
      </c>
      <c r="O718" s="8" t="s">
        <v>11847</v>
      </c>
      <c r="P718" s="2">
        <v>2</v>
      </c>
      <c r="Q718" s="8"/>
      <c r="R718" s="8" t="s">
        <v>5186</v>
      </c>
      <c r="S718" s="8" t="str">
        <f>HYPERLINK("https://seichotoushi-hojo.jp/assets/pdf/koufu/outline__206.pdf","PDFを開く")</f>
        <v>PDFを開く</v>
      </c>
      <c r="T718" s="8" t="s">
        <v>1574</v>
      </c>
      <c r="U718" s="8" t="s">
        <v>1575</v>
      </c>
    </row>
    <row r="719" spans="1:21" ht="39.950000000000003" customHeight="1">
      <c r="A719" s="5" t="s">
        <v>1569</v>
      </c>
      <c r="B719" s="5" t="s">
        <v>1386</v>
      </c>
      <c r="C719" s="9" t="s">
        <v>1570</v>
      </c>
      <c r="D719" s="9" t="s">
        <v>3188</v>
      </c>
      <c r="E719" s="9" t="s">
        <v>90</v>
      </c>
      <c r="F719" s="5">
        <v>2026</v>
      </c>
      <c r="G719" s="5">
        <v>1172</v>
      </c>
      <c r="H719" s="5">
        <v>2029</v>
      </c>
      <c r="I719" s="5">
        <v>1373</v>
      </c>
      <c r="J719" s="5" t="s">
        <v>86</v>
      </c>
      <c r="K719" s="5">
        <v>5.4</v>
      </c>
      <c r="L719" s="5">
        <v>5.4179000000000004</v>
      </c>
      <c r="M719" s="5">
        <v>1.7899999999999999E-2</v>
      </c>
      <c r="N719" s="9" t="s">
        <v>11846</v>
      </c>
      <c r="O719" s="9" t="s">
        <v>11847</v>
      </c>
      <c r="P719" s="5">
        <v>2</v>
      </c>
      <c r="Q719" s="9"/>
      <c r="R719" s="9" t="s">
        <v>5188</v>
      </c>
      <c r="S719" s="9" t="str">
        <f>HYPERLINK("https://seichotoushi-hojo.jp/assets/pdf/koufu/outline__206.pdf","PDFを開く")</f>
        <v>PDFを開く</v>
      </c>
      <c r="T719" s="9" t="s">
        <v>1574</v>
      </c>
      <c r="U719" s="9" t="s">
        <v>1575</v>
      </c>
    </row>
    <row r="720" spans="1:21" ht="39.950000000000003" customHeight="1">
      <c r="A720" s="2" t="s">
        <v>1569</v>
      </c>
      <c r="B720" s="2" t="s">
        <v>1386</v>
      </c>
      <c r="C720" s="8" t="s">
        <v>1570</v>
      </c>
      <c r="D720" s="8" t="s">
        <v>3191</v>
      </c>
      <c r="E720" s="8" t="s">
        <v>92</v>
      </c>
      <c r="F720" s="2">
        <v>2026</v>
      </c>
      <c r="G720" s="2">
        <v>103</v>
      </c>
      <c r="H720" s="2">
        <v>2029</v>
      </c>
      <c r="I720" s="2">
        <v>103</v>
      </c>
      <c r="J720" s="2" t="s">
        <v>2513</v>
      </c>
      <c r="K720" s="2"/>
      <c r="L720" s="2"/>
      <c r="M720" s="2"/>
      <c r="N720" s="8" t="s">
        <v>11846</v>
      </c>
      <c r="O720" s="8" t="s">
        <v>11847</v>
      </c>
      <c r="P720" s="2">
        <v>2</v>
      </c>
      <c r="Q720" s="8"/>
      <c r="R720" s="8" t="s">
        <v>5191</v>
      </c>
      <c r="S720" s="8" t="str">
        <f>HYPERLINK("https://seichotoushi-hojo.jp/assets/pdf/koufu/outline__206.pdf","PDFを開く")</f>
        <v>PDFを開く</v>
      </c>
      <c r="T720" s="8" t="s">
        <v>1574</v>
      </c>
      <c r="U720" s="8" t="s">
        <v>1575</v>
      </c>
    </row>
    <row r="721" spans="1:21" ht="39.950000000000003" customHeight="1">
      <c r="A721" s="5" t="s">
        <v>1576</v>
      </c>
      <c r="B721" s="5" t="s">
        <v>1386</v>
      </c>
      <c r="C721" s="9" t="s">
        <v>1577</v>
      </c>
      <c r="D721" s="9" t="s">
        <v>3176</v>
      </c>
      <c r="E721" s="9" t="s">
        <v>90</v>
      </c>
      <c r="F721" s="5">
        <v>2026</v>
      </c>
      <c r="G721" s="5">
        <v>2791</v>
      </c>
      <c r="H721" s="5">
        <v>2029</v>
      </c>
      <c r="I721" s="5">
        <v>3609</v>
      </c>
      <c r="J721" s="5" t="s">
        <v>86</v>
      </c>
      <c r="K721" s="5">
        <v>8.9</v>
      </c>
      <c r="L721" s="5">
        <v>8.9453999999999994</v>
      </c>
      <c r="M721" s="5">
        <v>4.5400000000000003E-2</v>
      </c>
      <c r="N721" s="9" t="s">
        <v>11846</v>
      </c>
      <c r="O721" s="9" t="s">
        <v>11847</v>
      </c>
      <c r="P721" s="5">
        <v>2</v>
      </c>
      <c r="Q721" s="9"/>
      <c r="R721" s="9" t="s">
        <v>5193</v>
      </c>
      <c r="S721" s="9" t="str">
        <f>HYPERLINK("https://seichotoushi-hojo.jp/assets/pdf/koufu/outline__207.pdf","PDFを開く")</f>
        <v>PDFを開く</v>
      </c>
      <c r="T721" s="9" t="s">
        <v>1582</v>
      </c>
      <c r="U721" s="9" t="s">
        <v>1583</v>
      </c>
    </row>
    <row r="722" spans="1:21" ht="39.950000000000003" customHeight="1">
      <c r="A722" s="2" t="s">
        <v>1576</v>
      </c>
      <c r="B722" s="2" t="s">
        <v>1386</v>
      </c>
      <c r="C722" s="8" t="s">
        <v>1577</v>
      </c>
      <c r="D722" s="8" t="s">
        <v>3184</v>
      </c>
      <c r="E722" s="8" t="s">
        <v>90</v>
      </c>
      <c r="F722" s="2">
        <v>2026</v>
      </c>
      <c r="G722" s="2">
        <v>699</v>
      </c>
      <c r="H722" s="2">
        <v>2029</v>
      </c>
      <c r="I722" s="2">
        <v>767</v>
      </c>
      <c r="J722" s="2" t="s">
        <v>86</v>
      </c>
      <c r="K722" s="2">
        <v>3.2</v>
      </c>
      <c r="L722" s="2">
        <v>3.1429</v>
      </c>
      <c r="M722" s="2">
        <v>5.7099999999999998E-2</v>
      </c>
      <c r="N722" s="8" t="s">
        <v>11846</v>
      </c>
      <c r="O722" s="8" t="s">
        <v>11847</v>
      </c>
      <c r="P722" s="2">
        <v>2</v>
      </c>
      <c r="Q722" s="8"/>
      <c r="R722" s="8" t="s">
        <v>5196</v>
      </c>
      <c r="S722" s="8" t="str">
        <f>HYPERLINK("https://seichotoushi-hojo.jp/assets/pdf/koufu/outline__207.pdf","PDFを開く")</f>
        <v>PDFを開く</v>
      </c>
      <c r="T722" s="8" t="s">
        <v>1582</v>
      </c>
      <c r="U722" s="8" t="s">
        <v>1583</v>
      </c>
    </row>
    <row r="723" spans="1:21" ht="39.950000000000003" customHeight="1">
      <c r="A723" s="5" t="s">
        <v>1576</v>
      </c>
      <c r="B723" s="5" t="s">
        <v>1386</v>
      </c>
      <c r="C723" s="9" t="s">
        <v>1577</v>
      </c>
      <c r="D723" s="9" t="s">
        <v>3188</v>
      </c>
      <c r="E723" s="9" t="s">
        <v>90</v>
      </c>
      <c r="F723" s="5">
        <v>2026</v>
      </c>
      <c r="G723" s="5">
        <v>4662</v>
      </c>
      <c r="H723" s="5">
        <v>2029</v>
      </c>
      <c r="I723" s="5">
        <v>5397</v>
      </c>
      <c r="J723" s="5" t="s">
        <v>86</v>
      </c>
      <c r="K723" s="5">
        <v>5</v>
      </c>
      <c r="L723" s="5">
        <v>5.0010000000000003</v>
      </c>
      <c r="M723" s="5">
        <v>1E-3</v>
      </c>
      <c r="N723" s="9" t="s">
        <v>11846</v>
      </c>
      <c r="O723" s="9" t="s">
        <v>11847</v>
      </c>
      <c r="P723" s="5">
        <v>2</v>
      </c>
      <c r="Q723" s="9"/>
      <c r="R723" s="9" t="s">
        <v>5198</v>
      </c>
      <c r="S723" s="9" t="str">
        <f>HYPERLINK("https://seichotoushi-hojo.jp/assets/pdf/koufu/outline__207.pdf","PDFを開く")</f>
        <v>PDFを開く</v>
      </c>
      <c r="T723" s="9" t="s">
        <v>1582</v>
      </c>
      <c r="U723" s="9" t="s">
        <v>1583</v>
      </c>
    </row>
    <row r="724" spans="1:21" ht="39.950000000000003" customHeight="1">
      <c r="A724" s="2" t="s">
        <v>1576</v>
      </c>
      <c r="B724" s="2" t="s">
        <v>1386</v>
      </c>
      <c r="C724" s="8" t="s">
        <v>1577</v>
      </c>
      <c r="D724" s="8" t="s">
        <v>3191</v>
      </c>
      <c r="E724" s="8" t="s">
        <v>92</v>
      </c>
      <c r="F724" s="2">
        <v>2026</v>
      </c>
      <c r="G724" s="2">
        <v>180</v>
      </c>
      <c r="H724" s="2">
        <v>2029</v>
      </c>
      <c r="I724" s="2">
        <v>240</v>
      </c>
      <c r="J724" s="2" t="s">
        <v>2513</v>
      </c>
      <c r="K724" s="2"/>
      <c r="L724" s="2"/>
      <c r="M724" s="2"/>
      <c r="N724" s="8" t="s">
        <v>11846</v>
      </c>
      <c r="O724" s="8" t="s">
        <v>11847</v>
      </c>
      <c r="P724" s="2">
        <v>2</v>
      </c>
      <c r="Q724" s="8"/>
      <c r="R724" s="8" t="s">
        <v>5200</v>
      </c>
      <c r="S724" s="8" t="str">
        <f>HYPERLINK("https://seichotoushi-hojo.jp/assets/pdf/koufu/outline__207.pdf","PDFを開く")</f>
        <v>PDFを開く</v>
      </c>
      <c r="T724" s="8" t="s">
        <v>1582</v>
      </c>
      <c r="U724" s="8" t="s">
        <v>1583</v>
      </c>
    </row>
    <row r="725" spans="1:21" ht="39.950000000000003" customHeight="1">
      <c r="A725" s="5" t="s">
        <v>1584</v>
      </c>
      <c r="B725" s="5" t="s">
        <v>1386</v>
      </c>
      <c r="C725" s="9" t="s">
        <v>1585</v>
      </c>
      <c r="D725" s="9" t="s">
        <v>3176</v>
      </c>
      <c r="E725" s="9" t="s">
        <v>90</v>
      </c>
      <c r="F725" s="5">
        <v>2026</v>
      </c>
      <c r="G725" s="5">
        <v>16835</v>
      </c>
      <c r="H725" s="5">
        <v>2029</v>
      </c>
      <c r="I725" s="5">
        <v>32798</v>
      </c>
      <c r="J725" s="5" t="s">
        <v>447</v>
      </c>
      <c r="K725" s="5">
        <v>24.9</v>
      </c>
      <c r="L725" s="5">
        <v>24.8949</v>
      </c>
      <c r="M725" s="5">
        <v>5.1000000000000004E-3</v>
      </c>
      <c r="N725" s="9" t="s">
        <v>11846</v>
      </c>
      <c r="O725" s="9" t="s">
        <v>11852</v>
      </c>
      <c r="P725" s="5">
        <v>2</v>
      </c>
      <c r="Q725" s="9"/>
      <c r="R725" s="9" t="s">
        <v>5202</v>
      </c>
      <c r="S725" s="9" t="str">
        <f>HYPERLINK("https://seichotoushi-hojo.jp/assets/pdf/koufu/outline__208.pdf","PDFを開く")</f>
        <v>PDFを開く</v>
      </c>
      <c r="T725" s="9" t="s">
        <v>1592</v>
      </c>
      <c r="U725" s="9" t="s">
        <v>1593</v>
      </c>
    </row>
    <row r="726" spans="1:21" ht="39.950000000000003" customHeight="1">
      <c r="A726" s="2" t="s">
        <v>1584</v>
      </c>
      <c r="B726" s="2" t="s">
        <v>1386</v>
      </c>
      <c r="C726" s="8" t="s">
        <v>1585</v>
      </c>
      <c r="D726" s="8" t="s">
        <v>3184</v>
      </c>
      <c r="E726" s="8" t="s">
        <v>90</v>
      </c>
      <c r="F726" s="2">
        <v>2026</v>
      </c>
      <c r="G726" s="2">
        <v>7097</v>
      </c>
      <c r="H726" s="2">
        <v>2029</v>
      </c>
      <c r="I726" s="2">
        <v>8215</v>
      </c>
      <c r="J726" s="2" t="s">
        <v>447</v>
      </c>
      <c r="K726" s="2">
        <v>5</v>
      </c>
      <c r="L726" s="2">
        <v>4.9972000000000003</v>
      </c>
      <c r="M726" s="2">
        <v>2.8E-3</v>
      </c>
      <c r="N726" s="8" t="s">
        <v>11846</v>
      </c>
      <c r="O726" s="8" t="s">
        <v>11852</v>
      </c>
      <c r="P726" s="2">
        <v>2</v>
      </c>
      <c r="Q726" s="8"/>
      <c r="R726" s="8" t="s">
        <v>5209</v>
      </c>
      <c r="S726" s="8" t="str">
        <f>HYPERLINK("https://seichotoushi-hojo.jp/assets/pdf/koufu/outline__208.pdf","PDFを開く")</f>
        <v>PDFを開く</v>
      </c>
      <c r="T726" s="8" t="s">
        <v>1592</v>
      </c>
      <c r="U726" s="8" t="s">
        <v>1593</v>
      </c>
    </row>
    <row r="727" spans="1:21" ht="39.950000000000003" customHeight="1">
      <c r="A727" s="5" t="s">
        <v>1584</v>
      </c>
      <c r="B727" s="5" t="s">
        <v>1386</v>
      </c>
      <c r="C727" s="9" t="s">
        <v>1585</v>
      </c>
      <c r="D727" s="9" t="s">
        <v>3188</v>
      </c>
      <c r="E727" s="9" t="s">
        <v>156</v>
      </c>
      <c r="F727" s="5"/>
      <c r="G727" s="5"/>
      <c r="H727" s="5"/>
      <c r="I727" s="5"/>
      <c r="J727" s="5"/>
      <c r="K727" s="5"/>
      <c r="L727" s="5"/>
      <c r="M727" s="5"/>
      <c r="N727" s="9" t="s">
        <v>11850</v>
      </c>
      <c r="O727" s="9"/>
      <c r="P727" s="5"/>
      <c r="Q727" s="9" t="s">
        <v>11851</v>
      </c>
      <c r="R727" s="9"/>
      <c r="S727" s="9" t="str">
        <f>HYPERLINK("https://seichotoushi-hojo.jp/assets/pdf/koufu/outline__208.pdf","PDFを開く")</f>
        <v>PDFを開く</v>
      </c>
      <c r="T727" s="9" t="s">
        <v>1592</v>
      </c>
      <c r="U727" s="9" t="s">
        <v>1593</v>
      </c>
    </row>
    <row r="728" spans="1:21" ht="39.950000000000003" customHeight="1">
      <c r="A728" s="2" t="s">
        <v>1584</v>
      </c>
      <c r="B728" s="2" t="s">
        <v>1386</v>
      </c>
      <c r="C728" s="8" t="s">
        <v>1585</v>
      </c>
      <c r="D728" s="8" t="s">
        <v>3191</v>
      </c>
      <c r="E728" s="8" t="s">
        <v>92</v>
      </c>
      <c r="F728" s="2">
        <v>2026</v>
      </c>
      <c r="G728" s="2">
        <v>736</v>
      </c>
      <c r="H728" s="2">
        <v>2029</v>
      </c>
      <c r="I728" s="2">
        <v>736</v>
      </c>
      <c r="J728" s="2" t="s">
        <v>2513</v>
      </c>
      <c r="K728" s="2"/>
      <c r="L728" s="2"/>
      <c r="M728" s="2"/>
      <c r="N728" s="8" t="s">
        <v>11846</v>
      </c>
      <c r="O728" s="8" t="s">
        <v>11852</v>
      </c>
      <c r="P728" s="2">
        <v>2</v>
      </c>
      <c r="Q728" s="8"/>
      <c r="R728" s="8" t="s">
        <v>5216</v>
      </c>
      <c r="S728" s="8" t="str">
        <f>HYPERLINK("https://seichotoushi-hojo.jp/assets/pdf/koufu/outline__208.pdf","PDFを開く")</f>
        <v>PDFを開く</v>
      </c>
      <c r="T728" s="8" t="s">
        <v>1592</v>
      </c>
      <c r="U728" s="8" t="s">
        <v>1593</v>
      </c>
    </row>
    <row r="729" spans="1:21" ht="39.950000000000003" customHeight="1">
      <c r="A729" s="5" t="s">
        <v>1594</v>
      </c>
      <c r="B729" s="5" t="s">
        <v>1595</v>
      </c>
      <c r="C729" s="9" t="s">
        <v>1596</v>
      </c>
      <c r="D729" s="9" t="s">
        <v>3176</v>
      </c>
      <c r="E729" s="9" t="s">
        <v>90</v>
      </c>
      <c r="F729" s="5">
        <v>2028</v>
      </c>
      <c r="G729" s="5">
        <v>2241</v>
      </c>
      <c r="H729" s="5">
        <v>2031</v>
      </c>
      <c r="I729" s="5">
        <v>3070</v>
      </c>
      <c r="J729" s="5" t="s">
        <v>86</v>
      </c>
      <c r="K729" s="5">
        <v>11.1</v>
      </c>
      <c r="L729" s="5">
        <v>11.061999999999999</v>
      </c>
      <c r="M729" s="5">
        <v>3.7999999999999999E-2</v>
      </c>
      <c r="N729" s="9" t="s">
        <v>11846</v>
      </c>
      <c r="O729" s="9" t="s">
        <v>11847</v>
      </c>
      <c r="P729" s="5">
        <v>2</v>
      </c>
      <c r="Q729" s="9"/>
      <c r="R729" s="9" t="s">
        <v>5219</v>
      </c>
      <c r="S729" s="9" t="str">
        <f>HYPERLINK("https://seichotoushi-hojo.jp/assets/pdf/koufu_3_4ji/outline_1.pdf","PDFを開く")</f>
        <v>PDFを開く</v>
      </c>
      <c r="T729" s="9" t="s">
        <v>1601</v>
      </c>
      <c r="U729" s="9" t="s">
        <v>1602</v>
      </c>
    </row>
    <row r="730" spans="1:21" ht="39.950000000000003" customHeight="1">
      <c r="A730" s="2" t="s">
        <v>1594</v>
      </c>
      <c r="B730" s="2" t="s">
        <v>1595</v>
      </c>
      <c r="C730" s="8" t="s">
        <v>1596</v>
      </c>
      <c r="D730" s="8" t="s">
        <v>3184</v>
      </c>
      <c r="E730" s="8" t="s">
        <v>90</v>
      </c>
      <c r="F730" s="2">
        <v>2028</v>
      </c>
      <c r="G730" s="2">
        <v>718</v>
      </c>
      <c r="H730" s="2">
        <v>2031</v>
      </c>
      <c r="I730" s="2">
        <v>831</v>
      </c>
      <c r="J730" s="2" t="s">
        <v>86</v>
      </c>
      <c r="K730" s="2">
        <v>5</v>
      </c>
      <c r="L730" s="2">
        <v>4.9926000000000004</v>
      </c>
      <c r="M730" s="2">
        <v>7.4000000000000003E-3</v>
      </c>
      <c r="N730" s="8" t="s">
        <v>11846</v>
      </c>
      <c r="O730" s="8" t="s">
        <v>11847</v>
      </c>
      <c r="P730" s="2">
        <v>2</v>
      </c>
      <c r="Q730" s="8"/>
      <c r="R730" s="8" t="s">
        <v>5222</v>
      </c>
      <c r="S730" s="8" t="str">
        <f>HYPERLINK("https://seichotoushi-hojo.jp/assets/pdf/koufu_3_4ji/outline_1.pdf","PDFを開く")</f>
        <v>PDFを開く</v>
      </c>
      <c r="T730" s="8" t="s">
        <v>1601</v>
      </c>
      <c r="U730" s="8" t="s">
        <v>1602</v>
      </c>
    </row>
    <row r="731" spans="1:21" ht="39.950000000000003" customHeight="1">
      <c r="A731" s="5" t="s">
        <v>1594</v>
      </c>
      <c r="B731" s="5" t="s">
        <v>1595</v>
      </c>
      <c r="C731" s="9" t="s">
        <v>1596</v>
      </c>
      <c r="D731" s="9" t="s">
        <v>3188</v>
      </c>
      <c r="E731" s="9" t="s">
        <v>91</v>
      </c>
      <c r="F731" s="5">
        <v>2028</v>
      </c>
      <c r="G731" s="5"/>
      <c r="H731" s="5">
        <v>2031</v>
      </c>
      <c r="I731" s="5"/>
      <c r="J731" s="5" t="s">
        <v>86</v>
      </c>
      <c r="K731" s="5">
        <v>5</v>
      </c>
      <c r="L731" s="5"/>
      <c r="M731" s="5"/>
      <c r="N731" s="9" t="s">
        <v>11846</v>
      </c>
      <c r="O731" s="9" t="s">
        <v>11848</v>
      </c>
      <c r="P731" s="5">
        <v>2</v>
      </c>
      <c r="Q731" s="9"/>
      <c r="R731" s="9" t="s">
        <v>3382</v>
      </c>
      <c r="S731" s="9" t="str">
        <f>HYPERLINK("https://seichotoushi-hojo.jp/assets/pdf/koufu_3_4ji/outline_1.pdf","PDFを開く")</f>
        <v>PDFを開く</v>
      </c>
      <c r="T731" s="9" t="s">
        <v>1601</v>
      </c>
      <c r="U731" s="9" t="s">
        <v>1602</v>
      </c>
    </row>
    <row r="732" spans="1:21" ht="39.950000000000003" customHeight="1">
      <c r="A732" s="2" t="s">
        <v>1594</v>
      </c>
      <c r="B732" s="2" t="s">
        <v>1595</v>
      </c>
      <c r="C732" s="8" t="s">
        <v>1596</v>
      </c>
      <c r="D732" s="8" t="s">
        <v>3191</v>
      </c>
      <c r="E732" s="8" t="s">
        <v>92</v>
      </c>
      <c r="F732" s="2">
        <v>2028</v>
      </c>
      <c r="G732" s="2">
        <v>350</v>
      </c>
      <c r="H732" s="2">
        <v>2031</v>
      </c>
      <c r="I732" s="2">
        <v>380</v>
      </c>
      <c r="J732" s="2" t="s">
        <v>2513</v>
      </c>
      <c r="K732" s="2"/>
      <c r="L732" s="2"/>
      <c r="M732" s="2"/>
      <c r="N732" s="8" t="s">
        <v>11846</v>
      </c>
      <c r="O732" s="8" t="s">
        <v>11847</v>
      </c>
      <c r="P732" s="2">
        <v>2</v>
      </c>
      <c r="Q732" s="8"/>
      <c r="R732" s="8" t="s">
        <v>5225</v>
      </c>
      <c r="S732" s="8" t="str">
        <f>HYPERLINK("https://seichotoushi-hojo.jp/assets/pdf/koufu_3_4ji/outline_1.pdf","PDFを開く")</f>
        <v>PDFを開く</v>
      </c>
      <c r="T732" s="8" t="s">
        <v>1601</v>
      </c>
      <c r="U732" s="8" t="s">
        <v>1602</v>
      </c>
    </row>
    <row r="733" spans="1:21" ht="39.950000000000003" customHeight="1">
      <c r="A733" s="5" t="s">
        <v>1603</v>
      </c>
      <c r="B733" s="5" t="s">
        <v>1595</v>
      </c>
      <c r="C733" s="9" t="s">
        <v>1604</v>
      </c>
      <c r="D733" s="9" t="s">
        <v>3176</v>
      </c>
      <c r="E733" s="9" t="s">
        <v>90</v>
      </c>
      <c r="F733" s="5">
        <v>2027</v>
      </c>
      <c r="G733" s="5">
        <v>1385</v>
      </c>
      <c r="H733" s="5">
        <v>2030</v>
      </c>
      <c r="I733" s="5">
        <v>3010</v>
      </c>
      <c r="J733" s="5" t="s">
        <v>86</v>
      </c>
      <c r="K733" s="5">
        <v>29.5</v>
      </c>
      <c r="L733" s="5">
        <v>29.5306</v>
      </c>
      <c r="M733" s="5">
        <v>3.0599999999999999E-2</v>
      </c>
      <c r="N733" s="9" t="s">
        <v>11846</v>
      </c>
      <c r="O733" s="9" t="s">
        <v>11852</v>
      </c>
      <c r="P733" s="5">
        <v>2</v>
      </c>
      <c r="Q733" s="9"/>
      <c r="R733" s="9" t="s">
        <v>5230</v>
      </c>
      <c r="S733" s="9" t="str">
        <f>HYPERLINK("https://seichotoushi-hojo.jp/assets/pdf/koufu_3_4ji/outline_101.pdf","PDFを開く")</f>
        <v>PDFを開く</v>
      </c>
      <c r="T733" s="9" t="s">
        <v>1607</v>
      </c>
      <c r="U733" s="9" t="s">
        <v>1608</v>
      </c>
    </row>
    <row r="734" spans="1:21" ht="39.950000000000003" customHeight="1">
      <c r="A734" s="2" t="s">
        <v>1603</v>
      </c>
      <c r="B734" s="2" t="s">
        <v>1595</v>
      </c>
      <c r="C734" s="8" t="s">
        <v>1604</v>
      </c>
      <c r="D734" s="8" t="s">
        <v>3184</v>
      </c>
      <c r="E734" s="8" t="s">
        <v>90</v>
      </c>
      <c r="F734" s="2">
        <v>2027</v>
      </c>
      <c r="G734" s="2">
        <v>676</v>
      </c>
      <c r="H734" s="2">
        <v>2030</v>
      </c>
      <c r="I734" s="2">
        <v>828</v>
      </c>
      <c r="J734" s="2" t="s">
        <v>86</v>
      </c>
      <c r="K734" s="2">
        <v>7</v>
      </c>
      <c r="L734" s="2">
        <v>6.9943999999999997</v>
      </c>
      <c r="M734" s="2">
        <v>5.5999999999999999E-3</v>
      </c>
      <c r="N734" s="8" t="s">
        <v>11846</v>
      </c>
      <c r="O734" s="8" t="s">
        <v>11852</v>
      </c>
      <c r="P734" s="2">
        <v>2</v>
      </c>
      <c r="Q734" s="8"/>
      <c r="R734" s="8" t="s">
        <v>5234</v>
      </c>
      <c r="S734" s="8" t="str">
        <f>HYPERLINK("https://seichotoushi-hojo.jp/assets/pdf/koufu_3_4ji/outline_101.pdf","PDFを開く")</f>
        <v>PDFを開く</v>
      </c>
      <c r="T734" s="8" t="s">
        <v>1607</v>
      </c>
      <c r="U734" s="8" t="s">
        <v>1608</v>
      </c>
    </row>
    <row r="735" spans="1:21" ht="39.950000000000003" customHeight="1">
      <c r="A735" s="5" t="s">
        <v>1603</v>
      </c>
      <c r="B735" s="5" t="s">
        <v>1595</v>
      </c>
      <c r="C735" s="9" t="s">
        <v>1604</v>
      </c>
      <c r="D735" s="9" t="s">
        <v>3188</v>
      </c>
      <c r="E735" s="9" t="s">
        <v>90</v>
      </c>
      <c r="F735" s="5">
        <v>2027</v>
      </c>
      <c r="G735" s="5">
        <v>1874</v>
      </c>
      <c r="H735" s="5">
        <v>2030</v>
      </c>
      <c r="I735" s="5">
        <v>2169</v>
      </c>
      <c r="J735" s="5" t="s">
        <v>86</v>
      </c>
      <c r="K735" s="5">
        <v>5</v>
      </c>
      <c r="L735" s="5">
        <v>4.9936999999999996</v>
      </c>
      <c r="M735" s="5">
        <v>6.3E-3</v>
      </c>
      <c r="N735" s="9" t="s">
        <v>11846</v>
      </c>
      <c r="O735" s="9" t="s">
        <v>11852</v>
      </c>
      <c r="P735" s="5">
        <v>2</v>
      </c>
      <c r="Q735" s="9"/>
      <c r="R735" s="9" t="s">
        <v>5237</v>
      </c>
      <c r="S735" s="9" t="str">
        <f>HYPERLINK("https://seichotoushi-hojo.jp/assets/pdf/koufu_3_4ji/outline_101.pdf","PDFを開く")</f>
        <v>PDFを開く</v>
      </c>
      <c r="T735" s="9" t="s">
        <v>1607</v>
      </c>
      <c r="U735" s="9" t="s">
        <v>1608</v>
      </c>
    </row>
    <row r="736" spans="1:21" ht="39.950000000000003" customHeight="1">
      <c r="A736" s="2" t="s">
        <v>1603</v>
      </c>
      <c r="B736" s="2" t="s">
        <v>1595</v>
      </c>
      <c r="C736" s="8" t="s">
        <v>1604</v>
      </c>
      <c r="D736" s="8" t="s">
        <v>3191</v>
      </c>
      <c r="E736" s="8" t="s">
        <v>92</v>
      </c>
      <c r="F736" s="2">
        <v>2027</v>
      </c>
      <c r="G736" s="2">
        <v>112</v>
      </c>
      <c r="H736" s="2">
        <v>2030</v>
      </c>
      <c r="I736" s="2">
        <v>122</v>
      </c>
      <c r="J736" s="2" t="s">
        <v>2513</v>
      </c>
      <c r="K736" s="2"/>
      <c r="L736" s="2"/>
      <c r="M736" s="2"/>
      <c r="N736" s="8" t="s">
        <v>11846</v>
      </c>
      <c r="O736" s="8" t="s">
        <v>11852</v>
      </c>
      <c r="P736" s="2">
        <v>2</v>
      </c>
      <c r="Q736" s="8"/>
      <c r="R736" s="8" t="s">
        <v>5239</v>
      </c>
      <c r="S736" s="8" t="str">
        <f>HYPERLINK("https://seichotoushi-hojo.jp/assets/pdf/koufu_3_4ji/outline_101.pdf","PDFを開く")</f>
        <v>PDFを開く</v>
      </c>
      <c r="T736" s="8" t="s">
        <v>1607</v>
      </c>
      <c r="U736" s="8" t="s">
        <v>1608</v>
      </c>
    </row>
    <row r="737" spans="1:21" ht="39.950000000000003" customHeight="1">
      <c r="A737" s="5" t="s">
        <v>1609</v>
      </c>
      <c r="B737" s="5" t="s">
        <v>1595</v>
      </c>
      <c r="C737" s="9" t="s">
        <v>1610</v>
      </c>
      <c r="D737" s="9" t="s">
        <v>3176</v>
      </c>
      <c r="E737" s="9" t="s">
        <v>166</v>
      </c>
      <c r="F737" s="5">
        <v>2027</v>
      </c>
      <c r="G737" s="5">
        <v>2036</v>
      </c>
      <c r="H737" s="5">
        <v>2030</v>
      </c>
      <c r="I737" s="5">
        <v>3672</v>
      </c>
      <c r="J737" s="5" t="s">
        <v>86</v>
      </c>
      <c r="K737" s="5">
        <v>21.7</v>
      </c>
      <c r="L737" s="5">
        <v>21.723600000000001</v>
      </c>
      <c r="M737" s="5">
        <v>2.3599999999999999E-2</v>
      </c>
      <c r="N737" s="9" t="s">
        <v>11846</v>
      </c>
      <c r="O737" s="9" t="s">
        <v>292</v>
      </c>
      <c r="P737" s="5">
        <v>2</v>
      </c>
      <c r="Q737" s="9"/>
      <c r="R737" s="9" t="s">
        <v>5242</v>
      </c>
      <c r="S737" s="9" t="str">
        <f>HYPERLINK("https://seichotoushi-hojo.jp/assets/pdf/koufu_3_4ji/outline_103.pdf","PDFを開く")</f>
        <v>PDFを開く</v>
      </c>
      <c r="T737" s="9" t="s">
        <v>1615</v>
      </c>
      <c r="U737" s="9" t="s">
        <v>1616</v>
      </c>
    </row>
    <row r="738" spans="1:21" ht="39.950000000000003" customHeight="1">
      <c r="A738" s="2" t="s">
        <v>1609</v>
      </c>
      <c r="B738" s="2" t="s">
        <v>1595</v>
      </c>
      <c r="C738" s="8" t="s">
        <v>1610</v>
      </c>
      <c r="D738" s="8" t="s">
        <v>3184</v>
      </c>
      <c r="E738" s="8" t="s">
        <v>166</v>
      </c>
      <c r="F738" s="2">
        <v>2027</v>
      </c>
      <c r="G738" s="2">
        <v>410</v>
      </c>
      <c r="H738" s="2">
        <v>2030</v>
      </c>
      <c r="I738" s="2">
        <v>516</v>
      </c>
      <c r="J738" s="2" t="s">
        <v>86</v>
      </c>
      <c r="K738" s="2">
        <v>8</v>
      </c>
      <c r="L738" s="2">
        <v>7.9664000000000001</v>
      </c>
      <c r="M738" s="2">
        <v>3.3599999999999998E-2</v>
      </c>
      <c r="N738" s="8" t="s">
        <v>11846</v>
      </c>
      <c r="O738" s="8" t="s">
        <v>292</v>
      </c>
      <c r="P738" s="2">
        <v>2</v>
      </c>
      <c r="Q738" s="8"/>
      <c r="R738" s="8" t="s">
        <v>5244</v>
      </c>
      <c r="S738" s="8" t="str">
        <f>HYPERLINK("https://seichotoushi-hojo.jp/assets/pdf/koufu_3_4ji/outline_103.pdf","PDFを開く")</f>
        <v>PDFを開く</v>
      </c>
      <c r="T738" s="8" t="s">
        <v>1615</v>
      </c>
      <c r="U738" s="8" t="s">
        <v>1616</v>
      </c>
    </row>
    <row r="739" spans="1:21" ht="39.950000000000003" customHeight="1">
      <c r="A739" s="5" t="s">
        <v>1609</v>
      </c>
      <c r="B739" s="5" t="s">
        <v>1595</v>
      </c>
      <c r="C739" s="9" t="s">
        <v>1610</v>
      </c>
      <c r="D739" s="9" t="s">
        <v>3188</v>
      </c>
      <c r="E739" s="9" t="s">
        <v>157</v>
      </c>
      <c r="F739" s="5"/>
      <c r="G739" s="5"/>
      <c r="H739" s="5"/>
      <c r="I739" s="5"/>
      <c r="J739" s="5"/>
      <c r="K739" s="5"/>
      <c r="L739" s="5"/>
      <c r="M739" s="5"/>
      <c r="N739" s="9" t="s">
        <v>11850</v>
      </c>
      <c r="O739" s="9"/>
      <c r="P739" s="5"/>
      <c r="Q739" s="9" t="s">
        <v>11851</v>
      </c>
      <c r="R739" s="9"/>
      <c r="S739" s="9" t="str">
        <f>HYPERLINK("https://seichotoushi-hojo.jp/assets/pdf/koufu_3_4ji/outline_103.pdf","PDFを開く")</f>
        <v>PDFを開く</v>
      </c>
      <c r="T739" s="9" t="s">
        <v>1615</v>
      </c>
      <c r="U739" s="9" t="s">
        <v>1616</v>
      </c>
    </row>
    <row r="740" spans="1:21" ht="39.950000000000003" customHeight="1">
      <c r="A740" s="2" t="s">
        <v>1609</v>
      </c>
      <c r="B740" s="2" t="s">
        <v>1595</v>
      </c>
      <c r="C740" s="8" t="s">
        <v>1610</v>
      </c>
      <c r="D740" s="8" t="s">
        <v>3191</v>
      </c>
      <c r="E740" s="8" t="s">
        <v>166</v>
      </c>
      <c r="F740" s="2">
        <v>2027</v>
      </c>
      <c r="G740" s="2">
        <v>100</v>
      </c>
      <c r="H740" s="2">
        <v>2030</v>
      </c>
      <c r="I740" s="2">
        <v>125</v>
      </c>
      <c r="J740" s="2" t="s">
        <v>2513</v>
      </c>
      <c r="K740" s="2"/>
      <c r="L740" s="2"/>
      <c r="M740" s="2"/>
      <c r="N740" s="8" t="s">
        <v>11846</v>
      </c>
      <c r="O740" s="8" t="s">
        <v>292</v>
      </c>
      <c r="P740" s="2">
        <v>2</v>
      </c>
      <c r="Q740" s="8"/>
      <c r="R740" s="8" t="s">
        <v>5245</v>
      </c>
      <c r="S740" s="8" t="str">
        <f>HYPERLINK("https://seichotoushi-hojo.jp/assets/pdf/koufu_3_4ji/outline_103.pdf","PDFを開く")</f>
        <v>PDFを開く</v>
      </c>
      <c r="T740" s="8" t="s">
        <v>1615</v>
      </c>
      <c r="U740" s="8" t="s">
        <v>1616</v>
      </c>
    </row>
    <row r="741" spans="1:21" ht="39.950000000000003" customHeight="1">
      <c r="A741" s="5" t="s">
        <v>1617</v>
      </c>
      <c r="B741" s="5" t="s">
        <v>1595</v>
      </c>
      <c r="C741" s="9" t="s">
        <v>1618</v>
      </c>
      <c r="D741" s="9" t="s">
        <v>3176</v>
      </c>
      <c r="E741" s="9" t="s">
        <v>90</v>
      </c>
      <c r="F741" s="5">
        <v>2027</v>
      </c>
      <c r="G741" s="5">
        <v>416</v>
      </c>
      <c r="H741" s="5">
        <v>2030</v>
      </c>
      <c r="I741" s="5">
        <v>660</v>
      </c>
      <c r="J741" s="5" t="s">
        <v>86</v>
      </c>
      <c r="K741" s="5">
        <v>16.7</v>
      </c>
      <c r="L741" s="5">
        <v>16.631799999999998</v>
      </c>
      <c r="M741" s="5">
        <v>6.8199999999999997E-2</v>
      </c>
      <c r="N741" s="9" t="s">
        <v>11846</v>
      </c>
      <c r="O741" s="9" t="s">
        <v>11847</v>
      </c>
      <c r="P741" s="5">
        <v>3</v>
      </c>
      <c r="Q741" s="9"/>
      <c r="R741" s="9" t="s">
        <v>5247</v>
      </c>
      <c r="S741" s="9" t="str">
        <f>HYPERLINK("https://seichotoushi-hojo.jp/assets/pdf/koufu_3_4ji/outline_104.pdf","PDFを開く")</f>
        <v>PDFを開く</v>
      </c>
      <c r="T741" s="9" t="s">
        <v>1623</v>
      </c>
      <c r="U741" s="9" t="s">
        <v>1624</v>
      </c>
    </row>
    <row r="742" spans="1:21" ht="39.950000000000003" customHeight="1">
      <c r="A742" s="2" t="s">
        <v>1617</v>
      </c>
      <c r="B742" s="2" t="s">
        <v>1595</v>
      </c>
      <c r="C742" s="8" t="s">
        <v>1618</v>
      </c>
      <c r="D742" s="8" t="s">
        <v>3184</v>
      </c>
      <c r="E742" s="8" t="s">
        <v>90</v>
      </c>
      <c r="F742" s="2">
        <v>2027</v>
      </c>
      <c r="G742" s="2">
        <v>314</v>
      </c>
      <c r="H742" s="2">
        <v>2030</v>
      </c>
      <c r="I742" s="2">
        <v>374</v>
      </c>
      <c r="J742" s="2" t="s">
        <v>86</v>
      </c>
      <c r="K742" s="2">
        <v>6</v>
      </c>
      <c r="L742" s="2">
        <v>6.0019999999999998</v>
      </c>
      <c r="M742" s="2">
        <v>2E-3</v>
      </c>
      <c r="N742" s="8" t="s">
        <v>11846</v>
      </c>
      <c r="O742" s="8" t="s">
        <v>11847</v>
      </c>
      <c r="P742" s="2">
        <v>3</v>
      </c>
      <c r="Q742" s="8"/>
      <c r="R742" s="8" t="s">
        <v>5249</v>
      </c>
      <c r="S742" s="8" t="str">
        <f>HYPERLINK("https://seichotoushi-hojo.jp/assets/pdf/koufu_3_4ji/outline_104.pdf","PDFを開く")</f>
        <v>PDFを開く</v>
      </c>
      <c r="T742" s="8" t="s">
        <v>1623</v>
      </c>
      <c r="U742" s="8" t="s">
        <v>1624</v>
      </c>
    </row>
    <row r="743" spans="1:21" ht="39.950000000000003" customHeight="1">
      <c r="A743" s="5" t="s">
        <v>1617</v>
      </c>
      <c r="B743" s="5" t="s">
        <v>1595</v>
      </c>
      <c r="C743" s="9" t="s">
        <v>1618</v>
      </c>
      <c r="D743" s="9" t="s">
        <v>3188</v>
      </c>
      <c r="E743" s="9" t="s">
        <v>156</v>
      </c>
      <c r="F743" s="5"/>
      <c r="G743" s="5"/>
      <c r="H743" s="5"/>
      <c r="I743" s="5"/>
      <c r="J743" s="5"/>
      <c r="K743" s="5"/>
      <c r="L743" s="5"/>
      <c r="M743" s="5"/>
      <c r="N743" s="9" t="s">
        <v>11850</v>
      </c>
      <c r="O743" s="9"/>
      <c r="P743" s="5"/>
      <c r="Q743" s="9" t="s">
        <v>11851</v>
      </c>
      <c r="R743" s="9"/>
      <c r="S743" s="9" t="str">
        <f>HYPERLINK("https://seichotoushi-hojo.jp/assets/pdf/koufu_3_4ji/outline_104.pdf","PDFを開く")</f>
        <v>PDFを開く</v>
      </c>
      <c r="T743" s="9" t="s">
        <v>1623</v>
      </c>
      <c r="U743" s="9" t="s">
        <v>1624</v>
      </c>
    </row>
    <row r="744" spans="1:21" ht="39.950000000000003" customHeight="1">
      <c r="A744" s="2" t="s">
        <v>1617</v>
      </c>
      <c r="B744" s="2" t="s">
        <v>1595</v>
      </c>
      <c r="C744" s="8" t="s">
        <v>1618</v>
      </c>
      <c r="D744" s="8" t="s">
        <v>3191</v>
      </c>
      <c r="E744" s="8" t="s">
        <v>92</v>
      </c>
      <c r="F744" s="2">
        <v>2027</v>
      </c>
      <c r="G744" s="2">
        <v>685</v>
      </c>
      <c r="H744" s="2">
        <v>2030</v>
      </c>
      <c r="I744" s="2">
        <v>795</v>
      </c>
      <c r="J744" s="2" t="s">
        <v>2513</v>
      </c>
      <c r="K744" s="2"/>
      <c r="L744" s="2"/>
      <c r="M744" s="2"/>
      <c r="N744" s="8" t="s">
        <v>11846</v>
      </c>
      <c r="O744" s="8" t="s">
        <v>11847</v>
      </c>
      <c r="P744" s="2">
        <v>3</v>
      </c>
      <c r="Q744" s="8"/>
      <c r="R744" s="8" t="s">
        <v>5251</v>
      </c>
      <c r="S744" s="8" t="str">
        <f>HYPERLINK("https://seichotoushi-hojo.jp/assets/pdf/koufu_3_4ji/outline_104.pdf","PDFを開く")</f>
        <v>PDFを開く</v>
      </c>
      <c r="T744" s="8" t="s">
        <v>1623</v>
      </c>
      <c r="U744" s="8" t="s">
        <v>1624</v>
      </c>
    </row>
    <row r="745" spans="1:21" ht="39.950000000000003" customHeight="1">
      <c r="A745" s="5" t="s">
        <v>1625</v>
      </c>
      <c r="B745" s="5" t="s">
        <v>1595</v>
      </c>
      <c r="C745" s="9" t="s">
        <v>1626</v>
      </c>
      <c r="D745" s="9" t="s">
        <v>3176</v>
      </c>
      <c r="E745" s="9" t="s">
        <v>90</v>
      </c>
      <c r="F745" s="5">
        <v>2027</v>
      </c>
      <c r="G745" s="5">
        <v>1190</v>
      </c>
      <c r="H745" s="5">
        <v>2030</v>
      </c>
      <c r="I745" s="5">
        <v>1385</v>
      </c>
      <c r="J745" s="5" t="s">
        <v>86</v>
      </c>
      <c r="K745" s="5">
        <v>5.2</v>
      </c>
      <c r="L745" s="5">
        <v>5.1882999999999999</v>
      </c>
      <c r="M745" s="5">
        <v>1.17E-2</v>
      </c>
      <c r="N745" s="9" t="s">
        <v>11846</v>
      </c>
      <c r="O745" s="9" t="s">
        <v>11847</v>
      </c>
      <c r="P745" s="5">
        <v>2</v>
      </c>
      <c r="Q745" s="9"/>
      <c r="R745" s="9" t="s">
        <v>5253</v>
      </c>
      <c r="S745" s="9" t="str">
        <f>HYPERLINK("https://seichotoushi-hojo.jp/assets/pdf/koufu_3_4ji/outline_105.pdf","PDFを開く")</f>
        <v>PDFを開く</v>
      </c>
      <c r="T745" s="9" t="s">
        <v>1630</v>
      </c>
      <c r="U745" s="9" t="s">
        <v>1631</v>
      </c>
    </row>
    <row r="746" spans="1:21" ht="39.950000000000003" customHeight="1">
      <c r="A746" s="2" t="s">
        <v>1625</v>
      </c>
      <c r="B746" s="2" t="s">
        <v>1595</v>
      </c>
      <c r="C746" s="8" t="s">
        <v>1626</v>
      </c>
      <c r="D746" s="8" t="s">
        <v>3184</v>
      </c>
      <c r="E746" s="8" t="s">
        <v>90</v>
      </c>
      <c r="F746" s="2">
        <v>2027</v>
      </c>
      <c r="G746" s="2">
        <v>502</v>
      </c>
      <c r="H746" s="2">
        <v>2030</v>
      </c>
      <c r="I746" s="2">
        <v>589</v>
      </c>
      <c r="J746" s="2" t="s">
        <v>86</v>
      </c>
      <c r="K746" s="2">
        <v>5.5</v>
      </c>
      <c r="L746" s="2">
        <v>5.4720000000000004</v>
      </c>
      <c r="M746" s="2">
        <v>2.8000000000000001E-2</v>
      </c>
      <c r="N746" s="8" t="s">
        <v>11846</v>
      </c>
      <c r="O746" s="8" t="s">
        <v>11852</v>
      </c>
      <c r="P746" s="2">
        <v>2</v>
      </c>
      <c r="Q746" s="8"/>
      <c r="R746" s="8" t="s">
        <v>5254</v>
      </c>
      <c r="S746" s="8" t="str">
        <f>HYPERLINK("https://seichotoushi-hojo.jp/assets/pdf/koufu_3_4ji/outline_105.pdf","PDFを開く")</f>
        <v>PDFを開く</v>
      </c>
      <c r="T746" s="8" t="s">
        <v>1630</v>
      </c>
      <c r="U746" s="8" t="s">
        <v>1631</v>
      </c>
    </row>
    <row r="747" spans="1:21" ht="39.950000000000003" customHeight="1">
      <c r="A747" s="5" t="s">
        <v>1625</v>
      </c>
      <c r="B747" s="5" t="s">
        <v>1595</v>
      </c>
      <c r="C747" s="9" t="s">
        <v>1626</v>
      </c>
      <c r="D747" s="9" t="s">
        <v>3188</v>
      </c>
      <c r="E747" s="9" t="s">
        <v>90</v>
      </c>
      <c r="F747" s="5">
        <v>2027</v>
      </c>
      <c r="G747" s="5">
        <v>716</v>
      </c>
      <c r="H747" s="5">
        <v>2030</v>
      </c>
      <c r="I747" s="5">
        <v>828</v>
      </c>
      <c r="J747" s="5" t="s">
        <v>86</v>
      </c>
      <c r="K747" s="5">
        <v>5</v>
      </c>
      <c r="L747" s="5">
        <v>4.9637000000000002</v>
      </c>
      <c r="M747" s="5">
        <v>3.6299999999999999E-2</v>
      </c>
      <c r="N747" s="9" t="s">
        <v>11846</v>
      </c>
      <c r="O747" s="9" t="s">
        <v>11852</v>
      </c>
      <c r="P747" s="5">
        <v>2</v>
      </c>
      <c r="Q747" s="9"/>
      <c r="R747" s="9" t="s">
        <v>5256</v>
      </c>
      <c r="S747" s="9" t="str">
        <f>HYPERLINK("https://seichotoushi-hojo.jp/assets/pdf/koufu_3_4ji/outline_105.pdf","PDFを開く")</f>
        <v>PDFを開く</v>
      </c>
      <c r="T747" s="9" t="s">
        <v>1630</v>
      </c>
      <c r="U747" s="9" t="s">
        <v>1631</v>
      </c>
    </row>
    <row r="748" spans="1:21" ht="39.950000000000003" customHeight="1">
      <c r="A748" s="2" t="s">
        <v>1625</v>
      </c>
      <c r="B748" s="2" t="s">
        <v>1595</v>
      </c>
      <c r="C748" s="8" t="s">
        <v>1626</v>
      </c>
      <c r="D748" s="8" t="s">
        <v>3191</v>
      </c>
      <c r="E748" s="8" t="s">
        <v>92</v>
      </c>
      <c r="F748" s="2">
        <v>2027</v>
      </c>
      <c r="G748" s="2">
        <v>829</v>
      </c>
      <c r="H748" s="2">
        <v>2030</v>
      </c>
      <c r="I748" s="2">
        <v>864</v>
      </c>
      <c r="J748" s="2" t="s">
        <v>2513</v>
      </c>
      <c r="K748" s="2"/>
      <c r="L748" s="2"/>
      <c r="M748" s="2"/>
      <c r="N748" s="8" t="s">
        <v>11846</v>
      </c>
      <c r="O748" s="8" t="s">
        <v>11852</v>
      </c>
      <c r="P748" s="2">
        <v>2</v>
      </c>
      <c r="Q748" s="8"/>
      <c r="R748" s="8" t="s">
        <v>5258</v>
      </c>
      <c r="S748" s="8" t="str">
        <f>HYPERLINK("https://seichotoushi-hojo.jp/assets/pdf/koufu_3_4ji/outline_105.pdf","PDFを開く")</f>
        <v>PDFを開く</v>
      </c>
      <c r="T748" s="8" t="s">
        <v>1630</v>
      </c>
      <c r="U748" s="8" t="s">
        <v>1631</v>
      </c>
    </row>
    <row r="749" spans="1:21" ht="39.950000000000003" customHeight="1">
      <c r="A749" s="5" t="s">
        <v>1632</v>
      </c>
      <c r="B749" s="5" t="s">
        <v>1595</v>
      </c>
      <c r="C749" s="9" t="s">
        <v>1633</v>
      </c>
      <c r="D749" s="9" t="s">
        <v>3176</v>
      </c>
      <c r="E749" s="9" t="s">
        <v>90</v>
      </c>
      <c r="F749" s="5">
        <v>2027</v>
      </c>
      <c r="G749" s="5">
        <v>3252</v>
      </c>
      <c r="H749" s="5">
        <v>2030</v>
      </c>
      <c r="I749" s="5">
        <v>5771</v>
      </c>
      <c r="J749" s="5" t="s">
        <v>86</v>
      </c>
      <c r="K749" s="5">
        <v>21.1</v>
      </c>
      <c r="L749" s="5">
        <v>21.069199999999999</v>
      </c>
      <c r="M749" s="5">
        <v>3.0800000000000001E-2</v>
      </c>
      <c r="N749" s="9" t="s">
        <v>11846</v>
      </c>
      <c r="O749" s="9" t="s">
        <v>11852</v>
      </c>
      <c r="P749" s="5">
        <v>2</v>
      </c>
      <c r="Q749" s="9"/>
      <c r="R749" s="9" t="s">
        <v>5263</v>
      </c>
      <c r="S749" s="9" t="str">
        <f>HYPERLINK("https://seichotoushi-hojo.jp/assets/pdf/koufu_3_4ji/outline_106.pdf","PDFを開く")</f>
        <v>PDFを開く</v>
      </c>
      <c r="T749" s="9" t="s">
        <v>1638</v>
      </c>
      <c r="U749" s="9" t="s">
        <v>1639</v>
      </c>
    </row>
    <row r="750" spans="1:21" ht="39.950000000000003" customHeight="1">
      <c r="A750" s="2" t="s">
        <v>1632</v>
      </c>
      <c r="B750" s="2" t="s">
        <v>1595</v>
      </c>
      <c r="C750" s="8" t="s">
        <v>1633</v>
      </c>
      <c r="D750" s="8" t="s">
        <v>3184</v>
      </c>
      <c r="E750" s="8" t="s">
        <v>166</v>
      </c>
      <c r="F750" s="2">
        <v>2027</v>
      </c>
      <c r="G750" s="2">
        <v>295</v>
      </c>
      <c r="H750" s="2">
        <v>2030</v>
      </c>
      <c r="I750" s="2">
        <v>351</v>
      </c>
      <c r="J750" s="2" t="s">
        <v>86</v>
      </c>
      <c r="K750" s="2">
        <v>6</v>
      </c>
      <c r="L750" s="2">
        <v>5.9648000000000003</v>
      </c>
      <c r="M750" s="2">
        <v>3.5200000000000002E-2</v>
      </c>
      <c r="N750" s="8" t="s">
        <v>11846</v>
      </c>
      <c r="O750" s="8" t="s">
        <v>292</v>
      </c>
      <c r="P750" s="2">
        <v>2</v>
      </c>
      <c r="Q750" s="8"/>
      <c r="R750" s="8" t="s">
        <v>5269</v>
      </c>
      <c r="S750" s="8" t="str">
        <f>HYPERLINK("https://seichotoushi-hojo.jp/assets/pdf/koufu_3_4ji/outline_106.pdf","PDFを開く")</f>
        <v>PDFを開く</v>
      </c>
      <c r="T750" s="8" t="s">
        <v>1638</v>
      </c>
      <c r="U750" s="8" t="s">
        <v>1639</v>
      </c>
    </row>
    <row r="751" spans="1:21" ht="39.950000000000003" customHeight="1">
      <c r="A751" s="5" t="s">
        <v>1632</v>
      </c>
      <c r="B751" s="5" t="s">
        <v>1595</v>
      </c>
      <c r="C751" s="9" t="s">
        <v>1633</v>
      </c>
      <c r="D751" s="9" t="s">
        <v>3188</v>
      </c>
      <c r="E751" s="9" t="s">
        <v>157</v>
      </c>
      <c r="F751" s="5"/>
      <c r="G751" s="5"/>
      <c r="H751" s="5"/>
      <c r="I751" s="5"/>
      <c r="J751" s="5"/>
      <c r="K751" s="5"/>
      <c r="L751" s="5"/>
      <c r="M751" s="5"/>
      <c r="N751" s="9" t="s">
        <v>11850</v>
      </c>
      <c r="O751" s="9"/>
      <c r="P751" s="5"/>
      <c r="Q751" s="9" t="s">
        <v>11851</v>
      </c>
      <c r="R751" s="9"/>
      <c r="S751" s="9" t="str">
        <f>HYPERLINK("https://seichotoushi-hojo.jp/assets/pdf/koufu_3_4ji/outline_106.pdf","PDFを開く")</f>
        <v>PDFを開く</v>
      </c>
      <c r="T751" s="9" t="s">
        <v>1638</v>
      </c>
      <c r="U751" s="9" t="s">
        <v>1639</v>
      </c>
    </row>
    <row r="752" spans="1:21" ht="39.950000000000003" customHeight="1">
      <c r="A752" s="2" t="s">
        <v>1632</v>
      </c>
      <c r="B752" s="2" t="s">
        <v>1595</v>
      </c>
      <c r="C752" s="8" t="s">
        <v>1633</v>
      </c>
      <c r="D752" s="8" t="s">
        <v>3191</v>
      </c>
      <c r="E752" s="8" t="s">
        <v>92</v>
      </c>
      <c r="F752" s="2">
        <v>2027</v>
      </c>
      <c r="G752" s="2">
        <v>62</v>
      </c>
      <c r="H752" s="2">
        <v>2030</v>
      </c>
      <c r="I752" s="2">
        <v>72</v>
      </c>
      <c r="J752" s="2" t="s">
        <v>2513</v>
      </c>
      <c r="K752" s="2"/>
      <c r="L752" s="2"/>
      <c r="M752" s="2"/>
      <c r="N752" s="8" t="s">
        <v>11846</v>
      </c>
      <c r="O752" s="8"/>
      <c r="P752" s="2">
        <v>2</v>
      </c>
      <c r="Q752" s="8"/>
      <c r="R752" s="8" t="s">
        <v>5268</v>
      </c>
      <c r="S752" s="8" t="str">
        <f>HYPERLINK("https://seichotoushi-hojo.jp/assets/pdf/koufu_3_4ji/outline_106.pdf","PDFを開く")</f>
        <v>PDFを開く</v>
      </c>
      <c r="T752" s="8" t="s">
        <v>1638</v>
      </c>
      <c r="U752" s="8" t="s">
        <v>1639</v>
      </c>
    </row>
    <row r="753" spans="1:21" ht="39.950000000000003" customHeight="1">
      <c r="A753" s="5" t="s">
        <v>1640</v>
      </c>
      <c r="B753" s="5" t="s">
        <v>1595</v>
      </c>
      <c r="C753" s="9" t="s">
        <v>1641</v>
      </c>
      <c r="D753" s="9" t="s">
        <v>3176</v>
      </c>
      <c r="E753" s="9" t="s">
        <v>90</v>
      </c>
      <c r="F753" s="5">
        <v>2027</v>
      </c>
      <c r="G753" s="5">
        <v>1723</v>
      </c>
      <c r="H753" s="5">
        <v>2030</v>
      </c>
      <c r="I753" s="5">
        <v>2975</v>
      </c>
      <c r="J753" s="5" t="s">
        <v>86</v>
      </c>
      <c r="K753" s="5">
        <v>20</v>
      </c>
      <c r="L753" s="5">
        <v>19.968499999999999</v>
      </c>
      <c r="M753" s="5">
        <v>3.15E-2</v>
      </c>
      <c r="N753" s="9" t="s">
        <v>11846</v>
      </c>
      <c r="O753" s="9" t="s">
        <v>11847</v>
      </c>
      <c r="P753" s="5">
        <v>2</v>
      </c>
      <c r="Q753" s="9"/>
      <c r="R753" s="9" t="s">
        <v>5271</v>
      </c>
      <c r="S753" s="9" t="str">
        <f>HYPERLINK("https://seichotoushi-hojo.jp/assets/pdf/koufu_3_4ji/outline_108.pdf","PDFを開く")</f>
        <v>PDFを開く</v>
      </c>
      <c r="T753" s="9" t="s">
        <v>1647</v>
      </c>
      <c r="U753" s="9" t="s">
        <v>1648</v>
      </c>
    </row>
    <row r="754" spans="1:21" ht="39.950000000000003" customHeight="1">
      <c r="A754" s="2" t="s">
        <v>1640</v>
      </c>
      <c r="B754" s="2" t="s">
        <v>1595</v>
      </c>
      <c r="C754" s="8" t="s">
        <v>1641</v>
      </c>
      <c r="D754" s="8" t="s">
        <v>3184</v>
      </c>
      <c r="E754" s="8" t="s">
        <v>90</v>
      </c>
      <c r="F754" s="2">
        <v>2027</v>
      </c>
      <c r="G754" s="2">
        <v>469</v>
      </c>
      <c r="H754" s="2">
        <v>2030</v>
      </c>
      <c r="I754" s="2">
        <v>560</v>
      </c>
      <c r="J754" s="2" t="s">
        <v>86</v>
      </c>
      <c r="K754" s="2">
        <v>6.1</v>
      </c>
      <c r="L754" s="2">
        <v>6.0892999999999997</v>
      </c>
      <c r="M754" s="2">
        <v>1.0699999999999999E-2</v>
      </c>
      <c r="N754" s="8" t="s">
        <v>11846</v>
      </c>
      <c r="O754" s="8" t="s">
        <v>11847</v>
      </c>
      <c r="P754" s="2">
        <v>2</v>
      </c>
      <c r="Q754" s="8"/>
      <c r="R754" s="8" t="s">
        <v>5273</v>
      </c>
      <c r="S754" s="8" t="str">
        <f>HYPERLINK("https://seichotoushi-hojo.jp/assets/pdf/koufu_3_4ji/outline_108.pdf","PDFを開く")</f>
        <v>PDFを開く</v>
      </c>
      <c r="T754" s="8" t="s">
        <v>1647</v>
      </c>
      <c r="U754" s="8" t="s">
        <v>1648</v>
      </c>
    </row>
    <row r="755" spans="1:21" ht="39.950000000000003" customHeight="1">
      <c r="A755" s="5" t="s">
        <v>1640</v>
      </c>
      <c r="B755" s="5" t="s">
        <v>1595</v>
      </c>
      <c r="C755" s="9" t="s">
        <v>1641</v>
      </c>
      <c r="D755" s="9" t="s">
        <v>3188</v>
      </c>
      <c r="E755" s="9" t="s">
        <v>156</v>
      </c>
      <c r="F755" s="5"/>
      <c r="G755" s="5"/>
      <c r="H755" s="5"/>
      <c r="I755" s="5"/>
      <c r="J755" s="5"/>
      <c r="K755" s="5"/>
      <c r="L755" s="5"/>
      <c r="M755" s="5"/>
      <c r="N755" s="9" t="s">
        <v>11850</v>
      </c>
      <c r="O755" s="9"/>
      <c r="P755" s="5"/>
      <c r="Q755" s="9" t="s">
        <v>11851</v>
      </c>
      <c r="R755" s="9"/>
      <c r="S755" s="9" t="str">
        <f>HYPERLINK("https://seichotoushi-hojo.jp/assets/pdf/koufu_3_4ji/outline_108.pdf","PDFを開く")</f>
        <v>PDFを開く</v>
      </c>
      <c r="T755" s="9" t="s">
        <v>1647</v>
      </c>
      <c r="U755" s="9" t="s">
        <v>1648</v>
      </c>
    </row>
    <row r="756" spans="1:21" ht="39.950000000000003" customHeight="1">
      <c r="A756" s="2" t="s">
        <v>1640</v>
      </c>
      <c r="B756" s="2" t="s">
        <v>1595</v>
      </c>
      <c r="C756" s="8" t="s">
        <v>1641</v>
      </c>
      <c r="D756" s="8" t="s">
        <v>3191</v>
      </c>
      <c r="E756" s="8" t="s">
        <v>92</v>
      </c>
      <c r="F756" s="2">
        <v>2027</v>
      </c>
      <c r="G756" s="2">
        <v>161</v>
      </c>
      <c r="H756" s="2">
        <v>2030</v>
      </c>
      <c r="I756" s="2">
        <v>167</v>
      </c>
      <c r="J756" s="2" t="s">
        <v>2513</v>
      </c>
      <c r="K756" s="2"/>
      <c r="L756" s="2"/>
      <c r="M756" s="2"/>
      <c r="N756" s="8" t="s">
        <v>11846</v>
      </c>
      <c r="O756" s="8" t="s">
        <v>11847</v>
      </c>
      <c r="P756" s="2">
        <v>2</v>
      </c>
      <c r="Q756" s="8"/>
      <c r="R756" s="8" t="s">
        <v>5275</v>
      </c>
      <c r="S756" s="8" t="str">
        <f>HYPERLINK("https://seichotoushi-hojo.jp/assets/pdf/koufu_3_4ji/outline_108.pdf","PDFを開く")</f>
        <v>PDFを開く</v>
      </c>
      <c r="T756" s="8" t="s">
        <v>1647</v>
      </c>
      <c r="U756" s="8" t="s">
        <v>1648</v>
      </c>
    </row>
    <row r="757" spans="1:21" ht="39.950000000000003" customHeight="1">
      <c r="A757" s="5" t="s">
        <v>1649</v>
      </c>
      <c r="B757" s="5" t="s">
        <v>1595</v>
      </c>
      <c r="C757" s="9" t="s">
        <v>1650</v>
      </c>
      <c r="D757" s="9" t="s">
        <v>3176</v>
      </c>
      <c r="E757" s="9" t="s">
        <v>90</v>
      </c>
      <c r="F757" s="5">
        <v>2027</v>
      </c>
      <c r="G757" s="5">
        <v>523</v>
      </c>
      <c r="H757" s="5">
        <v>2030</v>
      </c>
      <c r="I757" s="5">
        <v>1019</v>
      </c>
      <c r="J757" s="5" t="s">
        <v>86</v>
      </c>
      <c r="K757" s="5">
        <v>24.9</v>
      </c>
      <c r="L757" s="5">
        <v>24.898599999999998</v>
      </c>
      <c r="M757" s="5">
        <v>1.4E-3</v>
      </c>
      <c r="N757" s="9" t="s">
        <v>11846</v>
      </c>
      <c r="O757" s="9" t="s">
        <v>11847</v>
      </c>
      <c r="P757" s="5">
        <v>2</v>
      </c>
      <c r="Q757" s="9"/>
      <c r="R757" s="9" t="s">
        <v>5277</v>
      </c>
      <c r="S757" s="9" t="str">
        <f>HYPERLINK("https://seichotoushi-hojo.jp/assets/pdf/koufu_3_4ji/outline_109.pdf","PDFを開く")</f>
        <v>PDFを開く</v>
      </c>
      <c r="T757" s="9" t="s">
        <v>1654</v>
      </c>
      <c r="U757" s="9" t="s">
        <v>1655</v>
      </c>
    </row>
    <row r="758" spans="1:21" ht="39.950000000000003" customHeight="1">
      <c r="A758" s="2" t="s">
        <v>1649</v>
      </c>
      <c r="B758" s="2" t="s">
        <v>1595</v>
      </c>
      <c r="C758" s="8" t="s">
        <v>1650</v>
      </c>
      <c r="D758" s="8" t="s">
        <v>3184</v>
      </c>
      <c r="E758" s="8" t="s">
        <v>90</v>
      </c>
      <c r="F758" s="2">
        <v>2027</v>
      </c>
      <c r="G758" s="2">
        <v>377</v>
      </c>
      <c r="H758" s="2">
        <v>2030</v>
      </c>
      <c r="I758" s="2">
        <v>462</v>
      </c>
      <c r="J758" s="2" t="s">
        <v>86</v>
      </c>
      <c r="K758" s="2">
        <v>7</v>
      </c>
      <c r="L758" s="2">
        <v>7.0122999999999998</v>
      </c>
      <c r="M758" s="2">
        <v>1.23E-2</v>
      </c>
      <c r="N758" s="8" t="s">
        <v>11846</v>
      </c>
      <c r="O758" s="8" t="s">
        <v>11847</v>
      </c>
      <c r="P758" s="2">
        <v>2</v>
      </c>
      <c r="Q758" s="8"/>
      <c r="R758" s="8" t="s">
        <v>5280</v>
      </c>
      <c r="S758" s="8" t="str">
        <f>HYPERLINK("https://seichotoushi-hojo.jp/assets/pdf/koufu_3_4ji/outline_109.pdf","PDFを開く")</f>
        <v>PDFを開く</v>
      </c>
      <c r="T758" s="8" t="s">
        <v>1654</v>
      </c>
      <c r="U758" s="8" t="s">
        <v>1655</v>
      </c>
    </row>
    <row r="759" spans="1:21" ht="39.950000000000003" customHeight="1">
      <c r="A759" s="5" t="s">
        <v>1649</v>
      </c>
      <c r="B759" s="5" t="s">
        <v>1595</v>
      </c>
      <c r="C759" s="9" t="s">
        <v>1650</v>
      </c>
      <c r="D759" s="9" t="s">
        <v>3188</v>
      </c>
      <c r="E759" s="9" t="s">
        <v>91</v>
      </c>
      <c r="F759" s="5">
        <v>2027</v>
      </c>
      <c r="G759" s="5"/>
      <c r="H759" s="5">
        <v>2030</v>
      </c>
      <c r="I759" s="5"/>
      <c r="J759" s="5" t="s">
        <v>86</v>
      </c>
      <c r="K759" s="5">
        <v>5</v>
      </c>
      <c r="L759" s="5"/>
      <c r="M759" s="5"/>
      <c r="N759" s="9" t="s">
        <v>11846</v>
      </c>
      <c r="O759" s="9" t="s">
        <v>11848</v>
      </c>
      <c r="P759" s="5">
        <v>2</v>
      </c>
      <c r="Q759" s="9"/>
      <c r="R759" s="9" t="s">
        <v>3382</v>
      </c>
      <c r="S759" s="9" t="str">
        <f>HYPERLINK("https://seichotoushi-hojo.jp/assets/pdf/koufu_3_4ji/outline_109.pdf","PDFを開く")</f>
        <v>PDFを開く</v>
      </c>
      <c r="T759" s="9" t="s">
        <v>1654</v>
      </c>
      <c r="U759" s="9" t="s">
        <v>1655</v>
      </c>
    </row>
    <row r="760" spans="1:21" ht="39.950000000000003" customHeight="1">
      <c r="A760" s="2" t="s">
        <v>1649</v>
      </c>
      <c r="B760" s="2" t="s">
        <v>1595</v>
      </c>
      <c r="C760" s="8" t="s">
        <v>1650</v>
      </c>
      <c r="D760" s="8" t="s">
        <v>3191</v>
      </c>
      <c r="E760" s="8" t="s">
        <v>92</v>
      </c>
      <c r="F760" s="2">
        <v>2027</v>
      </c>
      <c r="G760" s="2">
        <v>221</v>
      </c>
      <c r="H760" s="2">
        <v>2030</v>
      </c>
      <c r="I760" s="2">
        <v>230</v>
      </c>
      <c r="J760" s="2" t="s">
        <v>2513</v>
      </c>
      <c r="K760" s="2"/>
      <c r="L760" s="2"/>
      <c r="M760" s="2"/>
      <c r="N760" s="8" t="s">
        <v>11846</v>
      </c>
      <c r="O760" s="8" t="s">
        <v>11847</v>
      </c>
      <c r="P760" s="2">
        <v>2</v>
      </c>
      <c r="Q760" s="8"/>
      <c r="R760" s="8" t="s">
        <v>5283</v>
      </c>
      <c r="S760" s="8" t="str">
        <f>HYPERLINK("https://seichotoushi-hojo.jp/assets/pdf/koufu_3_4ji/outline_109.pdf","PDFを開く")</f>
        <v>PDFを開く</v>
      </c>
      <c r="T760" s="8" t="s">
        <v>1654</v>
      </c>
      <c r="U760" s="8" t="s">
        <v>1655</v>
      </c>
    </row>
    <row r="761" spans="1:21" ht="39.950000000000003" customHeight="1">
      <c r="A761" s="5" t="s">
        <v>1656</v>
      </c>
      <c r="B761" s="5" t="s">
        <v>1595</v>
      </c>
      <c r="C761" s="9" t="s">
        <v>1657</v>
      </c>
      <c r="D761" s="9" t="s">
        <v>3176</v>
      </c>
      <c r="E761" s="9" t="s">
        <v>90</v>
      </c>
      <c r="F761" s="5">
        <v>2028</v>
      </c>
      <c r="G761" s="5">
        <v>658</v>
      </c>
      <c r="H761" s="5">
        <v>2031</v>
      </c>
      <c r="I761" s="5">
        <v>1291</v>
      </c>
      <c r="J761" s="5" t="s">
        <v>86</v>
      </c>
      <c r="K761" s="5">
        <v>25.2</v>
      </c>
      <c r="L761" s="5">
        <v>25.1892</v>
      </c>
      <c r="M761" s="5">
        <v>1.0800000000000001E-2</v>
      </c>
      <c r="N761" s="9" t="s">
        <v>11846</v>
      </c>
      <c r="O761" s="9" t="s">
        <v>11847</v>
      </c>
      <c r="P761" s="5">
        <v>2</v>
      </c>
      <c r="Q761" s="9"/>
      <c r="R761" s="9" t="s">
        <v>5288</v>
      </c>
      <c r="S761" s="9" t="str">
        <f>HYPERLINK("https://seichotoushi-hojo.jp/assets/pdf/koufu_3_4ji/outline_11.pdf","PDFを開く")</f>
        <v>PDFを開く</v>
      </c>
      <c r="T761" s="9" t="s">
        <v>1661</v>
      </c>
      <c r="U761" s="9" t="s">
        <v>1662</v>
      </c>
    </row>
    <row r="762" spans="1:21" ht="39.950000000000003" customHeight="1">
      <c r="A762" s="2" t="s">
        <v>1656</v>
      </c>
      <c r="B762" s="2" t="s">
        <v>1595</v>
      </c>
      <c r="C762" s="8" t="s">
        <v>1657</v>
      </c>
      <c r="D762" s="8" t="s">
        <v>3184</v>
      </c>
      <c r="E762" s="8" t="s">
        <v>90</v>
      </c>
      <c r="F762" s="2">
        <v>2028</v>
      </c>
      <c r="G762" s="2">
        <v>344</v>
      </c>
      <c r="H762" s="2">
        <v>2031</v>
      </c>
      <c r="I762" s="2">
        <v>422</v>
      </c>
      <c r="J762" s="2" t="s">
        <v>86</v>
      </c>
      <c r="K762" s="2">
        <v>7</v>
      </c>
      <c r="L762" s="2">
        <v>7.0495000000000001</v>
      </c>
      <c r="M762" s="2">
        <v>4.9500000000000002E-2</v>
      </c>
      <c r="N762" s="8" t="s">
        <v>11846</v>
      </c>
      <c r="O762" s="8" t="s">
        <v>11856</v>
      </c>
      <c r="P762" s="2">
        <v>2</v>
      </c>
      <c r="Q762" s="8"/>
      <c r="R762" s="8" t="s">
        <v>5291</v>
      </c>
      <c r="S762" s="8" t="str">
        <f>HYPERLINK("https://seichotoushi-hojo.jp/assets/pdf/koufu_3_4ji/outline_11.pdf","PDFを開く")</f>
        <v>PDFを開く</v>
      </c>
      <c r="T762" s="8" t="s">
        <v>1661</v>
      </c>
      <c r="U762" s="8" t="s">
        <v>1662</v>
      </c>
    </row>
    <row r="763" spans="1:21" ht="39.950000000000003" customHeight="1">
      <c r="A763" s="5" t="s">
        <v>1656</v>
      </c>
      <c r="B763" s="5" t="s">
        <v>1595</v>
      </c>
      <c r="C763" s="9" t="s">
        <v>1657</v>
      </c>
      <c r="D763" s="9" t="s">
        <v>3188</v>
      </c>
      <c r="E763" s="9" t="s">
        <v>91</v>
      </c>
      <c r="F763" s="5">
        <v>2028</v>
      </c>
      <c r="G763" s="5"/>
      <c r="H763" s="5">
        <v>2031</v>
      </c>
      <c r="I763" s="5"/>
      <c r="J763" s="5" t="s">
        <v>86</v>
      </c>
      <c r="K763" s="5">
        <v>1</v>
      </c>
      <c r="L763" s="5"/>
      <c r="M763" s="5"/>
      <c r="N763" s="9" t="s">
        <v>11846</v>
      </c>
      <c r="O763" s="9" t="s">
        <v>11848</v>
      </c>
      <c r="P763" s="5">
        <v>2</v>
      </c>
      <c r="Q763" s="9"/>
      <c r="R763" s="9" t="s">
        <v>5308</v>
      </c>
      <c r="S763" s="9" t="str">
        <f>HYPERLINK("https://seichotoushi-hojo.jp/assets/pdf/koufu_3_4ji/outline_11.pdf","PDFを開く")</f>
        <v>PDFを開く</v>
      </c>
      <c r="T763" s="9" t="s">
        <v>1661</v>
      </c>
      <c r="U763" s="9" t="s">
        <v>1662</v>
      </c>
    </row>
    <row r="764" spans="1:21" ht="39.950000000000003" customHeight="1">
      <c r="A764" s="2" t="s">
        <v>1656</v>
      </c>
      <c r="B764" s="2" t="s">
        <v>1595</v>
      </c>
      <c r="C764" s="8" t="s">
        <v>1657</v>
      </c>
      <c r="D764" s="8" t="s">
        <v>3191</v>
      </c>
      <c r="E764" s="8" t="s">
        <v>92</v>
      </c>
      <c r="F764" s="2">
        <v>2028</v>
      </c>
      <c r="G764" s="2">
        <v>165</v>
      </c>
      <c r="H764" s="2">
        <v>2031</v>
      </c>
      <c r="I764" s="2">
        <v>180</v>
      </c>
      <c r="J764" s="2" t="s">
        <v>2513</v>
      </c>
      <c r="K764" s="2"/>
      <c r="L764" s="2"/>
      <c r="M764" s="2"/>
      <c r="N764" s="8" t="s">
        <v>11846</v>
      </c>
      <c r="O764" s="8" t="s">
        <v>11856</v>
      </c>
      <c r="P764" s="2">
        <v>2</v>
      </c>
      <c r="Q764" s="8"/>
      <c r="R764" s="8" t="s">
        <v>5300</v>
      </c>
      <c r="S764" s="8" t="str">
        <f>HYPERLINK("https://seichotoushi-hojo.jp/assets/pdf/koufu_3_4ji/outline_11.pdf","PDFを開く")</f>
        <v>PDFを開く</v>
      </c>
      <c r="T764" s="8" t="s">
        <v>1661</v>
      </c>
      <c r="U764" s="8" t="s">
        <v>1662</v>
      </c>
    </row>
    <row r="765" spans="1:21" ht="39.950000000000003" customHeight="1">
      <c r="A765" s="5" t="s">
        <v>1663</v>
      </c>
      <c r="B765" s="5" t="s">
        <v>1595</v>
      </c>
      <c r="C765" s="9" t="s">
        <v>1664</v>
      </c>
      <c r="D765" s="9" t="s">
        <v>3176</v>
      </c>
      <c r="E765" s="9" t="s">
        <v>90</v>
      </c>
      <c r="F765" s="5">
        <v>2026</v>
      </c>
      <c r="G765" s="5">
        <v>1171</v>
      </c>
      <c r="H765" s="5">
        <v>2029</v>
      </c>
      <c r="I765" s="5">
        <v>1815</v>
      </c>
      <c r="J765" s="5" t="s">
        <v>86</v>
      </c>
      <c r="K765" s="5">
        <v>15.7</v>
      </c>
      <c r="L765" s="5">
        <v>15.728400000000001</v>
      </c>
      <c r="M765" s="5">
        <v>2.8400000000000002E-2</v>
      </c>
      <c r="N765" s="9" t="s">
        <v>11846</v>
      </c>
      <c r="O765" s="9" t="s">
        <v>11847</v>
      </c>
      <c r="P765" s="5">
        <v>2</v>
      </c>
      <c r="Q765" s="9"/>
      <c r="R765" s="9" t="s">
        <v>5312</v>
      </c>
      <c r="S765" s="9" t="str">
        <f>HYPERLINK("https://seichotoushi-hojo.jp/assets/pdf/koufu_3_4ji/outline_110.pdf","PDFを開く")</f>
        <v>PDFを開く</v>
      </c>
      <c r="T765" s="9" t="s">
        <v>1668</v>
      </c>
      <c r="U765" s="9" t="s">
        <v>1669</v>
      </c>
    </row>
    <row r="766" spans="1:21" ht="39.950000000000003" customHeight="1">
      <c r="A766" s="2" t="s">
        <v>1663</v>
      </c>
      <c r="B766" s="2" t="s">
        <v>1595</v>
      </c>
      <c r="C766" s="8" t="s">
        <v>1664</v>
      </c>
      <c r="D766" s="8" t="s">
        <v>3184</v>
      </c>
      <c r="E766" s="8" t="s">
        <v>90</v>
      </c>
      <c r="F766" s="2">
        <v>2026</v>
      </c>
      <c r="G766" s="2">
        <v>745</v>
      </c>
      <c r="H766" s="2">
        <v>2029</v>
      </c>
      <c r="I766" s="2">
        <v>887</v>
      </c>
      <c r="J766" s="2" t="s">
        <v>86</v>
      </c>
      <c r="K766" s="2">
        <v>6</v>
      </c>
      <c r="L766" s="2">
        <v>5.9878</v>
      </c>
      <c r="M766" s="2">
        <v>1.2200000000000001E-2</v>
      </c>
      <c r="N766" s="8" t="s">
        <v>11846</v>
      </c>
      <c r="O766" s="8" t="s">
        <v>11847</v>
      </c>
      <c r="P766" s="2">
        <v>2</v>
      </c>
      <c r="Q766" s="8"/>
      <c r="R766" s="8" t="s">
        <v>5315</v>
      </c>
      <c r="S766" s="8" t="str">
        <f>HYPERLINK("https://seichotoushi-hojo.jp/assets/pdf/koufu_3_4ji/outline_110.pdf","PDFを開く")</f>
        <v>PDFを開く</v>
      </c>
      <c r="T766" s="8" t="s">
        <v>1668</v>
      </c>
      <c r="U766" s="8" t="s">
        <v>1669</v>
      </c>
    </row>
    <row r="767" spans="1:21" ht="39.950000000000003" customHeight="1">
      <c r="A767" s="5" t="s">
        <v>1663</v>
      </c>
      <c r="B767" s="5" t="s">
        <v>1595</v>
      </c>
      <c r="C767" s="9" t="s">
        <v>1664</v>
      </c>
      <c r="D767" s="9" t="s">
        <v>3188</v>
      </c>
      <c r="E767" s="9" t="s">
        <v>90</v>
      </c>
      <c r="F767" s="5">
        <v>2026</v>
      </c>
      <c r="G767" s="5">
        <v>1087</v>
      </c>
      <c r="H767" s="5">
        <v>2029</v>
      </c>
      <c r="I767" s="5">
        <v>1259</v>
      </c>
      <c r="J767" s="5" t="s">
        <v>86</v>
      </c>
      <c r="K767" s="5">
        <v>5</v>
      </c>
      <c r="L767" s="5">
        <v>5.0183999999999997</v>
      </c>
      <c r="M767" s="5">
        <v>1.84E-2</v>
      </c>
      <c r="N767" s="9" t="s">
        <v>11846</v>
      </c>
      <c r="O767" s="9" t="s">
        <v>11847</v>
      </c>
      <c r="P767" s="5">
        <v>2</v>
      </c>
      <c r="Q767" s="9"/>
      <c r="R767" s="9" t="s">
        <v>5317</v>
      </c>
      <c r="S767" s="9" t="str">
        <f>HYPERLINK("https://seichotoushi-hojo.jp/assets/pdf/koufu_3_4ji/outline_110.pdf","PDFを開く")</f>
        <v>PDFを開く</v>
      </c>
      <c r="T767" s="9" t="s">
        <v>1668</v>
      </c>
      <c r="U767" s="9" t="s">
        <v>1669</v>
      </c>
    </row>
    <row r="768" spans="1:21" ht="39.950000000000003" customHeight="1">
      <c r="A768" s="2" t="s">
        <v>1663</v>
      </c>
      <c r="B768" s="2" t="s">
        <v>1595</v>
      </c>
      <c r="C768" s="8" t="s">
        <v>1664</v>
      </c>
      <c r="D768" s="8" t="s">
        <v>3191</v>
      </c>
      <c r="E768" s="8" t="s">
        <v>92</v>
      </c>
      <c r="F768" s="2">
        <v>2026</v>
      </c>
      <c r="G768" s="2">
        <v>58</v>
      </c>
      <c r="H768" s="2">
        <v>2029</v>
      </c>
      <c r="I768" s="2">
        <v>94</v>
      </c>
      <c r="J768" s="2" t="s">
        <v>2513</v>
      </c>
      <c r="K768" s="2"/>
      <c r="L768" s="2"/>
      <c r="M768" s="2"/>
      <c r="N768" s="8" t="s">
        <v>11846</v>
      </c>
      <c r="O768" s="8" t="s">
        <v>11847</v>
      </c>
      <c r="P768" s="2">
        <v>2</v>
      </c>
      <c r="Q768" s="8"/>
      <c r="R768" s="8" t="s">
        <v>5319</v>
      </c>
      <c r="S768" s="8" t="str">
        <f>HYPERLINK("https://seichotoushi-hojo.jp/assets/pdf/koufu_3_4ji/outline_110.pdf","PDFを開く")</f>
        <v>PDFを開く</v>
      </c>
      <c r="T768" s="8" t="s">
        <v>1668</v>
      </c>
      <c r="U768" s="8" t="s">
        <v>1669</v>
      </c>
    </row>
    <row r="769" spans="1:21" ht="39.950000000000003" customHeight="1">
      <c r="A769" s="5" t="s">
        <v>1670</v>
      </c>
      <c r="B769" s="5" t="s">
        <v>1595</v>
      </c>
      <c r="C769" s="9" t="s">
        <v>1671</v>
      </c>
      <c r="D769" s="9" t="s">
        <v>3176</v>
      </c>
      <c r="E769" s="9" t="s">
        <v>90</v>
      </c>
      <c r="F769" s="5">
        <v>2026</v>
      </c>
      <c r="G769" s="5">
        <v>723</v>
      </c>
      <c r="H769" s="5">
        <v>2029</v>
      </c>
      <c r="I769" s="5">
        <v>1704</v>
      </c>
      <c r="J769" s="5" t="s">
        <v>86</v>
      </c>
      <c r="K769" s="5">
        <v>33.1</v>
      </c>
      <c r="L769" s="5">
        <v>33.079300000000003</v>
      </c>
      <c r="M769" s="5">
        <v>2.07E-2</v>
      </c>
      <c r="N769" s="9" t="s">
        <v>11846</v>
      </c>
      <c r="O769" s="9" t="s">
        <v>11847</v>
      </c>
      <c r="P769" s="5">
        <v>2</v>
      </c>
      <c r="Q769" s="9"/>
      <c r="R769" s="9" t="s">
        <v>5320</v>
      </c>
      <c r="S769" s="9" t="str">
        <f>HYPERLINK("https://seichotoushi-hojo.jp/assets/pdf/koufu_3_4ji/outline_12.pdf","PDFを開く")</f>
        <v>PDFを開く</v>
      </c>
      <c r="T769" s="9" t="s">
        <v>1675</v>
      </c>
      <c r="U769" s="9" t="s">
        <v>1676</v>
      </c>
    </row>
    <row r="770" spans="1:21" ht="39.950000000000003" customHeight="1">
      <c r="A770" s="2" t="s">
        <v>1670</v>
      </c>
      <c r="B770" s="2" t="s">
        <v>1595</v>
      </c>
      <c r="C770" s="8" t="s">
        <v>1671</v>
      </c>
      <c r="D770" s="8" t="s">
        <v>3184</v>
      </c>
      <c r="E770" s="8" t="s">
        <v>90</v>
      </c>
      <c r="F770" s="2">
        <v>2026</v>
      </c>
      <c r="G770" s="2">
        <v>421</v>
      </c>
      <c r="H770" s="2">
        <v>2029</v>
      </c>
      <c r="I770" s="2">
        <v>516</v>
      </c>
      <c r="J770" s="2" t="s">
        <v>86</v>
      </c>
      <c r="K770" s="2">
        <v>7</v>
      </c>
      <c r="L770" s="2">
        <v>7.0178000000000003</v>
      </c>
      <c r="M770" s="2">
        <v>1.78E-2</v>
      </c>
      <c r="N770" s="8" t="s">
        <v>11846</v>
      </c>
      <c r="O770" s="8" t="s">
        <v>11847</v>
      </c>
      <c r="P770" s="2">
        <v>2</v>
      </c>
      <c r="Q770" s="8"/>
      <c r="R770" s="8" t="s">
        <v>5323</v>
      </c>
      <c r="S770" s="8" t="str">
        <f>HYPERLINK("https://seichotoushi-hojo.jp/assets/pdf/koufu_3_4ji/outline_12.pdf","PDFを開く")</f>
        <v>PDFを開く</v>
      </c>
      <c r="T770" s="8" t="s">
        <v>1675</v>
      </c>
      <c r="U770" s="8" t="s">
        <v>1676</v>
      </c>
    </row>
    <row r="771" spans="1:21" ht="39.950000000000003" customHeight="1">
      <c r="A771" s="5" t="s">
        <v>1670</v>
      </c>
      <c r="B771" s="5" t="s">
        <v>1595</v>
      </c>
      <c r="C771" s="9" t="s">
        <v>1671</v>
      </c>
      <c r="D771" s="9" t="s">
        <v>3188</v>
      </c>
      <c r="E771" s="9" t="s">
        <v>91</v>
      </c>
      <c r="F771" s="5">
        <v>2026</v>
      </c>
      <c r="G771" s="5"/>
      <c r="H771" s="5">
        <v>2029</v>
      </c>
      <c r="I771" s="5"/>
      <c r="J771" s="5" t="s">
        <v>86</v>
      </c>
      <c r="K771" s="5">
        <v>7</v>
      </c>
      <c r="L771" s="5"/>
      <c r="M771" s="5"/>
      <c r="N771" s="9" t="s">
        <v>11846</v>
      </c>
      <c r="O771" s="9" t="s">
        <v>11848</v>
      </c>
      <c r="P771" s="5">
        <v>2</v>
      </c>
      <c r="Q771" s="9"/>
      <c r="R771" s="9" t="s">
        <v>5327</v>
      </c>
      <c r="S771" s="9" t="str">
        <f>HYPERLINK("https://seichotoushi-hojo.jp/assets/pdf/koufu_3_4ji/outline_12.pdf","PDFを開く")</f>
        <v>PDFを開く</v>
      </c>
      <c r="T771" s="9" t="s">
        <v>1675</v>
      </c>
      <c r="U771" s="9" t="s">
        <v>1676</v>
      </c>
    </row>
    <row r="772" spans="1:21" ht="39.950000000000003" customHeight="1">
      <c r="A772" s="2" t="s">
        <v>1670</v>
      </c>
      <c r="B772" s="2" t="s">
        <v>1595</v>
      </c>
      <c r="C772" s="8" t="s">
        <v>1671</v>
      </c>
      <c r="D772" s="8" t="s">
        <v>3191</v>
      </c>
      <c r="E772" s="8" t="s">
        <v>92</v>
      </c>
      <c r="F772" s="2">
        <v>2026</v>
      </c>
      <c r="G772" s="2">
        <v>160</v>
      </c>
      <c r="H772" s="2">
        <v>2029</v>
      </c>
      <c r="I772" s="2">
        <v>190</v>
      </c>
      <c r="J772" s="2" t="s">
        <v>2513</v>
      </c>
      <c r="K772" s="2"/>
      <c r="L772" s="2"/>
      <c r="M772" s="2"/>
      <c r="N772" s="8" t="s">
        <v>11846</v>
      </c>
      <c r="O772" s="8" t="s">
        <v>11847</v>
      </c>
      <c r="P772" s="2">
        <v>2</v>
      </c>
      <c r="Q772" s="8"/>
      <c r="R772" s="8" t="s">
        <v>5325</v>
      </c>
      <c r="S772" s="8" t="str">
        <f>HYPERLINK("https://seichotoushi-hojo.jp/assets/pdf/koufu_3_4ji/outline_12.pdf","PDFを開く")</f>
        <v>PDFを開く</v>
      </c>
      <c r="T772" s="8" t="s">
        <v>1675</v>
      </c>
      <c r="U772" s="8" t="s">
        <v>1676</v>
      </c>
    </row>
    <row r="773" spans="1:21" ht="39.950000000000003" customHeight="1">
      <c r="A773" s="5" t="s">
        <v>1677</v>
      </c>
      <c r="B773" s="5" t="s">
        <v>1595</v>
      </c>
      <c r="C773" s="9" t="s">
        <v>1678</v>
      </c>
      <c r="D773" s="9" t="s">
        <v>3176</v>
      </c>
      <c r="E773" s="9" t="s">
        <v>90</v>
      </c>
      <c r="F773" s="5">
        <v>2026</v>
      </c>
      <c r="G773" s="5">
        <v>599</v>
      </c>
      <c r="H773" s="5">
        <v>2029</v>
      </c>
      <c r="I773" s="5">
        <v>1707</v>
      </c>
      <c r="J773" s="5" t="s">
        <v>86</v>
      </c>
      <c r="K773" s="5">
        <v>41.8</v>
      </c>
      <c r="L773" s="5">
        <v>41.775799999999997</v>
      </c>
      <c r="M773" s="5">
        <v>2.4199999999999999E-2</v>
      </c>
      <c r="N773" s="9" t="s">
        <v>11846</v>
      </c>
      <c r="O773" s="9" t="s">
        <v>11852</v>
      </c>
      <c r="P773" s="5">
        <v>2</v>
      </c>
      <c r="Q773" s="9"/>
      <c r="R773" s="9" t="s">
        <v>5331</v>
      </c>
      <c r="S773" s="9" t="str">
        <f>HYPERLINK("https://seichotoushi-hojo.jp/assets/pdf/koufu_3_4ji/outline_123.pdf","PDFを開く")</f>
        <v>PDFを開く</v>
      </c>
      <c r="T773" s="9" t="s">
        <v>1683</v>
      </c>
      <c r="U773" s="9" t="s">
        <v>1684</v>
      </c>
    </row>
    <row r="774" spans="1:21" ht="39.950000000000003" customHeight="1">
      <c r="A774" s="2" t="s">
        <v>1677</v>
      </c>
      <c r="B774" s="2" t="s">
        <v>1595</v>
      </c>
      <c r="C774" s="8" t="s">
        <v>1678</v>
      </c>
      <c r="D774" s="8" t="s">
        <v>3184</v>
      </c>
      <c r="E774" s="8" t="s">
        <v>90</v>
      </c>
      <c r="F774" s="2">
        <v>2026</v>
      </c>
      <c r="G774" s="2">
        <v>407</v>
      </c>
      <c r="H774" s="2">
        <v>2029</v>
      </c>
      <c r="I774" s="2">
        <v>512</v>
      </c>
      <c r="J774" s="2" t="s">
        <v>86</v>
      </c>
      <c r="K774" s="2">
        <v>8</v>
      </c>
      <c r="L774" s="2">
        <v>7.9505999999999997</v>
      </c>
      <c r="M774" s="2">
        <v>4.9399999999999999E-2</v>
      </c>
      <c r="N774" s="8" t="s">
        <v>11846</v>
      </c>
      <c r="O774" s="8" t="s">
        <v>11852</v>
      </c>
      <c r="P774" s="2">
        <v>2</v>
      </c>
      <c r="Q774" s="8"/>
      <c r="R774" s="8" t="s">
        <v>5334</v>
      </c>
      <c r="S774" s="8" t="str">
        <f>HYPERLINK("https://seichotoushi-hojo.jp/assets/pdf/koufu_3_4ji/outline_123.pdf","PDFを開く")</f>
        <v>PDFを開く</v>
      </c>
      <c r="T774" s="8" t="s">
        <v>1683</v>
      </c>
      <c r="U774" s="8" t="s">
        <v>1684</v>
      </c>
    </row>
    <row r="775" spans="1:21" ht="39.950000000000003" customHeight="1">
      <c r="A775" s="5" t="s">
        <v>1677</v>
      </c>
      <c r="B775" s="5" t="s">
        <v>1595</v>
      </c>
      <c r="C775" s="9" t="s">
        <v>1678</v>
      </c>
      <c r="D775" s="9" t="s">
        <v>3188</v>
      </c>
      <c r="E775" s="9" t="s">
        <v>90</v>
      </c>
      <c r="F775" s="5">
        <v>2026</v>
      </c>
      <c r="G775" s="5">
        <v>979</v>
      </c>
      <c r="H775" s="5">
        <v>2029</v>
      </c>
      <c r="I775" s="5">
        <v>1133</v>
      </c>
      <c r="J775" s="5" t="s">
        <v>86</v>
      </c>
      <c r="K775" s="5">
        <v>5</v>
      </c>
      <c r="L775" s="5">
        <v>4.9903000000000004</v>
      </c>
      <c r="M775" s="5">
        <v>9.7000000000000003E-3</v>
      </c>
      <c r="N775" s="9" t="s">
        <v>11846</v>
      </c>
      <c r="O775" s="9" t="s">
        <v>11847</v>
      </c>
      <c r="P775" s="5">
        <v>2</v>
      </c>
      <c r="Q775" s="9"/>
      <c r="R775" s="9" t="s">
        <v>5337</v>
      </c>
      <c r="S775" s="9" t="str">
        <f>HYPERLINK("https://seichotoushi-hojo.jp/assets/pdf/koufu_3_4ji/outline_123.pdf","PDFを開く")</f>
        <v>PDFを開く</v>
      </c>
      <c r="T775" s="9" t="s">
        <v>1683</v>
      </c>
      <c r="U775" s="9" t="s">
        <v>1684</v>
      </c>
    </row>
    <row r="776" spans="1:21" ht="39.950000000000003" customHeight="1">
      <c r="A776" s="2" t="s">
        <v>1677</v>
      </c>
      <c r="B776" s="2" t="s">
        <v>1595</v>
      </c>
      <c r="C776" s="8" t="s">
        <v>1678</v>
      </c>
      <c r="D776" s="8" t="s">
        <v>3191</v>
      </c>
      <c r="E776" s="8" t="s">
        <v>92</v>
      </c>
      <c r="F776" s="2">
        <v>2026</v>
      </c>
      <c r="G776" s="2">
        <v>104</v>
      </c>
      <c r="H776" s="2">
        <v>2029</v>
      </c>
      <c r="I776" s="2">
        <v>106</v>
      </c>
      <c r="J776" s="2" t="s">
        <v>2513</v>
      </c>
      <c r="K776" s="2"/>
      <c r="L776" s="2"/>
      <c r="M776" s="2"/>
      <c r="N776" s="8" t="s">
        <v>11846</v>
      </c>
      <c r="O776" s="8" t="s">
        <v>11852</v>
      </c>
      <c r="P776" s="2">
        <v>2</v>
      </c>
      <c r="Q776" s="8"/>
      <c r="R776" s="8" t="s">
        <v>5338</v>
      </c>
      <c r="S776" s="8" t="str">
        <f>HYPERLINK("https://seichotoushi-hojo.jp/assets/pdf/koufu_3_4ji/outline_123.pdf","PDFを開く")</f>
        <v>PDFを開く</v>
      </c>
      <c r="T776" s="8" t="s">
        <v>1683</v>
      </c>
      <c r="U776" s="8" t="s">
        <v>1684</v>
      </c>
    </row>
    <row r="777" spans="1:21" ht="39.950000000000003" customHeight="1">
      <c r="A777" s="5" t="s">
        <v>1685</v>
      </c>
      <c r="B777" s="5" t="s">
        <v>1595</v>
      </c>
      <c r="C777" s="9" t="s">
        <v>1686</v>
      </c>
      <c r="D777" s="9" t="s">
        <v>3176</v>
      </c>
      <c r="E777" s="9" t="s">
        <v>166</v>
      </c>
      <c r="F777" s="5">
        <v>2028</v>
      </c>
      <c r="G777" s="5">
        <v>714</v>
      </c>
      <c r="H777" s="5">
        <v>2031</v>
      </c>
      <c r="I777" s="5">
        <v>1222</v>
      </c>
      <c r="J777" s="5" t="s">
        <v>86</v>
      </c>
      <c r="K777" s="5">
        <v>19.600000000000001</v>
      </c>
      <c r="L777" s="5">
        <v>19.616499999999998</v>
      </c>
      <c r="M777" s="5">
        <v>1.6500000000000001E-2</v>
      </c>
      <c r="N777" s="9" t="s">
        <v>11846</v>
      </c>
      <c r="O777" s="9" t="s">
        <v>292</v>
      </c>
      <c r="P777" s="5">
        <v>2</v>
      </c>
      <c r="Q777" s="9"/>
      <c r="R777" s="9" t="s">
        <v>5352</v>
      </c>
      <c r="S777" s="9" t="str">
        <f>HYPERLINK("https://seichotoushi-hojo.jp/assets/pdf/koufu_3_4ji/outline_128.pdf","PDFを開く")</f>
        <v>PDFを開く</v>
      </c>
      <c r="T777" s="9" t="s">
        <v>1691</v>
      </c>
      <c r="U777" s="9" t="s">
        <v>1692</v>
      </c>
    </row>
    <row r="778" spans="1:21" ht="39.950000000000003" customHeight="1">
      <c r="A778" s="2" t="s">
        <v>1685</v>
      </c>
      <c r="B778" s="2" t="s">
        <v>1595</v>
      </c>
      <c r="C778" s="8" t="s">
        <v>1686</v>
      </c>
      <c r="D778" s="8" t="s">
        <v>3184</v>
      </c>
      <c r="E778" s="8" t="s">
        <v>166</v>
      </c>
      <c r="F778" s="2">
        <v>2028</v>
      </c>
      <c r="G778" s="2">
        <v>456</v>
      </c>
      <c r="H778" s="2">
        <v>2031</v>
      </c>
      <c r="I778" s="2">
        <v>543</v>
      </c>
      <c r="J778" s="2" t="s">
        <v>86</v>
      </c>
      <c r="K778" s="2">
        <v>6</v>
      </c>
      <c r="L778" s="2">
        <v>5.9932999999999996</v>
      </c>
      <c r="M778" s="2">
        <v>6.7000000000000002E-3</v>
      </c>
      <c r="N778" s="8" t="s">
        <v>11846</v>
      </c>
      <c r="O778" s="8" t="s">
        <v>292</v>
      </c>
      <c r="P778" s="2">
        <v>2</v>
      </c>
      <c r="Q778" s="8"/>
      <c r="R778" s="8" t="s">
        <v>5355</v>
      </c>
      <c r="S778" s="8" t="str">
        <f>HYPERLINK("https://seichotoushi-hojo.jp/assets/pdf/koufu_3_4ji/outline_128.pdf","PDFを開く")</f>
        <v>PDFを開く</v>
      </c>
      <c r="T778" s="8" t="s">
        <v>1691</v>
      </c>
      <c r="U778" s="8" t="s">
        <v>1692</v>
      </c>
    </row>
    <row r="779" spans="1:21" ht="39.950000000000003" customHeight="1">
      <c r="A779" s="5" t="s">
        <v>1685</v>
      </c>
      <c r="B779" s="5" t="s">
        <v>1595</v>
      </c>
      <c r="C779" s="9" t="s">
        <v>1686</v>
      </c>
      <c r="D779" s="9" t="s">
        <v>3188</v>
      </c>
      <c r="E779" s="9" t="s">
        <v>90</v>
      </c>
      <c r="F779" s="5">
        <v>2028</v>
      </c>
      <c r="G779" s="5">
        <v>456</v>
      </c>
      <c r="H779" s="5">
        <v>2031</v>
      </c>
      <c r="I779" s="5">
        <v>543</v>
      </c>
      <c r="J779" s="5" t="s">
        <v>86</v>
      </c>
      <c r="K779" s="5">
        <v>5</v>
      </c>
      <c r="L779" s="5">
        <v>5.9932999999999996</v>
      </c>
      <c r="M779" s="5">
        <v>0.99329999999999996</v>
      </c>
      <c r="N779" s="9" t="s">
        <v>11846</v>
      </c>
      <c r="O779" s="9" t="s">
        <v>11852</v>
      </c>
      <c r="P779" s="5">
        <v>2</v>
      </c>
      <c r="Q779" s="9"/>
      <c r="R779" s="9" t="s">
        <v>5346</v>
      </c>
      <c r="S779" s="9" t="str">
        <f>HYPERLINK("https://seichotoushi-hojo.jp/assets/pdf/koufu_3_4ji/outline_128.pdf","PDFを開く")</f>
        <v>PDFを開く</v>
      </c>
      <c r="T779" s="9" t="s">
        <v>1691</v>
      </c>
      <c r="U779" s="9" t="s">
        <v>1692</v>
      </c>
    </row>
    <row r="780" spans="1:21" ht="39.950000000000003" customHeight="1">
      <c r="A780" s="2" t="s">
        <v>1685</v>
      </c>
      <c r="B780" s="2" t="s">
        <v>1595</v>
      </c>
      <c r="C780" s="8" t="s">
        <v>1686</v>
      </c>
      <c r="D780" s="8" t="s">
        <v>3191</v>
      </c>
      <c r="E780" s="8" t="s">
        <v>166</v>
      </c>
      <c r="F780" s="2">
        <v>2028</v>
      </c>
      <c r="G780" s="2">
        <v>365</v>
      </c>
      <c r="H780" s="2">
        <v>2031</v>
      </c>
      <c r="I780" s="2">
        <v>368</v>
      </c>
      <c r="J780" s="2" t="s">
        <v>2513</v>
      </c>
      <c r="K780" s="2"/>
      <c r="L780" s="2"/>
      <c r="M780" s="2"/>
      <c r="N780" s="8" t="s">
        <v>11846</v>
      </c>
      <c r="O780" s="8" t="s">
        <v>292</v>
      </c>
      <c r="P780" s="2">
        <v>2</v>
      </c>
      <c r="Q780" s="8"/>
      <c r="R780" s="8" t="s">
        <v>5356</v>
      </c>
      <c r="S780" s="8" t="str">
        <f>HYPERLINK("https://seichotoushi-hojo.jp/assets/pdf/koufu_3_4ji/outline_128.pdf","PDFを開く")</f>
        <v>PDFを開く</v>
      </c>
      <c r="T780" s="8" t="s">
        <v>1691</v>
      </c>
      <c r="U780" s="8" t="s">
        <v>1692</v>
      </c>
    </row>
    <row r="781" spans="1:21" ht="39.950000000000003" customHeight="1">
      <c r="A781" s="5" t="s">
        <v>1693</v>
      </c>
      <c r="B781" s="5" t="s">
        <v>1595</v>
      </c>
      <c r="C781" s="9" t="s">
        <v>1694</v>
      </c>
      <c r="D781" s="9" t="s">
        <v>3176</v>
      </c>
      <c r="E781" s="9" t="s">
        <v>90</v>
      </c>
      <c r="F781" s="5">
        <v>2026</v>
      </c>
      <c r="G781" s="5">
        <v>1049</v>
      </c>
      <c r="H781" s="5">
        <v>2029</v>
      </c>
      <c r="I781" s="5">
        <v>2104</v>
      </c>
      <c r="J781" s="5" t="s">
        <v>86</v>
      </c>
      <c r="K781" s="5">
        <v>26.1</v>
      </c>
      <c r="L781" s="5">
        <v>26.112100000000002</v>
      </c>
      <c r="M781" s="5">
        <v>1.21E-2</v>
      </c>
      <c r="N781" s="9" t="s">
        <v>11846</v>
      </c>
      <c r="O781" s="9" t="s">
        <v>11847</v>
      </c>
      <c r="P781" s="5">
        <v>2</v>
      </c>
      <c r="Q781" s="9"/>
      <c r="R781" s="9" t="s">
        <v>5358</v>
      </c>
      <c r="S781" s="9" t="str">
        <f>HYPERLINK("https://seichotoushi-hojo.jp/assets/pdf/koufu_3_4ji/outline_13.pdf","PDFを開く")</f>
        <v>PDFを開く</v>
      </c>
      <c r="T781" s="9" t="s">
        <v>1700</v>
      </c>
      <c r="U781" s="9" t="s">
        <v>1701</v>
      </c>
    </row>
    <row r="782" spans="1:21" ht="39.950000000000003" customHeight="1">
      <c r="A782" s="2" t="s">
        <v>1693</v>
      </c>
      <c r="B782" s="2" t="s">
        <v>1595</v>
      </c>
      <c r="C782" s="8" t="s">
        <v>1694</v>
      </c>
      <c r="D782" s="8" t="s">
        <v>3184</v>
      </c>
      <c r="E782" s="8" t="s">
        <v>90</v>
      </c>
      <c r="F782" s="2">
        <v>2026</v>
      </c>
      <c r="G782" s="2">
        <v>489</v>
      </c>
      <c r="H782" s="2">
        <v>2029</v>
      </c>
      <c r="I782" s="2">
        <v>590</v>
      </c>
      <c r="J782" s="2" t="s">
        <v>86</v>
      </c>
      <c r="K782" s="2">
        <v>6.5</v>
      </c>
      <c r="L782" s="2">
        <v>6.4587000000000003</v>
      </c>
      <c r="M782" s="2">
        <v>4.1300000000000003E-2</v>
      </c>
      <c r="N782" s="8" t="s">
        <v>11846</v>
      </c>
      <c r="O782" s="8" t="s">
        <v>11847</v>
      </c>
      <c r="P782" s="2">
        <v>2</v>
      </c>
      <c r="Q782" s="8"/>
      <c r="R782" s="8" t="s">
        <v>5360</v>
      </c>
      <c r="S782" s="8" t="str">
        <f>HYPERLINK("https://seichotoushi-hojo.jp/assets/pdf/koufu_3_4ji/outline_13.pdf","PDFを開く")</f>
        <v>PDFを開く</v>
      </c>
      <c r="T782" s="8" t="s">
        <v>1700</v>
      </c>
      <c r="U782" s="8" t="s">
        <v>1701</v>
      </c>
    </row>
    <row r="783" spans="1:21" ht="39.950000000000003" customHeight="1">
      <c r="A783" s="5" t="s">
        <v>1693</v>
      </c>
      <c r="B783" s="5" t="s">
        <v>1595</v>
      </c>
      <c r="C783" s="9" t="s">
        <v>1694</v>
      </c>
      <c r="D783" s="9" t="s">
        <v>3188</v>
      </c>
      <c r="E783" s="9" t="s">
        <v>91</v>
      </c>
      <c r="F783" s="5">
        <v>2026</v>
      </c>
      <c r="G783" s="5"/>
      <c r="H783" s="5">
        <v>2029</v>
      </c>
      <c r="I783" s="5"/>
      <c r="J783" s="5" t="s">
        <v>86</v>
      </c>
      <c r="K783" s="5">
        <v>6</v>
      </c>
      <c r="L783" s="5"/>
      <c r="M783" s="5"/>
      <c r="N783" s="9" t="s">
        <v>11846</v>
      </c>
      <c r="O783" s="9" t="s">
        <v>11848</v>
      </c>
      <c r="P783" s="5">
        <v>2</v>
      </c>
      <c r="Q783" s="9"/>
      <c r="R783" s="9" t="s">
        <v>5364</v>
      </c>
      <c r="S783" s="9" t="str">
        <f>HYPERLINK("https://seichotoushi-hojo.jp/assets/pdf/koufu_3_4ji/outline_13.pdf","PDFを開く")</f>
        <v>PDFを開く</v>
      </c>
      <c r="T783" s="9" t="s">
        <v>1700</v>
      </c>
      <c r="U783" s="9" t="s">
        <v>1701</v>
      </c>
    </row>
    <row r="784" spans="1:21" ht="39.950000000000003" customHeight="1">
      <c r="A784" s="2" t="s">
        <v>1693</v>
      </c>
      <c r="B784" s="2" t="s">
        <v>1595</v>
      </c>
      <c r="C784" s="8" t="s">
        <v>1694</v>
      </c>
      <c r="D784" s="8" t="s">
        <v>3191</v>
      </c>
      <c r="E784" s="8" t="s">
        <v>92</v>
      </c>
      <c r="F784" s="2">
        <v>2026</v>
      </c>
      <c r="G784" s="2">
        <v>94</v>
      </c>
      <c r="H784" s="2">
        <v>2029</v>
      </c>
      <c r="I784" s="2">
        <v>100</v>
      </c>
      <c r="J784" s="2" t="s">
        <v>2513</v>
      </c>
      <c r="K784" s="2"/>
      <c r="L784" s="2"/>
      <c r="M784" s="2"/>
      <c r="N784" s="8" t="s">
        <v>11846</v>
      </c>
      <c r="O784" s="8" t="s">
        <v>11847</v>
      </c>
      <c r="P784" s="2">
        <v>2</v>
      </c>
      <c r="Q784" s="8"/>
      <c r="R784" s="8" t="s">
        <v>5362</v>
      </c>
      <c r="S784" s="8" t="str">
        <f>HYPERLINK("https://seichotoushi-hojo.jp/assets/pdf/koufu_3_4ji/outline_13.pdf","PDFを開く")</f>
        <v>PDFを開く</v>
      </c>
      <c r="T784" s="8" t="s">
        <v>1700</v>
      </c>
      <c r="U784" s="8" t="s">
        <v>1701</v>
      </c>
    </row>
    <row r="785" spans="1:21" ht="39.950000000000003" customHeight="1">
      <c r="A785" s="5" t="s">
        <v>1702</v>
      </c>
      <c r="B785" s="5" t="s">
        <v>1595</v>
      </c>
      <c r="C785" s="9" t="s">
        <v>1703</v>
      </c>
      <c r="D785" s="9" t="s">
        <v>3176</v>
      </c>
      <c r="E785" s="9" t="s">
        <v>90</v>
      </c>
      <c r="F785" s="5">
        <v>2028</v>
      </c>
      <c r="G785" s="5">
        <v>1426</v>
      </c>
      <c r="H785" s="5">
        <v>2031</v>
      </c>
      <c r="I785" s="5">
        <v>3192</v>
      </c>
      <c r="J785" s="5" t="s">
        <v>86</v>
      </c>
      <c r="K785" s="5">
        <v>30.8</v>
      </c>
      <c r="L785" s="5">
        <v>30.812100000000001</v>
      </c>
      <c r="M785" s="5">
        <v>1.21E-2</v>
      </c>
      <c r="N785" s="9" t="s">
        <v>11846</v>
      </c>
      <c r="O785" s="9" t="s">
        <v>11847</v>
      </c>
      <c r="P785" s="5">
        <v>2</v>
      </c>
      <c r="Q785" s="9"/>
      <c r="R785" s="9" t="s">
        <v>5369</v>
      </c>
      <c r="S785" s="9" t="str">
        <f>HYPERLINK("https://seichotoushi-hojo.jp/assets/pdf/koufu_3_4ji/outline_14.pdf","PDFを開く")</f>
        <v>PDFを開く</v>
      </c>
      <c r="T785" s="9" t="s">
        <v>1709</v>
      </c>
      <c r="U785" s="9" t="s">
        <v>1710</v>
      </c>
    </row>
    <row r="786" spans="1:21" ht="39.950000000000003" customHeight="1">
      <c r="A786" s="2" t="s">
        <v>1702</v>
      </c>
      <c r="B786" s="2" t="s">
        <v>1595</v>
      </c>
      <c r="C786" s="8" t="s">
        <v>1703</v>
      </c>
      <c r="D786" s="8" t="s">
        <v>3184</v>
      </c>
      <c r="E786" s="8" t="s">
        <v>90</v>
      </c>
      <c r="F786" s="2">
        <v>2028</v>
      </c>
      <c r="G786" s="2">
        <v>626</v>
      </c>
      <c r="H786" s="2">
        <v>2031</v>
      </c>
      <c r="I786" s="2">
        <v>746</v>
      </c>
      <c r="J786" s="2" t="s">
        <v>86</v>
      </c>
      <c r="K786" s="2">
        <v>6</v>
      </c>
      <c r="L786" s="2">
        <v>6.0201000000000002</v>
      </c>
      <c r="M786" s="2">
        <v>2.01E-2</v>
      </c>
      <c r="N786" s="8" t="s">
        <v>11846</v>
      </c>
      <c r="O786" s="8" t="s">
        <v>11847</v>
      </c>
      <c r="P786" s="2">
        <v>2</v>
      </c>
      <c r="Q786" s="8"/>
      <c r="R786" s="8" t="s">
        <v>5372</v>
      </c>
      <c r="S786" s="8" t="str">
        <f>HYPERLINK("https://seichotoushi-hojo.jp/assets/pdf/koufu_3_4ji/outline_14.pdf","PDFを開く")</f>
        <v>PDFを開く</v>
      </c>
      <c r="T786" s="8" t="s">
        <v>1709</v>
      </c>
      <c r="U786" s="8" t="s">
        <v>1710</v>
      </c>
    </row>
    <row r="787" spans="1:21" ht="39.950000000000003" customHeight="1">
      <c r="A787" s="5" t="s">
        <v>1702</v>
      </c>
      <c r="B787" s="5" t="s">
        <v>1595</v>
      </c>
      <c r="C787" s="9" t="s">
        <v>1703</v>
      </c>
      <c r="D787" s="9" t="s">
        <v>3188</v>
      </c>
      <c r="E787" s="9" t="s">
        <v>91</v>
      </c>
      <c r="F787" s="5">
        <v>2028</v>
      </c>
      <c r="G787" s="5"/>
      <c r="H787" s="5">
        <v>2031</v>
      </c>
      <c r="I787" s="5"/>
      <c r="J787" s="5" t="s">
        <v>86</v>
      </c>
      <c r="K787" s="5">
        <v>6</v>
      </c>
      <c r="L787" s="5"/>
      <c r="M787" s="5"/>
      <c r="N787" s="9" t="s">
        <v>11846</v>
      </c>
      <c r="O787" s="9" t="s">
        <v>11848</v>
      </c>
      <c r="P787" s="5">
        <v>2</v>
      </c>
      <c r="Q787" s="9"/>
      <c r="R787" s="9" t="s">
        <v>5376</v>
      </c>
      <c r="S787" s="9" t="str">
        <f>HYPERLINK("https://seichotoushi-hojo.jp/assets/pdf/koufu_3_4ji/outline_14.pdf","PDFを開く")</f>
        <v>PDFを開く</v>
      </c>
      <c r="T787" s="9" t="s">
        <v>1709</v>
      </c>
      <c r="U787" s="9" t="s">
        <v>1710</v>
      </c>
    </row>
    <row r="788" spans="1:21" ht="39.950000000000003" customHeight="1">
      <c r="A788" s="2" t="s">
        <v>1702</v>
      </c>
      <c r="B788" s="2" t="s">
        <v>1595</v>
      </c>
      <c r="C788" s="8" t="s">
        <v>1703</v>
      </c>
      <c r="D788" s="8" t="s">
        <v>3191</v>
      </c>
      <c r="E788" s="8" t="s">
        <v>92</v>
      </c>
      <c r="F788" s="2">
        <v>2028</v>
      </c>
      <c r="G788" s="2">
        <v>192</v>
      </c>
      <c r="H788" s="2">
        <v>2031</v>
      </c>
      <c r="I788" s="2">
        <v>198</v>
      </c>
      <c r="J788" s="2" t="s">
        <v>2513</v>
      </c>
      <c r="K788" s="2"/>
      <c r="L788" s="2"/>
      <c r="M788" s="2"/>
      <c r="N788" s="8" t="s">
        <v>11846</v>
      </c>
      <c r="O788" s="8" t="s">
        <v>11847</v>
      </c>
      <c r="P788" s="2">
        <v>2</v>
      </c>
      <c r="Q788" s="8"/>
      <c r="R788" s="8" t="s">
        <v>5374</v>
      </c>
      <c r="S788" s="8" t="str">
        <f>HYPERLINK("https://seichotoushi-hojo.jp/assets/pdf/koufu_3_4ji/outline_14.pdf","PDFを開く")</f>
        <v>PDFを開く</v>
      </c>
      <c r="T788" s="8" t="s">
        <v>1709</v>
      </c>
      <c r="U788" s="8" t="s">
        <v>1710</v>
      </c>
    </row>
    <row r="789" spans="1:21" ht="39.950000000000003" customHeight="1">
      <c r="A789" s="5" t="s">
        <v>1711</v>
      </c>
      <c r="B789" s="5" t="s">
        <v>1595</v>
      </c>
      <c r="C789" s="9" t="s">
        <v>1712</v>
      </c>
      <c r="D789" s="9" t="s">
        <v>3176</v>
      </c>
      <c r="E789" s="9" t="s">
        <v>90</v>
      </c>
      <c r="F789" s="5">
        <v>2027</v>
      </c>
      <c r="G789" s="5">
        <v>605</v>
      </c>
      <c r="H789" s="5">
        <v>2030</v>
      </c>
      <c r="I789" s="5">
        <v>975</v>
      </c>
      <c r="J789" s="5" t="s">
        <v>86</v>
      </c>
      <c r="K789" s="5">
        <v>17.2</v>
      </c>
      <c r="L789" s="5">
        <v>17.242000000000001</v>
      </c>
      <c r="M789" s="5">
        <v>4.2000000000000003E-2</v>
      </c>
      <c r="N789" s="9" t="s">
        <v>11846</v>
      </c>
      <c r="O789" s="9" t="s">
        <v>11847</v>
      </c>
      <c r="P789" s="5">
        <v>2</v>
      </c>
      <c r="Q789" s="9"/>
      <c r="R789" s="9" t="s">
        <v>5380</v>
      </c>
      <c r="S789" s="9" t="str">
        <f>HYPERLINK("https://seichotoushi-hojo.jp/assets/pdf/koufu_3_4ji/outline_140.pdf","PDFを開く")</f>
        <v>PDFを開く</v>
      </c>
      <c r="T789" s="9" t="s">
        <v>1717</v>
      </c>
      <c r="U789" s="9" t="s">
        <v>1718</v>
      </c>
    </row>
    <row r="790" spans="1:21" ht="39.950000000000003" customHeight="1">
      <c r="A790" s="2" t="s">
        <v>1711</v>
      </c>
      <c r="B790" s="2" t="s">
        <v>1595</v>
      </c>
      <c r="C790" s="8" t="s">
        <v>1712</v>
      </c>
      <c r="D790" s="8" t="s">
        <v>3184</v>
      </c>
      <c r="E790" s="8" t="s">
        <v>90</v>
      </c>
      <c r="F790" s="2">
        <v>2027</v>
      </c>
      <c r="G790" s="2">
        <v>357</v>
      </c>
      <c r="H790" s="2">
        <v>2030</v>
      </c>
      <c r="I790" s="2">
        <v>442</v>
      </c>
      <c r="J790" s="2" t="s">
        <v>86</v>
      </c>
      <c r="K790" s="2">
        <v>7.3</v>
      </c>
      <c r="L790" s="2">
        <v>7.3787000000000003</v>
      </c>
      <c r="M790" s="2">
        <v>7.8700000000000006E-2</v>
      </c>
      <c r="N790" s="8" t="s">
        <v>11846</v>
      </c>
      <c r="O790" s="8" t="s">
        <v>11847</v>
      </c>
      <c r="P790" s="2">
        <v>2</v>
      </c>
      <c r="Q790" s="8"/>
      <c r="R790" s="8" t="s">
        <v>5382</v>
      </c>
      <c r="S790" s="8" t="str">
        <f>HYPERLINK("https://seichotoushi-hojo.jp/assets/pdf/koufu_3_4ji/outline_140.pdf","PDFを開く")</f>
        <v>PDFを開く</v>
      </c>
      <c r="T790" s="8" t="s">
        <v>1717</v>
      </c>
      <c r="U790" s="8" t="s">
        <v>1718</v>
      </c>
    </row>
    <row r="791" spans="1:21" ht="39.950000000000003" customHeight="1">
      <c r="A791" s="5" t="s">
        <v>1711</v>
      </c>
      <c r="B791" s="5" t="s">
        <v>1595</v>
      </c>
      <c r="C791" s="9" t="s">
        <v>1712</v>
      </c>
      <c r="D791" s="9" t="s">
        <v>3188</v>
      </c>
      <c r="E791" s="9" t="s">
        <v>90</v>
      </c>
      <c r="F791" s="5">
        <v>2027</v>
      </c>
      <c r="G791" s="5">
        <v>1572</v>
      </c>
      <c r="H791" s="5">
        <v>2030</v>
      </c>
      <c r="I791" s="5">
        <v>1872</v>
      </c>
      <c r="J791" s="5" t="s">
        <v>86</v>
      </c>
      <c r="K791" s="5">
        <v>6</v>
      </c>
      <c r="L791" s="5">
        <v>5.9947999999999997</v>
      </c>
      <c r="M791" s="5">
        <v>5.1999999999999998E-3</v>
      </c>
      <c r="N791" s="9" t="s">
        <v>11846</v>
      </c>
      <c r="O791" s="9" t="s">
        <v>11847</v>
      </c>
      <c r="P791" s="5">
        <v>2</v>
      </c>
      <c r="Q791" s="9"/>
      <c r="R791" s="9" t="s">
        <v>5385</v>
      </c>
      <c r="S791" s="9" t="str">
        <f>HYPERLINK("https://seichotoushi-hojo.jp/assets/pdf/koufu_3_4ji/outline_140.pdf","PDFを開く")</f>
        <v>PDFを開く</v>
      </c>
      <c r="T791" s="9" t="s">
        <v>1717</v>
      </c>
      <c r="U791" s="9" t="s">
        <v>1718</v>
      </c>
    </row>
    <row r="792" spans="1:21" ht="39.950000000000003" customHeight="1">
      <c r="A792" s="2" t="s">
        <v>1711</v>
      </c>
      <c r="B792" s="2" t="s">
        <v>1595</v>
      </c>
      <c r="C792" s="8" t="s">
        <v>1712</v>
      </c>
      <c r="D792" s="8" t="s">
        <v>3191</v>
      </c>
      <c r="E792" s="8" t="s">
        <v>92</v>
      </c>
      <c r="F792" s="2">
        <v>2027</v>
      </c>
      <c r="G792" s="2">
        <v>318</v>
      </c>
      <c r="H792" s="2">
        <v>2030</v>
      </c>
      <c r="I792" s="2">
        <v>336</v>
      </c>
      <c r="J792" s="2" t="s">
        <v>2513</v>
      </c>
      <c r="K792" s="2"/>
      <c r="L792" s="2"/>
      <c r="M792" s="2"/>
      <c r="N792" s="8" t="s">
        <v>11846</v>
      </c>
      <c r="O792" s="8" t="s">
        <v>11847</v>
      </c>
      <c r="P792" s="2">
        <v>2</v>
      </c>
      <c r="Q792" s="8"/>
      <c r="R792" s="8" t="s">
        <v>5387</v>
      </c>
      <c r="S792" s="8" t="str">
        <f>HYPERLINK("https://seichotoushi-hojo.jp/assets/pdf/koufu_3_4ji/outline_140.pdf","PDFを開く")</f>
        <v>PDFを開く</v>
      </c>
      <c r="T792" s="8" t="s">
        <v>1717</v>
      </c>
      <c r="U792" s="8" t="s">
        <v>1718</v>
      </c>
    </row>
    <row r="793" spans="1:21" ht="39.950000000000003" customHeight="1">
      <c r="A793" s="5" t="s">
        <v>1719</v>
      </c>
      <c r="B793" s="5" t="s">
        <v>1595</v>
      </c>
      <c r="C793" s="9" t="s">
        <v>1720</v>
      </c>
      <c r="D793" s="9" t="s">
        <v>3176</v>
      </c>
      <c r="E793" s="9" t="s">
        <v>90</v>
      </c>
      <c r="F793" s="5">
        <v>2026</v>
      </c>
      <c r="G793" s="5">
        <v>1076</v>
      </c>
      <c r="H793" s="5">
        <v>2029</v>
      </c>
      <c r="I793" s="5">
        <v>2024</v>
      </c>
      <c r="J793" s="5" t="s">
        <v>86</v>
      </c>
      <c r="K793" s="5">
        <v>23.4</v>
      </c>
      <c r="L793" s="5">
        <v>23.442900000000002</v>
      </c>
      <c r="M793" s="5">
        <v>4.2900000000000001E-2</v>
      </c>
      <c r="N793" s="9" t="s">
        <v>11846</v>
      </c>
      <c r="O793" s="9" t="s">
        <v>11847</v>
      </c>
      <c r="P793" s="5">
        <v>2</v>
      </c>
      <c r="Q793" s="9"/>
      <c r="R793" s="9" t="s">
        <v>5390</v>
      </c>
      <c r="S793" s="9" t="str">
        <f>HYPERLINK("https://seichotoushi-hojo.jp/assets/pdf/koufu_3_4ji/outline_15.pdf","PDFを開く")</f>
        <v>PDFを開く</v>
      </c>
      <c r="T793" s="9" t="s">
        <v>1725</v>
      </c>
      <c r="U793" s="9" t="s">
        <v>1726</v>
      </c>
    </row>
    <row r="794" spans="1:21" ht="39.950000000000003" customHeight="1">
      <c r="A794" s="2" t="s">
        <v>1719</v>
      </c>
      <c r="B794" s="2" t="s">
        <v>1595</v>
      </c>
      <c r="C794" s="8" t="s">
        <v>1720</v>
      </c>
      <c r="D794" s="8" t="s">
        <v>3184</v>
      </c>
      <c r="E794" s="8" t="s">
        <v>90</v>
      </c>
      <c r="F794" s="2">
        <v>2026</v>
      </c>
      <c r="G794" s="2">
        <v>526</v>
      </c>
      <c r="H794" s="2">
        <v>2029</v>
      </c>
      <c r="I794" s="2">
        <v>626</v>
      </c>
      <c r="J794" s="2" t="s">
        <v>86</v>
      </c>
      <c r="K794" s="2">
        <v>6</v>
      </c>
      <c r="L794" s="2">
        <v>5.9732000000000003</v>
      </c>
      <c r="M794" s="2">
        <v>2.6800000000000001E-2</v>
      </c>
      <c r="N794" s="8" t="s">
        <v>11846</v>
      </c>
      <c r="O794" s="8" t="s">
        <v>11847</v>
      </c>
      <c r="P794" s="2">
        <v>2</v>
      </c>
      <c r="Q794" s="8"/>
      <c r="R794" s="8" t="s">
        <v>5393</v>
      </c>
      <c r="S794" s="8" t="str">
        <f>HYPERLINK("https://seichotoushi-hojo.jp/assets/pdf/koufu_3_4ji/outline_15.pdf","PDFを開く")</f>
        <v>PDFを開く</v>
      </c>
      <c r="T794" s="8" t="s">
        <v>1725</v>
      </c>
      <c r="U794" s="8" t="s">
        <v>1726</v>
      </c>
    </row>
    <row r="795" spans="1:21" ht="39.950000000000003" customHeight="1">
      <c r="A795" s="5" t="s">
        <v>1719</v>
      </c>
      <c r="B795" s="5" t="s">
        <v>1595</v>
      </c>
      <c r="C795" s="9" t="s">
        <v>1720</v>
      </c>
      <c r="D795" s="9" t="s">
        <v>3188</v>
      </c>
      <c r="E795" s="9" t="s">
        <v>91</v>
      </c>
      <c r="F795" s="5">
        <v>2026</v>
      </c>
      <c r="G795" s="5"/>
      <c r="H795" s="5">
        <v>2029</v>
      </c>
      <c r="I795" s="5"/>
      <c r="J795" s="5" t="s">
        <v>86</v>
      </c>
      <c r="K795" s="5">
        <v>6</v>
      </c>
      <c r="L795" s="5"/>
      <c r="M795" s="5"/>
      <c r="N795" s="9" t="s">
        <v>11846</v>
      </c>
      <c r="O795" s="9" t="s">
        <v>11848</v>
      </c>
      <c r="P795" s="5">
        <v>2</v>
      </c>
      <c r="Q795" s="9"/>
      <c r="R795" s="9" t="s">
        <v>5376</v>
      </c>
      <c r="S795" s="9" t="str">
        <f>HYPERLINK("https://seichotoushi-hojo.jp/assets/pdf/koufu_3_4ji/outline_15.pdf","PDFを開く")</f>
        <v>PDFを開く</v>
      </c>
      <c r="T795" s="9" t="s">
        <v>1725</v>
      </c>
      <c r="U795" s="9" t="s">
        <v>1726</v>
      </c>
    </row>
    <row r="796" spans="1:21" ht="39.950000000000003" customHeight="1">
      <c r="A796" s="2" t="s">
        <v>1719</v>
      </c>
      <c r="B796" s="2" t="s">
        <v>1595</v>
      </c>
      <c r="C796" s="8" t="s">
        <v>1720</v>
      </c>
      <c r="D796" s="8" t="s">
        <v>3191</v>
      </c>
      <c r="E796" s="8" t="s">
        <v>92</v>
      </c>
      <c r="F796" s="2">
        <v>2026</v>
      </c>
      <c r="G796" s="2">
        <v>74</v>
      </c>
      <c r="H796" s="2">
        <v>2029</v>
      </c>
      <c r="I796" s="2">
        <v>88</v>
      </c>
      <c r="J796" s="2" t="s">
        <v>2513</v>
      </c>
      <c r="K796" s="2"/>
      <c r="L796" s="2"/>
      <c r="M796" s="2"/>
      <c r="N796" s="8" t="s">
        <v>11846</v>
      </c>
      <c r="O796" s="8" t="s">
        <v>11847</v>
      </c>
      <c r="P796" s="2">
        <v>2</v>
      </c>
      <c r="Q796" s="8"/>
      <c r="R796" s="8" t="s">
        <v>5394</v>
      </c>
      <c r="S796" s="8" t="str">
        <f>HYPERLINK("https://seichotoushi-hojo.jp/assets/pdf/koufu_3_4ji/outline_15.pdf","PDFを開く")</f>
        <v>PDFを開く</v>
      </c>
      <c r="T796" s="8" t="s">
        <v>1725</v>
      </c>
      <c r="U796" s="8" t="s">
        <v>1726</v>
      </c>
    </row>
    <row r="797" spans="1:21" ht="39.950000000000003" customHeight="1">
      <c r="A797" s="5" t="s">
        <v>1727</v>
      </c>
      <c r="B797" s="5" t="s">
        <v>1595</v>
      </c>
      <c r="C797" s="9" t="s">
        <v>1728</v>
      </c>
      <c r="D797" s="9" t="s">
        <v>3176</v>
      </c>
      <c r="E797" s="22" t="s">
        <v>113</v>
      </c>
      <c r="F797" s="5">
        <v>2026</v>
      </c>
      <c r="G797" s="5">
        <v>830</v>
      </c>
      <c r="H797" s="5">
        <v>2029</v>
      </c>
      <c r="I797" s="5">
        <v>1136</v>
      </c>
      <c r="J797" s="5" t="s">
        <v>86</v>
      </c>
      <c r="K797" s="5">
        <v>12.8</v>
      </c>
      <c r="L797" s="5">
        <v>11.0282</v>
      </c>
      <c r="M797" s="5">
        <v>1.7718</v>
      </c>
      <c r="N797" s="9" t="s">
        <v>11846</v>
      </c>
      <c r="O797" s="9" t="s">
        <v>292</v>
      </c>
      <c r="P797" s="5">
        <v>2</v>
      </c>
      <c r="Q797" s="9" t="s">
        <v>11849</v>
      </c>
      <c r="R797" s="9" t="s">
        <v>5403</v>
      </c>
      <c r="S797" s="9" t="str">
        <f>HYPERLINK("https://seichotoushi-hojo.jp/assets/pdf/koufu_3_4ji/outline_151.pdf","PDFを開く")</f>
        <v>PDFを開く</v>
      </c>
      <c r="T797" s="9" t="s">
        <v>1732</v>
      </c>
      <c r="U797" s="9" t="s">
        <v>1733</v>
      </c>
    </row>
    <row r="798" spans="1:21" ht="39.950000000000003" customHeight="1">
      <c r="A798" s="2" t="s">
        <v>1727</v>
      </c>
      <c r="B798" s="2" t="s">
        <v>1595</v>
      </c>
      <c r="C798" s="8" t="s">
        <v>1728</v>
      </c>
      <c r="D798" s="8" t="s">
        <v>3184</v>
      </c>
      <c r="E798" s="8" t="s">
        <v>166</v>
      </c>
      <c r="F798" s="2">
        <v>2026</v>
      </c>
      <c r="G798" s="2">
        <v>512</v>
      </c>
      <c r="H798" s="2">
        <v>2029</v>
      </c>
      <c r="I798" s="2">
        <v>627</v>
      </c>
      <c r="J798" s="2" t="s">
        <v>86</v>
      </c>
      <c r="K798" s="2">
        <v>7</v>
      </c>
      <c r="L798" s="2">
        <v>6.9874000000000001</v>
      </c>
      <c r="M798" s="2">
        <v>1.26E-2</v>
      </c>
      <c r="N798" s="8" t="s">
        <v>11846</v>
      </c>
      <c r="O798" s="8" t="s">
        <v>292</v>
      </c>
      <c r="P798" s="2">
        <v>2</v>
      </c>
      <c r="Q798" s="8"/>
      <c r="R798" s="8" t="s">
        <v>5405</v>
      </c>
      <c r="S798" s="8" t="str">
        <f>HYPERLINK("https://seichotoushi-hojo.jp/assets/pdf/koufu_3_4ji/outline_151.pdf","PDFを開く")</f>
        <v>PDFを開く</v>
      </c>
      <c r="T798" s="8" t="s">
        <v>1732</v>
      </c>
      <c r="U798" s="8" t="s">
        <v>1733</v>
      </c>
    </row>
    <row r="799" spans="1:21" ht="39.950000000000003" customHeight="1">
      <c r="A799" s="5" t="s">
        <v>1727</v>
      </c>
      <c r="B799" s="5" t="s">
        <v>1595</v>
      </c>
      <c r="C799" s="9" t="s">
        <v>1728</v>
      </c>
      <c r="D799" s="9" t="s">
        <v>3188</v>
      </c>
      <c r="E799" s="9" t="s">
        <v>156</v>
      </c>
      <c r="F799" s="5"/>
      <c r="G799" s="5"/>
      <c r="H799" s="5"/>
      <c r="I799" s="5"/>
      <c r="J799" s="5"/>
      <c r="K799" s="5"/>
      <c r="L799" s="5"/>
      <c r="M799" s="5"/>
      <c r="N799" s="9" t="s">
        <v>11850</v>
      </c>
      <c r="O799" s="9"/>
      <c r="P799" s="5"/>
      <c r="Q799" s="9" t="s">
        <v>11851</v>
      </c>
      <c r="R799" s="9"/>
      <c r="S799" s="9" t="str">
        <f>HYPERLINK("https://seichotoushi-hojo.jp/assets/pdf/koufu_3_4ji/outline_151.pdf","PDFを開く")</f>
        <v>PDFを開く</v>
      </c>
      <c r="T799" s="9" t="s">
        <v>1732</v>
      </c>
      <c r="U799" s="9" t="s">
        <v>1733</v>
      </c>
    </row>
    <row r="800" spans="1:21" ht="39.950000000000003" customHeight="1">
      <c r="A800" s="2" t="s">
        <v>1727</v>
      </c>
      <c r="B800" s="2" t="s">
        <v>1595</v>
      </c>
      <c r="C800" s="8" t="s">
        <v>1728</v>
      </c>
      <c r="D800" s="8" t="s">
        <v>3191</v>
      </c>
      <c r="E800" s="8" t="s">
        <v>166</v>
      </c>
      <c r="F800" s="2">
        <v>2026</v>
      </c>
      <c r="G800" s="2">
        <v>55</v>
      </c>
      <c r="H800" s="2">
        <v>2029</v>
      </c>
      <c r="I800" s="2">
        <v>60</v>
      </c>
      <c r="J800" s="2" t="s">
        <v>2513</v>
      </c>
      <c r="K800" s="2"/>
      <c r="L800" s="2"/>
      <c r="M800" s="2"/>
      <c r="N800" s="8" t="s">
        <v>11846</v>
      </c>
      <c r="O800" s="8" t="s">
        <v>292</v>
      </c>
      <c r="P800" s="2">
        <v>2</v>
      </c>
      <c r="Q800" s="8"/>
      <c r="R800" s="8" t="s">
        <v>5406</v>
      </c>
      <c r="S800" s="8" t="str">
        <f>HYPERLINK("https://seichotoushi-hojo.jp/assets/pdf/koufu_3_4ji/outline_151.pdf","PDFを開く")</f>
        <v>PDFを開く</v>
      </c>
      <c r="T800" s="8" t="s">
        <v>1732</v>
      </c>
      <c r="U800" s="8" t="s">
        <v>1733</v>
      </c>
    </row>
    <row r="801" spans="1:21" ht="39.950000000000003" customHeight="1">
      <c r="A801" s="5" t="s">
        <v>1734</v>
      </c>
      <c r="B801" s="5" t="s">
        <v>1595</v>
      </c>
      <c r="C801" s="9" t="s">
        <v>1735</v>
      </c>
      <c r="D801" s="9" t="s">
        <v>3176</v>
      </c>
      <c r="E801" s="9" t="s">
        <v>90</v>
      </c>
      <c r="F801" s="5">
        <v>2027</v>
      </c>
      <c r="G801" s="5">
        <v>1439</v>
      </c>
      <c r="H801" s="5">
        <v>2030</v>
      </c>
      <c r="I801" s="5">
        <v>2258</v>
      </c>
      <c r="J801" s="5" t="s">
        <v>86</v>
      </c>
      <c r="K801" s="5">
        <v>16.2</v>
      </c>
      <c r="L801" s="5">
        <v>16.204000000000001</v>
      </c>
      <c r="M801" s="5">
        <v>4.0000000000000001E-3</v>
      </c>
      <c r="N801" s="9" t="s">
        <v>11846</v>
      </c>
      <c r="O801" s="9" t="s">
        <v>11847</v>
      </c>
      <c r="P801" s="5">
        <v>2</v>
      </c>
      <c r="Q801" s="9"/>
      <c r="R801" s="9" t="s">
        <v>5408</v>
      </c>
      <c r="S801" s="9" t="str">
        <f>HYPERLINK("https://seichotoushi-hojo.jp/assets/pdf/koufu_3_4ji/outline_16.pdf","PDFを開く")</f>
        <v>PDFを開く</v>
      </c>
      <c r="T801" s="9" t="s">
        <v>1738</v>
      </c>
      <c r="U801" s="9" t="s">
        <v>1739</v>
      </c>
    </row>
    <row r="802" spans="1:21" ht="39.950000000000003" customHeight="1">
      <c r="A802" s="2" t="s">
        <v>1734</v>
      </c>
      <c r="B802" s="2" t="s">
        <v>1595</v>
      </c>
      <c r="C802" s="8" t="s">
        <v>1735</v>
      </c>
      <c r="D802" s="8" t="s">
        <v>3184</v>
      </c>
      <c r="E802" s="8" t="s">
        <v>90</v>
      </c>
      <c r="F802" s="2">
        <v>2027</v>
      </c>
      <c r="G802" s="2">
        <v>424</v>
      </c>
      <c r="H802" s="2">
        <v>2030</v>
      </c>
      <c r="I802" s="2">
        <v>508</v>
      </c>
      <c r="J802" s="2" t="s">
        <v>86</v>
      </c>
      <c r="K802" s="2">
        <v>6.2</v>
      </c>
      <c r="L802" s="2">
        <v>6.2100999999999997</v>
      </c>
      <c r="M802" s="2">
        <v>1.01E-2</v>
      </c>
      <c r="N802" s="8" t="s">
        <v>11846</v>
      </c>
      <c r="O802" s="8" t="s">
        <v>11847</v>
      </c>
      <c r="P802" s="2">
        <v>2</v>
      </c>
      <c r="Q802" s="8"/>
      <c r="R802" s="8" t="s">
        <v>5410</v>
      </c>
      <c r="S802" s="8" t="str">
        <f>HYPERLINK("https://seichotoushi-hojo.jp/assets/pdf/koufu_3_4ji/outline_16.pdf","PDFを開く")</f>
        <v>PDFを開く</v>
      </c>
      <c r="T802" s="8" t="s">
        <v>1738</v>
      </c>
      <c r="U802" s="8" t="s">
        <v>1739</v>
      </c>
    </row>
    <row r="803" spans="1:21" ht="39.950000000000003" customHeight="1">
      <c r="A803" s="5" t="s">
        <v>1734</v>
      </c>
      <c r="B803" s="5" t="s">
        <v>1595</v>
      </c>
      <c r="C803" s="9" t="s">
        <v>1735</v>
      </c>
      <c r="D803" s="9" t="s">
        <v>3188</v>
      </c>
      <c r="E803" s="9" t="s">
        <v>91</v>
      </c>
      <c r="F803" s="5">
        <v>2027</v>
      </c>
      <c r="G803" s="5"/>
      <c r="H803" s="5">
        <v>2030</v>
      </c>
      <c r="I803" s="5"/>
      <c r="J803" s="5" t="s">
        <v>86</v>
      </c>
      <c r="K803" s="5">
        <v>6.2</v>
      </c>
      <c r="L803" s="5"/>
      <c r="M803" s="5"/>
      <c r="N803" s="9" t="s">
        <v>11846</v>
      </c>
      <c r="O803" s="9" t="s">
        <v>11848</v>
      </c>
      <c r="P803" s="5">
        <v>2</v>
      </c>
      <c r="Q803" s="9"/>
      <c r="R803" s="9" t="s">
        <v>5414</v>
      </c>
      <c r="S803" s="9" t="str">
        <f>HYPERLINK("https://seichotoushi-hojo.jp/assets/pdf/koufu_3_4ji/outline_16.pdf","PDFを開く")</f>
        <v>PDFを開く</v>
      </c>
      <c r="T803" s="9" t="s">
        <v>1738</v>
      </c>
      <c r="U803" s="9" t="s">
        <v>1739</v>
      </c>
    </row>
    <row r="804" spans="1:21" ht="39.950000000000003" customHeight="1">
      <c r="A804" s="2" t="s">
        <v>1734</v>
      </c>
      <c r="B804" s="2" t="s">
        <v>1595</v>
      </c>
      <c r="C804" s="8" t="s">
        <v>1735</v>
      </c>
      <c r="D804" s="8" t="s">
        <v>3191</v>
      </c>
      <c r="E804" s="8" t="s">
        <v>92</v>
      </c>
      <c r="F804" s="2">
        <v>2027</v>
      </c>
      <c r="G804" s="2">
        <v>75</v>
      </c>
      <c r="H804" s="2">
        <v>2030</v>
      </c>
      <c r="I804" s="2">
        <v>111</v>
      </c>
      <c r="J804" s="2" t="s">
        <v>2513</v>
      </c>
      <c r="K804" s="2"/>
      <c r="L804" s="2"/>
      <c r="M804" s="2"/>
      <c r="N804" s="8" t="s">
        <v>11846</v>
      </c>
      <c r="O804" s="8" t="s">
        <v>11847</v>
      </c>
      <c r="P804" s="2">
        <v>2</v>
      </c>
      <c r="Q804" s="8"/>
      <c r="R804" s="8" t="s">
        <v>5412</v>
      </c>
      <c r="S804" s="8" t="str">
        <f>HYPERLINK("https://seichotoushi-hojo.jp/assets/pdf/koufu_3_4ji/outline_16.pdf","PDFを開く")</f>
        <v>PDFを開く</v>
      </c>
      <c r="T804" s="8" t="s">
        <v>1738</v>
      </c>
      <c r="U804" s="8" t="s">
        <v>1739</v>
      </c>
    </row>
    <row r="805" spans="1:21" ht="39.950000000000003" customHeight="1">
      <c r="A805" s="5" t="s">
        <v>1740</v>
      </c>
      <c r="B805" s="5" t="s">
        <v>1595</v>
      </c>
      <c r="C805" s="9" t="s">
        <v>1741</v>
      </c>
      <c r="D805" s="9" t="s">
        <v>3176</v>
      </c>
      <c r="E805" s="22" t="s">
        <v>113</v>
      </c>
      <c r="F805" s="5">
        <v>2028</v>
      </c>
      <c r="G805" s="5">
        <v>476</v>
      </c>
      <c r="H805" s="5">
        <v>2031</v>
      </c>
      <c r="I805" s="5">
        <v>1647</v>
      </c>
      <c r="J805" s="5" t="s">
        <v>86</v>
      </c>
      <c r="K805" s="5">
        <v>49.5</v>
      </c>
      <c r="L805" s="5">
        <v>51.250100000000003</v>
      </c>
      <c r="M805" s="5">
        <v>1.7501</v>
      </c>
      <c r="N805" s="9" t="s">
        <v>11846</v>
      </c>
      <c r="O805" s="9" t="s">
        <v>292</v>
      </c>
      <c r="P805" s="5">
        <v>2</v>
      </c>
      <c r="Q805" s="9" t="s">
        <v>11849</v>
      </c>
      <c r="R805" s="9" t="s">
        <v>5425</v>
      </c>
      <c r="S805" s="9" t="str">
        <f>HYPERLINK("https://seichotoushi-hojo.jp/assets/pdf/koufu_3_4ji/outline_17.pdf","PDFを開く")</f>
        <v>PDFを開く</v>
      </c>
      <c r="T805" s="9" t="s">
        <v>1746</v>
      </c>
      <c r="U805" s="9" t="s">
        <v>1747</v>
      </c>
    </row>
    <row r="806" spans="1:21" ht="39.950000000000003" customHeight="1">
      <c r="A806" s="2" t="s">
        <v>1740</v>
      </c>
      <c r="B806" s="2" t="s">
        <v>1595</v>
      </c>
      <c r="C806" s="8" t="s">
        <v>1741</v>
      </c>
      <c r="D806" s="8" t="s">
        <v>3184</v>
      </c>
      <c r="E806" s="8" t="s">
        <v>90</v>
      </c>
      <c r="F806" s="2">
        <v>2028</v>
      </c>
      <c r="G806" s="2">
        <v>427</v>
      </c>
      <c r="H806" s="2">
        <v>2031</v>
      </c>
      <c r="I806" s="2">
        <v>495</v>
      </c>
      <c r="J806" s="2" t="s">
        <v>86</v>
      </c>
      <c r="K806" s="2">
        <v>5</v>
      </c>
      <c r="L806" s="2">
        <v>5.0491000000000001</v>
      </c>
      <c r="M806" s="2">
        <v>4.9099999999999998E-2</v>
      </c>
      <c r="N806" s="8" t="s">
        <v>11846</v>
      </c>
      <c r="O806" s="8" t="s">
        <v>11847</v>
      </c>
      <c r="P806" s="2">
        <v>2</v>
      </c>
      <c r="Q806" s="8"/>
      <c r="R806" s="8" t="s">
        <v>5422</v>
      </c>
      <c r="S806" s="8" t="str">
        <f>HYPERLINK("https://seichotoushi-hojo.jp/assets/pdf/koufu_3_4ji/outline_17.pdf","PDFを開く")</f>
        <v>PDFを開く</v>
      </c>
      <c r="T806" s="8" t="s">
        <v>1746</v>
      </c>
      <c r="U806" s="8" t="s">
        <v>1747</v>
      </c>
    </row>
    <row r="807" spans="1:21" ht="39.950000000000003" customHeight="1">
      <c r="A807" s="5" t="s">
        <v>1740</v>
      </c>
      <c r="B807" s="5" t="s">
        <v>1595</v>
      </c>
      <c r="C807" s="9" t="s">
        <v>1741</v>
      </c>
      <c r="D807" s="9" t="s">
        <v>3188</v>
      </c>
      <c r="E807" s="9" t="s">
        <v>156</v>
      </c>
      <c r="F807" s="5"/>
      <c r="G807" s="5"/>
      <c r="H807" s="5"/>
      <c r="I807" s="5"/>
      <c r="J807" s="5"/>
      <c r="K807" s="5"/>
      <c r="L807" s="5"/>
      <c r="M807" s="5"/>
      <c r="N807" s="9" t="s">
        <v>11850</v>
      </c>
      <c r="O807" s="9"/>
      <c r="P807" s="5"/>
      <c r="Q807" s="9" t="s">
        <v>11851</v>
      </c>
      <c r="R807" s="9"/>
      <c r="S807" s="9" t="str">
        <f>HYPERLINK("https://seichotoushi-hojo.jp/assets/pdf/koufu_3_4ji/outline_17.pdf","PDFを開く")</f>
        <v>PDFを開く</v>
      </c>
      <c r="T807" s="9" t="s">
        <v>1746</v>
      </c>
      <c r="U807" s="9" t="s">
        <v>1747</v>
      </c>
    </row>
    <row r="808" spans="1:21" ht="39.950000000000003" customHeight="1">
      <c r="A808" s="2" t="s">
        <v>1740</v>
      </c>
      <c r="B808" s="2" t="s">
        <v>1595</v>
      </c>
      <c r="C808" s="8" t="s">
        <v>1741</v>
      </c>
      <c r="D808" s="8" t="s">
        <v>3191</v>
      </c>
      <c r="E808" s="8" t="s">
        <v>166</v>
      </c>
      <c r="F808" s="2">
        <v>2028</v>
      </c>
      <c r="G808" s="2">
        <v>140</v>
      </c>
      <c r="H808" s="2">
        <v>2031</v>
      </c>
      <c r="I808" s="2">
        <v>268</v>
      </c>
      <c r="J808" s="2" t="s">
        <v>2513</v>
      </c>
      <c r="K808" s="2"/>
      <c r="L808" s="2"/>
      <c r="M808" s="2"/>
      <c r="N808" s="8" t="s">
        <v>11846</v>
      </c>
      <c r="O808" s="8" t="s">
        <v>292</v>
      </c>
      <c r="P808" s="2">
        <v>2</v>
      </c>
      <c r="Q808" s="8"/>
      <c r="R808" s="8" t="s">
        <v>5427</v>
      </c>
      <c r="S808" s="8" t="str">
        <f>HYPERLINK("https://seichotoushi-hojo.jp/assets/pdf/koufu_3_4ji/outline_17.pdf","PDFを開く")</f>
        <v>PDFを開く</v>
      </c>
      <c r="T808" s="8" t="s">
        <v>1746</v>
      </c>
      <c r="U808" s="8" t="s">
        <v>1747</v>
      </c>
    </row>
    <row r="809" spans="1:21" ht="39.950000000000003" customHeight="1">
      <c r="A809" s="5" t="s">
        <v>1748</v>
      </c>
      <c r="B809" s="5" t="s">
        <v>1595</v>
      </c>
      <c r="C809" s="9" t="s">
        <v>1749</v>
      </c>
      <c r="D809" s="9" t="s">
        <v>3176</v>
      </c>
      <c r="E809" s="9" t="s">
        <v>90</v>
      </c>
      <c r="F809" s="5">
        <v>2028</v>
      </c>
      <c r="G809" s="5">
        <v>1088</v>
      </c>
      <c r="H809" s="5">
        <v>2031</v>
      </c>
      <c r="I809" s="5">
        <v>2888</v>
      </c>
      <c r="J809" s="5" t="s">
        <v>86</v>
      </c>
      <c r="K809" s="5">
        <v>38.5</v>
      </c>
      <c r="L809" s="5">
        <v>38.459499999999998</v>
      </c>
      <c r="M809" s="5">
        <v>4.0500000000000001E-2</v>
      </c>
      <c r="N809" s="9" t="s">
        <v>11846</v>
      </c>
      <c r="O809" s="9" t="s">
        <v>11847</v>
      </c>
      <c r="P809" s="5">
        <v>2</v>
      </c>
      <c r="Q809" s="9"/>
      <c r="R809" s="9" t="s">
        <v>5429</v>
      </c>
      <c r="S809" s="9" t="str">
        <f>HYPERLINK("https://seichotoushi-hojo.jp/assets/pdf/koufu_3_4ji/outline_173.pdf","PDFを開く")</f>
        <v>PDFを開く</v>
      </c>
      <c r="T809" s="9" t="s">
        <v>1753</v>
      </c>
      <c r="U809" s="9" t="s">
        <v>1754</v>
      </c>
    </row>
    <row r="810" spans="1:21" ht="39.950000000000003" customHeight="1">
      <c r="A810" s="2" t="s">
        <v>1748</v>
      </c>
      <c r="B810" s="2" t="s">
        <v>1595</v>
      </c>
      <c r="C810" s="8" t="s">
        <v>1749</v>
      </c>
      <c r="D810" s="8" t="s">
        <v>3184</v>
      </c>
      <c r="E810" s="8" t="s">
        <v>90</v>
      </c>
      <c r="F810" s="2">
        <v>2028</v>
      </c>
      <c r="G810" s="2">
        <v>444</v>
      </c>
      <c r="H810" s="2">
        <v>2031</v>
      </c>
      <c r="I810" s="2">
        <v>559</v>
      </c>
      <c r="J810" s="2" t="s">
        <v>86</v>
      </c>
      <c r="K810" s="2">
        <v>8</v>
      </c>
      <c r="L810" s="2">
        <v>7.9798999999999998</v>
      </c>
      <c r="M810" s="2">
        <v>2.01E-2</v>
      </c>
      <c r="N810" s="8" t="s">
        <v>11846</v>
      </c>
      <c r="O810" s="8" t="s">
        <v>11847</v>
      </c>
      <c r="P810" s="2">
        <v>2</v>
      </c>
      <c r="Q810" s="8"/>
      <c r="R810" s="8" t="s">
        <v>5432</v>
      </c>
      <c r="S810" s="8" t="str">
        <f>HYPERLINK("https://seichotoushi-hojo.jp/assets/pdf/koufu_3_4ji/outline_173.pdf","PDFを開く")</f>
        <v>PDFを開く</v>
      </c>
      <c r="T810" s="8" t="s">
        <v>1753</v>
      </c>
      <c r="U810" s="8" t="s">
        <v>1754</v>
      </c>
    </row>
    <row r="811" spans="1:21" ht="39.950000000000003" customHeight="1">
      <c r="A811" s="5" t="s">
        <v>1748</v>
      </c>
      <c r="B811" s="5" t="s">
        <v>1595</v>
      </c>
      <c r="C811" s="9" t="s">
        <v>1749</v>
      </c>
      <c r="D811" s="9" t="s">
        <v>3188</v>
      </c>
      <c r="E811" s="9" t="s">
        <v>91</v>
      </c>
      <c r="F811" s="5">
        <v>2028</v>
      </c>
      <c r="G811" s="5"/>
      <c r="H811" s="5">
        <v>2031</v>
      </c>
      <c r="I811" s="5"/>
      <c r="J811" s="5" t="s">
        <v>86</v>
      </c>
      <c r="K811" s="5">
        <v>6</v>
      </c>
      <c r="L811" s="5"/>
      <c r="M811" s="5"/>
      <c r="N811" s="9" t="s">
        <v>11846</v>
      </c>
      <c r="O811" s="9" t="s">
        <v>11848</v>
      </c>
      <c r="P811" s="5">
        <v>2</v>
      </c>
      <c r="Q811" s="9"/>
      <c r="R811" s="9" t="s">
        <v>5376</v>
      </c>
      <c r="S811" s="9" t="str">
        <f>HYPERLINK("https://seichotoushi-hojo.jp/assets/pdf/koufu_3_4ji/outline_173.pdf","PDFを開く")</f>
        <v>PDFを開く</v>
      </c>
      <c r="T811" s="9" t="s">
        <v>1753</v>
      </c>
      <c r="U811" s="9" t="s">
        <v>1754</v>
      </c>
    </row>
    <row r="812" spans="1:21" ht="39.950000000000003" customHeight="1">
      <c r="A812" s="2" t="s">
        <v>1748</v>
      </c>
      <c r="B812" s="2" t="s">
        <v>1595</v>
      </c>
      <c r="C812" s="8" t="s">
        <v>1749</v>
      </c>
      <c r="D812" s="8" t="s">
        <v>3191</v>
      </c>
      <c r="E812" s="8" t="s">
        <v>92</v>
      </c>
      <c r="F812" s="2">
        <v>2028</v>
      </c>
      <c r="G812" s="2">
        <v>30</v>
      </c>
      <c r="H812" s="2">
        <v>2031</v>
      </c>
      <c r="I812" s="2">
        <v>130</v>
      </c>
      <c r="J812" s="2" t="s">
        <v>2513</v>
      </c>
      <c r="K812" s="2"/>
      <c r="L812" s="2"/>
      <c r="M812" s="2"/>
      <c r="N812" s="8" t="s">
        <v>11846</v>
      </c>
      <c r="O812" s="8" t="s">
        <v>11847</v>
      </c>
      <c r="P812" s="2">
        <v>2</v>
      </c>
      <c r="Q812" s="8"/>
      <c r="R812" s="8" t="s">
        <v>5434</v>
      </c>
      <c r="S812" s="8" t="str">
        <f>HYPERLINK("https://seichotoushi-hojo.jp/assets/pdf/koufu_3_4ji/outline_173.pdf","PDFを開く")</f>
        <v>PDFを開く</v>
      </c>
      <c r="T812" s="8" t="s">
        <v>1753</v>
      </c>
      <c r="U812" s="8" t="s">
        <v>1754</v>
      </c>
    </row>
    <row r="813" spans="1:21" ht="39.950000000000003" customHeight="1">
      <c r="A813" s="5" t="s">
        <v>1755</v>
      </c>
      <c r="B813" s="5" t="s">
        <v>1595</v>
      </c>
      <c r="C813" s="9" t="s">
        <v>1756</v>
      </c>
      <c r="D813" s="9" t="s">
        <v>3176</v>
      </c>
      <c r="E813" s="9" t="s">
        <v>90</v>
      </c>
      <c r="F813" s="5">
        <v>2027</v>
      </c>
      <c r="G813" s="5">
        <v>1195</v>
      </c>
      <c r="H813" s="5">
        <v>2030</v>
      </c>
      <c r="I813" s="5">
        <v>2379</v>
      </c>
      <c r="J813" s="5" t="s">
        <v>86</v>
      </c>
      <c r="K813" s="5">
        <v>25.8</v>
      </c>
      <c r="L813" s="5">
        <v>25.798500000000001</v>
      </c>
      <c r="M813" s="5">
        <v>1.5E-3</v>
      </c>
      <c r="N813" s="9" t="s">
        <v>11846</v>
      </c>
      <c r="O813" s="9" t="s">
        <v>11847</v>
      </c>
      <c r="P813" s="5">
        <v>2</v>
      </c>
      <c r="Q813" s="9"/>
      <c r="R813" s="9" t="s">
        <v>5438</v>
      </c>
      <c r="S813" s="9" t="str">
        <f>HYPERLINK("https://seichotoushi-hojo.jp/assets/pdf/koufu_3_4ji/outline_18.pdf","PDFを開く")</f>
        <v>PDFを開く</v>
      </c>
      <c r="T813" s="9" t="s">
        <v>1759</v>
      </c>
      <c r="U813" s="9" t="s">
        <v>1760</v>
      </c>
    </row>
    <row r="814" spans="1:21" ht="39.950000000000003" customHeight="1">
      <c r="A814" s="2" t="s">
        <v>1755</v>
      </c>
      <c r="B814" s="2" t="s">
        <v>1595</v>
      </c>
      <c r="C814" s="8" t="s">
        <v>1756</v>
      </c>
      <c r="D814" s="8" t="s">
        <v>3184</v>
      </c>
      <c r="E814" s="8" t="s">
        <v>90</v>
      </c>
      <c r="F814" s="2">
        <v>2027</v>
      </c>
      <c r="G814" s="2">
        <v>493</v>
      </c>
      <c r="H814" s="2">
        <v>2030</v>
      </c>
      <c r="I814" s="2">
        <v>596</v>
      </c>
      <c r="J814" s="2" t="s">
        <v>86</v>
      </c>
      <c r="K814" s="2">
        <v>6.5</v>
      </c>
      <c r="L814" s="2">
        <v>6.5286999999999997</v>
      </c>
      <c r="M814" s="2">
        <v>2.87E-2</v>
      </c>
      <c r="N814" s="8" t="s">
        <v>11846</v>
      </c>
      <c r="O814" s="8" t="s">
        <v>11847</v>
      </c>
      <c r="P814" s="2">
        <v>2</v>
      </c>
      <c r="Q814" s="8"/>
      <c r="R814" s="8" t="s">
        <v>5440</v>
      </c>
      <c r="S814" s="8" t="str">
        <f>HYPERLINK("https://seichotoushi-hojo.jp/assets/pdf/koufu_3_4ji/outline_18.pdf","PDFを開く")</f>
        <v>PDFを開く</v>
      </c>
      <c r="T814" s="8" t="s">
        <v>1759</v>
      </c>
      <c r="U814" s="8" t="s">
        <v>1760</v>
      </c>
    </row>
    <row r="815" spans="1:21" ht="39.950000000000003" customHeight="1">
      <c r="A815" s="5" t="s">
        <v>1755</v>
      </c>
      <c r="B815" s="5" t="s">
        <v>1595</v>
      </c>
      <c r="C815" s="9" t="s">
        <v>1756</v>
      </c>
      <c r="D815" s="9" t="s">
        <v>3188</v>
      </c>
      <c r="E815" s="9" t="s">
        <v>91</v>
      </c>
      <c r="F815" s="5">
        <v>2027</v>
      </c>
      <c r="G815" s="5"/>
      <c r="H815" s="5">
        <v>2030</v>
      </c>
      <c r="I815" s="5"/>
      <c r="J815" s="5" t="s">
        <v>86</v>
      </c>
      <c r="K815" s="5">
        <v>6.5</v>
      </c>
      <c r="L815" s="5"/>
      <c r="M815" s="5"/>
      <c r="N815" s="9" t="s">
        <v>11846</v>
      </c>
      <c r="O815" s="9" t="s">
        <v>11848</v>
      </c>
      <c r="P815" s="5">
        <v>2</v>
      </c>
      <c r="Q815" s="9"/>
      <c r="R815" s="9" t="s">
        <v>5445</v>
      </c>
      <c r="S815" s="9" t="str">
        <f>HYPERLINK("https://seichotoushi-hojo.jp/assets/pdf/koufu_3_4ji/outline_18.pdf","PDFを開く")</f>
        <v>PDFを開く</v>
      </c>
      <c r="T815" s="9" t="s">
        <v>1759</v>
      </c>
      <c r="U815" s="9" t="s">
        <v>1760</v>
      </c>
    </row>
    <row r="816" spans="1:21" ht="39.950000000000003" customHeight="1">
      <c r="A816" s="2" t="s">
        <v>1755</v>
      </c>
      <c r="B816" s="2" t="s">
        <v>1595</v>
      </c>
      <c r="C816" s="8" t="s">
        <v>1756</v>
      </c>
      <c r="D816" s="8" t="s">
        <v>3191</v>
      </c>
      <c r="E816" s="8" t="s">
        <v>92</v>
      </c>
      <c r="F816" s="2">
        <v>2027</v>
      </c>
      <c r="G816" s="2">
        <v>155</v>
      </c>
      <c r="H816" s="2">
        <v>2030</v>
      </c>
      <c r="I816" s="2">
        <v>191</v>
      </c>
      <c r="J816" s="2" t="s">
        <v>2513</v>
      </c>
      <c r="K816" s="2"/>
      <c r="L816" s="2"/>
      <c r="M816" s="2"/>
      <c r="N816" s="8" t="s">
        <v>11846</v>
      </c>
      <c r="O816" s="8" t="s">
        <v>11847</v>
      </c>
      <c r="P816" s="2">
        <v>2</v>
      </c>
      <c r="Q816" s="8"/>
      <c r="R816" s="8" t="s">
        <v>5443</v>
      </c>
      <c r="S816" s="8" t="str">
        <f>HYPERLINK("https://seichotoushi-hojo.jp/assets/pdf/koufu_3_4ji/outline_18.pdf","PDFを開く")</f>
        <v>PDFを開く</v>
      </c>
      <c r="T816" s="8" t="s">
        <v>1759</v>
      </c>
      <c r="U816" s="8" t="s">
        <v>1760</v>
      </c>
    </row>
    <row r="817" spans="1:21" ht="39.950000000000003" customHeight="1">
      <c r="A817" s="5" t="s">
        <v>1761</v>
      </c>
      <c r="B817" s="5" t="s">
        <v>1595</v>
      </c>
      <c r="C817" s="9" t="s">
        <v>1762</v>
      </c>
      <c r="D817" s="9" t="s">
        <v>3176</v>
      </c>
      <c r="E817" s="9" t="s">
        <v>90</v>
      </c>
      <c r="F817" s="5">
        <v>2027</v>
      </c>
      <c r="G817" s="5">
        <v>949</v>
      </c>
      <c r="H817" s="5">
        <v>2030</v>
      </c>
      <c r="I817" s="5">
        <v>2294</v>
      </c>
      <c r="J817" s="5" t="s">
        <v>86</v>
      </c>
      <c r="K817" s="5">
        <v>34.200000000000003</v>
      </c>
      <c r="L817" s="5">
        <v>34.2072</v>
      </c>
      <c r="M817" s="5">
        <v>7.1999999999999998E-3</v>
      </c>
      <c r="N817" s="9" t="s">
        <v>11846</v>
      </c>
      <c r="O817" s="9" t="s">
        <v>11847</v>
      </c>
      <c r="P817" s="5">
        <v>2</v>
      </c>
      <c r="Q817" s="9"/>
      <c r="R817" s="9" t="s">
        <v>5449</v>
      </c>
      <c r="S817" s="9" t="str">
        <f>HYPERLINK("https://seichotoushi-hojo.jp/assets/pdf/koufu_3_4ji/outline_185.pdf","PDFを開く")</f>
        <v>PDFを開く</v>
      </c>
      <c r="T817" s="9" t="s">
        <v>1767</v>
      </c>
      <c r="U817" s="9" t="s">
        <v>1768</v>
      </c>
    </row>
    <row r="818" spans="1:21" ht="39.950000000000003" customHeight="1">
      <c r="A818" s="2" t="s">
        <v>1761</v>
      </c>
      <c r="B818" s="2" t="s">
        <v>1595</v>
      </c>
      <c r="C818" s="8" t="s">
        <v>1762</v>
      </c>
      <c r="D818" s="8" t="s">
        <v>3184</v>
      </c>
      <c r="E818" s="8" t="s">
        <v>90</v>
      </c>
      <c r="F818" s="2">
        <v>2027</v>
      </c>
      <c r="G818" s="2">
        <v>404</v>
      </c>
      <c r="H818" s="2">
        <v>2030</v>
      </c>
      <c r="I818" s="2">
        <v>482</v>
      </c>
      <c r="J818" s="2" t="s">
        <v>86</v>
      </c>
      <c r="K818" s="2">
        <v>6</v>
      </c>
      <c r="L818" s="2">
        <v>6.0609000000000002</v>
      </c>
      <c r="M818" s="2">
        <v>6.0900000000000003E-2</v>
      </c>
      <c r="N818" s="8" t="s">
        <v>11846</v>
      </c>
      <c r="O818" s="8" t="s">
        <v>11847</v>
      </c>
      <c r="P818" s="2">
        <v>2</v>
      </c>
      <c r="Q818" s="8"/>
      <c r="R818" s="8" t="s">
        <v>5452</v>
      </c>
      <c r="S818" s="8" t="str">
        <f>HYPERLINK("https://seichotoushi-hojo.jp/assets/pdf/koufu_3_4ji/outline_185.pdf","PDFを開く")</f>
        <v>PDFを開く</v>
      </c>
      <c r="T818" s="8" t="s">
        <v>1767</v>
      </c>
      <c r="U818" s="8" t="s">
        <v>1768</v>
      </c>
    </row>
    <row r="819" spans="1:21" ht="39.950000000000003" customHeight="1">
      <c r="A819" s="5" t="s">
        <v>1761</v>
      </c>
      <c r="B819" s="5" t="s">
        <v>1595</v>
      </c>
      <c r="C819" s="9" t="s">
        <v>1762</v>
      </c>
      <c r="D819" s="9" t="s">
        <v>3188</v>
      </c>
      <c r="E819" s="9" t="s">
        <v>156</v>
      </c>
      <c r="F819" s="5"/>
      <c r="G819" s="5"/>
      <c r="H819" s="5"/>
      <c r="I819" s="5"/>
      <c r="J819" s="5"/>
      <c r="K819" s="5"/>
      <c r="L819" s="5"/>
      <c r="M819" s="5"/>
      <c r="N819" s="9" t="s">
        <v>11850</v>
      </c>
      <c r="O819" s="9"/>
      <c r="P819" s="5"/>
      <c r="Q819" s="9" t="s">
        <v>11851</v>
      </c>
      <c r="R819" s="9"/>
      <c r="S819" s="9" t="str">
        <f>HYPERLINK("https://seichotoushi-hojo.jp/assets/pdf/koufu_3_4ji/outline_185.pdf","PDFを開く")</f>
        <v>PDFを開く</v>
      </c>
      <c r="T819" s="9" t="s">
        <v>1767</v>
      </c>
      <c r="U819" s="9" t="s">
        <v>1768</v>
      </c>
    </row>
    <row r="820" spans="1:21" ht="39.950000000000003" customHeight="1">
      <c r="A820" s="2" t="s">
        <v>1761</v>
      </c>
      <c r="B820" s="2" t="s">
        <v>1595</v>
      </c>
      <c r="C820" s="8" t="s">
        <v>1762</v>
      </c>
      <c r="D820" s="8" t="s">
        <v>3191</v>
      </c>
      <c r="E820" s="8" t="s">
        <v>92</v>
      </c>
      <c r="F820" s="2">
        <v>2027</v>
      </c>
      <c r="G820" s="2">
        <v>7</v>
      </c>
      <c r="H820" s="2">
        <v>2030</v>
      </c>
      <c r="I820" s="2">
        <v>27</v>
      </c>
      <c r="J820" s="2" t="s">
        <v>2513</v>
      </c>
      <c r="K820" s="2">
        <v>56.8</v>
      </c>
      <c r="L820" s="2"/>
      <c r="M820" s="2"/>
      <c r="N820" s="8" t="s">
        <v>11846</v>
      </c>
      <c r="O820" s="8" t="s">
        <v>11847</v>
      </c>
      <c r="P820" s="2">
        <v>2</v>
      </c>
      <c r="Q820" s="8"/>
      <c r="R820" s="8" t="s">
        <v>5454</v>
      </c>
      <c r="S820" s="8" t="str">
        <f>HYPERLINK("https://seichotoushi-hojo.jp/assets/pdf/koufu_3_4ji/outline_185.pdf","PDFを開く")</f>
        <v>PDFを開く</v>
      </c>
      <c r="T820" s="8" t="s">
        <v>1767</v>
      </c>
      <c r="U820" s="8" t="s">
        <v>1768</v>
      </c>
    </row>
    <row r="821" spans="1:21" ht="39.950000000000003" customHeight="1">
      <c r="A821" s="5" t="s">
        <v>1769</v>
      </c>
      <c r="B821" s="5" t="s">
        <v>1595</v>
      </c>
      <c r="C821" s="9" t="s">
        <v>1770</v>
      </c>
      <c r="D821" s="9" t="s">
        <v>3176</v>
      </c>
      <c r="E821" s="9" t="s">
        <v>90</v>
      </c>
      <c r="F821" s="5">
        <v>2027</v>
      </c>
      <c r="G821" s="5">
        <v>7685</v>
      </c>
      <c r="H821" s="5">
        <v>2030</v>
      </c>
      <c r="I821" s="5">
        <v>24892</v>
      </c>
      <c r="J821" s="5" t="s">
        <v>86</v>
      </c>
      <c r="K821" s="5">
        <v>48</v>
      </c>
      <c r="L821" s="5">
        <v>47.958100000000002</v>
      </c>
      <c r="M821" s="5">
        <v>4.19E-2</v>
      </c>
      <c r="N821" s="9" t="s">
        <v>11846</v>
      </c>
      <c r="O821" s="9" t="s">
        <v>11847</v>
      </c>
      <c r="P821" s="5">
        <v>2</v>
      </c>
      <c r="Q821" s="9"/>
      <c r="R821" s="9" t="s">
        <v>5456</v>
      </c>
      <c r="S821" s="9" t="str">
        <f>HYPERLINK("https://seichotoushi-hojo.jp/assets/pdf/koufu_3_4ji/outline_186.pdf","PDFを開く")</f>
        <v>PDFを開く</v>
      </c>
      <c r="T821" s="9" t="s">
        <v>1774</v>
      </c>
      <c r="U821" s="9" t="s">
        <v>1775</v>
      </c>
    </row>
    <row r="822" spans="1:21" ht="39.950000000000003" customHeight="1">
      <c r="A822" s="2" t="s">
        <v>1769</v>
      </c>
      <c r="B822" s="2" t="s">
        <v>1595</v>
      </c>
      <c r="C822" s="8" t="s">
        <v>1770</v>
      </c>
      <c r="D822" s="8" t="s">
        <v>3184</v>
      </c>
      <c r="E822" s="8" t="s">
        <v>90</v>
      </c>
      <c r="F822" s="2">
        <v>2027</v>
      </c>
      <c r="G822" s="2">
        <v>842</v>
      </c>
      <c r="H822" s="2">
        <v>2030</v>
      </c>
      <c r="I822" s="2">
        <v>1054</v>
      </c>
      <c r="J822" s="2" t="s">
        <v>86</v>
      </c>
      <c r="K822" s="2">
        <v>7.8</v>
      </c>
      <c r="L822" s="2">
        <v>7.7728999999999999</v>
      </c>
      <c r="M822" s="2">
        <v>2.7099999999999999E-2</v>
      </c>
      <c r="N822" s="8" t="s">
        <v>11846</v>
      </c>
      <c r="O822" s="8" t="s">
        <v>11847</v>
      </c>
      <c r="P822" s="2">
        <v>2</v>
      </c>
      <c r="Q822" s="8"/>
      <c r="R822" s="8" t="s">
        <v>5459</v>
      </c>
      <c r="S822" s="8" t="str">
        <f>HYPERLINK("https://seichotoushi-hojo.jp/assets/pdf/koufu_3_4ji/outline_186.pdf","PDFを開く")</f>
        <v>PDFを開く</v>
      </c>
      <c r="T822" s="8" t="s">
        <v>1774</v>
      </c>
      <c r="U822" s="8" t="s">
        <v>1775</v>
      </c>
    </row>
    <row r="823" spans="1:21" ht="39.950000000000003" customHeight="1">
      <c r="A823" s="5" t="s">
        <v>1769</v>
      </c>
      <c r="B823" s="5" t="s">
        <v>1595</v>
      </c>
      <c r="C823" s="9" t="s">
        <v>1770</v>
      </c>
      <c r="D823" s="9" t="s">
        <v>3188</v>
      </c>
      <c r="E823" s="9" t="s">
        <v>91</v>
      </c>
      <c r="F823" s="5">
        <v>2027</v>
      </c>
      <c r="G823" s="5"/>
      <c r="H823" s="5">
        <v>2030</v>
      </c>
      <c r="I823" s="5"/>
      <c r="J823" s="5" t="s">
        <v>86</v>
      </c>
      <c r="K823" s="5">
        <v>5</v>
      </c>
      <c r="L823" s="5"/>
      <c r="M823" s="5"/>
      <c r="N823" s="9" t="s">
        <v>11846</v>
      </c>
      <c r="O823" s="9" t="s">
        <v>11848</v>
      </c>
      <c r="P823" s="5">
        <v>2</v>
      </c>
      <c r="Q823" s="9"/>
      <c r="R823" s="9" t="s">
        <v>3382</v>
      </c>
      <c r="S823" s="9" t="str">
        <f>HYPERLINK("https://seichotoushi-hojo.jp/assets/pdf/koufu_3_4ji/outline_186.pdf","PDFを開く")</f>
        <v>PDFを開く</v>
      </c>
      <c r="T823" s="9" t="s">
        <v>1774</v>
      </c>
      <c r="U823" s="9" t="s">
        <v>1775</v>
      </c>
    </row>
    <row r="824" spans="1:21" ht="39.950000000000003" customHeight="1">
      <c r="A824" s="2" t="s">
        <v>1769</v>
      </c>
      <c r="B824" s="2" t="s">
        <v>1595</v>
      </c>
      <c r="C824" s="8" t="s">
        <v>1770</v>
      </c>
      <c r="D824" s="8" t="s">
        <v>3191</v>
      </c>
      <c r="E824" s="8" t="s">
        <v>92</v>
      </c>
      <c r="F824" s="2">
        <v>2027</v>
      </c>
      <c r="G824" s="2">
        <v>38</v>
      </c>
      <c r="H824" s="2">
        <v>2030</v>
      </c>
      <c r="I824" s="2">
        <v>66</v>
      </c>
      <c r="J824" s="2" t="s">
        <v>2513</v>
      </c>
      <c r="K824" s="2"/>
      <c r="L824" s="2"/>
      <c r="M824" s="2"/>
      <c r="N824" s="8" t="s">
        <v>11846</v>
      </c>
      <c r="O824" s="8" t="s">
        <v>11847</v>
      </c>
      <c r="P824" s="2">
        <v>2</v>
      </c>
      <c r="Q824" s="8"/>
      <c r="R824" s="8" t="s">
        <v>5461</v>
      </c>
      <c r="S824" s="8" t="str">
        <f>HYPERLINK("https://seichotoushi-hojo.jp/assets/pdf/koufu_3_4ji/outline_186.pdf","PDFを開く")</f>
        <v>PDFを開く</v>
      </c>
      <c r="T824" s="8" t="s">
        <v>1774</v>
      </c>
      <c r="U824" s="8" t="s">
        <v>1775</v>
      </c>
    </row>
    <row r="825" spans="1:21" ht="39.950000000000003" customHeight="1">
      <c r="A825" s="5" t="s">
        <v>1776</v>
      </c>
      <c r="B825" s="5" t="s">
        <v>1595</v>
      </c>
      <c r="C825" s="9" t="s">
        <v>1777</v>
      </c>
      <c r="D825" s="9" t="s">
        <v>3176</v>
      </c>
      <c r="E825" s="9" t="s">
        <v>90</v>
      </c>
      <c r="F825" s="5">
        <v>2027</v>
      </c>
      <c r="G825" s="5">
        <v>3220</v>
      </c>
      <c r="H825" s="5">
        <v>2030</v>
      </c>
      <c r="I825" s="5">
        <v>14857</v>
      </c>
      <c r="J825" s="5" t="s">
        <v>86</v>
      </c>
      <c r="K825" s="5">
        <v>66.5</v>
      </c>
      <c r="L825" s="5">
        <v>66.4786</v>
      </c>
      <c r="M825" s="5">
        <v>2.1399999999999999E-2</v>
      </c>
      <c r="N825" s="9" t="s">
        <v>11846</v>
      </c>
      <c r="O825" s="9" t="s">
        <v>11847</v>
      </c>
      <c r="P825" s="5">
        <v>2</v>
      </c>
      <c r="Q825" s="9"/>
      <c r="R825" s="9" t="s">
        <v>5466</v>
      </c>
      <c r="S825" s="9" t="str">
        <f>HYPERLINK("https://seichotoushi-hojo.jp/assets/pdf/koufu_3_4ji/outline_188.pdf","PDFを開く")</f>
        <v>PDFを開く</v>
      </c>
      <c r="T825" s="9" t="s">
        <v>1782</v>
      </c>
      <c r="U825" s="9" t="s">
        <v>1783</v>
      </c>
    </row>
    <row r="826" spans="1:21" ht="39.950000000000003" customHeight="1">
      <c r="A826" s="2" t="s">
        <v>1776</v>
      </c>
      <c r="B826" s="2" t="s">
        <v>1595</v>
      </c>
      <c r="C826" s="8" t="s">
        <v>1777</v>
      </c>
      <c r="D826" s="8" t="s">
        <v>3184</v>
      </c>
      <c r="E826" s="8" t="s">
        <v>90</v>
      </c>
      <c r="F826" s="2">
        <v>2027</v>
      </c>
      <c r="G826" s="2">
        <v>764</v>
      </c>
      <c r="H826" s="2">
        <v>2030</v>
      </c>
      <c r="I826" s="2">
        <v>1017</v>
      </c>
      <c r="J826" s="2" t="s">
        <v>86</v>
      </c>
      <c r="K826" s="2">
        <v>10</v>
      </c>
      <c r="L826" s="2">
        <v>10.004200000000001</v>
      </c>
      <c r="M826" s="2">
        <v>4.1999999999999997E-3</v>
      </c>
      <c r="N826" s="8" t="s">
        <v>11846</v>
      </c>
      <c r="O826" s="8" t="s">
        <v>11847</v>
      </c>
      <c r="P826" s="2">
        <v>2</v>
      </c>
      <c r="Q826" s="8"/>
      <c r="R826" s="8" t="s">
        <v>5468</v>
      </c>
      <c r="S826" s="8" t="str">
        <f>HYPERLINK("https://seichotoushi-hojo.jp/assets/pdf/koufu_3_4ji/outline_188.pdf","PDFを開く")</f>
        <v>PDFを開く</v>
      </c>
      <c r="T826" s="8" t="s">
        <v>1782</v>
      </c>
      <c r="U826" s="8" t="s">
        <v>1783</v>
      </c>
    </row>
    <row r="827" spans="1:21" ht="39.950000000000003" customHeight="1">
      <c r="A827" s="5" t="s">
        <v>1776</v>
      </c>
      <c r="B827" s="5" t="s">
        <v>1595</v>
      </c>
      <c r="C827" s="9" t="s">
        <v>1777</v>
      </c>
      <c r="D827" s="9" t="s">
        <v>3188</v>
      </c>
      <c r="E827" s="9" t="s">
        <v>91</v>
      </c>
      <c r="F827" s="5">
        <v>2027</v>
      </c>
      <c r="G827" s="5"/>
      <c r="H827" s="5">
        <v>2030</v>
      </c>
      <c r="I827" s="5"/>
      <c r="J827" s="5" t="s">
        <v>86</v>
      </c>
      <c r="K827" s="5">
        <v>5</v>
      </c>
      <c r="L827" s="5"/>
      <c r="M827" s="5"/>
      <c r="N827" s="9" t="s">
        <v>11846</v>
      </c>
      <c r="O827" s="9" t="s">
        <v>11848</v>
      </c>
      <c r="P827" s="5">
        <v>2</v>
      </c>
      <c r="Q827" s="9"/>
      <c r="R827" s="9" t="s">
        <v>3382</v>
      </c>
      <c r="S827" s="9" t="str">
        <f>HYPERLINK("https://seichotoushi-hojo.jp/assets/pdf/koufu_3_4ji/outline_188.pdf","PDFを開く")</f>
        <v>PDFを開く</v>
      </c>
      <c r="T827" s="9" t="s">
        <v>1782</v>
      </c>
      <c r="U827" s="9" t="s">
        <v>1783</v>
      </c>
    </row>
    <row r="828" spans="1:21" ht="39.950000000000003" customHeight="1">
      <c r="A828" s="2" t="s">
        <v>1776</v>
      </c>
      <c r="B828" s="2" t="s">
        <v>1595</v>
      </c>
      <c r="C828" s="8" t="s">
        <v>1777</v>
      </c>
      <c r="D828" s="8" t="s">
        <v>3191</v>
      </c>
      <c r="E828" s="8" t="s">
        <v>92</v>
      </c>
      <c r="F828" s="2">
        <v>2027</v>
      </c>
      <c r="G828" s="2">
        <v>47</v>
      </c>
      <c r="H828" s="2">
        <v>2030</v>
      </c>
      <c r="I828" s="2">
        <v>60</v>
      </c>
      <c r="J828" s="2" t="s">
        <v>2513</v>
      </c>
      <c r="K828" s="2"/>
      <c r="L828" s="2"/>
      <c r="M828" s="2"/>
      <c r="N828" s="8" t="s">
        <v>11846</v>
      </c>
      <c r="O828" s="8" t="s">
        <v>11847</v>
      </c>
      <c r="P828" s="2">
        <v>2</v>
      </c>
      <c r="Q828" s="8"/>
      <c r="R828" s="8" t="s">
        <v>5469</v>
      </c>
      <c r="S828" s="8" t="str">
        <f>HYPERLINK("https://seichotoushi-hojo.jp/assets/pdf/koufu_3_4ji/outline_188.pdf","PDFを開く")</f>
        <v>PDFを開く</v>
      </c>
      <c r="T828" s="8" t="s">
        <v>1782</v>
      </c>
      <c r="U828" s="8" t="s">
        <v>1783</v>
      </c>
    </row>
    <row r="829" spans="1:21" ht="39.950000000000003" customHeight="1">
      <c r="A829" s="5" t="s">
        <v>1784</v>
      </c>
      <c r="B829" s="5" t="s">
        <v>1595</v>
      </c>
      <c r="C829" s="9" t="s">
        <v>1785</v>
      </c>
      <c r="D829" s="9" t="s">
        <v>3176</v>
      </c>
      <c r="E829" s="9" t="s">
        <v>166</v>
      </c>
      <c r="F829" s="5">
        <v>2027</v>
      </c>
      <c r="G829" s="5">
        <v>3668</v>
      </c>
      <c r="H829" s="5">
        <v>2030</v>
      </c>
      <c r="I829" s="5">
        <v>6529</v>
      </c>
      <c r="J829" s="5" t="s">
        <v>86</v>
      </c>
      <c r="K829" s="5">
        <v>21.2</v>
      </c>
      <c r="L829" s="5">
        <v>21.191600000000001</v>
      </c>
      <c r="M829" s="5">
        <v>8.3999999999999995E-3</v>
      </c>
      <c r="N829" s="9" t="s">
        <v>11846</v>
      </c>
      <c r="O829" s="9" t="s">
        <v>292</v>
      </c>
      <c r="P829" s="5">
        <v>2</v>
      </c>
      <c r="Q829" s="9"/>
      <c r="R829" s="9" t="s">
        <v>5483</v>
      </c>
      <c r="S829" s="9" t="str">
        <f>HYPERLINK("https://seichotoushi-hojo.jp/assets/pdf/koufu_3_4ji/outline_19.pdf","PDFを開く")</f>
        <v>PDFを開く</v>
      </c>
      <c r="T829" s="9" t="s">
        <v>1789</v>
      </c>
      <c r="U829" s="9" t="s">
        <v>1790</v>
      </c>
    </row>
    <row r="830" spans="1:21" ht="39.950000000000003" customHeight="1">
      <c r="A830" s="2" t="s">
        <v>1784</v>
      </c>
      <c r="B830" s="2" t="s">
        <v>1595</v>
      </c>
      <c r="C830" s="8" t="s">
        <v>1785</v>
      </c>
      <c r="D830" s="8" t="s">
        <v>3184</v>
      </c>
      <c r="E830" s="8" t="s">
        <v>166</v>
      </c>
      <c r="F830" s="2">
        <v>2027</v>
      </c>
      <c r="G830" s="2">
        <v>599</v>
      </c>
      <c r="H830" s="2">
        <v>2030</v>
      </c>
      <c r="I830" s="2">
        <v>719</v>
      </c>
      <c r="J830" s="2" t="s">
        <v>86</v>
      </c>
      <c r="K830" s="2">
        <v>6.3</v>
      </c>
      <c r="L830" s="2">
        <v>6.2756999999999996</v>
      </c>
      <c r="M830" s="2">
        <v>2.4299999999999999E-2</v>
      </c>
      <c r="N830" s="8" t="s">
        <v>11846</v>
      </c>
      <c r="O830" s="8" t="s">
        <v>292</v>
      </c>
      <c r="P830" s="2">
        <v>2</v>
      </c>
      <c r="Q830" s="8"/>
      <c r="R830" s="8" t="s">
        <v>5485</v>
      </c>
      <c r="S830" s="8" t="str">
        <f>HYPERLINK("https://seichotoushi-hojo.jp/assets/pdf/koufu_3_4ji/outline_19.pdf","PDFを開く")</f>
        <v>PDFを開く</v>
      </c>
      <c r="T830" s="8" t="s">
        <v>1789</v>
      </c>
      <c r="U830" s="8" t="s">
        <v>1790</v>
      </c>
    </row>
    <row r="831" spans="1:21" ht="39.950000000000003" customHeight="1">
      <c r="A831" s="5" t="s">
        <v>1784</v>
      </c>
      <c r="B831" s="5" t="s">
        <v>1595</v>
      </c>
      <c r="C831" s="9" t="s">
        <v>1785</v>
      </c>
      <c r="D831" s="9" t="s">
        <v>3188</v>
      </c>
      <c r="E831" s="9" t="s">
        <v>166</v>
      </c>
      <c r="F831" s="5">
        <v>2027</v>
      </c>
      <c r="G831" s="5">
        <v>98</v>
      </c>
      <c r="H831" s="5">
        <v>2030</v>
      </c>
      <c r="I831" s="5">
        <v>101</v>
      </c>
      <c r="J831" s="5" t="s">
        <v>86</v>
      </c>
      <c r="K831" s="5">
        <v>1</v>
      </c>
      <c r="L831" s="5">
        <v>1.0102</v>
      </c>
      <c r="M831" s="5">
        <v>1.0200000000000001E-2</v>
      </c>
      <c r="N831" s="9" t="s">
        <v>11846</v>
      </c>
      <c r="O831" s="9" t="s">
        <v>292</v>
      </c>
      <c r="P831" s="5">
        <v>2</v>
      </c>
      <c r="Q831" s="9"/>
      <c r="R831" s="9" t="s">
        <v>5487</v>
      </c>
      <c r="S831" s="9" t="str">
        <f>HYPERLINK("https://seichotoushi-hojo.jp/assets/pdf/koufu_3_4ji/outline_19.pdf","PDFを開く")</f>
        <v>PDFを開く</v>
      </c>
      <c r="T831" s="9" t="s">
        <v>1789</v>
      </c>
      <c r="U831" s="9" t="s">
        <v>1790</v>
      </c>
    </row>
    <row r="832" spans="1:21" ht="39.950000000000003" customHeight="1">
      <c r="A832" s="2" t="s">
        <v>1784</v>
      </c>
      <c r="B832" s="2" t="s">
        <v>1595</v>
      </c>
      <c r="C832" s="8" t="s">
        <v>1785</v>
      </c>
      <c r="D832" s="8" t="s">
        <v>3191</v>
      </c>
      <c r="E832" s="8" t="s">
        <v>166</v>
      </c>
      <c r="F832" s="2">
        <v>2027</v>
      </c>
      <c r="G832" s="2">
        <v>98</v>
      </c>
      <c r="H832" s="2">
        <v>2030</v>
      </c>
      <c r="I832" s="2">
        <v>101</v>
      </c>
      <c r="J832" s="2" t="s">
        <v>2513</v>
      </c>
      <c r="K832" s="2">
        <v>1</v>
      </c>
      <c r="L832" s="2"/>
      <c r="M832" s="2"/>
      <c r="N832" s="8" t="s">
        <v>11846</v>
      </c>
      <c r="O832" s="8" t="s">
        <v>292</v>
      </c>
      <c r="P832" s="2">
        <v>2</v>
      </c>
      <c r="Q832" s="8"/>
      <c r="R832" s="8" t="s">
        <v>5487</v>
      </c>
      <c r="S832" s="8" t="str">
        <f>HYPERLINK("https://seichotoushi-hojo.jp/assets/pdf/koufu_3_4ji/outline_19.pdf","PDFを開く")</f>
        <v>PDFを開く</v>
      </c>
      <c r="T832" s="8" t="s">
        <v>1789</v>
      </c>
      <c r="U832" s="8" t="s">
        <v>1790</v>
      </c>
    </row>
    <row r="833" spans="1:21" ht="39.950000000000003" customHeight="1">
      <c r="A833" s="5" t="s">
        <v>1791</v>
      </c>
      <c r="B833" s="5" t="s">
        <v>1595</v>
      </c>
      <c r="C833" s="9" t="s">
        <v>1792</v>
      </c>
      <c r="D833" s="9" t="s">
        <v>3176</v>
      </c>
      <c r="E833" s="9" t="s">
        <v>90</v>
      </c>
      <c r="F833" s="5">
        <v>2028</v>
      </c>
      <c r="G833" s="5">
        <v>630</v>
      </c>
      <c r="H833" s="5">
        <v>2031</v>
      </c>
      <c r="I833" s="5">
        <v>1208</v>
      </c>
      <c r="J833" s="5" t="s">
        <v>86</v>
      </c>
      <c r="K833" s="5">
        <v>24.2</v>
      </c>
      <c r="L833" s="5">
        <v>24.234500000000001</v>
      </c>
      <c r="M833" s="5">
        <v>3.4500000000000003E-2</v>
      </c>
      <c r="N833" s="9" t="s">
        <v>11846</v>
      </c>
      <c r="O833" s="9" t="s">
        <v>11847</v>
      </c>
      <c r="P833" s="5">
        <v>2</v>
      </c>
      <c r="Q833" s="9"/>
      <c r="R833" s="9" t="s">
        <v>5489</v>
      </c>
      <c r="S833" s="9" t="str">
        <f>HYPERLINK("https://seichotoushi-hojo.jp/assets/pdf/koufu_3_4ji/outline_190.pdf","PDFを開く")</f>
        <v>PDFを開く</v>
      </c>
      <c r="T833" s="9" t="s">
        <v>1796</v>
      </c>
      <c r="U833" s="9" t="s">
        <v>1797</v>
      </c>
    </row>
    <row r="834" spans="1:21" ht="39.950000000000003" customHeight="1">
      <c r="A834" s="2" t="s">
        <v>1791</v>
      </c>
      <c r="B834" s="2" t="s">
        <v>1595</v>
      </c>
      <c r="C834" s="8" t="s">
        <v>1792</v>
      </c>
      <c r="D834" s="8" t="s">
        <v>3184</v>
      </c>
      <c r="E834" s="8" t="s">
        <v>90</v>
      </c>
      <c r="F834" s="2">
        <v>2028</v>
      </c>
      <c r="G834" s="2">
        <v>513</v>
      </c>
      <c r="H834" s="2">
        <v>2031</v>
      </c>
      <c r="I834" s="2">
        <v>602</v>
      </c>
      <c r="J834" s="2" t="s">
        <v>86</v>
      </c>
      <c r="K834" s="2">
        <v>5.5</v>
      </c>
      <c r="L834" s="2">
        <v>5.4775</v>
      </c>
      <c r="M834" s="2">
        <v>2.2499999999999999E-2</v>
      </c>
      <c r="N834" s="8" t="s">
        <v>11846</v>
      </c>
      <c r="O834" s="8" t="s">
        <v>11847</v>
      </c>
      <c r="P834" s="2">
        <v>2</v>
      </c>
      <c r="Q834" s="8"/>
      <c r="R834" s="8" t="s">
        <v>5492</v>
      </c>
      <c r="S834" s="8" t="str">
        <f>HYPERLINK("https://seichotoushi-hojo.jp/assets/pdf/koufu_3_4ji/outline_190.pdf","PDFを開く")</f>
        <v>PDFを開く</v>
      </c>
      <c r="T834" s="8" t="s">
        <v>1796</v>
      </c>
      <c r="U834" s="8" t="s">
        <v>1797</v>
      </c>
    </row>
    <row r="835" spans="1:21" ht="39.950000000000003" customHeight="1">
      <c r="A835" s="5" t="s">
        <v>1791</v>
      </c>
      <c r="B835" s="5" t="s">
        <v>1595</v>
      </c>
      <c r="C835" s="9" t="s">
        <v>1792</v>
      </c>
      <c r="D835" s="9" t="s">
        <v>3188</v>
      </c>
      <c r="E835" s="9" t="s">
        <v>91</v>
      </c>
      <c r="F835" s="5">
        <v>2028</v>
      </c>
      <c r="G835" s="5"/>
      <c r="H835" s="5">
        <v>2031</v>
      </c>
      <c r="I835" s="5"/>
      <c r="J835" s="5" t="s">
        <v>86</v>
      </c>
      <c r="K835" s="5">
        <v>5.5</v>
      </c>
      <c r="L835" s="5"/>
      <c r="M835" s="5"/>
      <c r="N835" s="9" t="s">
        <v>11846</v>
      </c>
      <c r="O835" s="9" t="s">
        <v>11848</v>
      </c>
      <c r="P835" s="5">
        <v>2</v>
      </c>
      <c r="Q835" s="9"/>
      <c r="R835" s="9" t="s">
        <v>5497</v>
      </c>
      <c r="S835" s="9" t="str">
        <f>HYPERLINK("https://seichotoushi-hojo.jp/assets/pdf/koufu_3_4ji/outline_190.pdf","PDFを開く")</f>
        <v>PDFを開く</v>
      </c>
      <c r="T835" s="9" t="s">
        <v>1796</v>
      </c>
      <c r="U835" s="9" t="s">
        <v>1797</v>
      </c>
    </row>
    <row r="836" spans="1:21" ht="39.950000000000003" customHeight="1">
      <c r="A836" s="2" t="s">
        <v>1791</v>
      </c>
      <c r="B836" s="2" t="s">
        <v>1595</v>
      </c>
      <c r="C836" s="8" t="s">
        <v>1792</v>
      </c>
      <c r="D836" s="8" t="s">
        <v>3191</v>
      </c>
      <c r="E836" s="8" t="s">
        <v>92</v>
      </c>
      <c r="F836" s="2">
        <v>2028</v>
      </c>
      <c r="G836" s="2">
        <v>349</v>
      </c>
      <c r="H836" s="2">
        <v>2031</v>
      </c>
      <c r="I836" s="2">
        <v>360</v>
      </c>
      <c r="J836" s="2" t="s">
        <v>2513</v>
      </c>
      <c r="K836" s="2"/>
      <c r="L836" s="2"/>
      <c r="M836" s="2"/>
      <c r="N836" s="8" t="s">
        <v>11846</v>
      </c>
      <c r="O836" s="8" t="s">
        <v>11847</v>
      </c>
      <c r="P836" s="2">
        <v>2</v>
      </c>
      <c r="Q836" s="8"/>
      <c r="R836" s="8" t="s">
        <v>5495</v>
      </c>
      <c r="S836" s="8" t="str">
        <f>HYPERLINK("https://seichotoushi-hojo.jp/assets/pdf/koufu_3_4ji/outline_190.pdf","PDFを開く")</f>
        <v>PDFを開く</v>
      </c>
      <c r="T836" s="8" t="s">
        <v>1796</v>
      </c>
      <c r="U836" s="8" t="s">
        <v>1797</v>
      </c>
    </row>
    <row r="837" spans="1:21" ht="39.950000000000003" customHeight="1">
      <c r="A837" s="5" t="s">
        <v>1798</v>
      </c>
      <c r="B837" s="5" t="s">
        <v>1595</v>
      </c>
      <c r="C837" s="9" t="s">
        <v>1799</v>
      </c>
      <c r="D837" s="9" t="s">
        <v>3176</v>
      </c>
      <c r="E837" s="9" t="s">
        <v>166</v>
      </c>
      <c r="F837" s="5">
        <v>2028</v>
      </c>
      <c r="G837" s="5">
        <v>895</v>
      </c>
      <c r="H837" s="5">
        <v>2031</v>
      </c>
      <c r="I837" s="5">
        <v>1310</v>
      </c>
      <c r="J837" s="5" t="s">
        <v>86</v>
      </c>
      <c r="K837" s="5">
        <v>13.5</v>
      </c>
      <c r="L837" s="5">
        <v>13.540100000000001</v>
      </c>
      <c r="M837" s="5">
        <v>4.0099999999999997E-2</v>
      </c>
      <c r="N837" s="9" t="s">
        <v>11846</v>
      </c>
      <c r="O837" s="9" t="s">
        <v>292</v>
      </c>
      <c r="P837" s="5">
        <v>2</v>
      </c>
      <c r="Q837" s="9"/>
      <c r="R837" s="9" t="s">
        <v>5508</v>
      </c>
      <c r="S837" s="9" t="str">
        <f>HYPERLINK("https://seichotoushi-hojo.jp/assets/pdf/koufu_3_4ji/outline_197.pdf","PDFを開く")</f>
        <v>PDFを開く</v>
      </c>
      <c r="T837" s="9" t="s">
        <v>1804</v>
      </c>
      <c r="U837" s="9" t="s">
        <v>1805</v>
      </c>
    </row>
    <row r="838" spans="1:21" ht="39.950000000000003" customHeight="1">
      <c r="A838" s="2" t="s">
        <v>1798</v>
      </c>
      <c r="B838" s="2" t="s">
        <v>1595</v>
      </c>
      <c r="C838" s="8" t="s">
        <v>1799</v>
      </c>
      <c r="D838" s="8" t="s">
        <v>3184</v>
      </c>
      <c r="E838" s="8" t="s">
        <v>166</v>
      </c>
      <c r="F838" s="2">
        <v>2028</v>
      </c>
      <c r="G838" s="2">
        <v>452</v>
      </c>
      <c r="H838" s="2">
        <v>2031</v>
      </c>
      <c r="I838" s="2">
        <v>538</v>
      </c>
      <c r="J838" s="2" t="s">
        <v>86</v>
      </c>
      <c r="K838" s="2">
        <v>6</v>
      </c>
      <c r="L838" s="2">
        <v>5.9776999999999996</v>
      </c>
      <c r="M838" s="2">
        <v>2.23E-2</v>
      </c>
      <c r="N838" s="8" t="s">
        <v>11846</v>
      </c>
      <c r="O838" s="8" t="s">
        <v>292</v>
      </c>
      <c r="P838" s="2">
        <v>2</v>
      </c>
      <c r="Q838" s="8"/>
      <c r="R838" s="8" t="s">
        <v>5510</v>
      </c>
      <c r="S838" s="8" t="str">
        <f>HYPERLINK("https://seichotoushi-hojo.jp/assets/pdf/koufu_3_4ji/outline_197.pdf","PDFを開く")</f>
        <v>PDFを開く</v>
      </c>
      <c r="T838" s="8" t="s">
        <v>1804</v>
      </c>
      <c r="U838" s="8" t="s">
        <v>1805</v>
      </c>
    </row>
    <row r="839" spans="1:21" ht="39.950000000000003" customHeight="1">
      <c r="A839" s="5" t="s">
        <v>1798</v>
      </c>
      <c r="B839" s="5" t="s">
        <v>1595</v>
      </c>
      <c r="C839" s="9" t="s">
        <v>1799</v>
      </c>
      <c r="D839" s="9" t="s">
        <v>3188</v>
      </c>
      <c r="E839" s="9" t="s">
        <v>156</v>
      </c>
      <c r="F839" s="5"/>
      <c r="G839" s="5"/>
      <c r="H839" s="5"/>
      <c r="I839" s="5"/>
      <c r="J839" s="5"/>
      <c r="K839" s="5"/>
      <c r="L839" s="5"/>
      <c r="M839" s="5"/>
      <c r="N839" s="9" t="s">
        <v>11850</v>
      </c>
      <c r="O839" s="9"/>
      <c r="P839" s="5"/>
      <c r="Q839" s="9" t="s">
        <v>11851</v>
      </c>
      <c r="R839" s="9"/>
      <c r="S839" s="9" t="str">
        <f>HYPERLINK("https://seichotoushi-hojo.jp/assets/pdf/koufu_3_4ji/outline_197.pdf","PDFを開く")</f>
        <v>PDFを開く</v>
      </c>
      <c r="T839" s="9" t="s">
        <v>1804</v>
      </c>
      <c r="U839" s="9" t="s">
        <v>1805</v>
      </c>
    </row>
    <row r="840" spans="1:21" ht="39.950000000000003" customHeight="1">
      <c r="A840" s="2" t="s">
        <v>1798</v>
      </c>
      <c r="B840" s="2" t="s">
        <v>1595</v>
      </c>
      <c r="C840" s="8" t="s">
        <v>1799</v>
      </c>
      <c r="D840" s="8" t="s">
        <v>3191</v>
      </c>
      <c r="E840" s="8" t="s">
        <v>166</v>
      </c>
      <c r="F840" s="2">
        <v>2028</v>
      </c>
      <c r="G840" s="2">
        <v>276</v>
      </c>
      <c r="H840" s="2">
        <v>2031</v>
      </c>
      <c r="I840" s="2">
        <v>306</v>
      </c>
      <c r="J840" s="2" t="s">
        <v>2513</v>
      </c>
      <c r="K840" s="2"/>
      <c r="L840" s="2"/>
      <c r="M840" s="2"/>
      <c r="N840" s="8" t="s">
        <v>11846</v>
      </c>
      <c r="O840" s="8" t="s">
        <v>292</v>
      </c>
      <c r="P840" s="2">
        <v>2</v>
      </c>
      <c r="Q840" s="8"/>
      <c r="R840" s="8" t="s">
        <v>5511</v>
      </c>
      <c r="S840" s="8" t="str">
        <f>HYPERLINK("https://seichotoushi-hojo.jp/assets/pdf/koufu_3_4ji/outline_197.pdf","PDFを開く")</f>
        <v>PDFを開く</v>
      </c>
      <c r="T840" s="8" t="s">
        <v>1804</v>
      </c>
      <c r="U840" s="8" t="s">
        <v>1805</v>
      </c>
    </row>
    <row r="841" spans="1:21" ht="39.950000000000003" customHeight="1">
      <c r="A841" s="5" t="s">
        <v>1806</v>
      </c>
      <c r="B841" s="5" t="s">
        <v>1595</v>
      </c>
      <c r="C841" s="9" t="s">
        <v>1807</v>
      </c>
      <c r="D841" s="9" t="s">
        <v>3176</v>
      </c>
      <c r="E841" s="9" t="s">
        <v>90</v>
      </c>
      <c r="F841" s="5">
        <v>2026</v>
      </c>
      <c r="G841" s="5">
        <v>963</v>
      </c>
      <c r="H841" s="5">
        <v>2029</v>
      </c>
      <c r="I841" s="5">
        <v>3099</v>
      </c>
      <c r="J841" s="5" t="s">
        <v>86</v>
      </c>
      <c r="K841" s="5">
        <v>47.6</v>
      </c>
      <c r="L841" s="5">
        <v>47.638100000000001</v>
      </c>
      <c r="M841" s="5">
        <v>3.8100000000000002E-2</v>
      </c>
      <c r="N841" s="9" t="s">
        <v>11846</v>
      </c>
      <c r="O841" s="9" t="s">
        <v>11847</v>
      </c>
      <c r="P841" s="5">
        <v>2</v>
      </c>
      <c r="Q841" s="9"/>
      <c r="R841" s="9" t="s">
        <v>5513</v>
      </c>
      <c r="S841" s="9" t="str">
        <f>HYPERLINK("https://seichotoushi-hojo.jp/assets/pdf/koufu_3_4ji/outline_2.pdf","PDFを開く")</f>
        <v>PDFを開く</v>
      </c>
      <c r="T841" s="9" t="s">
        <v>1811</v>
      </c>
      <c r="U841" s="9" t="s">
        <v>1812</v>
      </c>
    </row>
    <row r="842" spans="1:21" ht="39.950000000000003" customHeight="1">
      <c r="A842" s="2" t="s">
        <v>1806</v>
      </c>
      <c r="B842" s="2" t="s">
        <v>1595</v>
      </c>
      <c r="C842" s="8" t="s">
        <v>1807</v>
      </c>
      <c r="D842" s="8" t="s">
        <v>3184</v>
      </c>
      <c r="E842" s="8" t="s">
        <v>90</v>
      </c>
      <c r="F842" s="2">
        <v>2026</v>
      </c>
      <c r="G842" s="2">
        <v>428</v>
      </c>
      <c r="H842" s="2">
        <v>2029</v>
      </c>
      <c r="I842" s="2">
        <v>518</v>
      </c>
      <c r="J842" s="2" t="s">
        <v>86</v>
      </c>
      <c r="K842" s="2">
        <v>6.6</v>
      </c>
      <c r="L842" s="2">
        <v>6.5685000000000002</v>
      </c>
      <c r="M842" s="2">
        <v>3.15E-2</v>
      </c>
      <c r="N842" s="8" t="s">
        <v>11846</v>
      </c>
      <c r="O842" s="8" t="s">
        <v>11852</v>
      </c>
      <c r="P842" s="2">
        <v>2</v>
      </c>
      <c r="Q842" s="8"/>
      <c r="R842" s="8" t="s">
        <v>5515</v>
      </c>
      <c r="S842" s="8" t="str">
        <f>HYPERLINK("https://seichotoushi-hojo.jp/assets/pdf/koufu_3_4ji/outline_2.pdf","PDFを開く")</f>
        <v>PDFを開く</v>
      </c>
      <c r="T842" s="8" t="s">
        <v>1811</v>
      </c>
      <c r="U842" s="8" t="s">
        <v>1812</v>
      </c>
    </row>
    <row r="843" spans="1:21" ht="39.950000000000003" customHeight="1">
      <c r="A843" s="5" t="s">
        <v>1806</v>
      </c>
      <c r="B843" s="5" t="s">
        <v>1595</v>
      </c>
      <c r="C843" s="9" t="s">
        <v>1807</v>
      </c>
      <c r="D843" s="9" t="s">
        <v>3188</v>
      </c>
      <c r="E843" s="9" t="s">
        <v>157</v>
      </c>
      <c r="F843" s="5"/>
      <c r="G843" s="5"/>
      <c r="H843" s="5"/>
      <c r="I843" s="5"/>
      <c r="J843" s="5"/>
      <c r="K843" s="5"/>
      <c r="L843" s="5"/>
      <c r="M843" s="5"/>
      <c r="N843" s="9" t="s">
        <v>11850</v>
      </c>
      <c r="O843" s="9"/>
      <c r="P843" s="5"/>
      <c r="Q843" s="9" t="s">
        <v>11851</v>
      </c>
      <c r="R843" s="9"/>
      <c r="S843" s="9" t="str">
        <f>HYPERLINK("https://seichotoushi-hojo.jp/assets/pdf/koufu_3_4ji/outline_2.pdf","PDFを開く")</f>
        <v>PDFを開く</v>
      </c>
      <c r="T843" s="9" t="s">
        <v>1811</v>
      </c>
      <c r="U843" s="9" t="s">
        <v>1812</v>
      </c>
    </row>
    <row r="844" spans="1:21" ht="39.950000000000003" customHeight="1">
      <c r="A844" s="2" t="s">
        <v>1806</v>
      </c>
      <c r="B844" s="2" t="s">
        <v>1595</v>
      </c>
      <c r="C844" s="8" t="s">
        <v>1807</v>
      </c>
      <c r="D844" s="8" t="s">
        <v>3191</v>
      </c>
      <c r="E844" s="8" t="s">
        <v>92</v>
      </c>
      <c r="F844" s="2">
        <v>2026</v>
      </c>
      <c r="G844" s="2">
        <v>60</v>
      </c>
      <c r="H844" s="2">
        <v>2029</v>
      </c>
      <c r="I844" s="2">
        <v>84</v>
      </c>
      <c r="J844" s="2" t="s">
        <v>2513</v>
      </c>
      <c r="K844" s="2"/>
      <c r="L844" s="2"/>
      <c r="M844" s="2"/>
      <c r="N844" s="8" t="s">
        <v>11846</v>
      </c>
      <c r="O844" s="8" t="s">
        <v>11852</v>
      </c>
      <c r="P844" s="2">
        <v>2</v>
      </c>
      <c r="Q844" s="8"/>
      <c r="R844" s="8" t="s">
        <v>5517</v>
      </c>
      <c r="S844" s="8" t="str">
        <f>HYPERLINK("https://seichotoushi-hojo.jp/assets/pdf/koufu_3_4ji/outline_2.pdf","PDFを開く")</f>
        <v>PDFを開く</v>
      </c>
      <c r="T844" s="8" t="s">
        <v>1811</v>
      </c>
      <c r="U844" s="8" t="s">
        <v>1812</v>
      </c>
    </row>
    <row r="845" spans="1:21" ht="39.950000000000003" customHeight="1">
      <c r="A845" s="5" t="s">
        <v>1813</v>
      </c>
      <c r="B845" s="5" t="s">
        <v>1595</v>
      </c>
      <c r="C845" s="9" t="s">
        <v>1814</v>
      </c>
      <c r="D845" s="9" t="s">
        <v>3176</v>
      </c>
      <c r="E845" s="9" t="s">
        <v>90</v>
      </c>
      <c r="F845" s="5">
        <v>2027</v>
      </c>
      <c r="G845" s="5">
        <v>1140</v>
      </c>
      <c r="H845" s="5">
        <v>2030</v>
      </c>
      <c r="I845" s="5">
        <v>1618</v>
      </c>
      <c r="J845" s="5" t="s">
        <v>86</v>
      </c>
      <c r="K845" s="5">
        <v>12.4</v>
      </c>
      <c r="L845" s="5">
        <v>12.380599999999999</v>
      </c>
      <c r="M845" s="5">
        <v>1.9400000000000001E-2</v>
      </c>
      <c r="N845" s="9" t="s">
        <v>11846</v>
      </c>
      <c r="O845" s="9" t="s">
        <v>11847</v>
      </c>
      <c r="P845" s="5">
        <v>2</v>
      </c>
      <c r="Q845" s="9"/>
      <c r="R845" s="9" t="s">
        <v>5520</v>
      </c>
      <c r="S845" s="9" t="str">
        <f>HYPERLINK("https://seichotoushi-hojo.jp/assets/pdf/koufu_3_4ji/outline_205.pdf","PDFを開く")</f>
        <v>PDFを開く</v>
      </c>
      <c r="T845" s="9" t="s">
        <v>1819</v>
      </c>
      <c r="U845" s="9" t="s">
        <v>1820</v>
      </c>
    </row>
    <row r="846" spans="1:21" ht="39.950000000000003" customHeight="1">
      <c r="A846" s="2" t="s">
        <v>1813</v>
      </c>
      <c r="B846" s="2" t="s">
        <v>1595</v>
      </c>
      <c r="C846" s="8" t="s">
        <v>1814</v>
      </c>
      <c r="D846" s="8" t="s">
        <v>3184</v>
      </c>
      <c r="E846" s="8" t="s">
        <v>90</v>
      </c>
      <c r="F846" s="2">
        <v>2027</v>
      </c>
      <c r="G846" s="2">
        <v>407</v>
      </c>
      <c r="H846" s="2">
        <v>2030</v>
      </c>
      <c r="I846" s="2">
        <v>542</v>
      </c>
      <c r="J846" s="2" t="s">
        <v>86</v>
      </c>
      <c r="K846" s="2">
        <v>10</v>
      </c>
      <c r="L846" s="2">
        <v>10.0192</v>
      </c>
      <c r="M846" s="2">
        <v>1.9199999999999998E-2</v>
      </c>
      <c r="N846" s="8" t="s">
        <v>11846</v>
      </c>
      <c r="O846" s="8" t="s">
        <v>11847</v>
      </c>
      <c r="P846" s="2">
        <v>2</v>
      </c>
      <c r="Q846" s="8"/>
      <c r="R846" s="8" t="s">
        <v>5522</v>
      </c>
      <c r="S846" s="8" t="str">
        <f>HYPERLINK("https://seichotoushi-hojo.jp/assets/pdf/koufu_3_4ji/outline_205.pdf","PDFを開く")</f>
        <v>PDFを開く</v>
      </c>
      <c r="T846" s="8" t="s">
        <v>1819</v>
      </c>
      <c r="U846" s="8" t="s">
        <v>1820</v>
      </c>
    </row>
    <row r="847" spans="1:21" ht="39.950000000000003" customHeight="1">
      <c r="A847" s="5" t="s">
        <v>1813</v>
      </c>
      <c r="B847" s="5" t="s">
        <v>1595</v>
      </c>
      <c r="C847" s="9" t="s">
        <v>1814</v>
      </c>
      <c r="D847" s="9" t="s">
        <v>3188</v>
      </c>
      <c r="E847" s="9" t="s">
        <v>90</v>
      </c>
      <c r="F847" s="5">
        <v>2027</v>
      </c>
      <c r="G847" s="5">
        <v>3396</v>
      </c>
      <c r="H847" s="5">
        <v>2030</v>
      </c>
      <c r="I847" s="5">
        <v>4160</v>
      </c>
      <c r="J847" s="5" t="s">
        <v>86</v>
      </c>
      <c r="K847" s="5">
        <v>7</v>
      </c>
      <c r="L847" s="5">
        <v>6.9978999999999996</v>
      </c>
      <c r="M847" s="5">
        <v>2.0999999999999999E-3</v>
      </c>
      <c r="N847" s="9" t="s">
        <v>11846</v>
      </c>
      <c r="O847" s="9" t="s">
        <v>11847</v>
      </c>
      <c r="P847" s="5">
        <v>2</v>
      </c>
      <c r="Q847" s="9"/>
      <c r="R847" s="9" t="s">
        <v>5525</v>
      </c>
      <c r="S847" s="9" t="str">
        <f>HYPERLINK("https://seichotoushi-hojo.jp/assets/pdf/koufu_3_4ji/outline_205.pdf","PDFを開く")</f>
        <v>PDFを開く</v>
      </c>
      <c r="T847" s="9" t="s">
        <v>1819</v>
      </c>
      <c r="U847" s="9" t="s">
        <v>1820</v>
      </c>
    </row>
    <row r="848" spans="1:21" ht="39.950000000000003" customHeight="1">
      <c r="A848" s="2" t="s">
        <v>1813</v>
      </c>
      <c r="B848" s="2" t="s">
        <v>1595</v>
      </c>
      <c r="C848" s="8" t="s">
        <v>1814</v>
      </c>
      <c r="D848" s="8" t="s">
        <v>3191</v>
      </c>
      <c r="E848" s="8" t="s">
        <v>92</v>
      </c>
      <c r="F848" s="2">
        <v>2027</v>
      </c>
      <c r="G848" s="2">
        <v>36</v>
      </c>
      <c r="H848" s="2">
        <v>2030</v>
      </c>
      <c r="I848" s="2">
        <v>42</v>
      </c>
      <c r="J848" s="2" t="s">
        <v>2513</v>
      </c>
      <c r="K848" s="2"/>
      <c r="L848" s="2"/>
      <c r="M848" s="2"/>
      <c r="N848" s="8" t="s">
        <v>11846</v>
      </c>
      <c r="O848" s="8" t="s">
        <v>11847</v>
      </c>
      <c r="P848" s="2">
        <v>2</v>
      </c>
      <c r="Q848" s="8"/>
      <c r="R848" s="8" t="s">
        <v>5527</v>
      </c>
      <c r="S848" s="8" t="str">
        <f>HYPERLINK("https://seichotoushi-hojo.jp/assets/pdf/koufu_3_4ji/outline_205.pdf","PDFを開く")</f>
        <v>PDFを開く</v>
      </c>
      <c r="T848" s="8" t="s">
        <v>1819</v>
      </c>
      <c r="U848" s="8" t="s">
        <v>1820</v>
      </c>
    </row>
    <row r="849" spans="1:21" ht="39.950000000000003" customHeight="1">
      <c r="A849" s="5" t="s">
        <v>1821</v>
      </c>
      <c r="B849" s="5" t="s">
        <v>1595</v>
      </c>
      <c r="C849" s="9" t="s">
        <v>1822</v>
      </c>
      <c r="D849" s="9" t="s">
        <v>3176</v>
      </c>
      <c r="E849" s="9" t="s">
        <v>90</v>
      </c>
      <c r="F849" s="5">
        <v>2027</v>
      </c>
      <c r="G849" s="5">
        <v>484</v>
      </c>
      <c r="H849" s="5">
        <v>2030</v>
      </c>
      <c r="I849" s="5">
        <v>758</v>
      </c>
      <c r="J849" s="5" t="s">
        <v>86</v>
      </c>
      <c r="K849" s="5">
        <v>16.100000000000001</v>
      </c>
      <c r="L849" s="5">
        <v>16.129200000000001</v>
      </c>
      <c r="M849" s="5">
        <v>2.92E-2</v>
      </c>
      <c r="N849" s="9" t="s">
        <v>11846</v>
      </c>
      <c r="O849" s="9" t="s">
        <v>11847</v>
      </c>
      <c r="P849" s="5">
        <v>2</v>
      </c>
      <c r="Q849" s="9"/>
      <c r="R849" s="9" t="s">
        <v>5530</v>
      </c>
      <c r="S849" s="9" t="str">
        <f>HYPERLINK("https://seichotoushi-hojo.jp/assets/pdf/koufu_3_4ji/outline_209.pdf","PDFを開く")</f>
        <v>PDFを開く</v>
      </c>
      <c r="T849" s="9" t="s">
        <v>1828</v>
      </c>
      <c r="U849" s="9" t="s">
        <v>1829</v>
      </c>
    </row>
    <row r="850" spans="1:21" ht="39.950000000000003" customHeight="1">
      <c r="A850" s="2" t="s">
        <v>1821</v>
      </c>
      <c r="B850" s="2" t="s">
        <v>1595</v>
      </c>
      <c r="C850" s="8" t="s">
        <v>1822</v>
      </c>
      <c r="D850" s="8" t="s">
        <v>3184</v>
      </c>
      <c r="E850" s="8" t="s">
        <v>90</v>
      </c>
      <c r="F850" s="2">
        <v>2027</v>
      </c>
      <c r="G850" s="2">
        <v>322</v>
      </c>
      <c r="H850" s="2">
        <v>2030</v>
      </c>
      <c r="I850" s="2">
        <v>373</v>
      </c>
      <c r="J850" s="2" t="s">
        <v>86</v>
      </c>
      <c r="K850" s="2">
        <v>5</v>
      </c>
      <c r="L850" s="2">
        <v>5.0229999999999997</v>
      </c>
      <c r="M850" s="2">
        <v>2.3E-2</v>
      </c>
      <c r="N850" s="8" t="s">
        <v>11846</v>
      </c>
      <c r="O850" s="8" t="s">
        <v>11847</v>
      </c>
      <c r="P850" s="2">
        <v>2</v>
      </c>
      <c r="Q850" s="8"/>
      <c r="R850" s="8" t="s">
        <v>5533</v>
      </c>
      <c r="S850" s="8" t="str">
        <f>HYPERLINK("https://seichotoushi-hojo.jp/assets/pdf/koufu_3_4ji/outline_209.pdf","PDFを開く")</f>
        <v>PDFを開く</v>
      </c>
      <c r="T850" s="8" t="s">
        <v>1828</v>
      </c>
      <c r="U850" s="8" t="s">
        <v>1829</v>
      </c>
    </row>
    <row r="851" spans="1:21" ht="39.950000000000003" customHeight="1">
      <c r="A851" s="5" t="s">
        <v>1821</v>
      </c>
      <c r="B851" s="5" t="s">
        <v>1595</v>
      </c>
      <c r="C851" s="9" t="s">
        <v>1822</v>
      </c>
      <c r="D851" s="9" t="s">
        <v>3188</v>
      </c>
      <c r="E851" s="9" t="s">
        <v>91</v>
      </c>
      <c r="F851" s="5">
        <v>2027</v>
      </c>
      <c r="G851" s="5"/>
      <c r="H851" s="5">
        <v>2030</v>
      </c>
      <c r="I851" s="5"/>
      <c r="J851" s="5" t="s">
        <v>86</v>
      </c>
      <c r="K851" s="5">
        <v>4.9000000000000004</v>
      </c>
      <c r="L851" s="5"/>
      <c r="M851" s="5"/>
      <c r="N851" s="9" t="s">
        <v>11846</v>
      </c>
      <c r="O851" s="9" t="s">
        <v>11848</v>
      </c>
      <c r="P851" s="5">
        <v>2</v>
      </c>
      <c r="Q851" s="9"/>
      <c r="R851" s="9" t="s">
        <v>5540</v>
      </c>
      <c r="S851" s="9" t="str">
        <f>HYPERLINK("https://seichotoushi-hojo.jp/assets/pdf/koufu_3_4ji/outline_209.pdf","PDFを開く")</f>
        <v>PDFを開く</v>
      </c>
      <c r="T851" s="9" t="s">
        <v>1828</v>
      </c>
      <c r="U851" s="9" t="s">
        <v>1829</v>
      </c>
    </row>
    <row r="852" spans="1:21" ht="39.950000000000003" customHeight="1">
      <c r="A852" s="2" t="s">
        <v>1821</v>
      </c>
      <c r="B852" s="2" t="s">
        <v>1595</v>
      </c>
      <c r="C852" s="8" t="s">
        <v>1822</v>
      </c>
      <c r="D852" s="8" t="s">
        <v>3191</v>
      </c>
      <c r="E852" s="8" t="s">
        <v>92</v>
      </c>
      <c r="F852" s="2">
        <v>2027</v>
      </c>
      <c r="G852" s="2">
        <v>380</v>
      </c>
      <c r="H852" s="2">
        <v>2030</v>
      </c>
      <c r="I852" s="2">
        <v>500</v>
      </c>
      <c r="J852" s="2" t="s">
        <v>2513</v>
      </c>
      <c r="K852" s="2"/>
      <c r="L852" s="2"/>
      <c r="M852" s="2"/>
      <c r="N852" s="8" t="s">
        <v>11846</v>
      </c>
      <c r="O852" s="8" t="s">
        <v>11847</v>
      </c>
      <c r="P852" s="2">
        <v>2</v>
      </c>
      <c r="Q852" s="8"/>
      <c r="R852" s="8" t="s">
        <v>5535</v>
      </c>
      <c r="S852" s="8" t="str">
        <f>HYPERLINK("https://seichotoushi-hojo.jp/assets/pdf/koufu_3_4ji/outline_209.pdf","PDFを開く")</f>
        <v>PDFを開く</v>
      </c>
      <c r="T852" s="8" t="s">
        <v>1828</v>
      </c>
      <c r="U852" s="8" t="s">
        <v>1829</v>
      </c>
    </row>
    <row r="853" spans="1:21" ht="39.950000000000003" customHeight="1">
      <c r="A853" s="5" t="s">
        <v>1830</v>
      </c>
      <c r="B853" s="5" t="s">
        <v>1595</v>
      </c>
      <c r="C853" s="9" t="s">
        <v>1831</v>
      </c>
      <c r="D853" s="9" t="s">
        <v>3176</v>
      </c>
      <c r="E853" s="9" t="s">
        <v>90</v>
      </c>
      <c r="F853" s="5">
        <v>2027</v>
      </c>
      <c r="G853" s="5">
        <v>1982</v>
      </c>
      <c r="H853" s="5">
        <v>2030</v>
      </c>
      <c r="I853" s="5">
        <v>2807</v>
      </c>
      <c r="J853" s="5" t="s">
        <v>86</v>
      </c>
      <c r="K853" s="5">
        <v>12.3</v>
      </c>
      <c r="L853" s="5">
        <v>12.3</v>
      </c>
      <c r="M853" s="5">
        <v>0</v>
      </c>
      <c r="N853" s="9" t="s">
        <v>11846</v>
      </c>
      <c r="O853" s="9" t="s">
        <v>11847</v>
      </c>
      <c r="P853" s="5">
        <v>2</v>
      </c>
      <c r="Q853" s="9"/>
      <c r="R853" s="9" t="s">
        <v>5544</v>
      </c>
      <c r="S853" s="9" t="str">
        <f>HYPERLINK("https://seichotoushi-hojo.jp/assets/pdf/koufu_3_4ji/outline_21.pdf","PDFを開く")</f>
        <v>PDFを開く</v>
      </c>
      <c r="T853" s="9" t="s">
        <v>1835</v>
      </c>
      <c r="U853" s="9" t="s">
        <v>1836</v>
      </c>
    </row>
    <row r="854" spans="1:21" ht="39.950000000000003" customHeight="1">
      <c r="A854" s="2" t="s">
        <v>1830</v>
      </c>
      <c r="B854" s="2" t="s">
        <v>1595</v>
      </c>
      <c r="C854" s="8" t="s">
        <v>1831</v>
      </c>
      <c r="D854" s="8" t="s">
        <v>3184</v>
      </c>
      <c r="E854" s="8" t="s">
        <v>90</v>
      </c>
      <c r="F854" s="2">
        <v>2027</v>
      </c>
      <c r="G854" s="2">
        <v>433</v>
      </c>
      <c r="H854" s="2">
        <v>2030</v>
      </c>
      <c r="I854" s="2">
        <v>561</v>
      </c>
      <c r="J854" s="2" t="s">
        <v>86</v>
      </c>
      <c r="K854" s="2">
        <v>9</v>
      </c>
      <c r="L854" s="2">
        <v>9.0164000000000009</v>
      </c>
      <c r="M854" s="2">
        <v>1.6400000000000001E-2</v>
      </c>
      <c r="N854" s="8" t="s">
        <v>11846</v>
      </c>
      <c r="O854" s="8" t="s">
        <v>11847</v>
      </c>
      <c r="P854" s="2">
        <v>2</v>
      </c>
      <c r="Q854" s="8"/>
      <c r="R854" s="8" t="s">
        <v>5546</v>
      </c>
      <c r="S854" s="8" t="str">
        <f>HYPERLINK("https://seichotoushi-hojo.jp/assets/pdf/koufu_3_4ji/outline_21.pdf","PDFを開く")</f>
        <v>PDFを開く</v>
      </c>
      <c r="T854" s="8" t="s">
        <v>1835</v>
      </c>
      <c r="U854" s="8" t="s">
        <v>1836</v>
      </c>
    </row>
    <row r="855" spans="1:21" ht="39.950000000000003" customHeight="1">
      <c r="A855" s="5" t="s">
        <v>1830</v>
      </c>
      <c r="B855" s="5" t="s">
        <v>1595</v>
      </c>
      <c r="C855" s="9" t="s">
        <v>1831</v>
      </c>
      <c r="D855" s="9" t="s">
        <v>3188</v>
      </c>
      <c r="E855" s="9" t="s">
        <v>91</v>
      </c>
      <c r="F855" s="5">
        <v>2027</v>
      </c>
      <c r="G855" s="5"/>
      <c r="H855" s="5">
        <v>2030</v>
      </c>
      <c r="I855" s="5"/>
      <c r="J855" s="5" t="s">
        <v>86</v>
      </c>
      <c r="K855" s="5">
        <v>6.5</v>
      </c>
      <c r="L855" s="5"/>
      <c r="M855" s="5"/>
      <c r="N855" s="9" t="s">
        <v>11846</v>
      </c>
      <c r="O855" s="9" t="s">
        <v>11848</v>
      </c>
      <c r="P855" s="5">
        <v>2</v>
      </c>
      <c r="Q855" s="9"/>
      <c r="R855" s="9" t="s">
        <v>5445</v>
      </c>
      <c r="S855" s="9" t="str">
        <f>HYPERLINK("https://seichotoushi-hojo.jp/assets/pdf/koufu_3_4ji/outline_21.pdf","PDFを開く")</f>
        <v>PDFを開く</v>
      </c>
      <c r="T855" s="9" t="s">
        <v>1835</v>
      </c>
      <c r="U855" s="9" t="s">
        <v>1836</v>
      </c>
    </row>
    <row r="856" spans="1:21" ht="39.950000000000003" customHeight="1">
      <c r="A856" s="2" t="s">
        <v>1830</v>
      </c>
      <c r="B856" s="2" t="s">
        <v>1595</v>
      </c>
      <c r="C856" s="8" t="s">
        <v>1831</v>
      </c>
      <c r="D856" s="8" t="s">
        <v>3191</v>
      </c>
      <c r="E856" s="8" t="s">
        <v>92</v>
      </c>
      <c r="F856" s="2">
        <v>2027</v>
      </c>
      <c r="G856" s="2">
        <v>683</v>
      </c>
      <c r="H856" s="2">
        <v>2030</v>
      </c>
      <c r="I856" s="2">
        <v>716</v>
      </c>
      <c r="J856" s="2" t="s">
        <v>2513</v>
      </c>
      <c r="K856" s="2"/>
      <c r="L856" s="2"/>
      <c r="M856" s="2"/>
      <c r="N856" s="8" t="s">
        <v>11846</v>
      </c>
      <c r="O856" s="8" t="s">
        <v>11847</v>
      </c>
      <c r="P856" s="2">
        <v>2</v>
      </c>
      <c r="Q856" s="8"/>
      <c r="R856" s="8" t="s">
        <v>5549</v>
      </c>
      <c r="S856" s="8" t="str">
        <f>HYPERLINK("https://seichotoushi-hojo.jp/assets/pdf/koufu_3_4ji/outline_21.pdf","PDFを開く")</f>
        <v>PDFを開く</v>
      </c>
      <c r="T856" s="8" t="s">
        <v>1835</v>
      </c>
      <c r="U856" s="8" t="s">
        <v>1836</v>
      </c>
    </row>
    <row r="857" spans="1:21" ht="39.950000000000003" customHeight="1">
      <c r="A857" s="5" t="s">
        <v>1837</v>
      </c>
      <c r="B857" s="5" t="s">
        <v>1595</v>
      </c>
      <c r="C857" s="9" t="s">
        <v>1838</v>
      </c>
      <c r="D857" s="9" t="s">
        <v>3176</v>
      </c>
      <c r="E857" s="9" t="s">
        <v>90</v>
      </c>
      <c r="F857" s="5">
        <v>2027</v>
      </c>
      <c r="G857" s="5">
        <v>745</v>
      </c>
      <c r="H857" s="5">
        <v>2030</v>
      </c>
      <c r="I857" s="5">
        <v>1177</v>
      </c>
      <c r="J857" s="5" t="s">
        <v>86</v>
      </c>
      <c r="K857" s="5">
        <v>16.5</v>
      </c>
      <c r="L857" s="5">
        <v>16.468</v>
      </c>
      <c r="M857" s="5">
        <v>3.2000000000000001E-2</v>
      </c>
      <c r="N857" s="9" t="s">
        <v>11846</v>
      </c>
      <c r="O857" s="9" t="s">
        <v>11847</v>
      </c>
      <c r="P857" s="5">
        <v>2</v>
      </c>
      <c r="Q857" s="9"/>
      <c r="R857" s="9" t="s">
        <v>5552</v>
      </c>
      <c r="S857" s="9" t="str">
        <f>HYPERLINK("https://seichotoushi-hojo.jp/assets/pdf/koufu_3_4ji/outline_212.pdf","PDFを開く")</f>
        <v>PDFを開く</v>
      </c>
      <c r="T857" s="9" t="s">
        <v>1841</v>
      </c>
      <c r="U857" s="9" t="s">
        <v>1842</v>
      </c>
    </row>
    <row r="858" spans="1:21" ht="39.950000000000003" customHeight="1">
      <c r="A858" s="2" t="s">
        <v>1837</v>
      </c>
      <c r="B858" s="2" t="s">
        <v>1595</v>
      </c>
      <c r="C858" s="8" t="s">
        <v>1838</v>
      </c>
      <c r="D858" s="8" t="s">
        <v>3184</v>
      </c>
      <c r="E858" s="8" t="s">
        <v>90</v>
      </c>
      <c r="F858" s="2">
        <v>2027</v>
      </c>
      <c r="G858" s="2">
        <v>390</v>
      </c>
      <c r="H858" s="2">
        <v>2030</v>
      </c>
      <c r="I858" s="2">
        <v>464</v>
      </c>
      <c r="J858" s="2" t="s">
        <v>86</v>
      </c>
      <c r="K858" s="2">
        <v>6</v>
      </c>
      <c r="L858" s="2">
        <v>5.9622000000000002</v>
      </c>
      <c r="M858" s="2">
        <v>3.78E-2</v>
      </c>
      <c r="N858" s="8" t="s">
        <v>11846</v>
      </c>
      <c r="O858" s="8" t="s">
        <v>11847</v>
      </c>
      <c r="P858" s="2">
        <v>2</v>
      </c>
      <c r="Q858" s="8"/>
      <c r="R858" s="8" t="s">
        <v>5553</v>
      </c>
      <c r="S858" s="8" t="str">
        <f>HYPERLINK("https://seichotoushi-hojo.jp/assets/pdf/koufu_3_4ji/outline_212.pdf","PDFを開く")</f>
        <v>PDFを開く</v>
      </c>
      <c r="T858" s="8" t="s">
        <v>1841</v>
      </c>
      <c r="U858" s="8" t="s">
        <v>1842</v>
      </c>
    </row>
    <row r="859" spans="1:21" ht="39.950000000000003" customHeight="1">
      <c r="A859" s="5" t="s">
        <v>1837</v>
      </c>
      <c r="B859" s="5" t="s">
        <v>1595</v>
      </c>
      <c r="C859" s="9" t="s">
        <v>1838</v>
      </c>
      <c r="D859" s="9" t="s">
        <v>3188</v>
      </c>
      <c r="E859" s="9" t="s">
        <v>91</v>
      </c>
      <c r="F859" s="5">
        <v>2027</v>
      </c>
      <c r="G859" s="5"/>
      <c r="H859" s="5">
        <v>2030</v>
      </c>
      <c r="I859" s="5"/>
      <c r="J859" s="5" t="s">
        <v>86</v>
      </c>
      <c r="K859" s="5">
        <v>5</v>
      </c>
      <c r="L859" s="5"/>
      <c r="M859" s="5"/>
      <c r="N859" s="9" t="s">
        <v>11846</v>
      </c>
      <c r="O859" s="9" t="s">
        <v>11848</v>
      </c>
      <c r="P859" s="5">
        <v>2</v>
      </c>
      <c r="Q859" s="9"/>
      <c r="R859" s="9" t="s">
        <v>5559</v>
      </c>
      <c r="S859" s="9" t="str">
        <f>HYPERLINK("https://seichotoushi-hojo.jp/assets/pdf/koufu_3_4ji/outline_212.pdf","PDFを開く")</f>
        <v>PDFを開く</v>
      </c>
      <c r="T859" s="9" t="s">
        <v>1841</v>
      </c>
      <c r="U859" s="9" t="s">
        <v>1842</v>
      </c>
    </row>
    <row r="860" spans="1:21" ht="39.950000000000003" customHeight="1">
      <c r="A860" s="2" t="s">
        <v>1837</v>
      </c>
      <c r="B860" s="2" t="s">
        <v>1595</v>
      </c>
      <c r="C860" s="8" t="s">
        <v>1838</v>
      </c>
      <c r="D860" s="8" t="s">
        <v>3191</v>
      </c>
      <c r="E860" s="8" t="s">
        <v>92</v>
      </c>
      <c r="F860" s="2">
        <v>2027</v>
      </c>
      <c r="G860" s="2">
        <v>323</v>
      </c>
      <c r="H860" s="2">
        <v>2030</v>
      </c>
      <c r="I860" s="2">
        <v>372</v>
      </c>
      <c r="J860" s="2" t="s">
        <v>2513</v>
      </c>
      <c r="K860" s="2"/>
      <c r="L860" s="2"/>
      <c r="M860" s="2"/>
      <c r="N860" s="8" t="s">
        <v>11846</v>
      </c>
      <c r="O860" s="8" t="s">
        <v>11847</v>
      </c>
      <c r="P860" s="2">
        <v>2</v>
      </c>
      <c r="Q860" s="8"/>
      <c r="R860" s="8" t="s">
        <v>5557</v>
      </c>
      <c r="S860" s="8" t="str">
        <f>HYPERLINK("https://seichotoushi-hojo.jp/assets/pdf/koufu_3_4ji/outline_212.pdf","PDFを開く")</f>
        <v>PDFを開く</v>
      </c>
      <c r="T860" s="8" t="s">
        <v>1841</v>
      </c>
      <c r="U860" s="8" t="s">
        <v>1842</v>
      </c>
    </row>
    <row r="861" spans="1:21" ht="39.950000000000003" customHeight="1">
      <c r="A861" s="5" t="s">
        <v>1843</v>
      </c>
      <c r="B861" s="5" t="s">
        <v>1595</v>
      </c>
      <c r="C861" s="9" t="s">
        <v>1844</v>
      </c>
      <c r="D861" s="9" t="s">
        <v>3176</v>
      </c>
      <c r="E861" s="9" t="s">
        <v>166</v>
      </c>
      <c r="F861" s="5">
        <v>2027</v>
      </c>
      <c r="G861" s="5">
        <v>719</v>
      </c>
      <c r="H861" s="5">
        <v>2030</v>
      </c>
      <c r="I861" s="5">
        <v>1284</v>
      </c>
      <c r="J861" s="5" t="s">
        <v>86</v>
      </c>
      <c r="K861" s="5">
        <v>21.3</v>
      </c>
      <c r="L861" s="5">
        <v>21.323599999999999</v>
      </c>
      <c r="M861" s="5">
        <v>2.3599999999999999E-2</v>
      </c>
      <c r="N861" s="9" t="s">
        <v>11846</v>
      </c>
      <c r="O861" s="9" t="s">
        <v>292</v>
      </c>
      <c r="P861" s="5">
        <v>2</v>
      </c>
      <c r="Q861" s="9"/>
      <c r="R861" s="9" t="s">
        <v>5568</v>
      </c>
      <c r="S861" s="9" t="str">
        <f>HYPERLINK("https://seichotoushi-hojo.jp/assets/pdf/koufu_3_4ji/outline_214.pdf","PDFを開く")</f>
        <v>PDFを開く</v>
      </c>
      <c r="T861" s="9" t="s">
        <v>1850</v>
      </c>
      <c r="U861" s="9" t="s">
        <v>1851</v>
      </c>
    </row>
    <row r="862" spans="1:21" ht="39.950000000000003" customHeight="1">
      <c r="A862" s="2" t="s">
        <v>1843</v>
      </c>
      <c r="B862" s="2" t="s">
        <v>1595</v>
      </c>
      <c r="C862" s="8" t="s">
        <v>1844</v>
      </c>
      <c r="D862" s="8" t="s">
        <v>3184</v>
      </c>
      <c r="E862" s="8" t="s">
        <v>166</v>
      </c>
      <c r="F862" s="2">
        <v>2027</v>
      </c>
      <c r="G862" s="2">
        <v>380</v>
      </c>
      <c r="H862" s="2">
        <v>2030</v>
      </c>
      <c r="I862" s="2">
        <v>453</v>
      </c>
      <c r="J862" s="2" t="s">
        <v>86</v>
      </c>
      <c r="K862" s="2">
        <v>6</v>
      </c>
      <c r="L862" s="2">
        <v>6.0323000000000002</v>
      </c>
      <c r="M862" s="2">
        <v>3.2300000000000002E-2</v>
      </c>
      <c r="N862" s="8" t="s">
        <v>11846</v>
      </c>
      <c r="O862" s="8" t="s">
        <v>292</v>
      </c>
      <c r="P862" s="2">
        <v>2</v>
      </c>
      <c r="Q862" s="8"/>
      <c r="R862" s="8" t="s">
        <v>5570</v>
      </c>
      <c r="S862" s="8" t="str">
        <f>HYPERLINK("https://seichotoushi-hojo.jp/assets/pdf/koufu_3_4ji/outline_214.pdf","PDFを開く")</f>
        <v>PDFを開く</v>
      </c>
      <c r="T862" s="8" t="s">
        <v>1850</v>
      </c>
      <c r="U862" s="8" t="s">
        <v>1851</v>
      </c>
    </row>
    <row r="863" spans="1:21" ht="39.950000000000003" customHeight="1">
      <c r="A863" s="5" t="s">
        <v>1843</v>
      </c>
      <c r="B863" s="5" t="s">
        <v>1595</v>
      </c>
      <c r="C863" s="9" t="s">
        <v>1844</v>
      </c>
      <c r="D863" s="9" t="s">
        <v>3188</v>
      </c>
      <c r="E863" s="9" t="s">
        <v>91</v>
      </c>
      <c r="F863" s="5">
        <v>2027</v>
      </c>
      <c r="G863" s="5"/>
      <c r="H863" s="5">
        <v>2030</v>
      </c>
      <c r="I863" s="5"/>
      <c r="J863" s="5" t="s">
        <v>86</v>
      </c>
      <c r="K863" s="5">
        <v>6</v>
      </c>
      <c r="L863" s="5"/>
      <c r="M863" s="5"/>
      <c r="N863" s="9" t="s">
        <v>11846</v>
      </c>
      <c r="O863" s="9" t="s">
        <v>11848</v>
      </c>
      <c r="P863" s="5">
        <v>2</v>
      </c>
      <c r="Q863" s="9"/>
      <c r="R863" s="9" t="s">
        <v>5574</v>
      </c>
      <c r="S863" s="9" t="str">
        <f>HYPERLINK("https://seichotoushi-hojo.jp/assets/pdf/koufu_3_4ji/outline_214.pdf","PDFを開く")</f>
        <v>PDFを開く</v>
      </c>
      <c r="T863" s="9" t="s">
        <v>1850</v>
      </c>
      <c r="U863" s="9" t="s">
        <v>1851</v>
      </c>
    </row>
    <row r="864" spans="1:21" ht="39.950000000000003" customHeight="1">
      <c r="A864" s="2" t="s">
        <v>1843</v>
      </c>
      <c r="B864" s="2" t="s">
        <v>1595</v>
      </c>
      <c r="C864" s="8" t="s">
        <v>1844</v>
      </c>
      <c r="D864" s="8" t="s">
        <v>3191</v>
      </c>
      <c r="E864" s="8" t="s">
        <v>166</v>
      </c>
      <c r="F864" s="2">
        <v>2027</v>
      </c>
      <c r="G864" s="2">
        <v>198</v>
      </c>
      <c r="H864" s="2">
        <v>2030</v>
      </c>
      <c r="I864" s="2">
        <v>241</v>
      </c>
      <c r="J864" s="2" t="s">
        <v>2513</v>
      </c>
      <c r="K864" s="2"/>
      <c r="L864" s="2"/>
      <c r="M864" s="2"/>
      <c r="N864" s="8" t="s">
        <v>11846</v>
      </c>
      <c r="O864" s="8" t="s">
        <v>292</v>
      </c>
      <c r="P864" s="2">
        <v>2</v>
      </c>
      <c r="Q864" s="8"/>
      <c r="R864" s="8" t="s">
        <v>5572</v>
      </c>
      <c r="S864" s="8" t="str">
        <f>HYPERLINK("https://seichotoushi-hojo.jp/assets/pdf/koufu_3_4ji/outline_214.pdf","PDFを開く")</f>
        <v>PDFを開く</v>
      </c>
      <c r="T864" s="8" t="s">
        <v>1850</v>
      </c>
      <c r="U864" s="8" t="s">
        <v>1851</v>
      </c>
    </row>
    <row r="865" spans="1:21" ht="39.950000000000003" customHeight="1">
      <c r="A865" s="5" t="s">
        <v>1852</v>
      </c>
      <c r="B865" s="5" t="s">
        <v>1595</v>
      </c>
      <c r="C865" s="9" t="s">
        <v>1853</v>
      </c>
      <c r="D865" s="9" t="s">
        <v>3176</v>
      </c>
      <c r="E865" s="9" t="s">
        <v>90</v>
      </c>
      <c r="F865" s="5">
        <v>2028</v>
      </c>
      <c r="G865" s="5">
        <v>1304</v>
      </c>
      <c r="H865" s="5">
        <v>2031</v>
      </c>
      <c r="I865" s="5">
        <v>2715</v>
      </c>
      <c r="J865" s="5" t="s">
        <v>86</v>
      </c>
      <c r="K865" s="5">
        <v>27.7</v>
      </c>
      <c r="L865" s="5">
        <v>27.6921</v>
      </c>
      <c r="M865" s="5">
        <v>7.9000000000000008E-3</v>
      </c>
      <c r="N865" s="9" t="s">
        <v>11846</v>
      </c>
      <c r="O865" s="9" t="s">
        <v>11847</v>
      </c>
      <c r="P865" s="5">
        <v>2</v>
      </c>
      <c r="Q865" s="9"/>
      <c r="R865" s="9" t="s">
        <v>5578</v>
      </c>
      <c r="S865" s="9" t="str">
        <f>HYPERLINK("https://seichotoushi-hojo.jp/assets/pdf/koufu_3_4ji/outline_215.pdf","PDFを開く")</f>
        <v>PDFを開く</v>
      </c>
      <c r="T865" s="9" t="s">
        <v>1857</v>
      </c>
      <c r="U865" s="9" t="s">
        <v>1858</v>
      </c>
    </row>
    <row r="866" spans="1:21" ht="39.950000000000003" customHeight="1">
      <c r="A866" s="2" t="s">
        <v>1852</v>
      </c>
      <c r="B866" s="2" t="s">
        <v>1595</v>
      </c>
      <c r="C866" s="8" t="s">
        <v>1853</v>
      </c>
      <c r="D866" s="8" t="s">
        <v>3184</v>
      </c>
      <c r="E866" s="8" t="s">
        <v>90</v>
      </c>
      <c r="F866" s="2">
        <v>2028</v>
      </c>
      <c r="G866" s="2">
        <v>626</v>
      </c>
      <c r="H866" s="2">
        <v>2031</v>
      </c>
      <c r="I866" s="2">
        <v>767</v>
      </c>
      <c r="J866" s="2" t="s">
        <v>86</v>
      </c>
      <c r="K866" s="2">
        <v>7</v>
      </c>
      <c r="L866" s="2">
        <v>7.0057</v>
      </c>
      <c r="M866" s="2">
        <v>5.7000000000000002E-3</v>
      </c>
      <c r="N866" s="8" t="s">
        <v>11846</v>
      </c>
      <c r="O866" s="8" t="s">
        <v>11847</v>
      </c>
      <c r="P866" s="2">
        <v>2</v>
      </c>
      <c r="Q866" s="8"/>
      <c r="R866" s="8" t="s">
        <v>5581</v>
      </c>
      <c r="S866" s="8" t="str">
        <f>HYPERLINK("https://seichotoushi-hojo.jp/assets/pdf/koufu_3_4ji/outline_215.pdf","PDFを開く")</f>
        <v>PDFを開く</v>
      </c>
      <c r="T866" s="8" t="s">
        <v>1857</v>
      </c>
      <c r="U866" s="8" t="s">
        <v>1858</v>
      </c>
    </row>
    <row r="867" spans="1:21" ht="39.950000000000003" customHeight="1">
      <c r="A867" s="5" t="s">
        <v>1852</v>
      </c>
      <c r="B867" s="5" t="s">
        <v>1595</v>
      </c>
      <c r="C867" s="9" t="s">
        <v>1853</v>
      </c>
      <c r="D867" s="9" t="s">
        <v>3188</v>
      </c>
      <c r="E867" s="9" t="s">
        <v>91</v>
      </c>
      <c r="F867" s="5">
        <v>2028</v>
      </c>
      <c r="G867" s="5"/>
      <c r="H867" s="5">
        <v>2031</v>
      </c>
      <c r="I867" s="5"/>
      <c r="J867" s="5" t="s">
        <v>86</v>
      </c>
      <c r="K867" s="5">
        <v>5</v>
      </c>
      <c r="L867" s="5"/>
      <c r="M867" s="5"/>
      <c r="N867" s="9" t="s">
        <v>11846</v>
      </c>
      <c r="O867" s="9" t="s">
        <v>11848</v>
      </c>
      <c r="P867" s="5">
        <v>2</v>
      </c>
      <c r="Q867" s="9"/>
      <c r="R867" s="9" t="s">
        <v>5586</v>
      </c>
      <c r="S867" s="9" t="str">
        <f>HYPERLINK("https://seichotoushi-hojo.jp/assets/pdf/koufu_3_4ji/outline_215.pdf","PDFを開く")</f>
        <v>PDFを開く</v>
      </c>
      <c r="T867" s="9" t="s">
        <v>1857</v>
      </c>
      <c r="U867" s="9" t="s">
        <v>1858</v>
      </c>
    </row>
    <row r="868" spans="1:21" ht="39.950000000000003" customHeight="1">
      <c r="A868" s="2" t="s">
        <v>1852</v>
      </c>
      <c r="B868" s="2" t="s">
        <v>1595</v>
      </c>
      <c r="C868" s="8" t="s">
        <v>1853</v>
      </c>
      <c r="D868" s="8" t="s">
        <v>3191</v>
      </c>
      <c r="E868" s="8" t="s">
        <v>92</v>
      </c>
      <c r="F868" s="2">
        <v>2028</v>
      </c>
      <c r="G868" s="2">
        <v>160</v>
      </c>
      <c r="H868" s="2">
        <v>2031</v>
      </c>
      <c r="I868" s="2">
        <v>177</v>
      </c>
      <c r="J868" s="2" t="s">
        <v>2513</v>
      </c>
      <c r="K868" s="2"/>
      <c r="L868" s="2"/>
      <c r="M868" s="2"/>
      <c r="N868" s="8" t="s">
        <v>11846</v>
      </c>
      <c r="O868" s="8" t="s">
        <v>11847</v>
      </c>
      <c r="P868" s="2">
        <v>2</v>
      </c>
      <c r="Q868" s="8"/>
      <c r="R868" s="8" t="s">
        <v>5583</v>
      </c>
      <c r="S868" s="8" t="str">
        <f>HYPERLINK("https://seichotoushi-hojo.jp/assets/pdf/koufu_3_4ji/outline_215.pdf","PDFを開く")</f>
        <v>PDFを開く</v>
      </c>
      <c r="T868" s="8" t="s">
        <v>1857</v>
      </c>
      <c r="U868" s="8" t="s">
        <v>1858</v>
      </c>
    </row>
    <row r="869" spans="1:21" ht="39.950000000000003" customHeight="1">
      <c r="A869" s="5" t="s">
        <v>1859</v>
      </c>
      <c r="B869" s="5" t="s">
        <v>1595</v>
      </c>
      <c r="C869" s="9" t="s">
        <v>1860</v>
      </c>
      <c r="D869" s="9" t="s">
        <v>3176</v>
      </c>
      <c r="E869" s="9" t="s">
        <v>90</v>
      </c>
      <c r="F869" s="5">
        <v>2027</v>
      </c>
      <c r="G869" s="5">
        <v>415</v>
      </c>
      <c r="H869" s="5">
        <v>2030</v>
      </c>
      <c r="I869" s="5">
        <v>847</v>
      </c>
      <c r="J869" s="5" t="s">
        <v>86</v>
      </c>
      <c r="K869" s="5">
        <v>26.8</v>
      </c>
      <c r="L869" s="5">
        <v>26.846499999999999</v>
      </c>
      <c r="M869" s="5">
        <v>4.65E-2</v>
      </c>
      <c r="N869" s="9" t="s">
        <v>11846</v>
      </c>
      <c r="O869" s="9" t="s">
        <v>11847</v>
      </c>
      <c r="P869" s="5">
        <v>2</v>
      </c>
      <c r="Q869" s="9"/>
      <c r="R869" s="9" t="s">
        <v>5589</v>
      </c>
      <c r="S869" s="9" t="str">
        <f>HYPERLINK("https://seichotoushi-hojo.jp/assets/pdf/koufu_3_4ji/outline_216.pdf","PDFを開く")</f>
        <v>PDFを開く</v>
      </c>
      <c r="T869" s="9" t="s">
        <v>1865</v>
      </c>
      <c r="U869" s="9" t="s">
        <v>1866</v>
      </c>
    </row>
    <row r="870" spans="1:21" ht="39.950000000000003" customHeight="1">
      <c r="A870" s="2" t="s">
        <v>1859</v>
      </c>
      <c r="B870" s="2" t="s">
        <v>1595</v>
      </c>
      <c r="C870" s="8" t="s">
        <v>1860</v>
      </c>
      <c r="D870" s="8" t="s">
        <v>3184</v>
      </c>
      <c r="E870" s="8" t="s">
        <v>90</v>
      </c>
      <c r="F870" s="2">
        <v>2027</v>
      </c>
      <c r="G870" s="2">
        <v>367</v>
      </c>
      <c r="H870" s="2">
        <v>2030</v>
      </c>
      <c r="I870" s="2">
        <v>431</v>
      </c>
      <c r="J870" s="2" t="s">
        <v>86</v>
      </c>
      <c r="K870" s="2">
        <v>5.5</v>
      </c>
      <c r="L870" s="2">
        <v>5.5044000000000004</v>
      </c>
      <c r="M870" s="2">
        <v>4.4000000000000003E-3</v>
      </c>
      <c r="N870" s="8" t="s">
        <v>11846</v>
      </c>
      <c r="O870" s="8" t="s">
        <v>11847</v>
      </c>
      <c r="P870" s="2">
        <v>2</v>
      </c>
      <c r="Q870" s="8"/>
      <c r="R870" s="8" t="s">
        <v>5591</v>
      </c>
      <c r="S870" s="8" t="str">
        <f>HYPERLINK("https://seichotoushi-hojo.jp/assets/pdf/koufu_3_4ji/outline_216.pdf","PDFを開く")</f>
        <v>PDFを開く</v>
      </c>
      <c r="T870" s="8" t="s">
        <v>1865</v>
      </c>
      <c r="U870" s="8" t="s">
        <v>1866</v>
      </c>
    </row>
    <row r="871" spans="1:21" ht="39.950000000000003" customHeight="1">
      <c r="A871" s="5" t="s">
        <v>1859</v>
      </c>
      <c r="B871" s="5" t="s">
        <v>1595</v>
      </c>
      <c r="C871" s="9" t="s">
        <v>1860</v>
      </c>
      <c r="D871" s="9" t="s">
        <v>3188</v>
      </c>
      <c r="E871" s="9" t="s">
        <v>91</v>
      </c>
      <c r="F871" s="5">
        <v>2027</v>
      </c>
      <c r="G871" s="5"/>
      <c r="H871" s="5">
        <v>2030</v>
      </c>
      <c r="I871" s="5"/>
      <c r="J871" s="5" t="s">
        <v>86</v>
      </c>
      <c r="K871" s="5">
        <v>5</v>
      </c>
      <c r="L871" s="5"/>
      <c r="M871" s="5"/>
      <c r="N871" s="9" t="s">
        <v>11846</v>
      </c>
      <c r="O871" s="9" t="s">
        <v>11848</v>
      </c>
      <c r="P871" s="5">
        <v>2</v>
      </c>
      <c r="Q871" s="9"/>
      <c r="R871" s="9" t="s">
        <v>3382</v>
      </c>
      <c r="S871" s="9" t="str">
        <f>HYPERLINK("https://seichotoushi-hojo.jp/assets/pdf/koufu_3_4ji/outline_216.pdf","PDFを開く")</f>
        <v>PDFを開く</v>
      </c>
      <c r="T871" s="9" t="s">
        <v>1865</v>
      </c>
      <c r="U871" s="9" t="s">
        <v>1866</v>
      </c>
    </row>
    <row r="872" spans="1:21" ht="39.950000000000003" customHeight="1">
      <c r="A872" s="2" t="s">
        <v>1859</v>
      </c>
      <c r="B872" s="2" t="s">
        <v>1595</v>
      </c>
      <c r="C872" s="8" t="s">
        <v>1860</v>
      </c>
      <c r="D872" s="8" t="s">
        <v>3191</v>
      </c>
      <c r="E872" s="8" t="s">
        <v>92</v>
      </c>
      <c r="F872" s="2">
        <v>2027</v>
      </c>
      <c r="G872" s="2">
        <v>64</v>
      </c>
      <c r="H872" s="2">
        <v>2030</v>
      </c>
      <c r="I872" s="2">
        <v>144</v>
      </c>
      <c r="J872" s="2" t="s">
        <v>2513</v>
      </c>
      <c r="K872" s="2"/>
      <c r="L872" s="2"/>
      <c r="M872" s="2"/>
      <c r="N872" s="8" t="s">
        <v>11846</v>
      </c>
      <c r="O872" s="8" t="s">
        <v>11847</v>
      </c>
      <c r="P872" s="2">
        <v>2</v>
      </c>
      <c r="Q872" s="8"/>
      <c r="R872" s="8" t="s">
        <v>5592</v>
      </c>
      <c r="S872" s="8" t="str">
        <f>HYPERLINK("https://seichotoushi-hojo.jp/assets/pdf/koufu_3_4ji/outline_216.pdf","PDFを開く")</f>
        <v>PDFを開く</v>
      </c>
      <c r="T872" s="8" t="s">
        <v>1865</v>
      </c>
      <c r="U872" s="8" t="s">
        <v>1866</v>
      </c>
    </row>
    <row r="873" spans="1:21" ht="39.950000000000003" customHeight="1">
      <c r="A873" s="5" t="s">
        <v>1867</v>
      </c>
      <c r="B873" s="5" t="s">
        <v>1595</v>
      </c>
      <c r="C873" s="9" t="s">
        <v>1868</v>
      </c>
      <c r="D873" s="9" t="s">
        <v>3176</v>
      </c>
      <c r="E873" s="9" t="s">
        <v>90</v>
      </c>
      <c r="F873" s="5">
        <v>2027</v>
      </c>
      <c r="G873" s="5">
        <v>1331</v>
      </c>
      <c r="H873" s="5">
        <v>2030</v>
      </c>
      <c r="I873" s="5">
        <v>2306</v>
      </c>
      <c r="J873" s="5" t="s">
        <v>86</v>
      </c>
      <c r="K873" s="5">
        <v>20.100000000000001</v>
      </c>
      <c r="L873" s="5">
        <v>20.104800000000001</v>
      </c>
      <c r="M873" s="5">
        <v>4.7999999999999996E-3</v>
      </c>
      <c r="N873" s="9" t="s">
        <v>11846</v>
      </c>
      <c r="O873" s="9" t="s">
        <v>11847</v>
      </c>
      <c r="P873" s="5">
        <v>2</v>
      </c>
      <c r="Q873" s="9"/>
      <c r="R873" s="9" t="s">
        <v>5596</v>
      </c>
      <c r="S873" s="9" t="str">
        <f>HYPERLINK("https://seichotoushi-hojo.jp/assets/pdf/koufu_3_4ji/outline_22.pdf","PDFを開く")</f>
        <v>PDFを開く</v>
      </c>
      <c r="T873" s="9" t="s">
        <v>1872</v>
      </c>
      <c r="U873" s="9" t="s">
        <v>1873</v>
      </c>
    </row>
    <row r="874" spans="1:21" ht="39.950000000000003" customHeight="1">
      <c r="A874" s="2" t="s">
        <v>1867</v>
      </c>
      <c r="B874" s="2" t="s">
        <v>1595</v>
      </c>
      <c r="C874" s="8" t="s">
        <v>1868</v>
      </c>
      <c r="D874" s="8" t="s">
        <v>3184</v>
      </c>
      <c r="E874" s="8" t="s">
        <v>166</v>
      </c>
      <c r="F874" s="2">
        <v>2027</v>
      </c>
      <c r="G874" s="2">
        <v>472</v>
      </c>
      <c r="H874" s="2">
        <v>2030</v>
      </c>
      <c r="I874" s="2">
        <v>566</v>
      </c>
      <c r="J874" s="2" t="s">
        <v>86</v>
      </c>
      <c r="K874" s="2">
        <v>6.3</v>
      </c>
      <c r="L874" s="2">
        <v>6.2408000000000001</v>
      </c>
      <c r="M874" s="2">
        <v>5.9200000000000003E-2</v>
      </c>
      <c r="N874" s="8" t="s">
        <v>11846</v>
      </c>
      <c r="O874" s="8" t="s">
        <v>292</v>
      </c>
      <c r="P874" s="2">
        <v>2</v>
      </c>
      <c r="Q874" s="8"/>
      <c r="R874" s="8" t="s">
        <v>5601</v>
      </c>
      <c r="S874" s="8" t="str">
        <f>HYPERLINK("https://seichotoushi-hojo.jp/assets/pdf/koufu_3_4ji/outline_22.pdf","PDFを開く")</f>
        <v>PDFを開く</v>
      </c>
      <c r="T874" s="8" t="s">
        <v>1872</v>
      </c>
      <c r="U874" s="8" t="s">
        <v>1873</v>
      </c>
    </row>
    <row r="875" spans="1:21" ht="39.950000000000003" customHeight="1">
      <c r="A875" s="5" t="s">
        <v>1867</v>
      </c>
      <c r="B875" s="5" t="s">
        <v>1595</v>
      </c>
      <c r="C875" s="9" t="s">
        <v>1868</v>
      </c>
      <c r="D875" s="9" t="s">
        <v>3188</v>
      </c>
      <c r="E875" s="9" t="s">
        <v>156</v>
      </c>
      <c r="F875" s="5"/>
      <c r="G875" s="5"/>
      <c r="H875" s="5"/>
      <c r="I875" s="5"/>
      <c r="J875" s="5"/>
      <c r="K875" s="5"/>
      <c r="L875" s="5"/>
      <c r="M875" s="5"/>
      <c r="N875" s="9" t="s">
        <v>11850</v>
      </c>
      <c r="O875" s="9"/>
      <c r="P875" s="5"/>
      <c r="Q875" s="9" t="s">
        <v>11851</v>
      </c>
      <c r="R875" s="9"/>
      <c r="S875" s="9" t="str">
        <f>HYPERLINK("https://seichotoushi-hojo.jp/assets/pdf/koufu_3_4ji/outline_22.pdf","PDFを開く")</f>
        <v>PDFを開く</v>
      </c>
      <c r="T875" s="9" t="s">
        <v>1872</v>
      </c>
      <c r="U875" s="9" t="s">
        <v>1873</v>
      </c>
    </row>
    <row r="876" spans="1:21" ht="39.950000000000003" customHeight="1">
      <c r="A876" s="2" t="s">
        <v>1867</v>
      </c>
      <c r="B876" s="2" t="s">
        <v>1595</v>
      </c>
      <c r="C876" s="8" t="s">
        <v>1868</v>
      </c>
      <c r="D876" s="8" t="s">
        <v>3191</v>
      </c>
      <c r="E876" s="8" t="s">
        <v>166</v>
      </c>
      <c r="F876" s="2">
        <v>2027</v>
      </c>
      <c r="G876" s="2">
        <v>638</v>
      </c>
      <c r="H876" s="2">
        <v>2030</v>
      </c>
      <c r="I876" s="2">
        <v>742</v>
      </c>
      <c r="J876" s="2" t="s">
        <v>2513</v>
      </c>
      <c r="K876" s="2"/>
      <c r="L876" s="2"/>
      <c r="M876" s="2"/>
      <c r="N876" s="8" t="s">
        <v>11846</v>
      </c>
      <c r="O876" s="8" t="s">
        <v>292</v>
      </c>
      <c r="P876" s="2">
        <v>2</v>
      </c>
      <c r="Q876" s="8"/>
      <c r="R876" s="8" t="s">
        <v>5602</v>
      </c>
      <c r="S876" s="8" t="str">
        <f>HYPERLINK("https://seichotoushi-hojo.jp/assets/pdf/koufu_3_4ji/outline_22.pdf","PDFを開く")</f>
        <v>PDFを開く</v>
      </c>
      <c r="T876" s="8" t="s">
        <v>1872</v>
      </c>
      <c r="U876" s="8" t="s">
        <v>1873</v>
      </c>
    </row>
    <row r="877" spans="1:21" ht="39.950000000000003" customHeight="1">
      <c r="A877" s="5" t="s">
        <v>1874</v>
      </c>
      <c r="B877" s="5" t="s">
        <v>1595</v>
      </c>
      <c r="C877" s="9" t="s">
        <v>1875</v>
      </c>
      <c r="D877" s="9" t="s">
        <v>3176</v>
      </c>
      <c r="E877" s="9" t="s">
        <v>90</v>
      </c>
      <c r="F877" s="5"/>
      <c r="G877" s="5">
        <v>762</v>
      </c>
      <c r="H877" s="5"/>
      <c r="I877" s="5">
        <v>1527</v>
      </c>
      <c r="J877" s="5" t="s">
        <v>86</v>
      </c>
      <c r="K877" s="5">
        <v>26.1</v>
      </c>
      <c r="L877" s="5">
        <v>26.0747</v>
      </c>
      <c r="M877" s="5">
        <v>2.53E-2</v>
      </c>
      <c r="N877" s="9" t="s">
        <v>11853</v>
      </c>
      <c r="O877" s="9"/>
      <c r="P877" s="5">
        <v>2</v>
      </c>
      <c r="Q877" s="9"/>
      <c r="R877" s="9" t="s">
        <v>5603</v>
      </c>
      <c r="S877" s="9" t="str">
        <f>HYPERLINK("https://seichotoushi-hojo.jp/assets/pdf/koufu_3_4ji/outline_229.pdf","PDFを開く")</f>
        <v>PDFを開く</v>
      </c>
      <c r="T877" s="9" t="s">
        <v>1879</v>
      </c>
      <c r="U877" s="9" t="s">
        <v>1880</v>
      </c>
    </row>
    <row r="878" spans="1:21" ht="39.950000000000003" customHeight="1">
      <c r="A878" s="2" t="s">
        <v>1874</v>
      </c>
      <c r="B878" s="2" t="s">
        <v>1595</v>
      </c>
      <c r="C878" s="8" t="s">
        <v>1875</v>
      </c>
      <c r="D878" s="8" t="s">
        <v>3184</v>
      </c>
      <c r="E878" s="8" t="s">
        <v>90</v>
      </c>
      <c r="F878" s="2"/>
      <c r="G878" s="2">
        <v>409</v>
      </c>
      <c r="H878" s="2"/>
      <c r="I878" s="2">
        <v>488</v>
      </c>
      <c r="J878" s="2" t="s">
        <v>86</v>
      </c>
      <c r="K878" s="2">
        <v>6.1</v>
      </c>
      <c r="L878" s="2">
        <v>6.0633999999999997</v>
      </c>
      <c r="M878" s="2">
        <v>3.6600000000000001E-2</v>
      </c>
      <c r="N878" s="8" t="s">
        <v>11853</v>
      </c>
      <c r="O878" s="8"/>
      <c r="P878" s="2">
        <v>2</v>
      </c>
      <c r="Q878" s="8"/>
      <c r="R878" s="8" t="s">
        <v>5605</v>
      </c>
      <c r="S878" s="8" t="str">
        <f>HYPERLINK("https://seichotoushi-hojo.jp/assets/pdf/koufu_3_4ji/outline_229.pdf","PDFを開く")</f>
        <v>PDFを開く</v>
      </c>
      <c r="T878" s="8" t="s">
        <v>1879</v>
      </c>
      <c r="U878" s="8" t="s">
        <v>1880</v>
      </c>
    </row>
    <row r="879" spans="1:21" ht="39.950000000000003" customHeight="1">
      <c r="A879" s="5" t="s">
        <v>1874</v>
      </c>
      <c r="B879" s="5" t="s">
        <v>1595</v>
      </c>
      <c r="C879" s="9" t="s">
        <v>1875</v>
      </c>
      <c r="D879" s="9" t="s">
        <v>3188</v>
      </c>
      <c r="E879" s="9" t="s">
        <v>91</v>
      </c>
      <c r="F879" s="5"/>
      <c r="G879" s="5"/>
      <c r="H879" s="5"/>
      <c r="I879" s="5"/>
      <c r="J879" s="5" t="s">
        <v>86</v>
      </c>
      <c r="K879" s="5">
        <v>6.1</v>
      </c>
      <c r="L879" s="5"/>
      <c r="M879" s="5"/>
      <c r="N879" s="9" t="s">
        <v>11854</v>
      </c>
      <c r="O879" s="9" t="s">
        <v>11848</v>
      </c>
      <c r="P879" s="5">
        <v>2</v>
      </c>
      <c r="Q879" s="9"/>
      <c r="R879" s="9" t="s">
        <v>5611</v>
      </c>
      <c r="S879" s="9" t="str">
        <f>HYPERLINK("https://seichotoushi-hojo.jp/assets/pdf/koufu_3_4ji/outline_229.pdf","PDFを開く")</f>
        <v>PDFを開く</v>
      </c>
      <c r="T879" s="9" t="s">
        <v>1879</v>
      </c>
      <c r="U879" s="9" t="s">
        <v>1880</v>
      </c>
    </row>
    <row r="880" spans="1:21" ht="39.950000000000003" customHeight="1">
      <c r="A880" s="2" t="s">
        <v>1874</v>
      </c>
      <c r="B880" s="2" t="s">
        <v>1595</v>
      </c>
      <c r="C880" s="8" t="s">
        <v>1875</v>
      </c>
      <c r="D880" s="8" t="s">
        <v>3191</v>
      </c>
      <c r="E880" s="8" t="s">
        <v>92</v>
      </c>
      <c r="F880" s="2"/>
      <c r="G880" s="2">
        <v>170</v>
      </c>
      <c r="H880" s="2"/>
      <c r="I880" s="2">
        <v>205</v>
      </c>
      <c r="J880" s="2" t="s">
        <v>2513</v>
      </c>
      <c r="K880" s="2"/>
      <c r="L880" s="2"/>
      <c r="M880" s="2"/>
      <c r="N880" s="8" t="s">
        <v>11853</v>
      </c>
      <c r="O880" s="8"/>
      <c r="P880" s="2">
        <v>2</v>
      </c>
      <c r="Q880" s="8"/>
      <c r="R880" s="8" t="s">
        <v>5608</v>
      </c>
      <c r="S880" s="8" t="str">
        <f>HYPERLINK("https://seichotoushi-hojo.jp/assets/pdf/koufu_3_4ji/outline_229.pdf","PDFを開く")</f>
        <v>PDFを開く</v>
      </c>
      <c r="T880" s="8" t="s">
        <v>1879</v>
      </c>
      <c r="U880" s="8" t="s">
        <v>1880</v>
      </c>
    </row>
    <row r="881" spans="1:21" ht="39.950000000000003" customHeight="1">
      <c r="A881" s="5" t="s">
        <v>1881</v>
      </c>
      <c r="B881" s="5" t="s">
        <v>1595</v>
      </c>
      <c r="C881" s="9" t="s">
        <v>1882</v>
      </c>
      <c r="D881" s="9" t="s">
        <v>3176</v>
      </c>
      <c r="E881" s="9" t="s">
        <v>90</v>
      </c>
      <c r="F881" s="5">
        <v>2027</v>
      </c>
      <c r="G881" s="5">
        <v>726</v>
      </c>
      <c r="H881" s="5">
        <v>2030</v>
      </c>
      <c r="I881" s="5">
        <v>1802</v>
      </c>
      <c r="J881" s="5" t="s">
        <v>86</v>
      </c>
      <c r="K881" s="5">
        <v>35.4</v>
      </c>
      <c r="L881" s="5">
        <v>35.396099999999997</v>
      </c>
      <c r="M881" s="5">
        <v>3.8999999999999998E-3</v>
      </c>
      <c r="N881" s="9" t="s">
        <v>11846</v>
      </c>
      <c r="O881" s="9" t="s">
        <v>11847</v>
      </c>
      <c r="P881" s="5">
        <v>2</v>
      </c>
      <c r="Q881" s="9"/>
      <c r="R881" s="9" t="s">
        <v>5615</v>
      </c>
      <c r="S881" s="9" t="str">
        <f>HYPERLINK("https://seichotoushi-hojo.jp/assets/pdf/koufu_3_4ji/outline_23.pdf","PDFを開く")</f>
        <v>PDFを開く</v>
      </c>
      <c r="T881" s="9" t="s">
        <v>1886</v>
      </c>
      <c r="U881" s="9" t="s">
        <v>1887</v>
      </c>
    </row>
    <row r="882" spans="1:21" ht="39.950000000000003" customHeight="1">
      <c r="A882" s="2" t="s">
        <v>1881</v>
      </c>
      <c r="B882" s="2" t="s">
        <v>1595</v>
      </c>
      <c r="C882" s="8" t="s">
        <v>1882</v>
      </c>
      <c r="D882" s="8" t="s">
        <v>3184</v>
      </c>
      <c r="E882" s="8" t="s">
        <v>90</v>
      </c>
      <c r="F882" s="2">
        <v>2027</v>
      </c>
      <c r="G882" s="2">
        <v>626</v>
      </c>
      <c r="H882" s="2">
        <v>2030</v>
      </c>
      <c r="I882" s="2">
        <v>777</v>
      </c>
      <c r="J882" s="2" t="s">
        <v>86</v>
      </c>
      <c r="K882" s="2">
        <v>7.5</v>
      </c>
      <c r="L882" s="2">
        <v>7.4687999999999999</v>
      </c>
      <c r="M882" s="2">
        <v>3.1199999999999999E-2</v>
      </c>
      <c r="N882" s="8" t="s">
        <v>11846</v>
      </c>
      <c r="O882" s="8" t="s">
        <v>11847</v>
      </c>
      <c r="P882" s="2">
        <v>2</v>
      </c>
      <c r="Q882" s="8"/>
      <c r="R882" s="8" t="s">
        <v>5617</v>
      </c>
      <c r="S882" s="8" t="str">
        <f>HYPERLINK("https://seichotoushi-hojo.jp/assets/pdf/koufu_3_4ji/outline_23.pdf","PDFを開く")</f>
        <v>PDFを開く</v>
      </c>
      <c r="T882" s="8" t="s">
        <v>1886</v>
      </c>
      <c r="U882" s="8" t="s">
        <v>1887</v>
      </c>
    </row>
    <row r="883" spans="1:21" ht="39.950000000000003" customHeight="1">
      <c r="A883" s="5" t="s">
        <v>1881</v>
      </c>
      <c r="B883" s="5" t="s">
        <v>1595</v>
      </c>
      <c r="C883" s="9" t="s">
        <v>1882</v>
      </c>
      <c r="D883" s="9" t="s">
        <v>3188</v>
      </c>
      <c r="E883" s="9" t="s">
        <v>91</v>
      </c>
      <c r="F883" s="5">
        <v>2027</v>
      </c>
      <c r="G883" s="5"/>
      <c r="H883" s="5">
        <v>2030</v>
      </c>
      <c r="I883" s="5"/>
      <c r="J883" s="5" t="s">
        <v>86</v>
      </c>
      <c r="K883" s="5">
        <v>7.5</v>
      </c>
      <c r="L883" s="5"/>
      <c r="M883" s="5"/>
      <c r="N883" s="9" t="s">
        <v>11846</v>
      </c>
      <c r="O883" s="9" t="s">
        <v>11848</v>
      </c>
      <c r="P883" s="5">
        <v>2</v>
      </c>
      <c r="Q883" s="9"/>
      <c r="R883" s="9" t="s">
        <v>5622</v>
      </c>
      <c r="S883" s="9" t="str">
        <f>HYPERLINK("https://seichotoushi-hojo.jp/assets/pdf/koufu_3_4ji/outline_23.pdf","PDFを開く")</f>
        <v>PDFを開く</v>
      </c>
      <c r="T883" s="9" t="s">
        <v>1886</v>
      </c>
      <c r="U883" s="9" t="s">
        <v>1887</v>
      </c>
    </row>
    <row r="884" spans="1:21" ht="39.950000000000003" customHeight="1">
      <c r="A884" s="2" t="s">
        <v>1881</v>
      </c>
      <c r="B884" s="2" t="s">
        <v>1595</v>
      </c>
      <c r="C884" s="8" t="s">
        <v>1882</v>
      </c>
      <c r="D884" s="8" t="s">
        <v>3191</v>
      </c>
      <c r="E884" s="8" t="s">
        <v>92</v>
      </c>
      <c r="F884" s="2">
        <v>2027</v>
      </c>
      <c r="G884" s="2">
        <v>135</v>
      </c>
      <c r="H884" s="2">
        <v>2030</v>
      </c>
      <c r="I884" s="2">
        <v>145</v>
      </c>
      <c r="J884" s="2" t="s">
        <v>2513</v>
      </c>
      <c r="K884" s="2"/>
      <c r="L884" s="2"/>
      <c r="M884" s="2"/>
      <c r="N884" s="8" t="s">
        <v>11846</v>
      </c>
      <c r="O884" s="8" t="s">
        <v>11847</v>
      </c>
      <c r="P884" s="2">
        <v>2</v>
      </c>
      <c r="Q884" s="8"/>
      <c r="R884" s="8" t="s">
        <v>5620</v>
      </c>
      <c r="S884" s="8" t="str">
        <f>HYPERLINK("https://seichotoushi-hojo.jp/assets/pdf/koufu_3_4ji/outline_23.pdf","PDFを開く")</f>
        <v>PDFを開く</v>
      </c>
      <c r="T884" s="8" t="s">
        <v>1886</v>
      </c>
      <c r="U884" s="8" t="s">
        <v>1887</v>
      </c>
    </row>
    <row r="885" spans="1:21" ht="39.950000000000003" customHeight="1">
      <c r="A885" s="5" t="s">
        <v>1888</v>
      </c>
      <c r="B885" s="5" t="s">
        <v>1595</v>
      </c>
      <c r="C885" s="9" t="s">
        <v>1889</v>
      </c>
      <c r="D885" s="9" t="s">
        <v>3176</v>
      </c>
      <c r="E885" s="9" t="s">
        <v>90</v>
      </c>
      <c r="F885" s="5">
        <v>2027</v>
      </c>
      <c r="G885" s="5">
        <v>855</v>
      </c>
      <c r="H885" s="5">
        <v>2030</v>
      </c>
      <c r="I885" s="5">
        <v>1232</v>
      </c>
      <c r="J885" s="5" t="s">
        <v>86</v>
      </c>
      <c r="K885" s="5">
        <v>12.9</v>
      </c>
      <c r="L885" s="5">
        <v>12.9488</v>
      </c>
      <c r="M885" s="5">
        <v>4.8800000000000003E-2</v>
      </c>
      <c r="N885" s="9" t="s">
        <v>11846</v>
      </c>
      <c r="O885" s="9" t="s">
        <v>11852</v>
      </c>
      <c r="P885" s="5">
        <v>2</v>
      </c>
      <c r="Q885" s="9"/>
      <c r="R885" s="9" t="s">
        <v>5626</v>
      </c>
      <c r="S885" s="9" t="str">
        <f>HYPERLINK("https://seichotoushi-hojo.jp/assets/pdf/koufu_3_4ji/outline_232.pdf","PDFを開く")</f>
        <v>PDFを開く</v>
      </c>
      <c r="T885" s="9" t="s">
        <v>1895</v>
      </c>
      <c r="U885" s="9" t="s">
        <v>1896</v>
      </c>
    </row>
    <row r="886" spans="1:21" ht="39.950000000000003" customHeight="1">
      <c r="A886" s="2" t="s">
        <v>1888</v>
      </c>
      <c r="B886" s="2" t="s">
        <v>1595</v>
      </c>
      <c r="C886" s="8" t="s">
        <v>1889</v>
      </c>
      <c r="D886" s="8" t="s">
        <v>3184</v>
      </c>
      <c r="E886" s="8" t="s">
        <v>90</v>
      </c>
      <c r="F886" s="2">
        <v>2027</v>
      </c>
      <c r="G886" s="2">
        <v>431</v>
      </c>
      <c r="H886" s="2">
        <v>2030</v>
      </c>
      <c r="I886" s="2">
        <v>513</v>
      </c>
      <c r="J886" s="2" t="s">
        <v>86</v>
      </c>
      <c r="K886" s="2">
        <v>6</v>
      </c>
      <c r="L886" s="2">
        <v>5.9774000000000003</v>
      </c>
      <c r="M886" s="2">
        <v>2.2599999999999999E-2</v>
      </c>
      <c r="N886" s="8" t="s">
        <v>11846</v>
      </c>
      <c r="O886" s="8" t="s">
        <v>11852</v>
      </c>
      <c r="P886" s="2">
        <v>2</v>
      </c>
      <c r="Q886" s="8"/>
      <c r="R886" s="8" t="s">
        <v>5629</v>
      </c>
      <c r="S886" s="8" t="str">
        <f>HYPERLINK("https://seichotoushi-hojo.jp/assets/pdf/koufu_3_4ji/outline_232.pdf","PDFを開く")</f>
        <v>PDFを開く</v>
      </c>
      <c r="T886" s="8" t="s">
        <v>1895</v>
      </c>
      <c r="U886" s="8" t="s">
        <v>1896</v>
      </c>
    </row>
    <row r="887" spans="1:21" ht="39.950000000000003" customHeight="1">
      <c r="A887" s="5" t="s">
        <v>1888</v>
      </c>
      <c r="B887" s="5" t="s">
        <v>1595</v>
      </c>
      <c r="C887" s="9" t="s">
        <v>1889</v>
      </c>
      <c r="D887" s="9" t="s">
        <v>3188</v>
      </c>
      <c r="E887" s="9" t="s">
        <v>91</v>
      </c>
      <c r="F887" s="5">
        <v>2027</v>
      </c>
      <c r="G887" s="5"/>
      <c r="H887" s="5">
        <v>2030</v>
      </c>
      <c r="I887" s="5"/>
      <c r="J887" s="5" t="s">
        <v>86</v>
      </c>
      <c r="K887" s="5">
        <v>6</v>
      </c>
      <c r="L887" s="5"/>
      <c r="M887" s="5"/>
      <c r="N887" s="9" t="s">
        <v>11846</v>
      </c>
      <c r="O887" s="9" t="s">
        <v>11848</v>
      </c>
      <c r="P887" s="5">
        <v>2</v>
      </c>
      <c r="Q887" s="9"/>
      <c r="R887" s="9" t="s">
        <v>5634</v>
      </c>
      <c r="S887" s="9" t="str">
        <f>HYPERLINK("https://seichotoushi-hojo.jp/assets/pdf/koufu_3_4ji/outline_232.pdf","PDFを開く")</f>
        <v>PDFを開く</v>
      </c>
      <c r="T887" s="9" t="s">
        <v>1895</v>
      </c>
      <c r="U887" s="9" t="s">
        <v>1896</v>
      </c>
    </row>
    <row r="888" spans="1:21" ht="39.950000000000003" customHeight="1">
      <c r="A888" s="2" t="s">
        <v>1888</v>
      </c>
      <c r="B888" s="2" t="s">
        <v>1595</v>
      </c>
      <c r="C888" s="8" t="s">
        <v>1889</v>
      </c>
      <c r="D888" s="8" t="s">
        <v>3191</v>
      </c>
      <c r="E888" s="8" t="s">
        <v>92</v>
      </c>
      <c r="F888" s="2">
        <v>2027</v>
      </c>
      <c r="G888" s="2">
        <v>21</v>
      </c>
      <c r="H888" s="2">
        <v>2030</v>
      </c>
      <c r="I888" s="2">
        <v>25</v>
      </c>
      <c r="J888" s="2" t="s">
        <v>2513</v>
      </c>
      <c r="K888" s="2"/>
      <c r="L888" s="2"/>
      <c r="M888" s="2"/>
      <c r="N888" s="8" t="s">
        <v>11846</v>
      </c>
      <c r="O888" s="8" t="s">
        <v>11852</v>
      </c>
      <c r="P888" s="2">
        <v>2</v>
      </c>
      <c r="Q888" s="8"/>
      <c r="R888" s="8" t="s">
        <v>5631</v>
      </c>
      <c r="S888" s="8" t="str">
        <f>HYPERLINK("https://seichotoushi-hojo.jp/assets/pdf/koufu_3_4ji/outline_232.pdf","PDFを開く")</f>
        <v>PDFを開く</v>
      </c>
      <c r="T888" s="8" t="s">
        <v>1895</v>
      </c>
      <c r="U888" s="8" t="s">
        <v>1896</v>
      </c>
    </row>
    <row r="889" spans="1:21" ht="39.950000000000003" customHeight="1">
      <c r="A889" s="5" t="s">
        <v>1897</v>
      </c>
      <c r="B889" s="5" t="s">
        <v>1595</v>
      </c>
      <c r="C889" s="9" t="s">
        <v>1898</v>
      </c>
      <c r="D889" s="9" t="s">
        <v>3176</v>
      </c>
      <c r="E889" s="9" t="s">
        <v>90</v>
      </c>
      <c r="F889" s="5">
        <v>2027</v>
      </c>
      <c r="G889" s="5">
        <v>8619</v>
      </c>
      <c r="H889" s="5">
        <v>2030</v>
      </c>
      <c r="I889" s="5">
        <v>24301</v>
      </c>
      <c r="J889" s="5" t="s">
        <v>86</v>
      </c>
      <c r="K889" s="5">
        <v>41.3</v>
      </c>
      <c r="L889" s="5">
        <v>41.271900000000002</v>
      </c>
      <c r="M889" s="5">
        <v>2.81E-2</v>
      </c>
      <c r="N889" s="9" t="s">
        <v>11846</v>
      </c>
      <c r="O889" s="9" t="s">
        <v>11847</v>
      </c>
      <c r="P889" s="5">
        <v>2</v>
      </c>
      <c r="Q889" s="9"/>
      <c r="R889" s="9" t="s">
        <v>5638</v>
      </c>
      <c r="S889" s="9" t="str">
        <f>HYPERLINK("https://seichotoushi-hojo.jp/assets/pdf/koufu_3_4ji/outline_234.pdf","PDFを開く")</f>
        <v>PDFを開く</v>
      </c>
      <c r="T889" s="9" t="s">
        <v>1902</v>
      </c>
      <c r="U889" s="9" t="s">
        <v>1903</v>
      </c>
    </row>
    <row r="890" spans="1:21" ht="39.950000000000003" customHeight="1">
      <c r="A890" s="2" t="s">
        <v>1897</v>
      </c>
      <c r="B890" s="2" t="s">
        <v>1595</v>
      </c>
      <c r="C890" s="8" t="s">
        <v>1898</v>
      </c>
      <c r="D890" s="8" t="s">
        <v>3184</v>
      </c>
      <c r="E890" s="8" t="s">
        <v>90</v>
      </c>
      <c r="F890" s="2">
        <v>2027</v>
      </c>
      <c r="G890" s="2">
        <v>871</v>
      </c>
      <c r="H890" s="2">
        <v>2030</v>
      </c>
      <c r="I890" s="2">
        <v>1046</v>
      </c>
      <c r="J890" s="2" t="s">
        <v>86</v>
      </c>
      <c r="K890" s="2">
        <v>6.5</v>
      </c>
      <c r="L890" s="2">
        <v>6.2930000000000001</v>
      </c>
      <c r="M890" s="2">
        <v>0.20699999999999999</v>
      </c>
      <c r="N890" s="8" t="s">
        <v>11846</v>
      </c>
      <c r="O890" s="8" t="s">
        <v>11847</v>
      </c>
      <c r="P890" s="2">
        <v>2</v>
      </c>
      <c r="Q890" s="8"/>
      <c r="R890" s="8" t="s">
        <v>5641</v>
      </c>
      <c r="S890" s="8" t="str">
        <f>HYPERLINK("https://seichotoushi-hojo.jp/assets/pdf/koufu_3_4ji/outline_234.pdf","PDFを開く")</f>
        <v>PDFを開く</v>
      </c>
      <c r="T890" s="8" t="s">
        <v>1902</v>
      </c>
      <c r="U890" s="8" t="s">
        <v>1903</v>
      </c>
    </row>
    <row r="891" spans="1:21" ht="39.950000000000003" customHeight="1">
      <c r="A891" s="5" t="s">
        <v>1897</v>
      </c>
      <c r="B891" s="5" t="s">
        <v>1595</v>
      </c>
      <c r="C891" s="9" t="s">
        <v>1898</v>
      </c>
      <c r="D891" s="9" t="s">
        <v>3188</v>
      </c>
      <c r="E891" s="9" t="s">
        <v>156</v>
      </c>
      <c r="F891" s="5"/>
      <c r="G891" s="5"/>
      <c r="H891" s="5"/>
      <c r="I891" s="5"/>
      <c r="J891" s="5"/>
      <c r="K891" s="5"/>
      <c r="L891" s="5"/>
      <c r="M891" s="5"/>
      <c r="N891" s="9" t="s">
        <v>11850</v>
      </c>
      <c r="O891" s="9"/>
      <c r="P891" s="5"/>
      <c r="Q891" s="9" t="s">
        <v>11851</v>
      </c>
      <c r="R891" s="9"/>
      <c r="S891" s="9" t="str">
        <f>HYPERLINK("https://seichotoushi-hojo.jp/assets/pdf/koufu_3_4ji/outline_234.pdf","PDFを開く")</f>
        <v>PDFを開く</v>
      </c>
      <c r="T891" s="9" t="s">
        <v>1902</v>
      </c>
      <c r="U891" s="9" t="s">
        <v>1903</v>
      </c>
    </row>
    <row r="892" spans="1:21" ht="39.950000000000003" customHeight="1">
      <c r="A892" s="2" t="s">
        <v>1897</v>
      </c>
      <c r="B892" s="2" t="s">
        <v>1595</v>
      </c>
      <c r="C892" s="8" t="s">
        <v>1898</v>
      </c>
      <c r="D892" s="8" t="s">
        <v>3191</v>
      </c>
      <c r="E892" s="8" t="s">
        <v>92</v>
      </c>
      <c r="F892" s="2">
        <v>2027</v>
      </c>
      <c r="G892" s="2">
        <v>244</v>
      </c>
      <c r="H892" s="2">
        <v>2030</v>
      </c>
      <c r="I892" s="2">
        <v>269</v>
      </c>
      <c r="J892" s="2" t="s">
        <v>2513</v>
      </c>
      <c r="K892" s="2"/>
      <c r="L892" s="2"/>
      <c r="M892" s="2"/>
      <c r="N892" s="8" t="s">
        <v>11846</v>
      </c>
      <c r="O892" s="8" t="s">
        <v>11847</v>
      </c>
      <c r="P892" s="2">
        <v>2</v>
      </c>
      <c r="Q892" s="8"/>
      <c r="R892" s="8" t="s">
        <v>5645</v>
      </c>
      <c r="S892" s="8" t="str">
        <f>HYPERLINK("https://seichotoushi-hojo.jp/assets/pdf/koufu_3_4ji/outline_234.pdf","PDFを開く")</f>
        <v>PDFを開く</v>
      </c>
      <c r="T892" s="8" t="s">
        <v>1902</v>
      </c>
      <c r="U892" s="8" t="s">
        <v>1903</v>
      </c>
    </row>
    <row r="893" spans="1:21" ht="39.950000000000003" customHeight="1">
      <c r="A893" s="5" t="s">
        <v>1904</v>
      </c>
      <c r="B893" s="5" t="s">
        <v>1595</v>
      </c>
      <c r="C893" s="9" t="s">
        <v>1905</v>
      </c>
      <c r="D893" s="9" t="s">
        <v>3176</v>
      </c>
      <c r="E893" s="9" t="s">
        <v>90</v>
      </c>
      <c r="F893" s="5">
        <v>2027</v>
      </c>
      <c r="G893" s="5">
        <v>344</v>
      </c>
      <c r="H893" s="5">
        <v>2030</v>
      </c>
      <c r="I893" s="5">
        <v>523</v>
      </c>
      <c r="J893" s="5" t="s">
        <v>86</v>
      </c>
      <c r="K893" s="5">
        <v>15</v>
      </c>
      <c r="L893" s="5">
        <v>14.986700000000001</v>
      </c>
      <c r="M893" s="5">
        <v>1.3299999999999999E-2</v>
      </c>
      <c r="N893" s="9" t="s">
        <v>11846</v>
      </c>
      <c r="O893" s="9" t="s">
        <v>11847</v>
      </c>
      <c r="P893" s="5">
        <v>2</v>
      </c>
      <c r="Q893" s="9"/>
      <c r="R893" s="9" t="s">
        <v>5646</v>
      </c>
      <c r="S893" s="9" t="str">
        <f>HYPERLINK("https://seichotoushi-hojo.jp/assets/pdf/koufu_3_4ji/outline_24.pdf","PDFを開く")</f>
        <v>PDFを開く</v>
      </c>
      <c r="T893" s="9" t="s">
        <v>1910</v>
      </c>
      <c r="U893" s="9" t="s">
        <v>1911</v>
      </c>
    </row>
    <row r="894" spans="1:21" ht="39.950000000000003" customHeight="1">
      <c r="A894" s="2" t="s">
        <v>1904</v>
      </c>
      <c r="B894" s="2" t="s">
        <v>1595</v>
      </c>
      <c r="C894" s="8" t="s">
        <v>1905</v>
      </c>
      <c r="D894" s="8" t="s">
        <v>3184</v>
      </c>
      <c r="E894" s="8" t="s">
        <v>166</v>
      </c>
      <c r="F894" s="2">
        <v>2027</v>
      </c>
      <c r="G894" s="2">
        <v>257</v>
      </c>
      <c r="H894" s="2">
        <v>2030</v>
      </c>
      <c r="I894" s="2">
        <v>307</v>
      </c>
      <c r="J894" s="2" t="s">
        <v>86</v>
      </c>
      <c r="K894" s="2">
        <v>6.1</v>
      </c>
      <c r="L894" s="2">
        <v>6.1048</v>
      </c>
      <c r="M894" s="2">
        <v>4.7999999999999996E-3</v>
      </c>
      <c r="N894" s="8" t="s">
        <v>11846</v>
      </c>
      <c r="O894" s="8" t="s">
        <v>292</v>
      </c>
      <c r="P894" s="2">
        <v>2</v>
      </c>
      <c r="Q894" s="8"/>
      <c r="R894" s="8" t="s">
        <v>5649</v>
      </c>
      <c r="S894" s="8" t="str">
        <f>HYPERLINK("https://seichotoushi-hojo.jp/assets/pdf/koufu_3_4ji/outline_24.pdf","PDFを開く")</f>
        <v>PDFを開く</v>
      </c>
      <c r="T894" s="8" t="s">
        <v>1910</v>
      </c>
      <c r="U894" s="8" t="s">
        <v>1911</v>
      </c>
    </row>
    <row r="895" spans="1:21" ht="39.950000000000003" customHeight="1">
      <c r="A895" s="5" t="s">
        <v>1904</v>
      </c>
      <c r="B895" s="5" t="s">
        <v>1595</v>
      </c>
      <c r="C895" s="9" t="s">
        <v>1905</v>
      </c>
      <c r="D895" s="9" t="s">
        <v>3188</v>
      </c>
      <c r="E895" s="9" t="s">
        <v>157</v>
      </c>
      <c r="F895" s="5"/>
      <c r="G895" s="5"/>
      <c r="H895" s="5"/>
      <c r="I895" s="5"/>
      <c r="J895" s="5"/>
      <c r="K895" s="5"/>
      <c r="L895" s="5"/>
      <c r="M895" s="5"/>
      <c r="N895" s="9" t="s">
        <v>11850</v>
      </c>
      <c r="O895" s="9"/>
      <c r="P895" s="5"/>
      <c r="Q895" s="9" t="s">
        <v>11851</v>
      </c>
      <c r="R895" s="9"/>
      <c r="S895" s="9" t="str">
        <f>HYPERLINK("https://seichotoushi-hojo.jp/assets/pdf/koufu_3_4ji/outline_24.pdf","PDFを開く")</f>
        <v>PDFを開く</v>
      </c>
      <c r="T895" s="9" t="s">
        <v>1910</v>
      </c>
      <c r="U895" s="9" t="s">
        <v>1911</v>
      </c>
    </row>
    <row r="896" spans="1:21" ht="39.950000000000003" customHeight="1">
      <c r="A896" s="2" t="s">
        <v>1904</v>
      </c>
      <c r="B896" s="2" t="s">
        <v>1595</v>
      </c>
      <c r="C896" s="8" t="s">
        <v>1905</v>
      </c>
      <c r="D896" s="8" t="s">
        <v>3191</v>
      </c>
      <c r="E896" s="8" t="s">
        <v>92</v>
      </c>
      <c r="F896" s="2">
        <v>2027</v>
      </c>
      <c r="G896" s="2">
        <v>330</v>
      </c>
      <c r="H896" s="2">
        <v>2030</v>
      </c>
      <c r="I896" s="2">
        <v>336</v>
      </c>
      <c r="J896" s="2" t="s">
        <v>2513</v>
      </c>
      <c r="K896" s="2"/>
      <c r="L896" s="2"/>
      <c r="M896" s="2"/>
      <c r="N896" s="8" t="s">
        <v>11846</v>
      </c>
      <c r="O896" s="8" t="s">
        <v>11847</v>
      </c>
      <c r="P896" s="2">
        <v>2</v>
      </c>
      <c r="Q896" s="8"/>
      <c r="R896" s="8" t="s">
        <v>5647</v>
      </c>
      <c r="S896" s="8" t="str">
        <f>HYPERLINK("https://seichotoushi-hojo.jp/assets/pdf/koufu_3_4ji/outline_24.pdf","PDFを開く")</f>
        <v>PDFを開く</v>
      </c>
      <c r="T896" s="8" t="s">
        <v>1910</v>
      </c>
      <c r="U896" s="8" t="s">
        <v>1911</v>
      </c>
    </row>
    <row r="897" spans="1:21" ht="39.950000000000003" customHeight="1">
      <c r="A897" s="5" t="s">
        <v>1912</v>
      </c>
      <c r="B897" s="5" t="s">
        <v>1595</v>
      </c>
      <c r="C897" s="9" t="s">
        <v>1913</v>
      </c>
      <c r="D897" s="9" t="s">
        <v>3176</v>
      </c>
      <c r="E897" s="9" t="s">
        <v>90</v>
      </c>
      <c r="F897" s="5">
        <v>2027</v>
      </c>
      <c r="G897" s="5">
        <v>949</v>
      </c>
      <c r="H897" s="5">
        <v>2030</v>
      </c>
      <c r="I897" s="5">
        <v>2496</v>
      </c>
      <c r="J897" s="5" t="s">
        <v>86</v>
      </c>
      <c r="K897" s="5">
        <v>38</v>
      </c>
      <c r="L897" s="5">
        <v>38.036099999999998</v>
      </c>
      <c r="M897" s="5">
        <v>3.61E-2</v>
      </c>
      <c r="N897" s="9" t="s">
        <v>11846</v>
      </c>
      <c r="O897" s="9" t="s">
        <v>11847</v>
      </c>
      <c r="P897" s="5">
        <v>4</v>
      </c>
      <c r="Q897" s="9"/>
      <c r="R897" s="9" t="s">
        <v>5651</v>
      </c>
      <c r="S897" s="9" t="str">
        <f>HYPERLINK("https://seichotoushi-hojo.jp/assets/pdf/koufu_3_4ji/outline_25.pdf","PDFを開く")</f>
        <v>PDFを開く</v>
      </c>
      <c r="T897" s="9" t="s">
        <v>1916</v>
      </c>
      <c r="U897" s="9" t="s">
        <v>1917</v>
      </c>
    </row>
    <row r="898" spans="1:21" ht="39.950000000000003" customHeight="1">
      <c r="A898" s="2" t="s">
        <v>1912</v>
      </c>
      <c r="B898" s="2" t="s">
        <v>1595</v>
      </c>
      <c r="C898" s="8" t="s">
        <v>1913</v>
      </c>
      <c r="D898" s="8" t="s">
        <v>3184</v>
      </c>
      <c r="E898" s="8" t="s">
        <v>90</v>
      </c>
      <c r="F898" s="2">
        <v>2027</v>
      </c>
      <c r="G898" s="2">
        <v>396</v>
      </c>
      <c r="H898" s="2">
        <v>2030</v>
      </c>
      <c r="I898" s="2">
        <v>486</v>
      </c>
      <c r="J898" s="2" t="s">
        <v>86</v>
      </c>
      <c r="K898" s="2">
        <v>7</v>
      </c>
      <c r="L898" s="2">
        <v>7.0648999999999997</v>
      </c>
      <c r="M898" s="2">
        <v>6.4899999999999999E-2</v>
      </c>
      <c r="N898" s="8" t="s">
        <v>11846</v>
      </c>
      <c r="O898" s="8" t="s">
        <v>11847</v>
      </c>
      <c r="P898" s="2">
        <v>4</v>
      </c>
      <c r="Q898" s="8"/>
      <c r="R898" s="8" t="s">
        <v>5654</v>
      </c>
      <c r="S898" s="8" t="str">
        <f>HYPERLINK("https://seichotoushi-hojo.jp/assets/pdf/koufu_3_4ji/outline_25.pdf","PDFを開く")</f>
        <v>PDFを開く</v>
      </c>
      <c r="T898" s="8" t="s">
        <v>1916</v>
      </c>
      <c r="U898" s="8" t="s">
        <v>1917</v>
      </c>
    </row>
    <row r="899" spans="1:21" ht="39.950000000000003" customHeight="1">
      <c r="A899" s="5" t="s">
        <v>1912</v>
      </c>
      <c r="B899" s="5" t="s">
        <v>1595</v>
      </c>
      <c r="C899" s="9" t="s">
        <v>1913</v>
      </c>
      <c r="D899" s="9" t="s">
        <v>3188</v>
      </c>
      <c r="E899" s="9" t="s">
        <v>91</v>
      </c>
      <c r="F899" s="5">
        <v>2027</v>
      </c>
      <c r="G899" s="5"/>
      <c r="H899" s="5">
        <v>2030</v>
      </c>
      <c r="I899" s="5"/>
      <c r="J899" s="5" t="s">
        <v>86</v>
      </c>
      <c r="K899" s="5">
        <v>7</v>
      </c>
      <c r="L899" s="5"/>
      <c r="M899" s="5"/>
      <c r="N899" s="9" t="s">
        <v>11846</v>
      </c>
      <c r="O899" s="9" t="s">
        <v>11848</v>
      </c>
      <c r="P899" s="5">
        <v>4</v>
      </c>
      <c r="Q899" s="9"/>
      <c r="R899" s="9" t="s">
        <v>5658</v>
      </c>
      <c r="S899" s="9" t="str">
        <f>HYPERLINK("https://seichotoushi-hojo.jp/assets/pdf/koufu_3_4ji/outline_25.pdf","PDFを開く")</f>
        <v>PDFを開く</v>
      </c>
      <c r="T899" s="9" t="s">
        <v>1916</v>
      </c>
      <c r="U899" s="9" t="s">
        <v>1917</v>
      </c>
    </row>
    <row r="900" spans="1:21" ht="39.950000000000003" customHeight="1">
      <c r="A900" s="2" t="s">
        <v>1912</v>
      </c>
      <c r="B900" s="2" t="s">
        <v>1595</v>
      </c>
      <c r="C900" s="8" t="s">
        <v>1913</v>
      </c>
      <c r="D900" s="8" t="s">
        <v>3191</v>
      </c>
      <c r="E900" s="8" t="s">
        <v>92</v>
      </c>
      <c r="F900" s="2">
        <v>2027</v>
      </c>
      <c r="G900" s="2">
        <v>78</v>
      </c>
      <c r="H900" s="2">
        <v>2030</v>
      </c>
      <c r="I900" s="2">
        <v>90</v>
      </c>
      <c r="J900" s="2" t="s">
        <v>2513</v>
      </c>
      <c r="K900" s="2"/>
      <c r="L900" s="2"/>
      <c r="M900" s="2"/>
      <c r="N900" s="8" t="s">
        <v>11846</v>
      </c>
      <c r="O900" s="8" t="s">
        <v>11847</v>
      </c>
      <c r="P900" s="2">
        <v>4</v>
      </c>
      <c r="Q900" s="8"/>
      <c r="R900" s="8" t="s">
        <v>5656</v>
      </c>
      <c r="S900" s="8" t="str">
        <f>HYPERLINK("https://seichotoushi-hojo.jp/assets/pdf/koufu_3_4ji/outline_25.pdf","PDFを開く")</f>
        <v>PDFを開く</v>
      </c>
      <c r="T900" s="8" t="s">
        <v>1916</v>
      </c>
      <c r="U900" s="8" t="s">
        <v>1917</v>
      </c>
    </row>
    <row r="901" spans="1:21" ht="39.950000000000003" customHeight="1">
      <c r="A901" s="5" t="s">
        <v>1918</v>
      </c>
      <c r="B901" s="5" t="s">
        <v>1595</v>
      </c>
      <c r="C901" s="9" t="s">
        <v>1919</v>
      </c>
      <c r="D901" s="9" t="s">
        <v>3176</v>
      </c>
      <c r="E901" s="9" t="s">
        <v>90</v>
      </c>
      <c r="F901" s="5">
        <v>2027</v>
      </c>
      <c r="G901" s="5">
        <v>956</v>
      </c>
      <c r="H901" s="5">
        <v>2030</v>
      </c>
      <c r="I901" s="5">
        <v>2159</v>
      </c>
      <c r="J901" s="5" t="s">
        <v>86</v>
      </c>
      <c r="K901" s="5">
        <v>31.2</v>
      </c>
      <c r="L901" s="5">
        <v>31.199300000000001</v>
      </c>
      <c r="M901" s="5">
        <v>6.9999999999999999E-4</v>
      </c>
      <c r="N901" s="9" t="s">
        <v>11846</v>
      </c>
      <c r="O901" s="9" t="s">
        <v>11847</v>
      </c>
      <c r="P901" s="5">
        <v>2</v>
      </c>
      <c r="Q901" s="9"/>
      <c r="R901" s="9" t="s">
        <v>5663</v>
      </c>
      <c r="S901" s="9" t="str">
        <f>HYPERLINK("https://seichotoushi-hojo.jp/assets/pdf/koufu_3_4ji/outline_26.pdf","PDFを開く")</f>
        <v>PDFを開く</v>
      </c>
      <c r="T901" s="9" t="s">
        <v>1925</v>
      </c>
      <c r="U901" s="9" t="s">
        <v>1926</v>
      </c>
    </row>
    <row r="902" spans="1:21" ht="39.950000000000003" customHeight="1">
      <c r="A902" s="2" t="s">
        <v>1918</v>
      </c>
      <c r="B902" s="2" t="s">
        <v>1595</v>
      </c>
      <c r="C902" s="8" t="s">
        <v>1919</v>
      </c>
      <c r="D902" s="8" t="s">
        <v>3184</v>
      </c>
      <c r="E902" s="8" t="s">
        <v>90</v>
      </c>
      <c r="F902" s="2">
        <v>2027</v>
      </c>
      <c r="G902" s="2">
        <v>349</v>
      </c>
      <c r="H902" s="2">
        <v>2030</v>
      </c>
      <c r="I902" s="2">
        <v>425</v>
      </c>
      <c r="J902" s="2" t="s">
        <v>86</v>
      </c>
      <c r="K902" s="2">
        <v>6.8</v>
      </c>
      <c r="L902" s="2">
        <v>6.7877000000000001</v>
      </c>
      <c r="M902" s="2">
        <v>1.23E-2</v>
      </c>
      <c r="N902" s="8" t="s">
        <v>11846</v>
      </c>
      <c r="O902" s="8" t="s">
        <v>11847</v>
      </c>
      <c r="P902" s="2">
        <v>2</v>
      </c>
      <c r="Q902" s="8"/>
      <c r="R902" s="8" t="s">
        <v>5666</v>
      </c>
      <c r="S902" s="8" t="str">
        <f>HYPERLINK("https://seichotoushi-hojo.jp/assets/pdf/koufu_3_4ji/outline_26.pdf","PDFを開く")</f>
        <v>PDFを開く</v>
      </c>
      <c r="T902" s="8" t="s">
        <v>1925</v>
      </c>
      <c r="U902" s="8" t="s">
        <v>1926</v>
      </c>
    </row>
    <row r="903" spans="1:21" ht="39.950000000000003" customHeight="1">
      <c r="A903" s="5" t="s">
        <v>1918</v>
      </c>
      <c r="B903" s="5" t="s">
        <v>1595</v>
      </c>
      <c r="C903" s="9" t="s">
        <v>1919</v>
      </c>
      <c r="D903" s="9" t="s">
        <v>3188</v>
      </c>
      <c r="E903" s="9" t="s">
        <v>156</v>
      </c>
      <c r="F903" s="5"/>
      <c r="G903" s="5"/>
      <c r="H903" s="5"/>
      <c r="I903" s="5"/>
      <c r="J903" s="5"/>
      <c r="K903" s="5"/>
      <c r="L903" s="5"/>
      <c r="M903" s="5"/>
      <c r="N903" s="9" t="s">
        <v>11850</v>
      </c>
      <c r="O903" s="9"/>
      <c r="P903" s="5"/>
      <c r="Q903" s="9" t="s">
        <v>11851</v>
      </c>
      <c r="R903" s="9"/>
      <c r="S903" s="9" t="str">
        <f>HYPERLINK("https://seichotoushi-hojo.jp/assets/pdf/koufu_3_4ji/outline_26.pdf","PDFを開く")</f>
        <v>PDFを開く</v>
      </c>
      <c r="T903" s="9" t="s">
        <v>1925</v>
      </c>
      <c r="U903" s="9" t="s">
        <v>1926</v>
      </c>
    </row>
    <row r="904" spans="1:21" ht="39.950000000000003" customHeight="1">
      <c r="A904" s="2" t="s">
        <v>1918</v>
      </c>
      <c r="B904" s="2" t="s">
        <v>1595</v>
      </c>
      <c r="C904" s="8" t="s">
        <v>1919</v>
      </c>
      <c r="D904" s="8" t="s">
        <v>3191</v>
      </c>
      <c r="E904" s="8" t="s">
        <v>92</v>
      </c>
      <c r="F904" s="2">
        <v>2027</v>
      </c>
      <c r="G904" s="2">
        <v>44</v>
      </c>
      <c r="H904" s="2">
        <v>2030</v>
      </c>
      <c r="I904" s="2">
        <v>98</v>
      </c>
      <c r="J904" s="2" t="s">
        <v>2513</v>
      </c>
      <c r="K904" s="2"/>
      <c r="L904" s="2"/>
      <c r="M904" s="2"/>
      <c r="N904" s="8" t="s">
        <v>11846</v>
      </c>
      <c r="O904" s="8" t="s">
        <v>11847</v>
      </c>
      <c r="P904" s="2">
        <v>2</v>
      </c>
      <c r="Q904" s="8"/>
      <c r="R904" s="8" t="s">
        <v>5667</v>
      </c>
      <c r="S904" s="8" t="str">
        <f>HYPERLINK("https://seichotoushi-hojo.jp/assets/pdf/koufu_3_4ji/outline_26.pdf","PDFを開く")</f>
        <v>PDFを開く</v>
      </c>
      <c r="T904" s="8" t="s">
        <v>1925</v>
      </c>
      <c r="U904" s="8" t="s">
        <v>1926</v>
      </c>
    </row>
    <row r="905" spans="1:21" ht="39.950000000000003" customHeight="1">
      <c r="A905" s="5" t="s">
        <v>1927</v>
      </c>
      <c r="B905" s="5" t="s">
        <v>1595</v>
      </c>
      <c r="C905" s="9" t="s">
        <v>1928</v>
      </c>
      <c r="D905" s="9" t="s">
        <v>3176</v>
      </c>
      <c r="E905" s="9" t="s">
        <v>92</v>
      </c>
      <c r="F905" s="5">
        <v>2026</v>
      </c>
      <c r="G905" s="5">
        <v>556</v>
      </c>
      <c r="H905" s="5">
        <v>2029</v>
      </c>
      <c r="I905" s="5">
        <v>1281</v>
      </c>
      <c r="J905" s="5" t="s">
        <v>86</v>
      </c>
      <c r="K905" s="5"/>
      <c r="L905" s="5">
        <v>32.076300000000003</v>
      </c>
      <c r="M905" s="5"/>
      <c r="N905" s="9" t="s">
        <v>11846</v>
      </c>
      <c r="O905" s="9" t="s">
        <v>11852</v>
      </c>
      <c r="P905" s="5">
        <v>2</v>
      </c>
      <c r="Q905" s="9"/>
      <c r="R905" s="9" t="s">
        <v>5668</v>
      </c>
      <c r="S905" s="9" t="str">
        <f>HYPERLINK("https://seichotoushi-hojo.jp/assets/pdf/koufu_3_4ji/outline_27.pdf","PDFを開く")</f>
        <v>PDFを開く</v>
      </c>
      <c r="T905" s="9" t="s">
        <v>1934</v>
      </c>
      <c r="U905" s="9" t="s">
        <v>1935</v>
      </c>
    </row>
    <row r="906" spans="1:21" ht="39.950000000000003" customHeight="1">
      <c r="A906" s="2" t="s">
        <v>1927</v>
      </c>
      <c r="B906" s="2" t="s">
        <v>1595</v>
      </c>
      <c r="C906" s="8" t="s">
        <v>1928</v>
      </c>
      <c r="D906" s="8" t="s">
        <v>3184</v>
      </c>
      <c r="E906" s="8" t="s">
        <v>90</v>
      </c>
      <c r="F906" s="2">
        <v>2026</v>
      </c>
      <c r="G906" s="2">
        <v>339</v>
      </c>
      <c r="H906" s="2">
        <v>2029</v>
      </c>
      <c r="I906" s="2">
        <v>405</v>
      </c>
      <c r="J906" s="2" t="s">
        <v>86</v>
      </c>
      <c r="K906" s="2">
        <v>6</v>
      </c>
      <c r="L906" s="2">
        <v>6.1089000000000002</v>
      </c>
      <c r="M906" s="2">
        <v>0.1089</v>
      </c>
      <c r="N906" s="8" t="s">
        <v>11846</v>
      </c>
      <c r="O906" s="8" t="s">
        <v>11852</v>
      </c>
      <c r="P906" s="2">
        <v>2</v>
      </c>
      <c r="Q906" s="8"/>
      <c r="R906" s="8" t="s">
        <v>5673</v>
      </c>
      <c r="S906" s="8" t="str">
        <f>HYPERLINK("https://seichotoushi-hojo.jp/assets/pdf/koufu_3_4ji/outline_27.pdf","PDFを開く")</f>
        <v>PDFを開く</v>
      </c>
      <c r="T906" s="8" t="s">
        <v>1934</v>
      </c>
      <c r="U906" s="8" t="s">
        <v>1935</v>
      </c>
    </row>
    <row r="907" spans="1:21" ht="39.950000000000003" customHeight="1">
      <c r="A907" s="5" t="s">
        <v>1927</v>
      </c>
      <c r="B907" s="5" t="s">
        <v>1595</v>
      </c>
      <c r="C907" s="9" t="s">
        <v>1928</v>
      </c>
      <c r="D907" s="9" t="s">
        <v>3188</v>
      </c>
      <c r="E907" s="9" t="s">
        <v>156</v>
      </c>
      <c r="F907" s="5"/>
      <c r="G907" s="5"/>
      <c r="H907" s="5"/>
      <c r="I907" s="5"/>
      <c r="J907" s="5"/>
      <c r="K907" s="5"/>
      <c r="L907" s="5"/>
      <c r="M907" s="5"/>
      <c r="N907" s="9" t="s">
        <v>11850</v>
      </c>
      <c r="O907" s="9"/>
      <c r="P907" s="5"/>
      <c r="Q907" s="9" t="s">
        <v>11851</v>
      </c>
      <c r="R907" s="9"/>
      <c r="S907" s="9" t="str">
        <f>HYPERLINK("https://seichotoushi-hojo.jp/assets/pdf/koufu_3_4ji/outline_27.pdf","PDFを開く")</f>
        <v>PDFを開く</v>
      </c>
      <c r="T907" s="9" t="s">
        <v>1934</v>
      </c>
      <c r="U907" s="9" t="s">
        <v>1935</v>
      </c>
    </row>
    <row r="908" spans="1:21" ht="39.950000000000003" customHeight="1">
      <c r="A908" s="2" t="s">
        <v>1927</v>
      </c>
      <c r="B908" s="2" t="s">
        <v>1595</v>
      </c>
      <c r="C908" s="8" t="s">
        <v>1928</v>
      </c>
      <c r="D908" s="8" t="s">
        <v>3191</v>
      </c>
      <c r="E908" s="8" t="s">
        <v>92</v>
      </c>
      <c r="F908" s="2">
        <v>2026</v>
      </c>
      <c r="G908" s="2">
        <v>368</v>
      </c>
      <c r="H908" s="2">
        <v>2029</v>
      </c>
      <c r="I908" s="2">
        <v>416</v>
      </c>
      <c r="J908" s="2" t="s">
        <v>2513</v>
      </c>
      <c r="K908" s="2"/>
      <c r="L908" s="2"/>
      <c r="M908" s="2"/>
      <c r="N908" s="8" t="s">
        <v>11846</v>
      </c>
      <c r="O908" s="8" t="s">
        <v>11852</v>
      </c>
      <c r="P908" s="2">
        <v>2</v>
      </c>
      <c r="Q908" s="8"/>
      <c r="R908" s="8" t="s">
        <v>5678</v>
      </c>
      <c r="S908" s="8" t="str">
        <f>HYPERLINK("https://seichotoushi-hojo.jp/assets/pdf/koufu_3_4ji/outline_27.pdf","PDFを開く")</f>
        <v>PDFを開く</v>
      </c>
      <c r="T908" s="8" t="s">
        <v>1934</v>
      </c>
      <c r="U908" s="8" t="s">
        <v>1935</v>
      </c>
    </row>
    <row r="909" spans="1:21" ht="39.950000000000003" customHeight="1">
      <c r="A909" s="5" t="s">
        <v>1936</v>
      </c>
      <c r="B909" s="5" t="s">
        <v>1595</v>
      </c>
      <c r="C909" s="9" t="s">
        <v>1937</v>
      </c>
      <c r="D909" s="9" t="s">
        <v>3176</v>
      </c>
      <c r="E909" s="9" t="s">
        <v>90</v>
      </c>
      <c r="F909" s="5">
        <v>2026</v>
      </c>
      <c r="G909" s="5">
        <v>583</v>
      </c>
      <c r="H909" s="5">
        <v>2029</v>
      </c>
      <c r="I909" s="5">
        <v>1049</v>
      </c>
      <c r="J909" s="5" t="s">
        <v>86</v>
      </c>
      <c r="K909" s="5">
        <v>21.1</v>
      </c>
      <c r="L909" s="5">
        <v>21.628599999999999</v>
      </c>
      <c r="M909" s="5">
        <v>0.52859999999999996</v>
      </c>
      <c r="N909" s="9" t="s">
        <v>11846</v>
      </c>
      <c r="O909" s="9" t="s">
        <v>11852</v>
      </c>
      <c r="P909" s="5">
        <v>3</v>
      </c>
      <c r="Q909" s="9"/>
      <c r="R909" s="9" t="s">
        <v>5680</v>
      </c>
      <c r="S909" s="9" t="str">
        <f>HYPERLINK("https://seichotoushi-hojo.jp/assets/pdf/koufu_3_4ji/outline_3.pdf","PDFを開く")</f>
        <v>PDFを開く</v>
      </c>
      <c r="T909" s="9" t="s">
        <v>1942</v>
      </c>
      <c r="U909" s="9" t="s">
        <v>1943</v>
      </c>
    </row>
    <row r="910" spans="1:21" ht="39.950000000000003" customHeight="1">
      <c r="A910" s="2" t="s">
        <v>1936</v>
      </c>
      <c r="B910" s="2" t="s">
        <v>1595</v>
      </c>
      <c r="C910" s="8" t="s">
        <v>1937</v>
      </c>
      <c r="D910" s="8" t="s">
        <v>3184</v>
      </c>
      <c r="E910" s="8" t="s">
        <v>90</v>
      </c>
      <c r="F910" s="2">
        <v>2026</v>
      </c>
      <c r="G910" s="2">
        <v>568</v>
      </c>
      <c r="H910" s="2">
        <v>2029</v>
      </c>
      <c r="I910" s="2">
        <v>712</v>
      </c>
      <c r="J910" s="2" t="s">
        <v>86</v>
      </c>
      <c r="K910" s="2">
        <v>7.8</v>
      </c>
      <c r="L910" s="2">
        <v>7.8228</v>
      </c>
      <c r="M910" s="2">
        <v>2.2800000000000001E-2</v>
      </c>
      <c r="N910" s="8" t="s">
        <v>11846</v>
      </c>
      <c r="O910" s="8" t="s">
        <v>11852</v>
      </c>
      <c r="P910" s="2">
        <v>3</v>
      </c>
      <c r="Q910" s="8"/>
      <c r="R910" s="8" t="s">
        <v>5685</v>
      </c>
      <c r="S910" s="8" t="str">
        <f>HYPERLINK("https://seichotoushi-hojo.jp/assets/pdf/koufu_3_4ji/outline_3.pdf","PDFを開く")</f>
        <v>PDFを開く</v>
      </c>
      <c r="T910" s="8" t="s">
        <v>1942</v>
      </c>
      <c r="U910" s="8" t="s">
        <v>1943</v>
      </c>
    </row>
    <row r="911" spans="1:21" ht="39.950000000000003" customHeight="1">
      <c r="A911" s="5" t="s">
        <v>1936</v>
      </c>
      <c r="B911" s="5" t="s">
        <v>1595</v>
      </c>
      <c r="C911" s="9" t="s">
        <v>1937</v>
      </c>
      <c r="D911" s="9" t="s">
        <v>3188</v>
      </c>
      <c r="E911" s="9" t="s">
        <v>91</v>
      </c>
      <c r="F911" s="5">
        <v>2026</v>
      </c>
      <c r="G911" s="5"/>
      <c r="H911" s="5">
        <v>2029</v>
      </c>
      <c r="I911" s="5"/>
      <c r="J911" s="5" t="s">
        <v>86</v>
      </c>
      <c r="K911" s="5">
        <v>5</v>
      </c>
      <c r="L911" s="5"/>
      <c r="M911" s="5"/>
      <c r="N911" s="9" t="s">
        <v>11846</v>
      </c>
      <c r="O911" s="9" t="s">
        <v>11848</v>
      </c>
      <c r="P911" s="5">
        <v>3</v>
      </c>
      <c r="Q911" s="9"/>
      <c r="R911" s="9" t="s">
        <v>5692</v>
      </c>
      <c r="S911" s="9" t="str">
        <f>HYPERLINK("https://seichotoushi-hojo.jp/assets/pdf/koufu_3_4ji/outline_3.pdf","PDFを開く")</f>
        <v>PDFを開く</v>
      </c>
      <c r="T911" s="9" t="s">
        <v>1942</v>
      </c>
      <c r="U911" s="9" t="s">
        <v>1943</v>
      </c>
    </row>
    <row r="912" spans="1:21" ht="39.950000000000003" customHeight="1">
      <c r="A912" s="2" t="s">
        <v>1936</v>
      </c>
      <c r="B912" s="2" t="s">
        <v>1595</v>
      </c>
      <c r="C912" s="8" t="s">
        <v>1937</v>
      </c>
      <c r="D912" s="8" t="s">
        <v>3191</v>
      </c>
      <c r="E912" s="8" t="s">
        <v>92</v>
      </c>
      <c r="F912" s="2">
        <v>2026</v>
      </c>
      <c r="G912" s="2">
        <v>30</v>
      </c>
      <c r="H912" s="2">
        <v>2029</v>
      </c>
      <c r="I912" s="2">
        <v>61</v>
      </c>
      <c r="J912" s="2" t="s">
        <v>2513</v>
      </c>
      <c r="K912" s="2"/>
      <c r="L912" s="2"/>
      <c r="M912" s="2"/>
      <c r="N912" s="8" t="s">
        <v>11846</v>
      </c>
      <c r="O912" s="8" t="s">
        <v>11852</v>
      </c>
      <c r="P912" s="2">
        <v>3</v>
      </c>
      <c r="Q912" s="8"/>
      <c r="R912" s="8" t="s">
        <v>5689</v>
      </c>
      <c r="S912" s="8" t="str">
        <f>HYPERLINK("https://seichotoushi-hojo.jp/assets/pdf/koufu_3_4ji/outline_3.pdf","PDFを開く")</f>
        <v>PDFを開く</v>
      </c>
      <c r="T912" s="8" t="s">
        <v>1942</v>
      </c>
      <c r="U912" s="8" t="s">
        <v>1943</v>
      </c>
    </row>
    <row r="913" spans="1:21" ht="39.950000000000003" customHeight="1">
      <c r="A913" s="5" t="s">
        <v>1944</v>
      </c>
      <c r="B913" s="5" t="s">
        <v>1595</v>
      </c>
      <c r="C913" s="9" t="s">
        <v>1945</v>
      </c>
      <c r="D913" s="9" t="s">
        <v>3176</v>
      </c>
      <c r="E913" s="9" t="s">
        <v>90</v>
      </c>
      <c r="F913" s="5">
        <v>2026</v>
      </c>
      <c r="G913" s="5">
        <v>1072</v>
      </c>
      <c r="H913" s="5">
        <v>2029</v>
      </c>
      <c r="I913" s="5">
        <v>1446</v>
      </c>
      <c r="J913" s="5" t="s">
        <v>86</v>
      </c>
      <c r="K913" s="5">
        <v>10.5</v>
      </c>
      <c r="L913" s="5">
        <v>10.490399999999999</v>
      </c>
      <c r="M913" s="5">
        <v>9.5999999999999992E-3</v>
      </c>
      <c r="N913" s="9" t="s">
        <v>11846</v>
      </c>
      <c r="O913" s="9" t="s">
        <v>11847</v>
      </c>
      <c r="P913" s="5">
        <v>2</v>
      </c>
      <c r="Q913" s="9"/>
      <c r="R913" s="9" t="s">
        <v>5695</v>
      </c>
      <c r="S913" s="9" t="str">
        <f>HYPERLINK("https://seichotoushi-hojo.jp/assets/pdf/koufu_3_4ji/outline_30.pdf","PDFを開く")</f>
        <v>PDFを開く</v>
      </c>
      <c r="T913" s="9" t="s">
        <v>1950</v>
      </c>
      <c r="U913" s="9" t="s">
        <v>1951</v>
      </c>
    </row>
    <row r="914" spans="1:21" ht="39.950000000000003" customHeight="1">
      <c r="A914" s="2" t="s">
        <v>1944</v>
      </c>
      <c r="B914" s="2" t="s">
        <v>1595</v>
      </c>
      <c r="C914" s="8" t="s">
        <v>1945</v>
      </c>
      <c r="D914" s="8" t="s">
        <v>3184</v>
      </c>
      <c r="E914" s="8" t="s">
        <v>90</v>
      </c>
      <c r="F914" s="2">
        <v>2026</v>
      </c>
      <c r="G914" s="2">
        <v>529</v>
      </c>
      <c r="H914" s="2">
        <v>2029</v>
      </c>
      <c r="I914" s="2">
        <v>630</v>
      </c>
      <c r="J914" s="2" t="s">
        <v>86</v>
      </c>
      <c r="K914" s="2">
        <v>6</v>
      </c>
      <c r="L914" s="2">
        <v>5.9973000000000001</v>
      </c>
      <c r="M914" s="2">
        <v>2.7000000000000001E-3</v>
      </c>
      <c r="N914" s="8" t="s">
        <v>11846</v>
      </c>
      <c r="O914" s="8" t="s">
        <v>11847</v>
      </c>
      <c r="P914" s="2">
        <v>2</v>
      </c>
      <c r="Q914" s="8"/>
      <c r="R914" s="8" t="s">
        <v>5697</v>
      </c>
      <c r="S914" s="8" t="str">
        <f>HYPERLINK("https://seichotoushi-hojo.jp/assets/pdf/koufu_3_4ji/outline_30.pdf","PDFを開く")</f>
        <v>PDFを開く</v>
      </c>
      <c r="T914" s="8" t="s">
        <v>1950</v>
      </c>
      <c r="U914" s="8" t="s">
        <v>1951</v>
      </c>
    </row>
    <row r="915" spans="1:21" ht="39.950000000000003" customHeight="1">
      <c r="A915" s="5" t="s">
        <v>1944</v>
      </c>
      <c r="B915" s="5" t="s">
        <v>1595</v>
      </c>
      <c r="C915" s="9" t="s">
        <v>1945</v>
      </c>
      <c r="D915" s="9" t="s">
        <v>3188</v>
      </c>
      <c r="E915" s="9" t="s">
        <v>91</v>
      </c>
      <c r="F915" s="5">
        <v>2026</v>
      </c>
      <c r="G915" s="5"/>
      <c r="H915" s="5">
        <v>2029</v>
      </c>
      <c r="I915" s="5"/>
      <c r="J915" s="5" t="s">
        <v>86</v>
      </c>
      <c r="K915" s="5">
        <v>4.5</v>
      </c>
      <c r="L915" s="5"/>
      <c r="M915" s="5"/>
      <c r="N915" s="9" t="s">
        <v>11846</v>
      </c>
      <c r="O915" s="9" t="s">
        <v>11848</v>
      </c>
      <c r="P915" s="5">
        <v>2</v>
      </c>
      <c r="Q915" s="9"/>
      <c r="R915" s="9" t="s">
        <v>3282</v>
      </c>
      <c r="S915" s="9" t="str">
        <f>HYPERLINK("https://seichotoushi-hojo.jp/assets/pdf/koufu_3_4ji/outline_30.pdf","PDFを開く")</f>
        <v>PDFを開く</v>
      </c>
      <c r="T915" s="9" t="s">
        <v>1950</v>
      </c>
      <c r="U915" s="9" t="s">
        <v>1951</v>
      </c>
    </row>
    <row r="916" spans="1:21" ht="39.950000000000003" customHeight="1">
      <c r="A916" s="2" t="s">
        <v>1944</v>
      </c>
      <c r="B916" s="2" t="s">
        <v>1595</v>
      </c>
      <c r="C916" s="8" t="s">
        <v>1945</v>
      </c>
      <c r="D916" s="8" t="s">
        <v>3191</v>
      </c>
      <c r="E916" s="8" t="s">
        <v>92</v>
      </c>
      <c r="F916" s="2">
        <v>2026</v>
      </c>
      <c r="G916" s="2">
        <v>112</v>
      </c>
      <c r="H916" s="2">
        <v>2029</v>
      </c>
      <c r="I916" s="2">
        <v>175</v>
      </c>
      <c r="J916" s="2" t="s">
        <v>2513</v>
      </c>
      <c r="K916" s="2"/>
      <c r="L916" s="2"/>
      <c r="M916" s="2"/>
      <c r="N916" s="8" t="s">
        <v>11846</v>
      </c>
      <c r="O916" s="8" t="s">
        <v>11847</v>
      </c>
      <c r="P916" s="2">
        <v>2</v>
      </c>
      <c r="Q916" s="8"/>
      <c r="R916" s="8" t="s">
        <v>5698</v>
      </c>
      <c r="S916" s="8" t="str">
        <f>HYPERLINK("https://seichotoushi-hojo.jp/assets/pdf/koufu_3_4ji/outline_30.pdf","PDFを開く")</f>
        <v>PDFを開く</v>
      </c>
      <c r="T916" s="8" t="s">
        <v>1950</v>
      </c>
      <c r="U916" s="8" t="s">
        <v>1951</v>
      </c>
    </row>
    <row r="917" spans="1:21" ht="39.950000000000003" customHeight="1">
      <c r="A917" s="5" t="s">
        <v>1952</v>
      </c>
      <c r="B917" s="5" t="s">
        <v>1595</v>
      </c>
      <c r="C917" s="9" t="s">
        <v>1953</v>
      </c>
      <c r="D917" s="9" t="s">
        <v>3176</v>
      </c>
      <c r="E917" s="9" t="s">
        <v>90</v>
      </c>
      <c r="F917" s="5">
        <v>2026</v>
      </c>
      <c r="G917" s="5">
        <v>563</v>
      </c>
      <c r="H917" s="5">
        <v>2029</v>
      </c>
      <c r="I917" s="5">
        <v>1685</v>
      </c>
      <c r="J917" s="5" t="s">
        <v>86</v>
      </c>
      <c r="K917" s="5">
        <v>44.1</v>
      </c>
      <c r="L917" s="5">
        <v>44.110999999999997</v>
      </c>
      <c r="M917" s="5">
        <v>1.0999999999999999E-2</v>
      </c>
      <c r="N917" s="9" t="s">
        <v>11846</v>
      </c>
      <c r="O917" s="9" t="s">
        <v>11847</v>
      </c>
      <c r="P917" s="5">
        <v>2</v>
      </c>
      <c r="Q917" s="9"/>
      <c r="R917" s="9" t="s">
        <v>5702</v>
      </c>
      <c r="S917" s="9" t="str">
        <f>HYPERLINK("https://seichotoushi-hojo.jp/assets/pdf/koufu_3_4ji/outline_31.pdf","PDFを開く")</f>
        <v>PDFを開く</v>
      </c>
      <c r="T917" s="9" t="s">
        <v>1958</v>
      </c>
      <c r="U917" s="9" t="s">
        <v>1959</v>
      </c>
    </row>
    <row r="918" spans="1:21" ht="39.950000000000003" customHeight="1">
      <c r="A918" s="2" t="s">
        <v>1952</v>
      </c>
      <c r="B918" s="2" t="s">
        <v>1595</v>
      </c>
      <c r="C918" s="8" t="s">
        <v>1953</v>
      </c>
      <c r="D918" s="8" t="s">
        <v>3184</v>
      </c>
      <c r="E918" s="8" t="s">
        <v>90</v>
      </c>
      <c r="F918" s="2">
        <v>2026</v>
      </c>
      <c r="G918" s="2">
        <v>350</v>
      </c>
      <c r="H918" s="2">
        <v>2029</v>
      </c>
      <c r="I918" s="2">
        <v>415</v>
      </c>
      <c r="J918" s="2" t="s">
        <v>86</v>
      </c>
      <c r="K918" s="2">
        <v>5.8</v>
      </c>
      <c r="L918" s="2">
        <v>5.8425000000000002</v>
      </c>
      <c r="M918" s="2">
        <v>4.2500000000000003E-2</v>
      </c>
      <c r="N918" s="8" t="s">
        <v>11846</v>
      </c>
      <c r="O918" s="8" t="s">
        <v>11847</v>
      </c>
      <c r="P918" s="2">
        <v>2</v>
      </c>
      <c r="Q918" s="8"/>
      <c r="R918" s="8" t="s">
        <v>5704</v>
      </c>
      <c r="S918" s="8" t="str">
        <f>HYPERLINK("https://seichotoushi-hojo.jp/assets/pdf/koufu_3_4ji/outline_31.pdf","PDFを開く")</f>
        <v>PDFを開く</v>
      </c>
      <c r="T918" s="8" t="s">
        <v>1958</v>
      </c>
      <c r="U918" s="8" t="s">
        <v>1959</v>
      </c>
    </row>
    <row r="919" spans="1:21" ht="39.950000000000003" customHeight="1">
      <c r="A919" s="5" t="s">
        <v>1952</v>
      </c>
      <c r="B919" s="5" t="s">
        <v>1595</v>
      </c>
      <c r="C919" s="9" t="s">
        <v>1953</v>
      </c>
      <c r="D919" s="9" t="s">
        <v>3188</v>
      </c>
      <c r="E919" s="9" t="s">
        <v>91</v>
      </c>
      <c r="F919" s="5">
        <v>2026</v>
      </c>
      <c r="G919" s="5"/>
      <c r="H919" s="5">
        <v>2029</v>
      </c>
      <c r="I919" s="5"/>
      <c r="J919" s="5" t="s">
        <v>86</v>
      </c>
      <c r="K919" s="5">
        <v>5.5</v>
      </c>
      <c r="L919" s="5"/>
      <c r="M919" s="5"/>
      <c r="N919" s="9" t="s">
        <v>11846</v>
      </c>
      <c r="O919" s="9" t="s">
        <v>11848</v>
      </c>
      <c r="P919" s="5">
        <v>2</v>
      </c>
      <c r="Q919" s="9"/>
      <c r="R919" s="9" t="s">
        <v>5497</v>
      </c>
      <c r="S919" s="9" t="str">
        <f>HYPERLINK("https://seichotoushi-hojo.jp/assets/pdf/koufu_3_4ji/outline_31.pdf","PDFを開く")</f>
        <v>PDFを開く</v>
      </c>
      <c r="T919" s="9" t="s">
        <v>1958</v>
      </c>
      <c r="U919" s="9" t="s">
        <v>1959</v>
      </c>
    </row>
    <row r="920" spans="1:21" ht="39.950000000000003" customHeight="1">
      <c r="A920" s="2" t="s">
        <v>1952</v>
      </c>
      <c r="B920" s="2" t="s">
        <v>1595</v>
      </c>
      <c r="C920" s="8" t="s">
        <v>1953</v>
      </c>
      <c r="D920" s="8" t="s">
        <v>3191</v>
      </c>
      <c r="E920" s="8" t="s">
        <v>92</v>
      </c>
      <c r="F920" s="2">
        <v>2026</v>
      </c>
      <c r="G920" s="2">
        <v>125</v>
      </c>
      <c r="H920" s="2">
        <v>2029</v>
      </c>
      <c r="I920" s="2">
        <v>170</v>
      </c>
      <c r="J920" s="2" t="s">
        <v>2513</v>
      </c>
      <c r="K920" s="2"/>
      <c r="L920" s="2"/>
      <c r="M920" s="2"/>
      <c r="N920" s="8" t="s">
        <v>11846</v>
      </c>
      <c r="O920" s="8" t="s">
        <v>11847</v>
      </c>
      <c r="P920" s="2">
        <v>2</v>
      </c>
      <c r="Q920" s="8"/>
      <c r="R920" s="8" t="s">
        <v>5705</v>
      </c>
      <c r="S920" s="8" t="str">
        <f>HYPERLINK("https://seichotoushi-hojo.jp/assets/pdf/koufu_3_4ji/outline_31.pdf","PDFを開く")</f>
        <v>PDFを開く</v>
      </c>
      <c r="T920" s="8" t="s">
        <v>1958</v>
      </c>
      <c r="U920" s="8" t="s">
        <v>1959</v>
      </c>
    </row>
    <row r="921" spans="1:21" ht="39.950000000000003" customHeight="1">
      <c r="A921" s="5" t="s">
        <v>1960</v>
      </c>
      <c r="B921" s="5" t="s">
        <v>1595</v>
      </c>
      <c r="C921" s="9" t="s">
        <v>1961</v>
      </c>
      <c r="D921" s="9" t="s">
        <v>3176</v>
      </c>
      <c r="E921" s="9" t="s">
        <v>90</v>
      </c>
      <c r="F921" s="5">
        <v>2028</v>
      </c>
      <c r="G921" s="5">
        <v>667</v>
      </c>
      <c r="H921" s="5">
        <v>2031</v>
      </c>
      <c r="I921" s="5">
        <v>1199</v>
      </c>
      <c r="J921" s="5" t="s">
        <v>86</v>
      </c>
      <c r="K921" s="5">
        <v>21.6</v>
      </c>
      <c r="L921" s="5">
        <v>21.59</v>
      </c>
      <c r="M921" s="5">
        <v>0.01</v>
      </c>
      <c r="N921" s="9" t="s">
        <v>11846</v>
      </c>
      <c r="O921" s="9"/>
      <c r="P921" s="5">
        <v>2</v>
      </c>
      <c r="Q921" s="9"/>
      <c r="R921" s="9" t="s">
        <v>5708</v>
      </c>
      <c r="S921" s="9" t="str">
        <f>HYPERLINK("https://seichotoushi-hojo.jp/assets/pdf/koufu_3_4ji/outline_32.pdf","PDFを開く")</f>
        <v>PDFを開く</v>
      </c>
      <c r="T921" s="9" t="s">
        <v>1966</v>
      </c>
      <c r="U921" s="9" t="s">
        <v>1967</v>
      </c>
    </row>
    <row r="922" spans="1:21" ht="39.950000000000003" customHeight="1">
      <c r="A922" s="2" t="s">
        <v>1960</v>
      </c>
      <c r="B922" s="2" t="s">
        <v>1595</v>
      </c>
      <c r="C922" s="8" t="s">
        <v>1961</v>
      </c>
      <c r="D922" s="8" t="s">
        <v>3184</v>
      </c>
      <c r="E922" s="8" t="s">
        <v>90</v>
      </c>
      <c r="F922" s="2">
        <v>2028</v>
      </c>
      <c r="G922" s="2">
        <v>474</v>
      </c>
      <c r="H922" s="2">
        <v>2031</v>
      </c>
      <c r="I922" s="2">
        <v>566</v>
      </c>
      <c r="J922" s="2" t="s">
        <v>86</v>
      </c>
      <c r="K922" s="2">
        <v>6.1</v>
      </c>
      <c r="L922" s="2">
        <v>6.0911999999999997</v>
      </c>
      <c r="M922" s="2">
        <v>8.8000000000000005E-3</v>
      </c>
      <c r="N922" s="8" t="s">
        <v>11846</v>
      </c>
      <c r="O922" s="8"/>
      <c r="P922" s="2">
        <v>2</v>
      </c>
      <c r="Q922" s="8"/>
      <c r="R922" s="8" t="s">
        <v>5710</v>
      </c>
      <c r="S922" s="8" t="str">
        <f>HYPERLINK("https://seichotoushi-hojo.jp/assets/pdf/koufu_3_4ji/outline_32.pdf","PDFを開く")</f>
        <v>PDFを開く</v>
      </c>
      <c r="T922" s="8" t="s">
        <v>1966</v>
      </c>
      <c r="U922" s="8" t="s">
        <v>1967</v>
      </c>
    </row>
    <row r="923" spans="1:21" ht="39.950000000000003" customHeight="1">
      <c r="A923" s="5" t="s">
        <v>1960</v>
      </c>
      <c r="B923" s="5" t="s">
        <v>1595</v>
      </c>
      <c r="C923" s="9" t="s">
        <v>1961</v>
      </c>
      <c r="D923" s="9" t="s">
        <v>3188</v>
      </c>
      <c r="E923" s="9" t="s">
        <v>91</v>
      </c>
      <c r="F923" s="5">
        <v>2028</v>
      </c>
      <c r="G923" s="5"/>
      <c r="H923" s="5">
        <v>2031</v>
      </c>
      <c r="I923" s="5"/>
      <c r="J923" s="5" t="s">
        <v>86</v>
      </c>
      <c r="K923" s="5">
        <v>6.1</v>
      </c>
      <c r="L923" s="5"/>
      <c r="M923" s="5"/>
      <c r="N923" s="9" t="s">
        <v>11846</v>
      </c>
      <c r="O923" s="9" t="s">
        <v>11848</v>
      </c>
      <c r="P923" s="5">
        <v>2</v>
      </c>
      <c r="Q923" s="9"/>
      <c r="R923" s="9" t="s">
        <v>5611</v>
      </c>
      <c r="S923" s="9" t="str">
        <f>HYPERLINK("https://seichotoushi-hojo.jp/assets/pdf/koufu_3_4ji/outline_32.pdf","PDFを開く")</f>
        <v>PDFを開く</v>
      </c>
      <c r="T923" s="9" t="s">
        <v>1966</v>
      </c>
      <c r="U923" s="9" t="s">
        <v>1967</v>
      </c>
    </row>
    <row r="924" spans="1:21" ht="39.950000000000003" customHeight="1">
      <c r="A924" s="2" t="s">
        <v>1960</v>
      </c>
      <c r="B924" s="2" t="s">
        <v>1595</v>
      </c>
      <c r="C924" s="8" t="s">
        <v>1961</v>
      </c>
      <c r="D924" s="8" t="s">
        <v>3191</v>
      </c>
      <c r="E924" s="8" t="s">
        <v>92</v>
      </c>
      <c r="F924" s="2">
        <v>2028</v>
      </c>
      <c r="G924" s="2">
        <v>78</v>
      </c>
      <c r="H924" s="2">
        <v>2031</v>
      </c>
      <c r="I924" s="2">
        <v>125</v>
      </c>
      <c r="J924" s="2" t="s">
        <v>2513</v>
      </c>
      <c r="K924" s="2"/>
      <c r="L924" s="2"/>
      <c r="M924" s="2"/>
      <c r="N924" s="8" t="s">
        <v>11846</v>
      </c>
      <c r="O924" s="8"/>
      <c r="P924" s="2">
        <v>2</v>
      </c>
      <c r="Q924" s="8"/>
      <c r="R924" s="8" t="s">
        <v>5712</v>
      </c>
      <c r="S924" s="8" t="str">
        <f>HYPERLINK("https://seichotoushi-hojo.jp/assets/pdf/koufu_3_4ji/outline_32.pdf","PDFを開く")</f>
        <v>PDFを開く</v>
      </c>
      <c r="T924" s="8" t="s">
        <v>1966</v>
      </c>
      <c r="U924" s="8" t="s">
        <v>1967</v>
      </c>
    </row>
    <row r="925" spans="1:21" ht="39.950000000000003" customHeight="1">
      <c r="A925" s="5" t="s">
        <v>1968</v>
      </c>
      <c r="B925" s="5" t="s">
        <v>1595</v>
      </c>
      <c r="C925" s="9" t="s">
        <v>1969</v>
      </c>
      <c r="D925" s="9" t="s">
        <v>3176</v>
      </c>
      <c r="E925" s="9" t="s">
        <v>90</v>
      </c>
      <c r="F925" s="5">
        <v>2027</v>
      </c>
      <c r="G925" s="5">
        <v>856</v>
      </c>
      <c r="H925" s="5">
        <v>2030</v>
      </c>
      <c r="I925" s="5">
        <v>1636</v>
      </c>
      <c r="J925" s="5" t="s">
        <v>86</v>
      </c>
      <c r="K925" s="5">
        <v>24.1</v>
      </c>
      <c r="L925" s="5">
        <v>24.099399999999999</v>
      </c>
      <c r="M925" s="5">
        <v>5.9999999999999995E-4</v>
      </c>
      <c r="N925" s="9" t="s">
        <v>11846</v>
      </c>
      <c r="O925" s="9" t="s">
        <v>11847</v>
      </c>
      <c r="P925" s="5">
        <v>2</v>
      </c>
      <c r="Q925" s="9"/>
      <c r="R925" s="9" t="s">
        <v>5718</v>
      </c>
      <c r="S925" s="9" t="str">
        <f>HYPERLINK("https://seichotoushi-hojo.jp/assets/pdf/koufu_3_4ji/outline_33.pdf","PDFを開く")</f>
        <v>PDFを開く</v>
      </c>
      <c r="T925" s="9" t="s">
        <v>1973</v>
      </c>
      <c r="U925" s="9" t="s">
        <v>1974</v>
      </c>
    </row>
    <row r="926" spans="1:21" ht="39.950000000000003" customHeight="1">
      <c r="A926" s="2" t="s">
        <v>1968</v>
      </c>
      <c r="B926" s="2" t="s">
        <v>1595</v>
      </c>
      <c r="C926" s="8" t="s">
        <v>1969</v>
      </c>
      <c r="D926" s="8" t="s">
        <v>3184</v>
      </c>
      <c r="E926" s="8" t="s">
        <v>90</v>
      </c>
      <c r="F926" s="2">
        <v>2027</v>
      </c>
      <c r="G926" s="2">
        <v>558</v>
      </c>
      <c r="H926" s="2">
        <v>2030</v>
      </c>
      <c r="I926" s="2">
        <v>671</v>
      </c>
      <c r="J926" s="2" t="s">
        <v>86</v>
      </c>
      <c r="K926" s="2">
        <v>6.3</v>
      </c>
      <c r="L926" s="2">
        <v>6.3399000000000001</v>
      </c>
      <c r="M926" s="2">
        <v>3.9899999999999998E-2</v>
      </c>
      <c r="N926" s="8" t="s">
        <v>11846</v>
      </c>
      <c r="O926" s="8" t="s">
        <v>11847</v>
      </c>
      <c r="P926" s="2">
        <v>2</v>
      </c>
      <c r="Q926" s="8"/>
      <c r="R926" s="8" t="s">
        <v>5720</v>
      </c>
      <c r="S926" s="8" t="str">
        <f>HYPERLINK("https://seichotoushi-hojo.jp/assets/pdf/koufu_3_4ji/outline_33.pdf","PDFを開く")</f>
        <v>PDFを開く</v>
      </c>
      <c r="T926" s="8" t="s">
        <v>1973</v>
      </c>
      <c r="U926" s="8" t="s">
        <v>1974</v>
      </c>
    </row>
    <row r="927" spans="1:21" ht="39.950000000000003" customHeight="1">
      <c r="A927" s="5" t="s">
        <v>1968</v>
      </c>
      <c r="B927" s="5" t="s">
        <v>1595</v>
      </c>
      <c r="C927" s="9" t="s">
        <v>1969</v>
      </c>
      <c r="D927" s="9" t="s">
        <v>3188</v>
      </c>
      <c r="E927" s="9" t="s">
        <v>156</v>
      </c>
      <c r="F927" s="5"/>
      <c r="G927" s="5"/>
      <c r="H927" s="5"/>
      <c r="I927" s="5"/>
      <c r="J927" s="5"/>
      <c r="K927" s="5"/>
      <c r="L927" s="5"/>
      <c r="M927" s="5"/>
      <c r="N927" s="9" t="s">
        <v>11850</v>
      </c>
      <c r="O927" s="9"/>
      <c r="P927" s="5"/>
      <c r="Q927" s="9" t="s">
        <v>11851</v>
      </c>
      <c r="R927" s="9"/>
      <c r="S927" s="9" t="str">
        <f>HYPERLINK("https://seichotoushi-hojo.jp/assets/pdf/koufu_3_4ji/outline_33.pdf","PDFを開く")</f>
        <v>PDFを開く</v>
      </c>
      <c r="T927" s="9" t="s">
        <v>1973</v>
      </c>
      <c r="U927" s="9" t="s">
        <v>1974</v>
      </c>
    </row>
    <row r="928" spans="1:21" ht="39.950000000000003" customHeight="1">
      <c r="A928" s="2" t="s">
        <v>1968</v>
      </c>
      <c r="B928" s="2" t="s">
        <v>1595</v>
      </c>
      <c r="C928" s="8" t="s">
        <v>1969</v>
      </c>
      <c r="D928" s="8" t="s">
        <v>3191</v>
      </c>
      <c r="E928" s="8" t="s">
        <v>92</v>
      </c>
      <c r="F928" s="2">
        <v>2027</v>
      </c>
      <c r="G928" s="2">
        <v>229</v>
      </c>
      <c r="H928" s="2">
        <v>2030</v>
      </c>
      <c r="I928" s="2">
        <v>235</v>
      </c>
      <c r="J928" s="2" t="s">
        <v>2513</v>
      </c>
      <c r="K928" s="2"/>
      <c r="L928" s="2"/>
      <c r="M928" s="2"/>
      <c r="N928" s="8" t="s">
        <v>11846</v>
      </c>
      <c r="O928" s="8" t="s">
        <v>11847</v>
      </c>
      <c r="P928" s="2">
        <v>2</v>
      </c>
      <c r="Q928" s="8"/>
      <c r="R928" s="8" t="s">
        <v>5722</v>
      </c>
      <c r="S928" s="8" t="str">
        <f>HYPERLINK("https://seichotoushi-hojo.jp/assets/pdf/koufu_3_4ji/outline_33.pdf","PDFを開く")</f>
        <v>PDFを開く</v>
      </c>
      <c r="T928" s="8" t="s">
        <v>1973</v>
      </c>
      <c r="U928" s="8" t="s">
        <v>1974</v>
      </c>
    </row>
    <row r="929" spans="1:21" ht="39.950000000000003" customHeight="1">
      <c r="A929" s="5" t="s">
        <v>1975</v>
      </c>
      <c r="B929" s="5" t="s">
        <v>1595</v>
      </c>
      <c r="C929" s="9" t="s">
        <v>1976</v>
      </c>
      <c r="D929" s="9" t="s">
        <v>3176</v>
      </c>
      <c r="E929" s="9" t="s">
        <v>166</v>
      </c>
      <c r="F929" s="5">
        <v>2026</v>
      </c>
      <c r="G929" s="5">
        <v>908</v>
      </c>
      <c r="H929" s="5">
        <v>2029</v>
      </c>
      <c r="I929" s="5">
        <v>1556</v>
      </c>
      <c r="J929" s="5" t="s">
        <v>86</v>
      </c>
      <c r="K929" s="5">
        <v>19.899999999999999</v>
      </c>
      <c r="L929" s="5">
        <v>19.667000000000002</v>
      </c>
      <c r="M929" s="5">
        <v>0.23300000000000001</v>
      </c>
      <c r="N929" s="9" t="s">
        <v>11846</v>
      </c>
      <c r="O929" s="9" t="s">
        <v>292</v>
      </c>
      <c r="P929" s="5">
        <v>2</v>
      </c>
      <c r="Q929" s="9"/>
      <c r="R929" s="9" t="s">
        <v>5730</v>
      </c>
      <c r="S929" s="9" t="str">
        <f>HYPERLINK("https://seichotoushi-hojo.jp/assets/pdf/koufu_3_4ji/outline_34.pdf","PDFを開く")</f>
        <v>PDFを開く</v>
      </c>
      <c r="T929" s="9" t="s">
        <v>1981</v>
      </c>
      <c r="U929" s="9" t="s">
        <v>1982</v>
      </c>
    </row>
    <row r="930" spans="1:21" ht="39.950000000000003" customHeight="1">
      <c r="A930" s="2" t="s">
        <v>1975</v>
      </c>
      <c r="B930" s="2" t="s">
        <v>1595</v>
      </c>
      <c r="C930" s="8" t="s">
        <v>1976</v>
      </c>
      <c r="D930" s="8" t="s">
        <v>3184</v>
      </c>
      <c r="E930" s="8" t="s">
        <v>166</v>
      </c>
      <c r="F930" s="2">
        <v>2026</v>
      </c>
      <c r="G930" s="2">
        <v>475</v>
      </c>
      <c r="H930" s="2">
        <v>2029</v>
      </c>
      <c r="I930" s="2">
        <v>574</v>
      </c>
      <c r="J930" s="2" t="s">
        <v>86</v>
      </c>
      <c r="K930" s="2">
        <v>6.5</v>
      </c>
      <c r="L930" s="2">
        <v>6.5138999999999996</v>
      </c>
      <c r="M930" s="2">
        <v>1.3899999999999999E-2</v>
      </c>
      <c r="N930" s="8" t="s">
        <v>11846</v>
      </c>
      <c r="O930" s="8" t="s">
        <v>292</v>
      </c>
      <c r="P930" s="2">
        <v>2</v>
      </c>
      <c r="Q930" s="8"/>
      <c r="R930" s="8" t="s">
        <v>5732</v>
      </c>
      <c r="S930" s="8" t="str">
        <f>HYPERLINK("https://seichotoushi-hojo.jp/assets/pdf/koufu_3_4ji/outline_34.pdf","PDFを開く")</f>
        <v>PDFを開く</v>
      </c>
      <c r="T930" s="8" t="s">
        <v>1981</v>
      </c>
      <c r="U930" s="8" t="s">
        <v>1982</v>
      </c>
    </row>
    <row r="931" spans="1:21" ht="39.950000000000003" customHeight="1">
      <c r="A931" s="5" t="s">
        <v>1975</v>
      </c>
      <c r="B931" s="5" t="s">
        <v>1595</v>
      </c>
      <c r="C931" s="9" t="s">
        <v>1976</v>
      </c>
      <c r="D931" s="9" t="s">
        <v>3188</v>
      </c>
      <c r="E931" s="9" t="s">
        <v>91</v>
      </c>
      <c r="F931" s="5">
        <v>2026</v>
      </c>
      <c r="G931" s="5"/>
      <c r="H931" s="5">
        <v>2029</v>
      </c>
      <c r="I931" s="5"/>
      <c r="J931" s="5" t="s">
        <v>86</v>
      </c>
      <c r="K931" s="5">
        <v>6</v>
      </c>
      <c r="L931" s="5"/>
      <c r="M931" s="5"/>
      <c r="N931" s="9" t="s">
        <v>11846</v>
      </c>
      <c r="O931" s="9" t="s">
        <v>11848</v>
      </c>
      <c r="P931" s="5">
        <v>2</v>
      </c>
      <c r="Q931" s="9"/>
      <c r="R931" s="9" t="s">
        <v>5736</v>
      </c>
      <c r="S931" s="9" t="str">
        <f>HYPERLINK("https://seichotoushi-hojo.jp/assets/pdf/koufu_3_4ji/outline_34.pdf","PDFを開く")</f>
        <v>PDFを開く</v>
      </c>
      <c r="T931" s="9" t="s">
        <v>1981</v>
      </c>
      <c r="U931" s="9" t="s">
        <v>1982</v>
      </c>
    </row>
    <row r="932" spans="1:21" ht="39.950000000000003" customHeight="1">
      <c r="A932" s="2" t="s">
        <v>1975</v>
      </c>
      <c r="B932" s="2" t="s">
        <v>1595</v>
      </c>
      <c r="C932" s="8" t="s">
        <v>1976</v>
      </c>
      <c r="D932" s="8" t="s">
        <v>3191</v>
      </c>
      <c r="E932" s="8" t="s">
        <v>166</v>
      </c>
      <c r="F932" s="2">
        <v>2026</v>
      </c>
      <c r="G932" s="2">
        <v>437</v>
      </c>
      <c r="H932" s="2">
        <v>2029</v>
      </c>
      <c r="I932" s="2">
        <v>460</v>
      </c>
      <c r="J932" s="2" t="s">
        <v>2513</v>
      </c>
      <c r="K932" s="2"/>
      <c r="L932" s="2"/>
      <c r="M932" s="2"/>
      <c r="N932" s="8" t="s">
        <v>11846</v>
      </c>
      <c r="O932" s="8" t="s">
        <v>292</v>
      </c>
      <c r="P932" s="2">
        <v>2</v>
      </c>
      <c r="Q932" s="8"/>
      <c r="R932" s="8" t="s">
        <v>5734</v>
      </c>
      <c r="S932" s="8" t="str">
        <f>HYPERLINK("https://seichotoushi-hojo.jp/assets/pdf/koufu_3_4ji/outline_34.pdf","PDFを開く")</f>
        <v>PDFを開く</v>
      </c>
      <c r="T932" s="8" t="s">
        <v>1981</v>
      </c>
      <c r="U932" s="8" t="s">
        <v>1982</v>
      </c>
    </row>
    <row r="933" spans="1:21" ht="39.950000000000003" customHeight="1">
      <c r="A933" s="5" t="s">
        <v>1983</v>
      </c>
      <c r="B933" s="5" t="s">
        <v>1595</v>
      </c>
      <c r="C933" s="9" t="s">
        <v>1984</v>
      </c>
      <c r="D933" s="9" t="s">
        <v>3176</v>
      </c>
      <c r="E933" s="9" t="s">
        <v>90</v>
      </c>
      <c r="F933" s="5">
        <v>2027</v>
      </c>
      <c r="G933" s="5">
        <v>2804</v>
      </c>
      <c r="H933" s="5">
        <v>2030</v>
      </c>
      <c r="I933" s="5">
        <v>4523</v>
      </c>
      <c r="J933" s="5" t="s">
        <v>86</v>
      </c>
      <c r="K933" s="5">
        <v>17.2</v>
      </c>
      <c r="L933" s="5">
        <v>17.277899999999999</v>
      </c>
      <c r="M933" s="5">
        <v>7.7899999999999997E-2</v>
      </c>
      <c r="N933" s="9" t="s">
        <v>11846</v>
      </c>
      <c r="O933" s="9" t="s">
        <v>11852</v>
      </c>
      <c r="P933" s="5">
        <v>2</v>
      </c>
      <c r="Q933" s="9"/>
      <c r="R933" s="9" t="s">
        <v>5740</v>
      </c>
      <c r="S933" s="9" t="str">
        <f>HYPERLINK("https://seichotoushi-hojo.jp/assets/pdf/koufu_3_4ji/outline_35.pdf","PDFを開く")</f>
        <v>PDFを開く</v>
      </c>
      <c r="T933" s="9" t="s">
        <v>1990</v>
      </c>
      <c r="U933" s="9" t="s">
        <v>1991</v>
      </c>
    </row>
    <row r="934" spans="1:21" ht="39.950000000000003" customHeight="1">
      <c r="A934" s="2" t="s">
        <v>1983</v>
      </c>
      <c r="B934" s="2" t="s">
        <v>1595</v>
      </c>
      <c r="C934" s="8" t="s">
        <v>1984</v>
      </c>
      <c r="D934" s="8" t="s">
        <v>3184</v>
      </c>
      <c r="E934" s="8" t="s">
        <v>90</v>
      </c>
      <c r="F934" s="2">
        <v>2027</v>
      </c>
      <c r="G934" s="2">
        <v>342</v>
      </c>
      <c r="H934" s="2">
        <v>2030</v>
      </c>
      <c r="I934" s="2">
        <v>406</v>
      </c>
      <c r="J934" s="2" t="s">
        <v>86</v>
      </c>
      <c r="K934" s="2">
        <v>5.9</v>
      </c>
      <c r="L934" s="2">
        <v>5.8846999999999996</v>
      </c>
      <c r="M934" s="2">
        <v>1.5299999999999999E-2</v>
      </c>
      <c r="N934" s="8" t="s">
        <v>11846</v>
      </c>
      <c r="O934" s="8" t="s">
        <v>11852</v>
      </c>
      <c r="P934" s="2">
        <v>2</v>
      </c>
      <c r="Q934" s="8"/>
      <c r="R934" s="8" t="s">
        <v>5746</v>
      </c>
      <c r="S934" s="8" t="str">
        <f>HYPERLINK("https://seichotoushi-hojo.jp/assets/pdf/koufu_3_4ji/outline_35.pdf","PDFを開く")</f>
        <v>PDFを開く</v>
      </c>
      <c r="T934" s="8" t="s">
        <v>1990</v>
      </c>
      <c r="U934" s="8" t="s">
        <v>1991</v>
      </c>
    </row>
    <row r="935" spans="1:21" ht="39.950000000000003" customHeight="1">
      <c r="A935" s="5" t="s">
        <v>1983</v>
      </c>
      <c r="B935" s="5" t="s">
        <v>1595</v>
      </c>
      <c r="C935" s="9" t="s">
        <v>1984</v>
      </c>
      <c r="D935" s="9" t="s">
        <v>3188</v>
      </c>
      <c r="E935" s="9" t="s">
        <v>91</v>
      </c>
      <c r="F935" s="5">
        <v>2027</v>
      </c>
      <c r="G935" s="5"/>
      <c r="H935" s="5">
        <v>2030</v>
      </c>
      <c r="I935" s="5"/>
      <c r="J935" s="5" t="s">
        <v>86</v>
      </c>
      <c r="K935" s="5">
        <v>5.9</v>
      </c>
      <c r="L935" s="5"/>
      <c r="M935" s="5"/>
      <c r="N935" s="9" t="s">
        <v>11846</v>
      </c>
      <c r="O935" s="9" t="s">
        <v>11848</v>
      </c>
      <c r="P935" s="5">
        <v>2</v>
      </c>
      <c r="Q935" s="9"/>
      <c r="R935" s="9" t="s">
        <v>5751</v>
      </c>
      <c r="S935" s="9" t="str">
        <f>HYPERLINK("https://seichotoushi-hojo.jp/assets/pdf/koufu_3_4ji/outline_35.pdf","PDFを開く")</f>
        <v>PDFを開く</v>
      </c>
      <c r="T935" s="9" t="s">
        <v>1990</v>
      </c>
      <c r="U935" s="9" t="s">
        <v>1991</v>
      </c>
    </row>
    <row r="936" spans="1:21" ht="39.950000000000003" customHeight="1">
      <c r="A936" s="2" t="s">
        <v>1983</v>
      </c>
      <c r="B936" s="2" t="s">
        <v>1595</v>
      </c>
      <c r="C936" s="8" t="s">
        <v>1984</v>
      </c>
      <c r="D936" s="8" t="s">
        <v>3191</v>
      </c>
      <c r="E936" s="8" t="s">
        <v>166</v>
      </c>
      <c r="F936" s="2">
        <v>2027</v>
      </c>
      <c r="G936" s="2">
        <v>220</v>
      </c>
      <c r="H936" s="2">
        <v>2030</v>
      </c>
      <c r="I936" s="2">
        <v>268</v>
      </c>
      <c r="J936" s="2" t="s">
        <v>2513</v>
      </c>
      <c r="K936" s="2"/>
      <c r="L936" s="2"/>
      <c r="M936" s="2"/>
      <c r="N936" s="8" t="s">
        <v>11846</v>
      </c>
      <c r="O936" s="8" t="s">
        <v>292</v>
      </c>
      <c r="P936" s="2">
        <v>2</v>
      </c>
      <c r="Q936" s="8"/>
      <c r="R936" s="8" t="s">
        <v>5749</v>
      </c>
      <c r="S936" s="8" t="str">
        <f>HYPERLINK("https://seichotoushi-hojo.jp/assets/pdf/koufu_3_4ji/outline_35.pdf","PDFを開く")</f>
        <v>PDFを開く</v>
      </c>
      <c r="T936" s="8" t="s">
        <v>1990</v>
      </c>
      <c r="U936" s="8" t="s">
        <v>1991</v>
      </c>
    </row>
    <row r="937" spans="1:21" ht="39.950000000000003" customHeight="1">
      <c r="A937" s="5" t="s">
        <v>1992</v>
      </c>
      <c r="B937" s="5" t="s">
        <v>1595</v>
      </c>
      <c r="C937" s="9" t="s">
        <v>1993</v>
      </c>
      <c r="D937" s="9" t="s">
        <v>3176</v>
      </c>
      <c r="E937" s="9" t="s">
        <v>166</v>
      </c>
      <c r="F937" s="5">
        <v>2027</v>
      </c>
      <c r="G937" s="5">
        <v>709</v>
      </c>
      <c r="H937" s="5">
        <v>2030</v>
      </c>
      <c r="I937" s="5">
        <v>1308</v>
      </c>
      <c r="J937" s="5" t="s">
        <v>86</v>
      </c>
      <c r="K937" s="5">
        <v>22.7</v>
      </c>
      <c r="L937" s="5">
        <v>22.646100000000001</v>
      </c>
      <c r="M937" s="5">
        <v>5.3900000000000003E-2</v>
      </c>
      <c r="N937" s="9" t="s">
        <v>11846</v>
      </c>
      <c r="O937" s="9" t="s">
        <v>292</v>
      </c>
      <c r="P937" s="5">
        <v>2</v>
      </c>
      <c r="Q937" s="9"/>
      <c r="R937" s="9" t="s">
        <v>5754</v>
      </c>
      <c r="S937" s="9" t="str">
        <f>HYPERLINK("https://seichotoushi-hojo.jp/assets/pdf/koufu_3_4ji/outline_37.pdf","PDFを開く")</f>
        <v>PDFを開く</v>
      </c>
      <c r="T937" s="9" t="s">
        <v>1999</v>
      </c>
      <c r="U937" s="9" t="s">
        <v>2000</v>
      </c>
    </row>
    <row r="938" spans="1:21" ht="39.950000000000003" customHeight="1">
      <c r="A938" s="2" t="s">
        <v>1992</v>
      </c>
      <c r="B938" s="2" t="s">
        <v>1595</v>
      </c>
      <c r="C938" s="8" t="s">
        <v>1993</v>
      </c>
      <c r="D938" s="8" t="s">
        <v>3184</v>
      </c>
      <c r="E938" s="8" t="s">
        <v>166</v>
      </c>
      <c r="F938" s="2">
        <v>2027</v>
      </c>
      <c r="G938" s="2">
        <v>510</v>
      </c>
      <c r="H938" s="2">
        <v>2030</v>
      </c>
      <c r="I938" s="2">
        <v>620</v>
      </c>
      <c r="J938" s="2" t="s">
        <v>86</v>
      </c>
      <c r="K938" s="2">
        <v>6.7</v>
      </c>
      <c r="L938" s="2">
        <v>6.7268999999999997</v>
      </c>
      <c r="M938" s="2">
        <v>2.69E-2</v>
      </c>
      <c r="N938" s="8" t="s">
        <v>11846</v>
      </c>
      <c r="O938" s="8" t="s">
        <v>292</v>
      </c>
      <c r="P938" s="2">
        <v>2</v>
      </c>
      <c r="Q938" s="8"/>
      <c r="R938" s="8" t="s">
        <v>5756</v>
      </c>
      <c r="S938" s="8" t="str">
        <f>HYPERLINK("https://seichotoushi-hojo.jp/assets/pdf/koufu_3_4ji/outline_37.pdf","PDFを開く")</f>
        <v>PDFを開く</v>
      </c>
      <c r="T938" s="8" t="s">
        <v>1999</v>
      </c>
      <c r="U938" s="8" t="s">
        <v>2000</v>
      </c>
    </row>
    <row r="939" spans="1:21" ht="39.950000000000003" customHeight="1">
      <c r="A939" s="5" t="s">
        <v>1992</v>
      </c>
      <c r="B939" s="5" t="s">
        <v>1595</v>
      </c>
      <c r="C939" s="9" t="s">
        <v>1993</v>
      </c>
      <c r="D939" s="9" t="s">
        <v>3188</v>
      </c>
      <c r="E939" s="9" t="s">
        <v>157</v>
      </c>
      <c r="F939" s="5"/>
      <c r="G939" s="5"/>
      <c r="H939" s="5"/>
      <c r="I939" s="5"/>
      <c r="J939" s="5"/>
      <c r="K939" s="5"/>
      <c r="L939" s="5"/>
      <c r="M939" s="5"/>
      <c r="N939" s="9" t="s">
        <v>11850</v>
      </c>
      <c r="O939" s="9"/>
      <c r="P939" s="5"/>
      <c r="Q939" s="9" t="s">
        <v>11851</v>
      </c>
      <c r="R939" s="9"/>
      <c r="S939" s="9" t="str">
        <f>HYPERLINK("https://seichotoushi-hojo.jp/assets/pdf/koufu_3_4ji/outline_37.pdf","PDFを開く")</f>
        <v>PDFを開く</v>
      </c>
      <c r="T939" s="9" t="s">
        <v>1999</v>
      </c>
      <c r="U939" s="9" t="s">
        <v>2000</v>
      </c>
    </row>
    <row r="940" spans="1:21" ht="39.950000000000003" customHeight="1">
      <c r="A940" s="2" t="s">
        <v>1992</v>
      </c>
      <c r="B940" s="2" t="s">
        <v>1595</v>
      </c>
      <c r="C940" s="8" t="s">
        <v>1993</v>
      </c>
      <c r="D940" s="8" t="s">
        <v>3191</v>
      </c>
      <c r="E940" s="8" t="s">
        <v>166</v>
      </c>
      <c r="F940" s="2">
        <v>2027</v>
      </c>
      <c r="G940" s="2">
        <v>126</v>
      </c>
      <c r="H940" s="2">
        <v>2030</v>
      </c>
      <c r="I940" s="2">
        <v>162</v>
      </c>
      <c r="J940" s="2" t="s">
        <v>2513</v>
      </c>
      <c r="K940" s="2"/>
      <c r="L940" s="2"/>
      <c r="M940" s="2"/>
      <c r="N940" s="8" t="s">
        <v>11846</v>
      </c>
      <c r="O940" s="8" t="s">
        <v>292</v>
      </c>
      <c r="P940" s="2">
        <v>2</v>
      </c>
      <c r="Q940" s="8"/>
      <c r="R940" s="8" t="s">
        <v>5757</v>
      </c>
      <c r="S940" s="8" t="str">
        <f>HYPERLINK("https://seichotoushi-hojo.jp/assets/pdf/koufu_3_4ji/outline_37.pdf","PDFを開く")</f>
        <v>PDFを開く</v>
      </c>
      <c r="T940" s="8" t="s">
        <v>1999</v>
      </c>
      <c r="U940" s="8" t="s">
        <v>2000</v>
      </c>
    </row>
    <row r="941" spans="1:21" ht="39.950000000000003" customHeight="1">
      <c r="A941" s="5" t="s">
        <v>2001</v>
      </c>
      <c r="B941" s="5" t="s">
        <v>1595</v>
      </c>
      <c r="C941" s="9" t="s">
        <v>2002</v>
      </c>
      <c r="D941" s="9" t="s">
        <v>3176</v>
      </c>
      <c r="E941" s="9" t="s">
        <v>90</v>
      </c>
      <c r="F941" s="5">
        <v>2028</v>
      </c>
      <c r="G941" s="5">
        <v>884</v>
      </c>
      <c r="H941" s="5">
        <v>2031</v>
      </c>
      <c r="I941" s="5">
        <v>1605</v>
      </c>
      <c r="J941" s="5" t="s">
        <v>86</v>
      </c>
      <c r="K941" s="5">
        <v>22</v>
      </c>
      <c r="L941" s="5">
        <v>21.994700000000002</v>
      </c>
      <c r="M941" s="5">
        <v>5.3E-3</v>
      </c>
      <c r="N941" s="9" t="s">
        <v>11846</v>
      </c>
      <c r="O941" s="9" t="s">
        <v>11847</v>
      </c>
      <c r="P941" s="5">
        <v>2</v>
      </c>
      <c r="Q941" s="9"/>
      <c r="R941" s="9" t="s">
        <v>5767</v>
      </c>
      <c r="S941" s="9" t="str">
        <f>HYPERLINK("https://seichotoushi-hojo.jp/assets/pdf/koufu_3_4ji/outline_39.pdf","PDFを開く")</f>
        <v>PDFを開く</v>
      </c>
      <c r="T941" s="9" t="s">
        <v>2008</v>
      </c>
      <c r="U941" s="9" t="s">
        <v>2009</v>
      </c>
    </row>
    <row r="942" spans="1:21" ht="39.950000000000003" customHeight="1">
      <c r="A942" s="2" t="s">
        <v>2001</v>
      </c>
      <c r="B942" s="2" t="s">
        <v>1595</v>
      </c>
      <c r="C942" s="8" t="s">
        <v>2002</v>
      </c>
      <c r="D942" s="8" t="s">
        <v>3184</v>
      </c>
      <c r="E942" s="8" t="s">
        <v>90</v>
      </c>
      <c r="F942" s="2">
        <v>2028</v>
      </c>
      <c r="G942" s="2">
        <v>569</v>
      </c>
      <c r="H942" s="2">
        <v>2031</v>
      </c>
      <c r="I942" s="2">
        <v>696</v>
      </c>
      <c r="J942" s="2" t="s">
        <v>86</v>
      </c>
      <c r="K942" s="2">
        <v>6.9</v>
      </c>
      <c r="L942" s="2">
        <v>6.9462999999999999</v>
      </c>
      <c r="M942" s="2">
        <v>4.6300000000000001E-2</v>
      </c>
      <c r="N942" s="8" t="s">
        <v>11846</v>
      </c>
      <c r="O942" s="8" t="s">
        <v>11847</v>
      </c>
      <c r="P942" s="2">
        <v>2</v>
      </c>
      <c r="Q942" s="8"/>
      <c r="R942" s="8" t="s">
        <v>5769</v>
      </c>
      <c r="S942" s="8" t="str">
        <f>HYPERLINK("https://seichotoushi-hojo.jp/assets/pdf/koufu_3_4ji/outline_39.pdf","PDFを開く")</f>
        <v>PDFを開く</v>
      </c>
      <c r="T942" s="8" t="s">
        <v>2008</v>
      </c>
      <c r="U942" s="8" t="s">
        <v>2009</v>
      </c>
    </row>
    <row r="943" spans="1:21" ht="39.950000000000003" customHeight="1">
      <c r="A943" s="5" t="s">
        <v>2001</v>
      </c>
      <c r="B943" s="5" t="s">
        <v>1595</v>
      </c>
      <c r="C943" s="9" t="s">
        <v>2002</v>
      </c>
      <c r="D943" s="9" t="s">
        <v>3188</v>
      </c>
      <c r="E943" s="9" t="s">
        <v>90</v>
      </c>
      <c r="F943" s="5">
        <v>2028</v>
      </c>
      <c r="G943" s="5">
        <v>2789</v>
      </c>
      <c r="H943" s="5">
        <v>2031</v>
      </c>
      <c r="I943" s="5">
        <v>3276</v>
      </c>
      <c r="J943" s="5" t="s">
        <v>86</v>
      </c>
      <c r="K943" s="5">
        <v>5.5</v>
      </c>
      <c r="L943" s="5">
        <v>5.5111999999999997</v>
      </c>
      <c r="M943" s="5">
        <v>1.12E-2</v>
      </c>
      <c r="N943" s="9" t="s">
        <v>11846</v>
      </c>
      <c r="O943" s="9" t="s">
        <v>11847</v>
      </c>
      <c r="P943" s="5">
        <v>2</v>
      </c>
      <c r="Q943" s="9"/>
      <c r="R943" s="9" t="s">
        <v>5772</v>
      </c>
      <c r="S943" s="9" t="str">
        <f>HYPERLINK("https://seichotoushi-hojo.jp/assets/pdf/koufu_3_4ji/outline_39.pdf","PDFを開く")</f>
        <v>PDFを開く</v>
      </c>
      <c r="T943" s="9" t="s">
        <v>2008</v>
      </c>
      <c r="U943" s="9" t="s">
        <v>2009</v>
      </c>
    </row>
    <row r="944" spans="1:21" ht="39.950000000000003" customHeight="1">
      <c r="A944" s="2" t="s">
        <v>2001</v>
      </c>
      <c r="B944" s="2" t="s">
        <v>1595</v>
      </c>
      <c r="C944" s="8" t="s">
        <v>2002</v>
      </c>
      <c r="D944" s="8" t="s">
        <v>3191</v>
      </c>
      <c r="E944" s="8" t="s">
        <v>92</v>
      </c>
      <c r="F944" s="2">
        <v>2028</v>
      </c>
      <c r="G944" s="2">
        <v>390</v>
      </c>
      <c r="H944" s="2">
        <v>2031</v>
      </c>
      <c r="I944" s="2">
        <v>424</v>
      </c>
      <c r="J944" s="2" t="s">
        <v>2513</v>
      </c>
      <c r="K944" s="2"/>
      <c r="L944" s="2"/>
      <c r="M944" s="2"/>
      <c r="N944" s="8" t="s">
        <v>11846</v>
      </c>
      <c r="O944" s="8" t="s">
        <v>11847</v>
      </c>
      <c r="P944" s="2">
        <v>2</v>
      </c>
      <c r="Q944" s="8"/>
      <c r="R944" s="8" t="s">
        <v>5774</v>
      </c>
      <c r="S944" s="8" t="str">
        <f>HYPERLINK("https://seichotoushi-hojo.jp/assets/pdf/koufu_3_4ji/outline_39.pdf","PDFを開く")</f>
        <v>PDFを開く</v>
      </c>
      <c r="T944" s="8" t="s">
        <v>2008</v>
      </c>
      <c r="U944" s="8" t="s">
        <v>2009</v>
      </c>
    </row>
    <row r="945" spans="1:21" ht="39.950000000000003" customHeight="1">
      <c r="A945" s="5" t="s">
        <v>2010</v>
      </c>
      <c r="B945" s="5" t="s">
        <v>1595</v>
      </c>
      <c r="C945" s="9" t="s">
        <v>2011</v>
      </c>
      <c r="D945" s="9" t="s">
        <v>3176</v>
      </c>
      <c r="E945" s="9" t="s">
        <v>92</v>
      </c>
      <c r="F945" s="5">
        <v>2026</v>
      </c>
      <c r="G945" s="5">
        <v>-191</v>
      </c>
      <c r="H945" s="5">
        <v>2029</v>
      </c>
      <c r="I945" s="5">
        <v>1529</v>
      </c>
      <c r="J945" s="5" t="s">
        <v>86</v>
      </c>
      <c r="K945" s="5"/>
      <c r="L945" s="5"/>
      <c r="M945" s="5"/>
      <c r="N945" s="9" t="s">
        <v>11846</v>
      </c>
      <c r="O945" s="9" t="s">
        <v>11847</v>
      </c>
      <c r="P945" s="5">
        <v>2</v>
      </c>
      <c r="Q945" s="9"/>
      <c r="R945" s="9" t="s">
        <v>5776</v>
      </c>
      <c r="S945" s="9" t="str">
        <f>HYPERLINK("https://seichotoushi-hojo.jp/assets/pdf/koufu_3_4ji/outline_40.pdf","PDFを開く")</f>
        <v>PDFを開く</v>
      </c>
      <c r="T945" s="9" t="s">
        <v>2016</v>
      </c>
      <c r="U945" s="9" t="s">
        <v>2017</v>
      </c>
    </row>
    <row r="946" spans="1:21" ht="39.950000000000003" customHeight="1">
      <c r="A946" s="2" t="s">
        <v>2010</v>
      </c>
      <c r="B946" s="2" t="s">
        <v>1595</v>
      </c>
      <c r="C946" s="8" t="s">
        <v>2011</v>
      </c>
      <c r="D946" s="8" t="s">
        <v>3184</v>
      </c>
      <c r="E946" s="8" t="s">
        <v>90</v>
      </c>
      <c r="F946" s="2">
        <v>2026</v>
      </c>
      <c r="G946" s="2">
        <v>265</v>
      </c>
      <c r="H946" s="2">
        <v>2029</v>
      </c>
      <c r="I946" s="2">
        <v>324</v>
      </c>
      <c r="J946" s="2" t="s">
        <v>86</v>
      </c>
      <c r="K946" s="2">
        <v>6.9</v>
      </c>
      <c r="L946" s="2">
        <v>6.93</v>
      </c>
      <c r="M946" s="2">
        <v>0.03</v>
      </c>
      <c r="N946" s="8" t="s">
        <v>11846</v>
      </c>
      <c r="O946" s="8" t="s">
        <v>11847</v>
      </c>
      <c r="P946" s="2">
        <v>2</v>
      </c>
      <c r="Q946" s="8"/>
      <c r="R946" s="8" t="s">
        <v>5779</v>
      </c>
      <c r="S946" s="8" t="str">
        <f>HYPERLINK("https://seichotoushi-hojo.jp/assets/pdf/koufu_3_4ji/outline_40.pdf","PDFを開く")</f>
        <v>PDFを開く</v>
      </c>
      <c r="T946" s="8" t="s">
        <v>2016</v>
      </c>
      <c r="U946" s="8" t="s">
        <v>2017</v>
      </c>
    </row>
    <row r="947" spans="1:21" ht="39.950000000000003" customHeight="1">
      <c r="A947" s="5" t="s">
        <v>2010</v>
      </c>
      <c r="B947" s="5" t="s">
        <v>1595</v>
      </c>
      <c r="C947" s="9" t="s">
        <v>2011</v>
      </c>
      <c r="D947" s="9" t="s">
        <v>3188</v>
      </c>
      <c r="E947" s="9" t="s">
        <v>91</v>
      </c>
      <c r="F947" s="5">
        <v>2026</v>
      </c>
      <c r="G947" s="5"/>
      <c r="H947" s="5">
        <v>2029</v>
      </c>
      <c r="I947" s="5"/>
      <c r="J947" s="5" t="s">
        <v>86</v>
      </c>
      <c r="K947" s="5">
        <v>10.6</v>
      </c>
      <c r="L947" s="5"/>
      <c r="M947" s="5"/>
      <c r="N947" s="9" t="s">
        <v>11846</v>
      </c>
      <c r="O947" s="9" t="s">
        <v>11848</v>
      </c>
      <c r="P947" s="5">
        <v>2</v>
      </c>
      <c r="Q947" s="9"/>
      <c r="R947" s="9" t="s">
        <v>5783</v>
      </c>
      <c r="S947" s="9" t="str">
        <f>HYPERLINK("https://seichotoushi-hojo.jp/assets/pdf/koufu_3_4ji/outline_40.pdf","PDFを開く")</f>
        <v>PDFを開く</v>
      </c>
      <c r="T947" s="9" t="s">
        <v>2016</v>
      </c>
      <c r="U947" s="9" t="s">
        <v>2017</v>
      </c>
    </row>
    <row r="948" spans="1:21" ht="39.950000000000003" customHeight="1">
      <c r="A948" s="2" t="s">
        <v>2010</v>
      </c>
      <c r="B948" s="2" t="s">
        <v>1595</v>
      </c>
      <c r="C948" s="8" t="s">
        <v>2011</v>
      </c>
      <c r="D948" s="8" t="s">
        <v>3191</v>
      </c>
      <c r="E948" s="8" t="s">
        <v>92</v>
      </c>
      <c r="F948" s="2">
        <v>2026</v>
      </c>
      <c r="G948" s="2">
        <v>35</v>
      </c>
      <c r="H948" s="2">
        <v>2029</v>
      </c>
      <c r="I948" s="2">
        <v>59</v>
      </c>
      <c r="J948" s="2" t="s">
        <v>2513</v>
      </c>
      <c r="K948" s="2"/>
      <c r="L948" s="2"/>
      <c r="M948" s="2"/>
      <c r="N948" s="8" t="s">
        <v>11846</v>
      </c>
      <c r="O948" s="8" t="s">
        <v>11847</v>
      </c>
      <c r="P948" s="2">
        <v>2</v>
      </c>
      <c r="Q948" s="8"/>
      <c r="R948" s="8" t="s">
        <v>5781</v>
      </c>
      <c r="S948" s="8" t="str">
        <f>HYPERLINK("https://seichotoushi-hojo.jp/assets/pdf/koufu_3_4ji/outline_40.pdf","PDFを開く")</f>
        <v>PDFを開く</v>
      </c>
      <c r="T948" s="8" t="s">
        <v>2016</v>
      </c>
      <c r="U948" s="8" t="s">
        <v>2017</v>
      </c>
    </row>
    <row r="949" spans="1:21" ht="39.950000000000003" customHeight="1">
      <c r="A949" s="5" t="s">
        <v>2018</v>
      </c>
      <c r="B949" s="5" t="s">
        <v>1595</v>
      </c>
      <c r="C949" s="9" t="s">
        <v>2019</v>
      </c>
      <c r="D949" s="9" t="s">
        <v>3176</v>
      </c>
      <c r="E949" s="9" t="s">
        <v>90</v>
      </c>
      <c r="F949" s="5">
        <v>2027</v>
      </c>
      <c r="G949" s="5">
        <v>1371</v>
      </c>
      <c r="H949" s="5">
        <v>2030</v>
      </c>
      <c r="I949" s="5">
        <v>3475</v>
      </c>
      <c r="J949" s="5" t="s">
        <v>86</v>
      </c>
      <c r="K949" s="5">
        <v>36.299999999999997</v>
      </c>
      <c r="L949" s="5">
        <v>36.344999999999999</v>
      </c>
      <c r="M949" s="5">
        <v>4.4999999999999998E-2</v>
      </c>
      <c r="N949" s="9" t="s">
        <v>11846</v>
      </c>
      <c r="O949" s="9" t="s">
        <v>11847</v>
      </c>
      <c r="P949" s="5">
        <v>2</v>
      </c>
      <c r="Q949" s="9"/>
      <c r="R949" s="9" t="s">
        <v>5787</v>
      </c>
      <c r="S949" s="9" t="str">
        <f>HYPERLINK("https://seichotoushi-hojo.jp/assets/pdf/koufu_3_4ji/outline_41.pdf","PDFを開く")</f>
        <v>PDFを開く</v>
      </c>
      <c r="T949" s="9" t="s">
        <v>2024</v>
      </c>
      <c r="U949" s="9" t="s">
        <v>2025</v>
      </c>
    </row>
    <row r="950" spans="1:21" ht="39.950000000000003" customHeight="1">
      <c r="A950" s="2" t="s">
        <v>2018</v>
      </c>
      <c r="B950" s="2" t="s">
        <v>1595</v>
      </c>
      <c r="C950" s="8" t="s">
        <v>2019</v>
      </c>
      <c r="D950" s="8" t="s">
        <v>3184</v>
      </c>
      <c r="E950" s="8" t="s">
        <v>90</v>
      </c>
      <c r="F950" s="2">
        <v>2027</v>
      </c>
      <c r="G950" s="2">
        <v>708</v>
      </c>
      <c r="H950" s="2">
        <v>2030</v>
      </c>
      <c r="I950" s="2">
        <v>872</v>
      </c>
      <c r="J950" s="2" t="s">
        <v>86</v>
      </c>
      <c r="K950" s="2">
        <v>7.2</v>
      </c>
      <c r="L950" s="2">
        <v>7.1917</v>
      </c>
      <c r="M950" s="2">
        <v>8.3000000000000001E-3</v>
      </c>
      <c r="N950" s="8" t="s">
        <v>11846</v>
      </c>
      <c r="O950" s="8" t="s">
        <v>11852</v>
      </c>
      <c r="P950" s="2">
        <v>2</v>
      </c>
      <c r="Q950" s="8"/>
      <c r="R950" s="8" t="s">
        <v>5789</v>
      </c>
      <c r="S950" s="8" t="str">
        <f>HYPERLINK("https://seichotoushi-hojo.jp/assets/pdf/koufu_3_4ji/outline_41.pdf","PDFを開く")</f>
        <v>PDFを開く</v>
      </c>
      <c r="T950" s="8" t="s">
        <v>2024</v>
      </c>
      <c r="U950" s="8" t="s">
        <v>2025</v>
      </c>
    </row>
    <row r="951" spans="1:21" ht="39.950000000000003" customHeight="1">
      <c r="A951" s="5" t="s">
        <v>2018</v>
      </c>
      <c r="B951" s="5" t="s">
        <v>1595</v>
      </c>
      <c r="C951" s="9" t="s">
        <v>2019</v>
      </c>
      <c r="D951" s="9" t="s">
        <v>3188</v>
      </c>
      <c r="E951" s="9" t="s">
        <v>91</v>
      </c>
      <c r="F951" s="5">
        <v>2027</v>
      </c>
      <c r="G951" s="5"/>
      <c r="H951" s="5"/>
      <c r="I951" s="5"/>
      <c r="J951" s="5" t="s">
        <v>86</v>
      </c>
      <c r="K951" s="5">
        <v>7.2</v>
      </c>
      <c r="L951" s="5"/>
      <c r="M951" s="5"/>
      <c r="N951" s="9" t="s">
        <v>11854</v>
      </c>
      <c r="O951" s="9" t="s">
        <v>11848</v>
      </c>
      <c r="P951" s="5">
        <v>2</v>
      </c>
      <c r="Q951" s="9"/>
      <c r="R951" s="9" t="s">
        <v>5798</v>
      </c>
      <c r="S951" s="9" t="str">
        <f>HYPERLINK("https://seichotoushi-hojo.jp/assets/pdf/koufu_3_4ji/outline_41.pdf","PDFを開く")</f>
        <v>PDFを開く</v>
      </c>
      <c r="T951" s="9" t="s">
        <v>2024</v>
      </c>
      <c r="U951" s="9" t="s">
        <v>2025</v>
      </c>
    </row>
    <row r="952" spans="1:21" ht="39.950000000000003" customHeight="1">
      <c r="A952" s="2" t="s">
        <v>2018</v>
      </c>
      <c r="B952" s="2" t="s">
        <v>1595</v>
      </c>
      <c r="C952" s="8" t="s">
        <v>2019</v>
      </c>
      <c r="D952" s="8" t="s">
        <v>3191</v>
      </c>
      <c r="E952" s="8" t="s">
        <v>92</v>
      </c>
      <c r="F952" s="2">
        <v>2027</v>
      </c>
      <c r="G952" s="2">
        <v>20</v>
      </c>
      <c r="H952" s="2">
        <v>2030</v>
      </c>
      <c r="I952" s="2">
        <v>42</v>
      </c>
      <c r="J952" s="2" t="s">
        <v>2513</v>
      </c>
      <c r="K952" s="2"/>
      <c r="L952" s="2"/>
      <c r="M952" s="2"/>
      <c r="N952" s="8" t="s">
        <v>11846</v>
      </c>
      <c r="O952" s="8" t="s">
        <v>11852</v>
      </c>
      <c r="P952" s="2">
        <v>2</v>
      </c>
      <c r="Q952" s="8"/>
      <c r="R952" s="8" t="s">
        <v>5795</v>
      </c>
      <c r="S952" s="8" t="str">
        <f>HYPERLINK("https://seichotoushi-hojo.jp/assets/pdf/koufu_3_4ji/outline_41.pdf","PDFを開く")</f>
        <v>PDFを開く</v>
      </c>
      <c r="T952" s="8" t="s">
        <v>2024</v>
      </c>
      <c r="U952" s="8" t="s">
        <v>2025</v>
      </c>
    </row>
    <row r="953" spans="1:21" ht="39.950000000000003" customHeight="1">
      <c r="A953" s="5" t="s">
        <v>2026</v>
      </c>
      <c r="B953" s="5" t="s">
        <v>1595</v>
      </c>
      <c r="C953" s="9" t="s">
        <v>2027</v>
      </c>
      <c r="D953" s="9" t="s">
        <v>3176</v>
      </c>
      <c r="E953" s="9" t="s">
        <v>90</v>
      </c>
      <c r="F953" s="5">
        <v>2027</v>
      </c>
      <c r="G953" s="5">
        <v>789</v>
      </c>
      <c r="H953" s="5">
        <v>2030</v>
      </c>
      <c r="I953" s="5">
        <v>1512</v>
      </c>
      <c r="J953" s="5" t="s">
        <v>86</v>
      </c>
      <c r="K953" s="5">
        <v>24.2</v>
      </c>
      <c r="L953" s="5">
        <v>24.2105</v>
      </c>
      <c r="M953" s="5">
        <v>1.0500000000000001E-2</v>
      </c>
      <c r="N953" s="9" t="s">
        <v>11846</v>
      </c>
      <c r="O953" s="9" t="s">
        <v>11847</v>
      </c>
      <c r="P953" s="5">
        <v>2</v>
      </c>
      <c r="Q953" s="9"/>
      <c r="R953" s="9" t="s">
        <v>5801</v>
      </c>
      <c r="S953" s="9" t="str">
        <f>HYPERLINK("https://seichotoushi-hojo.jp/assets/pdf/koufu_3_4ji/outline_42.pdf","PDFを開く")</f>
        <v>PDFを開く</v>
      </c>
      <c r="T953" s="9" t="s">
        <v>2032</v>
      </c>
      <c r="U953" s="9" t="s">
        <v>2033</v>
      </c>
    </row>
    <row r="954" spans="1:21" ht="39.950000000000003" customHeight="1">
      <c r="A954" s="2" t="s">
        <v>2026</v>
      </c>
      <c r="B954" s="2" t="s">
        <v>1595</v>
      </c>
      <c r="C954" s="8" t="s">
        <v>2027</v>
      </c>
      <c r="D954" s="8" t="s">
        <v>3184</v>
      </c>
      <c r="E954" s="8" t="s">
        <v>90</v>
      </c>
      <c r="F954" s="2">
        <v>2027</v>
      </c>
      <c r="G954" s="2">
        <v>548</v>
      </c>
      <c r="H954" s="2">
        <v>2030</v>
      </c>
      <c r="I954" s="2">
        <v>659</v>
      </c>
      <c r="J954" s="2" t="s">
        <v>86</v>
      </c>
      <c r="K954" s="2">
        <v>6.3</v>
      </c>
      <c r="L954" s="2">
        <v>6.3411999999999997</v>
      </c>
      <c r="M954" s="2">
        <v>4.1200000000000001E-2</v>
      </c>
      <c r="N954" s="8" t="s">
        <v>11846</v>
      </c>
      <c r="O954" s="8" t="s">
        <v>11847</v>
      </c>
      <c r="P954" s="2">
        <v>2</v>
      </c>
      <c r="Q954" s="8"/>
      <c r="R954" s="8" t="s">
        <v>5803</v>
      </c>
      <c r="S954" s="8" t="str">
        <f>HYPERLINK("https://seichotoushi-hojo.jp/assets/pdf/koufu_3_4ji/outline_42.pdf","PDFを開く")</f>
        <v>PDFを開く</v>
      </c>
      <c r="T954" s="8" t="s">
        <v>2032</v>
      </c>
      <c r="U954" s="8" t="s">
        <v>2033</v>
      </c>
    </row>
    <row r="955" spans="1:21" ht="39.950000000000003" customHeight="1">
      <c r="A955" s="5" t="s">
        <v>2026</v>
      </c>
      <c r="B955" s="5" t="s">
        <v>1595</v>
      </c>
      <c r="C955" s="9" t="s">
        <v>2027</v>
      </c>
      <c r="D955" s="9" t="s">
        <v>3188</v>
      </c>
      <c r="E955" s="9" t="s">
        <v>91</v>
      </c>
      <c r="F955" s="5">
        <v>2027</v>
      </c>
      <c r="G955" s="5"/>
      <c r="H955" s="5">
        <v>2030</v>
      </c>
      <c r="I955" s="5"/>
      <c r="J955" s="5" t="s">
        <v>86</v>
      </c>
      <c r="K955" s="5">
        <v>6.3</v>
      </c>
      <c r="L955" s="5"/>
      <c r="M955" s="5"/>
      <c r="N955" s="9" t="s">
        <v>11846</v>
      </c>
      <c r="O955" s="9" t="s">
        <v>11848</v>
      </c>
      <c r="P955" s="5">
        <v>2</v>
      </c>
      <c r="Q955" s="9"/>
      <c r="R955" s="9" t="s">
        <v>5808</v>
      </c>
      <c r="S955" s="9" t="str">
        <f>HYPERLINK("https://seichotoushi-hojo.jp/assets/pdf/koufu_3_4ji/outline_42.pdf","PDFを開く")</f>
        <v>PDFを開く</v>
      </c>
      <c r="T955" s="9" t="s">
        <v>2032</v>
      </c>
      <c r="U955" s="9" t="s">
        <v>2033</v>
      </c>
    </row>
    <row r="956" spans="1:21" ht="39.950000000000003" customHeight="1">
      <c r="A956" s="2" t="s">
        <v>2026</v>
      </c>
      <c r="B956" s="2" t="s">
        <v>1595</v>
      </c>
      <c r="C956" s="8" t="s">
        <v>2027</v>
      </c>
      <c r="D956" s="8" t="s">
        <v>3191</v>
      </c>
      <c r="E956" s="8" t="s">
        <v>92</v>
      </c>
      <c r="F956" s="2">
        <v>2027</v>
      </c>
      <c r="G956" s="2">
        <v>124</v>
      </c>
      <c r="H956" s="2">
        <v>2030</v>
      </c>
      <c r="I956" s="2">
        <v>139</v>
      </c>
      <c r="J956" s="2" t="s">
        <v>2513</v>
      </c>
      <c r="K956" s="2"/>
      <c r="L956" s="2"/>
      <c r="M956" s="2"/>
      <c r="N956" s="8" t="s">
        <v>11846</v>
      </c>
      <c r="O956" s="8" t="s">
        <v>11847</v>
      </c>
      <c r="P956" s="2">
        <v>2</v>
      </c>
      <c r="Q956" s="8"/>
      <c r="R956" s="8" t="s">
        <v>5806</v>
      </c>
      <c r="S956" s="8" t="str">
        <f>HYPERLINK("https://seichotoushi-hojo.jp/assets/pdf/koufu_3_4ji/outline_42.pdf","PDFを開く")</f>
        <v>PDFを開く</v>
      </c>
      <c r="T956" s="8" t="s">
        <v>2032</v>
      </c>
      <c r="U956" s="8" t="s">
        <v>2033</v>
      </c>
    </row>
    <row r="957" spans="1:21" ht="39.950000000000003" customHeight="1">
      <c r="A957" s="5" t="s">
        <v>2034</v>
      </c>
      <c r="B957" s="5" t="s">
        <v>1595</v>
      </c>
      <c r="C957" s="9" t="s">
        <v>2035</v>
      </c>
      <c r="D957" s="9" t="s">
        <v>3176</v>
      </c>
      <c r="E957" s="9" t="s">
        <v>90</v>
      </c>
      <c r="F957" s="5">
        <v>2027</v>
      </c>
      <c r="G957" s="5">
        <v>1571</v>
      </c>
      <c r="H957" s="5">
        <v>2030</v>
      </c>
      <c r="I957" s="5">
        <v>2577</v>
      </c>
      <c r="J957" s="5" t="s">
        <v>86</v>
      </c>
      <c r="K957" s="5">
        <v>17.899999999999999</v>
      </c>
      <c r="L957" s="5">
        <v>17.9359</v>
      </c>
      <c r="M957" s="5">
        <v>3.5900000000000001E-2</v>
      </c>
      <c r="N957" s="9" t="s">
        <v>11846</v>
      </c>
      <c r="O957" s="9" t="s">
        <v>11847</v>
      </c>
      <c r="P957" s="5">
        <v>5</v>
      </c>
      <c r="Q957" s="9"/>
      <c r="R957" s="9" t="s">
        <v>5812</v>
      </c>
      <c r="S957" s="9" t="str">
        <f>HYPERLINK("https://seichotoushi-hojo.jp/assets/pdf/koufu_3_4ji/outline_43.pdf","PDFを開く")</f>
        <v>PDFを開く</v>
      </c>
      <c r="T957" s="9" t="s">
        <v>2041</v>
      </c>
      <c r="U957" s="9" t="s">
        <v>2042</v>
      </c>
    </row>
    <row r="958" spans="1:21" ht="39.950000000000003" customHeight="1">
      <c r="A958" s="2" t="s">
        <v>2034</v>
      </c>
      <c r="B958" s="2" t="s">
        <v>1595</v>
      </c>
      <c r="C958" s="8" t="s">
        <v>2035</v>
      </c>
      <c r="D958" s="8" t="s">
        <v>3184</v>
      </c>
      <c r="E958" s="8" t="s">
        <v>90</v>
      </c>
      <c r="F958" s="2">
        <v>2027</v>
      </c>
      <c r="G958" s="2">
        <v>780</v>
      </c>
      <c r="H958" s="2">
        <v>2030</v>
      </c>
      <c r="I958" s="2">
        <v>915</v>
      </c>
      <c r="J958" s="2" t="s">
        <v>86</v>
      </c>
      <c r="K958" s="2">
        <v>5.4</v>
      </c>
      <c r="L958" s="2">
        <v>5.4650999999999996</v>
      </c>
      <c r="M958" s="2">
        <v>6.5100000000000005E-2</v>
      </c>
      <c r="N958" s="8" t="s">
        <v>11846</v>
      </c>
      <c r="O958" s="8" t="s">
        <v>11847</v>
      </c>
      <c r="P958" s="2">
        <v>5</v>
      </c>
      <c r="Q958" s="8"/>
      <c r="R958" s="8" t="s">
        <v>5814</v>
      </c>
      <c r="S958" s="8" t="str">
        <f>HYPERLINK("https://seichotoushi-hojo.jp/assets/pdf/koufu_3_4ji/outline_43.pdf","PDFを開く")</f>
        <v>PDFを開く</v>
      </c>
      <c r="T958" s="8" t="s">
        <v>2041</v>
      </c>
      <c r="U958" s="8" t="s">
        <v>2042</v>
      </c>
    </row>
    <row r="959" spans="1:21" ht="39.950000000000003" customHeight="1">
      <c r="A959" s="5" t="s">
        <v>2034</v>
      </c>
      <c r="B959" s="5" t="s">
        <v>1595</v>
      </c>
      <c r="C959" s="9" t="s">
        <v>2035</v>
      </c>
      <c r="D959" s="9" t="s">
        <v>3188</v>
      </c>
      <c r="E959" s="9" t="s">
        <v>90</v>
      </c>
      <c r="F959" s="5">
        <v>2027</v>
      </c>
      <c r="G959" s="5">
        <v>4300</v>
      </c>
      <c r="H959" s="5">
        <v>2030</v>
      </c>
      <c r="I959" s="5">
        <v>4971</v>
      </c>
      <c r="J959" s="5" t="s">
        <v>86</v>
      </c>
      <c r="K959" s="5">
        <v>5</v>
      </c>
      <c r="L959" s="5">
        <v>4.9523000000000001</v>
      </c>
      <c r="M959" s="5">
        <v>4.7699999999999999E-2</v>
      </c>
      <c r="N959" s="9" t="s">
        <v>11846</v>
      </c>
      <c r="O959" s="9" t="s">
        <v>11847</v>
      </c>
      <c r="P959" s="5">
        <v>5</v>
      </c>
      <c r="Q959" s="9"/>
      <c r="R959" s="9" t="s">
        <v>5817</v>
      </c>
      <c r="S959" s="9" t="str">
        <f>HYPERLINK("https://seichotoushi-hojo.jp/assets/pdf/koufu_3_4ji/outline_43.pdf","PDFを開く")</f>
        <v>PDFを開く</v>
      </c>
      <c r="T959" s="9" t="s">
        <v>2041</v>
      </c>
      <c r="U959" s="9" t="s">
        <v>2042</v>
      </c>
    </row>
    <row r="960" spans="1:21" ht="39.950000000000003" customHeight="1">
      <c r="A960" s="2" t="s">
        <v>2034</v>
      </c>
      <c r="B960" s="2" t="s">
        <v>1595</v>
      </c>
      <c r="C960" s="8" t="s">
        <v>2035</v>
      </c>
      <c r="D960" s="8" t="s">
        <v>3191</v>
      </c>
      <c r="E960" s="8" t="s">
        <v>92</v>
      </c>
      <c r="F960" s="2">
        <v>2027</v>
      </c>
      <c r="G960" s="2">
        <v>270</v>
      </c>
      <c r="H960" s="2">
        <v>2030</v>
      </c>
      <c r="I960" s="2">
        <v>273</v>
      </c>
      <c r="J960" s="2" t="s">
        <v>2513</v>
      </c>
      <c r="K960" s="2">
        <v>0.4</v>
      </c>
      <c r="L960" s="2"/>
      <c r="M960" s="2"/>
      <c r="N960" s="8" t="s">
        <v>11846</v>
      </c>
      <c r="O960" s="8" t="s">
        <v>11847</v>
      </c>
      <c r="P960" s="2">
        <v>5</v>
      </c>
      <c r="Q960" s="8"/>
      <c r="R960" s="8" t="s">
        <v>5819</v>
      </c>
      <c r="S960" s="8" t="str">
        <f>HYPERLINK("https://seichotoushi-hojo.jp/assets/pdf/koufu_3_4ji/outline_43.pdf","PDFを開く")</f>
        <v>PDFを開く</v>
      </c>
      <c r="T960" s="8" t="s">
        <v>2041</v>
      </c>
      <c r="U960" s="8" t="s">
        <v>2042</v>
      </c>
    </row>
    <row r="961" spans="1:21" ht="39.950000000000003" customHeight="1">
      <c r="A961" s="5" t="s">
        <v>2043</v>
      </c>
      <c r="B961" s="5" t="s">
        <v>1595</v>
      </c>
      <c r="C961" s="9" t="s">
        <v>2044</v>
      </c>
      <c r="D961" s="9" t="s">
        <v>3176</v>
      </c>
      <c r="E961" s="9" t="s">
        <v>90</v>
      </c>
      <c r="F961" s="5">
        <v>2027</v>
      </c>
      <c r="G961" s="5">
        <v>3135</v>
      </c>
      <c r="H961" s="5">
        <v>2030</v>
      </c>
      <c r="I961" s="5">
        <v>6232</v>
      </c>
      <c r="J961" s="5" t="s">
        <v>86</v>
      </c>
      <c r="K961" s="5">
        <v>25.7</v>
      </c>
      <c r="L961" s="5">
        <v>25.737100000000002</v>
      </c>
      <c r="M961" s="5">
        <v>3.7100000000000001E-2</v>
      </c>
      <c r="N961" s="9" t="s">
        <v>11846</v>
      </c>
      <c r="O961" s="9" t="s">
        <v>11847</v>
      </c>
      <c r="P961" s="5">
        <v>4</v>
      </c>
      <c r="Q961" s="9"/>
      <c r="R961" s="9" t="s">
        <v>5822</v>
      </c>
      <c r="S961" s="9" t="str">
        <f>HYPERLINK("https://seichotoushi-hojo.jp/assets/pdf/koufu_3_4ji/outline_44.pdf","PDFを開く")</f>
        <v>PDFを開く</v>
      </c>
      <c r="T961" s="9" t="s">
        <v>2048</v>
      </c>
      <c r="U961" s="9" t="s">
        <v>2049</v>
      </c>
    </row>
    <row r="962" spans="1:21" ht="39.950000000000003" customHeight="1">
      <c r="A962" s="2" t="s">
        <v>2043</v>
      </c>
      <c r="B962" s="2" t="s">
        <v>1595</v>
      </c>
      <c r="C962" s="8" t="s">
        <v>2044</v>
      </c>
      <c r="D962" s="8" t="s">
        <v>3184</v>
      </c>
      <c r="E962" s="8" t="s">
        <v>90</v>
      </c>
      <c r="F962" s="2">
        <v>2027</v>
      </c>
      <c r="G962" s="2">
        <v>446</v>
      </c>
      <c r="H962" s="2">
        <v>2030</v>
      </c>
      <c r="I962" s="2">
        <v>593</v>
      </c>
      <c r="J962" s="2" t="s">
        <v>86</v>
      </c>
      <c r="K962" s="2">
        <v>10</v>
      </c>
      <c r="L962" s="2">
        <v>9.9612999999999996</v>
      </c>
      <c r="M962" s="2">
        <v>3.8699999999999998E-2</v>
      </c>
      <c r="N962" s="8" t="s">
        <v>11846</v>
      </c>
      <c r="O962" s="8" t="s">
        <v>11847</v>
      </c>
      <c r="P962" s="2">
        <v>4</v>
      </c>
      <c r="Q962" s="8"/>
      <c r="R962" s="8" t="s">
        <v>5824</v>
      </c>
      <c r="S962" s="8" t="str">
        <f>HYPERLINK("https://seichotoushi-hojo.jp/assets/pdf/koufu_3_4ji/outline_44.pdf","PDFを開く")</f>
        <v>PDFを開く</v>
      </c>
      <c r="T962" s="8" t="s">
        <v>2048</v>
      </c>
      <c r="U962" s="8" t="s">
        <v>2049</v>
      </c>
    </row>
    <row r="963" spans="1:21" ht="39.950000000000003" customHeight="1">
      <c r="A963" s="5" t="s">
        <v>2043</v>
      </c>
      <c r="B963" s="5" t="s">
        <v>1595</v>
      </c>
      <c r="C963" s="9" t="s">
        <v>2044</v>
      </c>
      <c r="D963" s="9" t="s">
        <v>3188</v>
      </c>
      <c r="E963" s="9" t="s">
        <v>91</v>
      </c>
      <c r="F963" s="5">
        <v>2027</v>
      </c>
      <c r="G963" s="5"/>
      <c r="H963" s="5">
        <v>2030</v>
      </c>
      <c r="I963" s="5"/>
      <c r="J963" s="5" t="s">
        <v>86</v>
      </c>
      <c r="K963" s="5">
        <v>5</v>
      </c>
      <c r="L963" s="5"/>
      <c r="M963" s="5"/>
      <c r="N963" s="9" t="s">
        <v>11846</v>
      </c>
      <c r="O963" s="9" t="s">
        <v>11848</v>
      </c>
      <c r="P963" s="5">
        <v>4</v>
      </c>
      <c r="Q963" s="9"/>
      <c r="R963" s="9" t="s">
        <v>3382</v>
      </c>
      <c r="S963" s="9" t="str">
        <f>HYPERLINK("https://seichotoushi-hojo.jp/assets/pdf/koufu_3_4ji/outline_44.pdf","PDFを開く")</f>
        <v>PDFを開く</v>
      </c>
      <c r="T963" s="9" t="s">
        <v>2048</v>
      </c>
      <c r="U963" s="9" t="s">
        <v>2049</v>
      </c>
    </row>
    <row r="964" spans="1:21" ht="39.950000000000003" customHeight="1">
      <c r="A964" s="2" t="s">
        <v>2043</v>
      </c>
      <c r="B964" s="2" t="s">
        <v>1595</v>
      </c>
      <c r="C964" s="8" t="s">
        <v>2044</v>
      </c>
      <c r="D964" s="8" t="s">
        <v>3191</v>
      </c>
      <c r="E964" s="8" t="s">
        <v>92</v>
      </c>
      <c r="F964" s="2">
        <v>2027</v>
      </c>
      <c r="G964" s="2">
        <v>5</v>
      </c>
      <c r="H964" s="2">
        <v>2030</v>
      </c>
      <c r="I964" s="2">
        <v>9</v>
      </c>
      <c r="J964" s="2" t="s">
        <v>2513</v>
      </c>
      <c r="K964" s="2"/>
      <c r="L964" s="2"/>
      <c r="M964" s="2"/>
      <c r="N964" s="8" t="s">
        <v>11846</v>
      </c>
      <c r="O964" s="8" t="s">
        <v>11847</v>
      </c>
      <c r="P964" s="2">
        <v>4</v>
      </c>
      <c r="Q964" s="8"/>
      <c r="R964" s="8" t="s">
        <v>5826</v>
      </c>
      <c r="S964" s="8" t="str">
        <f>HYPERLINK("https://seichotoushi-hojo.jp/assets/pdf/koufu_3_4ji/outline_44.pdf","PDFを開く")</f>
        <v>PDFを開く</v>
      </c>
      <c r="T964" s="8" t="s">
        <v>2048</v>
      </c>
      <c r="U964" s="8" t="s">
        <v>2049</v>
      </c>
    </row>
    <row r="965" spans="1:21" ht="39.950000000000003" customHeight="1">
      <c r="A965" s="5" t="s">
        <v>2050</v>
      </c>
      <c r="B965" s="5" t="s">
        <v>1595</v>
      </c>
      <c r="C965" s="9" t="s">
        <v>2051</v>
      </c>
      <c r="D965" s="9" t="s">
        <v>3176</v>
      </c>
      <c r="E965" s="9" t="s">
        <v>90</v>
      </c>
      <c r="F965" s="5">
        <v>2027</v>
      </c>
      <c r="G965" s="5">
        <v>825</v>
      </c>
      <c r="H965" s="5">
        <v>2030</v>
      </c>
      <c r="I965" s="5">
        <v>1276</v>
      </c>
      <c r="J965" s="5" t="s">
        <v>86</v>
      </c>
      <c r="K965" s="5">
        <v>15.7</v>
      </c>
      <c r="L965" s="5">
        <v>15.6464</v>
      </c>
      <c r="M965" s="5">
        <v>5.3600000000000002E-2</v>
      </c>
      <c r="N965" s="9" t="s">
        <v>11846</v>
      </c>
      <c r="O965" s="9" t="s">
        <v>11847</v>
      </c>
      <c r="P965" s="5">
        <v>2</v>
      </c>
      <c r="Q965" s="9"/>
      <c r="R965" s="9" t="s">
        <v>5833</v>
      </c>
      <c r="S965" s="9" t="str">
        <f>HYPERLINK("https://seichotoushi-hojo.jp/assets/pdf/koufu_3_4ji/outline_45.pdf","PDFを開く")</f>
        <v>PDFを開く</v>
      </c>
      <c r="T965" s="9" t="s">
        <v>2056</v>
      </c>
      <c r="U965" s="9" t="s">
        <v>2057</v>
      </c>
    </row>
    <row r="966" spans="1:21" ht="39.950000000000003" customHeight="1">
      <c r="A966" s="2" t="s">
        <v>2050</v>
      </c>
      <c r="B966" s="2" t="s">
        <v>1595</v>
      </c>
      <c r="C966" s="8" t="s">
        <v>2051</v>
      </c>
      <c r="D966" s="8" t="s">
        <v>3184</v>
      </c>
      <c r="E966" s="8" t="s">
        <v>90</v>
      </c>
      <c r="F966" s="2">
        <v>2027</v>
      </c>
      <c r="G966" s="2">
        <v>558</v>
      </c>
      <c r="H966" s="2">
        <v>2030</v>
      </c>
      <c r="I966" s="2">
        <v>669</v>
      </c>
      <c r="J966" s="2" t="s">
        <v>86</v>
      </c>
      <c r="K966" s="2">
        <v>6.2</v>
      </c>
      <c r="L966" s="2">
        <v>6.2340999999999998</v>
      </c>
      <c r="M966" s="2">
        <v>3.4099999999999998E-2</v>
      </c>
      <c r="N966" s="8" t="s">
        <v>11846</v>
      </c>
      <c r="O966" s="8" t="s">
        <v>11847</v>
      </c>
      <c r="P966" s="2">
        <v>2</v>
      </c>
      <c r="Q966" s="8"/>
      <c r="R966" s="8" t="s">
        <v>5836</v>
      </c>
      <c r="S966" s="8" t="str">
        <f>HYPERLINK("https://seichotoushi-hojo.jp/assets/pdf/koufu_3_4ji/outline_45.pdf","PDFを開く")</f>
        <v>PDFを開く</v>
      </c>
      <c r="T966" s="8" t="s">
        <v>2056</v>
      </c>
      <c r="U966" s="8" t="s">
        <v>2057</v>
      </c>
    </row>
    <row r="967" spans="1:21" ht="39.950000000000003" customHeight="1">
      <c r="A967" s="5" t="s">
        <v>2050</v>
      </c>
      <c r="B967" s="5" t="s">
        <v>1595</v>
      </c>
      <c r="C967" s="9" t="s">
        <v>2051</v>
      </c>
      <c r="D967" s="9" t="s">
        <v>3188</v>
      </c>
      <c r="E967" s="9" t="s">
        <v>91</v>
      </c>
      <c r="F967" s="5">
        <v>2027</v>
      </c>
      <c r="G967" s="5"/>
      <c r="H967" s="5">
        <v>2030</v>
      </c>
      <c r="I967" s="5"/>
      <c r="J967" s="5" t="s">
        <v>86</v>
      </c>
      <c r="K967" s="5">
        <v>5</v>
      </c>
      <c r="L967" s="5"/>
      <c r="M967" s="5"/>
      <c r="N967" s="9" t="s">
        <v>11846</v>
      </c>
      <c r="O967" s="9" t="s">
        <v>11848</v>
      </c>
      <c r="P967" s="5">
        <v>2</v>
      </c>
      <c r="Q967" s="9"/>
      <c r="R967" s="9" t="s">
        <v>3382</v>
      </c>
      <c r="S967" s="9" t="str">
        <f>HYPERLINK("https://seichotoushi-hojo.jp/assets/pdf/koufu_3_4ji/outline_45.pdf","PDFを開く")</f>
        <v>PDFを開く</v>
      </c>
      <c r="T967" s="9" t="s">
        <v>2056</v>
      </c>
      <c r="U967" s="9" t="s">
        <v>2057</v>
      </c>
    </row>
    <row r="968" spans="1:21" ht="39.950000000000003" customHeight="1">
      <c r="A968" s="2" t="s">
        <v>2050</v>
      </c>
      <c r="B968" s="2" t="s">
        <v>1595</v>
      </c>
      <c r="C968" s="8" t="s">
        <v>2051</v>
      </c>
      <c r="D968" s="8" t="s">
        <v>3191</v>
      </c>
      <c r="E968" s="8" t="s">
        <v>92</v>
      </c>
      <c r="F968" s="2">
        <v>2027</v>
      </c>
      <c r="G968" s="2">
        <v>326</v>
      </c>
      <c r="H968" s="2">
        <v>2030</v>
      </c>
      <c r="I968" s="2">
        <v>337</v>
      </c>
      <c r="J968" s="2" t="s">
        <v>2513</v>
      </c>
      <c r="K968" s="2"/>
      <c r="L968" s="2"/>
      <c r="M968" s="2"/>
      <c r="N968" s="8" t="s">
        <v>11846</v>
      </c>
      <c r="O968" s="8" t="s">
        <v>11847</v>
      </c>
      <c r="P968" s="2">
        <v>2</v>
      </c>
      <c r="Q968" s="8"/>
      <c r="R968" s="8" t="s">
        <v>5838</v>
      </c>
      <c r="S968" s="8" t="str">
        <f>HYPERLINK("https://seichotoushi-hojo.jp/assets/pdf/koufu_3_4ji/outline_45.pdf","PDFを開く")</f>
        <v>PDFを開く</v>
      </c>
      <c r="T968" s="8" t="s">
        <v>2056</v>
      </c>
      <c r="U968" s="8" t="s">
        <v>2057</v>
      </c>
    </row>
    <row r="969" spans="1:21" ht="39.950000000000003" customHeight="1">
      <c r="A969" s="5" t="s">
        <v>2058</v>
      </c>
      <c r="B969" s="5" t="s">
        <v>1595</v>
      </c>
      <c r="C969" s="9" t="s">
        <v>2059</v>
      </c>
      <c r="D969" s="9" t="s">
        <v>3176</v>
      </c>
      <c r="E969" s="9" t="s">
        <v>90</v>
      </c>
      <c r="F969" s="5">
        <v>2027</v>
      </c>
      <c r="G969" s="5">
        <v>1006</v>
      </c>
      <c r="H969" s="5">
        <v>2030</v>
      </c>
      <c r="I969" s="5">
        <v>1260</v>
      </c>
      <c r="J969" s="5" t="s">
        <v>86</v>
      </c>
      <c r="K969" s="5">
        <v>7.8</v>
      </c>
      <c r="L969" s="5">
        <v>7.7930999999999999</v>
      </c>
      <c r="M969" s="5">
        <v>6.8999999999999999E-3</v>
      </c>
      <c r="N969" s="9" t="s">
        <v>11846</v>
      </c>
      <c r="O969" s="9" t="s">
        <v>11847</v>
      </c>
      <c r="P969" s="5">
        <v>2</v>
      </c>
      <c r="Q969" s="9"/>
      <c r="R969" s="9" t="s">
        <v>5842</v>
      </c>
      <c r="S969" s="9" t="str">
        <f>HYPERLINK("https://seichotoushi-hojo.jp/assets/pdf/koufu_3_4ji/outline_46.pdf","PDFを開く")</f>
        <v>PDFを開く</v>
      </c>
      <c r="T969" s="9" t="s">
        <v>2064</v>
      </c>
      <c r="U969" s="9" t="s">
        <v>2065</v>
      </c>
    </row>
    <row r="970" spans="1:21" ht="39.950000000000003" customHeight="1">
      <c r="A970" s="2" t="s">
        <v>2058</v>
      </c>
      <c r="B970" s="2" t="s">
        <v>1595</v>
      </c>
      <c r="C970" s="8" t="s">
        <v>2059</v>
      </c>
      <c r="D970" s="8" t="s">
        <v>3184</v>
      </c>
      <c r="E970" s="8" t="s">
        <v>90</v>
      </c>
      <c r="F970" s="2">
        <v>2027</v>
      </c>
      <c r="G970" s="2">
        <v>788</v>
      </c>
      <c r="H970" s="2">
        <v>2030</v>
      </c>
      <c r="I970" s="2">
        <v>926</v>
      </c>
      <c r="J970" s="2" t="s">
        <v>86</v>
      </c>
      <c r="K970" s="2">
        <v>5.5</v>
      </c>
      <c r="L970" s="2">
        <v>5.5265000000000004</v>
      </c>
      <c r="M970" s="2">
        <v>2.6499999999999999E-2</v>
      </c>
      <c r="N970" s="8" t="s">
        <v>11846</v>
      </c>
      <c r="O970" s="8" t="s">
        <v>11847</v>
      </c>
      <c r="P970" s="2">
        <v>2</v>
      </c>
      <c r="Q970" s="8"/>
      <c r="R970" s="8" t="s">
        <v>5844</v>
      </c>
      <c r="S970" s="8" t="str">
        <f>HYPERLINK("https://seichotoushi-hojo.jp/assets/pdf/koufu_3_4ji/outline_46.pdf","PDFを開く")</f>
        <v>PDFを開く</v>
      </c>
      <c r="T970" s="8" t="s">
        <v>2064</v>
      </c>
      <c r="U970" s="8" t="s">
        <v>2065</v>
      </c>
    </row>
    <row r="971" spans="1:21" ht="39.950000000000003" customHeight="1">
      <c r="A971" s="5" t="s">
        <v>2058</v>
      </c>
      <c r="B971" s="5" t="s">
        <v>1595</v>
      </c>
      <c r="C971" s="9" t="s">
        <v>2059</v>
      </c>
      <c r="D971" s="9" t="s">
        <v>3188</v>
      </c>
      <c r="E971" s="9" t="s">
        <v>91</v>
      </c>
      <c r="F971" s="5">
        <v>2027</v>
      </c>
      <c r="G971" s="5"/>
      <c r="H971" s="5"/>
      <c r="I971" s="5"/>
      <c r="J971" s="5" t="s">
        <v>86</v>
      </c>
      <c r="K971" s="5">
        <v>5.3</v>
      </c>
      <c r="L971" s="5"/>
      <c r="M971" s="5"/>
      <c r="N971" s="9" t="s">
        <v>11854</v>
      </c>
      <c r="O971" s="9" t="s">
        <v>11848</v>
      </c>
      <c r="P971" s="5">
        <v>2</v>
      </c>
      <c r="Q971" s="9"/>
      <c r="R971" s="9" t="s">
        <v>5850</v>
      </c>
      <c r="S971" s="9" t="str">
        <f>HYPERLINK("https://seichotoushi-hojo.jp/assets/pdf/koufu_3_4ji/outline_46.pdf","PDFを開く")</f>
        <v>PDFを開く</v>
      </c>
      <c r="T971" s="9" t="s">
        <v>2064</v>
      </c>
      <c r="U971" s="9" t="s">
        <v>2065</v>
      </c>
    </row>
    <row r="972" spans="1:21" ht="39.950000000000003" customHeight="1">
      <c r="A972" s="2" t="s">
        <v>2058</v>
      </c>
      <c r="B972" s="2" t="s">
        <v>1595</v>
      </c>
      <c r="C972" s="8" t="s">
        <v>2059</v>
      </c>
      <c r="D972" s="8" t="s">
        <v>3191</v>
      </c>
      <c r="E972" s="8" t="s">
        <v>92</v>
      </c>
      <c r="F972" s="2">
        <v>2027</v>
      </c>
      <c r="G972" s="2">
        <v>401</v>
      </c>
      <c r="H972" s="2">
        <v>2030</v>
      </c>
      <c r="I972" s="2">
        <v>462</v>
      </c>
      <c r="J972" s="2" t="s">
        <v>2513</v>
      </c>
      <c r="K972" s="2"/>
      <c r="L972" s="2"/>
      <c r="M972" s="2"/>
      <c r="N972" s="8" t="s">
        <v>11846</v>
      </c>
      <c r="O972" s="8" t="s">
        <v>11847</v>
      </c>
      <c r="P972" s="2">
        <v>2</v>
      </c>
      <c r="Q972" s="8"/>
      <c r="R972" s="8" t="s">
        <v>5847</v>
      </c>
      <c r="S972" s="8" t="str">
        <f>HYPERLINK("https://seichotoushi-hojo.jp/assets/pdf/koufu_3_4ji/outline_46.pdf","PDFを開く")</f>
        <v>PDFを開く</v>
      </c>
      <c r="T972" s="8" t="s">
        <v>2064</v>
      </c>
      <c r="U972" s="8" t="s">
        <v>2065</v>
      </c>
    </row>
    <row r="973" spans="1:21" ht="39.950000000000003" customHeight="1">
      <c r="A973" s="5" t="s">
        <v>2066</v>
      </c>
      <c r="B973" s="5" t="s">
        <v>1595</v>
      </c>
      <c r="C973" s="9" t="s">
        <v>2067</v>
      </c>
      <c r="D973" s="9" t="s">
        <v>3176</v>
      </c>
      <c r="E973" s="9" t="s">
        <v>166</v>
      </c>
      <c r="F973" s="5">
        <v>2028</v>
      </c>
      <c r="G973" s="5">
        <v>3506</v>
      </c>
      <c r="H973" s="5">
        <v>2031</v>
      </c>
      <c r="I973" s="5">
        <v>12510</v>
      </c>
      <c r="J973" s="5" t="s">
        <v>86</v>
      </c>
      <c r="K973" s="5">
        <v>52.8</v>
      </c>
      <c r="L973" s="5">
        <v>52.808799999999998</v>
      </c>
      <c r="M973" s="5">
        <v>8.8000000000000005E-3</v>
      </c>
      <c r="N973" s="9" t="s">
        <v>11846</v>
      </c>
      <c r="O973" s="9" t="s">
        <v>292</v>
      </c>
      <c r="P973" s="5">
        <v>2</v>
      </c>
      <c r="Q973" s="9"/>
      <c r="R973" s="9" t="s">
        <v>5861</v>
      </c>
      <c r="S973" s="9" t="str">
        <f>HYPERLINK("https://seichotoushi-hojo.jp/assets/pdf/koufu_3_4ji/outline_47.pdf","PDFを開く")</f>
        <v>PDFを開く</v>
      </c>
      <c r="T973" s="9" t="s">
        <v>2071</v>
      </c>
      <c r="U973" s="9" t="s">
        <v>2072</v>
      </c>
    </row>
    <row r="974" spans="1:21" ht="39.950000000000003" customHeight="1">
      <c r="A974" s="2" t="s">
        <v>2066</v>
      </c>
      <c r="B974" s="2" t="s">
        <v>1595</v>
      </c>
      <c r="C974" s="8" t="s">
        <v>2067</v>
      </c>
      <c r="D974" s="8" t="s">
        <v>3184</v>
      </c>
      <c r="E974" s="8" t="s">
        <v>166</v>
      </c>
      <c r="F974" s="2">
        <v>2028</v>
      </c>
      <c r="G974" s="2">
        <v>1996</v>
      </c>
      <c r="H974" s="2">
        <v>2031</v>
      </c>
      <c r="I974" s="2">
        <v>2348</v>
      </c>
      <c r="J974" s="2" t="s">
        <v>86</v>
      </c>
      <c r="K974" s="2">
        <v>5.6</v>
      </c>
      <c r="L974" s="2">
        <v>5.5632000000000001</v>
      </c>
      <c r="M974" s="2">
        <v>3.6799999999999999E-2</v>
      </c>
      <c r="N974" s="8" t="s">
        <v>11846</v>
      </c>
      <c r="O974" s="8" t="s">
        <v>292</v>
      </c>
      <c r="P974" s="2">
        <v>2</v>
      </c>
      <c r="Q974" s="8"/>
      <c r="R974" s="8" t="s">
        <v>5864</v>
      </c>
      <c r="S974" s="8" t="str">
        <f>HYPERLINK("https://seichotoushi-hojo.jp/assets/pdf/koufu_3_4ji/outline_47.pdf","PDFを開く")</f>
        <v>PDFを開く</v>
      </c>
      <c r="T974" s="8" t="s">
        <v>2071</v>
      </c>
      <c r="U974" s="8" t="s">
        <v>2072</v>
      </c>
    </row>
    <row r="975" spans="1:21" ht="39.950000000000003" customHeight="1">
      <c r="A975" s="5" t="s">
        <v>2066</v>
      </c>
      <c r="B975" s="5" t="s">
        <v>1595</v>
      </c>
      <c r="C975" s="9" t="s">
        <v>2067</v>
      </c>
      <c r="D975" s="9" t="s">
        <v>3188</v>
      </c>
      <c r="E975" s="9" t="s">
        <v>157</v>
      </c>
      <c r="F975" s="5"/>
      <c r="G975" s="5"/>
      <c r="H975" s="5"/>
      <c r="I975" s="5"/>
      <c r="J975" s="5"/>
      <c r="K975" s="5"/>
      <c r="L975" s="5"/>
      <c r="M975" s="5"/>
      <c r="N975" s="9" t="s">
        <v>11850</v>
      </c>
      <c r="O975" s="9"/>
      <c r="P975" s="5"/>
      <c r="Q975" s="9" t="s">
        <v>11851</v>
      </c>
      <c r="R975" s="9"/>
      <c r="S975" s="9" t="str">
        <f>HYPERLINK("https://seichotoushi-hojo.jp/assets/pdf/koufu_3_4ji/outline_47.pdf","PDFを開く")</f>
        <v>PDFを開く</v>
      </c>
      <c r="T975" s="9" t="s">
        <v>2071</v>
      </c>
      <c r="U975" s="9" t="s">
        <v>2072</v>
      </c>
    </row>
    <row r="976" spans="1:21" ht="39.950000000000003" customHeight="1">
      <c r="A976" s="2" t="s">
        <v>2066</v>
      </c>
      <c r="B976" s="2" t="s">
        <v>1595</v>
      </c>
      <c r="C976" s="8" t="s">
        <v>2067</v>
      </c>
      <c r="D976" s="8" t="s">
        <v>3191</v>
      </c>
      <c r="E976" s="8" t="s">
        <v>166</v>
      </c>
      <c r="F976" s="2">
        <v>2028</v>
      </c>
      <c r="G976" s="2">
        <v>21</v>
      </c>
      <c r="H976" s="2">
        <v>2031</v>
      </c>
      <c r="I976" s="2">
        <v>27</v>
      </c>
      <c r="J976" s="2" t="s">
        <v>2513</v>
      </c>
      <c r="K976" s="2"/>
      <c r="L976" s="2"/>
      <c r="M976" s="2"/>
      <c r="N976" s="8" t="s">
        <v>11846</v>
      </c>
      <c r="O976" s="8" t="s">
        <v>292</v>
      </c>
      <c r="P976" s="2">
        <v>2</v>
      </c>
      <c r="Q976" s="8"/>
      <c r="R976" s="8" t="s">
        <v>5866</v>
      </c>
      <c r="S976" s="8" t="str">
        <f>HYPERLINK("https://seichotoushi-hojo.jp/assets/pdf/koufu_3_4ji/outline_47.pdf","PDFを開く")</f>
        <v>PDFを開く</v>
      </c>
      <c r="T976" s="8" t="s">
        <v>2071</v>
      </c>
      <c r="U976" s="8" t="s">
        <v>2072</v>
      </c>
    </row>
    <row r="977" spans="1:21" ht="39.950000000000003" customHeight="1">
      <c r="A977" s="5" t="s">
        <v>2073</v>
      </c>
      <c r="B977" s="5" t="s">
        <v>1595</v>
      </c>
      <c r="C977" s="9" t="s">
        <v>2074</v>
      </c>
      <c r="D977" s="9" t="s">
        <v>3176</v>
      </c>
      <c r="E977" s="9" t="s">
        <v>90</v>
      </c>
      <c r="F977" s="5">
        <v>2026</v>
      </c>
      <c r="G977" s="5">
        <v>573</v>
      </c>
      <c r="H977" s="5">
        <v>2029</v>
      </c>
      <c r="I977" s="5">
        <v>982</v>
      </c>
      <c r="J977" s="5" t="s">
        <v>86</v>
      </c>
      <c r="K977" s="5">
        <v>19.600000000000001</v>
      </c>
      <c r="L977" s="5">
        <v>19.670100000000001</v>
      </c>
      <c r="M977" s="5">
        <v>7.0099999999999996E-2</v>
      </c>
      <c r="N977" s="9" t="s">
        <v>11846</v>
      </c>
      <c r="O977" s="9" t="s">
        <v>11847</v>
      </c>
      <c r="P977" s="5">
        <v>2</v>
      </c>
      <c r="Q977" s="9"/>
      <c r="R977" s="9" t="s">
        <v>5868</v>
      </c>
      <c r="S977" s="9" t="str">
        <f>HYPERLINK("https://seichotoushi-hojo.jp/assets/pdf/koufu_3_4ji/outline_48.pdf","PDFを開く")</f>
        <v>PDFを開く</v>
      </c>
      <c r="T977" s="9" t="s">
        <v>2079</v>
      </c>
      <c r="U977" s="9" t="s">
        <v>2080</v>
      </c>
    </row>
    <row r="978" spans="1:21" ht="39.950000000000003" customHeight="1">
      <c r="A978" s="2" t="s">
        <v>2073</v>
      </c>
      <c r="B978" s="2" t="s">
        <v>1595</v>
      </c>
      <c r="C978" s="8" t="s">
        <v>2074</v>
      </c>
      <c r="D978" s="8" t="s">
        <v>3184</v>
      </c>
      <c r="E978" s="8" t="s">
        <v>90</v>
      </c>
      <c r="F978" s="2">
        <v>2026</v>
      </c>
      <c r="G978" s="2">
        <v>420</v>
      </c>
      <c r="H978" s="2">
        <v>2029</v>
      </c>
      <c r="I978" s="2">
        <v>500</v>
      </c>
      <c r="J978" s="2" t="s">
        <v>86</v>
      </c>
      <c r="K978" s="2">
        <v>6</v>
      </c>
      <c r="L978" s="2">
        <v>5.984</v>
      </c>
      <c r="M978" s="2">
        <v>1.6E-2</v>
      </c>
      <c r="N978" s="8" t="s">
        <v>11846</v>
      </c>
      <c r="O978" s="8" t="s">
        <v>11847</v>
      </c>
      <c r="P978" s="2">
        <v>2</v>
      </c>
      <c r="Q978" s="8"/>
      <c r="R978" s="8" t="s">
        <v>5870</v>
      </c>
      <c r="S978" s="8" t="str">
        <f>HYPERLINK("https://seichotoushi-hojo.jp/assets/pdf/koufu_3_4ji/outline_48.pdf","PDFを開く")</f>
        <v>PDFを開く</v>
      </c>
      <c r="T978" s="8" t="s">
        <v>2079</v>
      </c>
      <c r="U978" s="8" t="s">
        <v>2080</v>
      </c>
    </row>
    <row r="979" spans="1:21" ht="39.950000000000003" customHeight="1">
      <c r="A979" s="5" t="s">
        <v>2073</v>
      </c>
      <c r="B979" s="5" t="s">
        <v>1595</v>
      </c>
      <c r="C979" s="9" t="s">
        <v>2074</v>
      </c>
      <c r="D979" s="9" t="s">
        <v>3188</v>
      </c>
      <c r="E979" s="9" t="s">
        <v>91</v>
      </c>
      <c r="F979" s="5">
        <v>2026</v>
      </c>
      <c r="G979" s="5"/>
      <c r="H979" s="5">
        <v>2029</v>
      </c>
      <c r="I979" s="5"/>
      <c r="J979" s="5" t="s">
        <v>86</v>
      </c>
      <c r="K979" s="5">
        <v>5</v>
      </c>
      <c r="L979" s="5"/>
      <c r="M979" s="5"/>
      <c r="N979" s="9" t="s">
        <v>11846</v>
      </c>
      <c r="O979" s="9" t="s">
        <v>11848</v>
      </c>
      <c r="P979" s="5">
        <v>2</v>
      </c>
      <c r="Q979" s="9"/>
      <c r="R979" s="9" t="s">
        <v>3382</v>
      </c>
      <c r="S979" s="9" t="str">
        <f>HYPERLINK("https://seichotoushi-hojo.jp/assets/pdf/koufu_3_4ji/outline_48.pdf","PDFを開く")</f>
        <v>PDFを開く</v>
      </c>
      <c r="T979" s="9" t="s">
        <v>2079</v>
      </c>
      <c r="U979" s="9" t="s">
        <v>2080</v>
      </c>
    </row>
    <row r="980" spans="1:21" ht="39.950000000000003" customHeight="1">
      <c r="A980" s="2" t="s">
        <v>2073</v>
      </c>
      <c r="B980" s="2" t="s">
        <v>1595</v>
      </c>
      <c r="C980" s="8" t="s">
        <v>2074</v>
      </c>
      <c r="D980" s="8" t="s">
        <v>3191</v>
      </c>
      <c r="E980" s="8" t="s">
        <v>92</v>
      </c>
      <c r="F980" s="2">
        <v>2026</v>
      </c>
      <c r="G980" s="2">
        <v>427</v>
      </c>
      <c r="H980" s="2">
        <v>2029</v>
      </c>
      <c r="I980" s="2">
        <v>433</v>
      </c>
      <c r="J980" s="2" t="s">
        <v>2513</v>
      </c>
      <c r="K980" s="2"/>
      <c r="L980" s="2"/>
      <c r="M980" s="2"/>
      <c r="N980" s="8" t="s">
        <v>11846</v>
      </c>
      <c r="O980" s="8" t="s">
        <v>11847</v>
      </c>
      <c r="P980" s="2">
        <v>2</v>
      </c>
      <c r="Q980" s="8"/>
      <c r="R980" s="8" t="s">
        <v>5871</v>
      </c>
      <c r="S980" s="8" t="str">
        <f>HYPERLINK("https://seichotoushi-hojo.jp/assets/pdf/koufu_3_4ji/outline_48.pdf","PDFを開く")</f>
        <v>PDFを開く</v>
      </c>
      <c r="T980" s="8" t="s">
        <v>2079</v>
      </c>
      <c r="U980" s="8" t="s">
        <v>2080</v>
      </c>
    </row>
    <row r="981" spans="1:21" ht="39.950000000000003" customHeight="1">
      <c r="A981" s="5" t="s">
        <v>2081</v>
      </c>
      <c r="B981" s="5" t="s">
        <v>1595</v>
      </c>
      <c r="C981" s="9" t="s">
        <v>2082</v>
      </c>
      <c r="D981" s="9" t="s">
        <v>3176</v>
      </c>
      <c r="E981" s="9" t="s">
        <v>90</v>
      </c>
      <c r="F981" s="5">
        <v>2027</v>
      </c>
      <c r="G981" s="5">
        <v>955</v>
      </c>
      <c r="H981" s="5">
        <v>2030</v>
      </c>
      <c r="I981" s="5">
        <v>2845</v>
      </c>
      <c r="J981" s="5" t="s">
        <v>86</v>
      </c>
      <c r="K981" s="5">
        <v>43.9</v>
      </c>
      <c r="L981" s="5">
        <v>43.888599999999997</v>
      </c>
      <c r="M981" s="5">
        <v>1.14E-2</v>
      </c>
      <c r="N981" s="9" t="s">
        <v>11846</v>
      </c>
      <c r="O981" s="9" t="s">
        <v>11847</v>
      </c>
      <c r="P981" s="5">
        <v>2</v>
      </c>
      <c r="Q981" s="9"/>
      <c r="R981" s="9" t="s">
        <v>5875</v>
      </c>
      <c r="S981" s="9" t="str">
        <f>HYPERLINK("https://seichotoushi-hojo.jp/assets/pdf/koufu_3_4ji/outline_49.pdf","PDFを開く")</f>
        <v>PDFを開く</v>
      </c>
      <c r="T981" s="9" t="s">
        <v>2088</v>
      </c>
      <c r="U981" s="9" t="s">
        <v>2089</v>
      </c>
    </row>
    <row r="982" spans="1:21" ht="39.950000000000003" customHeight="1">
      <c r="A982" s="2" t="s">
        <v>2081</v>
      </c>
      <c r="B982" s="2" t="s">
        <v>1595</v>
      </c>
      <c r="C982" s="8" t="s">
        <v>2082</v>
      </c>
      <c r="D982" s="8" t="s">
        <v>3184</v>
      </c>
      <c r="E982" s="8" t="s">
        <v>90</v>
      </c>
      <c r="F982" s="2">
        <v>2027</v>
      </c>
      <c r="G982" s="2">
        <v>488</v>
      </c>
      <c r="H982" s="2">
        <v>2030</v>
      </c>
      <c r="I982" s="2">
        <v>593</v>
      </c>
      <c r="J982" s="2" t="s">
        <v>86</v>
      </c>
      <c r="K982" s="2">
        <v>6.7</v>
      </c>
      <c r="L982" s="2">
        <v>6.7115999999999998</v>
      </c>
      <c r="M982" s="2">
        <v>1.1599999999999999E-2</v>
      </c>
      <c r="N982" s="8" t="s">
        <v>11846</v>
      </c>
      <c r="O982" s="8" t="s">
        <v>11847</v>
      </c>
      <c r="P982" s="2">
        <v>2</v>
      </c>
      <c r="Q982" s="8"/>
      <c r="R982" s="8" t="s">
        <v>5877</v>
      </c>
      <c r="S982" s="8" t="str">
        <f>HYPERLINK("https://seichotoushi-hojo.jp/assets/pdf/koufu_3_4ji/outline_49.pdf","PDFを開く")</f>
        <v>PDFを開く</v>
      </c>
      <c r="T982" s="8" t="s">
        <v>2088</v>
      </c>
      <c r="U982" s="8" t="s">
        <v>2089</v>
      </c>
    </row>
    <row r="983" spans="1:21" ht="39.950000000000003" customHeight="1">
      <c r="A983" s="5" t="s">
        <v>2081</v>
      </c>
      <c r="B983" s="5" t="s">
        <v>1595</v>
      </c>
      <c r="C983" s="9" t="s">
        <v>2082</v>
      </c>
      <c r="D983" s="9" t="s">
        <v>3188</v>
      </c>
      <c r="E983" s="9" t="s">
        <v>91</v>
      </c>
      <c r="F983" s="5">
        <v>2027</v>
      </c>
      <c r="G983" s="5"/>
      <c r="H983" s="5">
        <v>2030</v>
      </c>
      <c r="I983" s="5"/>
      <c r="J983" s="5" t="s">
        <v>86</v>
      </c>
      <c r="K983" s="5">
        <v>6.7</v>
      </c>
      <c r="L983" s="5"/>
      <c r="M983" s="5"/>
      <c r="N983" s="9" t="s">
        <v>11846</v>
      </c>
      <c r="O983" s="9" t="s">
        <v>11848</v>
      </c>
      <c r="P983" s="5">
        <v>2</v>
      </c>
      <c r="Q983" s="9"/>
      <c r="R983" s="9" t="s">
        <v>5881</v>
      </c>
      <c r="S983" s="9" t="str">
        <f>HYPERLINK("https://seichotoushi-hojo.jp/assets/pdf/koufu_3_4ji/outline_49.pdf","PDFを開く")</f>
        <v>PDFを開く</v>
      </c>
      <c r="T983" s="9" t="s">
        <v>2088</v>
      </c>
      <c r="U983" s="9" t="s">
        <v>2089</v>
      </c>
    </row>
    <row r="984" spans="1:21" ht="39.950000000000003" customHeight="1">
      <c r="A984" s="2" t="s">
        <v>2081</v>
      </c>
      <c r="B984" s="2" t="s">
        <v>1595</v>
      </c>
      <c r="C984" s="8" t="s">
        <v>2082</v>
      </c>
      <c r="D984" s="8" t="s">
        <v>3191</v>
      </c>
      <c r="E984" s="8" t="s">
        <v>92</v>
      </c>
      <c r="F984" s="2">
        <v>2027</v>
      </c>
      <c r="G984" s="2">
        <v>55</v>
      </c>
      <c r="H984" s="2">
        <v>2030</v>
      </c>
      <c r="I984" s="2">
        <v>60</v>
      </c>
      <c r="J984" s="2" t="s">
        <v>2513</v>
      </c>
      <c r="K984" s="2"/>
      <c r="L984" s="2"/>
      <c r="M984" s="2"/>
      <c r="N984" s="8" t="s">
        <v>11846</v>
      </c>
      <c r="O984" s="8" t="s">
        <v>11847</v>
      </c>
      <c r="P984" s="2">
        <v>2</v>
      </c>
      <c r="Q984" s="8"/>
      <c r="R984" s="8" t="s">
        <v>5879</v>
      </c>
      <c r="S984" s="8" t="str">
        <f>HYPERLINK("https://seichotoushi-hojo.jp/assets/pdf/koufu_3_4ji/outline_49.pdf","PDFを開く")</f>
        <v>PDFを開く</v>
      </c>
      <c r="T984" s="8" t="s">
        <v>2088</v>
      </c>
      <c r="U984" s="8" t="s">
        <v>2089</v>
      </c>
    </row>
    <row r="985" spans="1:21" ht="39.950000000000003" customHeight="1">
      <c r="A985" s="5" t="s">
        <v>2090</v>
      </c>
      <c r="B985" s="5" t="s">
        <v>1595</v>
      </c>
      <c r="C985" s="9" t="s">
        <v>2091</v>
      </c>
      <c r="D985" s="9" t="s">
        <v>3176</v>
      </c>
      <c r="E985" s="9" t="s">
        <v>90</v>
      </c>
      <c r="F985" s="5">
        <v>2026</v>
      </c>
      <c r="G985" s="5">
        <v>872</v>
      </c>
      <c r="H985" s="5">
        <v>2029</v>
      </c>
      <c r="I985" s="5">
        <v>3390</v>
      </c>
      <c r="J985" s="5" t="s">
        <v>86</v>
      </c>
      <c r="K985" s="5">
        <v>57.2</v>
      </c>
      <c r="L985" s="5">
        <v>57.2393</v>
      </c>
      <c r="M985" s="5">
        <v>3.9300000000000002E-2</v>
      </c>
      <c r="N985" s="9" t="s">
        <v>11846</v>
      </c>
      <c r="O985" s="9" t="s">
        <v>11847</v>
      </c>
      <c r="P985" s="5">
        <v>2</v>
      </c>
      <c r="Q985" s="9"/>
      <c r="R985" s="9" t="s">
        <v>5884</v>
      </c>
      <c r="S985" s="9" t="str">
        <f>HYPERLINK("https://seichotoushi-hojo.jp/assets/pdf/koufu_3_4ji/outline_5.pdf","PDFを開く")</f>
        <v>PDFを開く</v>
      </c>
      <c r="T985" s="9" t="s">
        <v>2096</v>
      </c>
      <c r="U985" s="9" t="s">
        <v>2097</v>
      </c>
    </row>
    <row r="986" spans="1:21" ht="39.950000000000003" customHeight="1">
      <c r="A986" s="2" t="s">
        <v>2090</v>
      </c>
      <c r="B986" s="2" t="s">
        <v>1595</v>
      </c>
      <c r="C986" s="8" t="s">
        <v>2091</v>
      </c>
      <c r="D986" s="8" t="s">
        <v>3184</v>
      </c>
      <c r="E986" s="8" t="s">
        <v>90</v>
      </c>
      <c r="F986" s="2">
        <v>2026</v>
      </c>
      <c r="G986" s="2">
        <v>465</v>
      </c>
      <c r="H986" s="2">
        <v>2029</v>
      </c>
      <c r="I986" s="2">
        <v>555</v>
      </c>
      <c r="J986" s="2" t="s">
        <v>86</v>
      </c>
      <c r="K986" s="2">
        <v>6.1</v>
      </c>
      <c r="L986" s="2">
        <v>6.0750999999999999</v>
      </c>
      <c r="M986" s="2">
        <v>2.4899999999999999E-2</v>
      </c>
      <c r="N986" s="8" t="s">
        <v>11846</v>
      </c>
      <c r="O986" s="8" t="s">
        <v>11847</v>
      </c>
      <c r="P986" s="2">
        <v>2</v>
      </c>
      <c r="Q986" s="8"/>
      <c r="R986" s="8" t="s">
        <v>5886</v>
      </c>
      <c r="S986" s="8" t="str">
        <f>HYPERLINK("https://seichotoushi-hojo.jp/assets/pdf/koufu_3_4ji/outline_5.pdf","PDFを開く")</f>
        <v>PDFを開く</v>
      </c>
      <c r="T986" s="8" t="s">
        <v>2096</v>
      </c>
      <c r="U986" s="8" t="s">
        <v>2097</v>
      </c>
    </row>
    <row r="987" spans="1:21" ht="39.950000000000003" customHeight="1">
      <c r="A987" s="5" t="s">
        <v>2090</v>
      </c>
      <c r="B987" s="5" t="s">
        <v>1595</v>
      </c>
      <c r="C987" s="9" t="s">
        <v>2091</v>
      </c>
      <c r="D987" s="9" t="s">
        <v>3188</v>
      </c>
      <c r="E987" s="9" t="s">
        <v>91</v>
      </c>
      <c r="F987" s="5">
        <v>2026</v>
      </c>
      <c r="G987" s="5"/>
      <c r="H987" s="5">
        <v>2029</v>
      </c>
      <c r="I987" s="5"/>
      <c r="J987" s="5" t="s">
        <v>86</v>
      </c>
      <c r="K987" s="5">
        <v>6.1</v>
      </c>
      <c r="L987" s="5"/>
      <c r="M987" s="5"/>
      <c r="N987" s="9" t="s">
        <v>11846</v>
      </c>
      <c r="O987" s="9" t="s">
        <v>11848</v>
      </c>
      <c r="P987" s="5">
        <v>2</v>
      </c>
      <c r="Q987" s="9"/>
      <c r="R987" s="9" t="s">
        <v>5890</v>
      </c>
      <c r="S987" s="9" t="str">
        <f>HYPERLINK("https://seichotoushi-hojo.jp/assets/pdf/koufu_3_4ji/outline_5.pdf","PDFを開く")</f>
        <v>PDFを開く</v>
      </c>
      <c r="T987" s="9" t="s">
        <v>2096</v>
      </c>
      <c r="U987" s="9" t="s">
        <v>2097</v>
      </c>
    </row>
    <row r="988" spans="1:21" ht="39.950000000000003" customHeight="1">
      <c r="A988" s="2" t="s">
        <v>2090</v>
      </c>
      <c r="B988" s="2" t="s">
        <v>1595</v>
      </c>
      <c r="C988" s="8" t="s">
        <v>2091</v>
      </c>
      <c r="D988" s="8" t="s">
        <v>3191</v>
      </c>
      <c r="E988" s="8" t="s">
        <v>92</v>
      </c>
      <c r="F988" s="2">
        <v>2026</v>
      </c>
      <c r="G988" s="2">
        <v>17</v>
      </c>
      <c r="H988" s="2">
        <v>2029</v>
      </c>
      <c r="I988" s="2">
        <v>22</v>
      </c>
      <c r="J988" s="2" t="s">
        <v>2513</v>
      </c>
      <c r="K988" s="2"/>
      <c r="L988" s="2"/>
      <c r="M988" s="2"/>
      <c r="N988" s="8" t="s">
        <v>11846</v>
      </c>
      <c r="O988" s="8" t="s">
        <v>11847</v>
      </c>
      <c r="P988" s="2">
        <v>2</v>
      </c>
      <c r="Q988" s="8"/>
      <c r="R988" s="8" t="s">
        <v>5888</v>
      </c>
      <c r="S988" s="8" t="str">
        <f>HYPERLINK("https://seichotoushi-hojo.jp/assets/pdf/koufu_3_4ji/outline_5.pdf","PDFを開く")</f>
        <v>PDFを開く</v>
      </c>
      <c r="T988" s="8" t="s">
        <v>2096</v>
      </c>
      <c r="U988" s="8" t="s">
        <v>2097</v>
      </c>
    </row>
    <row r="989" spans="1:21" ht="39.950000000000003" customHeight="1">
      <c r="A989" s="5" t="s">
        <v>2098</v>
      </c>
      <c r="B989" s="5" t="s">
        <v>1595</v>
      </c>
      <c r="C989" s="9" t="s">
        <v>2099</v>
      </c>
      <c r="D989" s="9" t="s">
        <v>3176</v>
      </c>
      <c r="E989" s="9" t="s">
        <v>166</v>
      </c>
      <c r="F989" s="5">
        <v>2027</v>
      </c>
      <c r="G989" s="5">
        <v>1275</v>
      </c>
      <c r="H989" s="5">
        <v>2030</v>
      </c>
      <c r="I989" s="5">
        <v>2396</v>
      </c>
      <c r="J989" s="5" t="s">
        <v>86</v>
      </c>
      <c r="K989" s="5">
        <v>23.4</v>
      </c>
      <c r="L989" s="5">
        <v>23.402999999999999</v>
      </c>
      <c r="M989" s="5">
        <v>3.0000000000000001E-3</v>
      </c>
      <c r="N989" s="9" t="s">
        <v>11846</v>
      </c>
      <c r="O989" s="9" t="s">
        <v>292</v>
      </c>
      <c r="P989" s="5">
        <v>2</v>
      </c>
      <c r="Q989" s="9"/>
      <c r="R989" s="9" t="s">
        <v>5900</v>
      </c>
      <c r="S989" s="9" t="str">
        <f>HYPERLINK("https://seichotoushi-hojo.jp/assets/pdf/koufu_3_4ji/outline_51.pdf","PDFを開く")</f>
        <v>PDFを開く</v>
      </c>
      <c r="T989" s="9" t="s">
        <v>2103</v>
      </c>
      <c r="U989" s="9" t="s">
        <v>2104</v>
      </c>
    </row>
    <row r="990" spans="1:21" ht="39.950000000000003" customHeight="1">
      <c r="A990" s="2" t="s">
        <v>2098</v>
      </c>
      <c r="B990" s="2" t="s">
        <v>1595</v>
      </c>
      <c r="C990" s="8" t="s">
        <v>2099</v>
      </c>
      <c r="D990" s="8" t="s">
        <v>3184</v>
      </c>
      <c r="E990" s="8" t="s">
        <v>166</v>
      </c>
      <c r="F990" s="2">
        <v>2027</v>
      </c>
      <c r="G990" s="2">
        <v>628</v>
      </c>
      <c r="H990" s="2">
        <v>2030</v>
      </c>
      <c r="I990" s="2">
        <v>748</v>
      </c>
      <c r="J990" s="2" t="s">
        <v>86</v>
      </c>
      <c r="K990" s="2">
        <v>6</v>
      </c>
      <c r="L990" s="2">
        <v>6.0019999999999998</v>
      </c>
      <c r="M990" s="2">
        <v>2E-3</v>
      </c>
      <c r="N990" s="8" t="s">
        <v>11846</v>
      </c>
      <c r="O990" s="8" t="s">
        <v>292</v>
      </c>
      <c r="P990" s="2">
        <v>2</v>
      </c>
      <c r="Q990" s="8"/>
      <c r="R990" s="8" t="s">
        <v>5902</v>
      </c>
      <c r="S990" s="8" t="str">
        <f>HYPERLINK("https://seichotoushi-hojo.jp/assets/pdf/koufu_3_4ji/outline_51.pdf","PDFを開く")</f>
        <v>PDFを開く</v>
      </c>
      <c r="T990" s="8" t="s">
        <v>2103</v>
      </c>
      <c r="U990" s="8" t="s">
        <v>2104</v>
      </c>
    </row>
    <row r="991" spans="1:21" ht="39.950000000000003" customHeight="1">
      <c r="A991" s="5" t="s">
        <v>2098</v>
      </c>
      <c r="B991" s="5" t="s">
        <v>1595</v>
      </c>
      <c r="C991" s="9" t="s">
        <v>2099</v>
      </c>
      <c r="D991" s="9" t="s">
        <v>3188</v>
      </c>
      <c r="E991" s="9" t="s">
        <v>156</v>
      </c>
      <c r="F991" s="5"/>
      <c r="G991" s="5"/>
      <c r="H991" s="5"/>
      <c r="I991" s="5"/>
      <c r="J991" s="5"/>
      <c r="K991" s="5"/>
      <c r="L991" s="5"/>
      <c r="M991" s="5"/>
      <c r="N991" s="9" t="s">
        <v>11850</v>
      </c>
      <c r="O991" s="9"/>
      <c r="P991" s="5"/>
      <c r="Q991" s="9" t="s">
        <v>11851</v>
      </c>
      <c r="R991" s="9"/>
      <c r="S991" s="9" t="str">
        <f>HYPERLINK("https://seichotoushi-hojo.jp/assets/pdf/koufu_3_4ji/outline_51.pdf","PDFを開く")</f>
        <v>PDFを開く</v>
      </c>
      <c r="T991" s="9" t="s">
        <v>2103</v>
      </c>
      <c r="U991" s="9" t="s">
        <v>2104</v>
      </c>
    </row>
    <row r="992" spans="1:21" ht="39.950000000000003" customHeight="1">
      <c r="A992" s="2" t="s">
        <v>2098</v>
      </c>
      <c r="B992" s="2" t="s">
        <v>1595</v>
      </c>
      <c r="C992" s="8" t="s">
        <v>2099</v>
      </c>
      <c r="D992" s="8" t="s">
        <v>3191</v>
      </c>
      <c r="E992" s="8" t="s">
        <v>166</v>
      </c>
      <c r="F992" s="2">
        <v>2027</v>
      </c>
      <c r="G992" s="2">
        <v>462</v>
      </c>
      <c r="H992" s="2">
        <v>2030</v>
      </c>
      <c r="I992" s="2">
        <v>505</v>
      </c>
      <c r="J992" s="2" t="s">
        <v>2513</v>
      </c>
      <c r="K992" s="2"/>
      <c r="L992" s="2"/>
      <c r="M992" s="2"/>
      <c r="N992" s="8" t="s">
        <v>11846</v>
      </c>
      <c r="O992" s="8" t="s">
        <v>292</v>
      </c>
      <c r="P992" s="2">
        <v>2</v>
      </c>
      <c r="Q992" s="8"/>
      <c r="R992" s="8" t="s">
        <v>5903</v>
      </c>
      <c r="S992" s="8" t="str">
        <f>HYPERLINK("https://seichotoushi-hojo.jp/assets/pdf/koufu_3_4ji/outline_51.pdf","PDFを開く")</f>
        <v>PDFを開く</v>
      </c>
      <c r="T992" s="8" t="s">
        <v>2103</v>
      </c>
      <c r="U992" s="8" t="s">
        <v>2104</v>
      </c>
    </row>
    <row r="993" spans="1:21" ht="39.950000000000003" customHeight="1">
      <c r="A993" s="5" t="s">
        <v>2105</v>
      </c>
      <c r="B993" s="5" t="s">
        <v>1595</v>
      </c>
      <c r="C993" s="9" t="s">
        <v>2106</v>
      </c>
      <c r="D993" s="9" t="s">
        <v>3176</v>
      </c>
      <c r="E993" s="9" t="s">
        <v>166</v>
      </c>
      <c r="F993" s="5"/>
      <c r="G993" s="5">
        <v>6751</v>
      </c>
      <c r="H993" s="5"/>
      <c r="I993" s="5">
        <v>26511</v>
      </c>
      <c r="J993" s="5" t="s">
        <v>447</v>
      </c>
      <c r="K993" s="5">
        <v>57.8</v>
      </c>
      <c r="L993" s="5">
        <v>57.7682</v>
      </c>
      <c r="M993" s="5">
        <v>3.1800000000000002E-2</v>
      </c>
      <c r="N993" s="9" t="s">
        <v>11853</v>
      </c>
      <c r="O993" s="9" t="s">
        <v>292</v>
      </c>
      <c r="P993" s="5">
        <v>2</v>
      </c>
      <c r="Q993" s="9"/>
      <c r="R993" s="9" t="s">
        <v>5944</v>
      </c>
      <c r="S993" s="9" t="str">
        <f>HYPERLINK("https://seichotoushi-hojo.jp/assets/pdf/koufu_3_4ji/outline_52.pdf","PDFを開く")</f>
        <v>PDFを開く</v>
      </c>
      <c r="T993" s="9" t="s">
        <v>2112</v>
      </c>
      <c r="U993" s="9" t="s">
        <v>2113</v>
      </c>
    </row>
    <row r="994" spans="1:21" ht="39.950000000000003" customHeight="1">
      <c r="A994" s="2" t="s">
        <v>2105</v>
      </c>
      <c r="B994" s="2" t="s">
        <v>1595</v>
      </c>
      <c r="C994" s="8" t="s">
        <v>2106</v>
      </c>
      <c r="D994" s="8" t="s">
        <v>3184</v>
      </c>
      <c r="E994" s="8" t="s">
        <v>166</v>
      </c>
      <c r="F994" s="2"/>
      <c r="G994" s="2">
        <v>4655</v>
      </c>
      <c r="H994" s="2"/>
      <c r="I994" s="2">
        <v>5690</v>
      </c>
      <c r="J994" s="2" t="s">
        <v>447</v>
      </c>
      <c r="K994" s="2">
        <v>7</v>
      </c>
      <c r="L994" s="2">
        <v>6.9212999999999996</v>
      </c>
      <c r="M994" s="2">
        <v>7.8700000000000006E-2</v>
      </c>
      <c r="N994" s="8" t="s">
        <v>11853</v>
      </c>
      <c r="O994" s="8" t="s">
        <v>292</v>
      </c>
      <c r="P994" s="2">
        <v>2</v>
      </c>
      <c r="Q994" s="8"/>
      <c r="R994" s="8" t="s">
        <v>5948</v>
      </c>
      <c r="S994" s="8" t="str">
        <f>HYPERLINK("https://seichotoushi-hojo.jp/assets/pdf/koufu_3_4ji/outline_52.pdf","PDFを開く")</f>
        <v>PDFを開く</v>
      </c>
      <c r="T994" s="8" t="s">
        <v>2112</v>
      </c>
      <c r="U994" s="8" t="s">
        <v>2113</v>
      </c>
    </row>
    <row r="995" spans="1:21" ht="39.950000000000003" customHeight="1">
      <c r="A995" s="5" t="s">
        <v>2105</v>
      </c>
      <c r="B995" s="5" t="s">
        <v>1595</v>
      </c>
      <c r="C995" s="9" t="s">
        <v>2106</v>
      </c>
      <c r="D995" s="9" t="s">
        <v>3188</v>
      </c>
      <c r="E995" s="9" t="s">
        <v>156</v>
      </c>
      <c r="F995" s="5"/>
      <c r="G995" s="5"/>
      <c r="H995" s="5"/>
      <c r="I995" s="5"/>
      <c r="J995" s="5"/>
      <c r="K995" s="5"/>
      <c r="L995" s="5"/>
      <c r="M995" s="5"/>
      <c r="N995" s="9" t="s">
        <v>11850</v>
      </c>
      <c r="O995" s="9"/>
      <c r="P995" s="5"/>
      <c r="Q995" s="9" t="s">
        <v>11851</v>
      </c>
      <c r="R995" s="9"/>
      <c r="S995" s="9" t="str">
        <f>HYPERLINK("https://seichotoushi-hojo.jp/assets/pdf/koufu_3_4ji/outline_52.pdf","PDFを開く")</f>
        <v>PDFを開く</v>
      </c>
      <c r="T995" s="9" t="s">
        <v>2112</v>
      </c>
      <c r="U995" s="9" t="s">
        <v>2113</v>
      </c>
    </row>
    <row r="996" spans="1:21" ht="39.950000000000003" customHeight="1">
      <c r="A996" s="2" t="s">
        <v>2105</v>
      </c>
      <c r="B996" s="2" t="s">
        <v>1595</v>
      </c>
      <c r="C996" s="8" t="s">
        <v>2106</v>
      </c>
      <c r="D996" s="8" t="s">
        <v>3191</v>
      </c>
      <c r="E996" s="8" t="s">
        <v>166</v>
      </c>
      <c r="F996" s="2"/>
      <c r="G996" s="2">
        <v>32.799999999999997</v>
      </c>
      <c r="H996" s="2"/>
      <c r="I996" s="2">
        <v>98</v>
      </c>
      <c r="J996" s="2" t="s">
        <v>2513</v>
      </c>
      <c r="K996" s="2">
        <v>44</v>
      </c>
      <c r="L996" s="2"/>
      <c r="M996" s="2"/>
      <c r="N996" s="8" t="s">
        <v>11853</v>
      </c>
      <c r="O996" s="8" t="s">
        <v>292</v>
      </c>
      <c r="P996" s="2">
        <v>2</v>
      </c>
      <c r="Q996" s="8"/>
      <c r="R996" s="8" t="s">
        <v>5950</v>
      </c>
      <c r="S996" s="8" t="str">
        <f>HYPERLINK("https://seichotoushi-hojo.jp/assets/pdf/koufu_3_4ji/outline_52.pdf","PDFを開く")</f>
        <v>PDFを開く</v>
      </c>
      <c r="T996" s="8" t="s">
        <v>2112</v>
      </c>
      <c r="U996" s="8" t="s">
        <v>2113</v>
      </c>
    </row>
    <row r="997" spans="1:21" ht="39.950000000000003" customHeight="1">
      <c r="A997" s="5" t="s">
        <v>2114</v>
      </c>
      <c r="B997" s="5" t="s">
        <v>1595</v>
      </c>
      <c r="C997" s="9" t="s">
        <v>2115</v>
      </c>
      <c r="D997" s="9" t="s">
        <v>3176</v>
      </c>
      <c r="E997" s="9" t="s">
        <v>92</v>
      </c>
      <c r="F997" s="5">
        <v>2027</v>
      </c>
      <c r="G997" s="5">
        <v>1260</v>
      </c>
      <c r="H997" s="5">
        <v>2030</v>
      </c>
      <c r="I997" s="5">
        <v>2011</v>
      </c>
      <c r="J997" s="5" t="s">
        <v>86</v>
      </c>
      <c r="K997" s="5"/>
      <c r="L997" s="5">
        <v>16.863900000000001</v>
      </c>
      <c r="M997" s="5"/>
      <c r="N997" s="9" t="s">
        <v>11846</v>
      </c>
      <c r="O997" s="9" t="s">
        <v>11852</v>
      </c>
      <c r="P997" s="5">
        <v>2</v>
      </c>
      <c r="Q997" s="9"/>
      <c r="R997" s="9" t="s">
        <v>5952</v>
      </c>
      <c r="S997" s="9" t="str">
        <f>HYPERLINK("https://seichotoushi-hojo.jp/assets/pdf/koufu_3_4ji/outline_58.pdf","PDFを開く")</f>
        <v>PDFを開く</v>
      </c>
      <c r="T997" s="9" t="s">
        <v>2121</v>
      </c>
      <c r="U997" s="9" t="s">
        <v>2122</v>
      </c>
    </row>
    <row r="998" spans="1:21" ht="39.950000000000003" customHeight="1">
      <c r="A998" s="2" t="s">
        <v>2114</v>
      </c>
      <c r="B998" s="2" t="s">
        <v>1595</v>
      </c>
      <c r="C998" s="8" t="s">
        <v>2115</v>
      </c>
      <c r="D998" s="8" t="s">
        <v>3184</v>
      </c>
      <c r="E998" s="8" t="s">
        <v>92</v>
      </c>
      <c r="F998" s="2">
        <v>2027</v>
      </c>
      <c r="G998" s="2">
        <v>952</v>
      </c>
      <c r="H998" s="2">
        <v>2030</v>
      </c>
      <c r="I998" s="2">
        <v>1101</v>
      </c>
      <c r="J998" s="2" t="s">
        <v>86</v>
      </c>
      <c r="K998" s="2"/>
      <c r="L998" s="2">
        <v>4.9664000000000001</v>
      </c>
      <c r="M998" s="2"/>
      <c r="N998" s="8" t="s">
        <v>11846</v>
      </c>
      <c r="O998" s="8" t="s">
        <v>11852</v>
      </c>
      <c r="P998" s="2">
        <v>2</v>
      </c>
      <c r="Q998" s="8"/>
      <c r="R998" s="8" t="s">
        <v>5957</v>
      </c>
      <c r="S998" s="8" t="str">
        <f>HYPERLINK("https://seichotoushi-hojo.jp/assets/pdf/koufu_3_4ji/outline_58.pdf","PDFを開く")</f>
        <v>PDFを開く</v>
      </c>
      <c r="T998" s="8" t="s">
        <v>2121</v>
      </c>
      <c r="U998" s="8" t="s">
        <v>2122</v>
      </c>
    </row>
    <row r="999" spans="1:21" ht="39.950000000000003" customHeight="1">
      <c r="A999" s="5" t="s">
        <v>2114</v>
      </c>
      <c r="B999" s="5" t="s">
        <v>1595</v>
      </c>
      <c r="C999" s="9" t="s">
        <v>2115</v>
      </c>
      <c r="D999" s="9" t="s">
        <v>3188</v>
      </c>
      <c r="E999" s="9" t="s">
        <v>92</v>
      </c>
      <c r="F999" s="5">
        <v>2027</v>
      </c>
      <c r="G999" s="5">
        <v>5013</v>
      </c>
      <c r="H999" s="5">
        <v>2030</v>
      </c>
      <c r="I999" s="5">
        <v>5803</v>
      </c>
      <c r="J999" s="5" t="s">
        <v>86</v>
      </c>
      <c r="K999" s="5"/>
      <c r="L999" s="5">
        <v>4.9988999999999999</v>
      </c>
      <c r="M999" s="5"/>
      <c r="N999" s="9" t="s">
        <v>11846</v>
      </c>
      <c r="O999" s="9" t="s">
        <v>11852</v>
      </c>
      <c r="P999" s="5">
        <v>2</v>
      </c>
      <c r="Q999" s="9"/>
      <c r="R999" s="9" t="s">
        <v>5971</v>
      </c>
      <c r="S999" s="9" t="str">
        <f>HYPERLINK("https://seichotoushi-hojo.jp/assets/pdf/koufu_3_4ji/outline_58.pdf","PDFを開く")</f>
        <v>PDFを開く</v>
      </c>
      <c r="T999" s="9" t="s">
        <v>2121</v>
      </c>
      <c r="U999" s="9" t="s">
        <v>2122</v>
      </c>
    </row>
    <row r="1000" spans="1:21" ht="39.950000000000003" customHeight="1">
      <c r="A1000" s="2" t="s">
        <v>2114</v>
      </c>
      <c r="B1000" s="2" t="s">
        <v>1595</v>
      </c>
      <c r="C1000" s="8" t="s">
        <v>2115</v>
      </c>
      <c r="D1000" s="8" t="s">
        <v>3191</v>
      </c>
      <c r="E1000" s="8" t="s">
        <v>92</v>
      </c>
      <c r="F1000" s="2">
        <v>2027</v>
      </c>
      <c r="G1000" s="2">
        <v>284</v>
      </c>
      <c r="H1000" s="2">
        <v>2030</v>
      </c>
      <c r="I1000" s="2">
        <v>315</v>
      </c>
      <c r="J1000" s="2" t="s">
        <v>2513</v>
      </c>
      <c r="K1000" s="2"/>
      <c r="L1000" s="2"/>
      <c r="M1000" s="2"/>
      <c r="N1000" s="8" t="s">
        <v>11846</v>
      </c>
      <c r="O1000" s="8" t="s">
        <v>11852</v>
      </c>
      <c r="P1000" s="2">
        <v>2</v>
      </c>
      <c r="Q1000" s="8"/>
      <c r="R1000" s="8" t="s">
        <v>5974</v>
      </c>
      <c r="S1000" s="8" t="str">
        <f>HYPERLINK("https://seichotoushi-hojo.jp/assets/pdf/koufu_3_4ji/outline_58.pdf","PDFを開く")</f>
        <v>PDFを開く</v>
      </c>
      <c r="T1000" s="8" t="s">
        <v>2121</v>
      </c>
      <c r="U1000" s="8" t="s">
        <v>2122</v>
      </c>
    </row>
    <row r="1001" spans="1:21" ht="39.950000000000003" customHeight="1">
      <c r="A1001" s="5" t="s">
        <v>2123</v>
      </c>
      <c r="B1001" s="5" t="s">
        <v>1595</v>
      </c>
      <c r="C1001" s="9" t="s">
        <v>2124</v>
      </c>
      <c r="D1001" s="9" t="s">
        <v>3176</v>
      </c>
      <c r="E1001" s="9" t="s">
        <v>92</v>
      </c>
      <c r="F1001" s="5">
        <v>2027</v>
      </c>
      <c r="G1001" s="5">
        <v>507</v>
      </c>
      <c r="H1001" s="5">
        <v>2030</v>
      </c>
      <c r="I1001" s="5">
        <v>2136</v>
      </c>
      <c r="J1001" s="5" t="s">
        <v>86</v>
      </c>
      <c r="K1001" s="5"/>
      <c r="L1001" s="5">
        <v>61.509399999999999</v>
      </c>
      <c r="M1001" s="5"/>
      <c r="N1001" s="9" t="s">
        <v>11846</v>
      </c>
      <c r="O1001" s="9" t="s">
        <v>11852</v>
      </c>
      <c r="P1001" s="5">
        <v>2</v>
      </c>
      <c r="Q1001" s="9"/>
      <c r="R1001" s="9" t="s">
        <v>5975</v>
      </c>
      <c r="S1001" s="9" t="str">
        <f>HYPERLINK("https://seichotoushi-hojo.jp/assets/pdf/koufu_3_4ji/outline_6.pdf","PDFを開く")</f>
        <v>PDFを開く</v>
      </c>
      <c r="T1001" s="9" t="s">
        <v>2130</v>
      </c>
      <c r="U1001" s="9" t="s">
        <v>2131</v>
      </c>
    </row>
    <row r="1002" spans="1:21" ht="39.950000000000003" customHeight="1">
      <c r="A1002" s="2" t="s">
        <v>2123</v>
      </c>
      <c r="B1002" s="2" t="s">
        <v>1595</v>
      </c>
      <c r="C1002" s="8" t="s">
        <v>2124</v>
      </c>
      <c r="D1002" s="8" t="s">
        <v>3184</v>
      </c>
      <c r="E1002" s="8" t="s">
        <v>90</v>
      </c>
      <c r="F1002" s="2">
        <v>2027</v>
      </c>
      <c r="G1002" s="2">
        <v>334</v>
      </c>
      <c r="H1002" s="2">
        <v>2030</v>
      </c>
      <c r="I1002" s="2">
        <v>398</v>
      </c>
      <c r="J1002" s="2" t="s">
        <v>86</v>
      </c>
      <c r="K1002" s="2">
        <v>6</v>
      </c>
      <c r="L1002" s="2">
        <v>6.0178000000000003</v>
      </c>
      <c r="M1002" s="2">
        <v>1.78E-2</v>
      </c>
      <c r="N1002" s="8" t="s">
        <v>11846</v>
      </c>
      <c r="O1002" s="8" t="s">
        <v>11852</v>
      </c>
      <c r="P1002" s="2">
        <v>2</v>
      </c>
      <c r="Q1002" s="8"/>
      <c r="R1002" s="8" t="s">
        <v>5978</v>
      </c>
      <c r="S1002" s="8" t="str">
        <f>HYPERLINK("https://seichotoushi-hojo.jp/assets/pdf/koufu_3_4ji/outline_6.pdf","PDFを開く")</f>
        <v>PDFを開く</v>
      </c>
      <c r="T1002" s="8" t="s">
        <v>2130</v>
      </c>
      <c r="U1002" s="8" t="s">
        <v>2131</v>
      </c>
    </row>
    <row r="1003" spans="1:21" ht="39.950000000000003" customHeight="1">
      <c r="A1003" s="5" t="s">
        <v>2123</v>
      </c>
      <c r="B1003" s="5" t="s">
        <v>1595</v>
      </c>
      <c r="C1003" s="9" t="s">
        <v>2124</v>
      </c>
      <c r="D1003" s="9" t="s">
        <v>3188</v>
      </c>
      <c r="E1003" s="9" t="s">
        <v>156</v>
      </c>
      <c r="F1003" s="5"/>
      <c r="G1003" s="5"/>
      <c r="H1003" s="5"/>
      <c r="I1003" s="5"/>
      <c r="J1003" s="5"/>
      <c r="K1003" s="5"/>
      <c r="L1003" s="5"/>
      <c r="M1003" s="5"/>
      <c r="N1003" s="9" t="s">
        <v>11850</v>
      </c>
      <c r="O1003" s="9"/>
      <c r="P1003" s="5"/>
      <c r="Q1003" s="9" t="s">
        <v>11851</v>
      </c>
      <c r="R1003" s="9"/>
      <c r="S1003" s="9" t="str">
        <f>HYPERLINK("https://seichotoushi-hojo.jp/assets/pdf/koufu_3_4ji/outline_6.pdf","PDFを開く")</f>
        <v>PDFを開く</v>
      </c>
      <c r="T1003" s="9" t="s">
        <v>2130</v>
      </c>
      <c r="U1003" s="9" t="s">
        <v>2131</v>
      </c>
    </row>
    <row r="1004" spans="1:21" ht="39.950000000000003" customHeight="1">
      <c r="A1004" s="2" t="s">
        <v>2123</v>
      </c>
      <c r="B1004" s="2" t="s">
        <v>1595</v>
      </c>
      <c r="C1004" s="8" t="s">
        <v>2124</v>
      </c>
      <c r="D1004" s="8" t="s">
        <v>3191</v>
      </c>
      <c r="E1004" s="8" t="s">
        <v>92</v>
      </c>
      <c r="F1004" s="2">
        <v>2027</v>
      </c>
      <c r="G1004" s="2">
        <v>181</v>
      </c>
      <c r="H1004" s="2">
        <v>2030</v>
      </c>
      <c r="I1004" s="2">
        <v>198</v>
      </c>
      <c r="J1004" s="2" t="s">
        <v>2513</v>
      </c>
      <c r="K1004" s="2"/>
      <c r="L1004" s="2"/>
      <c r="M1004" s="2"/>
      <c r="N1004" s="8" t="s">
        <v>11846</v>
      </c>
      <c r="O1004" s="8" t="s">
        <v>11852</v>
      </c>
      <c r="P1004" s="2">
        <v>2</v>
      </c>
      <c r="Q1004" s="8"/>
      <c r="R1004" s="8" t="s">
        <v>5981</v>
      </c>
      <c r="S1004" s="8" t="str">
        <f>HYPERLINK("https://seichotoushi-hojo.jp/assets/pdf/koufu_3_4ji/outline_6.pdf","PDFを開く")</f>
        <v>PDFを開く</v>
      </c>
      <c r="T1004" s="8" t="s">
        <v>2130</v>
      </c>
      <c r="U1004" s="8" t="s">
        <v>2131</v>
      </c>
    </row>
    <row r="1005" spans="1:21" ht="39.950000000000003" customHeight="1">
      <c r="A1005" s="5" t="s">
        <v>2132</v>
      </c>
      <c r="B1005" s="5" t="s">
        <v>1595</v>
      </c>
      <c r="C1005" s="9" t="s">
        <v>2133</v>
      </c>
      <c r="D1005" s="9" t="s">
        <v>3176</v>
      </c>
      <c r="E1005" s="9" t="s">
        <v>90</v>
      </c>
      <c r="F1005" s="5">
        <v>2027</v>
      </c>
      <c r="G1005" s="5">
        <v>582</v>
      </c>
      <c r="H1005" s="5">
        <v>2030</v>
      </c>
      <c r="I1005" s="5">
        <v>879</v>
      </c>
      <c r="J1005" s="5" t="s">
        <v>86</v>
      </c>
      <c r="K1005" s="5">
        <v>14.7</v>
      </c>
      <c r="L1005" s="5">
        <v>14.7331</v>
      </c>
      <c r="M1005" s="5">
        <v>3.3099999999999997E-2</v>
      </c>
      <c r="N1005" s="9" t="s">
        <v>11846</v>
      </c>
      <c r="O1005" s="9" t="s">
        <v>11847</v>
      </c>
      <c r="P1005" s="5">
        <v>4</v>
      </c>
      <c r="Q1005" s="9"/>
      <c r="R1005" s="9" t="s">
        <v>5983</v>
      </c>
      <c r="S1005" s="9" t="str">
        <f>HYPERLINK("https://seichotoushi-hojo.jp/assets/pdf/koufu_3_4ji/outline_60.pdf","PDFを開く")</f>
        <v>PDFを開く</v>
      </c>
      <c r="T1005" s="9" t="s">
        <v>2136</v>
      </c>
      <c r="U1005" s="9" t="s">
        <v>2137</v>
      </c>
    </row>
    <row r="1006" spans="1:21" ht="39.950000000000003" customHeight="1">
      <c r="A1006" s="2" t="s">
        <v>2132</v>
      </c>
      <c r="B1006" s="2" t="s">
        <v>1595</v>
      </c>
      <c r="C1006" s="8" t="s">
        <v>2133</v>
      </c>
      <c r="D1006" s="8" t="s">
        <v>3184</v>
      </c>
      <c r="E1006" s="8" t="s">
        <v>166</v>
      </c>
      <c r="F1006" s="2">
        <v>2027</v>
      </c>
      <c r="G1006" s="2">
        <v>380</v>
      </c>
      <c r="H1006" s="2">
        <v>2030</v>
      </c>
      <c r="I1006" s="2">
        <v>520</v>
      </c>
      <c r="J1006" s="2" t="s">
        <v>86</v>
      </c>
      <c r="K1006" s="2">
        <v>11.1</v>
      </c>
      <c r="L1006" s="2">
        <v>11.0214</v>
      </c>
      <c r="M1006" s="2">
        <v>7.8600000000000003E-2</v>
      </c>
      <c r="N1006" s="8" t="s">
        <v>11846</v>
      </c>
      <c r="O1006" s="8" t="s">
        <v>292</v>
      </c>
      <c r="P1006" s="2">
        <v>2</v>
      </c>
      <c r="Q1006" s="8"/>
      <c r="R1006" s="8" t="s">
        <v>5988</v>
      </c>
      <c r="S1006" s="8" t="str">
        <f>HYPERLINK("https://seichotoushi-hojo.jp/assets/pdf/koufu_3_4ji/outline_60.pdf","PDFを開く")</f>
        <v>PDFを開く</v>
      </c>
      <c r="T1006" s="8" t="s">
        <v>2136</v>
      </c>
      <c r="U1006" s="8" t="s">
        <v>2137</v>
      </c>
    </row>
    <row r="1007" spans="1:21" ht="39.950000000000003" customHeight="1">
      <c r="A1007" s="5" t="s">
        <v>2132</v>
      </c>
      <c r="B1007" s="5" t="s">
        <v>1595</v>
      </c>
      <c r="C1007" s="9" t="s">
        <v>2133</v>
      </c>
      <c r="D1007" s="9" t="s">
        <v>3188</v>
      </c>
      <c r="E1007" s="9" t="s">
        <v>156</v>
      </c>
      <c r="F1007" s="5"/>
      <c r="G1007" s="5"/>
      <c r="H1007" s="5"/>
      <c r="I1007" s="5"/>
      <c r="J1007" s="5"/>
      <c r="K1007" s="5"/>
      <c r="L1007" s="5"/>
      <c r="M1007" s="5"/>
      <c r="N1007" s="9" t="s">
        <v>11850</v>
      </c>
      <c r="O1007" s="9"/>
      <c r="P1007" s="5"/>
      <c r="Q1007" s="9" t="s">
        <v>11851</v>
      </c>
      <c r="R1007" s="9"/>
      <c r="S1007" s="9" t="str">
        <f>HYPERLINK("https://seichotoushi-hojo.jp/assets/pdf/koufu_3_4ji/outline_60.pdf","PDFを開く")</f>
        <v>PDFを開く</v>
      </c>
      <c r="T1007" s="9" t="s">
        <v>2136</v>
      </c>
      <c r="U1007" s="9" t="s">
        <v>2137</v>
      </c>
    </row>
    <row r="1008" spans="1:21" ht="39.950000000000003" customHeight="1">
      <c r="A1008" s="2" t="s">
        <v>2132</v>
      </c>
      <c r="B1008" s="2" t="s">
        <v>1595</v>
      </c>
      <c r="C1008" s="8" t="s">
        <v>2133</v>
      </c>
      <c r="D1008" s="8" t="s">
        <v>3191</v>
      </c>
      <c r="E1008" s="8" t="s">
        <v>166</v>
      </c>
      <c r="F1008" s="2">
        <v>2027</v>
      </c>
      <c r="G1008" s="2">
        <v>195</v>
      </c>
      <c r="H1008" s="2">
        <v>2030</v>
      </c>
      <c r="I1008" s="2">
        <v>294</v>
      </c>
      <c r="J1008" s="2" t="s">
        <v>2513</v>
      </c>
      <c r="K1008" s="2"/>
      <c r="L1008" s="2"/>
      <c r="M1008" s="2"/>
      <c r="N1008" s="8" t="s">
        <v>11846</v>
      </c>
      <c r="O1008" s="8" t="s">
        <v>292</v>
      </c>
      <c r="P1008" s="2">
        <v>2</v>
      </c>
      <c r="Q1008" s="8"/>
      <c r="R1008" s="8" t="s">
        <v>5989</v>
      </c>
      <c r="S1008" s="8" t="str">
        <f>HYPERLINK("https://seichotoushi-hojo.jp/assets/pdf/koufu_3_4ji/outline_60.pdf","PDFを開く")</f>
        <v>PDFを開く</v>
      </c>
      <c r="T1008" s="8" t="s">
        <v>2136</v>
      </c>
      <c r="U1008" s="8" t="s">
        <v>2137</v>
      </c>
    </row>
    <row r="1009" spans="1:21" ht="39.950000000000003" customHeight="1">
      <c r="A1009" s="5" t="s">
        <v>2138</v>
      </c>
      <c r="B1009" s="5" t="s">
        <v>1595</v>
      </c>
      <c r="C1009" s="9" t="s">
        <v>2139</v>
      </c>
      <c r="D1009" s="9" t="s">
        <v>3176</v>
      </c>
      <c r="E1009" s="9" t="s">
        <v>166</v>
      </c>
      <c r="F1009" s="5">
        <v>2028</v>
      </c>
      <c r="G1009" s="5">
        <v>2333</v>
      </c>
      <c r="H1009" s="5">
        <v>2031</v>
      </c>
      <c r="I1009" s="5">
        <v>3624</v>
      </c>
      <c r="J1009" s="5" t="s">
        <v>86</v>
      </c>
      <c r="K1009" s="5">
        <v>15.8</v>
      </c>
      <c r="L1009" s="5">
        <v>15.8131</v>
      </c>
      <c r="M1009" s="5">
        <v>1.3100000000000001E-2</v>
      </c>
      <c r="N1009" s="9" t="s">
        <v>11846</v>
      </c>
      <c r="O1009" s="9" t="s">
        <v>292</v>
      </c>
      <c r="P1009" s="5">
        <v>2</v>
      </c>
      <c r="Q1009" s="9"/>
      <c r="R1009" s="9" t="s">
        <v>5995</v>
      </c>
      <c r="S1009" s="9" t="str">
        <f>HYPERLINK("https://seichotoushi-hojo.jp/assets/pdf/koufu_3_4ji/outline_61.pdf","PDFを開く")</f>
        <v>PDFを開く</v>
      </c>
      <c r="T1009" s="9" t="s">
        <v>2143</v>
      </c>
      <c r="U1009" s="9" t="s">
        <v>2144</v>
      </c>
    </row>
    <row r="1010" spans="1:21" ht="39.950000000000003" customHeight="1">
      <c r="A1010" s="2" t="s">
        <v>2138</v>
      </c>
      <c r="B1010" s="2" t="s">
        <v>1595</v>
      </c>
      <c r="C1010" s="8" t="s">
        <v>2139</v>
      </c>
      <c r="D1010" s="8" t="s">
        <v>3184</v>
      </c>
      <c r="E1010" s="8" t="s">
        <v>166</v>
      </c>
      <c r="F1010" s="2">
        <v>2028</v>
      </c>
      <c r="G1010" s="2">
        <v>691</v>
      </c>
      <c r="H1010" s="2">
        <v>2031</v>
      </c>
      <c r="I1010" s="2">
        <v>810</v>
      </c>
      <c r="J1010" s="2" t="s">
        <v>86</v>
      </c>
      <c r="K1010" s="2">
        <v>5.5</v>
      </c>
      <c r="L1010" s="2">
        <v>5.4393000000000002</v>
      </c>
      <c r="M1010" s="2">
        <v>6.0699999999999997E-2</v>
      </c>
      <c r="N1010" s="8" t="s">
        <v>11846</v>
      </c>
      <c r="O1010" s="8" t="s">
        <v>292</v>
      </c>
      <c r="P1010" s="2">
        <v>2</v>
      </c>
      <c r="Q1010" s="8"/>
      <c r="R1010" s="8" t="s">
        <v>5997</v>
      </c>
      <c r="S1010" s="8" t="str">
        <f>HYPERLINK("https://seichotoushi-hojo.jp/assets/pdf/koufu_3_4ji/outline_61.pdf","PDFを開く")</f>
        <v>PDFを開く</v>
      </c>
      <c r="T1010" s="8" t="s">
        <v>2143</v>
      </c>
      <c r="U1010" s="8" t="s">
        <v>2144</v>
      </c>
    </row>
    <row r="1011" spans="1:21" ht="39.950000000000003" customHeight="1">
      <c r="A1011" s="5" t="s">
        <v>2138</v>
      </c>
      <c r="B1011" s="5" t="s">
        <v>1595</v>
      </c>
      <c r="C1011" s="9" t="s">
        <v>2139</v>
      </c>
      <c r="D1011" s="9" t="s">
        <v>3188</v>
      </c>
      <c r="E1011" s="9" t="s">
        <v>157</v>
      </c>
      <c r="F1011" s="5"/>
      <c r="G1011" s="5"/>
      <c r="H1011" s="5"/>
      <c r="I1011" s="5"/>
      <c r="J1011" s="5"/>
      <c r="K1011" s="5"/>
      <c r="L1011" s="5"/>
      <c r="M1011" s="5"/>
      <c r="N1011" s="9" t="s">
        <v>11850</v>
      </c>
      <c r="O1011" s="9"/>
      <c r="P1011" s="5"/>
      <c r="Q1011" s="9" t="s">
        <v>11851</v>
      </c>
      <c r="R1011" s="9"/>
      <c r="S1011" s="9" t="str">
        <f>HYPERLINK("https://seichotoushi-hojo.jp/assets/pdf/koufu_3_4ji/outline_61.pdf","PDFを開く")</f>
        <v>PDFを開く</v>
      </c>
      <c r="T1011" s="9" t="s">
        <v>2143</v>
      </c>
      <c r="U1011" s="9" t="s">
        <v>2144</v>
      </c>
    </row>
    <row r="1012" spans="1:21" ht="39.950000000000003" customHeight="1">
      <c r="A1012" s="2" t="s">
        <v>2138</v>
      </c>
      <c r="B1012" s="2" t="s">
        <v>1595</v>
      </c>
      <c r="C1012" s="8" t="s">
        <v>2139</v>
      </c>
      <c r="D1012" s="8" t="s">
        <v>3191</v>
      </c>
      <c r="E1012" s="8" t="s">
        <v>166</v>
      </c>
      <c r="F1012" s="2">
        <v>2028</v>
      </c>
      <c r="G1012" s="2">
        <v>182</v>
      </c>
      <c r="H1012" s="2">
        <v>2031</v>
      </c>
      <c r="I1012" s="2">
        <v>198</v>
      </c>
      <c r="J1012" s="2" t="s">
        <v>2513</v>
      </c>
      <c r="K1012" s="2">
        <v>2.8</v>
      </c>
      <c r="L1012" s="2"/>
      <c r="M1012" s="2"/>
      <c r="N1012" s="8" t="s">
        <v>11846</v>
      </c>
      <c r="O1012" s="8" t="s">
        <v>292</v>
      </c>
      <c r="P1012" s="2">
        <v>2</v>
      </c>
      <c r="Q1012" s="8"/>
      <c r="R1012" s="8" t="s">
        <v>5998</v>
      </c>
      <c r="S1012" s="8" t="str">
        <f>HYPERLINK("https://seichotoushi-hojo.jp/assets/pdf/koufu_3_4ji/outline_61.pdf","PDFを開く")</f>
        <v>PDFを開く</v>
      </c>
      <c r="T1012" s="8" t="s">
        <v>2143</v>
      </c>
      <c r="U1012" s="8" t="s">
        <v>2144</v>
      </c>
    </row>
    <row r="1013" spans="1:21" ht="39.950000000000003" customHeight="1">
      <c r="A1013" s="5" t="s">
        <v>2145</v>
      </c>
      <c r="B1013" s="5" t="s">
        <v>1595</v>
      </c>
      <c r="C1013" s="9" t="s">
        <v>2146</v>
      </c>
      <c r="D1013" s="9" t="s">
        <v>3176</v>
      </c>
      <c r="E1013" s="9" t="s">
        <v>90</v>
      </c>
      <c r="F1013" s="5">
        <v>2027</v>
      </c>
      <c r="G1013" s="5">
        <v>3144</v>
      </c>
      <c r="H1013" s="5">
        <v>2030</v>
      </c>
      <c r="I1013" s="5">
        <v>10294</v>
      </c>
      <c r="J1013" s="5" t="s">
        <v>86</v>
      </c>
      <c r="K1013" s="5">
        <v>48.5</v>
      </c>
      <c r="L1013" s="5">
        <v>48.491100000000003</v>
      </c>
      <c r="M1013" s="5">
        <v>8.8999999999999999E-3</v>
      </c>
      <c r="N1013" s="9" t="s">
        <v>11846</v>
      </c>
      <c r="O1013" s="9" t="s">
        <v>11847</v>
      </c>
      <c r="P1013" s="5">
        <v>2</v>
      </c>
      <c r="Q1013" s="9"/>
      <c r="R1013" s="9" t="s">
        <v>6000</v>
      </c>
      <c r="S1013" s="9" t="str">
        <f>HYPERLINK("https://seichotoushi-hojo.jp/assets/pdf/koufu_3_4ji/outline_62.pdf","PDFを開く")</f>
        <v>PDFを開く</v>
      </c>
      <c r="T1013" s="9" t="s">
        <v>2150</v>
      </c>
      <c r="U1013" s="9" t="s">
        <v>2151</v>
      </c>
    </row>
    <row r="1014" spans="1:21" ht="39.950000000000003" customHeight="1">
      <c r="A1014" s="2" t="s">
        <v>2145</v>
      </c>
      <c r="B1014" s="2" t="s">
        <v>1595</v>
      </c>
      <c r="C1014" s="8" t="s">
        <v>2146</v>
      </c>
      <c r="D1014" s="8" t="s">
        <v>3184</v>
      </c>
      <c r="E1014" s="8" t="s">
        <v>90</v>
      </c>
      <c r="F1014" s="2">
        <v>2027</v>
      </c>
      <c r="G1014" s="2">
        <v>497</v>
      </c>
      <c r="H1014" s="2">
        <v>2030</v>
      </c>
      <c r="I1014" s="2">
        <v>592</v>
      </c>
      <c r="J1014" s="2" t="s">
        <v>86</v>
      </c>
      <c r="K1014" s="2">
        <v>6</v>
      </c>
      <c r="L1014" s="2">
        <v>6.0038999999999998</v>
      </c>
      <c r="M1014" s="2">
        <v>3.8999999999999998E-3</v>
      </c>
      <c r="N1014" s="8" t="s">
        <v>11846</v>
      </c>
      <c r="O1014" s="8" t="s">
        <v>11847</v>
      </c>
      <c r="P1014" s="2">
        <v>2</v>
      </c>
      <c r="Q1014" s="8"/>
      <c r="R1014" s="8" t="s">
        <v>6002</v>
      </c>
      <c r="S1014" s="8" t="str">
        <f>HYPERLINK("https://seichotoushi-hojo.jp/assets/pdf/koufu_3_4ji/outline_62.pdf","PDFを開く")</f>
        <v>PDFを開く</v>
      </c>
      <c r="T1014" s="8" t="s">
        <v>2150</v>
      </c>
      <c r="U1014" s="8" t="s">
        <v>2151</v>
      </c>
    </row>
    <row r="1015" spans="1:21" ht="39.950000000000003" customHeight="1">
      <c r="A1015" s="5" t="s">
        <v>2145</v>
      </c>
      <c r="B1015" s="5" t="s">
        <v>1595</v>
      </c>
      <c r="C1015" s="9" t="s">
        <v>2146</v>
      </c>
      <c r="D1015" s="9" t="s">
        <v>3188</v>
      </c>
      <c r="E1015" s="9" t="s">
        <v>156</v>
      </c>
      <c r="F1015" s="5"/>
      <c r="G1015" s="5"/>
      <c r="H1015" s="5"/>
      <c r="I1015" s="5"/>
      <c r="J1015" s="5"/>
      <c r="K1015" s="5"/>
      <c r="L1015" s="5"/>
      <c r="M1015" s="5"/>
      <c r="N1015" s="9" t="s">
        <v>11850</v>
      </c>
      <c r="O1015" s="9"/>
      <c r="P1015" s="5"/>
      <c r="Q1015" s="9" t="s">
        <v>11851</v>
      </c>
      <c r="R1015" s="9"/>
      <c r="S1015" s="9" t="str">
        <f>HYPERLINK("https://seichotoushi-hojo.jp/assets/pdf/koufu_3_4ji/outline_62.pdf","PDFを開く")</f>
        <v>PDFを開く</v>
      </c>
      <c r="T1015" s="9" t="s">
        <v>2150</v>
      </c>
      <c r="U1015" s="9" t="s">
        <v>2151</v>
      </c>
    </row>
    <row r="1016" spans="1:21" ht="39.950000000000003" customHeight="1">
      <c r="A1016" s="2" t="s">
        <v>2145</v>
      </c>
      <c r="B1016" s="2" t="s">
        <v>1595</v>
      </c>
      <c r="C1016" s="8" t="s">
        <v>2146</v>
      </c>
      <c r="D1016" s="8" t="s">
        <v>3191</v>
      </c>
      <c r="E1016" s="8" t="s">
        <v>92</v>
      </c>
      <c r="F1016" s="2">
        <v>2027</v>
      </c>
      <c r="G1016" s="2">
        <v>82</v>
      </c>
      <c r="H1016" s="2">
        <v>2030</v>
      </c>
      <c r="I1016" s="2">
        <v>87</v>
      </c>
      <c r="J1016" s="2" t="s">
        <v>2513</v>
      </c>
      <c r="K1016" s="2"/>
      <c r="L1016" s="2"/>
      <c r="M1016" s="2"/>
      <c r="N1016" s="8" t="s">
        <v>11846</v>
      </c>
      <c r="O1016" s="8" t="s">
        <v>11847</v>
      </c>
      <c r="P1016" s="2">
        <v>2</v>
      </c>
      <c r="Q1016" s="8"/>
      <c r="R1016" s="8" t="s">
        <v>6004</v>
      </c>
      <c r="S1016" s="8" t="str">
        <f>HYPERLINK("https://seichotoushi-hojo.jp/assets/pdf/koufu_3_4ji/outline_62.pdf","PDFを開く")</f>
        <v>PDFを開く</v>
      </c>
      <c r="T1016" s="8" t="s">
        <v>2150</v>
      </c>
      <c r="U1016" s="8" t="s">
        <v>2151</v>
      </c>
    </row>
    <row r="1017" spans="1:21" ht="39.950000000000003" customHeight="1">
      <c r="A1017" s="5" t="s">
        <v>2152</v>
      </c>
      <c r="B1017" s="5" t="s">
        <v>1595</v>
      </c>
      <c r="C1017" s="9" t="s">
        <v>2153</v>
      </c>
      <c r="D1017" s="9" t="s">
        <v>3176</v>
      </c>
      <c r="E1017" s="9" t="s">
        <v>166</v>
      </c>
      <c r="F1017" s="5">
        <v>2026</v>
      </c>
      <c r="G1017" s="5">
        <v>3654</v>
      </c>
      <c r="H1017" s="5">
        <v>2029</v>
      </c>
      <c r="I1017" s="5">
        <v>13918</v>
      </c>
      <c r="J1017" s="5" t="s">
        <v>86</v>
      </c>
      <c r="K1017" s="5">
        <v>56.2</v>
      </c>
      <c r="L1017" s="5">
        <v>56.171900000000001</v>
      </c>
      <c r="M1017" s="5">
        <v>2.81E-2</v>
      </c>
      <c r="N1017" s="9" t="s">
        <v>11846</v>
      </c>
      <c r="O1017" s="9" t="s">
        <v>292</v>
      </c>
      <c r="P1017" s="5">
        <v>2</v>
      </c>
      <c r="Q1017" s="9"/>
      <c r="R1017" s="9" t="s">
        <v>6012</v>
      </c>
      <c r="S1017" s="9" t="str">
        <f>HYPERLINK("https://seichotoushi-hojo.jp/assets/pdf/koufu_3_4ji/outline_63.pdf","PDFを開く")</f>
        <v>PDFを開く</v>
      </c>
      <c r="T1017" s="9" t="s">
        <v>2160</v>
      </c>
      <c r="U1017" s="9" t="s">
        <v>2161</v>
      </c>
    </row>
    <row r="1018" spans="1:21" ht="39.950000000000003" customHeight="1">
      <c r="A1018" s="2" t="s">
        <v>2152</v>
      </c>
      <c r="B1018" s="2" t="s">
        <v>1595</v>
      </c>
      <c r="C1018" s="8" t="s">
        <v>2153</v>
      </c>
      <c r="D1018" s="8" t="s">
        <v>3184</v>
      </c>
      <c r="E1018" s="8" t="s">
        <v>90</v>
      </c>
      <c r="F1018" s="2">
        <v>2026</v>
      </c>
      <c r="G1018" s="2">
        <v>695</v>
      </c>
      <c r="H1018" s="2">
        <v>2029</v>
      </c>
      <c r="I1018" s="2">
        <v>925</v>
      </c>
      <c r="J1018" s="2" t="s">
        <v>86</v>
      </c>
      <c r="K1018" s="2">
        <v>10</v>
      </c>
      <c r="L1018" s="2">
        <v>9.9982000000000006</v>
      </c>
      <c r="M1018" s="2">
        <v>1.8E-3</v>
      </c>
      <c r="N1018" s="8" t="s">
        <v>11846</v>
      </c>
      <c r="O1018" s="8" t="s">
        <v>11847</v>
      </c>
      <c r="P1018" s="2">
        <v>3</v>
      </c>
      <c r="Q1018" s="8"/>
      <c r="R1018" s="8" t="s">
        <v>6008</v>
      </c>
      <c r="S1018" s="8" t="str">
        <f>HYPERLINK("https://seichotoushi-hojo.jp/assets/pdf/koufu_3_4ji/outline_63.pdf","PDFを開く")</f>
        <v>PDFを開く</v>
      </c>
      <c r="T1018" s="8" t="s">
        <v>2160</v>
      </c>
      <c r="U1018" s="8" t="s">
        <v>2161</v>
      </c>
    </row>
    <row r="1019" spans="1:21" ht="39.950000000000003" customHeight="1">
      <c r="A1019" s="5" t="s">
        <v>2152</v>
      </c>
      <c r="B1019" s="5" t="s">
        <v>1595</v>
      </c>
      <c r="C1019" s="9" t="s">
        <v>2153</v>
      </c>
      <c r="D1019" s="9" t="s">
        <v>3188</v>
      </c>
      <c r="E1019" s="9" t="s">
        <v>156</v>
      </c>
      <c r="F1019" s="5"/>
      <c r="G1019" s="5"/>
      <c r="H1019" s="5"/>
      <c r="I1019" s="5"/>
      <c r="J1019" s="5"/>
      <c r="K1019" s="5"/>
      <c r="L1019" s="5"/>
      <c r="M1019" s="5"/>
      <c r="N1019" s="9" t="s">
        <v>11850</v>
      </c>
      <c r="O1019" s="9"/>
      <c r="P1019" s="5"/>
      <c r="Q1019" s="9" t="s">
        <v>11851</v>
      </c>
      <c r="R1019" s="9"/>
      <c r="S1019" s="9" t="str">
        <f>HYPERLINK("https://seichotoushi-hojo.jp/assets/pdf/koufu_3_4ji/outline_63.pdf","PDFを開く")</f>
        <v>PDFを開く</v>
      </c>
      <c r="T1019" s="9" t="s">
        <v>2160</v>
      </c>
      <c r="U1019" s="9" t="s">
        <v>2161</v>
      </c>
    </row>
    <row r="1020" spans="1:21" ht="39.950000000000003" customHeight="1">
      <c r="A1020" s="2" t="s">
        <v>2152</v>
      </c>
      <c r="B1020" s="2" t="s">
        <v>1595</v>
      </c>
      <c r="C1020" s="8" t="s">
        <v>2153</v>
      </c>
      <c r="D1020" s="8" t="s">
        <v>3191</v>
      </c>
      <c r="E1020" s="8" t="s">
        <v>92</v>
      </c>
      <c r="F1020" s="2">
        <v>2026</v>
      </c>
      <c r="G1020" s="2">
        <v>15</v>
      </c>
      <c r="H1020" s="2">
        <v>2029</v>
      </c>
      <c r="I1020" s="2">
        <v>30</v>
      </c>
      <c r="J1020" s="2" t="s">
        <v>2513</v>
      </c>
      <c r="K1020" s="2"/>
      <c r="L1020" s="2"/>
      <c r="M1020" s="2"/>
      <c r="N1020" s="8" t="s">
        <v>11846</v>
      </c>
      <c r="O1020" s="8" t="s">
        <v>11847</v>
      </c>
      <c r="P1020" s="2">
        <v>3</v>
      </c>
      <c r="Q1020" s="8"/>
      <c r="R1020" s="8" t="s">
        <v>6010</v>
      </c>
      <c r="S1020" s="8" t="str">
        <f>HYPERLINK("https://seichotoushi-hojo.jp/assets/pdf/koufu_3_4ji/outline_63.pdf","PDFを開く")</f>
        <v>PDFを開く</v>
      </c>
      <c r="T1020" s="8" t="s">
        <v>2160</v>
      </c>
      <c r="U1020" s="8" t="s">
        <v>2161</v>
      </c>
    </row>
    <row r="1021" spans="1:21" ht="39.950000000000003" customHeight="1">
      <c r="A1021" s="5" t="s">
        <v>2162</v>
      </c>
      <c r="B1021" s="5" t="s">
        <v>1595</v>
      </c>
      <c r="C1021" s="9" t="s">
        <v>2163</v>
      </c>
      <c r="D1021" s="9" t="s">
        <v>3176</v>
      </c>
      <c r="E1021" s="9" t="s">
        <v>90</v>
      </c>
      <c r="F1021" s="5">
        <v>2027</v>
      </c>
      <c r="G1021" s="5">
        <v>1249</v>
      </c>
      <c r="H1021" s="5">
        <v>2030</v>
      </c>
      <c r="I1021" s="5">
        <v>1863</v>
      </c>
      <c r="J1021" s="5" t="s">
        <v>86</v>
      </c>
      <c r="K1021" s="5">
        <v>14.3</v>
      </c>
      <c r="L1021" s="5">
        <v>14.257199999999999</v>
      </c>
      <c r="M1021" s="5">
        <v>4.2799999999999998E-2</v>
      </c>
      <c r="N1021" s="9" t="s">
        <v>11846</v>
      </c>
      <c r="O1021" s="9" t="s">
        <v>11847</v>
      </c>
      <c r="P1021" s="5">
        <v>2</v>
      </c>
      <c r="Q1021" s="9"/>
      <c r="R1021" s="9" t="s">
        <v>6015</v>
      </c>
      <c r="S1021" s="9" t="str">
        <f>HYPERLINK("https://seichotoushi-hojo.jp/assets/pdf/koufu_3_4ji/outline_65.pdf","PDFを開く")</f>
        <v>PDFを開く</v>
      </c>
      <c r="T1021" s="9" t="s">
        <v>2166</v>
      </c>
      <c r="U1021" s="9" t="s">
        <v>2167</v>
      </c>
    </row>
    <row r="1022" spans="1:21" ht="39.950000000000003" customHeight="1">
      <c r="A1022" s="2" t="s">
        <v>2162</v>
      </c>
      <c r="B1022" s="2" t="s">
        <v>1595</v>
      </c>
      <c r="C1022" s="8" t="s">
        <v>2163</v>
      </c>
      <c r="D1022" s="8" t="s">
        <v>3184</v>
      </c>
      <c r="E1022" s="8" t="s">
        <v>90</v>
      </c>
      <c r="F1022" s="2">
        <v>2027</v>
      </c>
      <c r="G1022" s="2">
        <v>639</v>
      </c>
      <c r="H1022" s="2">
        <v>2030</v>
      </c>
      <c r="I1022" s="2">
        <v>751</v>
      </c>
      <c r="J1022" s="2" t="s">
        <v>86</v>
      </c>
      <c r="K1022" s="2">
        <v>5.5</v>
      </c>
      <c r="L1022" s="2">
        <v>5.5308999999999999</v>
      </c>
      <c r="M1022" s="2">
        <v>3.09E-2</v>
      </c>
      <c r="N1022" s="8" t="s">
        <v>11846</v>
      </c>
      <c r="O1022" s="8" t="s">
        <v>11847</v>
      </c>
      <c r="P1022" s="2">
        <v>2</v>
      </c>
      <c r="Q1022" s="8"/>
      <c r="R1022" s="8" t="s">
        <v>6017</v>
      </c>
      <c r="S1022" s="8" t="str">
        <f>HYPERLINK("https://seichotoushi-hojo.jp/assets/pdf/koufu_3_4ji/outline_65.pdf","PDFを開く")</f>
        <v>PDFを開く</v>
      </c>
      <c r="T1022" s="8" t="s">
        <v>2166</v>
      </c>
      <c r="U1022" s="8" t="s">
        <v>2167</v>
      </c>
    </row>
    <row r="1023" spans="1:21" ht="39.950000000000003" customHeight="1">
      <c r="A1023" s="5" t="s">
        <v>2162</v>
      </c>
      <c r="B1023" s="5" t="s">
        <v>1595</v>
      </c>
      <c r="C1023" s="9" t="s">
        <v>2163</v>
      </c>
      <c r="D1023" s="9" t="s">
        <v>3188</v>
      </c>
      <c r="E1023" s="9" t="s">
        <v>91</v>
      </c>
      <c r="F1023" s="5">
        <v>2027</v>
      </c>
      <c r="G1023" s="5"/>
      <c r="H1023" s="5">
        <v>2030</v>
      </c>
      <c r="I1023" s="5"/>
      <c r="J1023" s="5" t="s">
        <v>86</v>
      </c>
      <c r="K1023" s="5">
        <v>4.5</v>
      </c>
      <c r="L1023" s="5"/>
      <c r="M1023" s="5"/>
      <c r="N1023" s="9" t="s">
        <v>11846</v>
      </c>
      <c r="O1023" s="9" t="s">
        <v>11848</v>
      </c>
      <c r="P1023" s="5">
        <v>2</v>
      </c>
      <c r="Q1023" s="9"/>
      <c r="R1023" s="9" t="s">
        <v>3282</v>
      </c>
      <c r="S1023" s="9" t="str">
        <f>HYPERLINK("https://seichotoushi-hojo.jp/assets/pdf/koufu_3_4ji/outline_65.pdf","PDFを開く")</f>
        <v>PDFを開く</v>
      </c>
      <c r="T1023" s="9" t="s">
        <v>2166</v>
      </c>
      <c r="U1023" s="9" t="s">
        <v>2167</v>
      </c>
    </row>
    <row r="1024" spans="1:21" ht="39.950000000000003" customHeight="1">
      <c r="A1024" s="2" t="s">
        <v>2162</v>
      </c>
      <c r="B1024" s="2" t="s">
        <v>1595</v>
      </c>
      <c r="C1024" s="8" t="s">
        <v>2163</v>
      </c>
      <c r="D1024" s="8" t="s">
        <v>3191</v>
      </c>
      <c r="E1024" s="8" t="s">
        <v>92</v>
      </c>
      <c r="F1024" s="2">
        <v>2027</v>
      </c>
      <c r="G1024" s="2">
        <v>220</v>
      </c>
      <c r="H1024" s="2">
        <v>2030</v>
      </c>
      <c r="I1024" s="2">
        <v>237</v>
      </c>
      <c r="J1024" s="2" t="s">
        <v>2513</v>
      </c>
      <c r="K1024" s="2"/>
      <c r="L1024" s="2"/>
      <c r="M1024" s="2"/>
      <c r="N1024" s="8" t="s">
        <v>11846</v>
      </c>
      <c r="O1024" s="8" t="s">
        <v>11847</v>
      </c>
      <c r="P1024" s="2">
        <v>2</v>
      </c>
      <c r="Q1024" s="8"/>
      <c r="R1024" s="8" t="s">
        <v>6019</v>
      </c>
      <c r="S1024" s="8" t="str">
        <f>HYPERLINK("https://seichotoushi-hojo.jp/assets/pdf/koufu_3_4ji/outline_65.pdf","PDFを開く")</f>
        <v>PDFを開く</v>
      </c>
      <c r="T1024" s="8" t="s">
        <v>2166</v>
      </c>
      <c r="U1024" s="8" t="s">
        <v>2167</v>
      </c>
    </row>
    <row r="1025" spans="1:21" ht="39.950000000000003" customHeight="1">
      <c r="A1025" s="5" t="s">
        <v>2168</v>
      </c>
      <c r="B1025" s="5" t="s">
        <v>1595</v>
      </c>
      <c r="C1025" s="9" t="s">
        <v>2169</v>
      </c>
      <c r="D1025" s="9" t="s">
        <v>3176</v>
      </c>
      <c r="E1025" s="9" t="s">
        <v>90</v>
      </c>
      <c r="F1025" s="5">
        <v>2027</v>
      </c>
      <c r="G1025" s="5">
        <v>1212</v>
      </c>
      <c r="H1025" s="5">
        <v>2030</v>
      </c>
      <c r="I1025" s="5">
        <v>2589</v>
      </c>
      <c r="J1025" s="5" t="s">
        <v>86</v>
      </c>
      <c r="K1025" s="5">
        <v>28.8</v>
      </c>
      <c r="L1025" s="5">
        <v>28.7883</v>
      </c>
      <c r="M1025" s="5">
        <v>1.17E-2</v>
      </c>
      <c r="N1025" s="9" t="s">
        <v>11846</v>
      </c>
      <c r="O1025" s="9" t="s">
        <v>11847</v>
      </c>
      <c r="P1025" s="5">
        <v>2</v>
      </c>
      <c r="Q1025" s="9"/>
      <c r="R1025" s="9" t="s">
        <v>6023</v>
      </c>
      <c r="S1025" s="9" t="str">
        <f>HYPERLINK("https://seichotoushi-hojo.jp/assets/pdf/koufu_3_4ji/outline_66.pdf","PDFを開く")</f>
        <v>PDFを開く</v>
      </c>
      <c r="T1025" s="9" t="s">
        <v>2175</v>
      </c>
      <c r="U1025" s="9" t="s">
        <v>2176</v>
      </c>
    </row>
    <row r="1026" spans="1:21" ht="39.950000000000003" customHeight="1">
      <c r="A1026" s="2" t="s">
        <v>2168</v>
      </c>
      <c r="B1026" s="2" t="s">
        <v>1595</v>
      </c>
      <c r="C1026" s="8" t="s">
        <v>2169</v>
      </c>
      <c r="D1026" s="8" t="s">
        <v>3184</v>
      </c>
      <c r="E1026" s="8" t="s">
        <v>90</v>
      </c>
      <c r="F1026" s="2">
        <v>2027</v>
      </c>
      <c r="G1026" s="2">
        <v>562</v>
      </c>
      <c r="H1026" s="2">
        <v>2030</v>
      </c>
      <c r="I1026" s="2">
        <v>669</v>
      </c>
      <c r="J1026" s="2" t="s">
        <v>86</v>
      </c>
      <c r="K1026" s="2">
        <v>6</v>
      </c>
      <c r="L1026" s="2">
        <v>5.9814999999999996</v>
      </c>
      <c r="M1026" s="2">
        <v>1.8499999999999999E-2</v>
      </c>
      <c r="N1026" s="8" t="s">
        <v>11846</v>
      </c>
      <c r="O1026" s="8" t="s">
        <v>11847</v>
      </c>
      <c r="P1026" s="2">
        <v>2</v>
      </c>
      <c r="Q1026" s="8"/>
      <c r="R1026" s="8" t="s">
        <v>6025</v>
      </c>
      <c r="S1026" s="8" t="str">
        <f>HYPERLINK("https://seichotoushi-hojo.jp/assets/pdf/koufu_3_4ji/outline_66.pdf","PDFを開く")</f>
        <v>PDFを開く</v>
      </c>
      <c r="T1026" s="8" t="s">
        <v>2175</v>
      </c>
      <c r="U1026" s="8" t="s">
        <v>2176</v>
      </c>
    </row>
    <row r="1027" spans="1:21" ht="39.950000000000003" customHeight="1">
      <c r="A1027" s="5" t="s">
        <v>2168</v>
      </c>
      <c r="B1027" s="5" t="s">
        <v>1595</v>
      </c>
      <c r="C1027" s="9" t="s">
        <v>2169</v>
      </c>
      <c r="D1027" s="9" t="s">
        <v>3188</v>
      </c>
      <c r="E1027" s="9" t="s">
        <v>91</v>
      </c>
      <c r="F1027" s="5">
        <v>2027</v>
      </c>
      <c r="G1027" s="5"/>
      <c r="H1027" s="5">
        <v>2030</v>
      </c>
      <c r="I1027" s="5"/>
      <c r="J1027" s="5" t="s">
        <v>86</v>
      </c>
      <c r="K1027" s="5">
        <v>6</v>
      </c>
      <c r="L1027" s="5"/>
      <c r="M1027" s="5"/>
      <c r="N1027" s="9" t="s">
        <v>11846</v>
      </c>
      <c r="O1027" s="9" t="s">
        <v>11848</v>
      </c>
      <c r="P1027" s="5">
        <v>2</v>
      </c>
      <c r="Q1027" s="9"/>
      <c r="R1027" s="9" t="s">
        <v>5376</v>
      </c>
      <c r="S1027" s="9" t="str">
        <f>HYPERLINK("https://seichotoushi-hojo.jp/assets/pdf/koufu_3_4ji/outline_66.pdf","PDFを開く")</f>
        <v>PDFを開く</v>
      </c>
      <c r="T1027" s="9" t="s">
        <v>2175</v>
      </c>
      <c r="U1027" s="9" t="s">
        <v>2176</v>
      </c>
    </row>
    <row r="1028" spans="1:21" ht="39.950000000000003" customHeight="1">
      <c r="A1028" s="2" t="s">
        <v>2168</v>
      </c>
      <c r="B1028" s="2" t="s">
        <v>1595</v>
      </c>
      <c r="C1028" s="8" t="s">
        <v>2169</v>
      </c>
      <c r="D1028" s="8" t="s">
        <v>3191</v>
      </c>
      <c r="E1028" s="8" t="s">
        <v>92</v>
      </c>
      <c r="F1028" s="2">
        <v>2027</v>
      </c>
      <c r="G1028" s="2">
        <v>111</v>
      </c>
      <c r="H1028" s="2">
        <v>2030</v>
      </c>
      <c r="I1028" s="2">
        <v>135</v>
      </c>
      <c r="J1028" s="2" t="s">
        <v>2513</v>
      </c>
      <c r="K1028" s="2"/>
      <c r="L1028" s="2"/>
      <c r="M1028" s="2"/>
      <c r="N1028" s="8" t="s">
        <v>11846</v>
      </c>
      <c r="O1028" s="8" t="s">
        <v>11847</v>
      </c>
      <c r="P1028" s="2">
        <v>2</v>
      </c>
      <c r="Q1028" s="8"/>
      <c r="R1028" s="8" t="s">
        <v>6026</v>
      </c>
      <c r="S1028" s="8" t="str">
        <f>HYPERLINK("https://seichotoushi-hojo.jp/assets/pdf/koufu_3_4ji/outline_66.pdf","PDFを開く")</f>
        <v>PDFを開く</v>
      </c>
      <c r="T1028" s="8" t="s">
        <v>2175</v>
      </c>
      <c r="U1028" s="8" t="s">
        <v>2176</v>
      </c>
    </row>
    <row r="1029" spans="1:21" ht="39.950000000000003" customHeight="1">
      <c r="A1029" s="5" t="s">
        <v>2177</v>
      </c>
      <c r="B1029" s="5" t="s">
        <v>1595</v>
      </c>
      <c r="C1029" s="9" t="s">
        <v>2178</v>
      </c>
      <c r="D1029" s="9" t="s">
        <v>3176</v>
      </c>
      <c r="E1029" s="9" t="s">
        <v>90</v>
      </c>
      <c r="F1029" s="5">
        <v>2026</v>
      </c>
      <c r="G1029" s="5">
        <v>699</v>
      </c>
      <c r="H1029" s="5">
        <v>2029</v>
      </c>
      <c r="I1029" s="5">
        <v>1653</v>
      </c>
      <c r="J1029" s="5" t="s">
        <v>86</v>
      </c>
      <c r="K1029" s="5">
        <v>33.200000000000003</v>
      </c>
      <c r="L1029" s="5">
        <v>33.228900000000003</v>
      </c>
      <c r="M1029" s="5">
        <v>2.8899999999999999E-2</v>
      </c>
      <c r="N1029" s="9" t="s">
        <v>11846</v>
      </c>
      <c r="O1029" s="9" t="s">
        <v>11847</v>
      </c>
      <c r="P1029" s="5">
        <v>5</v>
      </c>
      <c r="Q1029" s="9"/>
      <c r="R1029" s="9" t="s">
        <v>6030</v>
      </c>
      <c r="S1029" s="9" t="str">
        <f>HYPERLINK("https://seichotoushi-hojo.jp/assets/pdf/koufu_3_4ji/outline_67.pdf","PDFを開く")</f>
        <v>PDFを開く</v>
      </c>
      <c r="T1029" s="9" t="s">
        <v>2183</v>
      </c>
      <c r="U1029" s="9" t="s">
        <v>2184</v>
      </c>
    </row>
    <row r="1030" spans="1:21" ht="39.950000000000003" customHeight="1">
      <c r="A1030" s="2" t="s">
        <v>2177</v>
      </c>
      <c r="B1030" s="2" t="s">
        <v>1595</v>
      </c>
      <c r="C1030" s="8" t="s">
        <v>2178</v>
      </c>
      <c r="D1030" s="8" t="s">
        <v>3184</v>
      </c>
      <c r="E1030" s="8" t="s">
        <v>90</v>
      </c>
      <c r="F1030" s="2">
        <v>2026</v>
      </c>
      <c r="G1030" s="2">
        <v>440</v>
      </c>
      <c r="H1030" s="2">
        <v>2029</v>
      </c>
      <c r="I1030" s="2">
        <v>516</v>
      </c>
      <c r="J1030" s="2" t="s">
        <v>86</v>
      </c>
      <c r="K1030" s="2">
        <v>5.5</v>
      </c>
      <c r="L1030" s="2">
        <v>5.4546000000000001</v>
      </c>
      <c r="M1030" s="2">
        <v>4.5400000000000003E-2</v>
      </c>
      <c r="N1030" s="8" t="s">
        <v>11846</v>
      </c>
      <c r="O1030" s="8" t="s">
        <v>11847</v>
      </c>
      <c r="P1030" s="2">
        <v>5</v>
      </c>
      <c r="Q1030" s="8"/>
      <c r="R1030" s="8" t="s">
        <v>6032</v>
      </c>
      <c r="S1030" s="8" t="str">
        <f>HYPERLINK("https://seichotoushi-hojo.jp/assets/pdf/koufu_3_4ji/outline_67.pdf","PDFを開く")</f>
        <v>PDFを開く</v>
      </c>
      <c r="T1030" s="8" t="s">
        <v>2183</v>
      </c>
      <c r="U1030" s="8" t="s">
        <v>2184</v>
      </c>
    </row>
    <row r="1031" spans="1:21" ht="39.950000000000003" customHeight="1">
      <c r="A1031" s="5" t="s">
        <v>2177</v>
      </c>
      <c r="B1031" s="5" t="s">
        <v>1595</v>
      </c>
      <c r="C1031" s="9" t="s">
        <v>2178</v>
      </c>
      <c r="D1031" s="9" t="s">
        <v>3188</v>
      </c>
      <c r="E1031" s="9" t="s">
        <v>91</v>
      </c>
      <c r="F1031" s="5">
        <v>2026</v>
      </c>
      <c r="G1031" s="5"/>
      <c r="H1031" s="5">
        <v>2029</v>
      </c>
      <c r="I1031" s="5"/>
      <c r="J1031" s="5" t="s">
        <v>86</v>
      </c>
      <c r="K1031" s="5">
        <v>5</v>
      </c>
      <c r="L1031" s="5"/>
      <c r="M1031" s="5"/>
      <c r="N1031" s="9" t="s">
        <v>11846</v>
      </c>
      <c r="O1031" s="9" t="s">
        <v>11848</v>
      </c>
      <c r="P1031" s="5">
        <v>5</v>
      </c>
      <c r="Q1031" s="9"/>
      <c r="R1031" s="9" t="s">
        <v>6036</v>
      </c>
      <c r="S1031" s="9" t="str">
        <f>HYPERLINK("https://seichotoushi-hojo.jp/assets/pdf/koufu_3_4ji/outline_67.pdf","PDFを開く")</f>
        <v>PDFを開く</v>
      </c>
      <c r="T1031" s="9" t="s">
        <v>2183</v>
      </c>
      <c r="U1031" s="9" t="s">
        <v>2184</v>
      </c>
    </row>
    <row r="1032" spans="1:21" ht="39.950000000000003" customHeight="1">
      <c r="A1032" s="2" t="s">
        <v>2177</v>
      </c>
      <c r="B1032" s="2" t="s">
        <v>1595</v>
      </c>
      <c r="C1032" s="8" t="s">
        <v>2178</v>
      </c>
      <c r="D1032" s="8" t="s">
        <v>3191</v>
      </c>
      <c r="E1032" s="8" t="s">
        <v>92</v>
      </c>
      <c r="F1032" s="2">
        <v>2026</v>
      </c>
      <c r="G1032" s="2">
        <v>240</v>
      </c>
      <c r="H1032" s="2">
        <v>2029</v>
      </c>
      <c r="I1032" s="2">
        <v>280</v>
      </c>
      <c r="J1032" s="2" t="s">
        <v>2513</v>
      </c>
      <c r="K1032" s="2"/>
      <c r="L1032" s="2"/>
      <c r="M1032" s="2"/>
      <c r="N1032" s="8" t="s">
        <v>11846</v>
      </c>
      <c r="O1032" s="8" t="s">
        <v>11847</v>
      </c>
      <c r="P1032" s="2">
        <v>5</v>
      </c>
      <c r="Q1032" s="8"/>
      <c r="R1032" s="8" t="s">
        <v>6034</v>
      </c>
      <c r="S1032" s="8" t="str">
        <f>HYPERLINK("https://seichotoushi-hojo.jp/assets/pdf/koufu_3_4ji/outline_67.pdf","PDFを開く")</f>
        <v>PDFを開く</v>
      </c>
      <c r="T1032" s="8" t="s">
        <v>2183</v>
      </c>
      <c r="U1032" s="8" t="s">
        <v>2184</v>
      </c>
    </row>
    <row r="1033" spans="1:21" ht="39.950000000000003" customHeight="1">
      <c r="A1033" s="5" t="s">
        <v>2185</v>
      </c>
      <c r="B1033" s="5" t="s">
        <v>1595</v>
      </c>
      <c r="C1033" s="9" t="s">
        <v>2186</v>
      </c>
      <c r="D1033" s="9" t="s">
        <v>3176</v>
      </c>
      <c r="E1033" s="9" t="s">
        <v>90</v>
      </c>
      <c r="F1033" s="5">
        <v>2027</v>
      </c>
      <c r="G1033" s="5">
        <v>1150</v>
      </c>
      <c r="H1033" s="5">
        <v>2030</v>
      </c>
      <c r="I1033" s="5">
        <v>2142</v>
      </c>
      <c r="J1033" s="5" t="s">
        <v>86</v>
      </c>
      <c r="K1033" s="5">
        <v>23</v>
      </c>
      <c r="L1033" s="5">
        <v>23.038399999999999</v>
      </c>
      <c r="M1033" s="5">
        <v>3.8399999999999997E-2</v>
      </c>
      <c r="N1033" s="9" t="s">
        <v>11846</v>
      </c>
      <c r="O1033" s="9" t="s">
        <v>11847</v>
      </c>
      <c r="P1033" s="5">
        <v>2</v>
      </c>
      <c r="Q1033" s="9"/>
      <c r="R1033" s="9" t="s">
        <v>6040</v>
      </c>
      <c r="S1033" s="9" t="str">
        <f>HYPERLINK("https://seichotoushi-hojo.jp/assets/pdf/koufu_3_4ji/outline_68.pdf","PDFを開く")</f>
        <v>PDFを開く</v>
      </c>
      <c r="T1033" s="9" t="s">
        <v>2191</v>
      </c>
      <c r="U1033" s="9" t="s">
        <v>2192</v>
      </c>
    </row>
    <row r="1034" spans="1:21" ht="39.950000000000003" customHeight="1">
      <c r="A1034" s="2" t="s">
        <v>2185</v>
      </c>
      <c r="B1034" s="2" t="s">
        <v>1595</v>
      </c>
      <c r="C1034" s="8" t="s">
        <v>2186</v>
      </c>
      <c r="D1034" s="8" t="s">
        <v>3184</v>
      </c>
      <c r="E1034" s="8" t="s">
        <v>90</v>
      </c>
      <c r="F1034" s="2">
        <v>2027</v>
      </c>
      <c r="G1034" s="2">
        <v>530</v>
      </c>
      <c r="H1034" s="2">
        <v>2030</v>
      </c>
      <c r="I1034" s="2">
        <v>634</v>
      </c>
      <c r="J1034" s="2" t="s">
        <v>86</v>
      </c>
      <c r="K1034" s="2">
        <v>6.1</v>
      </c>
      <c r="L1034" s="2">
        <v>6.1543999999999999</v>
      </c>
      <c r="M1034" s="2">
        <v>5.4399999999999997E-2</v>
      </c>
      <c r="N1034" s="8" t="s">
        <v>11846</v>
      </c>
      <c r="O1034" s="8" t="s">
        <v>11847</v>
      </c>
      <c r="P1034" s="2">
        <v>2</v>
      </c>
      <c r="Q1034" s="8"/>
      <c r="R1034" s="8" t="s">
        <v>6042</v>
      </c>
      <c r="S1034" s="8" t="str">
        <f>HYPERLINK("https://seichotoushi-hojo.jp/assets/pdf/koufu_3_4ji/outline_68.pdf","PDFを開く")</f>
        <v>PDFを開く</v>
      </c>
      <c r="T1034" s="8" t="s">
        <v>2191</v>
      </c>
      <c r="U1034" s="8" t="s">
        <v>2192</v>
      </c>
    </row>
    <row r="1035" spans="1:21" ht="39.950000000000003" customHeight="1">
      <c r="A1035" s="5" t="s">
        <v>2185</v>
      </c>
      <c r="B1035" s="5" t="s">
        <v>1595</v>
      </c>
      <c r="C1035" s="9" t="s">
        <v>2186</v>
      </c>
      <c r="D1035" s="9" t="s">
        <v>3188</v>
      </c>
      <c r="E1035" s="9" t="s">
        <v>90</v>
      </c>
      <c r="F1035" s="5">
        <v>2027</v>
      </c>
      <c r="G1035" s="5">
        <v>1885</v>
      </c>
      <c r="H1035" s="5">
        <v>2030</v>
      </c>
      <c r="I1035" s="5">
        <v>2183</v>
      </c>
      <c r="J1035" s="5" t="s">
        <v>86</v>
      </c>
      <c r="K1035" s="5">
        <v>5</v>
      </c>
      <c r="L1035" s="5">
        <v>5.0141</v>
      </c>
      <c r="M1035" s="5">
        <v>1.41E-2</v>
      </c>
      <c r="N1035" s="9" t="s">
        <v>11846</v>
      </c>
      <c r="O1035" s="9" t="s">
        <v>11847</v>
      </c>
      <c r="P1035" s="5">
        <v>2</v>
      </c>
      <c r="Q1035" s="9"/>
      <c r="R1035" s="9" t="s">
        <v>6044</v>
      </c>
      <c r="S1035" s="9" t="str">
        <f>HYPERLINK("https://seichotoushi-hojo.jp/assets/pdf/koufu_3_4ji/outline_68.pdf","PDFを開く")</f>
        <v>PDFを開く</v>
      </c>
      <c r="T1035" s="9" t="s">
        <v>2191</v>
      </c>
      <c r="U1035" s="9" t="s">
        <v>2192</v>
      </c>
    </row>
    <row r="1036" spans="1:21" ht="39.950000000000003" customHeight="1">
      <c r="A1036" s="2" t="s">
        <v>2185</v>
      </c>
      <c r="B1036" s="2" t="s">
        <v>1595</v>
      </c>
      <c r="C1036" s="8" t="s">
        <v>2186</v>
      </c>
      <c r="D1036" s="8" t="s">
        <v>3191</v>
      </c>
      <c r="E1036" s="8" t="s">
        <v>92</v>
      </c>
      <c r="F1036" s="2">
        <v>2027</v>
      </c>
      <c r="G1036" s="2">
        <v>237</v>
      </c>
      <c r="H1036" s="2">
        <v>2030</v>
      </c>
      <c r="I1036" s="2">
        <v>274</v>
      </c>
      <c r="J1036" s="2" t="s">
        <v>2513</v>
      </c>
      <c r="K1036" s="2"/>
      <c r="L1036" s="2"/>
      <c r="M1036" s="2"/>
      <c r="N1036" s="8" t="s">
        <v>11846</v>
      </c>
      <c r="O1036" s="8" t="s">
        <v>11847</v>
      </c>
      <c r="P1036" s="2">
        <v>2</v>
      </c>
      <c r="Q1036" s="8"/>
      <c r="R1036" s="8" t="s">
        <v>6046</v>
      </c>
      <c r="S1036" s="8" t="str">
        <f>HYPERLINK("https://seichotoushi-hojo.jp/assets/pdf/koufu_3_4ji/outline_68.pdf","PDFを開く")</f>
        <v>PDFを開く</v>
      </c>
      <c r="T1036" s="8" t="s">
        <v>2191</v>
      </c>
      <c r="U1036" s="8" t="s">
        <v>2192</v>
      </c>
    </row>
    <row r="1037" spans="1:21" ht="39.950000000000003" customHeight="1">
      <c r="A1037" s="5" t="s">
        <v>2193</v>
      </c>
      <c r="B1037" s="5" t="s">
        <v>1595</v>
      </c>
      <c r="C1037" s="9" t="s">
        <v>2194</v>
      </c>
      <c r="D1037" s="9" t="s">
        <v>3176</v>
      </c>
      <c r="E1037" s="9" t="s">
        <v>90</v>
      </c>
      <c r="F1037" s="5">
        <v>2028</v>
      </c>
      <c r="G1037" s="5">
        <v>1415</v>
      </c>
      <c r="H1037" s="5">
        <v>2031</v>
      </c>
      <c r="I1037" s="5">
        <v>3340</v>
      </c>
      <c r="J1037" s="5" t="s">
        <v>86</v>
      </c>
      <c r="K1037" s="5">
        <v>33.1</v>
      </c>
      <c r="L1037" s="5">
        <v>33.146599999999999</v>
      </c>
      <c r="M1037" s="5">
        <v>4.6600000000000003E-2</v>
      </c>
      <c r="N1037" s="9" t="s">
        <v>11846</v>
      </c>
      <c r="O1037" s="9" t="s">
        <v>11847</v>
      </c>
      <c r="P1037" s="5">
        <v>2</v>
      </c>
      <c r="Q1037" s="9"/>
      <c r="R1037" s="9" t="s">
        <v>6048</v>
      </c>
      <c r="S1037" s="9" t="str">
        <f>HYPERLINK("https://seichotoushi-hojo.jp/assets/pdf/koufu_3_4ji/outline_69.pdf","PDFを開く")</f>
        <v>PDFを開く</v>
      </c>
      <c r="T1037" s="9" t="s">
        <v>2198</v>
      </c>
      <c r="U1037" s="9" t="s">
        <v>2199</v>
      </c>
    </row>
    <row r="1038" spans="1:21" ht="39.950000000000003" customHeight="1">
      <c r="A1038" s="2" t="s">
        <v>2193</v>
      </c>
      <c r="B1038" s="2" t="s">
        <v>1595</v>
      </c>
      <c r="C1038" s="8" t="s">
        <v>2194</v>
      </c>
      <c r="D1038" s="8" t="s">
        <v>3184</v>
      </c>
      <c r="E1038" s="8" t="s">
        <v>90</v>
      </c>
      <c r="F1038" s="2">
        <v>2028</v>
      </c>
      <c r="G1038" s="2">
        <v>518</v>
      </c>
      <c r="H1038" s="2">
        <v>2031</v>
      </c>
      <c r="I1038" s="2">
        <v>632</v>
      </c>
      <c r="J1038" s="2" t="s">
        <v>86</v>
      </c>
      <c r="K1038" s="2">
        <v>6.8</v>
      </c>
      <c r="L1038" s="2">
        <v>6.8552</v>
      </c>
      <c r="M1038" s="2">
        <v>5.5199999999999999E-2</v>
      </c>
      <c r="N1038" s="8" t="s">
        <v>11846</v>
      </c>
      <c r="O1038" s="8" t="s">
        <v>11847</v>
      </c>
      <c r="P1038" s="2">
        <v>2</v>
      </c>
      <c r="Q1038" s="8"/>
      <c r="R1038" s="8" t="s">
        <v>6051</v>
      </c>
      <c r="S1038" s="8" t="str">
        <f>HYPERLINK("https://seichotoushi-hojo.jp/assets/pdf/koufu_3_4ji/outline_69.pdf","PDFを開く")</f>
        <v>PDFを開く</v>
      </c>
      <c r="T1038" s="8" t="s">
        <v>2198</v>
      </c>
      <c r="U1038" s="8" t="s">
        <v>2199</v>
      </c>
    </row>
    <row r="1039" spans="1:21" ht="39.950000000000003" customHeight="1">
      <c r="A1039" s="5" t="s">
        <v>2193</v>
      </c>
      <c r="B1039" s="5" t="s">
        <v>1595</v>
      </c>
      <c r="C1039" s="9" t="s">
        <v>2194</v>
      </c>
      <c r="D1039" s="9" t="s">
        <v>3188</v>
      </c>
      <c r="E1039" s="9" t="s">
        <v>91</v>
      </c>
      <c r="F1039" s="5">
        <v>2028</v>
      </c>
      <c r="G1039" s="5"/>
      <c r="H1039" s="5">
        <v>2031</v>
      </c>
      <c r="I1039" s="5"/>
      <c r="J1039" s="5" t="s">
        <v>86</v>
      </c>
      <c r="K1039" s="5">
        <v>4.5999999999999996</v>
      </c>
      <c r="L1039" s="5"/>
      <c r="M1039" s="5"/>
      <c r="N1039" s="9" t="s">
        <v>11846</v>
      </c>
      <c r="O1039" s="9" t="s">
        <v>11848</v>
      </c>
      <c r="P1039" s="5">
        <v>2</v>
      </c>
      <c r="Q1039" s="9"/>
      <c r="R1039" s="9" t="s">
        <v>6055</v>
      </c>
      <c r="S1039" s="9" t="str">
        <f>HYPERLINK("https://seichotoushi-hojo.jp/assets/pdf/koufu_3_4ji/outline_69.pdf","PDFを開く")</f>
        <v>PDFを開く</v>
      </c>
      <c r="T1039" s="9" t="s">
        <v>2198</v>
      </c>
      <c r="U1039" s="9" t="s">
        <v>2199</v>
      </c>
    </row>
    <row r="1040" spans="1:21" ht="39.950000000000003" customHeight="1">
      <c r="A1040" s="2" t="s">
        <v>2193</v>
      </c>
      <c r="B1040" s="2" t="s">
        <v>1595</v>
      </c>
      <c r="C1040" s="8" t="s">
        <v>2194</v>
      </c>
      <c r="D1040" s="8" t="s">
        <v>3191</v>
      </c>
      <c r="E1040" s="8" t="s">
        <v>92</v>
      </c>
      <c r="F1040" s="2">
        <v>2028</v>
      </c>
      <c r="G1040" s="2">
        <v>10</v>
      </c>
      <c r="H1040" s="2">
        <v>2031</v>
      </c>
      <c r="I1040" s="2">
        <v>30</v>
      </c>
      <c r="J1040" s="2" t="s">
        <v>2513</v>
      </c>
      <c r="K1040" s="2"/>
      <c r="L1040" s="2"/>
      <c r="M1040" s="2"/>
      <c r="N1040" s="8" t="s">
        <v>11846</v>
      </c>
      <c r="O1040" s="8" t="s">
        <v>11847</v>
      </c>
      <c r="P1040" s="2">
        <v>2</v>
      </c>
      <c r="Q1040" s="8"/>
      <c r="R1040" s="8" t="s">
        <v>6053</v>
      </c>
      <c r="S1040" s="8" t="str">
        <f>HYPERLINK("https://seichotoushi-hojo.jp/assets/pdf/koufu_3_4ji/outline_69.pdf","PDFを開く")</f>
        <v>PDFを開く</v>
      </c>
      <c r="T1040" s="8" t="s">
        <v>2198</v>
      </c>
      <c r="U1040" s="8" t="s">
        <v>2199</v>
      </c>
    </row>
    <row r="1041" spans="1:21" ht="39.950000000000003" customHeight="1">
      <c r="A1041" s="5" t="s">
        <v>2200</v>
      </c>
      <c r="B1041" s="5" t="s">
        <v>1595</v>
      </c>
      <c r="C1041" s="9" t="s">
        <v>706</v>
      </c>
      <c r="D1041" s="9" t="s">
        <v>3176</v>
      </c>
      <c r="E1041" s="9" t="s">
        <v>90</v>
      </c>
      <c r="F1041" s="5">
        <v>2027</v>
      </c>
      <c r="G1041" s="5">
        <v>1597</v>
      </c>
      <c r="H1041" s="5">
        <v>2030</v>
      </c>
      <c r="I1041" s="5">
        <v>2409</v>
      </c>
      <c r="J1041" s="5" t="s">
        <v>86</v>
      </c>
      <c r="K1041" s="5">
        <v>14.7</v>
      </c>
      <c r="L1041" s="5">
        <v>14.6861</v>
      </c>
      <c r="M1041" s="5">
        <v>1.3899999999999999E-2</v>
      </c>
      <c r="N1041" s="9" t="s">
        <v>11846</v>
      </c>
      <c r="O1041" s="9" t="s">
        <v>11847</v>
      </c>
      <c r="P1041" s="5">
        <v>2</v>
      </c>
      <c r="Q1041" s="9"/>
      <c r="R1041" s="9" t="s">
        <v>6059</v>
      </c>
      <c r="S1041" s="9" t="str">
        <f>HYPERLINK("https://seichotoushi-hojo.jp/assets/pdf/koufu_3_4ji/outline_70.pdf","PDFを開く")</f>
        <v>PDFを開く</v>
      </c>
      <c r="T1041" s="9" t="s">
        <v>2205</v>
      </c>
      <c r="U1041" s="9" t="s">
        <v>2206</v>
      </c>
    </row>
    <row r="1042" spans="1:21" ht="39.950000000000003" customHeight="1">
      <c r="A1042" s="2" t="s">
        <v>2200</v>
      </c>
      <c r="B1042" s="2" t="s">
        <v>1595</v>
      </c>
      <c r="C1042" s="8" t="s">
        <v>706</v>
      </c>
      <c r="D1042" s="8" t="s">
        <v>3184</v>
      </c>
      <c r="E1042" s="8" t="s">
        <v>90</v>
      </c>
      <c r="F1042" s="2">
        <v>2027</v>
      </c>
      <c r="G1042" s="2">
        <v>694</v>
      </c>
      <c r="H1042" s="2">
        <v>2030</v>
      </c>
      <c r="I1042" s="2">
        <v>811</v>
      </c>
      <c r="J1042" s="2" t="s">
        <v>86</v>
      </c>
      <c r="K1042" s="2">
        <v>5.3</v>
      </c>
      <c r="L1042" s="2">
        <v>5.3304</v>
      </c>
      <c r="M1042" s="2">
        <v>3.04E-2</v>
      </c>
      <c r="N1042" s="8" t="s">
        <v>11846</v>
      </c>
      <c r="O1042" s="8" t="s">
        <v>11847</v>
      </c>
      <c r="P1042" s="2">
        <v>2</v>
      </c>
      <c r="Q1042" s="8"/>
      <c r="R1042" s="8" t="s">
        <v>6061</v>
      </c>
      <c r="S1042" s="8" t="str">
        <f>HYPERLINK("https://seichotoushi-hojo.jp/assets/pdf/koufu_3_4ji/outline_70.pdf","PDFを開く")</f>
        <v>PDFを開く</v>
      </c>
      <c r="T1042" s="8" t="s">
        <v>2205</v>
      </c>
      <c r="U1042" s="8" t="s">
        <v>2206</v>
      </c>
    </row>
    <row r="1043" spans="1:21" ht="39.950000000000003" customHeight="1">
      <c r="A1043" s="5" t="s">
        <v>2200</v>
      </c>
      <c r="B1043" s="5" t="s">
        <v>1595</v>
      </c>
      <c r="C1043" s="9" t="s">
        <v>706</v>
      </c>
      <c r="D1043" s="9" t="s">
        <v>3188</v>
      </c>
      <c r="E1043" s="9" t="s">
        <v>91</v>
      </c>
      <c r="F1043" s="5">
        <v>2027</v>
      </c>
      <c r="G1043" s="5"/>
      <c r="H1043" s="5">
        <v>2030</v>
      </c>
      <c r="I1043" s="5"/>
      <c r="J1043" s="5" t="s">
        <v>86</v>
      </c>
      <c r="K1043" s="5">
        <v>5.2</v>
      </c>
      <c r="L1043" s="5"/>
      <c r="M1043" s="5"/>
      <c r="N1043" s="9" t="s">
        <v>11846</v>
      </c>
      <c r="O1043" s="9" t="s">
        <v>11848</v>
      </c>
      <c r="P1043" s="5">
        <v>2</v>
      </c>
      <c r="Q1043" s="9"/>
      <c r="R1043" s="9" t="s">
        <v>6065</v>
      </c>
      <c r="S1043" s="9" t="str">
        <f>HYPERLINK("https://seichotoushi-hojo.jp/assets/pdf/koufu_3_4ji/outline_70.pdf","PDFを開く")</f>
        <v>PDFを開く</v>
      </c>
      <c r="T1043" s="9" t="s">
        <v>2205</v>
      </c>
      <c r="U1043" s="9" t="s">
        <v>2206</v>
      </c>
    </row>
    <row r="1044" spans="1:21" ht="39.950000000000003" customHeight="1">
      <c r="A1044" s="2" t="s">
        <v>2200</v>
      </c>
      <c r="B1044" s="2" t="s">
        <v>1595</v>
      </c>
      <c r="C1044" s="8" t="s">
        <v>706</v>
      </c>
      <c r="D1044" s="8" t="s">
        <v>3191</v>
      </c>
      <c r="E1044" s="8" t="s">
        <v>92</v>
      </c>
      <c r="F1044" s="2">
        <v>2027</v>
      </c>
      <c r="G1044" s="2">
        <v>126</v>
      </c>
      <c r="H1044" s="2">
        <v>2030</v>
      </c>
      <c r="I1044" s="2">
        <v>158</v>
      </c>
      <c r="J1044" s="2" t="s">
        <v>2513</v>
      </c>
      <c r="K1044" s="2"/>
      <c r="L1044" s="2"/>
      <c r="M1044" s="2"/>
      <c r="N1044" s="8" t="s">
        <v>11846</v>
      </c>
      <c r="O1044" s="8" t="s">
        <v>11847</v>
      </c>
      <c r="P1044" s="2">
        <v>2</v>
      </c>
      <c r="Q1044" s="8"/>
      <c r="R1044" s="8" t="s">
        <v>6063</v>
      </c>
      <c r="S1044" s="8" t="str">
        <f>HYPERLINK("https://seichotoushi-hojo.jp/assets/pdf/koufu_3_4ji/outline_70.pdf","PDFを開く")</f>
        <v>PDFを開く</v>
      </c>
      <c r="T1044" s="8" t="s">
        <v>2205</v>
      </c>
      <c r="U1044" s="8" t="s">
        <v>2206</v>
      </c>
    </row>
    <row r="1045" spans="1:21" ht="39.950000000000003" customHeight="1">
      <c r="A1045" s="5" t="s">
        <v>2207</v>
      </c>
      <c r="B1045" s="5" t="s">
        <v>1595</v>
      </c>
      <c r="C1045" s="9" t="s">
        <v>2208</v>
      </c>
      <c r="D1045" s="9" t="s">
        <v>3176</v>
      </c>
      <c r="E1045" s="9" t="s">
        <v>90</v>
      </c>
      <c r="F1045" s="5">
        <v>2028</v>
      </c>
      <c r="G1045" s="5">
        <v>552</v>
      </c>
      <c r="H1045" s="5">
        <v>2031</v>
      </c>
      <c r="I1045" s="5">
        <v>2422</v>
      </c>
      <c r="J1045" s="5" t="s">
        <v>86</v>
      </c>
      <c r="K1045" s="5">
        <v>63.7</v>
      </c>
      <c r="L1045" s="5">
        <v>63.711199999999998</v>
      </c>
      <c r="M1045" s="5">
        <v>1.12E-2</v>
      </c>
      <c r="N1045" s="9" t="s">
        <v>11846</v>
      </c>
      <c r="O1045" s="9" t="s">
        <v>11847</v>
      </c>
      <c r="P1045" s="5">
        <v>2</v>
      </c>
      <c r="Q1045" s="9"/>
      <c r="R1045" s="9" t="s">
        <v>6069</v>
      </c>
      <c r="S1045" s="9" t="str">
        <f>HYPERLINK("https://seichotoushi-hojo.jp/assets/pdf/koufu_3_4ji/outline_71.pdf","PDFを開く")</f>
        <v>PDFを開く</v>
      </c>
      <c r="T1045" s="9" t="s">
        <v>2213</v>
      </c>
      <c r="U1045" s="9" t="s">
        <v>2214</v>
      </c>
    </row>
    <row r="1046" spans="1:21" ht="39.950000000000003" customHeight="1">
      <c r="A1046" s="2" t="s">
        <v>2207</v>
      </c>
      <c r="B1046" s="2" t="s">
        <v>1595</v>
      </c>
      <c r="C1046" s="8" t="s">
        <v>2208</v>
      </c>
      <c r="D1046" s="8" t="s">
        <v>3184</v>
      </c>
      <c r="E1046" s="8" t="s">
        <v>90</v>
      </c>
      <c r="F1046" s="2">
        <v>2028</v>
      </c>
      <c r="G1046" s="2">
        <v>458</v>
      </c>
      <c r="H1046" s="2">
        <v>2031</v>
      </c>
      <c r="I1046" s="2">
        <v>569</v>
      </c>
      <c r="J1046" s="2" t="s">
        <v>86</v>
      </c>
      <c r="K1046" s="2">
        <v>7.5</v>
      </c>
      <c r="L1046" s="2">
        <v>7.5018000000000002</v>
      </c>
      <c r="M1046" s="2">
        <v>1.8E-3</v>
      </c>
      <c r="N1046" s="8" t="s">
        <v>11846</v>
      </c>
      <c r="O1046" s="8" t="s">
        <v>11847</v>
      </c>
      <c r="P1046" s="2">
        <v>2</v>
      </c>
      <c r="Q1046" s="8"/>
      <c r="R1046" s="8" t="s">
        <v>6073</v>
      </c>
      <c r="S1046" s="8" t="str">
        <f>HYPERLINK("https://seichotoushi-hojo.jp/assets/pdf/koufu_3_4ji/outline_71.pdf","PDFを開く")</f>
        <v>PDFを開く</v>
      </c>
      <c r="T1046" s="8" t="s">
        <v>2213</v>
      </c>
      <c r="U1046" s="8" t="s">
        <v>2214</v>
      </c>
    </row>
    <row r="1047" spans="1:21" ht="39.950000000000003" customHeight="1">
      <c r="A1047" s="5" t="s">
        <v>2207</v>
      </c>
      <c r="B1047" s="5" t="s">
        <v>1595</v>
      </c>
      <c r="C1047" s="9" t="s">
        <v>2208</v>
      </c>
      <c r="D1047" s="9" t="s">
        <v>3188</v>
      </c>
      <c r="E1047" s="9" t="s">
        <v>91</v>
      </c>
      <c r="F1047" s="5">
        <v>2028</v>
      </c>
      <c r="G1047" s="5"/>
      <c r="H1047" s="5">
        <v>2031</v>
      </c>
      <c r="I1047" s="5"/>
      <c r="J1047" s="5" t="s">
        <v>86</v>
      </c>
      <c r="K1047" s="5">
        <v>7.5</v>
      </c>
      <c r="L1047" s="5"/>
      <c r="M1047" s="5"/>
      <c r="N1047" s="9" t="s">
        <v>11846</v>
      </c>
      <c r="O1047" s="9" t="s">
        <v>11848</v>
      </c>
      <c r="P1047" s="5">
        <v>2</v>
      </c>
      <c r="Q1047" s="9"/>
      <c r="R1047" s="9" t="s">
        <v>6078</v>
      </c>
      <c r="S1047" s="9" t="str">
        <f>HYPERLINK("https://seichotoushi-hojo.jp/assets/pdf/koufu_3_4ji/outline_71.pdf","PDFを開く")</f>
        <v>PDFを開く</v>
      </c>
      <c r="T1047" s="9" t="s">
        <v>2213</v>
      </c>
      <c r="U1047" s="9" t="s">
        <v>2214</v>
      </c>
    </row>
    <row r="1048" spans="1:21" ht="39.950000000000003" customHeight="1">
      <c r="A1048" s="2" t="s">
        <v>2207</v>
      </c>
      <c r="B1048" s="2" t="s">
        <v>1595</v>
      </c>
      <c r="C1048" s="8" t="s">
        <v>2208</v>
      </c>
      <c r="D1048" s="8" t="s">
        <v>3191</v>
      </c>
      <c r="E1048" s="8" t="s">
        <v>92</v>
      </c>
      <c r="F1048" s="2">
        <v>2028</v>
      </c>
      <c r="G1048" s="2">
        <v>110</v>
      </c>
      <c r="H1048" s="2">
        <v>2031</v>
      </c>
      <c r="I1048" s="2">
        <v>140</v>
      </c>
      <c r="J1048" s="2" t="s">
        <v>2513</v>
      </c>
      <c r="K1048" s="2"/>
      <c r="L1048" s="2"/>
      <c r="M1048" s="2"/>
      <c r="N1048" s="8" t="s">
        <v>11846</v>
      </c>
      <c r="O1048" s="8" t="s">
        <v>11847</v>
      </c>
      <c r="P1048" s="2">
        <v>2</v>
      </c>
      <c r="Q1048" s="8"/>
      <c r="R1048" s="8" t="s">
        <v>6075</v>
      </c>
      <c r="S1048" s="8" t="str">
        <f>HYPERLINK("https://seichotoushi-hojo.jp/assets/pdf/koufu_3_4ji/outline_71.pdf","PDFを開く")</f>
        <v>PDFを開く</v>
      </c>
      <c r="T1048" s="8" t="s">
        <v>2213</v>
      </c>
      <c r="U1048" s="8" t="s">
        <v>2214</v>
      </c>
    </row>
    <row r="1049" spans="1:21" ht="39.950000000000003" customHeight="1">
      <c r="A1049" s="5" t="s">
        <v>2215</v>
      </c>
      <c r="B1049" s="5" t="s">
        <v>1595</v>
      </c>
      <c r="C1049" s="9" t="s">
        <v>2216</v>
      </c>
      <c r="D1049" s="9" t="s">
        <v>3176</v>
      </c>
      <c r="E1049" s="9" t="s">
        <v>90</v>
      </c>
      <c r="F1049" s="5">
        <v>2026</v>
      </c>
      <c r="G1049" s="5">
        <v>695</v>
      </c>
      <c r="H1049" s="5">
        <v>2029</v>
      </c>
      <c r="I1049" s="5">
        <v>1461</v>
      </c>
      <c r="J1049" s="5" t="s">
        <v>86</v>
      </c>
      <c r="K1049" s="5">
        <v>28.1</v>
      </c>
      <c r="L1049" s="5">
        <v>28.101800000000001</v>
      </c>
      <c r="M1049" s="5">
        <v>1.8E-3</v>
      </c>
      <c r="N1049" s="9" t="s">
        <v>11846</v>
      </c>
      <c r="O1049" s="9" t="s">
        <v>11847</v>
      </c>
      <c r="P1049" s="5">
        <v>2</v>
      </c>
      <c r="Q1049" s="9"/>
      <c r="R1049" s="9" t="s">
        <v>6081</v>
      </c>
      <c r="S1049" s="9" t="str">
        <f>HYPERLINK("https://seichotoushi-hojo.jp/assets/pdf/koufu_3_4ji/outline_72.pdf","PDFを開く")</f>
        <v>PDFを開く</v>
      </c>
      <c r="T1049" s="9" t="s">
        <v>2220</v>
      </c>
      <c r="U1049" s="9" t="s">
        <v>2221</v>
      </c>
    </row>
    <row r="1050" spans="1:21" ht="39.950000000000003" customHeight="1">
      <c r="A1050" s="2" t="s">
        <v>2215</v>
      </c>
      <c r="B1050" s="2" t="s">
        <v>1595</v>
      </c>
      <c r="C1050" s="8" t="s">
        <v>2216</v>
      </c>
      <c r="D1050" s="8" t="s">
        <v>3184</v>
      </c>
      <c r="E1050" s="8" t="s">
        <v>92</v>
      </c>
      <c r="F1050" s="2">
        <v>2026</v>
      </c>
      <c r="G1050" s="2">
        <v>475</v>
      </c>
      <c r="H1050" s="2">
        <v>2029</v>
      </c>
      <c r="I1050" s="2">
        <v>548</v>
      </c>
      <c r="J1050" s="2" t="s">
        <v>86</v>
      </c>
      <c r="K1050" s="2"/>
      <c r="L1050" s="2">
        <v>4.8807</v>
      </c>
      <c r="M1050" s="2"/>
      <c r="N1050" s="8" t="s">
        <v>11846</v>
      </c>
      <c r="O1050" s="8" t="s">
        <v>11852</v>
      </c>
      <c r="P1050" s="2">
        <v>2</v>
      </c>
      <c r="Q1050" s="8"/>
      <c r="R1050" s="8" t="s">
        <v>6083</v>
      </c>
      <c r="S1050" s="8" t="str">
        <f>HYPERLINK("https://seichotoushi-hojo.jp/assets/pdf/koufu_3_4ji/outline_72.pdf","PDFを開く")</f>
        <v>PDFを開く</v>
      </c>
      <c r="T1050" s="8" t="s">
        <v>2220</v>
      </c>
      <c r="U1050" s="8" t="s">
        <v>2221</v>
      </c>
    </row>
    <row r="1051" spans="1:21" ht="39.950000000000003" customHeight="1">
      <c r="A1051" s="5" t="s">
        <v>2215</v>
      </c>
      <c r="B1051" s="5" t="s">
        <v>1595</v>
      </c>
      <c r="C1051" s="9" t="s">
        <v>2216</v>
      </c>
      <c r="D1051" s="9" t="s">
        <v>3188</v>
      </c>
      <c r="E1051" s="9" t="s">
        <v>91</v>
      </c>
      <c r="F1051" s="5">
        <v>2026</v>
      </c>
      <c r="G1051" s="5"/>
      <c r="H1051" s="5">
        <v>2029</v>
      </c>
      <c r="I1051" s="5"/>
      <c r="J1051" s="5" t="s">
        <v>86</v>
      </c>
      <c r="K1051" s="5">
        <v>4.8</v>
      </c>
      <c r="L1051" s="5"/>
      <c r="M1051" s="5"/>
      <c r="N1051" s="9" t="s">
        <v>11846</v>
      </c>
      <c r="O1051" s="9" t="s">
        <v>11848</v>
      </c>
      <c r="P1051" s="5">
        <v>2</v>
      </c>
      <c r="Q1051" s="9"/>
      <c r="R1051" s="9" t="s">
        <v>6089</v>
      </c>
      <c r="S1051" s="9" t="str">
        <f>HYPERLINK("https://seichotoushi-hojo.jp/assets/pdf/koufu_3_4ji/outline_72.pdf","PDFを開く")</f>
        <v>PDFを開く</v>
      </c>
      <c r="T1051" s="9" t="s">
        <v>2220</v>
      </c>
      <c r="U1051" s="9" t="s">
        <v>2221</v>
      </c>
    </row>
    <row r="1052" spans="1:21" ht="39.950000000000003" customHeight="1">
      <c r="A1052" s="2" t="s">
        <v>2215</v>
      </c>
      <c r="B1052" s="2" t="s">
        <v>1595</v>
      </c>
      <c r="C1052" s="8" t="s">
        <v>2216</v>
      </c>
      <c r="D1052" s="8" t="s">
        <v>3191</v>
      </c>
      <c r="E1052" s="8" t="s">
        <v>92</v>
      </c>
      <c r="F1052" s="2">
        <v>2026</v>
      </c>
      <c r="G1052" s="2">
        <v>59</v>
      </c>
      <c r="H1052" s="2">
        <v>2029</v>
      </c>
      <c r="I1052" s="2">
        <v>80</v>
      </c>
      <c r="J1052" s="2" t="s">
        <v>2513</v>
      </c>
      <c r="K1052" s="2"/>
      <c r="L1052" s="2"/>
      <c r="M1052" s="2"/>
      <c r="N1052" s="8" t="s">
        <v>11846</v>
      </c>
      <c r="O1052" s="8" t="s">
        <v>11847</v>
      </c>
      <c r="P1052" s="2">
        <v>2</v>
      </c>
      <c r="Q1052" s="8"/>
      <c r="R1052" s="8" t="s">
        <v>6087</v>
      </c>
      <c r="S1052" s="8" t="str">
        <f>HYPERLINK("https://seichotoushi-hojo.jp/assets/pdf/koufu_3_4ji/outline_72.pdf","PDFを開く")</f>
        <v>PDFを開く</v>
      </c>
      <c r="T1052" s="8" t="s">
        <v>2220</v>
      </c>
      <c r="U1052" s="8" t="s">
        <v>2221</v>
      </c>
    </row>
    <row r="1053" spans="1:21" ht="39.950000000000003" customHeight="1">
      <c r="A1053" s="5" t="s">
        <v>2222</v>
      </c>
      <c r="B1053" s="5" t="s">
        <v>1595</v>
      </c>
      <c r="C1053" s="9" t="s">
        <v>2223</v>
      </c>
      <c r="D1053" s="9" t="s">
        <v>3176</v>
      </c>
      <c r="E1053" s="9" t="s">
        <v>90</v>
      </c>
      <c r="F1053" s="5">
        <v>2028</v>
      </c>
      <c r="G1053" s="5">
        <v>539</v>
      </c>
      <c r="H1053" s="5">
        <v>2031</v>
      </c>
      <c r="I1053" s="5">
        <v>713</v>
      </c>
      <c r="J1053" s="5" t="s">
        <v>86</v>
      </c>
      <c r="K1053" s="5">
        <v>9.8000000000000007</v>
      </c>
      <c r="L1053" s="5">
        <v>9.7742000000000004</v>
      </c>
      <c r="M1053" s="5">
        <v>2.58E-2</v>
      </c>
      <c r="N1053" s="9" t="s">
        <v>11846</v>
      </c>
      <c r="O1053" s="9" t="s">
        <v>11847</v>
      </c>
      <c r="P1053" s="5">
        <v>3</v>
      </c>
      <c r="Q1053" s="9"/>
      <c r="R1053" s="9" t="s">
        <v>6092</v>
      </c>
      <c r="S1053" s="9" t="str">
        <f>HYPERLINK("https://seichotoushi-hojo.jp/assets/pdf/koufu_3_4ji/outline_73.pdf","PDFを開く")</f>
        <v>PDFを開く</v>
      </c>
      <c r="T1053" s="9" t="s">
        <v>2226</v>
      </c>
      <c r="U1053" s="9" t="s">
        <v>2227</v>
      </c>
    </row>
    <row r="1054" spans="1:21" ht="39.950000000000003" customHeight="1">
      <c r="A1054" s="2" t="s">
        <v>2222</v>
      </c>
      <c r="B1054" s="2" t="s">
        <v>1595</v>
      </c>
      <c r="C1054" s="8" t="s">
        <v>2223</v>
      </c>
      <c r="D1054" s="8" t="s">
        <v>3184</v>
      </c>
      <c r="E1054" s="8" t="s">
        <v>90</v>
      </c>
      <c r="F1054" s="2">
        <v>2028</v>
      </c>
      <c r="G1054" s="2">
        <v>339</v>
      </c>
      <c r="H1054" s="2">
        <v>2031</v>
      </c>
      <c r="I1054" s="2">
        <v>437</v>
      </c>
      <c r="J1054" s="2" t="s">
        <v>86</v>
      </c>
      <c r="K1054" s="2">
        <v>8.9</v>
      </c>
      <c r="L1054" s="2">
        <v>8.8330000000000002</v>
      </c>
      <c r="M1054" s="2">
        <v>6.7000000000000004E-2</v>
      </c>
      <c r="N1054" s="8" t="s">
        <v>11846</v>
      </c>
      <c r="O1054" s="8" t="s">
        <v>11847</v>
      </c>
      <c r="P1054" s="2">
        <v>3</v>
      </c>
      <c r="Q1054" s="8"/>
      <c r="R1054" s="8" t="s">
        <v>6093</v>
      </c>
      <c r="S1054" s="8" t="str">
        <f>HYPERLINK("https://seichotoushi-hojo.jp/assets/pdf/koufu_3_4ji/outline_73.pdf","PDFを開く")</f>
        <v>PDFを開く</v>
      </c>
      <c r="T1054" s="8" t="s">
        <v>2226</v>
      </c>
      <c r="U1054" s="8" t="s">
        <v>2227</v>
      </c>
    </row>
    <row r="1055" spans="1:21" ht="39.950000000000003" customHeight="1">
      <c r="A1055" s="5" t="s">
        <v>2222</v>
      </c>
      <c r="B1055" s="5" t="s">
        <v>1595</v>
      </c>
      <c r="C1055" s="9" t="s">
        <v>2223</v>
      </c>
      <c r="D1055" s="9" t="s">
        <v>3188</v>
      </c>
      <c r="E1055" s="9" t="s">
        <v>156</v>
      </c>
      <c r="F1055" s="5"/>
      <c r="G1055" s="5"/>
      <c r="H1055" s="5"/>
      <c r="I1055" s="5"/>
      <c r="J1055" s="5"/>
      <c r="K1055" s="5"/>
      <c r="L1055" s="5"/>
      <c r="M1055" s="5"/>
      <c r="N1055" s="9" t="s">
        <v>11850</v>
      </c>
      <c r="O1055" s="9"/>
      <c r="P1055" s="5"/>
      <c r="Q1055" s="9" t="s">
        <v>11851</v>
      </c>
      <c r="R1055" s="9"/>
      <c r="S1055" s="9" t="str">
        <f>HYPERLINK("https://seichotoushi-hojo.jp/assets/pdf/koufu_3_4ji/outline_73.pdf","PDFを開く")</f>
        <v>PDFを開く</v>
      </c>
      <c r="T1055" s="9" t="s">
        <v>2226</v>
      </c>
      <c r="U1055" s="9" t="s">
        <v>2227</v>
      </c>
    </row>
    <row r="1056" spans="1:21" ht="39.950000000000003" customHeight="1">
      <c r="A1056" s="2" t="s">
        <v>2222</v>
      </c>
      <c r="B1056" s="2" t="s">
        <v>1595</v>
      </c>
      <c r="C1056" s="8" t="s">
        <v>2223</v>
      </c>
      <c r="D1056" s="8" t="s">
        <v>3191</v>
      </c>
      <c r="E1056" s="8" t="s">
        <v>92</v>
      </c>
      <c r="F1056" s="2">
        <v>2028</v>
      </c>
      <c r="G1056" s="2">
        <v>490</v>
      </c>
      <c r="H1056" s="2">
        <v>2031</v>
      </c>
      <c r="I1056" s="2">
        <v>674</v>
      </c>
      <c r="J1056" s="2" t="s">
        <v>2513</v>
      </c>
      <c r="K1056" s="2"/>
      <c r="L1056" s="2"/>
      <c r="M1056" s="2"/>
      <c r="N1056" s="8" t="s">
        <v>11846</v>
      </c>
      <c r="O1056" s="8" t="s">
        <v>11847</v>
      </c>
      <c r="P1056" s="2">
        <v>3</v>
      </c>
      <c r="Q1056" s="8"/>
      <c r="R1056" s="8" t="s">
        <v>6094</v>
      </c>
      <c r="S1056" s="8" t="str">
        <f>HYPERLINK("https://seichotoushi-hojo.jp/assets/pdf/koufu_3_4ji/outline_73.pdf","PDFを開く")</f>
        <v>PDFを開く</v>
      </c>
      <c r="T1056" s="8" t="s">
        <v>2226</v>
      </c>
      <c r="U1056" s="8" t="s">
        <v>2227</v>
      </c>
    </row>
    <row r="1057" spans="1:21" ht="39.950000000000003" customHeight="1">
      <c r="A1057" s="5" t="s">
        <v>2228</v>
      </c>
      <c r="B1057" s="5" t="s">
        <v>1595</v>
      </c>
      <c r="C1057" s="9" t="s">
        <v>2229</v>
      </c>
      <c r="D1057" s="9" t="s">
        <v>3176</v>
      </c>
      <c r="E1057" s="9" t="s">
        <v>90</v>
      </c>
      <c r="F1057" s="5">
        <v>2027</v>
      </c>
      <c r="G1057" s="5">
        <v>822</v>
      </c>
      <c r="H1057" s="5">
        <v>2030</v>
      </c>
      <c r="I1057" s="5">
        <v>1587</v>
      </c>
      <c r="J1057" s="5" t="s">
        <v>86</v>
      </c>
      <c r="K1057" s="5">
        <v>24.5</v>
      </c>
      <c r="L1057" s="5">
        <v>24.518799999999999</v>
      </c>
      <c r="M1057" s="5">
        <v>1.8800000000000001E-2</v>
      </c>
      <c r="N1057" s="9" t="s">
        <v>11846</v>
      </c>
      <c r="O1057" s="9" t="s">
        <v>11847</v>
      </c>
      <c r="P1057" s="5">
        <v>3</v>
      </c>
      <c r="Q1057" s="9"/>
      <c r="R1057" s="9" t="s">
        <v>6097</v>
      </c>
      <c r="S1057" s="9" t="str">
        <f>HYPERLINK("https://seichotoushi-hojo.jp/assets/pdf/koufu_3_4ji/outline_74.pdf","PDFを開く")</f>
        <v>PDFを開く</v>
      </c>
      <c r="T1057" s="9" t="s">
        <v>2235</v>
      </c>
      <c r="U1057" s="9" t="s">
        <v>2236</v>
      </c>
    </row>
    <row r="1058" spans="1:21" ht="39.950000000000003" customHeight="1">
      <c r="A1058" s="2" t="s">
        <v>2228</v>
      </c>
      <c r="B1058" s="2" t="s">
        <v>1595</v>
      </c>
      <c r="C1058" s="8" t="s">
        <v>2229</v>
      </c>
      <c r="D1058" s="8" t="s">
        <v>3184</v>
      </c>
      <c r="E1058" s="8" t="s">
        <v>90</v>
      </c>
      <c r="F1058" s="2">
        <v>2027</v>
      </c>
      <c r="G1058" s="2">
        <v>386</v>
      </c>
      <c r="H1058" s="2">
        <v>2030</v>
      </c>
      <c r="I1058" s="2">
        <v>470</v>
      </c>
      <c r="J1058" s="2" t="s">
        <v>86</v>
      </c>
      <c r="K1058" s="2">
        <v>6</v>
      </c>
      <c r="L1058" s="2">
        <v>6.7832999999999997</v>
      </c>
      <c r="M1058" s="2">
        <v>0.7833</v>
      </c>
      <c r="N1058" s="8" t="s">
        <v>11846</v>
      </c>
      <c r="O1058" s="8" t="s">
        <v>11847</v>
      </c>
      <c r="P1058" s="2">
        <v>3</v>
      </c>
      <c r="Q1058" s="8"/>
      <c r="R1058" s="8" t="s">
        <v>6098</v>
      </c>
      <c r="S1058" s="8" t="str">
        <f>HYPERLINK("https://seichotoushi-hojo.jp/assets/pdf/koufu_3_4ji/outline_74.pdf","PDFを開く")</f>
        <v>PDFを開く</v>
      </c>
      <c r="T1058" s="8" t="s">
        <v>2235</v>
      </c>
      <c r="U1058" s="8" t="s">
        <v>2236</v>
      </c>
    </row>
    <row r="1059" spans="1:21" ht="39.950000000000003" customHeight="1">
      <c r="A1059" s="5" t="s">
        <v>2228</v>
      </c>
      <c r="B1059" s="5" t="s">
        <v>1595</v>
      </c>
      <c r="C1059" s="9" t="s">
        <v>2229</v>
      </c>
      <c r="D1059" s="9" t="s">
        <v>3188</v>
      </c>
      <c r="E1059" s="9" t="s">
        <v>90</v>
      </c>
      <c r="F1059" s="5">
        <v>2027</v>
      </c>
      <c r="G1059" s="5">
        <v>1603</v>
      </c>
      <c r="H1059" s="5">
        <v>2030</v>
      </c>
      <c r="I1059" s="5">
        <v>1829</v>
      </c>
      <c r="J1059" s="5" t="s">
        <v>86</v>
      </c>
      <c r="K1059" s="5">
        <v>4.5</v>
      </c>
      <c r="L1059" s="5">
        <v>4.4945000000000004</v>
      </c>
      <c r="M1059" s="5">
        <v>5.4999999999999997E-3</v>
      </c>
      <c r="N1059" s="9" t="s">
        <v>11846</v>
      </c>
      <c r="O1059" s="9" t="s">
        <v>11847</v>
      </c>
      <c r="P1059" s="5">
        <v>3</v>
      </c>
      <c r="Q1059" s="9"/>
      <c r="R1059" s="9" t="s">
        <v>6100</v>
      </c>
      <c r="S1059" s="9" t="str">
        <f>HYPERLINK("https://seichotoushi-hojo.jp/assets/pdf/koufu_3_4ji/outline_74.pdf","PDFを開く")</f>
        <v>PDFを開く</v>
      </c>
      <c r="T1059" s="9" t="s">
        <v>2235</v>
      </c>
      <c r="U1059" s="9" t="s">
        <v>2236</v>
      </c>
    </row>
    <row r="1060" spans="1:21" ht="39.950000000000003" customHeight="1">
      <c r="A1060" s="2" t="s">
        <v>2228</v>
      </c>
      <c r="B1060" s="2" t="s">
        <v>1595</v>
      </c>
      <c r="C1060" s="8" t="s">
        <v>2229</v>
      </c>
      <c r="D1060" s="8" t="s">
        <v>3191</v>
      </c>
      <c r="E1060" s="8" t="s">
        <v>92</v>
      </c>
      <c r="F1060" s="2">
        <v>2027</v>
      </c>
      <c r="G1060" s="2">
        <v>324</v>
      </c>
      <c r="H1060" s="2">
        <v>2030</v>
      </c>
      <c r="I1060" s="2">
        <v>355</v>
      </c>
      <c r="J1060" s="2" t="s">
        <v>2513</v>
      </c>
      <c r="K1060" s="2"/>
      <c r="L1060" s="2"/>
      <c r="M1060" s="2"/>
      <c r="N1060" s="8" t="s">
        <v>11846</v>
      </c>
      <c r="O1060" s="8" t="s">
        <v>11847</v>
      </c>
      <c r="P1060" s="2">
        <v>3</v>
      </c>
      <c r="Q1060" s="8"/>
      <c r="R1060" s="8" t="s">
        <v>6102</v>
      </c>
      <c r="S1060" s="8" t="str">
        <f>HYPERLINK("https://seichotoushi-hojo.jp/assets/pdf/koufu_3_4ji/outline_74.pdf","PDFを開く")</f>
        <v>PDFを開く</v>
      </c>
      <c r="T1060" s="8" t="s">
        <v>2235</v>
      </c>
      <c r="U1060" s="8" t="s">
        <v>2236</v>
      </c>
    </row>
    <row r="1061" spans="1:21" ht="39.950000000000003" customHeight="1">
      <c r="A1061" s="5" t="s">
        <v>2237</v>
      </c>
      <c r="B1061" s="5" t="s">
        <v>1595</v>
      </c>
      <c r="C1061" s="9" t="s">
        <v>2238</v>
      </c>
      <c r="D1061" s="9" t="s">
        <v>3176</v>
      </c>
      <c r="E1061" s="9" t="s">
        <v>90</v>
      </c>
      <c r="F1061" s="5">
        <v>2027</v>
      </c>
      <c r="G1061" s="5">
        <v>1401</v>
      </c>
      <c r="H1061" s="5">
        <v>2030</v>
      </c>
      <c r="I1061" s="5">
        <v>3079</v>
      </c>
      <c r="J1061" s="5" t="s">
        <v>86</v>
      </c>
      <c r="K1061" s="5">
        <v>30</v>
      </c>
      <c r="L1061" s="5">
        <v>30.014099999999999</v>
      </c>
      <c r="M1061" s="5">
        <v>1.41E-2</v>
      </c>
      <c r="N1061" s="9" t="s">
        <v>11846</v>
      </c>
      <c r="O1061" s="9" t="s">
        <v>11847</v>
      </c>
      <c r="P1061" s="5">
        <v>2</v>
      </c>
      <c r="Q1061" s="9"/>
      <c r="R1061" s="9" t="s">
        <v>6105</v>
      </c>
      <c r="S1061" s="9" t="str">
        <f>HYPERLINK("https://seichotoushi-hojo.jp/assets/pdf/koufu_3_4ji/outline_77.pdf","PDFを開く")</f>
        <v>PDFを開く</v>
      </c>
      <c r="T1061" s="9" t="s">
        <v>2243</v>
      </c>
      <c r="U1061" s="9" t="s">
        <v>2244</v>
      </c>
    </row>
    <row r="1062" spans="1:21" ht="39.950000000000003" customHeight="1">
      <c r="A1062" s="2" t="s">
        <v>2237</v>
      </c>
      <c r="B1062" s="2" t="s">
        <v>1595</v>
      </c>
      <c r="C1062" s="8" t="s">
        <v>2238</v>
      </c>
      <c r="D1062" s="8" t="s">
        <v>3184</v>
      </c>
      <c r="E1062" s="8" t="s">
        <v>90</v>
      </c>
      <c r="F1062" s="2">
        <v>2027</v>
      </c>
      <c r="G1062" s="2">
        <v>350</v>
      </c>
      <c r="H1062" s="2">
        <v>2030</v>
      </c>
      <c r="I1062" s="2">
        <v>426</v>
      </c>
      <c r="J1062" s="2" t="s">
        <v>86</v>
      </c>
      <c r="K1062" s="2">
        <v>6.8</v>
      </c>
      <c r="L1062" s="2">
        <v>6.7694999999999999</v>
      </c>
      <c r="M1062" s="2">
        <v>3.0499999999999999E-2</v>
      </c>
      <c r="N1062" s="8" t="s">
        <v>11846</v>
      </c>
      <c r="O1062" s="8" t="s">
        <v>11847</v>
      </c>
      <c r="P1062" s="2">
        <v>2</v>
      </c>
      <c r="Q1062" s="8"/>
      <c r="R1062" s="8" t="s">
        <v>6107</v>
      </c>
      <c r="S1062" s="8" t="str">
        <f>HYPERLINK("https://seichotoushi-hojo.jp/assets/pdf/koufu_3_4ji/outline_77.pdf","PDFを開く")</f>
        <v>PDFを開く</v>
      </c>
      <c r="T1062" s="8" t="s">
        <v>2243</v>
      </c>
      <c r="U1062" s="8" t="s">
        <v>2244</v>
      </c>
    </row>
    <row r="1063" spans="1:21" ht="39.950000000000003" customHeight="1">
      <c r="A1063" s="5" t="s">
        <v>2237</v>
      </c>
      <c r="B1063" s="5" t="s">
        <v>1595</v>
      </c>
      <c r="C1063" s="9" t="s">
        <v>2238</v>
      </c>
      <c r="D1063" s="9" t="s">
        <v>3188</v>
      </c>
      <c r="E1063" s="9" t="s">
        <v>156</v>
      </c>
      <c r="F1063" s="5"/>
      <c r="G1063" s="5"/>
      <c r="H1063" s="5"/>
      <c r="I1063" s="5"/>
      <c r="J1063" s="5"/>
      <c r="K1063" s="5"/>
      <c r="L1063" s="5"/>
      <c r="M1063" s="5"/>
      <c r="N1063" s="9" t="s">
        <v>11850</v>
      </c>
      <c r="O1063" s="9"/>
      <c r="P1063" s="5"/>
      <c r="Q1063" s="9" t="s">
        <v>11851</v>
      </c>
      <c r="R1063" s="9"/>
      <c r="S1063" s="9" t="str">
        <f>HYPERLINK("https://seichotoushi-hojo.jp/assets/pdf/koufu_3_4ji/outline_77.pdf","PDFを開く")</f>
        <v>PDFを開く</v>
      </c>
      <c r="T1063" s="9" t="s">
        <v>2243</v>
      </c>
      <c r="U1063" s="9" t="s">
        <v>2244</v>
      </c>
    </row>
    <row r="1064" spans="1:21" ht="39.950000000000003" customHeight="1">
      <c r="A1064" s="2" t="s">
        <v>2237</v>
      </c>
      <c r="B1064" s="2" t="s">
        <v>1595</v>
      </c>
      <c r="C1064" s="8" t="s">
        <v>2238</v>
      </c>
      <c r="D1064" s="8" t="s">
        <v>3191</v>
      </c>
      <c r="E1064" s="8" t="s">
        <v>92</v>
      </c>
      <c r="F1064" s="2">
        <v>2027</v>
      </c>
      <c r="G1064" s="2">
        <v>115</v>
      </c>
      <c r="H1064" s="2">
        <v>2030</v>
      </c>
      <c r="I1064" s="2">
        <v>203</v>
      </c>
      <c r="J1064" s="2" t="s">
        <v>2513</v>
      </c>
      <c r="K1064" s="2"/>
      <c r="L1064" s="2"/>
      <c r="M1064" s="2"/>
      <c r="N1064" s="8" t="s">
        <v>11846</v>
      </c>
      <c r="O1064" s="8" t="s">
        <v>11847</v>
      </c>
      <c r="P1064" s="2">
        <v>2</v>
      </c>
      <c r="Q1064" s="8"/>
      <c r="R1064" s="8" t="s">
        <v>6109</v>
      </c>
      <c r="S1064" s="8" t="str">
        <f>HYPERLINK("https://seichotoushi-hojo.jp/assets/pdf/koufu_3_4ji/outline_77.pdf","PDFを開く")</f>
        <v>PDFを開く</v>
      </c>
      <c r="T1064" s="8" t="s">
        <v>2243</v>
      </c>
      <c r="U1064" s="8" t="s">
        <v>2244</v>
      </c>
    </row>
    <row r="1065" spans="1:21" ht="39.950000000000003" customHeight="1">
      <c r="A1065" s="5" t="s">
        <v>2245</v>
      </c>
      <c r="B1065" s="5" t="s">
        <v>1595</v>
      </c>
      <c r="C1065" s="9" t="s">
        <v>2246</v>
      </c>
      <c r="D1065" s="9" t="s">
        <v>3176</v>
      </c>
      <c r="E1065" s="9" t="s">
        <v>90</v>
      </c>
      <c r="F1065" s="5">
        <v>2026</v>
      </c>
      <c r="G1065" s="5">
        <v>1548</v>
      </c>
      <c r="H1065" s="5">
        <v>2029</v>
      </c>
      <c r="I1065" s="5">
        <v>2949</v>
      </c>
      <c r="J1065" s="5" t="s">
        <v>86</v>
      </c>
      <c r="K1065" s="5">
        <v>24</v>
      </c>
      <c r="L1065" s="5">
        <v>23.965599999999998</v>
      </c>
      <c r="M1065" s="5">
        <v>3.44E-2</v>
      </c>
      <c r="N1065" s="9" t="s">
        <v>11846</v>
      </c>
      <c r="O1065" s="9" t="s">
        <v>11847</v>
      </c>
      <c r="P1065" s="5">
        <v>2</v>
      </c>
      <c r="Q1065" s="9"/>
      <c r="R1065" s="9" t="s">
        <v>6112</v>
      </c>
      <c r="S1065" s="9" t="str">
        <f>HYPERLINK("https://seichotoushi-hojo.jp/assets/pdf/koufu_3_4ji/outline_78.pdf","PDFを開く")</f>
        <v>PDFを開く</v>
      </c>
      <c r="T1065" s="9" t="s">
        <v>2250</v>
      </c>
      <c r="U1065" s="9" t="s">
        <v>2251</v>
      </c>
    </row>
    <row r="1066" spans="1:21" ht="39.950000000000003" customHeight="1">
      <c r="A1066" s="2" t="s">
        <v>2245</v>
      </c>
      <c r="B1066" s="2" t="s">
        <v>1595</v>
      </c>
      <c r="C1066" s="8" t="s">
        <v>2246</v>
      </c>
      <c r="D1066" s="8" t="s">
        <v>3184</v>
      </c>
      <c r="E1066" s="8" t="s">
        <v>90</v>
      </c>
      <c r="F1066" s="2">
        <v>2026</v>
      </c>
      <c r="G1066" s="2">
        <v>456</v>
      </c>
      <c r="H1066" s="2">
        <v>2029</v>
      </c>
      <c r="I1066" s="2">
        <v>559</v>
      </c>
      <c r="J1066" s="2" t="s">
        <v>86</v>
      </c>
      <c r="K1066" s="2">
        <v>7</v>
      </c>
      <c r="L1066" s="2">
        <v>7.0243000000000002</v>
      </c>
      <c r="M1066" s="2">
        <v>2.4299999999999999E-2</v>
      </c>
      <c r="N1066" s="8" t="s">
        <v>11846</v>
      </c>
      <c r="O1066" s="8" t="s">
        <v>11847</v>
      </c>
      <c r="P1066" s="2">
        <v>2</v>
      </c>
      <c r="Q1066" s="8"/>
      <c r="R1066" s="8" t="s">
        <v>6114</v>
      </c>
      <c r="S1066" s="8" t="str">
        <f>HYPERLINK("https://seichotoushi-hojo.jp/assets/pdf/koufu_3_4ji/outline_78.pdf","PDFを開く")</f>
        <v>PDFを開く</v>
      </c>
      <c r="T1066" s="8" t="s">
        <v>2250</v>
      </c>
      <c r="U1066" s="8" t="s">
        <v>2251</v>
      </c>
    </row>
    <row r="1067" spans="1:21" ht="39.950000000000003" customHeight="1">
      <c r="A1067" s="5" t="s">
        <v>2245</v>
      </c>
      <c r="B1067" s="5" t="s">
        <v>1595</v>
      </c>
      <c r="C1067" s="9" t="s">
        <v>2246</v>
      </c>
      <c r="D1067" s="9" t="s">
        <v>3188</v>
      </c>
      <c r="E1067" s="9" t="s">
        <v>156</v>
      </c>
      <c r="F1067" s="5"/>
      <c r="G1067" s="5"/>
      <c r="H1067" s="5"/>
      <c r="I1067" s="5"/>
      <c r="J1067" s="5"/>
      <c r="K1067" s="5"/>
      <c r="L1067" s="5"/>
      <c r="M1067" s="5"/>
      <c r="N1067" s="9" t="s">
        <v>11850</v>
      </c>
      <c r="O1067" s="9"/>
      <c r="P1067" s="5"/>
      <c r="Q1067" s="9" t="s">
        <v>11851</v>
      </c>
      <c r="R1067" s="9"/>
      <c r="S1067" s="9" t="str">
        <f>HYPERLINK("https://seichotoushi-hojo.jp/assets/pdf/koufu_3_4ji/outline_78.pdf","PDFを開く")</f>
        <v>PDFを開く</v>
      </c>
      <c r="T1067" s="9" t="s">
        <v>2250</v>
      </c>
      <c r="U1067" s="9" t="s">
        <v>2251</v>
      </c>
    </row>
    <row r="1068" spans="1:21" ht="39.950000000000003" customHeight="1">
      <c r="A1068" s="2" t="s">
        <v>2245</v>
      </c>
      <c r="B1068" s="2" t="s">
        <v>1595</v>
      </c>
      <c r="C1068" s="8" t="s">
        <v>2246</v>
      </c>
      <c r="D1068" s="8" t="s">
        <v>3191</v>
      </c>
      <c r="E1068" s="8" t="s">
        <v>92</v>
      </c>
      <c r="F1068" s="2">
        <v>2026</v>
      </c>
      <c r="G1068" s="2">
        <v>108</v>
      </c>
      <c r="H1068" s="2">
        <v>2029</v>
      </c>
      <c r="I1068" s="2">
        <v>131</v>
      </c>
      <c r="J1068" s="2" t="s">
        <v>2513</v>
      </c>
      <c r="K1068" s="2"/>
      <c r="L1068" s="2"/>
      <c r="M1068" s="2"/>
      <c r="N1068" s="8" t="s">
        <v>11846</v>
      </c>
      <c r="O1068" s="8" t="s">
        <v>11847</v>
      </c>
      <c r="P1068" s="2">
        <v>2</v>
      </c>
      <c r="Q1068" s="8"/>
      <c r="R1068" s="8" t="s">
        <v>6115</v>
      </c>
      <c r="S1068" s="8" t="str">
        <f>HYPERLINK("https://seichotoushi-hojo.jp/assets/pdf/koufu_3_4ji/outline_78.pdf","PDFを開く")</f>
        <v>PDFを開く</v>
      </c>
      <c r="T1068" s="8" t="s">
        <v>2250</v>
      </c>
      <c r="U1068" s="8" t="s">
        <v>2251</v>
      </c>
    </row>
    <row r="1069" spans="1:21" ht="39.950000000000003" customHeight="1">
      <c r="A1069" s="5" t="s">
        <v>2252</v>
      </c>
      <c r="B1069" s="5" t="s">
        <v>1595</v>
      </c>
      <c r="C1069" s="9" t="s">
        <v>2253</v>
      </c>
      <c r="D1069" s="9" t="s">
        <v>3176</v>
      </c>
      <c r="E1069" s="9" t="s">
        <v>90</v>
      </c>
      <c r="F1069" s="5">
        <v>2026</v>
      </c>
      <c r="G1069" s="5">
        <v>560</v>
      </c>
      <c r="H1069" s="5">
        <v>2029</v>
      </c>
      <c r="I1069" s="5">
        <v>1055</v>
      </c>
      <c r="J1069" s="5" t="s">
        <v>86</v>
      </c>
      <c r="K1069" s="5">
        <v>23.5</v>
      </c>
      <c r="L1069" s="5">
        <v>23.506</v>
      </c>
      <c r="M1069" s="5">
        <v>6.0000000000000001E-3</v>
      </c>
      <c r="N1069" s="9" t="s">
        <v>11846</v>
      </c>
      <c r="O1069" s="9" t="s">
        <v>11847</v>
      </c>
      <c r="P1069" s="5">
        <v>2</v>
      </c>
      <c r="Q1069" s="9"/>
      <c r="R1069" s="9" t="s">
        <v>6117</v>
      </c>
      <c r="S1069" s="9" t="str">
        <f>HYPERLINK("https://seichotoushi-hojo.jp/assets/pdf/koufu_3_4ji/outline_79.pdf","PDFを開く")</f>
        <v>PDFを開く</v>
      </c>
      <c r="T1069" s="9" t="s">
        <v>2257</v>
      </c>
      <c r="U1069" s="9" t="s">
        <v>2258</v>
      </c>
    </row>
    <row r="1070" spans="1:21" ht="39.950000000000003" customHeight="1">
      <c r="A1070" s="2" t="s">
        <v>2252</v>
      </c>
      <c r="B1070" s="2" t="s">
        <v>1595</v>
      </c>
      <c r="C1070" s="8" t="s">
        <v>2253</v>
      </c>
      <c r="D1070" s="8" t="s">
        <v>3184</v>
      </c>
      <c r="E1070" s="8" t="s">
        <v>90</v>
      </c>
      <c r="F1070" s="2">
        <v>2026</v>
      </c>
      <c r="G1070" s="2">
        <v>379</v>
      </c>
      <c r="H1070" s="2">
        <v>2029</v>
      </c>
      <c r="I1070" s="2">
        <v>478</v>
      </c>
      <c r="J1070" s="2" t="s">
        <v>86</v>
      </c>
      <c r="K1070" s="2">
        <v>8</v>
      </c>
      <c r="L1070" s="2">
        <v>8.0428999999999995</v>
      </c>
      <c r="M1070" s="2">
        <v>4.2900000000000001E-2</v>
      </c>
      <c r="N1070" s="8" t="s">
        <v>11846</v>
      </c>
      <c r="O1070" s="8" t="s">
        <v>11847</v>
      </c>
      <c r="P1070" s="2">
        <v>2</v>
      </c>
      <c r="Q1070" s="8"/>
      <c r="R1070" s="8" t="s">
        <v>6119</v>
      </c>
      <c r="S1070" s="8" t="str">
        <f>HYPERLINK("https://seichotoushi-hojo.jp/assets/pdf/koufu_3_4ji/outline_79.pdf","PDFを開く")</f>
        <v>PDFを開く</v>
      </c>
      <c r="T1070" s="8" t="s">
        <v>2257</v>
      </c>
      <c r="U1070" s="8" t="s">
        <v>2258</v>
      </c>
    </row>
    <row r="1071" spans="1:21" ht="39.950000000000003" customHeight="1">
      <c r="A1071" s="5" t="s">
        <v>2252</v>
      </c>
      <c r="B1071" s="5" t="s">
        <v>1595</v>
      </c>
      <c r="C1071" s="9" t="s">
        <v>2253</v>
      </c>
      <c r="D1071" s="9" t="s">
        <v>3188</v>
      </c>
      <c r="E1071" s="9" t="s">
        <v>91</v>
      </c>
      <c r="F1071" s="5">
        <v>2026</v>
      </c>
      <c r="G1071" s="5"/>
      <c r="H1071" s="5">
        <v>2029</v>
      </c>
      <c r="I1071" s="5"/>
      <c r="J1071" s="5" t="s">
        <v>86</v>
      </c>
      <c r="K1071" s="5">
        <v>8</v>
      </c>
      <c r="L1071" s="5"/>
      <c r="M1071" s="5"/>
      <c r="N1071" s="9" t="s">
        <v>11846</v>
      </c>
      <c r="O1071" s="9" t="s">
        <v>11848</v>
      </c>
      <c r="P1071" s="5">
        <v>2</v>
      </c>
      <c r="Q1071" s="9"/>
      <c r="R1071" s="9" t="s">
        <v>6123</v>
      </c>
      <c r="S1071" s="9" t="str">
        <f>HYPERLINK("https://seichotoushi-hojo.jp/assets/pdf/koufu_3_4ji/outline_79.pdf","PDFを開く")</f>
        <v>PDFを開く</v>
      </c>
      <c r="T1071" s="9" t="s">
        <v>2257</v>
      </c>
      <c r="U1071" s="9" t="s">
        <v>2258</v>
      </c>
    </row>
    <row r="1072" spans="1:21" ht="39.950000000000003" customHeight="1">
      <c r="A1072" s="2" t="s">
        <v>2252</v>
      </c>
      <c r="B1072" s="2" t="s">
        <v>1595</v>
      </c>
      <c r="C1072" s="8" t="s">
        <v>2253</v>
      </c>
      <c r="D1072" s="8" t="s">
        <v>3191</v>
      </c>
      <c r="E1072" s="8" t="s">
        <v>92</v>
      </c>
      <c r="F1072" s="2">
        <v>2026</v>
      </c>
      <c r="G1072" s="2">
        <v>563</v>
      </c>
      <c r="H1072" s="2">
        <v>2029</v>
      </c>
      <c r="I1072" s="2">
        <v>610</v>
      </c>
      <c r="J1072" s="2" t="s">
        <v>2513</v>
      </c>
      <c r="K1072" s="2"/>
      <c r="L1072" s="2"/>
      <c r="M1072" s="2"/>
      <c r="N1072" s="8" t="s">
        <v>11846</v>
      </c>
      <c r="O1072" s="8" t="s">
        <v>11847</v>
      </c>
      <c r="P1072" s="2">
        <v>2</v>
      </c>
      <c r="Q1072" s="8"/>
      <c r="R1072" s="8" t="s">
        <v>6121</v>
      </c>
      <c r="S1072" s="8" t="str">
        <f>HYPERLINK("https://seichotoushi-hojo.jp/assets/pdf/koufu_3_4ji/outline_79.pdf","PDFを開く")</f>
        <v>PDFを開く</v>
      </c>
      <c r="T1072" s="8" t="s">
        <v>2257</v>
      </c>
      <c r="U1072" s="8" t="s">
        <v>2258</v>
      </c>
    </row>
    <row r="1073" spans="1:21" ht="39.950000000000003" customHeight="1">
      <c r="A1073" s="5" t="s">
        <v>2259</v>
      </c>
      <c r="B1073" s="5" t="s">
        <v>1595</v>
      </c>
      <c r="C1073" s="9" t="s">
        <v>2260</v>
      </c>
      <c r="D1073" s="9" t="s">
        <v>3176</v>
      </c>
      <c r="E1073" s="9" t="s">
        <v>90</v>
      </c>
      <c r="F1073" s="5">
        <v>2027</v>
      </c>
      <c r="G1073" s="5">
        <v>1655</v>
      </c>
      <c r="H1073" s="5">
        <v>2030</v>
      </c>
      <c r="I1073" s="5">
        <v>3256</v>
      </c>
      <c r="J1073" s="5" t="s">
        <v>86</v>
      </c>
      <c r="K1073" s="5">
        <v>25.3</v>
      </c>
      <c r="L1073" s="5">
        <v>25.3032</v>
      </c>
      <c r="M1073" s="5">
        <v>3.2000000000000002E-3</v>
      </c>
      <c r="N1073" s="9" t="s">
        <v>11846</v>
      </c>
      <c r="O1073" s="9" t="s">
        <v>11847</v>
      </c>
      <c r="P1073" s="5">
        <v>2</v>
      </c>
      <c r="Q1073" s="9"/>
      <c r="R1073" s="9" t="s">
        <v>6127</v>
      </c>
      <c r="S1073" s="9" t="str">
        <f>HYPERLINK("https://seichotoushi-hojo.jp/assets/pdf/koufu_3_4ji/outline_8.pdf","PDFを開く")</f>
        <v>PDFを開く</v>
      </c>
      <c r="T1073" s="9" t="s">
        <v>2264</v>
      </c>
      <c r="U1073" s="9" t="s">
        <v>2265</v>
      </c>
    </row>
    <row r="1074" spans="1:21" ht="39.950000000000003" customHeight="1">
      <c r="A1074" s="2" t="s">
        <v>2259</v>
      </c>
      <c r="B1074" s="2" t="s">
        <v>1595</v>
      </c>
      <c r="C1074" s="8" t="s">
        <v>2260</v>
      </c>
      <c r="D1074" s="8" t="s">
        <v>3184</v>
      </c>
      <c r="E1074" s="8" t="s">
        <v>90</v>
      </c>
      <c r="F1074" s="2">
        <v>2027</v>
      </c>
      <c r="G1074" s="2">
        <v>760</v>
      </c>
      <c r="H1074" s="2">
        <v>2030</v>
      </c>
      <c r="I1074" s="2">
        <v>957</v>
      </c>
      <c r="J1074" s="2" t="s">
        <v>86</v>
      </c>
      <c r="K1074" s="2">
        <v>8</v>
      </c>
      <c r="L1074" s="2">
        <v>7.9856999999999996</v>
      </c>
      <c r="M1074" s="2">
        <v>1.43E-2</v>
      </c>
      <c r="N1074" s="8" t="s">
        <v>11846</v>
      </c>
      <c r="O1074" s="8" t="s">
        <v>11847</v>
      </c>
      <c r="P1074" s="2">
        <v>2</v>
      </c>
      <c r="Q1074" s="8"/>
      <c r="R1074" s="8" t="s">
        <v>6130</v>
      </c>
      <c r="S1074" s="8" t="str">
        <f>HYPERLINK("https://seichotoushi-hojo.jp/assets/pdf/koufu_3_4ji/outline_8.pdf","PDFを開く")</f>
        <v>PDFを開く</v>
      </c>
      <c r="T1074" s="8" t="s">
        <v>2264</v>
      </c>
      <c r="U1074" s="8" t="s">
        <v>2265</v>
      </c>
    </row>
    <row r="1075" spans="1:21" ht="39.950000000000003" customHeight="1">
      <c r="A1075" s="5" t="s">
        <v>2259</v>
      </c>
      <c r="B1075" s="5" t="s">
        <v>1595</v>
      </c>
      <c r="C1075" s="9" t="s">
        <v>2260</v>
      </c>
      <c r="D1075" s="9" t="s">
        <v>3188</v>
      </c>
      <c r="E1075" s="9" t="s">
        <v>156</v>
      </c>
      <c r="F1075" s="5"/>
      <c r="G1075" s="5"/>
      <c r="H1075" s="5"/>
      <c r="I1075" s="5"/>
      <c r="J1075" s="5"/>
      <c r="K1075" s="5"/>
      <c r="L1075" s="5"/>
      <c r="M1075" s="5"/>
      <c r="N1075" s="9" t="s">
        <v>11850</v>
      </c>
      <c r="O1075" s="9"/>
      <c r="P1075" s="5"/>
      <c r="Q1075" s="9" t="s">
        <v>11851</v>
      </c>
      <c r="R1075" s="9"/>
      <c r="S1075" s="9" t="str">
        <f>HYPERLINK("https://seichotoushi-hojo.jp/assets/pdf/koufu_3_4ji/outline_8.pdf","PDFを開く")</f>
        <v>PDFを開く</v>
      </c>
      <c r="T1075" s="9" t="s">
        <v>2264</v>
      </c>
      <c r="U1075" s="9" t="s">
        <v>2265</v>
      </c>
    </row>
    <row r="1076" spans="1:21" ht="39.950000000000003" customHeight="1">
      <c r="A1076" s="2" t="s">
        <v>2259</v>
      </c>
      <c r="B1076" s="2" t="s">
        <v>1595</v>
      </c>
      <c r="C1076" s="8" t="s">
        <v>2260</v>
      </c>
      <c r="D1076" s="8" t="s">
        <v>3191</v>
      </c>
      <c r="E1076" s="8" t="s">
        <v>92</v>
      </c>
      <c r="F1076" s="2">
        <v>2027</v>
      </c>
      <c r="G1076" s="2">
        <v>324</v>
      </c>
      <c r="H1076" s="2">
        <v>2030</v>
      </c>
      <c r="I1076" s="2">
        <v>350</v>
      </c>
      <c r="J1076" s="2" t="s">
        <v>2513</v>
      </c>
      <c r="K1076" s="2"/>
      <c r="L1076" s="2"/>
      <c r="M1076" s="2"/>
      <c r="N1076" s="8" t="s">
        <v>11846</v>
      </c>
      <c r="O1076" s="8" t="s">
        <v>11847</v>
      </c>
      <c r="P1076" s="2">
        <v>2</v>
      </c>
      <c r="Q1076" s="8"/>
      <c r="R1076" s="8" t="s">
        <v>6132</v>
      </c>
      <c r="S1076" s="8" t="str">
        <f>HYPERLINK("https://seichotoushi-hojo.jp/assets/pdf/koufu_3_4ji/outline_8.pdf","PDFを開く")</f>
        <v>PDFを開く</v>
      </c>
      <c r="T1076" s="8" t="s">
        <v>2264</v>
      </c>
      <c r="U1076" s="8" t="s">
        <v>2265</v>
      </c>
    </row>
    <row r="1077" spans="1:21" ht="39.950000000000003" customHeight="1">
      <c r="A1077" s="5" t="s">
        <v>2266</v>
      </c>
      <c r="B1077" s="5" t="s">
        <v>1595</v>
      </c>
      <c r="C1077" s="9" t="s">
        <v>2267</v>
      </c>
      <c r="D1077" s="9" t="s">
        <v>3176</v>
      </c>
      <c r="E1077" s="9" t="s">
        <v>90</v>
      </c>
      <c r="F1077" s="5">
        <v>2026</v>
      </c>
      <c r="G1077" s="5">
        <v>1408</v>
      </c>
      <c r="H1077" s="5">
        <v>2029</v>
      </c>
      <c r="I1077" s="5">
        <v>2803</v>
      </c>
      <c r="J1077" s="5" t="s">
        <v>86</v>
      </c>
      <c r="K1077" s="5">
        <v>25.8</v>
      </c>
      <c r="L1077" s="5">
        <v>25.797899999999998</v>
      </c>
      <c r="M1077" s="5">
        <v>2.0999999999999999E-3</v>
      </c>
      <c r="N1077" s="9" t="s">
        <v>11846</v>
      </c>
      <c r="O1077" s="9" t="s">
        <v>11847</v>
      </c>
      <c r="P1077" s="5">
        <v>2</v>
      </c>
      <c r="Q1077" s="9"/>
      <c r="R1077" s="9" t="s">
        <v>6134</v>
      </c>
      <c r="S1077" s="9" t="str">
        <f>HYPERLINK("https://seichotoushi-hojo.jp/assets/pdf/koufu_3_4ji/outline_80.pdf","PDFを開く")</f>
        <v>PDFを開く</v>
      </c>
      <c r="T1077" s="9" t="s">
        <v>2272</v>
      </c>
      <c r="U1077" s="9" t="s">
        <v>2273</v>
      </c>
    </row>
    <row r="1078" spans="1:21" ht="39.950000000000003" customHeight="1">
      <c r="A1078" s="2" t="s">
        <v>2266</v>
      </c>
      <c r="B1078" s="2" t="s">
        <v>1595</v>
      </c>
      <c r="C1078" s="8" t="s">
        <v>2267</v>
      </c>
      <c r="D1078" s="8" t="s">
        <v>3184</v>
      </c>
      <c r="E1078" s="8" t="s">
        <v>90</v>
      </c>
      <c r="F1078" s="2">
        <v>2026</v>
      </c>
      <c r="G1078" s="2">
        <v>465</v>
      </c>
      <c r="H1078" s="2">
        <v>2029</v>
      </c>
      <c r="I1078" s="2">
        <v>570</v>
      </c>
      <c r="J1078" s="2" t="s">
        <v>86</v>
      </c>
      <c r="K1078" s="2">
        <v>7</v>
      </c>
      <c r="L1078" s="2">
        <v>7.0221999999999998</v>
      </c>
      <c r="M1078" s="2">
        <v>2.2200000000000001E-2</v>
      </c>
      <c r="N1078" s="8" t="s">
        <v>11846</v>
      </c>
      <c r="O1078" s="8" t="s">
        <v>11847</v>
      </c>
      <c r="P1078" s="2">
        <v>2</v>
      </c>
      <c r="Q1078" s="8"/>
      <c r="R1078" s="8" t="s">
        <v>6136</v>
      </c>
      <c r="S1078" s="8" t="str">
        <f>HYPERLINK("https://seichotoushi-hojo.jp/assets/pdf/koufu_3_4ji/outline_80.pdf","PDFを開く")</f>
        <v>PDFを開く</v>
      </c>
      <c r="T1078" s="8" t="s">
        <v>2272</v>
      </c>
      <c r="U1078" s="8" t="s">
        <v>2273</v>
      </c>
    </row>
    <row r="1079" spans="1:21" ht="39.950000000000003" customHeight="1">
      <c r="A1079" s="5" t="s">
        <v>2266</v>
      </c>
      <c r="B1079" s="5" t="s">
        <v>1595</v>
      </c>
      <c r="C1079" s="9" t="s">
        <v>2267</v>
      </c>
      <c r="D1079" s="9" t="s">
        <v>3188</v>
      </c>
      <c r="E1079" s="9" t="s">
        <v>156</v>
      </c>
      <c r="F1079" s="5"/>
      <c r="G1079" s="5"/>
      <c r="H1079" s="5"/>
      <c r="I1079" s="5"/>
      <c r="J1079" s="5"/>
      <c r="K1079" s="5"/>
      <c r="L1079" s="5"/>
      <c r="M1079" s="5"/>
      <c r="N1079" s="9" t="s">
        <v>11850</v>
      </c>
      <c r="O1079" s="9"/>
      <c r="P1079" s="5"/>
      <c r="Q1079" s="9" t="s">
        <v>11851</v>
      </c>
      <c r="R1079" s="9"/>
      <c r="S1079" s="9" t="str">
        <f>HYPERLINK("https://seichotoushi-hojo.jp/assets/pdf/koufu_3_4ji/outline_80.pdf","PDFを開く")</f>
        <v>PDFを開く</v>
      </c>
      <c r="T1079" s="9" t="s">
        <v>2272</v>
      </c>
      <c r="U1079" s="9" t="s">
        <v>2273</v>
      </c>
    </row>
    <row r="1080" spans="1:21" ht="39.950000000000003" customHeight="1">
      <c r="A1080" s="2" t="s">
        <v>2266</v>
      </c>
      <c r="B1080" s="2" t="s">
        <v>1595</v>
      </c>
      <c r="C1080" s="8" t="s">
        <v>2267</v>
      </c>
      <c r="D1080" s="8" t="s">
        <v>3191</v>
      </c>
      <c r="E1080" s="8" t="s">
        <v>92</v>
      </c>
      <c r="F1080" s="2">
        <v>2026</v>
      </c>
      <c r="G1080" s="2">
        <v>110</v>
      </c>
      <c r="H1080" s="2">
        <v>2029</v>
      </c>
      <c r="I1080" s="2">
        <v>150</v>
      </c>
      <c r="J1080" s="2" t="s">
        <v>2513</v>
      </c>
      <c r="K1080" s="2"/>
      <c r="L1080" s="2"/>
      <c r="M1080" s="2"/>
      <c r="N1080" s="8" t="s">
        <v>11846</v>
      </c>
      <c r="O1080" s="8" t="s">
        <v>11847</v>
      </c>
      <c r="P1080" s="2">
        <v>2</v>
      </c>
      <c r="Q1080" s="8"/>
      <c r="R1080" s="8" t="s">
        <v>6137</v>
      </c>
      <c r="S1080" s="8" t="str">
        <f>HYPERLINK("https://seichotoushi-hojo.jp/assets/pdf/koufu_3_4ji/outline_80.pdf","PDFを開く")</f>
        <v>PDFを開く</v>
      </c>
      <c r="T1080" s="8" t="s">
        <v>2272</v>
      </c>
      <c r="U1080" s="8" t="s">
        <v>2273</v>
      </c>
    </row>
    <row r="1081" spans="1:21" ht="39.950000000000003" customHeight="1">
      <c r="A1081" s="5" t="s">
        <v>2274</v>
      </c>
      <c r="B1081" s="5" t="s">
        <v>1595</v>
      </c>
      <c r="C1081" s="9" t="s">
        <v>2275</v>
      </c>
      <c r="D1081" s="9" t="s">
        <v>3176</v>
      </c>
      <c r="E1081" s="9" t="s">
        <v>90</v>
      </c>
      <c r="F1081" s="5">
        <v>2027</v>
      </c>
      <c r="G1081" s="5">
        <v>1617</v>
      </c>
      <c r="H1081" s="5">
        <v>2030</v>
      </c>
      <c r="I1081" s="5">
        <v>1969</v>
      </c>
      <c r="J1081" s="5" t="s">
        <v>86</v>
      </c>
      <c r="K1081" s="5">
        <v>6.8</v>
      </c>
      <c r="L1081" s="5">
        <v>6.7854000000000001</v>
      </c>
      <c r="M1081" s="5">
        <v>1.46E-2</v>
      </c>
      <c r="N1081" s="9" t="s">
        <v>11846</v>
      </c>
      <c r="O1081" s="9" t="s">
        <v>11847</v>
      </c>
      <c r="P1081" s="5">
        <v>2</v>
      </c>
      <c r="Q1081" s="9"/>
      <c r="R1081" s="9" t="s">
        <v>6139</v>
      </c>
      <c r="S1081" s="9" t="str">
        <f>HYPERLINK("https://seichotoushi-hojo.jp/assets/pdf/koufu_3_4ji/outline_81.pdf","PDFを開く")</f>
        <v>PDFを開く</v>
      </c>
      <c r="T1081" s="9" t="s">
        <v>2281</v>
      </c>
      <c r="U1081" s="9" t="s">
        <v>2282</v>
      </c>
    </row>
    <row r="1082" spans="1:21" ht="39.950000000000003" customHeight="1">
      <c r="A1082" s="2" t="s">
        <v>2274</v>
      </c>
      <c r="B1082" s="2" t="s">
        <v>1595</v>
      </c>
      <c r="C1082" s="8" t="s">
        <v>2275</v>
      </c>
      <c r="D1082" s="8" t="s">
        <v>3184</v>
      </c>
      <c r="E1082" s="8" t="s">
        <v>90</v>
      </c>
      <c r="F1082" s="2">
        <v>2027</v>
      </c>
      <c r="G1082" s="2">
        <v>510</v>
      </c>
      <c r="H1082" s="2">
        <v>2030</v>
      </c>
      <c r="I1082" s="2">
        <v>604</v>
      </c>
      <c r="J1082" s="2" t="s">
        <v>86</v>
      </c>
      <c r="K1082" s="2">
        <v>5.8</v>
      </c>
      <c r="L1082" s="2">
        <v>5.8007999999999997</v>
      </c>
      <c r="M1082" s="2">
        <v>8.0000000000000004E-4</v>
      </c>
      <c r="N1082" s="8" t="s">
        <v>11846</v>
      </c>
      <c r="O1082" s="8" t="s">
        <v>11847</v>
      </c>
      <c r="P1082" s="2">
        <v>2</v>
      </c>
      <c r="Q1082" s="8"/>
      <c r="R1082" s="8" t="s">
        <v>6141</v>
      </c>
      <c r="S1082" s="8" t="str">
        <f>HYPERLINK("https://seichotoushi-hojo.jp/assets/pdf/koufu_3_4ji/outline_81.pdf","PDFを開く")</f>
        <v>PDFを開く</v>
      </c>
      <c r="T1082" s="8" t="s">
        <v>2281</v>
      </c>
      <c r="U1082" s="8" t="s">
        <v>2282</v>
      </c>
    </row>
    <row r="1083" spans="1:21" ht="39.950000000000003" customHeight="1">
      <c r="A1083" s="5" t="s">
        <v>2274</v>
      </c>
      <c r="B1083" s="5" t="s">
        <v>1595</v>
      </c>
      <c r="C1083" s="9" t="s">
        <v>2275</v>
      </c>
      <c r="D1083" s="9" t="s">
        <v>3188</v>
      </c>
      <c r="E1083" s="9" t="s">
        <v>157</v>
      </c>
      <c r="F1083" s="5"/>
      <c r="G1083" s="5"/>
      <c r="H1083" s="5"/>
      <c r="I1083" s="5"/>
      <c r="J1083" s="5"/>
      <c r="K1083" s="5"/>
      <c r="L1083" s="5"/>
      <c r="M1083" s="5"/>
      <c r="N1083" s="9" t="s">
        <v>11850</v>
      </c>
      <c r="O1083" s="9"/>
      <c r="P1083" s="5"/>
      <c r="Q1083" s="9" t="s">
        <v>11851</v>
      </c>
      <c r="R1083" s="9"/>
      <c r="S1083" s="9" t="str">
        <f>HYPERLINK("https://seichotoushi-hojo.jp/assets/pdf/koufu_3_4ji/outline_81.pdf","PDFを開く")</f>
        <v>PDFを開く</v>
      </c>
      <c r="T1083" s="9" t="s">
        <v>2281</v>
      </c>
      <c r="U1083" s="9" t="s">
        <v>2282</v>
      </c>
    </row>
    <row r="1084" spans="1:21" ht="39.950000000000003" customHeight="1">
      <c r="A1084" s="2" t="s">
        <v>2274</v>
      </c>
      <c r="B1084" s="2" t="s">
        <v>1595</v>
      </c>
      <c r="C1084" s="8" t="s">
        <v>2275</v>
      </c>
      <c r="D1084" s="8" t="s">
        <v>3191</v>
      </c>
      <c r="E1084" s="8" t="s">
        <v>92</v>
      </c>
      <c r="F1084" s="2">
        <v>2027</v>
      </c>
      <c r="G1084" s="2">
        <v>640</v>
      </c>
      <c r="H1084" s="2">
        <v>2030</v>
      </c>
      <c r="I1084" s="2">
        <v>670</v>
      </c>
      <c r="J1084" s="2" t="s">
        <v>2513</v>
      </c>
      <c r="K1084" s="2"/>
      <c r="L1084" s="2"/>
      <c r="M1084" s="2"/>
      <c r="N1084" s="8" t="s">
        <v>11846</v>
      </c>
      <c r="O1084" s="8" t="s">
        <v>11847</v>
      </c>
      <c r="P1084" s="2">
        <v>2</v>
      </c>
      <c r="Q1084" s="8"/>
      <c r="R1084" s="8" t="s">
        <v>6142</v>
      </c>
      <c r="S1084" s="8" t="str">
        <f>HYPERLINK("https://seichotoushi-hojo.jp/assets/pdf/koufu_3_4ji/outline_81.pdf","PDFを開く")</f>
        <v>PDFを開く</v>
      </c>
      <c r="T1084" s="8" t="s">
        <v>2281</v>
      </c>
      <c r="U1084" s="8" t="s">
        <v>2282</v>
      </c>
    </row>
    <row r="1085" spans="1:21" ht="39.950000000000003" customHeight="1">
      <c r="A1085" s="5" t="s">
        <v>2283</v>
      </c>
      <c r="B1085" s="5" t="s">
        <v>1595</v>
      </c>
      <c r="C1085" s="9" t="s">
        <v>2284</v>
      </c>
      <c r="D1085" s="9" t="s">
        <v>3176</v>
      </c>
      <c r="E1085" s="9" t="s">
        <v>90</v>
      </c>
      <c r="F1085" s="5">
        <v>2027</v>
      </c>
      <c r="G1085" s="5">
        <v>1957</v>
      </c>
      <c r="H1085" s="5">
        <v>2030</v>
      </c>
      <c r="I1085" s="5">
        <v>4384</v>
      </c>
      <c r="J1085" s="5" t="s">
        <v>86</v>
      </c>
      <c r="K1085" s="5">
        <v>30.8</v>
      </c>
      <c r="L1085" s="5">
        <v>30.845800000000001</v>
      </c>
      <c r="M1085" s="5">
        <v>4.58E-2</v>
      </c>
      <c r="N1085" s="9" t="s">
        <v>11846</v>
      </c>
      <c r="O1085" s="9"/>
      <c r="P1085" s="5">
        <v>2</v>
      </c>
      <c r="Q1085" s="9"/>
      <c r="R1085" s="9" t="s">
        <v>6144</v>
      </c>
      <c r="S1085" s="9" t="str">
        <f>HYPERLINK("https://seichotoushi-hojo.jp/assets/pdf/koufu_3_4ji/outline_82.pdf","PDFを開く")</f>
        <v>PDFを開く</v>
      </c>
      <c r="T1085" s="9" t="s">
        <v>2289</v>
      </c>
      <c r="U1085" s="9" t="s">
        <v>2290</v>
      </c>
    </row>
    <row r="1086" spans="1:21" ht="39.950000000000003" customHeight="1">
      <c r="A1086" s="2" t="s">
        <v>2283</v>
      </c>
      <c r="B1086" s="2" t="s">
        <v>1595</v>
      </c>
      <c r="C1086" s="8" t="s">
        <v>2284</v>
      </c>
      <c r="D1086" s="8" t="s">
        <v>3184</v>
      </c>
      <c r="E1086" s="8" t="s">
        <v>90</v>
      </c>
      <c r="F1086" s="2">
        <v>2027</v>
      </c>
      <c r="G1086" s="2">
        <v>588</v>
      </c>
      <c r="H1086" s="2">
        <v>2030</v>
      </c>
      <c r="I1086" s="2">
        <v>721</v>
      </c>
      <c r="J1086" s="2" t="s">
        <v>86</v>
      </c>
      <c r="K1086" s="2">
        <v>7</v>
      </c>
      <c r="L1086" s="2">
        <v>7.0334000000000003</v>
      </c>
      <c r="M1086" s="2">
        <v>3.3399999999999999E-2</v>
      </c>
      <c r="N1086" s="8" t="s">
        <v>11846</v>
      </c>
      <c r="O1086" s="8"/>
      <c r="P1086" s="2">
        <v>2</v>
      </c>
      <c r="Q1086" s="8"/>
      <c r="R1086" s="8" t="s">
        <v>6145</v>
      </c>
      <c r="S1086" s="8" t="str">
        <f>HYPERLINK("https://seichotoushi-hojo.jp/assets/pdf/koufu_3_4ji/outline_82.pdf","PDFを開く")</f>
        <v>PDFを開く</v>
      </c>
      <c r="T1086" s="8" t="s">
        <v>2289</v>
      </c>
      <c r="U1086" s="8" t="s">
        <v>2290</v>
      </c>
    </row>
    <row r="1087" spans="1:21" ht="39.950000000000003" customHeight="1">
      <c r="A1087" s="5" t="s">
        <v>2283</v>
      </c>
      <c r="B1087" s="5" t="s">
        <v>1595</v>
      </c>
      <c r="C1087" s="9" t="s">
        <v>2284</v>
      </c>
      <c r="D1087" s="9" t="s">
        <v>3188</v>
      </c>
      <c r="E1087" s="9" t="s">
        <v>156</v>
      </c>
      <c r="F1087" s="5"/>
      <c r="G1087" s="5"/>
      <c r="H1087" s="5"/>
      <c r="I1087" s="5"/>
      <c r="J1087" s="5"/>
      <c r="K1087" s="5"/>
      <c r="L1087" s="5"/>
      <c r="M1087" s="5"/>
      <c r="N1087" s="9" t="s">
        <v>11850</v>
      </c>
      <c r="O1087" s="9"/>
      <c r="P1087" s="5"/>
      <c r="Q1087" s="9" t="s">
        <v>11851</v>
      </c>
      <c r="R1087" s="9"/>
      <c r="S1087" s="9" t="str">
        <f>HYPERLINK("https://seichotoushi-hojo.jp/assets/pdf/koufu_3_4ji/outline_82.pdf","PDFを開く")</f>
        <v>PDFを開く</v>
      </c>
      <c r="T1087" s="9" t="s">
        <v>2289</v>
      </c>
      <c r="U1087" s="9" t="s">
        <v>2290</v>
      </c>
    </row>
    <row r="1088" spans="1:21" ht="39.950000000000003" customHeight="1">
      <c r="A1088" s="2" t="s">
        <v>2283</v>
      </c>
      <c r="B1088" s="2" t="s">
        <v>1595</v>
      </c>
      <c r="C1088" s="8" t="s">
        <v>2284</v>
      </c>
      <c r="D1088" s="8" t="s">
        <v>3191</v>
      </c>
      <c r="E1088" s="8" t="s">
        <v>92</v>
      </c>
      <c r="F1088" s="2">
        <v>2027</v>
      </c>
      <c r="G1088" s="2">
        <v>318</v>
      </c>
      <c r="H1088" s="2">
        <v>2030</v>
      </c>
      <c r="I1088" s="2">
        <v>328</v>
      </c>
      <c r="J1088" s="2" t="s">
        <v>2513</v>
      </c>
      <c r="K1088" s="2"/>
      <c r="L1088" s="2"/>
      <c r="M1088" s="2"/>
      <c r="N1088" s="8" t="s">
        <v>11846</v>
      </c>
      <c r="O1088" s="8"/>
      <c r="P1088" s="2">
        <v>2</v>
      </c>
      <c r="Q1088" s="8"/>
      <c r="R1088" s="8" t="s">
        <v>6147</v>
      </c>
      <c r="S1088" s="8" t="str">
        <f>HYPERLINK("https://seichotoushi-hojo.jp/assets/pdf/koufu_3_4ji/outline_82.pdf","PDFを開く")</f>
        <v>PDFを開く</v>
      </c>
      <c r="T1088" s="8" t="s">
        <v>2289</v>
      </c>
      <c r="U1088" s="8" t="s">
        <v>2290</v>
      </c>
    </row>
    <row r="1089" spans="1:21" ht="39.950000000000003" customHeight="1">
      <c r="A1089" s="5" t="s">
        <v>2291</v>
      </c>
      <c r="B1089" s="5" t="s">
        <v>1595</v>
      </c>
      <c r="C1089" s="9" t="s">
        <v>2292</v>
      </c>
      <c r="D1089" s="9" t="s">
        <v>3176</v>
      </c>
      <c r="E1089" s="9" t="s">
        <v>90</v>
      </c>
      <c r="F1089" s="5">
        <v>2027</v>
      </c>
      <c r="G1089" s="5">
        <v>1082</v>
      </c>
      <c r="H1089" s="5">
        <v>2030</v>
      </c>
      <c r="I1089" s="5">
        <v>1825</v>
      </c>
      <c r="J1089" s="5" t="s">
        <v>86</v>
      </c>
      <c r="K1089" s="5">
        <v>19</v>
      </c>
      <c r="L1089" s="5">
        <v>19.036100000000001</v>
      </c>
      <c r="M1089" s="5">
        <v>3.61E-2</v>
      </c>
      <c r="N1089" s="9" t="s">
        <v>11846</v>
      </c>
      <c r="O1089" s="9" t="s">
        <v>11847</v>
      </c>
      <c r="P1089" s="5">
        <v>4</v>
      </c>
      <c r="Q1089" s="9"/>
      <c r="R1089" s="9" t="s">
        <v>6151</v>
      </c>
      <c r="S1089" s="9" t="str">
        <f>HYPERLINK("https://seichotoushi-hojo.jp/assets/pdf/koufu_3_4ji/outline_83.pdf","PDFを開く")</f>
        <v>PDFを開く</v>
      </c>
      <c r="T1089" s="9" t="s">
        <v>2296</v>
      </c>
      <c r="U1089" s="9" t="s">
        <v>2297</v>
      </c>
    </row>
    <row r="1090" spans="1:21" ht="39.950000000000003" customHeight="1">
      <c r="A1090" s="2" t="s">
        <v>2291</v>
      </c>
      <c r="B1090" s="2" t="s">
        <v>1595</v>
      </c>
      <c r="C1090" s="8" t="s">
        <v>2292</v>
      </c>
      <c r="D1090" s="8" t="s">
        <v>3184</v>
      </c>
      <c r="E1090" s="8" t="s">
        <v>90</v>
      </c>
      <c r="F1090" s="2">
        <v>2027</v>
      </c>
      <c r="G1090" s="2">
        <v>599</v>
      </c>
      <c r="H1090" s="2">
        <v>2030</v>
      </c>
      <c r="I1090" s="2">
        <v>713</v>
      </c>
      <c r="J1090" s="2" t="s">
        <v>86</v>
      </c>
      <c r="K1090" s="2">
        <v>6</v>
      </c>
      <c r="L1090" s="2">
        <v>5.9793000000000003</v>
      </c>
      <c r="M1090" s="2">
        <v>2.07E-2</v>
      </c>
      <c r="N1090" s="8" t="s">
        <v>11846</v>
      </c>
      <c r="O1090" s="8" t="s">
        <v>11847</v>
      </c>
      <c r="P1090" s="2">
        <v>4</v>
      </c>
      <c r="Q1090" s="8"/>
      <c r="R1090" s="8" t="s">
        <v>6153</v>
      </c>
      <c r="S1090" s="8" t="str">
        <f>HYPERLINK("https://seichotoushi-hojo.jp/assets/pdf/koufu_3_4ji/outline_83.pdf","PDFを開く")</f>
        <v>PDFを開く</v>
      </c>
      <c r="T1090" s="8" t="s">
        <v>2296</v>
      </c>
      <c r="U1090" s="8" t="s">
        <v>2297</v>
      </c>
    </row>
    <row r="1091" spans="1:21" ht="39.950000000000003" customHeight="1">
      <c r="A1091" s="5" t="s">
        <v>2291</v>
      </c>
      <c r="B1091" s="5" t="s">
        <v>1595</v>
      </c>
      <c r="C1091" s="9" t="s">
        <v>2292</v>
      </c>
      <c r="D1091" s="9" t="s">
        <v>3188</v>
      </c>
      <c r="E1091" s="9" t="s">
        <v>90</v>
      </c>
      <c r="F1091" s="5">
        <v>2027</v>
      </c>
      <c r="G1091" s="5">
        <v>719</v>
      </c>
      <c r="H1091" s="5">
        <v>2030</v>
      </c>
      <c r="I1091" s="5">
        <v>832</v>
      </c>
      <c r="J1091" s="5" t="s">
        <v>86</v>
      </c>
      <c r="K1091" s="5">
        <v>5</v>
      </c>
      <c r="L1091" s="5">
        <v>4.9859999999999998</v>
      </c>
      <c r="M1091" s="5">
        <v>1.4E-2</v>
      </c>
      <c r="N1091" s="9" t="s">
        <v>11846</v>
      </c>
      <c r="O1091" s="9" t="s">
        <v>11847</v>
      </c>
      <c r="P1091" s="5">
        <v>4</v>
      </c>
      <c r="Q1091" s="9"/>
      <c r="R1091" s="9" t="s">
        <v>6154</v>
      </c>
      <c r="S1091" s="9" t="str">
        <f>HYPERLINK("https://seichotoushi-hojo.jp/assets/pdf/koufu_3_4ji/outline_83.pdf","PDFを開く")</f>
        <v>PDFを開く</v>
      </c>
      <c r="T1091" s="9" t="s">
        <v>2296</v>
      </c>
      <c r="U1091" s="9" t="s">
        <v>2297</v>
      </c>
    </row>
    <row r="1092" spans="1:21" ht="39.950000000000003" customHeight="1">
      <c r="A1092" s="2" t="s">
        <v>2291</v>
      </c>
      <c r="B1092" s="2" t="s">
        <v>1595</v>
      </c>
      <c r="C1092" s="8" t="s">
        <v>2292</v>
      </c>
      <c r="D1092" s="8" t="s">
        <v>3191</v>
      </c>
      <c r="E1092" s="8" t="s">
        <v>92</v>
      </c>
      <c r="F1092" s="2">
        <v>2027</v>
      </c>
      <c r="G1092" s="2">
        <v>86</v>
      </c>
      <c r="H1092" s="2">
        <v>2030</v>
      </c>
      <c r="I1092" s="2">
        <v>112</v>
      </c>
      <c r="J1092" s="2" t="s">
        <v>2513</v>
      </c>
      <c r="K1092" s="2">
        <v>9.1999999999999993</v>
      </c>
      <c r="L1092" s="2"/>
      <c r="M1092" s="2"/>
      <c r="N1092" s="8" t="s">
        <v>11846</v>
      </c>
      <c r="O1092" s="8" t="s">
        <v>11847</v>
      </c>
      <c r="P1092" s="2">
        <v>4</v>
      </c>
      <c r="Q1092" s="8"/>
      <c r="R1092" s="8" t="s">
        <v>6156</v>
      </c>
      <c r="S1092" s="8" t="str">
        <f>HYPERLINK("https://seichotoushi-hojo.jp/assets/pdf/koufu_3_4ji/outline_83.pdf","PDFを開く")</f>
        <v>PDFを開く</v>
      </c>
      <c r="T1092" s="8" t="s">
        <v>2296</v>
      </c>
      <c r="U1092" s="8" t="s">
        <v>2297</v>
      </c>
    </row>
    <row r="1093" spans="1:21" ht="39.950000000000003" customHeight="1">
      <c r="A1093" s="5" t="s">
        <v>2298</v>
      </c>
      <c r="B1093" s="5" t="s">
        <v>1595</v>
      </c>
      <c r="C1093" s="9" t="s">
        <v>2299</v>
      </c>
      <c r="D1093" s="9" t="s">
        <v>3176</v>
      </c>
      <c r="E1093" s="9" t="s">
        <v>90</v>
      </c>
      <c r="F1093" s="5">
        <v>2028</v>
      </c>
      <c r="G1093" s="5">
        <v>3829</v>
      </c>
      <c r="H1093" s="5">
        <v>2031</v>
      </c>
      <c r="I1093" s="5">
        <v>3863</v>
      </c>
      <c r="J1093" s="5" t="s">
        <v>86</v>
      </c>
      <c r="K1093" s="5">
        <v>0.3</v>
      </c>
      <c r="L1093" s="5">
        <v>0.29509999999999997</v>
      </c>
      <c r="M1093" s="5">
        <v>4.8999999999999998E-3</v>
      </c>
      <c r="N1093" s="9" t="s">
        <v>11846</v>
      </c>
      <c r="O1093" s="9" t="s">
        <v>11847</v>
      </c>
      <c r="P1093" s="5">
        <v>3</v>
      </c>
      <c r="Q1093" s="9"/>
      <c r="R1093" s="9" t="s">
        <v>6158</v>
      </c>
      <c r="S1093" s="9" t="str">
        <f>HYPERLINK("https://seichotoushi-hojo.jp/assets/pdf/koufu_3_4ji/outline_84.pdf","PDFを開く")</f>
        <v>PDFを開く</v>
      </c>
      <c r="T1093" s="9" t="s">
        <v>2303</v>
      </c>
      <c r="U1093" s="9" t="s">
        <v>2304</v>
      </c>
    </row>
    <row r="1094" spans="1:21" ht="39.950000000000003" customHeight="1">
      <c r="A1094" s="2" t="s">
        <v>2298</v>
      </c>
      <c r="B1094" s="2" t="s">
        <v>1595</v>
      </c>
      <c r="C1094" s="8" t="s">
        <v>2299</v>
      </c>
      <c r="D1094" s="8" t="s">
        <v>3184</v>
      </c>
      <c r="E1094" s="8" t="s">
        <v>90</v>
      </c>
      <c r="F1094" s="2">
        <v>2028</v>
      </c>
      <c r="G1094" s="2">
        <v>1233</v>
      </c>
      <c r="H1094" s="2">
        <v>2031</v>
      </c>
      <c r="I1094" s="2">
        <v>1536</v>
      </c>
      <c r="J1094" s="2" t="s">
        <v>86</v>
      </c>
      <c r="K1094" s="2">
        <v>7.6</v>
      </c>
      <c r="L1094" s="2">
        <v>7.5993000000000004</v>
      </c>
      <c r="M1094" s="2">
        <v>6.9999999999999999E-4</v>
      </c>
      <c r="N1094" s="8" t="s">
        <v>11846</v>
      </c>
      <c r="O1094" s="8" t="s">
        <v>11847</v>
      </c>
      <c r="P1094" s="2">
        <v>3</v>
      </c>
      <c r="Q1094" s="8"/>
      <c r="R1094" s="8" t="s">
        <v>6161</v>
      </c>
      <c r="S1094" s="8" t="str">
        <f>HYPERLINK("https://seichotoushi-hojo.jp/assets/pdf/koufu_3_4ji/outline_84.pdf","PDFを開く")</f>
        <v>PDFを開く</v>
      </c>
      <c r="T1094" s="8" t="s">
        <v>2303</v>
      </c>
      <c r="U1094" s="8" t="s">
        <v>2304</v>
      </c>
    </row>
    <row r="1095" spans="1:21" ht="39.950000000000003" customHeight="1">
      <c r="A1095" s="5" t="s">
        <v>2298</v>
      </c>
      <c r="B1095" s="5" t="s">
        <v>1595</v>
      </c>
      <c r="C1095" s="9" t="s">
        <v>2299</v>
      </c>
      <c r="D1095" s="9" t="s">
        <v>3188</v>
      </c>
      <c r="E1095" s="9" t="s">
        <v>90</v>
      </c>
      <c r="F1095" s="5">
        <v>2028</v>
      </c>
      <c r="G1095" s="5">
        <v>1172</v>
      </c>
      <c r="H1095" s="5">
        <v>2031</v>
      </c>
      <c r="I1095" s="5">
        <v>1442</v>
      </c>
      <c r="J1095" s="5" t="s">
        <v>86</v>
      </c>
      <c r="K1095" s="5">
        <v>7.1</v>
      </c>
      <c r="L1095" s="5">
        <v>7.1550000000000002</v>
      </c>
      <c r="M1095" s="5">
        <v>5.5E-2</v>
      </c>
      <c r="N1095" s="9" t="s">
        <v>11846</v>
      </c>
      <c r="O1095" s="9" t="s">
        <v>11847</v>
      </c>
      <c r="P1095" s="5">
        <v>3</v>
      </c>
      <c r="Q1095" s="9"/>
      <c r="R1095" s="9" t="s">
        <v>6163</v>
      </c>
      <c r="S1095" s="9" t="str">
        <f>HYPERLINK("https://seichotoushi-hojo.jp/assets/pdf/koufu_3_4ji/outline_84.pdf","PDFを開く")</f>
        <v>PDFを開く</v>
      </c>
      <c r="T1095" s="9" t="s">
        <v>2303</v>
      </c>
      <c r="U1095" s="9" t="s">
        <v>2304</v>
      </c>
    </row>
    <row r="1096" spans="1:21" ht="39.950000000000003" customHeight="1">
      <c r="A1096" s="2" t="s">
        <v>2298</v>
      </c>
      <c r="B1096" s="2" t="s">
        <v>1595</v>
      </c>
      <c r="C1096" s="8" t="s">
        <v>2299</v>
      </c>
      <c r="D1096" s="8" t="s">
        <v>3191</v>
      </c>
      <c r="E1096" s="8" t="s">
        <v>92</v>
      </c>
      <c r="F1096" s="2">
        <v>2028</v>
      </c>
      <c r="G1096" s="2">
        <v>135</v>
      </c>
      <c r="H1096" s="2">
        <v>2031</v>
      </c>
      <c r="I1096" s="2">
        <v>155</v>
      </c>
      <c r="J1096" s="2" t="s">
        <v>2513</v>
      </c>
      <c r="K1096" s="2"/>
      <c r="L1096" s="2"/>
      <c r="M1096" s="2"/>
      <c r="N1096" s="8" t="s">
        <v>11846</v>
      </c>
      <c r="O1096" s="8" t="s">
        <v>11847</v>
      </c>
      <c r="P1096" s="2">
        <v>3</v>
      </c>
      <c r="Q1096" s="8"/>
      <c r="R1096" s="8" t="s">
        <v>6165</v>
      </c>
      <c r="S1096" s="8" t="str">
        <f>HYPERLINK("https://seichotoushi-hojo.jp/assets/pdf/koufu_3_4ji/outline_84.pdf","PDFを開く")</f>
        <v>PDFを開く</v>
      </c>
      <c r="T1096" s="8" t="s">
        <v>2303</v>
      </c>
      <c r="U1096" s="8" t="s">
        <v>2304</v>
      </c>
    </row>
    <row r="1097" spans="1:21" ht="39.950000000000003" customHeight="1">
      <c r="A1097" s="5" t="s">
        <v>2305</v>
      </c>
      <c r="B1097" s="5" t="s">
        <v>1595</v>
      </c>
      <c r="C1097" s="9" t="s">
        <v>2306</v>
      </c>
      <c r="D1097" s="9" t="s">
        <v>3176</v>
      </c>
      <c r="E1097" s="9" t="s">
        <v>92</v>
      </c>
      <c r="F1097" s="5">
        <v>2027</v>
      </c>
      <c r="G1097" s="5">
        <v>577</v>
      </c>
      <c r="H1097" s="5">
        <v>2030</v>
      </c>
      <c r="I1097" s="5">
        <v>947</v>
      </c>
      <c r="J1097" s="5" t="s">
        <v>86</v>
      </c>
      <c r="K1097" s="5"/>
      <c r="L1097" s="5">
        <v>17.9573</v>
      </c>
      <c r="M1097" s="5"/>
      <c r="N1097" s="9" t="s">
        <v>11846</v>
      </c>
      <c r="O1097" s="9" t="s">
        <v>11847</v>
      </c>
      <c r="P1097" s="5">
        <v>2</v>
      </c>
      <c r="Q1097" s="9"/>
      <c r="R1097" s="9" t="s">
        <v>6167</v>
      </c>
      <c r="S1097" s="9" t="str">
        <f>HYPERLINK("https://seichotoushi-hojo.jp/assets/pdf/koufu_3_4ji/outline_85.pdf","PDFを開く")</f>
        <v>PDFを開く</v>
      </c>
      <c r="T1097" s="9" t="s">
        <v>2311</v>
      </c>
      <c r="U1097" s="9" t="s">
        <v>2312</v>
      </c>
    </row>
    <row r="1098" spans="1:21" ht="39.950000000000003" customHeight="1">
      <c r="A1098" s="2" t="s">
        <v>2305</v>
      </c>
      <c r="B1098" s="2" t="s">
        <v>1595</v>
      </c>
      <c r="C1098" s="8" t="s">
        <v>2306</v>
      </c>
      <c r="D1098" s="8" t="s">
        <v>3184</v>
      </c>
      <c r="E1098" s="8" t="s">
        <v>92</v>
      </c>
      <c r="F1098" s="2">
        <v>2027</v>
      </c>
      <c r="G1098" s="2">
        <v>349</v>
      </c>
      <c r="H1098" s="2">
        <v>2030</v>
      </c>
      <c r="I1098" s="2">
        <v>433</v>
      </c>
      <c r="J1098" s="2" t="s">
        <v>86</v>
      </c>
      <c r="K1098" s="2"/>
      <c r="L1098" s="2">
        <v>7.4535999999999998</v>
      </c>
      <c r="M1098" s="2"/>
      <c r="N1098" s="8" t="s">
        <v>11846</v>
      </c>
      <c r="O1098" s="8" t="s">
        <v>11852</v>
      </c>
      <c r="P1098" s="2">
        <v>2</v>
      </c>
      <c r="Q1098" s="8"/>
      <c r="R1098" s="8" t="s">
        <v>6170</v>
      </c>
      <c r="S1098" s="8" t="str">
        <f>HYPERLINK("https://seichotoushi-hojo.jp/assets/pdf/koufu_3_4ji/outline_85.pdf","PDFを開く")</f>
        <v>PDFを開く</v>
      </c>
      <c r="T1098" s="8" t="s">
        <v>2311</v>
      </c>
      <c r="U1098" s="8" t="s">
        <v>2312</v>
      </c>
    </row>
    <row r="1099" spans="1:21" ht="39.950000000000003" customHeight="1">
      <c r="A1099" s="5" t="s">
        <v>2305</v>
      </c>
      <c r="B1099" s="5" t="s">
        <v>1595</v>
      </c>
      <c r="C1099" s="9" t="s">
        <v>2306</v>
      </c>
      <c r="D1099" s="9" t="s">
        <v>3188</v>
      </c>
      <c r="E1099" s="9" t="s">
        <v>157</v>
      </c>
      <c r="F1099" s="5"/>
      <c r="G1099" s="5"/>
      <c r="H1099" s="5"/>
      <c r="I1099" s="5"/>
      <c r="J1099" s="5"/>
      <c r="K1099" s="5"/>
      <c r="L1099" s="5"/>
      <c r="M1099" s="5"/>
      <c r="N1099" s="9" t="s">
        <v>11850</v>
      </c>
      <c r="O1099" s="9"/>
      <c r="P1099" s="5"/>
      <c r="Q1099" s="9" t="s">
        <v>11851</v>
      </c>
      <c r="R1099" s="9"/>
      <c r="S1099" s="9" t="str">
        <f>HYPERLINK("https://seichotoushi-hojo.jp/assets/pdf/koufu_3_4ji/outline_85.pdf","PDFを開く")</f>
        <v>PDFを開く</v>
      </c>
      <c r="T1099" s="9" t="s">
        <v>2311</v>
      </c>
      <c r="U1099" s="9" t="s">
        <v>2312</v>
      </c>
    </row>
    <row r="1100" spans="1:21" ht="39.950000000000003" customHeight="1">
      <c r="A1100" s="2" t="s">
        <v>2305</v>
      </c>
      <c r="B1100" s="2" t="s">
        <v>1595</v>
      </c>
      <c r="C1100" s="8" t="s">
        <v>2306</v>
      </c>
      <c r="D1100" s="8" t="s">
        <v>3191</v>
      </c>
      <c r="E1100" s="8" t="s">
        <v>92</v>
      </c>
      <c r="F1100" s="2">
        <v>2027</v>
      </c>
      <c r="G1100" s="2">
        <v>77</v>
      </c>
      <c r="H1100" s="2">
        <v>2030</v>
      </c>
      <c r="I1100" s="2">
        <v>125</v>
      </c>
      <c r="J1100" s="2" t="s">
        <v>2513</v>
      </c>
      <c r="K1100" s="2"/>
      <c r="L1100" s="2"/>
      <c r="M1100" s="2"/>
      <c r="N1100" s="8" t="s">
        <v>11846</v>
      </c>
      <c r="O1100" s="8" t="s">
        <v>11852</v>
      </c>
      <c r="P1100" s="2">
        <v>2</v>
      </c>
      <c r="Q1100" s="8"/>
      <c r="R1100" s="8" t="s">
        <v>6173</v>
      </c>
      <c r="S1100" s="8" t="str">
        <f>HYPERLINK("https://seichotoushi-hojo.jp/assets/pdf/koufu_3_4ji/outline_85.pdf","PDFを開く")</f>
        <v>PDFを開く</v>
      </c>
      <c r="T1100" s="8" t="s">
        <v>2311</v>
      </c>
      <c r="U1100" s="8" t="s">
        <v>2312</v>
      </c>
    </row>
    <row r="1101" spans="1:21" ht="39.950000000000003" customHeight="1">
      <c r="A1101" s="5" t="s">
        <v>2313</v>
      </c>
      <c r="B1101" s="5" t="s">
        <v>1595</v>
      </c>
      <c r="C1101" s="9" t="s">
        <v>2314</v>
      </c>
      <c r="D1101" s="9" t="s">
        <v>3176</v>
      </c>
      <c r="E1101" s="9" t="s">
        <v>90</v>
      </c>
      <c r="F1101" s="5">
        <v>2027</v>
      </c>
      <c r="G1101" s="5">
        <v>5828</v>
      </c>
      <c r="H1101" s="5">
        <v>2030</v>
      </c>
      <c r="I1101" s="5">
        <v>9849</v>
      </c>
      <c r="J1101" s="5" t="s">
        <v>86</v>
      </c>
      <c r="K1101" s="5">
        <v>19.100000000000001</v>
      </c>
      <c r="L1101" s="5">
        <v>19.1126</v>
      </c>
      <c r="M1101" s="5">
        <v>1.26E-2</v>
      </c>
      <c r="N1101" s="9" t="s">
        <v>11846</v>
      </c>
      <c r="O1101" s="9" t="s">
        <v>11847</v>
      </c>
      <c r="P1101" s="5">
        <v>2</v>
      </c>
      <c r="Q1101" s="9"/>
      <c r="R1101" s="9" t="s">
        <v>6175</v>
      </c>
      <c r="S1101" s="9" t="str">
        <f>HYPERLINK("https://seichotoushi-hojo.jp/assets/pdf/koufu_3_4ji/outline_86.pdf","PDFを開く")</f>
        <v>PDFを開く</v>
      </c>
      <c r="T1101" s="9" t="s">
        <v>2318</v>
      </c>
      <c r="U1101" s="9" t="s">
        <v>2319</v>
      </c>
    </row>
    <row r="1102" spans="1:21" ht="39.950000000000003" customHeight="1">
      <c r="A1102" s="2" t="s">
        <v>2313</v>
      </c>
      <c r="B1102" s="2" t="s">
        <v>1595</v>
      </c>
      <c r="C1102" s="8" t="s">
        <v>2314</v>
      </c>
      <c r="D1102" s="8" t="s">
        <v>3184</v>
      </c>
      <c r="E1102" s="8" t="s">
        <v>90</v>
      </c>
      <c r="F1102" s="2">
        <v>2027</v>
      </c>
      <c r="G1102" s="2">
        <v>866</v>
      </c>
      <c r="H1102" s="2">
        <v>2030</v>
      </c>
      <c r="I1102" s="2">
        <v>1076</v>
      </c>
      <c r="J1102" s="2" t="s">
        <v>86</v>
      </c>
      <c r="K1102" s="2">
        <v>7.5</v>
      </c>
      <c r="L1102" s="2">
        <v>7.5057</v>
      </c>
      <c r="M1102" s="2">
        <v>5.7000000000000002E-3</v>
      </c>
      <c r="N1102" s="8" t="s">
        <v>11846</v>
      </c>
      <c r="O1102" s="8" t="s">
        <v>11847</v>
      </c>
      <c r="P1102" s="2">
        <v>2</v>
      </c>
      <c r="Q1102" s="8"/>
      <c r="R1102" s="8" t="s">
        <v>6178</v>
      </c>
      <c r="S1102" s="8" t="str">
        <f>HYPERLINK("https://seichotoushi-hojo.jp/assets/pdf/koufu_3_4ji/outline_86.pdf","PDFを開く")</f>
        <v>PDFを開く</v>
      </c>
      <c r="T1102" s="8" t="s">
        <v>2318</v>
      </c>
      <c r="U1102" s="8" t="s">
        <v>2319</v>
      </c>
    </row>
    <row r="1103" spans="1:21" ht="39.950000000000003" customHeight="1">
      <c r="A1103" s="5" t="s">
        <v>2313</v>
      </c>
      <c r="B1103" s="5" t="s">
        <v>1595</v>
      </c>
      <c r="C1103" s="9" t="s">
        <v>2314</v>
      </c>
      <c r="D1103" s="9" t="s">
        <v>3188</v>
      </c>
      <c r="E1103" s="9" t="s">
        <v>156</v>
      </c>
      <c r="F1103" s="5"/>
      <c r="G1103" s="5"/>
      <c r="H1103" s="5"/>
      <c r="I1103" s="5"/>
      <c r="J1103" s="5"/>
      <c r="K1103" s="5"/>
      <c r="L1103" s="5"/>
      <c r="M1103" s="5"/>
      <c r="N1103" s="9" t="s">
        <v>11850</v>
      </c>
      <c r="O1103" s="9"/>
      <c r="P1103" s="5"/>
      <c r="Q1103" s="9" t="s">
        <v>11851</v>
      </c>
      <c r="R1103" s="9"/>
      <c r="S1103" s="9" t="str">
        <f>HYPERLINK("https://seichotoushi-hojo.jp/assets/pdf/koufu_3_4ji/outline_86.pdf","PDFを開く")</f>
        <v>PDFを開く</v>
      </c>
      <c r="T1103" s="9" t="s">
        <v>2318</v>
      </c>
      <c r="U1103" s="9" t="s">
        <v>2319</v>
      </c>
    </row>
    <row r="1104" spans="1:21" ht="39.950000000000003" customHeight="1">
      <c r="A1104" s="2" t="s">
        <v>2313</v>
      </c>
      <c r="B1104" s="2" t="s">
        <v>1595</v>
      </c>
      <c r="C1104" s="8" t="s">
        <v>2314</v>
      </c>
      <c r="D1104" s="8" t="s">
        <v>3191</v>
      </c>
      <c r="E1104" s="8" t="s">
        <v>92</v>
      </c>
      <c r="F1104" s="2">
        <v>2027</v>
      </c>
      <c r="G1104" s="2">
        <v>219</v>
      </c>
      <c r="H1104" s="2">
        <v>2030</v>
      </c>
      <c r="I1104" s="2">
        <v>230</v>
      </c>
      <c r="J1104" s="2" t="s">
        <v>2513</v>
      </c>
      <c r="K1104" s="2"/>
      <c r="L1104" s="2"/>
      <c r="M1104" s="2"/>
      <c r="N1104" s="8" t="s">
        <v>11846</v>
      </c>
      <c r="O1104" s="8" t="s">
        <v>11847</v>
      </c>
      <c r="P1104" s="2">
        <v>2</v>
      </c>
      <c r="Q1104" s="8"/>
      <c r="R1104" s="8" t="s">
        <v>6180</v>
      </c>
      <c r="S1104" s="8" t="str">
        <f>HYPERLINK("https://seichotoushi-hojo.jp/assets/pdf/koufu_3_4ji/outline_86.pdf","PDFを開く")</f>
        <v>PDFを開く</v>
      </c>
      <c r="T1104" s="8" t="s">
        <v>2318</v>
      </c>
      <c r="U1104" s="8" t="s">
        <v>2319</v>
      </c>
    </row>
    <row r="1105" spans="1:21" ht="39.950000000000003" customHeight="1">
      <c r="A1105" s="5" t="s">
        <v>2320</v>
      </c>
      <c r="B1105" s="5" t="s">
        <v>1595</v>
      </c>
      <c r="C1105" s="9" t="s">
        <v>2321</v>
      </c>
      <c r="D1105" s="9" t="s">
        <v>3176</v>
      </c>
      <c r="E1105" s="9" t="s">
        <v>90</v>
      </c>
      <c r="F1105" s="5">
        <v>2027</v>
      </c>
      <c r="G1105" s="5">
        <v>2662</v>
      </c>
      <c r="H1105" s="5">
        <v>2030</v>
      </c>
      <c r="I1105" s="5">
        <v>5699</v>
      </c>
      <c r="J1105" s="5" t="s">
        <v>86</v>
      </c>
      <c r="K1105" s="5">
        <v>28.9</v>
      </c>
      <c r="L1105" s="5">
        <v>28.883400000000002</v>
      </c>
      <c r="M1105" s="5">
        <v>1.66E-2</v>
      </c>
      <c r="N1105" s="9" t="s">
        <v>11846</v>
      </c>
      <c r="O1105" s="9" t="s">
        <v>11847</v>
      </c>
      <c r="P1105" s="5">
        <v>2</v>
      </c>
      <c r="Q1105" s="9"/>
      <c r="R1105" s="9" t="s">
        <v>6183</v>
      </c>
      <c r="S1105" s="9" t="str">
        <f>HYPERLINK("https://seichotoushi-hojo.jp/assets/pdf/koufu_3_4ji/outline_87.pdf","PDFを開く")</f>
        <v>PDFを開く</v>
      </c>
      <c r="T1105" s="9" t="s">
        <v>2326</v>
      </c>
      <c r="U1105" s="9" t="s">
        <v>2327</v>
      </c>
    </row>
    <row r="1106" spans="1:21" ht="39.950000000000003" customHeight="1">
      <c r="A1106" s="2" t="s">
        <v>2320</v>
      </c>
      <c r="B1106" s="2" t="s">
        <v>1595</v>
      </c>
      <c r="C1106" s="8" t="s">
        <v>2321</v>
      </c>
      <c r="D1106" s="8" t="s">
        <v>3184</v>
      </c>
      <c r="E1106" s="8" t="s">
        <v>90</v>
      </c>
      <c r="F1106" s="2">
        <v>2027</v>
      </c>
      <c r="G1106" s="2">
        <v>398</v>
      </c>
      <c r="H1106" s="2">
        <v>2030</v>
      </c>
      <c r="I1106" s="2">
        <v>473</v>
      </c>
      <c r="J1106" s="2" t="s">
        <v>86</v>
      </c>
      <c r="K1106" s="2">
        <v>6</v>
      </c>
      <c r="L1106" s="2">
        <v>5.9236000000000004</v>
      </c>
      <c r="M1106" s="2">
        <v>7.6399999999999996E-2</v>
      </c>
      <c r="N1106" s="8" t="s">
        <v>11846</v>
      </c>
      <c r="O1106" s="8" t="s">
        <v>11847</v>
      </c>
      <c r="P1106" s="2">
        <v>2</v>
      </c>
      <c r="Q1106" s="8"/>
      <c r="R1106" s="8" t="s">
        <v>6186</v>
      </c>
      <c r="S1106" s="8" t="str">
        <f>HYPERLINK("https://seichotoushi-hojo.jp/assets/pdf/koufu_3_4ji/outline_87.pdf","PDFを開く")</f>
        <v>PDFを開く</v>
      </c>
      <c r="T1106" s="8" t="s">
        <v>2326</v>
      </c>
      <c r="U1106" s="8" t="s">
        <v>2327</v>
      </c>
    </row>
    <row r="1107" spans="1:21" ht="39.950000000000003" customHeight="1">
      <c r="A1107" s="5" t="s">
        <v>2320</v>
      </c>
      <c r="B1107" s="5" t="s">
        <v>1595</v>
      </c>
      <c r="C1107" s="9" t="s">
        <v>2321</v>
      </c>
      <c r="D1107" s="9" t="s">
        <v>3188</v>
      </c>
      <c r="E1107" s="9" t="s">
        <v>91</v>
      </c>
      <c r="F1107" s="5">
        <v>2027</v>
      </c>
      <c r="G1107" s="5"/>
      <c r="H1107" s="5">
        <v>2030</v>
      </c>
      <c r="I1107" s="5"/>
      <c r="J1107" s="5" t="s">
        <v>86</v>
      </c>
      <c r="K1107" s="5">
        <v>5</v>
      </c>
      <c r="L1107" s="5"/>
      <c r="M1107" s="5"/>
      <c r="N1107" s="9" t="s">
        <v>11846</v>
      </c>
      <c r="O1107" s="9" t="s">
        <v>11848</v>
      </c>
      <c r="P1107" s="5">
        <v>2</v>
      </c>
      <c r="Q1107" s="9"/>
      <c r="R1107" s="9" t="s">
        <v>3382</v>
      </c>
      <c r="S1107" s="9" t="str">
        <f>HYPERLINK("https://seichotoushi-hojo.jp/assets/pdf/koufu_3_4ji/outline_87.pdf","PDFを開く")</f>
        <v>PDFを開く</v>
      </c>
      <c r="T1107" s="9" t="s">
        <v>2326</v>
      </c>
      <c r="U1107" s="9" t="s">
        <v>2327</v>
      </c>
    </row>
    <row r="1108" spans="1:21" ht="39.950000000000003" customHeight="1">
      <c r="A1108" s="2" t="s">
        <v>2320</v>
      </c>
      <c r="B1108" s="2" t="s">
        <v>1595</v>
      </c>
      <c r="C1108" s="8" t="s">
        <v>2321</v>
      </c>
      <c r="D1108" s="8" t="s">
        <v>3191</v>
      </c>
      <c r="E1108" s="8" t="s">
        <v>92</v>
      </c>
      <c r="F1108" s="2">
        <v>2027</v>
      </c>
      <c r="G1108" s="2">
        <v>40</v>
      </c>
      <c r="H1108" s="2">
        <v>2030</v>
      </c>
      <c r="I1108" s="2">
        <v>49</v>
      </c>
      <c r="J1108" s="2" t="s">
        <v>2513</v>
      </c>
      <c r="K1108" s="2"/>
      <c r="L1108" s="2"/>
      <c r="M1108" s="2"/>
      <c r="N1108" s="8" t="s">
        <v>11846</v>
      </c>
      <c r="O1108" s="8" t="s">
        <v>11847</v>
      </c>
      <c r="P1108" s="2">
        <v>2</v>
      </c>
      <c r="Q1108" s="8"/>
      <c r="R1108" s="8" t="s">
        <v>6187</v>
      </c>
      <c r="S1108" s="8" t="str">
        <f>HYPERLINK("https://seichotoushi-hojo.jp/assets/pdf/koufu_3_4ji/outline_87.pdf","PDFを開く")</f>
        <v>PDFを開く</v>
      </c>
      <c r="T1108" s="8" t="s">
        <v>2326</v>
      </c>
      <c r="U1108" s="8" t="s">
        <v>2327</v>
      </c>
    </row>
    <row r="1109" spans="1:21" ht="39.950000000000003" customHeight="1">
      <c r="A1109" s="5" t="s">
        <v>2328</v>
      </c>
      <c r="B1109" s="5" t="s">
        <v>1595</v>
      </c>
      <c r="C1109" s="9" t="s">
        <v>2329</v>
      </c>
      <c r="D1109" s="9" t="s">
        <v>3176</v>
      </c>
      <c r="E1109" s="9" t="s">
        <v>90</v>
      </c>
      <c r="F1109" s="5">
        <v>2027</v>
      </c>
      <c r="G1109" s="5">
        <v>447</v>
      </c>
      <c r="H1109" s="5">
        <v>2030</v>
      </c>
      <c r="I1109" s="5">
        <v>991</v>
      </c>
      <c r="J1109" s="5" t="s">
        <v>86</v>
      </c>
      <c r="K1109" s="5">
        <v>30.4</v>
      </c>
      <c r="L1109" s="5">
        <v>30.3933</v>
      </c>
      <c r="M1109" s="5">
        <v>6.7000000000000002E-3</v>
      </c>
      <c r="N1109" s="9" t="s">
        <v>11846</v>
      </c>
      <c r="O1109" s="9" t="s">
        <v>11847</v>
      </c>
      <c r="P1109" s="5">
        <v>2</v>
      </c>
      <c r="Q1109" s="9"/>
      <c r="R1109" s="9" t="s">
        <v>6193</v>
      </c>
      <c r="S1109" s="9" t="str">
        <f>HYPERLINK("https://seichotoushi-hojo.jp/assets/pdf/koufu_3_4ji/outline_88.pdf","PDFを開く")</f>
        <v>PDFを開く</v>
      </c>
      <c r="T1109" s="9" t="s">
        <v>2334</v>
      </c>
      <c r="U1109" s="9" t="s">
        <v>2335</v>
      </c>
    </row>
    <row r="1110" spans="1:21" ht="39.950000000000003" customHeight="1">
      <c r="A1110" s="2" t="s">
        <v>2328</v>
      </c>
      <c r="B1110" s="2" t="s">
        <v>1595</v>
      </c>
      <c r="C1110" s="8" t="s">
        <v>2329</v>
      </c>
      <c r="D1110" s="8" t="s">
        <v>3184</v>
      </c>
      <c r="E1110" s="8" t="s">
        <v>90</v>
      </c>
      <c r="F1110" s="2">
        <v>2027</v>
      </c>
      <c r="G1110" s="2">
        <v>320</v>
      </c>
      <c r="H1110" s="2">
        <v>2030</v>
      </c>
      <c r="I1110" s="2">
        <v>377</v>
      </c>
      <c r="J1110" s="2" t="s">
        <v>86</v>
      </c>
      <c r="K1110" s="2">
        <v>5.6</v>
      </c>
      <c r="L1110" s="2">
        <v>5.6162000000000001</v>
      </c>
      <c r="M1110" s="2">
        <v>1.6199999999999999E-2</v>
      </c>
      <c r="N1110" s="8" t="s">
        <v>11846</v>
      </c>
      <c r="O1110" s="8" t="s">
        <v>11847</v>
      </c>
      <c r="P1110" s="2">
        <v>2</v>
      </c>
      <c r="Q1110" s="8"/>
      <c r="R1110" s="8" t="s">
        <v>6196</v>
      </c>
      <c r="S1110" s="8" t="str">
        <f>HYPERLINK("https://seichotoushi-hojo.jp/assets/pdf/koufu_3_4ji/outline_88.pdf","PDFを開く")</f>
        <v>PDFを開く</v>
      </c>
      <c r="T1110" s="8" t="s">
        <v>2334</v>
      </c>
      <c r="U1110" s="8" t="s">
        <v>2335</v>
      </c>
    </row>
    <row r="1111" spans="1:21" ht="39.950000000000003" customHeight="1">
      <c r="A1111" s="5" t="s">
        <v>2328</v>
      </c>
      <c r="B1111" s="5" t="s">
        <v>1595</v>
      </c>
      <c r="C1111" s="9" t="s">
        <v>2329</v>
      </c>
      <c r="D1111" s="9" t="s">
        <v>3188</v>
      </c>
      <c r="E1111" s="9" t="s">
        <v>91</v>
      </c>
      <c r="F1111" s="5">
        <v>2027</v>
      </c>
      <c r="G1111" s="5"/>
      <c r="H1111" s="5">
        <v>2030</v>
      </c>
      <c r="I1111" s="5"/>
      <c r="J1111" s="5" t="s">
        <v>86</v>
      </c>
      <c r="K1111" s="5">
        <v>5</v>
      </c>
      <c r="L1111" s="5"/>
      <c r="M1111" s="5"/>
      <c r="N1111" s="9" t="s">
        <v>11846</v>
      </c>
      <c r="O1111" s="9" t="s">
        <v>11848</v>
      </c>
      <c r="P1111" s="5">
        <v>2</v>
      </c>
      <c r="Q1111" s="9"/>
      <c r="R1111" s="9" t="s">
        <v>3382</v>
      </c>
      <c r="S1111" s="9" t="str">
        <f>HYPERLINK("https://seichotoushi-hojo.jp/assets/pdf/koufu_3_4ji/outline_88.pdf","PDFを開く")</f>
        <v>PDFを開く</v>
      </c>
      <c r="T1111" s="9" t="s">
        <v>2334</v>
      </c>
      <c r="U1111" s="9" t="s">
        <v>2335</v>
      </c>
    </row>
    <row r="1112" spans="1:21" ht="39.950000000000003" customHeight="1">
      <c r="A1112" s="2" t="s">
        <v>2328</v>
      </c>
      <c r="B1112" s="2" t="s">
        <v>1595</v>
      </c>
      <c r="C1112" s="8" t="s">
        <v>2329</v>
      </c>
      <c r="D1112" s="8" t="s">
        <v>3191</v>
      </c>
      <c r="E1112" s="8" t="s">
        <v>92</v>
      </c>
      <c r="F1112" s="2">
        <v>2027</v>
      </c>
      <c r="G1112" s="2">
        <v>159</v>
      </c>
      <c r="H1112" s="2">
        <v>2030</v>
      </c>
      <c r="I1112" s="2">
        <v>253</v>
      </c>
      <c r="J1112" s="2" t="s">
        <v>2513</v>
      </c>
      <c r="K1112" s="2"/>
      <c r="L1112" s="2"/>
      <c r="M1112" s="2"/>
      <c r="N1112" s="8" t="s">
        <v>11846</v>
      </c>
      <c r="O1112" s="8" t="s">
        <v>11847</v>
      </c>
      <c r="P1112" s="2">
        <v>2</v>
      </c>
      <c r="Q1112" s="8"/>
      <c r="R1112" s="8" t="s">
        <v>6198</v>
      </c>
      <c r="S1112" s="8" t="str">
        <f>HYPERLINK("https://seichotoushi-hojo.jp/assets/pdf/koufu_3_4ji/outline_88.pdf","PDFを開く")</f>
        <v>PDFを開く</v>
      </c>
      <c r="T1112" s="8" t="s">
        <v>2334</v>
      </c>
      <c r="U1112" s="8" t="s">
        <v>2335</v>
      </c>
    </row>
    <row r="1113" spans="1:21" ht="39.950000000000003" customHeight="1">
      <c r="A1113" s="5" t="s">
        <v>2336</v>
      </c>
      <c r="B1113" s="5" t="s">
        <v>1595</v>
      </c>
      <c r="C1113" s="9" t="s">
        <v>2337</v>
      </c>
      <c r="D1113" s="9" t="s">
        <v>3176</v>
      </c>
      <c r="E1113" s="9" t="s">
        <v>90</v>
      </c>
      <c r="F1113" s="5">
        <v>2027</v>
      </c>
      <c r="G1113" s="5">
        <v>1332</v>
      </c>
      <c r="H1113" s="5">
        <v>2030</v>
      </c>
      <c r="I1113" s="5">
        <v>2935</v>
      </c>
      <c r="J1113" s="5" t="s">
        <v>86</v>
      </c>
      <c r="K1113" s="5">
        <v>30.1</v>
      </c>
      <c r="L1113" s="5">
        <v>30.127199999999998</v>
      </c>
      <c r="M1113" s="5">
        <v>2.7199999999999998E-2</v>
      </c>
      <c r="N1113" s="9" t="s">
        <v>11846</v>
      </c>
      <c r="O1113" s="9" t="s">
        <v>11847</v>
      </c>
      <c r="P1113" s="5">
        <v>2</v>
      </c>
      <c r="Q1113" s="9"/>
      <c r="R1113" s="9" t="s">
        <v>6202</v>
      </c>
      <c r="S1113" s="9" t="str">
        <f>HYPERLINK("https://seichotoushi-hojo.jp/assets/pdf/koufu_3_4ji/outline_89.pdf","PDFを開く")</f>
        <v>PDFを開く</v>
      </c>
      <c r="T1113" s="9" t="s">
        <v>2343</v>
      </c>
      <c r="U1113" s="9" t="s">
        <v>2344</v>
      </c>
    </row>
    <row r="1114" spans="1:21" ht="39.950000000000003" customHeight="1">
      <c r="A1114" s="2" t="s">
        <v>2336</v>
      </c>
      <c r="B1114" s="2" t="s">
        <v>1595</v>
      </c>
      <c r="C1114" s="8" t="s">
        <v>2337</v>
      </c>
      <c r="D1114" s="8" t="s">
        <v>3184</v>
      </c>
      <c r="E1114" s="8" t="s">
        <v>90</v>
      </c>
      <c r="F1114" s="2">
        <v>2027</v>
      </c>
      <c r="G1114" s="2">
        <v>437</v>
      </c>
      <c r="H1114" s="2">
        <v>2030</v>
      </c>
      <c r="I1114" s="2">
        <v>551</v>
      </c>
      <c r="J1114" s="2" t="s">
        <v>86</v>
      </c>
      <c r="K1114" s="2">
        <v>8</v>
      </c>
      <c r="L1114" s="2">
        <v>8.0330999999999992</v>
      </c>
      <c r="M1114" s="2">
        <v>3.3099999999999997E-2</v>
      </c>
      <c r="N1114" s="8" t="s">
        <v>11846</v>
      </c>
      <c r="O1114" s="8" t="s">
        <v>11847</v>
      </c>
      <c r="P1114" s="2">
        <v>2</v>
      </c>
      <c r="Q1114" s="8"/>
      <c r="R1114" s="8" t="s">
        <v>6204</v>
      </c>
      <c r="S1114" s="8" t="str">
        <f>HYPERLINK("https://seichotoushi-hojo.jp/assets/pdf/koufu_3_4ji/outline_89.pdf","PDFを開く")</f>
        <v>PDFを開く</v>
      </c>
      <c r="T1114" s="8" t="s">
        <v>2343</v>
      </c>
      <c r="U1114" s="8" t="s">
        <v>2344</v>
      </c>
    </row>
    <row r="1115" spans="1:21" ht="39.950000000000003" customHeight="1">
      <c r="A1115" s="5" t="s">
        <v>2336</v>
      </c>
      <c r="B1115" s="5" t="s">
        <v>1595</v>
      </c>
      <c r="C1115" s="9" t="s">
        <v>2337</v>
      </c>
      <c r="D1115" s="9" t="s">
        <v>3188</v>
      </c>
      <c r="E1115" s="9" t="s">
        <v>156</v>
      </c>
      <c r="F1115" s="5"/>
      <c r="G1115" s="5"/>
      <c r="H1115" s="5"/>
      <c r="I1115" s="5"/>
      <c r="J1115" s="5"/>
      <c r="K1115" s="5"/>
      <c r="L1115" s="5"/>
      <c r="M1115" s="5"/>
      <c r="N1115" s="9" t="s">
        <v>11850</v>
      </c>
      <c r="O1115" s="9"/>
      <c r="P1115" s="5"/>
      <c r="Q1115" s="9" t="s">
        <v>11851</v>
      </c>
      <c r="R1115" s="9"/>
      <c r="S1115" s="9" t="str">
        <f>HYPERLINK("https://seichotoushi-hojo.jp/assets/pdf/koufu_3_4ji/outline_89.pdf","PDFを開く")</f>
        <v>PDFを開く</v>
      </c>
      <c r="T1115" s="9" t="s">
        <v>2343</v>
      </c>
      <c r="U1115" s="9" t="s">
        <v>2344</v>
      </c>
    </row>
    <row r="1116" spans="1:21" ht="39.950000000000003" customHeight="1">
      <c r="A1116" s="2" t="s">
        <v>2336</v>
      </c>
      <c r="B1116" s="2" t="s">
        <v>1595</v>
      </c>
      <c r="C1116" s="8" t="s">
        <v>2337</v>
      </c>
      <c r="D1116" s="8" t="s">
        <v>3191</v>
      </c>
      <c r="E1116" s="8" t="s">
        <v>92</v>
      </c>
      <c r="F1116" s="2">
        <v>2027</v>
      </c>
      <c r="G1116" s="2">
        <v>304</v>
      </c>
      <c r="H1116" s="2">
        <v>2030</v>
      </c>
      <c r="I1116" s="2">
        <v>321</v>
      </c>
      <c r="J1116" s="2" t="s">
        <v>2513</v>
      </c>
      <c r="K1116" s="2"/>
      <c r="L1116" s="2"/>
      <c r="M1116" s="2"/>
      <c r="N1116" s="8" t="s">
        <v>11846</v>
      </c>
      <c r="O1116" s="8" t="s">
        <v>11847</v>
      </c>
      <c r="P1116" s="2">
        <v>2</v>
      </c>
      <c r="Q1116" s="8"/>
      <c r="R1116" s="8" t="s">
        <v>6206</v>
      </c>
      <c r="S1116" s="8" t="str">
        <f>HYPERLINK("https://seichotoushi-hojo.jp/assets/pdf/koufu_3_4ji/outline_89.pdf","PDFを開く")</f>
        <v>PDFを開く</v>
      </c>
      <c r="T1116" s="8" t="s">
        <v>2343</v>
      </c>
      <c r="U1116" s="8" t="s">
        <v>2344</v>
      </c>
    </row>
    <row r="1117" spans="1:21" ht="39.950000000000003" customHeight="1">
      <c r="A1117" s="5" t="s">
        <v>2345</v>
      </c>
      <c r="B1117" s="5" t="s">
        <v>1595</v>
      </c>
      <c r="C1117" s="9" t="s">
        <v>2346</v>
      </c>
      <c r="D1117" s="9" t="s">
        <v>3176</v>
      </c>
      <c r="E1117" s="9" t="s">
        <v>90</v>
      </c>
      <c r="F1117" s="5">
        <v>2028</v>
      </c>
      <c r="G1117" s="5">
        <v>1095</v>
      </c>
      <c r="H1117" s="5">
        <v>2031</v>
      </c>
      <c r="I1117" s="5">
        <v>1898</v>
      </c>
      <c r="J1117" s="5" t="s">
        <v>86</v>
      </c>
      <c r="K1117" s="5">
        <v>20.100000000000001</v>
      </c>
      <c r="L1117" s="5">
        <v>20.1233</v>
      </c>
      <c r="M1117" s="5">
        <v>2.3300000000000001E-2</v>
      </c>
      <c r="N1117" s="9" t="s">
        <v>11846</v>
      </c>
      <c r="O1117" s="9" t="s">
        <v>11856</v>
      </c>
      <c r="P1117" s="5">
        <v>3</v>
      </c>
      <c r="Q1117" s="9"/>
      <c r="R1117" s="9" t="s">
        <v>6208</v>
      </c>
      <c r="S1117" s="9" t="str">
        <f>HYPERLINK("https://seichotoushi-hojo.jp/assets/pdf/koufu_3_4ji/outline_9.pdf","PDFを開く")</f>
        <v>PDFを開く</v>
      </c>
      <c r="T1117" s="9" t="s">
        <v>2351</v>
      </c>
      <c r="U1117" s="9" t="s">
        <v>2352</v>
      </c>
    </row>
    <row r="1118" spans="1:21" ht="39.950000000000003" customHeight="1">
      <c r="A1118" s="2" t="s">
        <v>2345</v>
      </c>
      <c r="B1118" s="2" t="s">
        <v>1595</v>
      </c>
      <c r="C1118" s="8" t="s">
        <v>2346</v>
      </c>
      <c r="D1118" s="8" t="s">
        <v>3184</v>
      </c>
      <c r="E1118" s="8" t="s">
        <v>90</v>
      </c>
      <c r="F1118" s="2">
        <v>2028</v>
      </c>
      <c r="G1118" s="2">
        <v>655</v>
      </c>
      <c r="H1118" s="2">
        <v>2031</v>
      </c>
      <c r="I1118" s="2">
        <v>769</v>
      </c>
      <c r="J1118" s="2" t="s">
        <v>86</v>
      </c>
      <c r="K1118" s="2">
        <v>5.5</v>
      </c>
      <c r="L1118" s="2">
        <v>5.4941000000000004</v>
      </c>
      <c r="M1118" s="2">
        <v>5.8999999999999999E-3</v>
      </c>
      <c r="N1118" s="8" t="s">
        <v>11846</v>
      </c>
      <c r="O1118" s="8" t="s">
        <v>11856</v>
      </c>
      <c r="P1118" s="2">
        <v>3</v>
      </c>
      <c r="Q1118" s="8"/>
      <c r="R1118" s="8" t="s">
        <v>6210</v>
      </c>
      <c r="S1118" s="8" t="str">
        <f>HYPERLINK("https://seichotoushi-hojo.jp/assets/pdf/koufu_3_4ji/outline_9.pdf","PDFを開く")</f>
        <v>PDFを開く</v>
      </c>
      <c r="T1118" s="8" t="s">
        <v>2351</v>
      </c>
      <c r="U1118" s="8" t="s">
        <v>2352</v>
      </c>
    </row>
    <row r="1119" spans="1:21" ht="39.950000000000003" customHeight="1">
      <c r="A1119" s="5" t="s">
        <v>2345</v>
      </c>
      <c r="B1119" s="5" t="s">
        <v>1595</v>
      </c>
      <c r="C1119" s="9" t="s">
        <v>2346</v>
      </c>
      <c r="D1119" s="9" t="s">
        <v>3188</v>
      </c>
      <c r="E1119" s="9" t="s">
        <v>90</v>
      </c>
      <c r="F1119" s="5">
        <v>2028</v>
      </c>
      <c r="G1119" s="5">
        <v>2436</v>
      </c>
      <c r="H1119" s="5">
        <v>2031</v>
      </c>
      <c r="I1119" s="5">
        <v>2820</v>
      </c>
      <c r="J1119" s="5" t="s">
        <v>86</v>
      </c>
      <c r="K1119" s="5">
        <v>5</v>
      </c>
      <c r="L1119" s="5">
        <v>5.0003000000000002</v>
      </c>
      <c r="M1119" s="5">
        <v>2.9999999999999997E-4</v>
      </c>
      <c r="N1119" s="9" t="s">
        <v>11846</v>
      </c>
      <c r="O1119" s="9" t="s">
        <v>11856</v>
      </c>
      <c r="P1119" s="5">
        <v>3</v>
      </c>
      <c r="Q1119" s="9"/>
      <c r="R1119" s="9" t="s">
        <v>6213</v>
      </c>
      <c r="S1119" s="9" t="str">
        <f>HYPERLINK("https://seichotoushi-hojo.jp/assets/pdf/koufu_3_4ji/outline_9.pdf","PDFを開く")</f>
        <v>PDFを開く</v>
      </c>
      <c r="T1119" s="9" t="s">
        <v>2351</v>
      </c>
      <c r="U1119" s="9" t="s">
        <v>2352</v>
      </c>
    </row>
    <row r="1120" spans="1:21" ht="39.950000000000003" customHeight="1">
      <c r="A1120" s="2" t="s">
        <v>2345</v>
      </c>
      <c r="B1120" s="2" t="s">
        <v>1595</v>
      </c>
      <c r="C1120" s="8" t="s">
        <v>2346</v>
      </c>
      <c r="D1120" s="8" t="s">
        <v>3191</v>
      </c>
      <c r="E1120" s="8" t="s">
        <v>92</v>
      </c>
      <c r="F1120" s="2">
        <v>2028</v>
      </c>
      <c r="G1120" s="2">
        <v>282</v>
      </c>
      <c r="H1120" s="2">
        <v>2031</v>
      </c>
      <c r="I1120" s="2">
        <v>349</v>
      </c>
      <c r="J1120" s="2" t="s">
        <v>2513</v>
      </c>
      <c r="K1120" s="2"/>
      <c r="L1120" s="2"/>
      <c r="M1120" s="2"/>
      <c r="N1120" s="8" t="s">
        <v>11846</v>
      </c>
      <c r="O1120" s="8" t="s">
        <v>11856</v>
      </c>
      <c r="P1120" s="2">
        <v>3</v>
      </c>
      <c r="Q1120" s="8"/>
      <c r="R1120" s="8" t="s">
        <v>6216</v>
      </c>
      <c r="S1120" s="8" t="str">
        <f>HYPERLINK("https://seichotoushi-hojo.jp/assets/pdf/koufu_3_4ji/outline_9.pdf","PDFを開く")</f>
        <v>PDFを開く</v>
      </c>
      <c r="T1120" s="8" t="s">
        <v>2351</v>
      </c>
      <c r="U1120" s="8" t="s">
        <v>2352</v>
      </c>
    </row>
    <row r="1121" spans="1:21" ht="39.950000000000003" customHeight="1">
      <c r="A1121" s="5" t="s">
        <v>2353</v>
      </c>
      <c r="B1121" s="5" t="s">
        <v>1595</v>
      </c>
      <c r="C1121" s="9" t="s">
        <v>2354</v>
      </c>
      <c r="D1121" s="9" t="s">
        <v>3176</v>
      </c>
      <c r="E1121" s="9" t="s">
        <v>166</v>
      </c>
      <c r="F1121" s="5">
        <v>2028</v>
      </c>
      <c r="G1121" s="5">
        <v>3128</v>
      </c>
      <c r="H1121" s="5">
        <v>2031</v>
      </c>
      <c r="I1121" s="5">
        <v>5705</v>
      </c>
      <c r="J1121" s="5" t="s">
        <v>86</v>
      </c>
      <c r="K1121" s="5">
        <v>22.2</v>
      </c>
      <c r="L1121" s="5">
        <v>22.178899999999999</v>
      </c>
      <c r="M1121" s="5">
        <v>2.1100000000000001E-2</v>
      </c>
      <c r="N1121" s="9" t="s">
        <v>11846</v>
      </c>
      <c r="O1121" s="9" t="s">
        <v>292</v>
      </c>
      <c r="P1121" s="5">
        <v>2</v>
      </c>
      <c r="Q1121" s="9"/>
      <c r="R1121" s="9" t="s">
        <v>6234</v>
      </c>
      <c r="S1121" s="9" t="str">
        <f>HYPERLINK("https://seichotoushi-hojo.jp/assets/pdf/koufu_3_4ji/outline_90.pdf","PDFを開く")</f>
        <v>PDFを開く</v>
      </c>
      <c r="T1121" s="9" t="s">
        <v>2360</v>
      </c>
      <c r="U1121" s="9" t="s">
        <v>2361</v>
      </c>
    </row>
    <row r="1122" spans="1:21" ht="39.950000000000003" customHeight="1">
      <c r="A1122" s="2" t="s">
        <v>2353</v>
      </c>
      <c r="B1122" s="2" t="s">
        <v>1595</v>
      </c>
      <c r="C1122" s="8" t="s">
        <v>2354</v>
      </c>
      <c r="D1122" s="8" t="s">
        <v>3184</v>
      </c>
      <c r="E1122" s="8" t="s">
        <v>166</v>
      </c>
      <c r="F1122" s="2">
        <v>2028</v>
      </c>
      <c r="G1122" s="2">
        <v>302</v>
      </c>
      <c r="H1122" s="2">
        <v>2031</v>
      </c>
      <c r="I1122" s="2">
        <v>374</v>
      </c>
      <c r="J1122" s="2" t="s">
        <v>86</v>
      </c>
      <c r="K1122" s="2">
        <v>7.4</v>
      </c>
      <c r="L1122" s="2">
        <v>7.3878000000000004</v>
      </c>
      <c r="M1122" s="2">
        <v>1.2200000000000001E-2</v>
      </c>
      <c r="N1122" s="8" t="s">
        <v>11846</v>
      </c>
      <c r="O1122" s="8" t="s">
        <v>292</v>
      </c>
      <c r="P1122" s="2">
        <v>2</v>
      </c>
      <c r="Q1122" s="8"/>
      <c r="R1122" s="8" t="s">
        <v>6236</v>
      </c>
      <c r="S1122" s="8" t="str">
        <f>HYPERLINK("https://seichotoushi-hojo.jp/assets/pdf/koufu_3_4ji/outline_90.pdf","PDFを開く")</f>
        <v>PDFを開く</v>
      </c>
      <c r="T1122" s="8" t="s">
        <v>2360</v>
      </c>
      <c r="U1122" s="8" t="s">
        <v>2361</v>
      </c>
    </row>
    <row r="1123" spans="1:21" ht="39.950000000000003" customHeight="1">
      <c r="A1123" s="5" t="s">
        <v>2353</v>
      </c>
      <c r="B1123" s="5" t="s">
        <v>1595</v>
      </c>
      <c r="C1123" s="9" t="s">
        <v>2354</v>
      </c>
      <c r="D1123" s="9" t="s">
        <v>3188</v>
      </c>
      <c r="E1123" s="9" t="s">
        <v>91</v>
      </c>
      <c r="F1123" s="5">
        <v>2028</v>
      </c>
      <c r="G1123" s="5"/>
      <c r="H1123" s="5">
        <v>2031</v>
      </c>
      <c r="I1123" s="5"/>
      <c r="J1123" s="5" t="s">
        <v>86</v>
      </c>
      <c r="K1123" s="5">
        <v>15</v>
      </c>
      <c r="L1123" s="5"/>
      <c r="M1123" s="5"/>
      <c r="N1123" s="9" t="s">
        <v>11846</v>
      </c>
      <c r="O1123" s="9" t="s">
        <v>11848</v>
      </c>
      <c r="P1123" s="5">
        <v>2</v>
      </c>
      <c r="Q1123" s="9"/>
      <c r="R1123" s="9" t="s">
        <v>6239</v>
      </c>
      <c r="S1123" s="9" t="str">
        <f>HYPERLINK("https://seichotoushi-hojo.jp/assets/pdf/koufu_3_4ji/outline_90.pdf","PDFを開く")</f>
        <v>PDFを開く</v>
      </c>
      <c r="T1123" s="9" t="s">
        <v>2360</v>
      </c>
      <c r="U1123" s="9" t="s">
        <v>2361</v>
      </c>
    </row>
    <row r="1124" spans="1:21" ht="39.950000000000003" customHeight="1">
      <c r="A1124" s="2" t="s">
        <v>2353</v>
      </c>
      <c r="B1124" s="2" t="s">
        <v>1595</v>
      </c>
      <c r="C1124" s="8" t="s">
        <v>2354</v>
      </c>
      <c r="D1124" s="8" t="s">
        <v>3191</v>
      </c>
      <c r="E1124" s="8" t="s">
        <v>166</v>
      </c>
      <c r="F1124" s="2">
        <v>2028</v>
      </c>
      <c r="G1124" s="2">
        <v>25</v>
      </c>
      <c r="H1124" s="2">
        <v>2031</v>
      </c>
      <c r="I1124" s="2">
        <v>95</v>
      </c>
      <c r="J1124" s="2" t="s">
        <v>2513</v>
      </c>
      <c r="K1124" s="2"/>
      <c r="L1124" s="2"/>
      <c r="M1124" s="2"/>
      <c r="N1124" s="8" t="s">
        <v>11846</v>
      </c>
      <c r="O1124" s="8" t="s">
        <v>292</v>
      </c>
      <c r="P1124" s="2">
        <v>2</v>
      </c>
      <c r="Q1124" s="8"/>
      <c r="R1124" s="8" t="s">
        <v>6237</v>
      </c>
      <c r="S1124" s="8" t="str">
        <f>HYPERLINK("https://seichotoushi-hojo.jp/assets/pdf/koufu_3_4ji/outline_90.pdf","PDFを開く")</f>
        <v>PDFを開く</v>
      </c>
      <c r="T1124" s="8" t="s">
        <v>2360</v>
      </c>
      <c r="U1124" s="8" t="s">
        <v>2361</v>
      </c>
    </row>
    <row r="1125" spans="1:21" ht="39.950000000000003" customHeight="1">
      <c r="A1125" s="5" t="s">
        <v>2362</v>
      </c>
      <c r="B1125" s="5" t="s">
        <v>1595</v>
      </c>
      <c r="C1125" s="9" t="s">
        <v>2363</v>
      </c>
      <c r="D1125" s="9" t="s">
        <v>3176</v>
      </c>
      <c r="E1125" s="9" t="s">
        <v>90</v>
      </c>
      <c r="F1125" s="5">
        <v>2028</v>
      </c>
      <c r="G1125" s="5">
        <v>1154</v>
      </c>
      <c r="H1125" s="5">
        <v>2031</v>
      </c>
      <c r="I1125" s="5">
        <v>1891</v>
      </c>
      <c r="J1125" s="5" t="s">
        <v>86</v>
      </c>
      <c r="K1125" s="5">
        <v>17.899999999999999</v>
      </c>
      <c r="L1125" s="5">
        <v>17.895</v>
      </c>
      <c r="M1125" s="5">
        <v>5.0000000000000001E-3</v>
      </c>
      <c r="N1125" s="9" t="s">
        <v>11846</v>
      </c>
      <c r="O1125" s="9" t="s">
        <v>11852</v>
      </c>
      <c r="P1125" s="5">
        <v>2</v>
      </c>
      <c r="Q1125" s="9"/>
      <c r="R1125" s="9" t="s">
        <v>6243</v>
      </c>
      <c r="S1125" s="9" t="str">
        <f>HYPERLINK("https://seichotoushi-hojo.jp/assets/pdf/koufu_3_4ji/outline_91.pdf","PDFを開く")</f>
        <v>PDFを開く</v>
      </c>
      <c r="T1125" s="9" t="s">
        <v>2370</v>
      </c>
      <c r="U1125" s="9" t="s">
        <v>2371</v>
      </c>
    </row>
    <row r="1126" spans="1:21" ht="39.950000000000003" customHeight="1">
      <c r="A1126" s="2" t="s">
        <v>2362</v>
      </c>
      <c r="B1126" s="2" t="s">
        <v>1595</v>
      </c>
      <c r="C1126" s="8" t="s">
        <v>2363</v>
      </c>
      <c r="D1126" s="8" t="s">
        <v>3184</v>
      </c>
      <c r="E1126" s="8" t="s">
        <v>90</v>
      </c>
      <c r="F1126" s="2">
        <v>2028</v>
      </c>
      <c r="G1126" s="2">
        <v>605</v>
      </c>
      <c r="H1126" s="2">
        <v>2031</v>
      </c>
      <c r="I1126" s="2">
        <v>711</v>
      </c>
      <c r="J1126" s="2" t="s">
        <v>86</v>
      </c>
      <c r="K1126" s="2">
        <v>5.5</v>
      </c>
      <c r="L1126" s="2">
        <v>5.5289000000000001</v>
      </c>
      <c r="M1126" s="2">
        <v>2.8899999999999999E-2</v>
      </c>
      <c r="N1126" s="8" t="s">
        <v>11846</v>
      </c>
      <c r="O1126" s="8" t="s">
        <v>11852</v>
      </c>
      <c r="P1126" s="2">
        <v>2</v>
      </c>
      <c r="Q1126" s="8"/>
      <c r="R1126" s="8" t="s">
        <v>6247</v>
      </c>
      <c r="S1126" s="8" t="str">
        <f>HYPERLINK("https://seichotoushi-hojo.jp/assets/pdf/koufu_3_4ji/outline_91.pdf","PDFを開く")</f>
        <v>PDFを開く</v>
      </c>
      <c r="T1126" s="8" t="s">
        <v>2370</v>
      </c>
      <c r="U1126" s="8" t="s">
        <v>2371</v>
      </c>
    </row>
    <row r="1127" spans="1:21" ht="39.950000000000003" customHeight="1">
      <c r="A1127" s="5" t="s">
        <v>2362</v>
      </c>
      <c r="B1127" s="5" t="s">
        <v>1595</v>
      </c>
      <c r="C1127" s="9" t="s">
        <v>2363</v>
      </c>
      <c r="D1127" s="9" t="s">
        <v>3188</v>
      </c>
      <c r="E1127" s="9" t="s">
        <v>91</v>
      </c>
      <c r="F1127" s="5">
        <v>2028</v>
      </c>
      <c r="G1127" s="5"/>
      <c r="H1127" s="5">
        <v>2031</v>
      </c>
      <c r="I1127" s="5"/>
      <c r="J1127" s="5" t="s">
        <v>86</v>
      </c>
      <c r="K1127" s="5">
        <v>5.5</v>
      </c>
      <c r="L1127" s="5"/>
      <c r="M1127" s="5"/>
      <c r="N1127" s="9" t="s">
        <v>11846</v>
      </c>
      <c r="O1127" s="9" t="s">
        <v>11848</v>
      </c>
      <c r="P1127" s="5">
        <v>2</v>
      </c>
      <c r="Q1127" s="9"/>
      <c r="R1127" s="9" t="s">
        <v>6253</v>
      </c>
      <c r="S1127" s="9" t="str">
        <f>HYPERLINK("https://seichotoushi-hojo.jp/assets/pdf/koufu_3_4ji/outline_91.pdf","PDFを開く")</f>
        <v>PDFを開く</v>
      </c>
      <c r="T1127" s="9" t="s">
        <v>2370</v>
      </c>
      <c r="U1127" s="9" t="s">
        <v>2371</v>
      </c>
    </row>
    <row r="1128" spans="1:21" ht="39.950000000000003" customHeight="1">
      <c r="A1128" s="2" t="s">
        <v>2362</v>
      </c>
      <c r="B1128" s="2" t="s">
        <v>1595</v>
      </c>
      <c r="C1128" s="8" t="s">
        <v>2363</v>
      </c>
      <c r="D1128" s="8" t="s">
        <v>3191</v>
      </c>
      <c r="E1128" s="8" t="s">
        <v>92</v>
      </c>
      <c r="F1128" s="2">
        <v>2028</v>
      </c>
      <c r="G1128" s="2">
        <v>230</v>
      </c>
      <c r="H1128" s="2">
        <v>2031</v>
      </c>
      <c r="I1128" s="2">
        <v>239</v>
      </c>
      <c r="J1128" s="2" t="s">
        <v>2513</v>
      </c>
      <c r="K1128" s="2"/>
      <c r="L1128" s="2"/>
      <c r="M1128" s="2"/>
      <c r="N1128" s="8" t="s">
        <v>11846</v>
      </c>
      <c r="O1128" s="8" t="s">
        <v>11852</v>
      </c>
      <c r="P1128" s="2">
        <v>2</v>
      </c>
      <c r="Q1128" s="8"/>
      <c r="R1128" s="8" t="s">
        <v>6250</v>
      </c>
      <c r="S1128" s="8" t="str">
        <f>HYPERLINK("https://seichotoushi-hojo.jp/assets/pdf/koufu_3_4ji/outline_91.pdf","PDFを開く")</f>
        <v>PDFを開く</v>
      </c>
      <c r="T1128" s="8" t="s">
        <v>2370</v>
      </c>
      <c r="U1128" s="8" t="s">
        <v>2371</v>
      </c>
    </row>
    <row r="1129" spans="1:21" ht="39.950000000000003" customHeight="1">
      <c r="A1129" s="5" t="s">
        <v>2372</v>
      </c>
      <c r="B1129" s="5" t="s">
        <v>1595</v>
      </c>
      <c r="C1129" s="9" t="s">
        <v>2373</v>
      </c>
      <c r="D1129" s="9" t="s">
        <v>3176</v>
      </c>
      <c r="E1129" s="9" t="s">
        <v>90</v>
      </c>
      <c r="F1129" s="5">
        <v>2027</v>
      </c>
      <c r="G1129" s="5">
        <v>1728</v>
      </c>
      <c r="H1129" s="5">
        <v>2030</v>
      </c>
      <c r="I1129" s="5">
        <v>1822</v>
      </c>
      <c r="J1129" s="5" t="s">
        <v>86</v>
      </c>
      <c r="K1129" s="5">
        <v>1.8</v>
      </c>
      <c r="L1129" s="5">
        <v>1.7814000000000001</v>
      </c>
      <c r="M1129" s="5">
        <v>1.8599999999999998E-2</v>
      </c>
      <c r="N1129" s="9" t="s">
        <v>11846</v>
      </c>
      <c r="O1129" s="9" t="s">
        <v>11847</v>
      </c>
      <c r="P1129" s="5">
        <v>2</v>
      </c>
      <c r="Q1129" s="9"/>
      <c r="R1129" s="9" t="s">
        <v>6256</v>
      </c>
      <c r="S1129" s="9" t="str">
        <f>HYPERLINK("https://seichotoushi-hojo.jp/assets/pdf/koufu_3_4ji/outline_93.pdf","PDFを開く")</f>
        <v>PDFを開く</v>
      </c>
      <c r="T1129" s="9" t="s">
        <v>2378</v>
      </c>
      <c r="U1129" s="9" t="s">
        <v>2379</v>
      </c>
    </row>
    <row r="1130" spans="1:21" ht="39.950000000000003" customHeight="1">
      <c r="A1130" s="2" t="s">
        <v>2372</v>
      </c>
      <c r="B1130" s="2" t="s">
        <v>1595</v>
      </c>
      <c r="C1130" s="8" t="s">
        <v>2373</v>
      </c>
      <c r="D1130" s="8" t="s">
        <v>3184</v>
      </c>
      <c r="E1130" s="8" t="s">
        <v>90</v>
      </c>
      <c r="F1130" s="2">
        <v>2027</v>
      </c>
      <c r="G1130" s="2">
        <v>580</v>
      </c>
      <c r="H1130" s="2">
        <v>2030</v>
      </c>
      <c r="I1130" s="2">
        <v>680</v>
      </c>
      <c r="J1130" s="2" t="s">
        <v>86</v>
      </c>
      <c r="K1130" s="2">
        <v>5.5</v>
      </c>
      <c r="L1130" s="2">
        <v>5.4451999999999998</v>
      </c>
      <c r="M1130" s="2">
        <v>5.4800000000000001E-2</v>
      </c>
      <c r="N1130" s="8" t="s">
        <v>11846</v>
      </c>
      <c r="O1130" s="8" t="s">
        <v>11847</v>
      </c>
      <c r="P1130" s="2">
        <v>2</v>
      </c>
      <c r="Q1130" s="8"/>
      <c r="R1130" s="8" t="s">
        <v>6258</v>
      </c>
      <c r="S1130" s="8" t="str">
        <f>HYPERLINK("https://seichotoushi-hojo.jp/assets/pdf/koufu_3_4ji/outline_93.pdf","PDFを開く")</f>
        <v>PDFを開く</v>
      </c>
      <c r="T1130" s="8" t="s">
        <v>2378</v>
      </c>
      <c r="U1130" s="8" t="s">
        <v>2379</v>
      </c>
    </row>
    <row r="1131" spans="1:21" ht="39.950000000000003" customHeight="1">
      <c r="A1131" s="5" t="s">
        <v>2372</v>
      </c>
      <c r="B1131" s="5" t="s">
        <v>1595</v>
      </c>
      <c r="C1131" s="9" t="s">
        <v>2373</v>
      </c>
      <c r="D1131" s="9" t="s">
        <v>3188</v>
      </c>
      <c r="E1131" s="9" t="s">
        <v>156</v>
      </c>
      <c r="F1131" s="5"/>
      <c r="G1131" s="5"/>
      <c r="H1131" s="5"/>
      <c r="I1131" s="5"/>
      <c r="J1131" s="5"/>
      <c r="K1131" s="5"/>
      <c r="L1131" s="5"/>
      <c r="M1131" s="5"/>
      <c r="N1131" s="9" t="s">
        <v>11850</v>
      </c>
      <c r="O1131" s="9"/>
      <c r="P1131" s="5"/>
      <c r="Q1131" s="9" t="s">
        <v>11851</v>
      </c>
      <c r="R1131" s="9"/>
      <c r="S1131" s="9" t="str">
        <f>HYPERLINK("https://seichotoushi-hojo.jp/assets/pdf/koufu_3_4ji/outline_93.pdf","PDFを開く")</f>
        <v>PDFを開く</v>
      </c>
      <c r="T1131" s="9" t="s">
        <v>2378</v>
      </c>
      <c r="U1131" s="9" t="s">
        <v>2379</v>
      </c>
    </row>
    <row r="1132" spans="1:21" ht="39.950000000000003" customHeight="1">
      <c r="A1132" s="2" t="s">
        <v>2372</v>
      </c>
      <c r="B1132" s="2" t="s">
        <v>1595</v>
      </c>
      <c r="C1132" s="8" t="s">
        <v>2373</v>
      </c>
      <c r="D1132" s="8" t="s">
        <v>3191</v>
      </c>
      <c r="E1132" s="8" t="s">
        <v>92</v>
      </c>
      <c r="F1132" s="2">
        <v>2027</v>
      </c>
      <c r="G1132" s="2">
        <v>258</v>
      </c>
      <c r="H1132" s="2">
        <v>2030</v>
      </c>
      <c r="I1132" s="2">
        <v>742</v>
      </c>
      <c r="J1132" s="2" t="s">
        <v>2513</v>
      </c>
      <c r="K1132" s="2"/>
      <c r="L1132" s="2"/>
      <c r="M1132" s="2"/>
      <c r="N1132" s="8" t="s">
        <v>11846</v>
      </c>
      <c r="O1132" s="8" t="s">
        <v>11847</v>
      </c>
      <c r="P1132" s="2">
        <v>2</v>
      </c>
      <c r="Q1132" s="8"/>
      <c r="R1132" s="8" t="s">
        <v>6260</v>
      </c>
      <c r="S1132" s="8" t="str">
        <f>HYPERLINK("https://seichotoushi-hojo.jp/assets/pdf/koufu_3_4ji/outline_93.pdf","PDFを開く")</f>
        <v>PDFを開く</v>
      </c>
      <c r="T1132" s="8" t="s">
        <v>2378</v>
      </c>
      <c r="U1132" s="8" t="s">
        <v>2379</v>
      </c>
    </row>
    <row r="1133" spans="1:21" ht="39.950000000000003" customHeight="1">
      <c r="A1133" s="5" t="s">
        <v>2380</v>
      </c>
      <c r="B1133" s="5" t="s">
        <v>1595</v>
      </c>
      <c r="C1133" s="9" t="s">
        <v>2381</v>
      </c>
      <c r="D1133" s="9" t="s">
        <v>3176</v>
      </c>
      <c r="E1133" s="9" t="s">
        <v>90</v>
      </c>
      <c r="F1133" s="5">
        <v>2027</v>
      </c>
      <c r="G1133" s="5">
        <v>606</v>
      </c>
      <c r="H1133" s="5">
        <v>2030</v>
      </c>
      <c r="I1133" s="5">
        <v>1090</v>
      </c>
      <c r="J1133" s="5" t="s">
        <v>86</v>
      </c>
      <c r="K1133" s="5">
        <v>21.6</v>
      </c>
      <c r="L1133" s="5">
        <v>21.6143</v>
      </c>
      <c r="M1133" s="5">
        <v>1.43E-2</v>
      </c>
      <c r="N1133" s="9" t="s">
        <v>11846</v>
      </c>
      <c r="O1133" s="9" t="s">
        <v>11847</v>
      </c>
      <c r="P1133" s="5">
        <v>2</v>
      </c>
      <c r="Q1133" s="9"/>
      <c r="R1133" s="9" t="s">
        <v>6262</v>
      </c>
      <c r="S1133" s="9" t="str">
        <f>HYPERLINK("https://seichotoushi-hojo.jp/assets/pdf/koufu_3_4ji/outline_94.pdf","PDFを開く")</f>
        <v>PDFを開く</v>
      </c>
      <c r="T1133" s="9" t="s">
        <v>2387</v>
      </c>
      <c r="U1133" s="9" t="s">
        <v>2388</v>
      </c>
    </row>
    <row r="1134" spans="1:21" ht="39.950000000000003" customHeight="1">
      <c r="A1134" s="2" t="s">
        <v>2380</v>
      </c>
      <c r="B1134" s="2" t="s">
        <v>1595</v>
      </c>
      <c r="C1134" s="8" t="s">
        <v>2381</v>
      </c>
      <c r="D1134" s="8" t="s">
        <v>3184</v>
      </c>
      <c r="E1134" s="8" t="s">
        <v>90</v>
      </c>
      <c r="F1134" s="2">
        <v>2027</v>
      </c>
      <c r="G1134" s="2">
        <v>500</v>
      </c>
      <c r="H1134" s="2">
        <v>2030</v>
      </c>
      <c r="I1134" s="2">
        <v>598</v>
      </c>
      <c r="J1134" s="2" t="s">
        <v>86</v>
      </c>
      <c r="K1134" s="2">
        <v>6.2</v>
      </c>
      <c r="L1134" s="2">
        <v>6.1477000000000004</v>
      </c>
      <c r="M1134" s="2">
        <v>5.2299999999999999E-2</v>
      </c>
      <c r="N1134" s="8" t="s">
        <v>11846</v>
      </c>
      <c r="O1134" s="8" t="s">
        <v>11847</v>
      </c>
      <c r="P1134" s="2">
        <v>2</v>
      </c>
      <c r="Q1134" s="8"/>
      <c r="R1134" s="8" t="s">
        <v>6264</v>
      </c>
      <c r="S1134" s="8" t="str">
        <f>HYPERLINK("https://seichotoushi-hojo.jp/assets/pdf/koufu_3_4ji/outline_94.pdf","PDFを開く")</f>
        <v>PDFを開く</v>
      </c>
      <c r="T1134" s="8" t="s">
        <v>2387</v>
      </c>
      <c r="U1134" s="8" t="s">
        <v>2388</v>
      </c>
    </row>
    <row r="1135" spans="1:21" ht="39.950000000000003" customHeight="1">
      <c r="A1135" s="5" t="s">
        <v>2380</v>
      </c>
      <c r="B1135" s="5" t="s">
        <v>1595</v>
      </c>
      <c r="C1135" s="9" t="s">
        <v>2381</v>
      </c>
      <c r="D1135" s="9" t="s">
        <v>3188</v>
      </c>
      <c r="E1135" s="9" t="s">
        <v>91</v>
      </c>
      <c r="F1135" s="5">
        <v>2027</v>
      </c>
      <c r="G1135" s="5"/>
      <c r="H1135" s="5">
        <v>2030</v>
      </c>
      <c r="I1135" s="5"/>
      <c r="J1135" s="5" t="s">
        <v>86</v>
      </c>
      <c r="K1135" s="5">
        <v>4.5</v>
      </c>
      <c r="L1135" s="5"/>
      <c r="M1135" s="5"/>
      <c r="N1135" s="9" t="s">
        <v>11846</v>
      </c>
      <c r="O1135" s="9" t="s">
        <v>11848</v>
      </c>
      <c r="P1135" s="5">
        <v>2</v>
      </c>
      <c r="Q1135" s="9"/>
      <c r="R1135" s="9" t="s">
        <v>3282</v>
      </c>
      <c r="S1135" s="9" t="str">
        <f>HYPERLINK("https://seichotoushi-hojo.jp/assets/pdf/koufu_3_4ji/outline_94.pdf","PDFを開く")</f>
        <v>PDFを開く</v>
      </c>
      <c r="T1135" s="9" t="s">
        <v>2387</v>
      </c>
      <c r="U1135" s="9" t="s">
        <v>2388</v>
      </c>
    </row>
    <row r="1136" spans="1:21" ht="39.950000000000003" customHeight="1">
      <c r="A1136" s="2" t="s">
        <v>2380</v>
      </c>
      <c r="B1136" s="2" t="s">
        <v>1595</v>
      </c>
      <c r="C1136" s="8" t="s">
        <v>2381</v>
      </c>
      <c r="D1136" s="8" t="s">
        <v>3191</v>
      </c>
      <c r="E1136" s="8" t="s">
        <v>92</v>
      </c>
      <c r="F1136" s="2">
        <v>2027</v>
      </c>
      <c r="G1136" s="2">
        <v>176</v>
      </c>
      <c r="H1136" s="2">
        <v>2030</v>
      </c>
      <c r="I1136" s="2">
        <v>256</v>
      </c>
      <c r="J1136" s="2" t="s">
        <v>2513</v>
      </c>
      <c r="K1136" s="2"/>
      <c r="L1136" s="2"/>
      <c r="M1136" s="2"/>
      <c r="N1136" s="8" t="s">
        <v>11846</v>
      </c>
      <c r="O1136" s="8" t="s">
        <v>11847</v>
      </c>
      <c r="P1136" s="2">
        <v>2</v>
      </c>
      <c r="Q1136" s="8"/>
      <c r="R1136" s="8" t="s">
        <v>6266</v>
      </c>
      <c r="S1136" s="8" t="str">
        <f>HYPERLINK("https://seichotoushi-hojo.jp/assets/pdf/koufu_3_4ji/outline_94.pdf","PDFを開く")</f>
        <v>PDFを開く</v>
      </c>
      <c r="T1136" s="8" t="s">
        <v>2387</v>
      </c>
      <c r="U1136" s="8" t="s">
        <v>2388</v>
      </c>
    </row>
    <row r="1137" spans="1:21" ht="39.950000000000003" customHeight="1">
      <c r="A1137" s="5" t="s">
        <v>2389</v>
      </c>
      <c r="B1137" s="5" t="s">
        <v>1595</v>
      </c>
      <c r="C1137" s="9" t="s">
        <v>2390</v>
      </c>
      <c r="D1137" s="9" t="s">
        <v>3176</v>
      </c>
      <c r="E1137" s="9" t="s">
        <v>90</v>
      </c>
      <c r="F1137" s="5">
        <v>2028</v>
      </c>
      <c r="G1137" s="5">
        <v>871</v>
      </c>
      <c r="H1137" s="5">
        <v>2031</v>
      </c>
      <c r="I1137" s="5">
        <v>1546</v>
      </c>
      <c r="J1137" s="5" t="s">
        <v>86</v>
      </c>
      <c r="K1137" s="5">
        <v>21.1</v>
      </c>
      <c r="L1137" s="5">
        <v>21.0776</v>
      </c>
      <c r="M1137" s="5">
        <v>2.24E-2</v>
      </c>
      <c r="N1137" s="9" t="s">
        <v>11846</v>
      </c>
      <c r="O1137" s="9" t="s">
        <v>11847</v>
      </c>
      <c r="P1137" s="5">
        <v>2</v>
      </c>
      <c r="Q1137" s="9"/>
      <c r="R1137" s="9" t="s">
        <v>6270</v>
      </c>
      <c r="S1137" s="9" t="str">
        <f>HYPERLINK("https://seichotoushi-hojo.jp/assets/pdf/koufu_3_4ji/outline_95.pdf","PDFを開く")</f>
        <v>PDFを開く</v>
      </c>
      <c r="T1137" s="9" t="s">
        <v>2394</v>
      </c>
      <c r="U1137" s="9" t="s">
        <v>2395</v>
      </c>
    </row>
    <row r="1138" spans="1:21" ht="39.950000000000003" customHeight="1">
      <c r="A1138" s="2" t="s">
        <v>2389</v>
      </c>
      <c r="B1138" s="2" t="s">
        <v>1595</v>
      </c>
      <c r="C1138" s="8" t="s">
        <v>2390</v>
      </c>
      <c r="D1138" s="8" t="s">
        <v>3184</v>
      </c>
      <c r="E1138" s="8" t="s">
        <v>90</v>
      </c>
      <c r="F1138" s="2">
        <v>2028</v>
      </c>
      <c r="G1138" s="2">
        <v>457</v>
      </c>
      <c r="H1138" s="2">
        <v>2031</v>
      </c>
      <c r="I1138" s="2">
        <v>560</v>
      </c>
      <c r="J1138" s="2" t="s">
        <v>86</v>
      </c>
      <c r="K1138" s="2">
        <v>7</v>
      </c>
      <c r="L1138" s="2">
        <v>7.0099</v>
      </c>
      <c r="M1138" s="2">
        <v>9.9000000000000008E-3</v>
      </c>
      <c r="N1138" s="8" t="s">
        <v>11846</v>
      </c>
      <c r="O1138" s="8" t="s">
        <v>11847</v>
      </c>
      <c r="P1138" s="2">
        <v>2</v>
      </c>
      <c r="Q1138" s="8"/>
      <c r="R1138" s="8" t="s">
        <v>6273</v>
      </c>
      <c r="S1138" s="8" t="str">
        <f>HYPERLINK("https://seichotoushi-hojo.jp/assets/pdf/koufu_3_4ji/outline_95.pdf","PDFを開く")</f>
        <v>PDFを開く</v>
      </c>
      <c r="T1138" s="8" t="s">
        <v>2394</v>
      </c>
      <c r="U1138" s="8" t="s">
        <v>2395</v>
      </c>
    </row>
    <row r="1139" spans="1:21" ht="39.950000000000003" customHeight="1">
      <c r="A1139" s="5" t="s">
        <v>2389</v>
      </c>
      <c r="B1139" s="5" t="s">
        <v>1595</v>
      </c>
      <c r="C1139" s="9" t="s">
        <v>2390</v>
      </c>
      <c r="D1139" s="9" t="s">
        <v>3188</v>
      </c>
      <c r="E1139" s="9" t="s">
        <v>91</v>
      </c>
      <c r="F1139" s="5">
        <v>2028</v>
      </c>
      <c r="G1139" s="5"/>
      <c r="H1139" s="5">
        <v>2031</v>
      </c>
      <c r="I1139" s="5"/>
      <c r="J1139" s="5" t="s">
        <v>86</v>
      </c>
      <c r="K1139" s="5">
        <v>5</v>
      </c>
      <c r="L1139" s="5"/>
      <c r="M1139" s="5"/>
      <c r="N1139" s="9" t="s">
        <v>11846</v>
      </c>
      <c r="O1139" s="9" t="s">
        <v>11848</v>
      </c>
      <c r="P1139" s="5">
        <v>2</v>
      </c>
      <c r="Q1139" s="9"/>
      <c r="R1139" s="9" t="s">
        <v>3382</v>
      </c>
      <c r="S1139" s="9" t="str">
        <f>HYPERLINK("https://seichotoushi-hojo.jp/assets/pdf/koufu_3_4ji/outline_95.pdf","PDFを開く")</f>
        <v>PDFを開く</v>
      </c>
      <c r="T1139" s="9" t="s">
        <v>2394</v>
      </c>
      <c r="U1139" s="9" t="s">
        <v>2395</v>
      </c>
    </row>
    <row r="1140" spans="1:21" ht="39.950000000000003" customHeight="1">
      <c r="A1140" s="2" t="s">
        <v>2389</v>
      </c>
      <c r="B1140" s="2" t="s">
        <v>1595</v>
      </c>
      <c r="C1140" s="8" t="s">
        <v>2390</v>
      </c>
      <c r="D1140" s="8" t="s">
        <v>3191</v>
      </c>
      <c r="E1140" s="8" t="s">
        <v>92</v>
      </c>
      <c r="F1140" s="2">
        <v>2028</v>
      </c>
      <c r="G1140" s="2">
        <v>92</v>
      </c>
      <c r="H1140" s="2">
        <v>2031</v>
      </c>
      <c r="I1140" s="2">
        <v>110</v>
      </c>
      <c r="J1140" s="2" t="s">
        <v>2513</v>
      </c>
      <c r="K1140" s="2"/>
      <c r="L1140" s="2"/>
      <c r="M1140" s="2"/>
      <c r="N1140" s="8" t="s">
        <v>11846</v>
      </c>
      <c r="O1140" s="8" t="s">
        <v>11847</v>
      </c>
      <c r="P1140" s="2">
        <v>2</v>
      </c>
      <c r="Q1140" s="8"/>
      <c r="R1140" s="8" t="s">
        <v>6275</v>
      </c>
      <c r="S1140" s="8" t="str">
        <f>HYPERLINK("https://seichotoushi-hojo.jp/assets/pdf/koufu_3_4ji/outline_95.pdf","PDFを開く")</f>
        <v>PDFを開く</v>
      </c>
      <c r="T1140" s="8" t="s">
        <v>2394</v>
      </c>
      <c r="U1140" s="8" t="s">
        <v>2395</v>
      </c>
    </row>
    <row r="1141" spans="1:21" ht="39.950000000000003" customHeight="1">
      <c r="A1141" s="5" t="s">
        <v>2396</v>
      </c>
      <c r="B1141" s="5" t="s">
        <v>1595</v>
      </c>
      <c r="C1141" s="9" t="s">
        <v>2397</v>
      </c>
      <c r="D1141" s="9" t="s">
        <v>3176</v>
      </c>
      <c r="E1141" s="9" t="s">
        <v>90</v>
      </c>
      <c r="F1141" s="5">
        <v>2026</v>
      </c>
      <c r="G1141" s="5">
        <v>658</v>
      </c>
      <c r="H1141" s="5">
        <v>2029</v>
      </c>
      <c r="I1141" s="5">
        <v>3206</v>
      </c>
      <c r="J1141" s="5" t="s">
        <v>86</v>
      </c>
      <c r="K1141" s="5">
        <v>69.5</v>
      </c>
      <c r="L1141" s="5">
        <v>69.529700000000005</v>
      </c>
      <c r="M1141" s="5">
        <v>2.9700000000000001E-2</v>
      </c>
      <c r="N1141" s="9" t="s">
        <v>11846</v>
      </c>
      <c r="O1141" s="9" t="s">
        <v>11847</v>
      </c>
      <c r="P1141" s="5">
        <v>2</v>
      </c>
      <c r="Q1141" s="9"/>
      <c r="R1141" s="9" t="s">
        <v>6279</v>
      </c>
      <c r="S1141" s="9" t="str">
        <f>HYPERLINK("https://seichotoushi-hojo.jp/assets/pdf/koufu_3_4ji/outline_96.pdf","PDFを開く")</f>
        <v>PDFを開く</v>
      </c>
      <c r="T1141" s="9" t="s">
        <v>2402</v>
      </c>
      <c r="U1141" s="9" t="s">
        <v>2403</v>
      </c>
    </row>
    <row r="1142" spans="1:21" ht="39.950000000000003" customHeight="1">
      <c r="A1142" s="2" t="s">
        <v>2396</v>
      </c>
      <c r="B1142" s="2" t="s">
        <v>1595</v>
      </c>
      <c r="C1142" s="8" t="s">
        <v>2397</v>
      </c>
      <c r="D1142" s="8" t="s">
        <v>3184</v>
      </c>
      <c r="E1142" s="8" t="s">
        <v>90</v>
      </c>
      <c r="F1142" s="2">
        <v>2026</v>
      </c>
      <c r="G1142" s="2">
        <v>480</v>
      </c>
      <c r="H1142" s="2">
        <v>2029</v>
      </c>
      <c r="I1142" s="2">
        <v>607</v>
      </c>
      <c r="J1142" s="2" t="s">
        <v>86</v>
      </c>
      <c r="K1142" s="2">
        <v>8.1</v>
      </c>
      <c r="L1142" s="2">
        <v>8.1389999999999993</v>
      </c>
      <c r="M1142" s="2">
        <v>3.9E-2</v>
      </c>
      <c r="N1142" s="8" t="s">
        <v>11846</v>
      </c>
      <c r="O1142" s="8" t="s">
        <v>11847</v>
      </c>
      <c r="P1142" s="2">
        <v>2</v>
      </c>
      <c r="Q1142" s="8"/>
      <c r="R1142" s="8" t="s">
        <v>6283</v>
      </c>
      <c r="S1142" s="8" t="str">
        <f>HYPERLINK("https://seichotoushi-hojo.jp/assets/pdf/koufu_3_4ji/outline_96.pdf","PDFを開く")</f>
        <v>PDFを開く</v>
      </c>
      <c r="T1142" s="8" t="s">
        <v>2402</v>
      </c>
      <c r="U1142" s="8" t="s">
        <v>2403</v>
      </c>
    </row>
    <row r="1143" spans="1:21" ht="39.950000000000003" customHeight="1">
      <c r="A1143" s="5" t="s">
        <v>2396</v>
      </c>
      <c r="B1143" s="5" t="s">
        <v>1595</v>
      </c>
      <c r="C1143" s="9" t="s">
        <v>2397</v>
      </c>
      <c r="D1143" s="9" t="s">
        <v>3188</v>
      </c>
      <c r="E1143" s="9" t="s">
        <v>91</v>
      </c>
      <c r="F1143" s="5">
        <v>2026</v>
      </c>
      <c r="G1143" s="5"/>
      <c r="H1143" s="5">
        <v>2029</v>
      </c>
      <c r="I1143" s="5"/>
      <c r="J1143" s="5" t="s">
        <v>86</v>
      </c>
      <c r="K1143" s="5">
        <v>14.5</v>
      </c>
      <c r="L1143" s="5"/>
      <c r="M1143" s="5"/>
      <c r="N1143" s="9" t="s">
        <v>11846</v>
      </c>
      <c r="O1143" s="9" t="s">
        <v>11848</v>
      </c>
      <c r="P1143" s="5">
        <v>2</v>
      </c>
      <c r="Q1143" s="9"/>
      <c r="R1143" s="9" t="s">
        <v>6289</v>
      </c>
      <c r="S1143" s="9" t="str">
        <f>HYPERLINK("https://seichotoushi-hojo.jp/assets/pdf/koufu_3_4ji/outline_96.pdf","PDFを開く")</f>
        <v>PDFを開く</v>
      </c>
      <c r="T1143" s="9" t="s">
        <v>2402</v>
      </c>
      <c r="U1143" s="9" t="s">
        <v>2403</v>
      </c>
    </row>
    <row r="1144" spans="1:21" ht="39.950000000000003" customHeight="1">
      <c r="A1144" s="2" t="s">
        <v>2396</v>
      </c>
      <c r="B1144" s="2" t="s">
        <v>1595</v>
      </c>
      <c r="C1144" s="8" t="s">
        <v>2397</v>
      </c>
      <c r="D1144" s="8" t="s">
        <v>3191</v>
      </c>
      <c r="E1144" s="8" t="s">
        <v>92</v>
      </c>
      <c r="F1144" s="2">
        <v>2026</v>
      </c>
      <c r="G1144" s="2">
        <v>0.4</v>
      </c>
      <c r="H1144" s="2">
        <v>2029</v>
      </c>
      <c r="I1144" s="2">
        <v>21</v>
      </c>
      <c r="J1144" s="2" t="s">
        <v>2513</v>
      </c>
      <c r="K1144" s="2"/>
      <c r="L1144" s="2"/>
      <c r="M1144" s="2"/>
      <c r="N1144" s="8" t="s">
        <v>11846</v>
      </c>
      <c r="O1144" s="8" t="s">
        <v>11847</v>
      </c>
      <c r="P1144" s="2">
        <v>2</v>
      </c>
      <c r="Q1144" s="8"/>
      <c r="R1144" s="8" t="s">
        <v>6287</v>
      </c>
      <c r="S1144" s="8" t="str">
        <f>HYPERLINK("https://seichotoushi-hojo.jp/assets/pdf/koufu_3_4ji/outline_96.pdf","PDFを開く")</f>
        <v>PDFを開く</v>
      </c>
      <c r="T1144" s="8" t="s">
        <v>2402</v>
      </c>
      <c r="U1144" s="8" t="s">
        <v>2403</v>
      </c>
    </row>
    <row r="1145" spans="1:21" ht="39.950000000000003" customHeight="1">
      <c r="A1145" s="5" t="s">
        <v>2404</v>
      </c>
      <c r="B1145" s="5" t="s">
        <v>1595</v>
      </c>
      <c r="C1145" s="9" t="s">
        <v>2405</v>
      </c>
      <c r="D1145" s="9" t="s">
        <v>3176</v>
      </c>
      <c r="E1145" s="9" t="s">
        <v>90</v>
      </c>
      <c r="F1145" s="5">
        <v>2027</v>
      </c>
      <c r="G1145" s="5">
        <v>1265</v>
      </c>
      <c r="H1145" s="5">
        <v>2030</v>
      </c>
      <c r="I1145" s="5">
        <v>3099</v>
      </c>
      <c r="J1145" s="5" t="s">
        <v>86</v>
      </c>
      <c r="K1145" s="5">
        <v>34.799999999999997</v>
      </c>
      <c r="L1145" s="5">
        <v>34.806399999999996</v>
      </c>
      <c r="M1145" s="5">
        <v>6.4000000000000003E-3</v>
      </c>
      <c r="N1145" s="9" t="s">
        <v>11846</v>
      </c>
      <c r="O1145" s="9" t="s">
        <v>11847</v>
      </c>
      <c r="P1145" s="5">
        <v>2</v>
      </c>
      <c r="Q1145" s="9"/>
      <c r="R1145" s="9" t="s">
        <v>6293</v>
      </c>
      <c r="S1145" s="9" t="str">
        <f>HYPERLINK("https://seichotoushi-hojo.jp/assets/pdf/koufu_3_4ji/outline_97.pdf","PDFを開く")</f>
        <v>PDFを開く</v>
      </c>
      <c r="T1145" s="9" t="s">
        <v>2410</v>
      </c>
      <c r="U1145" s="9" t="s">
        <v>2411</v>
      </c>
    </row>
    <row r="1146" spans="1:21" ht="39.950000000000003" customHeight="1">
      <c r="A1146" s="2" t="s">
        <v>2404</v>
      </c>
      <c r="B1146" s="2" t="s">
        <v>1595</v>
      </c>
      <c r="C1146" s="8" t="s">
        <v>2405</v>
      </c>
      <c r="D1146" s="8" t="s">
        <v>3184</v>
      </c>
      <c r="E1146" s="8" t="s">
        <v>90</v>
      </c>
      <c r="F1146" s="2">
        <v>2027</v>
      </c>
      <c r="G1146" s="2">
        <v>617</v>
      </c>
      <c r="H1146" s="2">
        <v>2030</v>
      </c>
      <c r="I1146" s="2">
        <v>727</v>
      </c>
      <c r="J1146" s="2" t="s">
        <v>86</v>
      </c>
      <c r="K1146" s="2">
        <v>5.6</v>
      </c>
      <c r="L1146" s="2">
        <v>5.6208999999999998</v>
      </c>
      <c r="M1146" s="2">
        <v>2.0899999999999998E-2</v>
      </c>
      <c r="N1146" s="8" t="s">
        <v>11846</v>
      </c>
      <c r="O1146" s="8" t="s">
        <v>11847</v>
      </c>
      <c r="P1146" s="2">
        <v>2</v>
      </c>
      <c r="Q1146" s="8"/>
      <c r="R1146" s="8" t="s">
        <v>6294</v>
      </c>
      <c r="S1146" s="8" t="str">
        <f>HYPERLINK("https://seichotoushi-hojo.jp/assets/pdf/koufu_3_4ji/outline_97.pdf","PDFを開く")</f>
        <v>PDFを開く</v>
      </c>
      <c r="T1146" s="8" t="s">
        <v>2410</v>
      </c>
      <c r="U1146" s="8" t="s">
        <v>2411</v>
      </c>
    </row>
    <row r="1147" spans="1:21" ht="39.950000000000003" customHeight="1">
      <c r="A1147" s="5" t="s">
        <v>2404</v>
      </c>
      <c r="B1147" s="5" t="s">
        <v>1595</v>
      </c>
      <c r="C1147" s="9" t="s">
        <v>2405</v>
      </c>
      <c r="D1147" s="9" t="s">
        <v>3188</v>
      </c>
      <c r="E1147" s="9" t="s">
        <v>91</v>
      </c>
      <c r="F1147" s="5">
        <v>2027</v>
      </c>
      <c r="G1147" s="5"/>
      <c r="H1147" s="5">
        <v>2030</v>
      </c>
      <c r="I1147" s="5"/>
      <c r="J1147" s="5" t="s">
        <v>86</v>
      </c>
      <c r="K1147" s="5">
        <v>5</v>
      </c>
      <c r="L1147" s="5"/>
      <c r="M1147" s="5"/>
      <c r="N1147" s="9" t="s">
        <v>11846</v>
      </c>
      <c r="O1147" s="9" t="s">
        <v>11848</v>
      </c>
      <c r="P1147" s="5">
        <v>2</v>
      </c>
      <c r="Q1147" s="9"/>
      <c r="R1147" s="9" t="s">
        <v>3382</v>
      </c>
      <c r="S1147" s="9" t="str">
        <f>HYPERLINK("https://seichotoushi-hojo.jp/assets/pdf/koufu_3_4ji/outline_97.pdf","PDFを開く")</f>
        <v>PDFを開く</v>
      </c>
      <c r="T1147" s="9" t="s">
        <v>2410</v>
      </c>
      <c r="U1147" s="9" t="s">
        <v>2411</v>
      </c>
    </row>
    <row r="1148" spans="1:21" ht="39.950000000000003" customHeight="1">
      <c r="A1148" s="2" t="s">
        <v>2404</v>
      </c>
      <c r="B1148" s="2" t="s">
        <v>1595</v>
      </c>
      <c r="C1148" s="8" t="s">
        <v>2405</v>
      </c>
      <c r="D1148" s="8" t="s">
        <v>3191</v>
      </c>
      <c r="E1148" s="8" t="s">
        <v>92</v>
      </c>
      <c r="F1148" s="2">
        <v>2027</v>
      </c>
      <c r="G1148" s="2">
        <v>86</v>
      </c>
      <c r="H1148" s="2">
        <v>2030</v>
      </c>
      <c r="I1148" s="2">
        <v>120</v>
      </c>
      <c r="J1148" s="2" t="s">
        <v>2513</v>
      </c>
      <c r="K1148" s="2"/>
      <c r="L1148" s="2"/>
      <c r="M1148" s="2"/>
      <c r="N1148" s="8" t="s">
        <v>11846</v>
      </c>
      <c r="O1148" s="8" t="s">
        <v>11847</v>
      </c>
      <c r="P1148" s="2">
        <v>2</v>
      </c>
      <c r="Q1148" s="8"/>
      <c r="R1148" s="8" t="s">
        <v>6295</v>
      </c>
      <c r="S1148" s="8" t="str">
        <f>HYPERLINK("https://seichotoushi-hojo.jp/assets/pdf/koufu_3_4ji/outline_97.pdf","PDFを開く")</f>
        <v>PDFを開く</v>
      </c>
      <c r="T1148" s="8" t="s">
        <v>2410</v>
      </c>
      <c r="U1148" s="8" t="s">
        <v>2411</v>
      </c>
    </row>
    <row r="1149" spans="1:21" ht="39.950000000000003" customHeight="1">
      <c r="A1149" s="5" t="s">
        <v>2412</v>
      </c>
      <c r="B1149" s="5" t="s">
        <v>1595</v>
      </c>
      <c r="C1149" s="9" t="s">
        <v>2413</v>
      </c>
      <c r="D1149" s="9" t="s">
        <v>3176</v>
      </c>
      <c r="E1149" s="9" t="s">
        <v>90</v>
      </c>
      <c r="F1149" s="5">
        <v>2026</v>
      </c>
      <c r="G1149" s="5">
        <v>862</v>
      </c>
      <c r="H1149" s="5">
        <v>2029</v>
      </c>
      <c r="I1149" s="5">
        <v>1281</v>
      </c>
      <c r="J1149" s="5" t="s">
        <v>86</v>
      </c>
      <c r="K1149" s="5">
        <v>14.1</v>
      </c>
      <c r="L1149" s="5">
        <v>14.116199999999999</v>
      </c>
      <c r="M1149" s="5">
        <v>1.6199999999999999E-2</v>
      </c>
      <c r="N1149" s="9" t="s">
        <v>11846</v>
      </c>
      <c r="O1149" s="9"/>
      <c r="P1149" s="5">
        <v>2</v>
      </c>
      <c r="Q1149" s="9"/>
      <c r="R1149" s="9" t="s">
        <v>6298</v>
      </c>
      <c r="S1149" s="9" t="str">
        <f>HYPERLINK("https://seichotoushi-hojo.jp/assets/pdf/koufu_3_4ji/outline_98.pdf","PDFを開く")</f>
        <v>PDFを開く</v>
      </c>
      <c r="T1149" s="9" t="s">
        <v>2418</v>
      </c>
      <c r="U1149" s="9" t="s">
        <v>2419</v>
      </c>
    </row>
    <row r="1150" spans="1:21" ht="39.950000000000003" customHeight="1">
      <c r="A1150" s="2" t="s">
        <v>2412</v>
      </c>
      <c r="B1150" s="2" t="s">
        <v>1595</v>
      </c>
      <c r="C1150" s="8" t="s">
        <v>2413</v>
      </c>
      <c r="D1150" s="8" t="s">
        <v>3184</v>
      </c>
      <c r="E1150" s="8" t="s">
        <v>90</v>
      </c>
      <c r="F1150" s="2">
        <v>2026</v>
      </c>
      <c r="G1150" s="2">
        <v>565</v>
      </c>
      <c r="H1150" s="2">
        <v>2029</v>
      </c>
      <c r="I1150" s="2">
        <v>663</v>
      </c>
      <c r="J1150" s="2" t="s">
        <v>86</v>
      </c>
      <c r="K1150" s="2">
        <v>5.5</v>
      </c>
      <c r="L1150" s="2">
        <v>5.4763000000000002</v>
      </c>
      <c r="M1150" s="2">
        <v>2.3699999999999999E-2</v>
      </c>
      <c r="N1150" s="8" t="s">
        <v>11846</v>
      </c>
      <c r="O1150" s="8"/>
      <c r="P1150" s="2">
        <v>2</v>
      </c>
      <c r="Q1150" s="8"/>
      <c r="R1150" s="8" t="s">
        <v>6299</v>
      </c>
      <c r="S1150" s="8" t="str">
        <f>HYPERLINK("https://seichotoushi-hojo.jp/assets/pdf/koufu_3_4ji/outline_98.pdf","PDFを開く")</f>
        <v>PDFを開く</v>
      </c>
      <c r="T1150" s="8" t="s">
        <v>2418</v>
      </c>
      <c r="U1150" s="8" t="s">
        <v>2419</v>
      </c>
    </row>
    <row r="1151" spans="1:21" ht="39.950000000000003" customHeight="1">
      <c r="A1151" s="5" t="s">
        <v>2412</v>
      </c>
      <c r="B1151" s="5" t="s">
        <v>1595</v>
      </c>
      <c r="C1151" s="9" t="s">
        <v>2413</v>
      </c>
      <c r="D1151" s="9" t="s">
        <v>3188</v>
      </c>
      <c r="E1151" s="9" t="s">
        <v>156</v>
      </c>
      <c r="F1151" s="5"/>
      <c r="G1151" s="5"/>
      <c r="H1151" s="5"/>
      <c r="I1151" s="5"/>
      <c r="J1151" s="5"/>
      <c r="K1151" s="5"/>
      <c r="L1151" s="5"/>
      <c r="M1151" s="5"/>
      <c r="N1151" s="9" t="s">
        <v>11850</v>
      </c>
      <c r="O1151" s="9"/>
      <c r="P1151" s="5"/>
      <c r="Q1151" s="9" t="s">
        <v>11851</v>
      </c>
      <c r="R1151" s="9"/>
      <c r="S1151" s="9" t="str">
        <f>HYPERLINK("https://seichotoushi-hojo.jp/assets/pdf/koufu_3_4ji/outline_98.pdf","PDFを開く")</f>
        <v>PDFを開く</v>
      </c>
      <c r="T1151" s="9" t="s">
        <v>2418</v>
      </c>
      <c r="U1151" s="9" t="s">
        <v>2419</v>
      </c>
    </row>
    <row r="1152" spans="1:21" ht="39.950000000000003" customHeight="1">
      <c r="A1152" s="2" t="s">
        <v>2412</v>
      </c>
      <c r="B1152" s="2" t="s">
        <v>1595</v>
      </c>
      <c r="C1152" s="8" t="s">
        <v>2413</v>
      </c>
      <c r="D1152" s="8" t="s">
        <v>3191</v>
      </c>
      <c r="E1152" s="8" t="s">
        <v>92</v>
      </c>
      <c r="F1152" s="2">
        <v>2026</v>
      </c>
      <c r="G1152" s="2">
        <v>753</v>
      </c>
      <c r="H1152" s="2">
        <v>2029</v>
      </c>
      <c r="I1152" s="2">
        <v>780</v>
      </c>
      <c r="J1152" s="2" t="s">
        <v>2513</v>
      </c>
      <c r="K1152" s="2"/>
      <c r="L1152" s="2"/>
      <c r="M1152" s="2"/>
      <c r="N1152" s="8" t="s">
        <v>11846</v>
      </c>
      <c r="O1152" s="8"/>
      <c r="P1152" s="2">
        <v>2</v>
      </c>
      <c r="Q1152" s="8"/>
      <c r="R1152" s="8" t="s">
        <v>6302</v>
      </c>
      <c r="S1152" s="8" t="str">
        <f>HYPERLINK("https://seichotoushi-hojo.jp/assets/pdf/koufu_3_4ji/outline_98.pdf","PDFを開く")</f>
        <v>PDFを開く</v>
      </c>
      <c r="T1152" s="8" t="s">
        <v>2418</v>
      </c>
      <c r="U1152" s="8" t="s">
        <v>2419</v>
      </c>
    </row>
    <row r="1153" spans="1:21" ht="39.950000000000003" customHeight="1">
      <c r="A1153" s="5" t="s">
        <v>2420</v>
      </c>
      <c r="B1153" s="5" t="s">
        <v>1595</v>
      </c>
      <c r="C1153" s="9" t="s">
        <v>2421</v>
      </c>
      <c r="D1153" s="9" t="s">
        <v>3176</v>
      </c>
      <c r="E1153" s="9" t="s">
        <v>166</v>
      </c>
      <c r="F1153" s="5">
        <v>2027</v>
      </c>
      <c r="G1153" s="5">
        <v>1261</v>
      </c>
      <c r="H1153" s="5">
        <v>2030</v>
      </c>
      <c r="I1153" s="5">
        <v>1383</v>
      </c>
      <c r="J1153" s="5" t="s">
        <v>86</v>
      </c>
      <c r="K1153" s="5">
        <v>3.1</v>
      </c>
      <c r="L1153" s="5">
        <v>3.1261999999999999</v>
      </c>
      <c r="M1153" s="5">
        <v>2.6200000000000001E-2</v>
      </c>
      <c r="N1153" s="9" t="s">
        <v>11846</v>
      </c>
      <c r="O1153" s="9" t="s">
        <v>292</v>
      </c>
      <c r="P1153" s="5">
        <v>2</v>
      </c>
      <c r="Q1153" s="9"/>
      <c r="R1153" s="9" t="s">
        <v>6313</v>
      </c>
      <c r="S1153" s="9" t="str">
        <f>HYPERLINK("https://seichotoushi-hojo.jp/assets/pdf/koufu_3_4ji/outline_99.pdf","PDFを開く")</f>
        <v>PDFを開く</v>
      </c>
      <c r="T1153" s="9" t="s">
        <v>2426</v>
      </c>
      <c r="U1153" s="9" t="s">
        <v>2427</v>
      </c>
    </row>
    <row r="1154" spans="1:21" ht="39.950000000000003" customHeight="1">
      <c r="A1154" s="2" t="s">
        <v>2420</v>
      </c>
      <c r="B1154" s="2" t="s">
        <v>1595</v>
      </c>
      <c r="C1154" s="8" t="s">
        <v>2421</v>
      </c>
      <c r="D1154" s="8" t="s">
        <v>3184</v>
      </c>
      <c r="E1154" s="8" t="s">
        <v>166</v>
      </c>
      <c r="F1154" s="2">
        <v>2027</v>
      </c>
      <c r="G1154" s="2">
        <v>523</v>
      </c>
      <c r="H1154" s="2">
        <v>2030</v>
      </c>
      <c r="I1154" s="2">
        <v>606</v>
      </c>
      <c r="J1154" s="2" t="s">
        <v>86</v>
      </c>
      <c r="K1154" s="2">
        <v>5</v>
      </c>
      <c r="L1154" s="2">
        <v>5.0324999999999998</v>
      </c>
      <c r="M1154" s="2">
        <v>3.2500000000000001E-2</v>
      </c>
      <c r="N1154" s="8" t="s">
        <v>11846</v>
      </c>
      <c r="O1154" s="8" t="s">
        <v>292</v>
      </c>
      <c r="P1154" s="2">
        <v>2</v>
      </c>
      <c r="Q1154" s="8"/>
      <c r="R1154" s="8" t="s">
        <v>6315</v>
      </c>
      <c r="S1154" s="8" t="str">
        <f>HYPERLINK("https://seichotoushi-hojo.jp/assets/pdf/koufu_3_4ji/outline_99.pdf","PDFを開く")</f>
        <v>PDFを開く</v>
      </c>
      <c r="T1154" s="8" t="s">
        <v>2426</v>
      </c>
      <c r="U1154" s="8" t="s">
        <v>2427</v>
      </c>
    </row>
    <row r="1155" spans="1:21" ht="39.950000000000003" customHeight="1">
      <c r="A1155" s="5" t="s">
        <v>2420</v>
      </c>
      <c r="B1155" s="5" t="s">
        <v>1595</v>
      </c>
      <c r="C1155" s="9" t="s">
        <v>2421</v>
      </c>
      <c r="D1155" s="9" t="s">
        <v>3188</v>
      </c>
      <c r="E1155" s="9" t="s">
        <v>2428</v>
      </c>
      <c r="F1155" s="5">
        <v>2027</v>
      </c>
      <c r="G1155" s="5"/>
      <c r="H1155" s="5">
        <v>2030</v>
      </c>
      <c r="I1155" s="5"/>
      <c r="J1155" s="5" t="s">
        <v>86</v>
      </c>
      <c r="K1155" s="5"/>
      <c r="L1155" s="5"/>
      <c r="M1155" s="5"/>
      <c r="N1155" s="9" t="s">
        <v>11846</v>
      </c>
      <c r="O1155" s="9" t="s">
        <v>292</v>
      </c>
      <c r="P1155" s="5">
        <v>2</v>
      </c>
      <c r="Q1155" s="9" t="s">
        <v>11857</v>
      </c>
      <c r="R1155" s="9" t="s">
        <v>6317</v>
      </c>
      <c r="S1155" s="9" t="str">
        <f>HYPERLINK("https://seichotoushi-hojo.jp/assets/pdf/koufu_3_4ji/outline_99.pdf","PDFを開く")</f>
        <v>PDFを開く</v>
      </c>
      <c r="T1155" s="9" t="s">
        <v>2426</v>
      </c>
      <c r="U1155" s="9" t="s">
        <v>2427</v>
      </c>
    </row>
    <row r="1156" spans="1:21" ht="39.950000000000003" customHeight="1">
      <c r="A1156" s="2" t="s">
        <v>2420</v>
      </c>
      <c r="B1156" s="2" t="s">
        <v>1595</v>
      </c>
      <c r="C1156" s="8" t="s">
        <v>2421</v>
      </c>
      <c r="D1156" s="8" t="s">
        <v>3191</v>
      </c>
      <c r="E1156" s="8" t="s">
        <v>166</v>
      </c>
      <c r="F1156" s="2">
        <v>2027</v>
      </c>
      <c r="G1156" s="2">
        <v>84</v>
      </c>
      <c r="H1156" s="2">
        <v>2030</v>
      </c>
      <c r="I1156" s="2">
        <v>112</v>
      </c>
      <c r="J1156" s="2" t="s">
        <v>2513</v>
      </c>
      <c r="K1156" s="2">
        <v>10.1</v>
      </c>
      <c r="L1156" s="2"/>
      <c r="M1156" s="2"/>
      <c r="N1156" s="8" t="s">
        <v>11846</v>
      </c>
      <c r="O1156" s="8" t="s">
        <v>292</v>
      </c>
      <c r="P1156" s="2">
        <v>2</v>
      </c>
      <c r="Q1156" s="8"/>
      <c r="R1156" s="8" t="s">
        <v>6318</v>
      </c>
      <c r="S1156" s="8" t="str">
        <f>HYPERLINK("https://seichotoushi-hojo.jp/assets/pdf/koufu_3_4ji/outline_99.pdf","PDFを開く")</f>
        <v>PDFを開く</v>
      </c>
      <c r="T1156" s="8" t="s">
        <v>2426</v>
      </c>
      <c r="U1156" s="8" t="s">
        <v>2427</v>
      </c>
    </row>
    <row r="1157" spans="1:21" ht="39.950000000000003" customHeight="1">
      <c r="A1157" s="5" t="s">
        <v>2429</v>
      </c>
      <c r="B1157" s="5" t="s">
        <v>2430</v>
      </c>
      <c r="C1157" s="9" t="s">
        <v>2431</v>
      </c>
      <c r="D1157" s="9" t="s">
        <v>3176</v>
      </c>
      <c r="E1157" s="9" t="s">
        <v>90</v>
      </c>
      <c r="F1157" s="5">
        <v>2028</v>
      </c>
      <c r="G1157" s="5">
        <v>15513</v>
      </c>
      <c r="H1157" s="5">
        <v>2031</v>
      </c>
      <c r="I1157" s="5">
        <v>29768</v>
      </c>
      <c r="J1157" s="5" t="s">
        <v>447</v>
      </c>
      <c r="K1157" s="5">
        <v>24.3</v>
      </c>
      <c r="L1157" s="5">
        <v>24.265699999999999</v>
      </c>
      <c r="M1157" s="5">
        <v>3.4299999999999997E-2</v>
      </c>
      <c r="N1157" s="9" t="s">
        <v>11846</v>
      </c>
      <c r="O1157" s="9" t="s">
        <v>11847</v>
      </c>
      <c r="P1157" s="5">
        <v>2</v>
      </c>
      <c r="Q1157" s="9"/>
      <c r="R1157" s="9" t="s">
        <v>6321</v>
      </c>
      <c r="S1157" s="9" t="str">
        <f>HYPERLINK("https://seichotoushi-hojo.jp/assets/pdf/koufu_3_4ji/outline_113.pdf","PDFを開く")</f>
        <v>PDFを開く</v>
      </c>
      <c r="T1157" s="9" t="s">
        <v>2435</v>
      </c>
      <c r="U1157" s="9" t="s">
        <v>2436</v>
      </c>
    </row>
    <row r="1158" spans="1:21" ht="39.950000000000003" customHeight="1">
      <c r="A1158" s="2" t="s">
        <v>2429</v>
      </c>
      <c r="B1158" s="2" t="s">
        <v>2430</v>
      </c>
      <c r="C1158" s="8" t="s">
        <v>2431</v>
      </c>
      <c r="D1158" s="8" t="s">
        <v>3184</v>
      </c>
      <c r="E1158" s="8" t="s">
        <v>90</v>
      </c>
      <c r="F1158" s="2">
        <v>2028</v>
      </c>
      <c r="G1158" s="2">
        <v>3813</v>
      </c>
      <c r="H1158" s="2">
        <v>2031</v>
      </c>
      <c r="I1158" s="2">
        <v>4606</v>
      </c>
      <c r="J1158" s="2" t="s">
        <v>447</v>
      </c>
      <c r="K1158" s="2">
        <v>6.5</v>
      </c>
      <c r="L1158" s="2">
        <v>6.5007000000000001</v>
      </c>
      <c r="M1158" s="2">
        <v>6.9999999999999999E-4</v>
      </c>
      <c r="N1158" s="8" t="s">
        <v>11846</v>
      </c>
      <c r="O1158" s="8" t="s">
        <v>11847</v>
      </c>
      <c r="P1158" s="2">
        <v>2</v>
      </c>
      <c r="Q1158" s="8"/>
      <c r="R1158" s="8" t="s">
        <v>6325</v>
      </c>
      <c r="S1158" s="8" t="str">
        <f>HYPERLINK("https://seichotoushi-hojo.jp/assets/pdf/koufu_3_4ji/outline_113.pdf","PDFを開く")</f>
        <v>PDFを開く</v>
      </c>
      <c r="T1158" s="8" t="s">
        <v>2435</v>
      </c>
      <c r="U1158" s="8" t="s">
        <v>2436</v>
      </c>
    </row>
    <row r="1159" spans="1:21" ht="39.950000000000003" customHeight="1">
      <c r="A1159" s="5" t="s">
        <v>2429</v>
      </c>
      <c r="B1159" s="5" t="s">
        <v>2430</v>
      </c>
      <c r="C1159" s="9" t="s">
        <v>2431</v>
      </c>
      <c r="D1159" s="9" t="s">
        <v>3188</v>
      </c>
      <c r="E1159" s="9" t="s">
        <v>91</v>
      </c>
      <c r="F1159" s="5">
        <v>2028</v>
      </c>
      <c r="G1159" s="5"/>
      <c r="H1159" s="5">
        <v>2031</v>
      </c>
      <c r="I1159" s="5"/>
      <c r="J1159" s="5" t="s">
        <v>447</v>
      </c>
      <c r="K1159" s="5">
        <v>6.5</v>
      </c>
      <c r="L1159" s="5"/>
      <c r="M1159" s="5"/>
      <c r="N1159" s="9" t="s">
        <v>11846</v>
      </c>
      <c r="O1159" s="9" t="s">
        <v>11848</v>
      </c>
      <c r="P1159" s="5">
        <v>2</v>
      </c>
      <c r="Q1159" s="9"/>
      <c r="R1159" s="9" t="s">
        <v>6330</v>
      </c>
      <c r="S1159" s="9" t="str">
        <f>HYPERLINK("https://seichotoushi-hojo.jp/assets/pdf/koufu_3_4ji/outline_113.pdf","PDFを開く")</f>
        <v>PDFを開く</v>
      </c>
      <c r="T1159" s="9" t="s">
        <v>2435</v>
      </c>
      <c r="U1159" s="9" t="s">
        <v>2436</v>
      </c>
    </row>
    <row r="1160" spans="1:21" ht="39.950000000000003" customHeight="1">
      <c r="A1160" s="2" t="s">
        <v>2429</v>
      </c>
      <c r="B1160" s="2" t="s">
        <v>2430</v>
      </c>
      <c r="C1160" s="8" t="s">
        <v>2431</v>
      </c>
      <c r="D1160" s="8" t="s">
        <v>3191</v>
      </c>
      <c r="E1160" s="8" t="s">
        <v>92</v>
      </c>
      <c r="F1160" s="2">
        <v>2028</v>
      </c>
      <c r="G1160" s="2">
        <v>55</v>
      </c>
      <c r="H1160" s="2">
        <v>2031</v>
      </c>
      <c r="I1160" s="2">
        <v>75</v>
      </c>
      <c r="J1160" s="2" t="s">
        <v>2513</v>
      </c>
      <c r="K1160" s="2"/>
      <c r="L1160" s="2"/>
      <c r="M1160" s="2"/>
      <c r="N1160" s="8" t="s">
        <v>11846</v>
      </c>
      <c r="O1160" s="8" t="s">
        <v>11847</v>
      </c>
      <c r="P1160" s="2">
        <v>2</v>
      </c>
      <c r="Q1160" s="8"/>
      <c r="R1160" s="8" t="s">
        <v>6328</v>
      </c>
      <c r="S1160" s="8" t="str">
        <f>HYPERLINK("https://seichotoushi-hojo.jp/assets/pdf/koufu_3_4ji/outline_113.pdf","PDFを開く")</f>
        <v>PDFを開く</v>
      </c>
      <c r="T1160" s="8" t="s">
        <v>2435</v>
      </c>
      <c r="U1160" s="8" t="s">
        <v>2436</v>
      </c>
    </row>
    <row r="1161" spans="1:21" ht="39.950000000000003" customHeight="1">
      <c r="A1161" s="5" t="s">
        <v>2437</v>
      </c>
      <c r="B1161" s="5" t="s">
        <v>2430</v>
      </c>
      <c r="C1161" s="9" t="s">
        <v>2438</v>
      </c>
      <c r="D1161" s="9" t="s">
        <v>3176</v>
      </c>
      <c r="E1161" s="9" t="s">
        <v>90</v>
      </c>
      <c r="F1161" s="5"/>
      <c r="G1161" s="5">
        <v>11310</v>
      </c>
      <c r="H1161" s="5"/>
      <c r="I1161" s="5">
        <v>14984</v>
      </c>
      <c r="J1161" s="5" t="s">
        <v>447</v>
      </c>
      <c r="K1161" s="5">
        <v>9.8000000000000007</v>
      </c>
      <c r="L1161" s="5">
        <v>9.8301999999999996</v>
      </c>
      <c r="M1161" s="5">
        <v>3.0200000000000001E-2</v>
      </c>
      <c r="N1161" s="9" t="s">
        <v>11853</v>
      </c>
      <c r="O1161" s="9"/>
      <c r="P1161" s="5">
        <v>2</v>
      </c>
      <c r="Q1161" s="9"/>
      <c r="R1161" s="9" t="s">
        <v>6333</v>
      </c>
      <c r="S1161" s="9" t="str">
        <f>HYPERLINK("https://seichotoushi-hojo.jp/assets/pdf/koufu_3_4ji/outline_115.pdf","PDFを開く")</f>
        <v>PDFを開く</v>
      </c>
      <c r="T1161" s="9" t="s">
        <v>2442</v>
      </c>
      <c r="U1161" s="9" t="s">
        <v>2443</v>
      </c>
    </row>
    <row r="1162" spans="1:21" ht="39.950000000000003" customHeight="1">
      <c r="A1162" s="2" t="s">
        <v>2437</v>
      </c>
      <c r="B1162" s="2" t="s">
        <v>2430</v>
      </c>
      <c r="C1162" s="8" t="s">
        <v>2438</v>
      </c>
      <c r="D1162" s="8" t="s">
        <v>3184</v>
      </c>
      <c r="E1162" s="8" t="s">
        <v>90</v>
      </c>
      <c r="F1162" s="2"/>
      <c r="G1162" s="2">
        <v>6042</v>
      </c>
      <c r="H1162" s="2"/>
      <c r="I1162" s="2">
        <v>7847</v>
      </c>
      <c r="J1162" s="2" t="s">
        <v>447</v>
      </c>
      <c r="K1162" s="2">
        <v>9.1</v>
      </c>
      <c r="L1162" s="2">
        <v>9.1041000000000007</v>
      </c>
      <c r="M1162" s="2">
        <v>4.1000000000000003E-3</v>
      </c>
      <c r="N1162" s="8" t="s">
        <v>11853</v>
      </c>
      <c r="O1162" s="8"/>
      <c r="P1162" s="2">
        <v>2</v>
      </c>
      <c r="Q1162" s="8"/>
      <c r="R1162" s="8" t="s">
        <v>6336</v>
      </c>
      <c r="S1162" s="8" t="str">
        <f>HYPERLINK("https://seichotoushi-hojo.jp/assets/pdf/koufu_3_4ji/outline_115.pdf","PDFを開く")</f>
        <v>PDFを開く</v>
      </c>
      <c r="T1162" s="8" t="s">
        <v>2442</v>
      </c>
      <c r="U1162" s="8" t="s">
        <v>2443</v>
      </c>
    </row>
    <row r="1163" spans="1:21" ht="39.950000000000003" customHeight="1">
      <c r="A1163" s="5" t="s">
        <v>2437</v>
      </c>
      <c r="B1163" s="5" t="s">
        <v>2430</v>
      </c>
      <c r="C1163" s="9" t="s">
        <v>2438</v>
      </c>
      <c r="D1163" s="9" t="s">
        <v>3188</v>
      </c>
      <c r="E1163" s="9" t="s">
        <v>91</v>
      </c>
      <c r="F1163" s="5"/>
      <c r="G1163" s="5"/>
      <c r="H1163" s="5"/>
      <c r="I1163" s="5"/>
      <c r="J1163" s="5" t="s">
        <v>447</v>
      </c>
      <c r="K1163" s="5">
        <v>4.5</v>
      </c>
      <c r="L1163" s="5"/>
      <c r="M1163" s="5"/>
      <c r="N1163" s="9" t="s">
        <v>11854</v>
      </c>
      <c r="O1163" s="9" t="s">
        <v>11848</v>
      </c>
      <c r="P1163" s="5">
        <v>2</v>
      </c>
      <c r="Q1163" s="9"/>
      <c r="R1163" s="9" t="s">
        <v>6341</v>
      </c>
      <c r="S1163" s="9" t="str">
        <f>HYPERLINK("https://seichotoushi-hojo.jp/assets/pdf/koufu_3_4ji/outline_115.pdf","PDFを開く")</f>
        <v>PDFを開く</v>
      </c>
      <c r="T1163" s="9" t="s">
        <v>2442</v>
      </c>
      <c r="U1163" s="9" t="s">
        <v>2443</v>
      </c>
    </row>
    <row r="1164" spans="1:21" ht="39.950000000000003" customHeight="1">
      <c r="A1164" s="2" t="s">
        <v>2437</v>
      </c>
      <c r="B1164" s="2" t="s">
        <v>2430</v>
      </c>
      <c r="C1164" s="8" t="s">
        <v>2438</v>
      </c>
      <c r="D1164" s="8" t="s">
        <v>3191</v>
      </c>
      <c r="E1164" s="8" t="s">
        <v>92</v>
      </c>
      <c r="F1164" s="2"/>
      <c r="G1164" s="2">
        <v>159</v>
      </c>
      <c r="H1164" s="2"/>
      <c r="I1164" s="2">
        <v>164</v>
      </c>
      <c r="J1164" s="2" t="s">
        <v>2513</v>
      </c>
      <c r="K1164" s="2"/>
      <c r="L1164" s="2"/>
      <c r="M1164" s="2"/>
      <c r="N1164" s="8" t="s">
        <v>11853</v>
      </c>
      <c r="O1164" s="8"/>
      <c r="P1164" s="2">
        <v>2</v>
      </c>
      <c r="Q1164" s="8"/>
      <c r="R1164" s="8" t="s">
        <v>6339</v>
      </c>
      <c r="S1164" s="8" t="str">
        <f>HYPERLINK("https://seichotoushi-hojo.jp/assets/pdf/koufu_3_4ji/outline_115.pdf","PDFを開く")</f>
        <v>PDFを開く</v>
      </c>
      <c r="T1164" s="8" t="s">
        <v>2442</v>
      </c>
      <c r="U1164" s="8" t="s">
        <v>2443</v>
      </c>
    </row>
    <row r="1165" spans="1:21" ht="39.950000000000003" customHeight="1">
      <c r="A1165" s="5" t="s">
        <v>2444</v>
      </c>
      <c r="B1165" s="5" t="s">
        <v>2430</v>
      </c>
      <c r="C1165" s="9" t="s">
        <v>2445</v>
      </c>
      <c r="D1165" s="9" t="s">
        <v>3176</v>
      </c>
      <c r="E1165" s="9" t="s">
        <v>166</v>
      </c>
      <c r="F1165" s="5"/>
      <c r="G1165" s="5">
        <v>31158</v>
      </c>
      <c r="H1165" s="5"/>
      <c r="I1165" s="5">
        <v>41836</v>
      </c>
      <c r="J1165" s="5" t="s">
        <v>86</v>
      </c>
      <c r="K1165" s="5">
        <v>10.3</v>
      </c>
      <c r="L1165" s="5">
        <v>10.3215</v>
      </c>
      <c r="M1165" s="5">
        <v>2.1499999999999998E-2</v>
      </c>
      <c r="N1165" s="9" t="s">
        <v>11853</v>
      </c>
      <c r="O1165" s="9" t="s">
        <v>292</v>
      </c>
      <c r="P1165" s="5">
        <v>2</v>
      </c>
      <c r="Q1165" s="9"/>
      <c r="R1165" s="9" t="s">
        <v>6355</v>
      </c>
      <c r="S1165" s="9" t="str">
        <f>HYPERLINK("https://seichotoushi-hojo.jp/assets/pdf/koufu_3_4ji/outline_116.pdf","PDFを開く")</f>
        <v>PDFを開く</v>
      </c>
      <c r="T1165" s="9" t="s">
        <v>2449</v>
      </c>
      <c r="U1165" s="9" t="s">
        <v>2450</v>
      </c>
    </row>
    <row r="1166" spans="1:21" ht="39.950000000000003" customHeight="1">
      <c r="A1166" s="2" t="s">
        <v>2444</v>
      </c>
      <c r="B1166" s="2" t="s">
        <v>2430</v>
      </c>
      <c r="C1166" s="8" t="s">
        <v>2445</v>
      </c>
      <c r="D1166" s="8" t="s">
        <v>3184</v>
      </c>
      <c r="E1166" s="8" t="s">
        <v>166</v>
      </c>
      <c r="F1166" s="2"/>
      <c r="G1166" s="2">
        <v>4808</v>
      </c>
      <c r="H1166" s="2"/>
      <c r="I1166" s="2">
        <v>5906</v>
      </c>
      <c r="J1166" s="2" t="s">
        <v>86</v>
      </c>
      <c r="K1166" s="2">
        <v>7.1</v>
      </c>
      <c r="L1166" s="2">
        <v>7.0968</v>
      </c>
      <c r="M1166" s="2">
        <v>3.2000000000000002E-3</v>
      </c>
      <c r="N1166" s="8" t="s">
        <v>11853</v>
      </c>
      <c r="O1166" s="8" t="s">
        <v>292</v>
      </c>
      <c r="P1166" s="2">
        <v>2</v>
      </c>
      <c r="Q1166" s="8"/>
      <c r="R1166" s="8" t="s">
        <v>6358</v>
      </c>
      <c r="S1166" s="8" t="str">
        <f>HYPERLINK("https://seichotoushi-hojo.jp/assets/pdf/koufu_3_4ji/outline_116.pdf","PDFを開く")</f>
        <v>PDFを開く</v>
      </c>
      <c r="T1166" s="8" t="s">
        <v>2449</v>
      </c>
      <c r="U1166" s="8" t="s">
        <v>2450</v>
      </c>
    </row>
    <row r="1167" spans="1:21" ht="39.950000000000003" customHeight="1">
      <c r="A1167" s="5" t="s">
        <v>2444</v>
      </c>
      <c r="B1167" s="5" t="s">
        <v>2430</v>
      </c>
      <c r="C1167" s="9" t="s">
        <v>2445</v>
      </c>
      <c r="D1167" s="9" t="s">
        <v>3188</v>
      </c>
      <c r="E1167" s="9" t="s">
        <v>166</v>
      </c>
      <c r="F1167" s="5"/>
      <c r="G1167" s="5">
        <v>12515</v>
      </c>
      <c r="H1167" s="5"/>
      <c r="I1167" s="5">
        <v>14613</v>
      </c>
      <c r="J1167" s="5" t="s">
        <v>86</v>
      </c>
      <c r="K1167" s="5">
        <v>5.3</v>
      </c>
      <c r="L1167" s="5">
        <v>5.3018999999999998</v>
      </c>
      <c r="M1167" s="5">
        <v>1.9E-3</v>
      </c>
      <c r="N1167" s="9" t="s">
        <v>11853</v>
      </c>
      <c r="O1167" s="9" t="s">
        <v>292</v>
      </c>
      <c r="P1167" s="5">
        <v>2</v>
      </c>
      <c r="Q1167" s="9"/>
      <c r="R1167" s="9" t="s">
        <v>6360</v>
      </c>
      <c r="S1167" s="9" t="str">
        <f>HYPERLINK("https://seichotoushi-hojo.jp/assets/pdf/koufu_3_4ji/outline_116.pdf","PDFを開く")</f>
        <v>PDFを開く</v>
      </c>
      <c r="T1167" s="9" t="s">
        <v>2449</v>
      </c>
      <c r="U1167" s="9" t="s">
        <v>2450</v>
      </c>
    </row>
    <row r="1168" spans="1:21" ht="39.950000000000003" customHeight="1">
      <c r="A1168" s="2" t="s">
        <v>2444</v>
      </c>
      <c r="B1168" s="2" t="s">
        <v>2430</v>
      </c>
      <c r="C1168" s="8" t="s">
        <v>2445</v>
      </c>
      <c r="D1168" s="8" t="s">
        <v>3191</v>
      </c>
      <c r="E1168" s="8" t="s">
        <v>166</v>
      </c>
      <c r="F1168" s="2"/>
      <c r="G1168" s="2">
        <v>50</v>
      </c>
      <c r="H1168" s="2"/>
      <c r="I1168" s="2">
        <v>56</v>
      </c>
      <c r="J1168" s="2" t="s">
        <v>2513</v>
      </c>
      <c r="K1168" s="2"/>
      <c r="L1168" s="2"/>
      <c r="M1168" s="2"/>
      <c r="N1168" s="8" t="s">
        <v>11853</v>
      </c>
      <c r="O1168" s="8" t="s">
        <v>292</v>
      </c>
      <c r="P1168" s="2">
        <v>2</v>
      </c>
      <c r="Q1168" s="8"/>
      <c r="R1168" s="8" t="s">
        <v>6362</v>
      </c>
      <c r="S1168" s="8" t="str">
        <f>HYPERLINK("https://seichotoushi-hojo.jp/assets/pdf/koufu_3_4ji/outline_116.pdf","PDFを開く")</f>
        <v>PDFを開く</v>
      </c>
      <c r="T1168" s="8" t="s">
        <v>2449</v>
      </c>
      <c r="U1168" s="8" t="s">
        <v>2450</v>
      </c>
    </row>
    <row r="1169" spans="1:21" ht="39.950000000000003" customHeight="1">
      <c r="A1169" s="5" t="s">
        <v>2451</v>
      </c>
      <c r="B1169" s="5" t="s">
        <v>2430</v>
      </c>
      <c r="C1169" s="9" t="s">
        <v>2452</v>
      </c>
      <c r="D1169" s="9" t="s">
        <v>3176</v>
      </c>
      <c r="E1169" s="9" t="s">
        <v>90</v>
      </c>
      <c r="F1169" s="5"/>
      <c r="G1169" s="5">
        <v>18038</v>
      </c>
      <c r="H1169" s="5"/>
      <c r="I1169" s="5">
        <v>44423</v>
      </c>
      <c r="J1169" s="5" t="s">
        <v>447</v>
      </c>
      <c r="K1169" s="5">
        <v>35</v>
      </c>
      <c r="L1169" s="5">
        <v>35.043300000000002</v>
      </c>
      <c r="M1169" s="5">
        <v>4.3299999999999998E-2</v>
      </c>
      <c r="N1169" s="9" t="s">
        <v>11853</v>
      </c>
      <c r="O1169" s="9"/>
      <c r="P1169" s="5">
        <v>2</v>
      </c>
      <c r="Q1169" s="9"/>
      <c r="R1169" s="9" t="s">
        <v>6364</v>
      </c>
      <c r="S1169" s="9" t="str">
        <f>HYPERLINK("https://seichotoushi-hojo.jp/assets/pdf/koufu_3_4ji/outline_117.pdf","PDFを開く")</f>
        <v>PDFを開く</v>
      </c>
      <c r="T1169" s="9" t="s">
        <v>2457</v>
      </c>
      <c r="U1169" s="9" t="s">
        <v>2458</v>
      </c>
    </row>
    <row r="1170" spans="1:21" ht="39.950000000000003" customHeight="1">
      <c r="A1170" s="2" t="s">
        <v>2451</v>
      </c>
      <c r="B1170" s="2" t="s">
        <v>2430</v>
      </c>
      <c r="C1170" s="8" t="s">
        <v>2452</v>
      </c>
      <c r="D1170" s="8" t="s">
        <v>3184</v>
      </c>
      <c r="E1170" s="8" t="s">
        <v>90</v>
      </c>
      <c r="F1170" s="2"/>
      <c r="G1170" s="2">
        <v>5967</v>
      </c>
      <c r="H1170" s="2"/>
      <c r="I1170" s="2">
        <v>7758</v>
      </c>
      <c r="J1170" s="2" t="s">
        <v>447</v>
      </c>
      <c r="K1170" s="2">
        <v>9.1</v>
      </c>
      <c r="L1170" s="2">
        <v>9.1434999999999995</v>
      </c>
      <c r="M1170" s="2">
        <v>4.3499999999999997E-2</v>
      </c>
      <c r="N1170" s="8" t="s">
        <v>11853</v>
      </c>
      <c r="O1170" s="8"/>
      <c r="P1170" s="2">
        <v>2</v>
      </c>
      <c r="Q1170" s="8"/>
      <c r="R1170" s="8" t="s">
        <v>6367</v>
      </c>
      <c r="S1170" s="8" t="str">
        <f>HYPERLINK("https://seichotoushi-hojo.jp/assets/pdf/koufu_3_4ji/outline_117.pdf","PDFを開く")</f>
        <v>PDFを開く</v>
      </c>
      <c r="T1170" s="8" t="s">
        <v>2457</v>
      </c>
      <c r="U1170" s="8" t="s">
        <v>2458</v>
      </c>
    </row>
    <row r="1171" spans="1:21" ht="39.950000000000003" customHeight="1">
      <c r="A1171" s="5" t="s">
        <v>2451</v>
      </c>
      <c r="B1171" s="5" t="s">
        <v>2430</v>
      </c>
      <c r="C1171" s="9" t="s">
        <v>2452</v>
      </c>
      <c r="D1171" s="9" t="s">
        <v>3188</v>
      </c>
      <c r="E1171" s="9" t="s">
        <v>91</v>
      </c>
      <c r="F1171" s="5"/>
      <c r="G1171" s="5"/>
      <c r="H1171" s="5"/>
      <c r="I1171" s="5"/>
      <c r="J1171" s="5" t="s">
        <v>447</v>
      </c>
      <c r="K1171" s="5">
        <v>7</v>
      </c>
      <c r="L1171" s="5"/>
      <c r="M1171" s="5"/>
      <c r="N1171" s="9" t="s">
        <v>11854</v>
      </c>
      <c r="O1171" s="9" t="s">
        <v>11848</v>
      </c>
      <c r="P1171" s="5">
        <v>2</v>
      </c>
      <c r="Q1171" s="9"/>
      <c r="R1171" s="9" t="s">
        <v>6372</v>
      </c>
      <c r="S1171" s="9" t="str">
        <f>HYPERLINK("https://seichotoushi-hojo.jp/assets/pdf/koufu_3_4ji/outline_117.pdf","PDFを開く")</f>
        <v>PDFを開く</v>
      </c>
      <c r="T1171" s="9" t="s">
        <v>2457</v>
      </c>
      <c r="U1171" s="9" t="s">
        <v>2458</v>
      </c>
    </row>
    <row r="1172" spans="1:21" ht="39.950000000000003" customHeight="1">
      <c r="A1172" s="2" t="s">
        <v>2451</v>
      </c>
      <c r="B1172" s="2" t="s">
        <v>2430</v>
      </c>
      <c r="C1172" s="8" t="s">
        <v>2452</v>
      </c>
      <c r="D1172" s="8" t="s">
        <v>3191</v>
      </c>
      <c r="E1172" s="8" t="s">
        <v>92</v>
      </c>
      <c r="F1172" s="2"/>
      <c r="G1172" s="2">
        <v>60</v>
      </c>
      <c r="H1172" s="2"/>
      <c r="I1172" s="2">
        <v>76</v>
      </c>
      <c r="J1172" s="2" t="s">
        <v>2513</v>
      </c>
      <c r="K1172" s="2"/>
      <c r="L1172" s="2"/>
      <c r="M1172" s="2"/>
      <c r="N1172" s="8" t="s">
        <v>11853</v>
      </c>
      <c r="O1172" s="8"/>
      <c r="P1172" s="2">
        <v>2</v>
      </c>
      <c r="Q1172" s="8"/>
      <c r="R1172" s="8" t="s">
        <v>6370</v>
      </c>
      <c r="S1172" s="8" t="str">
        <f>HYPERLINK("https://seichotoushi-hojo.jp/assets/pdf/koufu_3_4ji/outline_117.pdf","PDFを開く")</f>
        <v>PDFを開く</v>
      </c>
      <c r="T1172" s="8" t="s">
        <v>2457</v>
      </c>
      <c r="U1172" s="8" t="s">
        <v>2458</v>
      </c>
    </row>
    <row r="1173" spans="1:21" ht="39.950000000000003" customHeight="1">
      <c r="A1173" s="5" t="s">
        <v>2459</v>
      </c>
      <c r="B1173" s="5" t="s">
        <v>2430</v>
      </c>
      <c r="C1173" s="9" t="s">
        <v>2460</v>
      </c>
      <c r="D1173" s="9" t="s">
        <v>3176</v>
      </c>
      <c r="E1173" s="9" t="s">
        <v>90</v>
      </c>
      <c r="F1173" s="5"/>
      <c r="G1173" s="5">
        <v>14658</v>
      </c>
      <c r="H1173" s="5"/>
      <c r="I1173" s="5">
        <v>28579</v>
      </c>
      <c r="J1173" s="5" t="s">
        <v>447</v>
      </c>
      <c r="K1173" s="5">
        <v>24.9</v>
      </c>
      <c r="L1173" s="5">
        <v>24.927299999999999</v>
      </c>
      <c r="M1173" s="5">
        <v>2.7300000000000001E-2</v>
      </c>
      <c r="N1173" s="9" t="s">
        <v>11853</v>
      </c>
      <c r="O1173" s="9"/>
      <c r="P1173" s="5">
        <v>2</v>
      </c>
      <c r="Q1173" s="9"/>
      <c r="R1173" s="9" t="s">
        <v>6376</v>
      </c>
      <c r="S1173" s="9" t="str">
        <f>HYPERLINK("https://seichotoushi-hojo.jp/assets/pdf/koufu_3_4ji/outline_118.pdf","PDFを開く")</f>
        <v>PDFを開く</v>
      </c>
      <c r="T1173" s="9" t="s">
        <v>2465</v>
      </c>
      <c r="U1173" s="9" t="s">
        <v>2466</v>
      </c>
    </row>
    <row r="1174" spans="1:21" ht="39.950000000000003" customHeight="1">
      <c r="A1174" s="2" t="s">
        <v>2459</v>
      </c>
      <c r="B1174" s="2" t="s">
        <v>2430</v>
      </c>
      <c r="C1174" s="8" t="s">
        <v>2460</v>
      </c>
      <c r="D1174" s="8" t="s">
        <v>3184</v>
      </c>
      <c r="E1174" s="8" t="s">
        <v>90</v>
      </c>
      <c r="F1174" s="2"/>
      <c r="G1174" s="2">
        <v>5313</v>
      </c>
      <c r="H1174" s="2"/>
      <c r="I1174" s="2">
        <v>6418</v>
      </c>
      <c r="J1174" s="2" t="s">
        <v>447</v>
      </c>
      <c r="K1174" s="2">
        <v>6.5</v>
      </c>
      <c r="L1174" s="2">
        <v>6.5008999999999997</v>
      </c>
      <c r="M1174" s="2">
        <v>8.9999999999999998E-4</v>
      </c>
      <c r="N1174" s="8" t="s">
        <v>11853</v>
      </c>
      <c r="O1174" s="8"/>
      <c r="P1174" s="2">
        <v>2</v>
      </c>
      <c r="Q1174" s="8"/>
      <c r="R1174" s="8" t="s">
        <v>6379</v>
      </c>
      <c r="S1174" s="8" t="str">
        <f>HYPERLINK("https://seichotoushi-hojo.jp/assets/pdf/koufu_3_4ji/outline_118.pdf","PDFを開く")</f>
        <v>PDFを開く</v>
      </c>
      <c r="T1174" s="8" t="s">
        <v>2465</v>
      </c>
      <c r="U1174" s="8" t="s">
        <v>2466</v>
      </c>
    </row>
    <row r="1175" spans="1:21" ht="39.950000000000003" customHeight="1">
      <c r="A1175" s="5" t="s">
        <v>2459</v>
      </c>
      <c r="B1175" s="5" t="s">
        <v>2430</v>
      </c>
      <c r="C1175" s="9" t="s">
        <v>2460</v>
      </c>
      <c r="D1175" s="9" t="s">
        <v>3188</v>
      </c>
      <c r="E1175" s="9" t="s">
        <v>91</v>
      </c>
      <c r="F1175" s="5"/>
      <c r="G1175" s="5"/>
      <c r="H1175" s="5"/>
      <c r="I1175" s="5"/>
      <c r="J1175" s="5" t="s">
        <v>447</v>
      </c>
      <c r="K1175" s="5">
        <v>5</v>
      </c>
      <c r="L1175" s="5"/>
      <c r="M1175" s="5"/>
      <c r="N1175" s="9" t="s">
        <v>11854</v>
      </c>
      <c r="O1175" s="9" t="s">
        <v>11848</v>
      </c>
      <c r="P1175" s="5">
        <v>2</v>
      </c>
      <c r="Q1175" s="9"/>
      <c r="R1175" s="9" t="s">
        <v>6384</v>
      </c>
      <c r="S1175" s="9" t="str">
        <f>HYPERLINK("https://seichotoushi-hojo.jp/assets/pdf/koufu_3_4ji/outline_118.pdf","PDFを開く")</f>
        <v>PDFを開く</v>
      </c>
      <c r="T1175" s="9" t="s">
        <v>2465</v>
      </c>
      <c r="U1175" s="9" t="s">
        <v>2466</v>
      </c>
    </row>
    <row r="1176" spans="1:21" ht="39.950000000000003" customHeight="1">
      <c r="A1176" s="2" t="s">
        <v>2459</v>
      </c>
      <c r="B1176" s="2" t="s">
        <v>2430</v>
      </c>
      <c r="C1176" s="8" t="s">
        <v>2460</v>
      </c>
      <c r="D1176" s="8" t="s">
        <v>3191</v>
      </c>
      <c r="E1176" s="8" t="s">
        <v>92</v>
      </c>
      <c r="F1176" s="2"/>
      <c r="G1176" s="2">
        <v>176</v>
      </c>
      <c r="H1176" s="2"/>
      <c r="I1176" s="2">
        <v>214</v>
      </c>
      <c r="J1176" s="2" t="s">
        <v>2513</v>
      </c>
      <c r="K1176" s="2"/>
      <c r="L1176" s="2"/>
      <c r="M1176" s="2"/>
      <c r="N1176" s="8" t="s">
        <v>11853</v>
      </c>
      <c r="O1176" s="8"/>
      <c r="P1176" s="2">
        <v>2</v>
      </c>
      <c r="Q1176" s="8"/>
      <c r="R1176" s="8" t="s">
        <v>6382</v>
      </c>
      <c r="S1176" s="8" t="str">
        <f>HYPERLINK("https://seichotoushi-hojo.jp/assets/pdf/koufu_3_4ji/outline_118.pdf","PDFを開く")</f>
        <v>PDFを開く</v>
      </c>
      <c r="T1176" s="8" t="s">
        <v>2465</v>
      </c>
      <c r="U1176" s="8" t="s">
        <v>2466</v>
      </c>
    </row>
    <row r="1177" spans="1:21" ht="39.950000000000003" customHeight="1">
      <c r="A1177" s="5" t="s">
        <v>2467</v>
      </c>
      <c r="B1177" s="5" t="s">
        <v>2430</v>
      </c>
      <c r="C1177" s="9" t="s">
        <v>2468</v>
      </c>
      <c r="D1177" s="9" t="s">
        <v>3176</v>
      </c>
      <c r="E1177" s="9" t="s">
        <v>90</v>
      </c>
      <c r="F1177" s="5"/>
      <c r="G1177" s="5">
        <v>5511</v>
      </c>
      <c r="H1177" s="5"/>
      <c r="I1177" s="5">
        <v>13782</v>
      </c>
      <c r="J1177" s="5" t="s">
        <v>447</v>
      </c>
      <c r="K1177" s="5">
        <v>35.700000000000003</v>
      </c>
      <c r="L1177" s="5">
        <v>35.735700000000001</v>
      </c>
      <c r="M1177" s="5">
        <v>3.5700000000000003E-2</v>
      </c>
      <c r="N1177" s="9" t="s">
        <v>11853</v>
      </c>
      <c r="O1177" s="9"/>
      <c r="P1177" s="5">
        <v>2</v>
      </c>
      <c r="Q1177" s="9"/>
      <c r="R1177" s="9" t="s">
        <v>6387</v>
      </c>
      <c r="S1177" s="9" t="str">
        <f>HYPERLINK("https://seichotoushi-hojo.jp/assets/pdf/koufu_3_4ji/outline_119.pdf","PDFを開く")</f>
        <v>PDFを開く</v>
      </c>
      <c r="T1177" s="9" t="s">
        <v>2473</v>
      </c>
      <c r="U1177" s="9" t="s">
        <v>2474</v>
      </c>
    </row>
    <row r="1178" spans="1:21" ht="39.950000000000003" customHeight="1">
      <c r="A1178" s="2" t="s">
        <v>2467</v>
      </c>
      <c r="B1178" s="2" t="s">
        <v>2430</v>
      </c>
      <c r="C1178" s="8" t="s">
        <v>2468</v>
      </c>
      <c r="D1178" s="8" t="s">
        <v>3184</v>
      </c>
      <c r="E1178" s="8" t="s">
        <v>90</v>
      </c>
      <c r="F1178" s="2"/>
      <c r="G1178" s="2">
        <v>4848</v>
      </c>
      <c r="H1178" s="2"/>
      <c r="I1178" s="2">
        <v>5938</v>
      </c>
      <c r="J1178" s="2" t="s">
        <v>447</v>
      </c>
      <c r="K1178" s="2">
        <v>7</v>
      </c>
      <c r="L1178" s="2">
        <v>6.9939</v>
      </c>
      <c r="M1178" s="2">
        <v>6.1000000000000004E-3</v>
      </c>
      <c r="N1178" s="8" t="s">
        <v>11853</v>
      </c>
      <c r="O1178" s="8"/>
      <c r="P1178" s="2">
        <v>2</v>
      </c>
      <c r="Q1178" s="8"/>
      <c r="R1178" s="8" t="s">
        <v>6390</v>
      </c>
      <c r="S1178" s="8" t="str">
        <f>HYPERLINK("https://seichotoushi-hojo.jp/assets/pdf/koufu_3_4ji/outline_119.pdf","PDFを開く")</f>
        <v>PDFを開く</v>
      </c>
      <c r="T1178" s="8" t="s">
        <v>2473</v>
      </c>
      <c r="U1178" s="8" t="s">
        <v>2474</v>
      </c>
    </row>
    <row r="1179" spans="1:21" ht="39.950000000000003" customHeight="1">
      <c r="A1179" s="5" t="s">
        <v>2467</v>
      </c>
      <c r="B1179" s="5" t="s">
        <v>2430</v>
      </c>
      <c r="C1179" s="9" t="s">
        <v>2468</v>
      </c>
      <c r="D1179" s="9" t="s">
        <v>3188</v>
      </c>
      <c r="E1179" s="9" t="s">
        <v>157</v>
      </c>
      <c r="F1179" s="5"/>
      <c r="G1179" s="5"/>
      <c r="H1179" s="5"/>
      <c r="I1179" s="5"/>
      <c r="J1179" s="5"/>
      <c r="K1179" s="5"/>
      <c r="L1179" s="5"/>
      <c r="M1179" s="5"/>
      <c r="N1179" s="9" t="s">
        <v>11850</v>
      </c>
      <c r="O1179" s="9"/>
      <c r="P1179" s="5"/>
      <c r="Q1179" s="9" t="s">
        <v>11851</v>
      </c>
      <c r="R1179" s="9"/>
      <c r="S1179" s="9" t="str">
        <f>HYPERLINK("https://seichotoushi-hojo.jp/assets/pdf/koufu_3_4ji/outline_119.pdf","PDFを開く")</f>
        <v>PDFを開く</v>
      </c>
      <c r="T1179" s="9" t="s">
        <v>2473</v>
      </c>
      <c r="U1179" s="9" t="s">
        <v>2474</v>
      </c>
    </row>
    <row r="1180" spans="1:21" ht="39.950000000000003" customHeight="1">
      <c r="A1180" s="2" t="s">
        <v>2467</v>
      </c>
      <c r="B1180" s="2" t="s">
        <v>2430</v>
      </c>
      <c r="C1180" s="8" t="s">
        <v>2468</v>
      </c>
      <c r="D1180" s="8" t="s">
        <v>3191</v>
      </c>
      <c r="E1180" s="8" t="s">
        <v>92</v>
      </c>
      <c r="F1180" s="2"/>
      <c r="G1180" s="2">
        <v>67</v>
      </c>
      <c r="H1180" s="2"/>
      <c r="I1180" s="2">
        <v>103</v>
      </c>
      <c r="J1180" s="2" t="s">
        <v>2513</v>
      </c>
      <c r="K1180" s="2"/>
      <c r="L1180" s="2"/>
      <c r="M1180" s="2"/>
      <c r="N1180" s="8" t="s">
        <v>11853</v>
      </c>
      <c r="O1180" s="8"/>
      <c r="P1180" s="2">
        <v>2</v>
      </c>
      <c r="Q1180" s="8"/>
      <c r="R1180" s="8" t="s">
        <v>6393</v>
      </c>
      <c r="S1180" s="8" t="str">
        <f>HYPERLINK("https://seichotoushi-hojo.jp/assets/pdf/koufu_3_4ji/outline_119.pdf","PDFを開く")</f>
        <v>PDFを開く</v>
      </c>
      <c r="T1180" s="8" t="s">
        <v>2473</v>
      </c>
      <c r="U1180" s="8" t="s">
        <v>2474</v>
      </c>
    </row>
    <row r="1181" spans="1:21" ht="39.950000000000003" customHeight="1">
      <c r="A1181" s="5" t="s">
        <v>2475</v>
      </c>
      <c r="B1181" s="5" t="s">
        <v>2430</v>
      </c>
      <c r="C1181" s="9" t="s">
        <v>2476</v>
      </c>
      <c r="D1181" s="9" t="s">
        <v>3176</v>
      </c>
      <c r="E1181" s="9" t="s">
        <v>90</v>
      </c>
      <c r="F1181" s="5"/>
      <c r="G1181" s="5">
        <v>9727</v>
      </c>
      <c r="H1181" s="5"/>
      <c r="I1181" s="5">
        <v>46613</v>
      </c>
      <c r="J1181" s="5" t="s">
        <v>447</v>
      </c>
      <c r="K1181" s="5">
        <v>68.599999999999994</v>
      </c>
      <c r="L1181" s="5">
        <v>68.594200000000001</v>
      </c>
      <c r="M1181" s="5">
        <v>5.7999999999999996E-3</v>
      </c>
      <c r="N1181" s="9" t="s">
        <v>11853</v>
      </c>
      <c r="O1181" s="9"/>
      <c r="P1181" s="5">
        <v>2</v>
      </c>
      <c r="Q1181" s="9"/>
      <c r="R1181" s="9" t="s">
        <v>6395</v>
      </c>
      <c r="S1181" s="9" t="str">
        <f>HYPERLINK("https://seichotoushi-hojo.jp/assets/pdf/koufu_3_4ji/outline_120.pdf","PDFを開く")</f>
        <v>PDFを開く</v>
      </c>
      <c r="T1181" s="9" t="s">
        <v>2481</v>
      </c>
      <c r="U1181" s="9" t="s">
        <v>2482</v>
      </c>
    </row>
    <row r="1182" spans="1:21" ht="39.950000000000003" customHeight="1">
      <c r="A1182" s="2" t="s">
        <v>2475</v>
      </c>
      <c r="B1182" s="2" t="s">
        <v>2430</v>
      </c>
      <c r="C1182" s="8" t="s">
        <v>2476</v>
      </c>
      <c r="D1182" s="8" t="s">
        <v>3184</v>
      </c>
      <c r="E1182" s="8" t="s">
        <v>90</v>
      </c>
      <c r="F1182" s="2"/>
      <c r="G1182" s="2">
        <v>3818</v>
      </c>
      <c r="H1182" s="2"/>
      <c r="I1182" s="2">
        <v>4944</v>
      </c>
      <c r="J1182" s="2" t="s">
        <v>447</v>
      </c>
      <c r="K1182" s="2">
        <v>9</v>
      </c>
      <c r="L1182" s="2">
        <v>8.9969000000000001</v>
      </c>
      <c r="M1182" s="2">
        <v>3.0999999999999999E-3</v>
      </c>
      <c r="N1182" s="8" t="s">
        <v>11853</v>
      </c>
      <c r="O1182" s="8"/>
      <c r="P1182" s="2">
        <v>2</v>
      </c>
      <c r="Q1182" s="8"/>
      <c r="R1182" s="8" t="s">
        <v>6398</v>
      </c>
      <c r="S1182" s="8" t="str">
        <f>HYPERLINK("https://seichotoushi-hojo.jp/assets/pdf/koufu_3_4ji/outline_120.pdf","PDFを開く")</f>
        <v>PDFを開く</v>
      </c>
      <c r="T1182" s="8" t="s">
        <v>2481</v>
      </c>
      <c r="U1182" s="8" t="s">
        <v>2482</v>
      </c>
    </row>
    <row r="1183" spans="1:21" ht="39.950000000000003" customHeight="1">
      <c r="A1183" s="5" t="s">
        <v>2475</v>
      </c>
      <c r="B1183" s="5" t="s">
        <v>2430</v>
      </c>
      <c r="C1183" s="9" t="s">
        <v>2476</v>
      </c>
      <c r="D1183" s="9" t="s">
        <v>3188</v>
      </c>
      <c r="E1183" s="9" t="s">
        <v>156</v>
      </c>
      <c r="F1183" s="5"/>
      <c r="G1183" s="5"/>
      <c r="H1183" s="5"/>
      <c r="I1183" s="5"/>
      <c r="J1183" s="5"/>
      <c r="K1183" s="5"/>
      <c r="L1183" s="5"/>
      <c r="M1183" s="5"/>
      <c r="N1183" s="9" t="s">
        <v>11850</v>
      </c>
      <c r="O1183" s="9"/>
      <c r="P1183" s="5"/>
      <c r="Q1183" s="9" t="s">
        <v>11851</v>
      </c>
      <c r="R1183" s="9"/>
      <c r="S1183" s="9" t="str">
        <f>HYPERLINK("https://seichotoushi-hojo.jp/assets/pdf/koufu_3_4ji/outline_120.pdf","PDFを開く")</f>
        <v>PDFを開く</v>
      </c>
      <c r="T1183" s="9" t="s">
        <v>2481</v>
      </c>
      <c r="U1183" s="9" t="s">
        <v>2482</v>
      </c>
    </row>
    <row r="1184" spans="1:21" ht="39.950000000000003" customHeight="1">
      <c r="A1184" s="2" t="s">
        <v>2475</v>
      </c>
      <c r="B1184" s="2" t="s">
        <v>2430</v>
      </c>
      <c r="C1184" s="8" t="s">
        <v>2476</v>
      </c>
      <c r="D1184" s="8" t="s">
        <v>3191</v>
      </c>
      <c r="E1184" s="8" t="s">
        <v>92</v>
      </c>
      <c r="F1184" s="2"/>
      <c r="G1184" s="2">
        <v>11</v>
      </c>
      <c r="H1184" s="2"/>
      <c r="I1184" s="2">
        <v>39</v>
      </c>
      <c r="J1184" s="2" t="s">
        <v>2513</v>
      </c>
      <c r="K1184" s="2"/>
      <c r="L1184" s="2"/>
      <c r="M1184" s="2"/>
      <c r="N1184" s="8" t="s">
        <v>11853</v>
      </c>
      <c r="O1184" s="8"/>
      <c r="P1184" s="2">
        <v>2</v>
      </c>
      <c r="Q1184" s="8"/>
      <c r="R1184" s="8" t="s">
        <v>6402</v>
      </c>
      <c r="S1184" s="8" t="str">
        <f>HYPERLINK("https://seichotoushi-hojo.jp/assets/pdf/koufu_3_4ji/outline_120.pdf","PDFを開く")</f>
        <v>PDFを開く</v>
      </c>
      <c r="T1184" s="8" t="s">
        <v>2481</v>
      </c>
      <c r="U1184" s="8" t="s">
        <v>2482</v>
      </c>
    </row>
    <row r="1185" spans="1:21" ht="39.950000000000003" customHeight="1">
      <c r="A1185" s="5" t="s">
        <v>2483</v>
      </c>
      <c r="B1185" s="5" t="s">
        <v>2430</v>
      </c>
      <c r="C1185" s="9" t="s">
        <v>2484</v>
      </c>
      <c r="D1185" s="9" t="s">
        <v>3176</v>
      </c>
      <c r="E1185" s="9" t="s">
        <v>90</v>
      </c>
      <c r="F1185" s="5"/>
      <c r="G1185" s="5">
        <v>6886</v>
      </c>
      <c r="H1185" s="5"/>
      <c r="I1185" s="5">
        <v>14227</v>
      </c>
      <c r="J1185" s="5" t="s">
        <v>447</v>
      </c>
      <c r="K1185" s="5">
        <v>27.4</v>
      </c>
      <c r="L1185" s="5">
        <v>27.364599999999999</v>
      </c>
      <c r="M1185" s="5">
        <v>3.5400000000000001E-2</v>
      </c>
      <c r="N1185" s="9" t="s">
        <v>11853</v>
      </c>
      <c r="O1185" s="9"/>
      <c r="P1185" s="5">
        <v>2</v>
      </c>
      <c r="Q1185" s="9"/>
      <c r="R1185" s="9" t="s">
        <v>6405</v>
      </c>
      <c r="S1185" s="9" t="str">
        <f>HYPERLINK("https://seichotoushi-hojo.jp/assets/pdf/koufu_3_4ji/outline_121.pdf","PDFを開く")</f>
        <v>PDFを開く</v>
      </c>
      <c r="T1185" s="9" t="s">
        <v>2489</v>
      </c>
      <c r="U1185" s="9" t="s">
        <v>2490</v>
      </c>
    </row>
    <row r="1186" spans="1:21" ht="39.950000000000003" customHeight="1">
      <c r="A1186" s="2" t="s">
        <v>2483</v>
      </c>
      <c r="B1186" s="2" t="s">
        <v>2430</v>
      </c>
      <c r="C1186" s="8" t="s">
        <v>2484</v>
      </c>
      <c r="D1186" s="8" t="s">
        <v>3184</v>
      </c>
      <c r="E1186" s="8" t="s">
        <v>90</v>
      </c>
      <c r="F1186" s="2"/>
      <c r="G1186" s="2">
        <v>3670</v>
      </c>
      <c r="H1186" s="2"/>
      <c r="I1186" s="2">
        <v>4433</v>
      </c>
      <c r="J1186" s="2" t="s">
        <v>447</v>
      </c>
      <c r="K1186" s="2">
        <v>6.5</v>
      </c>
      <c r="L1186" s="2">
        <v>6.4985999999999997</v>
      </c>
      <c r="M1186" s="2">
        <v>1.4E-3</v>
      </c>
      <c r="N1186" s="8" t="s">
        <v>11853</v>
      </c>
      <c r="O1186" s="8"/>
      <c r="P1186" s="2">
        <v>2</v>
      </c>
      <c r="Q1186" s="8"/>
      <c r="R1186" s="8" t="s">
        <v>6408</v>
      </c>
      <c r="S1186" s="8" t="str">
        <f>HYPERLINK("https://seichotoushi-hojo.jp/assets/pdf/koufu_3_4ji/outline_121.pdf","PDFを開く")</f>
        <v>PDFを開く</v>
      </c>
      <c r="T1186" s="8" t="s">
        <v>2489</v>
      </c>
      <c r="U1186" s="8" t="s">
        <v>2490</v>
      </c>
    </row>
    <row r="1187" spans="1:21" ht="39.950000000000003" customHeight="1">
      <c r="A1187" s="5" t="s">
        <v>2483</v>
      </c>
      <c r="B1187" s="5" t="s">
        <v>2430</v>
      </c>
      <c r="C1187" s="9" t="s">
        <v>2484</v>
      </c>
      <c r="D1187" s="9" t="s">
        <v>3188</v>
      </c>
      <c r="E1187" s="9" t="s">
        <v>91</v>
      </c>
      <c r="F1187" s="5"/>
      <c r="G1187" s="5"/>
      <c r="H1187" s="5"/>
      <c r="I1187" s="5"/>
      <c r="J1187" s="5" t="s">
        <v>447</v>
      </c>
      <c r="K1187" s="5">
        <v>6.5</v>
      </c>
      <c r="L1187" s="5"/>
      <c r="M1187" s="5"/>
      <c r="N1187" s="9" t="s">
        <v>11854</v>
      </c>
      <c r="O1187" s="9" t="s">
        <v>11848</v>
      </c>
      <c r="P1187" s="5">
        <v>2</v>
      </c>
      <c r="Q1187" s="9"/>
      <c r="R1187" s="9" t="s">
        <v>6413</v>
      </c>
      <c r="S1187" s="9" t="str">
        <f>HYPERLINK("https://seichotoushi-hojo.jp/assets/pdf/koufu_3_4ji/outline_121.pdf","PDFを開く")</f>
        <v>PDFを開く</v>
      </c>
      <c r="T1187" s="9" t="s">
        <v>2489</v>
      </c>
      <c r="U1187" s="9" t="s">
        <v>2490</v>
      </c>
    </row>
    <row r="1188" spans="1:21" ht="39.950000000000003" customHeight="1">
      <c r="A1188" s="2" t="s">
        <v>2483</v>
      </c>
      <c r="B1188" s="2" t="s">
        <v>2430</v>
      </c>
      <c r="C1188" s="8" t="s">
        <v>2484</v>
      </c>
      <c r="D1188" s="8" t="s">
        <v>3191</v>
      </c>
      <c r="E1188" s="8" t="s">
        <v>92</v>
      </c>
      <c r="F1188" s="2"/>
      <c r="G1188" s="2">
        <v>105</v>
      </c>
      <c r="H1188" s="2"/>
      <c r="I1188" s="2">
        <v>120</v>
      </c>
      <c r="J1188" s="2" t="s">
        <v>2513</v>
      </c>
      <c r="K1188" s="2"/>
      <c r="L1188" s="2"/>
      <c r="M1188" s="2"/>
      <c r="N1188" s="8" t="s">
        <v>11853</v>
      </c>
      <c r="O1188" s="8"/>
      <c r="P1188" s="2">
        <v>2</v>
      </c>
      <c r="Q1188" s="8"/>
      <c r="R1188" s="8" t="s">
        <v>6411</v>
      </c>
      <c r="S1188" s="8" t="str">
        <f>HYPERLINK("https://seichotoushi-hojo.jp/assets/pdf/koufu_3_4ji/outline_121.pdf","PDFを開く")</f>
        <v>PDFを開く</v>
      </c>
      <c r="T1188" s="8" t="s">
        <v>2489</v>
      </c>
      <c r="U1188" s="8" t="s">
        <v>2490</v>
      </c>
    </row>
    <row r="1189" spans="1:21" ht="39.950000000000003" customHeight="1">
      <c r="A1189" s="5" t="s">
        <v>2491</v>
      </c>
      <c r="B1189" s="5" t="s">
        <v>2430</v>
      </c>
      <c r="C1189" s="9" t="s">
        <v>2492</v>
      </c>
      <c r="D1189" s="9" t="s">
        <v>3176</v>
      </c>
      <c r="E1189" s="9" t="s">
        <v>90</v>
      </c>
      <c r="F1189" s="5">
        <v>2027</v>
      </c>
      <c r="G1189" s="5">
        <v>7397</v>
      </c>
      <c r="H1189" s="5">
        <v>2030</v>
      </c>
      <c r="I1189" s="5">
        <v>14899</v>
      </c>
      <c r="J1189" s="5" t="s">
        <v>447</v>
      </c>
      <c r="K1189" s="5">
        <v>26.3</v>
      </c>
      <c r="L1189" s="5">
        <v>26.2895</v>
      </c>
      <c r="M1189" s="5">
        <v>1.0500000000000001E-2</v>
      </c>
      <c r="N1189" s="9" t="s">
        <v>11846</v>
      </c>
      <c r="O1189" s="9" t="s">
        <v>11847</v>
      </c>
      <c r="P1189" s="5">
        <v>2</v>
      </c>
      <c r="Q1189" s="9"/>
      <c r="R1189" s="9" t="s">
        <v>6417</v>
      </c>
      <c r="S1189" s="9" t="str">
        <f>HYPERLINK("https://seichotoushi-hojo.jp/assets/pdf/koufu_3_4ji/outline_122.pdf","PDFを開く")</f>
        <v>PDFを開く</v>
      </c>
      <c r="T1189" s="9" t="s">
        <v>2497</v>
      </c>
      <c r="U1189" s="9" t="s">
        <v>2498</v>
      </c>
    </row>
    <row r="1190" spans="1:21" ht="39.950000000000003" customHeight="1">
      <c r="A1190" s="2" t="s">
        <v>2491</v>
      </c>
      <c r="B1190" s="2" t="s">
        <v>2430</v>
      </c>
      <c r="C1190" s="8" t="s">
        <v>2492</v>
      </c>
      <c r="D1190" s="8" t="s">
        <v>3184</v>
      </c>
      <c r="E1190" s="8" t="s">
        <v>90</v>
      </c>
      <c r="F1190" s="2">
        <v>2027</v>
      </c>
      <c r="G1190" s="2">
        <v>4704</v>
      </c>
      <c r="H1190" s="2">
        <v>2030</v>
      </c>
      <c r="I1190" s="2">
        <v>5699</v>
      </c>
      <c r="J1190" s="2" t="s">
        <v>447</v>
      </c>
      <c r="K1190" s="2">
        <v>6.6</v>
      </c>
      <c r="L1190" s="2">
        <v>6.6048999999999998</v>
      </c>
      <c r="M1190" s="2">
        <v>4.8999999999999998E-3</v>
      </c>
      <c r="N1190" s="8" t="s">
        <v>11846</v>
      </c>
      <c r="O1190" s="8" t="s">
        <v>11847</v>
      </c>
      <c r="P1190" s="2">
        <v>2</v>
      </c>
      <c r="Q1190" s="8"/>
      <c r="R1190" s="8" t="s">
        <v>6421</v>
      </c>
      <c r="S1190" s="8" t="str">
        <f>HYPERLINK("https://seichotoushi-hojo.jp/assets/pdf/koufu_3_4ji/outline_122.pdf","PDFを開く")</f>
        <v>PDFを開く</v>
      </c>
      <c r="T1190" s="8" t="s">
        <v>2497</v>
      </c>
      <c r="U1190" s="8" t="s">
        <v>2498</v>
      </c>
    </row>
    <row r="1191" spans="1:21" ht="39.950000000000003" customHeight="1">
      <c r="A1191" s="5" t="s">
        <v>2491</v>
      </c>
      <c r="B1191" s="5" t="s">
        <v>2430</v>
      </c>
      <c r="C1191" s="9" t="s">
        <v>2492</v>
      </c>
      <c r="D1191" s="9" t="s">
        <v>3188</v>
      </c>
      <c r="E1191" s="9" t="s">
        <v>91</v>
      </c>
      <c r="F1191" s="5">
        <v>2027</v>
      </c>
      <c r="G1191" s="5"/>
      <c r="H1191" s="5">
        <v>2030</v>
      </c>
      <c r="I1191" s="5"/>
      <c r="J1191" s="5" t="s">
        <v>447</v>
      </c>
      <c r="K1191" s="5">
        <v>6.6</v>
      </c>
      <c r="L1191" s="5"/>
      <c r="M1191" s="5"/>
      <c r="N1191" s="9" t="s">
        <v>11846</v>
      </c>
      <c r="O1191" s="9" t="s">
        <v>11848</v>
      </c>
      <c r="P1191" s="5">
        <v>2</v>
      </c>
      <c r="Q1191" s="9"/>
      <c r="R1191" s="9" t="s">
        <v>6425</v>
      </c>
      <c r="S1191" s="9" t="str">
        <f>HYPERLINK("https://seichotoushi-hojo.jp/assets/pdf/koufu_3_4ji/outline_122.pdf","PDFを開く")</f>
        <v>PDFを開く</v>
      </c>
      <c r="T1191" s="9" t="s">
        <v>2497</v>
      </c>
      <c r="U1191" s="9" t="s">
        <v>2498</v>
      </c>
    </row>
    <row r="1192" spans="1:21" ht="39.950000000000003" customHeight="1">
      <c r="A1192" s="2" t="s">
        <v>2491</v>
      </c>
      <c r="B1192" s="2" t="s">
        <v>2430</v>
      </c>
      <c r="C1192" s="8" t="s">
        <v>2492</v>
      </c>
      <c r="D1192" s="8" t="s">
        <v>3191</v>
      </c>
      <c r="E1192" s="8" t="s">
        <v>92</v>
      </c>
      <c r="F1192" s="2">
        <v>2027</v>
      </c>
      <c r="G1192" s="2">
        <v>106</v>
      </c>
      <c r="H1192" s="2">
        <v>2030</v>
      </c>
      <c r="I1192" s="2">
        <v>112</v>
      </c>
      <c r="J1192" s="2" t="s">
        <v>2513</v>
      </c>
      <c r="K1192" s="2"/>
      <c r="L1192" s="2"/>
      <c r="M1192" s="2"/>
      <c r="N1192" s="8" t="s">
        <v>11846</v>
      </c>
      <c r="O1192" s="8" t="s">
        <v>11847</v>
      </c>
      <c r="P1192" s="2">
        <v>2</v>
      </c>
      <c r="Q1192" s="8"/>
      <c r="R1192" s="8" t="s">
        <v>6423</v>
      </c>
      <c r="S1192" s="8" t="str">
        <f>HYPERLINK("https://seichotoushi-hojo.jp/assets/pdf/koufu_3_4ji/outline_122.pdf","PDFを開く")</f>
        <v>PDFを開く</v>
      </c>
      <c r="T1192" s="8" t="s">
        <v>2497</v>
      </c>
      <c r="U1192" s="8" t="s">
        <v>2498</v>
      </c>
    </row>
    <row r="1193" spans="1:21" ht="39.950000000000003" customHeight="1">
      <c r="A1193" s="5" t="s">
        <v>2499</v>
      </c>
      <c r="B1193" s="5" t="s">
        <v>2430</v>
      </c>
      <c r="C1193" s="9" t="s">
        <v>2500</v>
      </c>
      <c r="D1193" s="9" t="s">
        <v>3176</v>
      </c>
      <c r="E1193" s="9" t="s">
        <v>90</v>
      </c>
      <c r="F1193" s="5">
        <v>2028</v>
      </c>
      <c r="G1193" s="5">
        <v>11873</v>
      </c>
      <c r="H1193" s="5">
        <v>2031</v>
      </c>
      <c r="I1193" s="5">
        <v>23050</v>
      </c>
      <c r="J1193" s="5" t="s">
        <v>447</v>
      </c>
      <c r="K1193" s="5">
        <v>24.7</v>
      </c>
      <c r="L1193" s="5">
        <v>24.748899999999999</v>
      </c>
      <c r="M1193" s="5">
        <v>4.8899999999999999E-2</v>
      </c>
      <c r="N1193" s="9" t="s">
        <v>11846</v>
      </c>
      <c r="O1193" s="9" t="s">
        <v>11847</v>
      </c>
      <c r="P1193" s="5">
        <v>2</v>
      </c>
      <c r="Q1193" s="9"/>
      <c r="R1193" s="9" t="s">
        <v>6430</v>
      </c>
      <c r="S1193" s="9" t="str">
        <f>HYPERLINK("https://seichotoushi-hojo.jp/assets/pdf/koufu_3_4ji/outline_125.pdf","PDFを開く")</f>
        <v>PDFを開く</v>
      </c>
      <c r="T1193" s="9" t="s">
        <v>2505</v>
      </c>
      <c r="U1193" s="9" t="s">
        <v>2506</v>
      </c>
    </row>
    <row r="1194" spans="1:21" ht="39.950000000000003" customHeight="1">
      <c r="A1194" s="2" t="s">
        <v>2499</v>
      </c>
      <c r="B1194" s="2" t="s">
        <v>2430</v>
      </c>
      <c r="C1194" s="8" t="s">
        <v>2500</v>
      </c>
      <c r="D1194" s="8" t="s">
        <v>3184</v>
      </c>
      <c r="E1194" s="8" t="s">
        <v>90</v>
      </c>
      <c r="F1194" s="2">
        <v>2028</v>
      </c>
      <c r="G1194" s="2">
        <v>7292</v>
      </c>
      <c r="H1194" s="2">
        <v>2031</v>
      </c>
      <c r="I1194" s="2">
        <v>8735</v>
      </c>
      <c r="J1194" s="2" t="s">
        <v>447</v>
      </c>
      <c r="K1194" s="2">
        <v>6.2</v>
      </c>
      <c r="L1194" s="2">
        <v>6.2035</v>
      </c>
      <c r="M1194" s="2">
        <v>3.5000000000000001E-3</v>
      </c>
      <c r="N1194" s="8" t="s">
        <v>11846</v>
      </c>
      <c r="O1194" s="8" t="s">
        <v>11847</v>
      </c>
      <c r="P1194" s="2">
        <v>2</v>
      </c>
      <c r="Q1194" s="8"/>
      <c r="R1194" s="8" t="s">
        <v>6434</v>
      </c>
      <c r="S1194" s="8" t="str">
        <f>HYPERLINK("https://seichotoushi-hojo.jp/assets/pdf/koufu_3_4ji/outline_125.pdf","PDFを開く")</f>
        <v>PDFを開く</v>
      </c>
      <c r="T1194" s="8" t="s">
        <v>2505</v>
      </c>
      <c r="U1194" s="8" t="s">
        <v>2506</v>
      </c>
    </row>
    <row r="1195" spans="1:21" ht="39.950000000000003" customHeight="1">
      <c r="A1195" s="5" t="s">
        <v>2499</v>
      </c>
      <c r="B1195" s="5" t="s">
        <v>2430</v>
      </c>
      <c r="C1195" s="9" t="s">
        <v>2500</v>
      </c>
      <c r="D1195" s="9" t="s">
        <v>3188</v>
      </c>
      <c r="E1195" s="9" t="s">
        <v>91</v>
      </c>
      <c r="F1195" s="5">
        <v>2028</v>
      </c>
      <c r="G1195" s="5"/>
      <c r="H1195" s="5">
        <v>2031</v>
      </c>
      <c r="I1195" s="5"/>
      <c r="J1195" s="5" t="s">
        <v>447</v>
      </c>
      <c r="K1195" s="5">
        <v>6.2</v>
      </c>
      <c r="L1195" s="5"/>
      <c r="M1195" s="5"/>
      <c r="N1195" s="9" t="s">
        <v>11846</v>
      </c>
      <c r="O1195" s="9" t="s">
        <v>11848</v>
      </c>
      <c r="P1195" s="5">
        <v>2</v>
      </c>
      <c r="Q1195" s="9"/>
      <c r="R1195" s="9" t="s">
        <v>6439</v>
      </c>
      <c r="S1195" s="9" t="str">
        <f>HYPERLINK("https://seichotoushi-hojo.jp/assets/pdf/koufu_3_4ji/outline_125.pdf","PDFを開く")</f>
        <v>PDFを開く</v>
      </c>
      <c r="T1195" s="9" t="s">
        <v>2505</v>
      </c>
      <c r="U1195" s="9" t="s">
        <v>2506</v>
      </c>
    </row>
    <row r="1196" spans="1:21" ht="39.950000000000003" customHeight="1">
      <c r="A1196" s="2" t="s">
        <v>2499</v>
      </c>
      <c r="B1196" s="2" t="s">
        <v>2430</v>
      </c>
      <c r="C1196" s="8" t="s">
        <v>2500</v>
      </c>
      <c r="D1196" s="8" t="s">
        <v>3191</v>
      </c>
      <c r="E1196" s="8" t="s">
        <v>92</v>
      </c>
      <c r="F1196" s="2">
        <v>2028</v>
      </c>
      <c r="G1196" s="2">
        <v>250</v>
      </c>
      <c r="H1196" s="2">
        <v>2031</v>
      </c>
      <c r="I1196" s="2">
        <v>272</v>
      </c>
      <c r="J1196" s="2" t="s">
        <v>2513</v>
      </c>
      <c r="K1196" s="2"/>
      <c r="L1196" s="2"/>
      <c r="M1196" s="2"/>
      <c r="N1196" s="8" t="s">
        <v>11846</v>
      </c>
      <c r="O1196" s="8" t="s">
        <v>11847</v>
      </c>
      <c r="P1196" s="2">
        <v>2</v>
      </c>
      <c r="Q1196" s="8"/>
      <c r="R1196" s="8" t="s">
        <v>6437</v>
      </c>
      <c r="S1196" s="8" t="str">
        <f>HYPERLINK("https://seichotoushi-hojo.jp/assets/pdf/koufu_3_4ji/outline_125.pdf","PDFを開く")</f>
        <v>PDFを開く</v>
      </c>
      <c r="T1196" s="8" t="s">
        <v>2505</v>
      </c>
      <c r="U1196" s="8" t="s">
        <v>2506</v>
      </c>
    </row>
    <row r="1197" spans="1:21" ht="39.950000000000003" customHeight="1">
      <c r="A1197" s="5" t="s">
        <v>2507</v>
      </c>
      <c r="B1197" s="5" t="s">
        <v>2430</v>
      </c>
      <c r="C1197" s="9" t="s">
        <v>2508</v>
      </c>
      <c r="D1197" s="9" t="s">
        <v>3176</v>
      </c>
      <c r="E1197" s="9" t="s">
        <v>90</v>
      </c>
      <c r="F1197" s="5">
        <v>2026</v>
      </c>
      <c r="G1197" s="5">
        <v>6025906</v>
      </c>
      <c r="H1197" s="5">
        <v>2029</v>
      </c>
      <c r="I1197" s="5">
        <v>15331462</v>
      </c>
      <c r="J1197" s="5" t="s">
        <v>2512</v>
      </c>
      <c r="K1197" s="5">
        <v>36.5</v>
      </c>
      <c r="L1197" s="5">
        <v>36.517099999999999</v>
      </c>
      <c r="M1197" s="5">
        <v>1.7100000000000001E-2</v>
      </c>
      <c r="N1197" s="9" t="s">
        <v>11846</v>
      </c>
      <c r="O1197" s="9" t="s">
        <v>11847</v>
      </c>
      <c r="P1197" s="5">
        <v>2</v>
      </c>
      <c r="Q1197" s="9"/>
      <c r="R1197" s="9" t="s">
        <v>6442</v>
      </c>
      <c r="S1197" s="9" t="str">
        <f>HYPERLINK("https://seichotoushi-hojo.jp/assets/pdf/koufu_3_4ji/outline_127.pdf","PDFを開く")</f>
        <v>PDFを開く</v>
      </c>
      <c r="T1197" s="9" t="s">
        <v>2514</v>
      </c>
      <c r="U1197" s="9" t="s">
        <v>2515</v>
      </c>
    </row>
    <row r="1198" spans="1:21" ht="39.950000000000003" customHeight="1">
      <c r="A1198" s="2" t="s">
        <v>2507</v>
      </c>
      <c r="B1198" s="2" t="s">
        <v>2430</v>
      </c>
      <c r="C1198" s="8" t="s">
        <v>2508</v>
      </c>
      <c r="D1198" s="8" t="s">
        <v>3184</v>
      </c>
      <c r="E1198" s="8" t="s">
        <v>90</v>
      </c>
      <c r="F1198" s="2">
        <v>2026</v>
      </c>
      <c r="G1198" s="2">
        <v>3740890</v>
      </c>
      <c r="H1198" s="2">
        <v>2029</v>
      </c>
      <c r="I1198" s="2">
        <v>4518969</v>
      </c>
      <c r="J1198" s="2" t="s">
        <v>2512</v>
      </c>
      <c r="K1198" s="2">
        <v>6.5</v>
      </c>
      <c r="L1198" s="2">
        <v>6.5012999999999996</v>
      </c>
      <c r="M1198" s="2">
        <v>1.2999999999999999E-3</v>
      </c>
      <c r="N1198" s="8" t="s">
        <v>11846</v>
      </c>
      <c r="O1198" s="8" t="s">
        <v>11847</v>
      </c>
      <c r="P1198" s="2">
        <v>2</v>
      </c>
      <c r="Q1198" s="8"/>
      <c r="R1198" s="8" t="s">
        <v>6445</v>
      </c>
      <c r="S1198" s="8" t="str">
        <f>HYPERLINK("https://seichotoushi-hojo.jp/assets/pdf/koufu_3_4ji/outline_127.pdf","PDFを開く")</f>
        <v>PDFを開く</v>
      </c>
      <c r="T1198" s="8" t="s">
        <v>2514</v>
      </c>
      <c r="U1198" s="8" t="s">
        <v>2515</v>
      </c>
    </row>
    <row r="1199" spans="1:21" ht="39.950000000000003" customHeight="1">
      <c r="A1199" s="5" t="s">
        <v>2507</v>
      </c>
      <c r="B1199" s="5" t="s">
        <v>2430</v>
      </c>
      <c r="C1199" s="9" t="s">
        <v>2508</v>
      </c>
      <c r="D1199" s="9" t="s">
        <v>3188</v>
      </c>
      <c r="E1199" s="9" t="s">
        <v>91</v>
      </c>
      <c r="F1199" s="5">
        <v>2026</v>
      </c>
      <c r="G1199" s="5"/>
      <c r="H1199" s="5">
        <v>2029</v>
      </c>
      <c r="I1199" s="5"/>
      <c r="J1199" s="5" t="s">
        <v>2513</v>
      </c>
      <c r="K1199" s="5">
        <v>4.5</v>
      </c>
      <c r="L1199" s="5"/>
      <c r="M1199" s="5"/>
      <c r="N1199" s="9" t="s">
        <v>11846</v>
      </c>
      <c r="O1199" s="9" t="s">
        <v>11848</v>
      </c>
      <c r="P1199" s="5">
        <v>2</v>
      </c>
      <c r="Q1199" s="9"/>
      <c r="R1199" s="9" t="s">
        <v>6451</v>
      </c>
      <c r="S1199" s="9" t="str">
        <f>HYPERLINK("https://seichotoushi-hojo.jp/assets/pdf/koufu_3_4ji/outline_127.pdf","PDFを開く")</f>
        <v>PDFを開く</v>
      </c>
      <c r="T1199" s="9" t="s">
        <v>2514</v>
      </c>
      <c r="U1199" s="9" t="s">
        <v>2515</v>
      </c>
    </row>
    <row r="1200" spans="1:21" ht="39.950000000000003" customHeight="1">
      <c r="A1200" s="2" t="s">
        <v>2507</v>
      </c>
      <c r="B1200" s="2" t="s">
        <v>2430</v>
      </c>
      <c r="C1200" s="8" t="s">
        <v>2508</v>
      </c>
      <c r="D1200" s="8" t="s">
        <v>3191</v>
      </c>
      <c r="E1200" s="8" t="s">
        <v>92</v>
      </c>
      <c r="F1200" s="2">
        <v>2026</v>
      </c>
      <c r="G1200" s="2">
        <v>90</v>
      </c>
      <c r="H1200" s="2">
        <v>2029</v>
      </c>
      <c r="I1200" s="2">
        <v>146</v>
      </c>
      <c r="J1200" s="2" t="s">
        <v>2513</v>
      </c>
      <c r="K1200" s="2">
        <v>17.5</v>
      </c>
      <c r="L1200" s="2"/>
      <c r="M1200" s="2"/>
      <c r="N1200" s="8" t="s">
        <v>11846</v>
      </c>
      <c r="O1200" s="8" t="s">
        <v>11847</v>
      </c>
      <c r="P1200" s="2">
        <v>2</v>
      </c>
      <c r="Q1200" s="8"/>
      <c r="R1200" s="8" t="s">
        <v>6448</v>
      </c>
      <c r="S1200" s="8" t="str">
        <f>HYPERLINK("https://seichotoushi-hojo.jp/assets/pdf/koufu_3_4ji/outline_127.pdf","PDFを開く")</f>
        <v>PDFを開く</v>
      </c>
      <c r="T1200" s="8" t="s">
        <v>2514</v>
      </c>
      <c r="U1200" s="8" t="s">
        <v>2515</v>
      </c>
    </row>
    <row r="1201" spans="1:21" ht="39.950000000000003" customHeight="1">
      <c r="A1201" s="5" t="s">
        <v>2516</v>
      </c>
      <c r="B1201" s="5" t="s">
        <v>2430</v>
      </c>
      <c r="C1201" s="9" t="s">
        <v>2517</v>
      </c>
      <c r="D1201" s="9" t="s">
        <v>3176</v>
      </c>
      <c r="E1201" s="9" t="s">
        <v>90</v>
      </c>
      <c r="F1201" s="5">
        <v>2027</v>
      </c>
      <c r="G1201" s="5">
        <v>3568</v>
      </c>
      <c r="H1201" s="5">
        <v>2030</v>
      </c>
      <c r="I1201" s="5">
        <v>7360</v>
      </c>
      <c r="J1201" s="5" t="s">
        <v>86</v>
      </c>
      <c r="K1201" s="5">
        <v>27.3</v>
      </c>
      <c r="L1201" s="5">
        <v>27.296800000000001</v>
      </c>
      <c r="M1201" s="5">
        <v>3.2000000000000002E-3</v>
      </c>
      <c r="N1201" s="9" t="s">
        <v>11846</v>
      </c>
      <c r="O1201" s="9" t="s">
        <v>11847</v>
      </c>
      <c r="P1201" s="5">
        <v>2</v>
      </c>
      <c r="Q1201" s="9"/>
      <c r="R1201" s="9" t="s">
        <v>6454</v>
      </c>
      <c r="S1201" s="9" t="str">
        <f>HYPERLINK("https://seichotoushi-hojo.jp/assets/pdf/koufu_3_4ji/outline_130.pdf","PDFを開く")</f>
        <v>PDFを開く</v>
      </c>
      <c r="T1201" s="9" t="s">
        <v>2522</v>
      </c>
      <c r="U1201" s="9" t="s">
        <v>2523</v>
      </c>
    </row>
    <row r="1202" spans="1:21" ht="39.950000000000003" customHeight="1">
      <c r="A1202" s="2" t="s">
        <v>2516</v>
      </c>
      <c r="B1202" s="2" t="s">
        <v>2430</v>
      </c>
      <c r="C1202" s="8" t="s">
        <v>2517</v>
      </c>
      <c r="D1202" s="8" t="s">
        <v>3184</v>
      </c>
      <c r="E1202" s="8" t="s">
        <v>90</v>
      </c>
      <c r="F1202" s="2">
        <v>2027</v>
      </c>
      <c r="G1202" s="2">
        <v>738</v>
      </c>
      <c r="H1202" s="2">
        <v>2030</v>
      </c>
      <c r="I1202" s="2">
        <v>920</v>
      </c>
      <c r="J1202" s="2" t="s">
        <v>86</v>
      </c>
      <c r="K1202" s="2">
        <v>7.6</v>
      </c>
      <c r="L1202" s="2">
        <v>7.6242999999999999</v>
      </c>
      <c r="M1202" s="2">
        <v>2.4299999999999999E-2</v>
      </c>
      <c r="N1202" s="8" t="s">
        <v>11846</v>
      </c>
      <c r="O1202" s="8" t="s">
        <v>11847</v>
      </c>
      <c r="P1202" s="2">
        <v>2</v>
      </c>
      <c r="Q1202" s="8"/>
      <c r="R1202" s="8" t="s">
        <v>6457</v>
      </c>
      <c r="S1202" s="8" t="str">
        <f>HYPERLINK("https://seichotoushi-hojo.jp/assets/pdf/koufu_3_4ji/outline_130.pdf","PDFを開く")</f>
        <v>PDFを開く</v>
      </c>
      <c r="T1202" s="8" t="s">
        <v>2522</v>
      </c>
      <c r="U1202" s="8" t="s">
        <v>2523</v>
      </c>
    </row>
    <row r="1203" spans="1:21" ht="39.950000000000003" customHeight="1">
      <c r="A1203" s="5" t="s">
        <v>2516</v>
      </c>
      <c r="B1203" s="5" t="s">
        <v>2430</v>
      </c>
      <c r="C1203" s="9" t="s">
        <v>2517</v>
      </c>
      <c r="D1203" s="9" t="s">
        <v>3188</v>
      </c>
      <c r="E1203" s="9" t="s">
        <v>91</v>
      </c>
      <c r="F1203" s="5">
        <v>2027</v>
      </c>
      <c r="G1203" s="5"/>
      <c r="H1203" s="5">
        <v>2030</v>
      </c>
      <c r="I1203" s="5"/>
      <c r="J1203" s="5" t="s">
        <v>86</v>
      </c>
      <c r="K1203" s="5">
        <v>7.5</v>
      </c>
      <c r="L1203" s="5"/>
      <c r="M1203" s="5"/>
      <c r="N1203" s="9" t="s">
        <v>11846</v>
      </c>
      <c r="O1203" s="9" t="s">
        <v>11848</v>
      </c>
      <c r="P1203" s="5">
        <v>2</v>
      </c>
      <c r="Q1203" s="9"/>
      <c r="R1203" s="9" t="s">
        <v>5622</v>
      </c>
      <c r="S1203" s="9" t="str">
        <f>HYPERLINK("https://seichotoushi-hojo.jp/assets/pdf/koufu_3_4ji/outline_130.pdf","PDFを開く")</f>
        <v>PDFを開く</v>
      </c>
      <c r="T1203" s="9" t="s">
        <v>2522</v>
      </c>
      <c r="U1203" s="9" t="s">
        <v>2523</v>
      </c>
    </row>
    <row r="1204" spans="1:21" ht="39.950000000000003" customHeight="1">
      <c r="A1204" s="2" t="s">
        <v>2516</v>
      </c>
      <c r="B1204" s="2" t="s">
        <v>2430</v>
      </c>
      <c r="C1204" s="8" t="s">
        <v>2517</v>
      </c>
      <c r="D1204" s="8" t="s">
        <v>3191</v>
      </c>
      <c r="E1204" s="8" t="s">
        <v>92</v>
      </c>
      <c r="F1204" s="2">
        <v>2027</v>
      </c>
      <c r="G1204" s="2">
        <v>11</v>
      </c>
      <c r="H1204" s="2">
        <v>2030</v>
      </c>
      <c r="I1204" s="2">
        <v>62</v>
      </c>
      <c r="J1204" s="2" t="s">
        <v>2513</v>
      </c>
      <c r="K1204" s="2"/>
      <c r="L1204" s="2"/>
      <c r="M1204" s="2"/>
      <c r="N1204" s="8" t="s">
        <v>11846</v>
      </c>
      <c r="O1204" s="8" t="s">
        <v>11847</v>
      </c>
      <c r="P1204" s="2">
        <v>2</v>
      </c>
      <c r="Q1204" s="8"/>
      <c r="R1204" s="8" t="s">
        <v>6459</v>
      </c>
      <c r="S1204" s="8" t="str">
        <f>HYPERLINK("https://seichotoushi-hojo.jp/assets/pdf/koufu_3_4ji/outline_130.pdf","PDFを開く")</f>
        <v>PDFを開く</v>
      </c>
      <c r="T1204" s="8" t="s">
        <v>2522</v>
      </c>
      <c r="U1204" s="8" t="s">
        <v>2523</v>
      </c>
    </row>
    <row r="1205" spans="1:21" ht="39.950000000000003" customHeight="1">
      <c r="A1205" s="5" t="s">
        <v>2524</v>
      </c>
      <c r="B1205" s="5" t="s">
        <v>2430</v>
      </c>
      <c r="C1205" s="9" t="s">
        <v>2525</v>
      </c>
      <c r="D1205" s="9" t="s">
        <v>3176</v>
      </c>
      <c r="E1205" s="9" t="s">
        <v>90</v>
      </c>
      <c r="F1205" s="5">
        <v>2027</v>
      </c>
      <c r="G1205" s="5">
        <v>11314</v>
      </c>
      <c r="H1205" s="5">
        <v>2030</v>
      </c>
      <c r="I1205" s="5">
        <v>45711</v>
      </c>
      <c r="J1205" s="5" t="s">
        <v>447</v>
      </c>
      <c r="K1205" s="5">
        <v>59.3</v>
      </c>
      <c r="L1205" s="5">
        <v>59.270299999999999</v>
      </c>
      <c r="M1205" s="5">
        <v>2.9700000000000001E-2</v>
      </c>
      <c r="N1205" s="9" t="s">
        <v>11846</v>
      </c>
      <c r="O1205" s="9" t="s">
        <v>11847</v>
      </c>
      <c r="P1205" s="5">
        <v>2</v>
      </c>
      <c r="Q1205" s="9"/>
      <c r="R1205" s="9" t="s">
        <v>6464</v>
      </c>
      <c r="S1205" s="9" t="str">
        <f>HYPERLINK("https://seichotoushi-hojo.jp/assets/pdf/koufu_3_4ji/outline_131.pdf","PDFを開く")</f>
        <v>PDFを開く</v>
      </c>
      <c r="T1205" s="9" t="s">
        <v>2529</v>
      </c>
      <c r="U1205" s="9" t="s">
        <v>2530</v>
      </c>
    </row>
    <row r="1206" spans="1:21" ht="39.950000000000003" customHeight="1">
      <c r="A1206" s="2" t="s">
        <v>2524</v>
      </c>
      <c r="B1206" s="2" t="s">
        <v>2430</v>
      </c>
      <c r="C1206" s="8" t="s">
        <v>2525</v>
      </c>
      <c r="D1206" s="8" t="s">
        <v>3184</v>
      </c>
      <c r="E1206" s="8" t="s">
        <v>90</v>
      </c>
      <c r="F1206" s="2">
        <v>2027</v>
      </c>
      <c r="G1206" s="2">
        <v>4238</v>
      </c>
      <c r="H1206" s="2">
        <v>2030</v>
      </c>
      <c r="I1206" s="2">
        <v>5264</v>
      </c>
      <c r="J1206" s="2" t="s">
        <v>447</v>
      </c>
      <c r="K1206" s="2">
        <v>7.5</v>
      </c>
      <c r="L1206" s="2">
        <v>7.4942000000000002</v>
      </c>
      <c r="M1206" s="2">
        <v>5.7999999999999996E-3</v>
      </c>
      <c r="N1206" s="8" t="s">
        <v>11846</v>
      </c>
      <c r="O1206" s="8" t="s">
        <v>11847</v>
      </c>
      <c r="P1206" s="2">
        <v>2</v>
      </c>
      <c r="Q1206" s="8"/>
      <c r="R1206" s="8" t="s">
        <v>6468</v>
      </c>
      <c r="S1206" s="8" t="str">
        <f>HYPERLINK("https://seichotoushi-hojo.jp/assets/pdf/koufu_3_4ji/outline_131.pdf","PDFを開く")</f>
        <v>PDFを開く</v>
      </c>
      <c r="T1206" s="8" t="s">
        <v>2529</v>
      </c>
      <c r="U1206" s="8" t="s">
        <v>2530</v>
      </c>
    </row>
    <row r="1207" spans="1:21" ht="39.950000000000003" customHeight="1">
      <c r="A1207" s="5" t="s">
        <v>2524</v>
      </c>
      <c r="B1207" s="5" t="s">
        <v>2430</v>
      </c>
      <c r="C1207" s="9" t="s">
        <v>2525</v>
      </c>
      <c r="D1207" s="9" t="s">
        <v>3188</v>
      </c>
      <c r="E1207" s="9" t="s">
        <v>91</v>
      </c>
      <c r="F1207" s="5">
        <v>2027</v>
      </c>
      <c r="G1207" s="5"/>
      <c r="H1207" s="5">
        <v>2030</v>
      </c>
      <c r="I1207" s="5"/>
      <c r="J1207" s="5" t="s">
        <v>447</v>
      </c>
      <c r="K1207" s="5">
        <v>6</v>
      </c>
      <c r="L1207" s="5"/>
      <c r="M1207" s="5"/>
      <c r="N1207" s="9" t="s">
        <v>11846</v>
      </c>
      <c r="O1207" s="9" t="s">
        <v>11848</v>
      </c>
      <c r="P1207" s="5">
        <v>2</v>
      </c>
      <c r="Q1207" s="9"/>
      <c r="R1207" s="9" t="s">
        <v>6473</v>
      </c>
      <c r="S1207" s="9" t="str">
        <f>HYPERLINK("https://seichotoushi-hojo.jp/assets/pdf/koufu_3_4ji/outline_131.pdf","PDFを開く")</f>
        <v>PDFを開く</v>
      </c>
      <c r="T1207" s="9" t="s">
        <v>2529</v>
      </c>
      <c r="U1207" s="9" t="s">
        <v>2530</v>
      </c>
    </row>
    <row r="1208" spans="1:21" ht="39.950000000000003" customHeight="1">
      <c r="A1208" s="2" t="s">
        <v>2524</v>
      </c>
      <c r="B1208" s="2" t="s">
        <v>2430</v>
      </c>
      <c r="C1208" s="8" t="s">
        <v>2525</v>
      </c>
      <c r="D1208" s="8" t="s">
        <v>3191</v>
      </c>
      <c r="E1208" s="8" t="s">
        <v>92</v>
      </c>
      <c r="F1208" s="2">
        <v>2027</v>
      </c>
      <c r="G1208" s="2">
        <v>48</v>
      </c>
      <c r="H1208" s="2">
        <v>2030</v>
      </c>
      <c r="I1208" s="2">
        <v>62</v>
      </c>
      <c r="J1208" s="2" t="s">
        <v>2513</v>
      </c>
      <c r="K1208" s="2"/>
      <c r="L1208" s="2"/>
      <c r="M1208" s="2"/>
      <c r="N1208" s="8" t="s">
        <v>11846</v>
      </c>
      <c r="O1208" s="8" t="s">
        <v>11847</v>
      </c>
      <c r="P1208" s="2">
        <v>2</v>
      </c>
      <c r="Q1208" s="8"/>
      <c r="R1208" s="8" t="s">
        <v>6471</v>
      </c>
      <c r="S1208" s="8" t="str">
        <f>HYPERLINK("https://seichotoushi-hojo.jp/assets/pdf/koufu_3_4ji/outline_131.pdf","PDFを開く")</f>
        <v>PDFを開く</v>
      </c>
      <c r="T1208" s="8" t="s">
        <v>2529</v>
      </c>
      <c r="U1208" s="8" t="s">
        <v>2530</v>
      </c>
    </row>
    <row r="1209" spans="1:21" ht="39.950000000000003" customHeight="1">
      <c r="A1209" s="5" t="s">
        <v>2531</v>
      </c>
      <c r="B1209" s="5" t="s">
        <v>2430</v>
      </c>
      <c r="C1209" s="9" t="s">
        <v>2532</v>
      </c>
      <c r="D1209" s="9" t="s">
        <v>3176</v>
      </c>
      <c r="E1209" s="9" t="s">
        <v>90</v>
      </c>
      <c r="F1209" s="5"/>
      <c r="G1209" s="5">
        <v>12426</v>
      </c>
      <c r="H1209" s="5"/>
      <c r="I1209" s="5">
        <v>26105</v>
      </c>
      <c r="J1209" s="5" t="s">
        <v>447</v>
      </c>
      <c r="K1209" s="5">
        <v>28.1</v>
      </c>
      <c r="L1209" s="5">
        <v>28.0749</v>
      </c>
      <c r="M1209" s="5">
        <v>2.5100000000000001E-2</v>
      </c>
      <c r="N1209" s="9" t="s">
        <v>11853</v>
      </c>
      <c r="O1209" s="9"/>
      <c r="P1209" s="5">
        <v>2</v>
      </c>
      <c r="Q1209" s="9"/>
      <c r="R1209" s="9" t="s">
        <v>6476</v>
      </c>
      <c r="S1209" s="9" t="str">
        <f>HYPERLINK("https://seichotoushi-hojo.jp/assets/pdf/koufu_3_4ji/outline_132.pdf","PDFを開く")</f>
        <v>PDFを開く</v>
      </c>
      <c r="T1209" s="9" t="s">
        <v>2537</v>
      </c>
      <c r="U1209" s="9" t="s">
        <v>2538</v>
      </c>
    </row>
    <row r="1210" spans="1:21" ht="39.950000000000003" customHeight="1">
      <c r="A1210" s="2" t="s">
        <v>2531</v>
      </c>
      <c r="B1210" s="2" t="s">
        <v>2430</v>
      </c>
      <c r="C1210" s="8" t="s">
        <v>2532</v>
      </c>
      <c r="D1210" s="8" t="s">
        <v>3184</v>
      </c>
      <c r="E1210" s="8" t="s">
        <v>90</v>
      </c>
      <c r="F1210" s="2"/>
      <c r="G1210" s="2">
        <v>5675</v>
      </c>
      <c r="H1210" s="2"/>
      <c r="I1210" s="2">
        <v>6953</v>
      </c>
      <c r="J1210" s="2" t="s">
        <v>447</v>
      </c>
      <c r="K1210" s="2">
        <v>7</v>
      </c>
      <c r="L1210" s="2">
        <v>7.0045000000000002</v>
      </c>
      <c r="M1210" s="2">
        <v>4.4999999999999997E-3</v>
      </c>
      <c r="N1210" s="8" t="s">
        <v>11853</v>
      </c>
      <c r="O1210" s="8"/>
      <c r="P1210" s="2">
        <v>2</v>
      </c>
      <c r="Q1210" s="8"/>
      <c r="R1210" s="8" t="s">
        <v>6479</v>
      </c>
      <c r="S1210" s="8" t="str">
        <f>HYPERLINK("https://seichotoushi-hojo.jp/assets/pdf/koufu_3_4ji/outline_132.pdf","PDFを開く")</f>
        <v>PDFを開く</v>
      </c>
      <c r="T1210" s="8" t="s">
        <v>2537</v>
      </c>
      <c r="U1210" s="8" t="s">
        <v>2538</v>
      </c>
    </row>
    <row r="1211" spans="1:21" ht="39.950000000000003" customHeight="1">
      <c r="A1211" s="5" t="s">
        <v>2531</v>
      </c>
      <c r="B1211" s="5" t="s">
        <v>2430</v>
      </c>
      <c r="C1211" s="9" t="s">
        <v>2532</v>
      </c>
      <c r="D1211" s="9" t="s">
        <v>3188</v>
      </c>
      <c r="E1211" s="9" t="s">
        <v>91</v>
      </c>
      <c r="F1211" s="5"/>
      <c r="G1211" s="5"/>
      <c r="H1211" s="5"/>
      <c r="I1211" s="5"/>
      <c r="J1211" s="5" t="s">
        <v>447</v>
      </c>
      <c r="K1211" s="5">
        <v>7</v>
      </c>
      <c r="L1211" s="5"/>
      <c r="M1211" s="5"/>
      <c r="N1211" s="9" t="s">
        <v>11854</v>
      </c>
      <c r="O1211" s="9" t="s">
        <v>11848</v>
      </c>
      <c r="P1211" s="5">
        <v>2</v>
      </c>
      <c r="Q1211" s="9"/>
      <c r="R1211" s="9" t="s">
        <v>6372</v>
      </c>
      <c r="S1211" s="9" t="str">
        <f>HYPERLINK("https://seichotoushi-hojo.jp/assets/pdf/koufu_3_4ji/outline_132.pdf","PDFを開く")</f>
        <v>PDFを開く</v>
      </c>
      <c r="T1211" s="9" t="s">
        <v>2537</v>
      </c>
      <c r="U1211" s="9" t="s">
        <v>2538</v>
      </c>
    </row>
    <row r="1212" spans="1:21" ht="39.950000000000003" customHeight="1">
      <c r="A1212" s="2" t="s">
        <v>2531</v>
      </c>
      <c r="B1212" s="2" t="s">
        <v>2430</v>
      </c>
      <c r="C1212" s="8" t="s">
        <v>2532</v>
      </c>
      <c r="D1212" s="8" t="s">
        <v>3191</v>
      </c>
      <c r="E1212" s="8" t="s">
        <v>92</v>
      </c>
      <c r="F1212" s="2"/>
      <c r="G1212" s="2">
        <v>74</v>
      </c>
      <c r="H1212" s="2"/>
      <c r="I1212" s="2">
        <v>86</v>
      </c>
      <c r="J1212" s="2" t="s">
        <v>2513</v>
      </c>
      <c r="K1212" s="2"/>
      <c r="L1212" s="2"/>
      <c r="M1212" s="2"/>
      <c r="N1212" s="8" t="s">
        <v>11853</v>
      </c>
      <c r="O1212" s="8"/>
      <c r="P1212" s="2">
        <v>2</v>
      </c>
      <c r="Q1212" s="8"/>
      <c r="R1212" s="8" t="s">
        <v>6482</v>
      </c>
      <c r="S1212" s="8" t="str">
        <f>HYPERLINK("https://seichotoushi-hojo.jp/assets/pdf/koufu_3_4ji/outline_132.pdf","PDFを開く")</f>
        <v>PDFを開く</v>
      </c>
      <c r="T1212" s="8" t="s">
        <v>2537</v>
      </c>
      <c r="U1212" s="8" t="s">
        <v>2538</v>
      </c>
    </row>
    <row r="1213" spans="1:21" ht="39.950000000000003" customHeight="1">
      <c r="A1213" s="5" t="s">
        <v>2539</v>
      </c>
      <c r="B1213" s="5" t="s">
        <v>2430</v>
      </c>
      <c r="C1213" s="9" t="s">
        <v>2540</v>
      </c>
      <c r="D1213" s="9" t="s">
        <v>3176</v>
      </c>
      <c r="E1213" s="9" t="s">
        <v>90</v>
      </c>
      <c r="F1213" s="5"/>
      <c r="G1213" s="5">
        <v>10686</v>
      </c>
      <c r="H1213" s="5"/>
      <c r="I1213" s="5">
        <v>23668</v>
      </c>
      <c r="J1213" s="5" t="s">
        <v>447</v>
      </c>
      <c r="K1213" s="5">
        <v>30.4</v>
      </c>
      <c r="L1213" s="5">
        <v>30.351299999999998</v>
      </c>
      <c r="M1213" s="5">
        <v>4.87E-2</v>
      </c>
      <c r="N1213" s="9" t="s">
        <v>11853</v>
      </c>
      <c r="O1213" s="9"/>
      <c r="P1213" s="5">
        <v>2</v>
      </c>
      <c r="Q1213" s="9"/>
      <c r="R1213" s="9" t="s">
        <v>6486</v>
      </c>
      <c r="S1213" s="9" t="str">
        <f>HYPERLINK("https://seichotoushi-hojo.jp/assets/pdf/koufu_3_4ji/outline_133.pdf","PDFを開く")</f>
        <v>PDFを開く</v>
      </c>
      <c r="T1213" s="9" t="s">
        <v>2544</v>
      </c>
      <c r="U1213" s="9" t="s">
        <v>2545</v>
      </c>
    </row>
    <row r="1214" spans="1:21" ht="39.950000000000003" customHeight="1">
      <c r="A1214" s="2" t="s">
        <v>2539</v>
      </c>
      <c r="B1214" s="2" t="s">
        <v>2430</v>
      </c>
      <c r="C1214" s="8" t="s">
        <v>2540</v>
      </c>
      <c r="D1214" s="8" t="s">
        <v>3184</v>
      </c>
      <c r="E1214" s="8" t="s">
        <v>90</v>
      </c>
      <c r="F1214" s="2"/>
      <c r="G1214" s="2">
        <v>4681</v>
      </c>
      <c r="H1214" s="2"/>
      <c r="I1214" s="2">
        <v>5734</v>
      </c>
      <c r="J1214" s="2" t="s">
        <v>447</v>
      </c>
      <c r="K1214" s="2">
        <v>7</v>
      </c>
      <c r="L1214" s="2">
        <v>6.9973000000000001</v>
      </c>
      <c r="M1214" s="2">
        <v>2.7000000000000001E-3</v>
      </c>
      <c r="N1214" s="8" t="s">
        <v>11853</v>
      </c>
      <c r="O1214" s="8"/>
      <c r="P1214" s="2">
        <v>2</v>
      </c>
      <c r="Q1214" s="8"/>
      <c r="R1214" s="8" t="s">
        <v>6489</v>
      </c>
      <c r="S1214" s="8" t="str">
        <f>HYPERLINK("https://seichotoushi-hojo.jp/assets/pdf/koufu_3_4ji/outline_133.pdf","PDFを開く")</f>
        <v>PDFを開く</v>
      </c>
      <c r="T1214" s="8" t="s">
        <v>2544</v>
      </c>
      <c r="U1214" s="8" t="s">
        <v>2545</v>
      </c>
    </row>
    <row r="1215" spans="1:21" ht="39.950000000000003" customHeight="1">
      <c r="A1215" s="5" t="s">
        <v>2539</v>
      </c>
      <c r="B1215" s="5" t="s">
        <v>2430</v>
      </c>
      <c r="C1215" s="9" t="s">
        <v>2540</v>
      </c>
      <c r="D1215" s="9" t="s">
        <v>3188</v>
      </c>
      <c r="E1215" s="9" t="s">
        <v>91</v>
      </c>
      <c r="F1215" s="5"/>
      <c r="G1215" s="5"/>
      <c r="H1215" s="5"/>
      <c r="I1215" s="5"/>
      <c r="J1215" s="5" t="s">
        <v>447</v>
      </c>
      <c r="K1215" s="5">
        <v>7</v>
      </c>
      <c r="L1215" s="5"/>
      <c r="M1215" s="5"/>
      <c r="N1215" s="9" t="s">
        <v>11854</v>
      </c>
      <c r="O1215" s="9" t="s">
        <v>11848</v>
      </c>
      <c r="P1215" s="5">
        <v>2</v>
      </c>
      <c r="Q1215" s="9"/>
      <c r="R1215" s="9" t="s">
        <v>6372</v>
      </c>
      <c r="S1215" s="9" t="str">
        <f>HYPERLINK("https://seichotoushi-hojo.jp/assets/pdf/koufu_3_4ji/outline_133.pdf","PDFを開く")</f>
        <v>PDFを開く</v>
      </c>
      <c r="T1215" s="9" t="s">
        <v>2544</v>
      </c>
      <c r="U1215" s="9" t="s">
        <v>2545</v>
      </c>
    </row>
    <row r="1216" spans="1:21" ht="39.950000000000003" customHeight="1">
      <c r="A1216" s="2" t="s">
        <v>2539</v>
      </c>
      <c r="B1216" s="2" t="s">
        <v>2430</v>
      </c>
      <c r="C1216" s="8" t="s">
        <v>2540</v>
      </c>
      <c r="D1216" s="8" t="s">
        <v>3191</v>
      </c>
      <c r="E1216" s="8" t="s">
        <v>92</v>
      </c>
      <c r="F1216" s="2"/>
      <c r="G1216" s="2">
        <v>197</v>
      </c>
      <c r="H1216" s="2"/>
      <c r="I1216" s="2">
        <v>207</v>
      </c>
      <c r="J1216" s="2" t="s">
        <v>2513</v>
      </c>
      <c r="K1216" s="2"/>
      <c r="L1216" s="2"/>
      <c r="M1216" s="2"/>
      <c r="N1216" s="8" t="s">
        <v>11853</v>
      </c>
      <c r="O1216" s="8"/>
      <c r="P1216" s="2">
        <v>2</v>
      </c>
      <c r="Q1216" s="8"/>
      <c r="R1216" s="8" t="s">
        <v>6492</v>
      </c>
      <c r="S1216" s="8" t="str">
        <f>HYPERLINK("https://seichotoushi-hojo.jp/assets/pdf/koufu_3_4ji/outline_133.pdf","PDFを開く")</f>
        <v>PDFを開く</v>
      </c>
      <c r="T1216" s="8" t="s">
        <v>2544</v>
      </c>
      <c r="U1216" s="8" t="s">
        <v>2545</v>
      </c>
    </row>
    <row r="1217" spans="1:21" ht="39.950000000000003" customHeight="1">
      <c r="A1217" s="5" t="s">
        <v>2546</v>
      </c>
      <c r="B1217" s="5" t="s">
        <v>2430</v>
      </c>
      <c r="C1217" s="9" t="s">
        <v>2547</v>
      </c>
      <c r="D1217" s="9" t="s">
        <v>3176</v>
      </c>
      <c r="E1217" s="9" t="s">
        <v>90</v>
      </c>
      <c r="F1217" s="5">
        <v>2026</v>
      </c>
      <c r="G1217" s="5">
        <v>5246825</v>
      </c>
      <c r="H1217" s="5">
        <v>2029</v>
      </c>
      <c r="I1217" s="5">
        <v>22368578</v>
      </c>
      <c r="J1217" s="5" t="s">
        <v>2512</v>
      </c>
      <c r="K1217" s="5">
        <v>62.1</v>
      </c>
      <c r="L1217" s="5">
        <v>62.148899999999998</v>
      </c>
      <c r="M1217" s="5">
        <v>4.8899999999999999E-2</v>
      </c>
      <c r="N1217" s="9" t="s">
        <v>11846</v>
      </c>
      <c r="O1217" s="9" t="s">
        <v>11847</v>
      </c>
      <c r="P1217" s="5">
        <v>2</v>
      </c>
      <c r="Q1217" s="9"/>
      <c r="R1217" s="9" t="s">
        <v>6497</v>
      </c>
      <c r="S1217" s="9" t="str">
        <f>HYPERLINK("https://seichotoushi-hojo.jp/assets/pdf/koufu_3_4ji/outline_134.pdf","PDFを開く")</f>
        <v>PDFを開く</v>
      </c>
      <c r="T1217" s="9" t="s">
        <v>2553</v>
      </c>
      <c r="U1217" s="9" t="s">
        <v>2554</v>
      </c>
    </row>
    <row r="1218" spans="1:21" ht="39.950000000000003" customHeight="1">
      <c r="A1218" s="2" t="s">
        <v>2546</v>
      </c>
      <c r="B1218" s="2" t="s">
        <v>2430</v>
      </c>
      <c r="C1218" s="8" t="s">
        <v>2547</v>
      </c>
      <c r="D1218" s="8" t="s">
        <v>3184</v>
      </c>
      <c r="E1218" s="8" t="s">
        <v>90</v>
      </c>
      <c r="F1218" s="2">
        <v>2026</v>
      </c>
      <c r="G1218" s="2">
        <v>3998288</v>
      </c>
      <c r="H1218" s="2">
        <v>2029</v>
      </c>
      <c r="I1218" s="2">
        <v>4694730</v>
      </c>
      <c r="J1218" s="2" t="s">
        <v>2512</v>
      </c>
      <c r="K1218" s="2">
        <v>5.5</v>
      </c>
      <c r="L1218" s="2">
        <v>5.4983000000000004</v>
      </c>
      <c r="M1218" s="2">
        <v>1.6999999999999999E-3</v>
      </c>
      <c r="N1218" s="8" t="s">
        <v>11846</v>
      </c>
      <c r="O1218" s="8" t="s">
        <v>11847</v>
      </c>
      <c r="P1218" s="2">
        <v>2</v>
      </c>
      <c r="Q1218" s="8"/>
      <c r="R1218" s="8" t="s">
        <v>6500</v>
      </c>
      <c r="S1218" s="8" t="str">
        <f>HYPERLINK("https://seichotoushi-hojo.jp/assets/pdf/koufu_3_4ji/outline_134.pdf","PDFを開く")</f>
        <v>PDFを開く</v>
      </c>
      <c r="T1218" s="8" t="s">
        <v>2553</v>
      </c>
      <c r="U1218" s="8" t="s">
        <v>2554</v>
      </c>
    </row>
    <row r="1219" spans="1:21" ht="39.950000000000003" customHeight="1">
      <c r="A1219" s="5" t="s">
        <v>2546</v>
      </c>
      <c r="B1219" s="5" t="s">
        <v>2430</v>
      </c>
      <c r="C1219" s="9" t="s">
        <v>2547</v>
      </c>
      <c r="D1219" s="9" t="s">
        <v>3188</v>
      </c>
      <c r="E1219" s="9" t="s">
        <v>91</v>
      </c>
      <c r="F1219" s="5">
        <v>2026</v>
      </c>
      <c r="G1219" s="5"/>
      <c r="H1219" s="5">
        <v>2029</v>
      </c>
      <c r="I1219" s="5"/>
      <c r="J1219" s="5" t="s">
        <v>2513</v>
      </c>
      <c r="K1219" s="5">
        <v>4.5</v>
      </c>
      <c r="L1219" s="5"/>
      <c r="M1219" s="5"/>
      <c r="N1219" s="9" t="s">
        <v>11846</v>
      </c>
      <c r="O1219" s="9" t="s">
        <v>11848</v>
      </c>
      <c r="P1219" s="5">
        <v>2</v>
      </c>
      <c r="Q1219" s="9"/>
      <c r="R1219" s="9" t="s">
        <v>6451</v>
      </c>
      <c r="S1219" s="9" t="str">
        <f>HYPERLINK("https://seichotoushi-hojo.jp/assets/pdf/koufu_3_4ji/outline_134.pdf","PDFを開く")</f>
        <v>PDFを開く</v>
      </c>
      <c r="T1219" s="9" t="s">
        <v>2553</v>
      </c>
      <c r="U1219" s="9" t="s">
        <v>2554</v>
      </c>
    </row>
    <row r="1220" spans="1:21" ht="39.950000000000003" customHeight="1">
      <c r="A1220" s="2" t="s">
        <v>2546</v>
      </c>
      <c r="B1220" s="2" t="s">
        <v>2430</v>
      </c>
      <c r="C1220" s="8" t="s">
        <v>2547</v>
      </c>
      <c r="D1220" s="8" t="s">
        <v>3191</v>
      </c>
      <c r="E1220" s="8" t="s">
        <v>92</v>
      </c>
      <c r="F1220" s="2">
        <v>2026</v>
      </c>
      <c r="G1220" s="2">
        <v>32</v>
      </c>
      <c r="H1220" s="2">
        <v>2029</v>
      </c>
      <c r="I1220" s="2">
        <v>63</v>
      </c>
      <c r="J1220" s="2" t="s">
        <v>2513</v>
      </c>
      <c r="K1220" s="2">
        <v>25.3</v>
      </c>
      <c r="L1220" s="2"/>
      <c r="M1220" s="2"/>
      <c r="N1220" s="8" t="s">
        <v>11846</v>
      </c>
      <c r="O1220" s="8" t="s">
        <v>11847</v>
      </c>
      <c r="P1220" s="2">
        <v>2</v>
      </c>
      <c r="Q1220" s="8"/>
      <c r="R1220" s="8" t="s">
        <v>6502</v>
      </c>
      <c r="S1220" s="8" t="str">
        <f>HYPERLINK("https://seichotoushi-hojo.jp/assets/pdf/koufu_3_4ji/outline_134.pdf","PDFを開く")</f>
        <v>PDFを開く</v>
      </c>
      <c r="T1220" s="8" t="s">
        <v>2553</v>
      </c>
      <c r="U1220" s="8" t="s">
        <v>2554</v>
      </c>
    </row>
    <row r="1221" spans="1:21" ht="39.950000000000003" customHeight="1">
      <c r="A1221" s="5" t="s">
        <v>2555</v>
      </c>
      <c r="B1221" s="5" t="s">
        <v>2430</v>
      </c>
      <c r="C1221" s="9" t="s">
        <v>2556</v>
      </c>
      <c r="D1221" s="9" t="s">
        <v>3176</v>
      </c>
      <c r="E1221" s="9" t="s">
        <v>166</v>
      </c>
      <c r="F1221" s="5">
        <v>2028</v>
      </c>
      <c r="G1221" s="5">
        <v>11947</v>
      </c>
      <c r="H1221" s="5">
        <v>2031</v>
      </c>
      <c r="I1221" s="5">
        <v>22602</v>
      </c>
      <c r="J1221" s="5" t="s">
        <v>447</v>
      </c>
      <c r="K1221" s="5">
        <v>23.7</v>
      </c>
      <c r="L1221" s="5">
        <v>23.678999999999998</v>
      </c>
      <c r="M1221" s="5">
        <v>2.1000000000000001E-2</v>
      </c>
      <c r="N1221" s="9" t="s">
        <v>11846</v>
      </c>
      <c r="O1221" s="9" t="s">
        <v>292</v>
      </c>
      <c r="P1221" s="5">
        <v>2</v>
      </c>
      <c r="Q1221" s="9"/>
      <c r="R1221" s="9" t="s">
        <v>6512</v>
      </c>
      <c r="S1221" s="9" t="str">
        <f>HYPERLINK("https://seichotoushi-hojo.jp/assets/pdf/koufu_3_4ji/outline_135.pdf","PDFを開く")</f>
        <v>PDFを開く</v>
      </c>
      <c r="T1221" s="9" t="s">
        <v>2562</v>
      </c>
      <c r="U1221" s="9" t="s">
        <v>2563</v>
      </c>
    </row>
    <row r="1222" spans="1:21" ht="39.950000000000003" customHeight="1">
      <c r="A1222" s="2" t="s">
        <v>2555</v>
      </c>
      <c r="B1222" s="2" t="s">
        <v>2430</v>
      </c>
      <c r="C1222" s="8" t="s">
        <v>2556</v>
      </c>
      <c r="D1222" s="8" t="s">
        <v>3184</v>
      </c>
      <c r="E1222" s="8" t="s">
        <v>166</v>
      </c>
      <c r="F1222" s="2">
        <v>2028</v>
      </c>
      <c r="G1222" s="2">
        <v>5067</v>
      </c>
      <c r="H1222" s="2">
        <v>2031</v>
      </c>
      <c r="I1222" s="2">
        <v>6223</v>
      </c>
      <c r="J1222" s="2" t="s">
        <v>447</v>
      </c>
      <c r="K1222" s="2">
        <v>7.1</v>
      </c>
      <c r="L1222" s="2">
        <v>7.0902000000000003</v>
      </c>
      <c r="M1222" s="2">
        <v>9.7999999999999997E-3</v>
      </c>
      <c r="N1222" s="8" t="s">
        <v>11846</v>
      </c>
      <c r="O1222" s="8" t="s">
        <v>292</v>
      </c>
      <c r="P1222" s="2">
        <v>2</v>
      </c>
      <c r="Q1222" s="8"/>
      <c r="R1222" s="8" t="s">
        <v>6515</v>
      </c>
      <c r="S1222" s="8" t="str">
        <f>HYPERLINK("https://seichotoushi-hojo.jp/assets/pdf/koufu_3_4ji/outline_135.pdf","PDFを開く")</f>
        <v>PDFを開く</v>
      </c>
      <c r="T1222" s="8" t="s">
        <v>2562</v>
      </c>
      <c r="U1222" s="8" t="s">
        <v>2563</v>
      </c>
    </row>
    <row r="1223" spans="1:21" ht="39.950000000000003" customHeight="1">
      <c r="A1223" s="5" t="s">
        <v>2555</v>
      </c>
      <c r="B1223" s="5" t="s">
        <v>2430</v>
      </c>
      <c r="C1223" s="9" t="s">
        <v>2556</v>
      </c>
      <c r="D1223" s="9" t="s">
        <v>3188</v>
      </c>
      <c r="E1223" s="9" t="s">
        <v>157</v>
      </c>
      <c r="F1223" s="5"/>
      <c r="G1223" s="5"/>
      <c r="H1223" s="5"/>
      <c r="I1223" s="5"/>
      <c r="J1223" s="5"/>
      <c r="K1223" s="5"/>
      <c r="L1223" s="5"/>
      <c r="M1223" s="5"/>
      <c r="N1223" s="9" t="s">
        <v>11850</v>
      </c>
      <c r="O1223" s="9"/>
      <c r="P1223" s="5"/>
      <c r="Q1223" s="9" t="s">
        <v>11851</v>
      </c>
      <c r="R1223" s="9"/>
      <c r="S1223" s="9" t="str">
        <f>HYPERLINK("https://seichotoushi-hojo.jp/assets/pdf/koufu_3_4ji/outline_135.pdf","PDFを開く")</f>
        <v>PDFを開く</v>
      </c>
      <c r="T1223" s="9" t="s">
        <v>2562</v>
      </c>
      <c r="U1223" s="9" t="s">
        <v>2563</v>
      </c>
    </row>
    <row r="1224" spans="1:21" ht="39.950000000000003" customHeight="1">
      <c r="A1224" s="2" t="s">
        <v>2555</v>
      </c>
      <c r="B1224" s="2" t="s">
        <v>2430</v>
      </c>
      <c r="C1224" s="8" t="s">
        <v>2556</v>
      </c>
      <c r="D1224" s="8" t="s">
        <v>3191</v>
      </c>
      <c r="E1224" s="8" t="s">
        <v>166</v>
      </c>
      <c r="F1224" s="2">
        <v>2028</v>
      </c>
      <c r="G1224" s="2">
        <v>27</v>
      </c>
      <c r="H1224" s="2">
        <v>2031</v>
      </c>
      <c r="I1224" s="2">
        <v>57</v>
      </c>
      <c r="J1224" s="2" t="s">
        <v>2513</v>
      </c>
      <c r="K1224" s="2">
        <v>28.2</v>
      </c>
      <c r="L1224" s="2"/>
      <c r="M1224" s="2"/>
      <c r="N1224" s="8" t="s">
        <v>11846</v>
      </c>
      <c r="O1224" s="8" t="s">
        <v>292</v>
      </c>
      <c r="P1224" s="2">
        <v>2</v>
      </c>
      <c r="Q1224" s="8"/>
      <c r="R1224" s="8" t="s">
        <v>6517</v>
      </c>
      <c r="S1224" s="8" t="str">
        <f>HYPERLINK("https://seichotoushi-hojo.jp/assets/pdf/koufu_3_4ji/outline_135.pdf","PDFを開く")</f>
        <v>PDFを開く</v>
      </c>
      <c r="T1224" s="8" t="s">
        <v>2562</v>
      </c>
      <c r="U1224" s="8" t="s">
        <v>2563</v>
      </c>
    </row>
    <row r="1225" spans="1:21" ht="39.950000000000003" customHeight="1">
      <c r="A1225" s="5" t="s">
        <v>2564</v>
      </c>
      <c r="B1225" s="5" t="s">
        <v>2430</v>
      </c>
      <c r="C1225" s="9" t="s">
        <v>2565</v>
      </c>
      <c r="D1225" s="9" t="s">
        <v>3176</v>
      </c>
      <c r="E1225" s="9" t="s">
        <v>90</v>
      </c>
      <c r="F1225" s="5"/>
      <c r="G1225" s="5">
        <v>9860</v>
      </c>
      <c r="H1225" s="5"/>
      <c r="I1225" s="5">
        <v>15912</v>
      </c>
      <c r="J1225" s="5" t="s">
        <v>447</v>
      </c>
      <c r="K1225" s="5">
        <v>17.3</v>
      </c>
      <c r="L1225" s="5">
        <v>17.2958</v>
      </c>
      <c r="M1225" s="5">
        <v>4.1999999999999997E-3</v>
      </c>
      <c r="N1225" s="9" t="s">
        <v>11853</v>
      </c>
      <c r="O1225" s="9"/>
      <c r="P1225" s="5">
        <v>2</v>
      </c>
      <c r="Q1225" s="9"/>
      <c r="R1225" s="9" t="s">
        <v>6519</v>
      </c>
      <c r="S1225" s="9" t="str">
        <f>HYPERLINK("https://seichotoushi-hojo.jp/assets/pdf/koufu_3_4ji/outline_136.pdf","PDFを開く")</f>
        <v>PDFを開く</v>
      </c>
      <c r="T1225" s="9" t="s">
        <v>2570</v>
      </c>
      <c r="U1225" s="9" t="s">
        <v>2571</v>
      </c>
    </row>
    <row r="1226" spans="1:21" ht="39.950000000000003" customHeight="1">
      <c r="A1226" s="2" t="s">
        <v>2564</v>
      </c>
      <c r="B1226" s="2" t="s">
        <v>2430</v>
      </c>
      <c r="C1226" s="8" t="s">
        <v>2565</v>
      </c>
      <c r="D1226" s="8" t="s">
        <v>3184</v>
      </c>
      <c r="E1226" s="8" t="s">
        <v>90</v>
      </c>
      <c r="F1226" s="2"/>
      <c r="G1226" s="2">
        <v>4828</v>
      </c>
      <c r="H1226" s="2"/>
      <c r="I1226" s="2">
        <v>5991</v>
      </c>
      <c r="J1226" s="2" t="s">
        <v>447</v>
      </c>
      <c r="K1226" s="2">
        <v>7.5</v>
      </c>
      <c r="L1226" s="2">
        <v>7.4592999999999998</v>
      </c>
      <c r="M1226" s="2">
        <v>4.07E-2</v>
      </c>
      <c r="N1226" s="8" t="s">
        <v>11853</v>
      </c>
      <c r="O1226" s="8"/>
      <c r="P1226" s="2">
        <v>2</v>
      </c>
      <c r="Q1226" s="8"/>
      <c r="R1226" s="8" t="s">
        <v>6522</v>
      </c>
      <c r="S1226" s="8" t="str">
        <f>HYPERLINK("https://seichotoushi-hojo.jp/assets/pdf/koufu_3_4ji/outline_136.pdf","PDFを開く")</f>
        <v>PDFを開く</v>
      </c>
      <c r="T1226" s="8" t="s">
        <v>2570</v>
      </c>
      <c r="U1226" s="8" t="s">
        <v>2571</v>
      </c>
    </row>
    <row r="1227" spans="1:21" ht="39.950000000000003" customHeight="1">
      <c r="A1227" s="5" t="s">
        <v>2564</v>
      </c>
      <c r="B1227" s="5" t="s">
        <v>2430</v>
      </c>
      <c r="C1227" s="9" t="s">
        <v>2565</v>
      </c>
      <c r="D1227" s="9" t="s">
        <v>3188</v>
      </c>
      <c r="E1227" s="9" t="s">
        <v>91</v>
      </c>
      <c r="F1227" s="5"/>
      <c r="G1227" s="5"/>
      <c r="H1227" s="5"/>
      <c r="I1227" s="5"/>
      <c r="J1227" s="5" t="s">
        <v>447</v>
      </c>
      <c r="K1227" s="5">
        <v>4.9000000000000004</v>
      </c>
      <c r="L1227" s="5"/>
      <c r="M1227" s="5"/>
      <c r="N1227" s="9" t="s">
        <v>11854</v>
      </c>
      <c r="O1227" s="9" t="s">
        <v>11848</v>
      </c>
      <c r="P1227" s="5">
        <v>2</v>
      </c>
      <c r="Q1227" s="9"/>
      <c r="R1227" s="9" t="s">
        <v>6527</v>
      </c>
      <c r="S1227" s="9" t="str">
        <f>HYPERLINK("https://seichotoushi-hojo.jp/assets/pdf/koufu_3_4ji/outline_136.pdf","PDFを開く")</f>
        <v>PDFを開く</v>
      </c>
      <c r="T1227" s="9" t="s">
        <v>2570</v>
      </c>
      <c r="U1227" s="9" t="s">
        <v>2571</v>
      </c>
    </row>
    <row r="1228" spans="1:21" ht="39.950000000000003" customHeight="1">
      <c r="A1228" s="2" t="s">
        <v>2564</v>
      </c>
      <c r="B1228" s="2" t="s">
        <v>2430</v>
      </c>
      <c r="C1228" s="8" t="s">
        <v>2565</v>
      </c>
      <c r="D1228" s="8" t="s">
        <v>3191</v>
      </c>
      <c r="E1228" s="8" t="s">
        <v>92</v>
      </c>
      <c r="F1228" s="2"/>
      <c r="G1228" s="2">
        <v>70</v>
      </c>
      <c r="H1228" s="2"/>
      <c r="I1228" s="2">
        <v>93</v>
      </c>
      <c r="J1228" s="2" t="s">
        <v>2513</v>
      </c>
      <c r="K1228" s="2"/>
      <c r="L1228" s="2"/>
      <c r="M1228" s="2"/>
      <c r="N1228" s="8" t="s">
        <v>11853</v>
      </c>
      <c r="O1228" s="8"/>
      <c r="P1228" s="2">
        <v>2</v>
      </c>
      <c r="Q1228" s="8"/>
      <c r="R1228" s="8" t="s">
        <v>6525</v>
      </c>
      <c r="S1228" s="8" t="str">
        <f>HYPERLINK("https://seichotoushi-hojo.jp/assets/pdf/koufu_3_4ji/outline_136.pdf","PDFを開く")</f>
        <v>PDFを開く</v>
      </c>
      <c r="T1228" s="8" t="s">
        <v>2570</v>
      </c>
      <c r="U1228" s="8" t="s">
        <v>2571</v>
      </c>
    </row>
    <row r="1229" spans="1:21" ht="39.950000000000003" customHeight="1">
      <c r="A1229" s="5" t="s">
        <v>2572</v>
      </c>
      <c r="B1229" s="5" t="s">
        <v>2430</v>
      </c>
      <c r="C1229" s="9" t="s">
        <v>2573</v>
      </c>
      <c r="D1229" s="9" t="s">
        <v>3176</v>
      </c>
      <c r="E1229" s="9" t="s">
        <v>90</v>
      </c>
      <c r="F1229" s="5">
        <v>2028</v>
      </c>
      <c r="G1229" s="5">
        <v>780</v>
      </c>
      <c r="H1229" s="5">
        <v>2031</v>
      </c>
      <c r="I1229" s="5">
        <v>1078</v>
      </c>
      <c r="J1229" s="5" t="s">
        <v>86</v>
      </c>
      <c r="K1229" s="5">
        <v>11.4</v>
      </c>
      <c r="L1229" s="5">
        <v>11.3888</v>
      </c>
      <c r="M1229" s="5">
        <v>1.12E-2</v>
      </c>
      <c r="N1229" s="9" t="s">
        <v>11846</v>
      </c>
      <c r="O1229" s="9" t="s">
        <v>11847</v>
      </c>
      <c r="P1229" s="5">
        <v>2</v>
      </c>
      <c r="Q1229" s="9"/>
      <c r="R1229" s="9" t="s">
        <v>6529</v>
      </c>
      <c r="S1229" s="9" t="str">
        <f>HYPERLINK("https://seichotoushi-hojo.jp/assets/pdf/koufu_3_4ji/outline_137.pdf","PDFを開く")</f>
        <v>PDFを開く</v>
      </c>
      <c r="T1229" s="9" t="s">
        <v>2578</v>
      </c>
      <c r="U1229" s="9" t="s">
        <v>2579</v>
      </c>
    </row>
    <row r="1230" spans="1:21" ht="39.950000000000003" customHeight="1">
      <c r="A1230" s="2" t="s">
        <v>2572</v>
      </c>
      <c r="B1230" s="2" t="s">
        <v>2430</v>
      </c>
      <c r="C1230" s="8" t="s">
        <v>2573</v>
      </c>
      <c r="D1230" s="8" t="s">
        <v>3184</v>
      </c>
      <c r="E1230" s="8" t="s">
        <v>166</v>
      </c>
      <c r="F1230" s="2">
        <v>2028</v>
      </c>
      <c r="G1230" s="2">
        <v>262</v>
      </c>
      <c r="H1230" s="2">
        <v>2031</v>
      </c>
      <c r="I1230" s="2">
        <v>321</v>
      </c>
      <c r="J1230" s="2" t="s">
        <v>86</v>
      </c>
      <c r="K1230" s="2">
        <v>7</v>
      </c>
      <c r="L1230" s="2">
        <v>7.0042999999999997</v>
      </c>
      <c r="M1230" s="2">
        <v>4.3E-3</v>
      </c>
      <c r="N1230" s="8" t="s">
        <v>11846</v>
      </c>
      <c r="O1230" s="8" t="s">
        <v>292</v>
      </c>
      <c r="P1230" s="2">
        <v>2</v>
      </c>
      <c r="Q1230" s="8"/>
      <c r="R1230" s="8" t="s">
        <v>6532</v>
      </c>
      <c r="S1230" s="8" t="str">
        <f>HYPERLINK("https://seichotoushi-hojo.jp/assets/pdf/koufu_3_4ji/outline_137.pdf","PDFを開く")</f>
        <v>PDFを開く</v>
      </c>
      <c r="T1230" s="8" t="s">
        <v>2578</v>
      </c>
      <c r="U1230" s="8" t="s">
        <v>2579</v>
      </c>
    </row>
    <row r="1231" spans="1:21" ht="39.950000000000003" customHeight="1">
      <c r="A1231" s="5" t="s">
        <v>2572</v>
      </c>
      <c r="B1231" s="5" t="s">
        <v>2430</v>
      </c>
      <c r="C1231" s="9" t="s">
        <v>2573</v>
      </c>
      <c r="D1231" s="9" t="s">
        <v>3188</v>
      </c>
      <c r="E1231" s="9" t="s">
        <v>166</v>
      </c>
      <c r="F1231" s="5">
        <v>2028</v>
      </c>
      <c r="G1231" s="5">
        <v>870</v>
      </c>
      <c r="H1231" s="5">
        <v>2031</v>
      </c>
      <c r="I1231" s="5">
        <v>1056</v>
      </c>
      <c r="J1231" s="5" t="s">
        <v>86</v>
      </c>
      <c r="K1231" s="5">
        <v>7</v>
      </c>
      <c r="L1231" s="5">
        <v>6.6715</v>
      </c>
      <c r="M1231" s="5">
        <v>0.32850000000000001</v>
      </c>
      <c r="N1231" s="9" t="s">
        <v>11846</v>
      </c>
      <c r="O1231" s="9" t="s">
        <v>292</v>
      </c>
      <c r="P1231" s="5">
        <v>2</v>
      </c>
      <c r="Q1231" s="9"/>
      <c r="R1231" s="9" t="s">
        <v>6534</v>
      </c>
      <c r="S1231" s="9" t="str">
        <f>HYPERLINK("https://seichotoushi-hojo.jp/assets/pdf/koufu_3_4ji/outline_137.pdf","PDFを開く")</f>
        <v>PDFを開く</v>
      </c>
      <c r="T1231" s="9" t="s">
        <v>2578</v>
      </c>
      <c r="U1231" s="9" t="s">
        <v>2579</v>
      </c>
    </row>
    <row r="1232" spans="1:21" ht="39.950000000000003" customHeight="1">
      <c r="A1232" s="2" t="s">
        <v>2572</v>
      </c>
      <c r="B1232" s="2" t="s">
        <v>2430</v>
      </c>
      <c r="C1232" s="8" t="s">
        <v>2573</v>
      </c>
      <c r="D1232" s="8" t="s">
        <v>3191</v>
      </c>
      <c r="E1232" s="8" t="s">
        <v>92</v>
      </c>
      <c r="F1232" s="2">
        <v>2028</v>
      </c>
      <c r="G1232" s="2">
        <v>57</v>
      </c>
      <c r="H1232" s="2">
        <v>2031</v>
      </c>
      <c r="I1232" s="2">
        <v>63</v>
      </c>
      <c r="J1232" s="2" t="s">
        <v>2513</v>
      </c>
      <c r="K1232" s="2"/>
      <c r="L1232" s="2"/>
      <c r="M1232" s="2"/>
      <c r="N1232" s="8" t="s">
        <v>11846</v>
      </c>
      <c r="O1232" s="8" t="s">
        <v>11847</v>
      </c>
      <c r="P1232" s="2">
        <v>2</v>
      </c>
      <c r="Q1232" s="8"/>
      <c r="R1232" s="8" t="s">
        <v>6531</v>
      </c>
      <c r="S1232" s="8" t="str">
        <f>HYPERLINK("https://seichotoushi-hojo.jp/assets/pdf/koufu_3_4ji/outline_137.pdf","PDFを開く")</f>
        <v>PDFを開く</v>
      </c>
      <c r="T1232" s="8" t="s">
        <v>2578</v>
      </c>
      <c r="U1232" s="8" t="s">
        <v>2579</v>
      </c>
    </row>
    <row r="1233" spans="1:21" ht="39.950000000000003" customHeight="1">
      <c r="A1233" s="5" t="s">
        <v>2580</v>
      </c>
      <c r="B1233" s="5" t="s">
        <v>2430</v>
      </c>
      <c r="C1233" s="9" t="s">
        <v>2581</v>
      </c>
      <c r="D1233" s="9" t="s">
        <v>3176</v>
      </c>
      <c r="E1233" s="9" t="s">
        <v>90</v>
      </c>
      <c r="F1233" s="5">
        <v>2028</v>
      </c>
      <c r="G1233" s="5">
        <v>6539</v>
      </c>
      <c r="H1233" s="5">
        <v>2031</v>
      </c>
      <c r="I1233" s="5">
        <v>21814</v>
      </c>
      <c r="J1233" s="5" t="s">
        <v>447</v>
      </c>
      <c r="K1233" s="5">
        <v>49.4</v>
      </c>
      <c r="L1233" s="5">
        <v>49.419699999999999</v>
      </c>
      <c r="M1233" s="5">
        <v>1.9699999999999999E-2</v>
      </c>
      <c r="N1233" s="9" t="s">
        <v>11846</v>
      </c>
      <c r="O1233" s="9" t="s">
        <v>11847</v>
      </c>
      <c r="P1233" s="5">
        <v>3</v>
      </c>
      <c r="Q1233" s="9"/>
      <c r="R1233" s="9" t="s">
        <v>6538</v>
      </c>
      <c r="S1233" s="9" t="str">
        <f>HYPERLINK("https://seichotoushi-hojo.jp/assets/pdf/koufu_3_4ji/outline_138.pdf","PDFを開く")</f>
        <v>PDFを開く</v>
      </c>
      <c r="T1233" s="9" t="s">
        <v>2585</v>
      </c>
      <c r="U1233" s="9" t="s">
        <v>2586</v>
      </c>
    </row>
    <row r="1234" spans="1:21" ht="39.950000000000003" customHeight="1">
      <c r="A1234" s="2" t="s">
        <v>2580</v>
      </c>
      <c r="B1234" s="2" t="s">
        <v>2430</v>
      </c>
      <c r="C1234" s="8" t="s">
        <v>2581</v>
      </c>
      <c r="D1234" s="8" t="s">
        <v>3184</v>
      </c>
      <c r="E1234" s="8" t="s">
        <v>90</v>
      </c>
      <c r="F1234" s="2">
        <v>2028</v>
      </c>
      <c r="G1234" s="2">
        <v>4682</v>
      </c>
      <c r="H1234" s="2">
        <v>2031</v>
      </c>
      <c r="I1234" s="2">
        <v>5735</v>
      </c>
      <c r="J1234" s="2" t="s">
        <v>447</v>
      </c>
      <c r="K1234" s="2">
        <v>7</v>
      </c>
      <c r="L1234" s="2">
        <v>6.9958999999999998</v>
      </c>
      <c r="M1234" s="2">
        <v>4.1000000000000003E-3</v>
      </c>
      <c r="N1234" s="8" t="s">
        <v>11846</v>
      </c>
      <c r="O1234" s="8" t="s">
        <v>11847</v>
      </c>
      <c r="P1234" s="2">
        <v>3</v>
      </c>
      <c r="Q1234" s="8"/>
      <c r="R1234" s="8" t="s">
        <v>6542</v>
      </c>
      <c r="S1234" s="8" t="str">
        <f>HYPERLINK("https://seichotoushi-hojo.jp/assets/pdf/koufu_3_4ji/outline_138.pdf","PDFを開く")</f>
        <v>PDFを開く</v>
      </c>
      <c r="T1234" s="8" t="s">
        <v>2585</v>
      </c>
      <c r="U1234" s="8" t="s">
        <v>2586</v>
      </c>
    </row>
    <row r="1235" spans="1:21" ht="39.950000000000003" customHeight="1">
      <c r="A1235" s="5" t="s">
        <v>2580</v>
      </c>
      <c r="B1235" s="5" t="s">
        <v>2430</v>
      </c>
      <c r="C1235" s="9" t="s">
        <v>2581</v>
      </c>
      <c r="D1235" s="9" t="s">
        <v>3188</v>
      </c>
      <c r="E1235" s="9" t="s">
        <v>90</v>
      </c>
      <c r="F1235" s="5">
        <v>2028</v>
      </c>
      <c r="G1235" s="5">
        <v>17310</v>
      </c>
      <c r="H1235" s="5">
        <v>2031</v>
      </c>
      <c r="I1235" s="5">
        <v>20211</v>
      </c>
      <c r="J1235" s="5" t="s">
        <v>447</v>
      </c>
      <c r="K1235" s="5">
        <v>5.3</v>
      </c>
      <c r="L1235" s="5">
        <v>5.3005000000000004</v>
      </c>
      <c r="M1235" s="5">
        <v>5.0000000000000001E-4</v>
      </c>
      <c r="N1235" s="9" t="s">
        <v>11846</v>
      </c>
      <c r="O1235" s="9" t="s">
        <v>11847</v>
      </c>
      <c r="P1235" s="5">
        <v>3</v>
      </c>
      <c r="Q1235" s="9"/>
      <c r="R1235" s="9" t="s">
        <v>6545</v>
      </c>
      <c r="S1235" s="9" t="str">
        <f>HYPERLINK("https://seichotoushi-hojo.jp/assets/pdf/koufu_3_4ji/outline_138.pdf","PDFを開く")</f>
        <v>PDFを開く</v>
      </c>
      <c r="T1235" s="9" t="s">
        <v>2585</v>
      </c>
      <c r="U1235" s="9" t="s">
        <v>2586</v>
      </c>
    </row>
    <row r="1236" spans="1:21" ht="39.950000000000003" customHeight="1">
      <c r="A1236" s="2" t="s">
        <v>2580</v>
      </c>
      <c r="B1236" s="2" t="s">
        <v>2430</v>
      </c>
      <c r="C1236" s="8" t="s">
        <v>2581</v>
      </c>
      <c r="D1236" s="8" t="s">
        <v>3191</v>
      </c>
      <c r="E1236" s="8" t="s">
        <v>92</v>
      </c>
      <c r="F1236" s="2">
        <v>2028</v>
      </c>
      <c r="G1236" s="2">
        <v>270</v>
      </c>
      <c r="H1236" s="2">
        <v>2031</v>
      </c>
      <c r="I1236" s="2">
        <v>294</v>
      </c>
      <c r="J1236" s="2" t="s">
        <v>2513</v>
      </c>
      <c r="K1236" s="2"/>
      <c r="L1236" s="2"/>
      <c r="M1236" s="2"/>
      <c r="N1236" s="8" t="s">
        <v>11846</v>
      </c>
      <c r="O1236" s="8" t="s">
        <v>11847</v>
      </c>
      <c r="P1236" s="2">
        <v>3</v>
      </c>
      <c r="Q1236" s="8"/>
      <c r="R1236" s="8" t="s">
        <v>6547</v>
      </c>
      <c r="S1236" s="8" t="str">
        <f>HYPERLINK("https://seichotoushi-hojo.jp/assets/pdf/koufu_3_4ji/outline_138.pdf","PDFを開く")</f>
        <v>PDFを開く</v>
      </c>
      <c r="T1236" s="8" t="s">
        <v>2585</v>
      </c>
      <c r="U1236" s="8" t="s">
        <v>2586</v>
      </c>
    </row>
    <row r="1237" spans="1:21" ht="39.950000000000003" customHeight="1">
      <c r="A1237" s="5" t="s">
        <v>2587</v>
      </c>
      <c r="B1237" s="5" t="s">
        <v>2430</v>
      </c>
      <c r="C1237" s="9" t="s">
        <v>2588</v>
      </c>
      <c r="D1237" s="9" t="s">
        <v>3176</v>
      </c>
      <c r="E1237" s="9" t="s">
        <v>90</v>
      </c>
      <c r="F1237" s="5"/>
      <c r="G1237" s="5">
        <v>6647</v>
      </c>
      <c r="H1237" s="5"/>
      <c r="I1237" s="5">
        <v>15637</v>
      </c>
      <c r="J1237" s="5" t="s">
        <v>447</v>
      </c>
      <c r="K1237" s="5">
        <v>33</v>
      </c>
      <c r="L1237" s="5">
        <v>32.997199999999999</v>
      </c>
      <c r="M1237" s="5">
        <v>2.8E-3</v>
      </c>
      <c r="N1237" s="9" t="s">
        <v>11853</v>
      </c>
      <c r="O1237" s="9"/>
      <c r="P1237" s="5">
        <v>2</v>
      </c>
      <c r="Q1237" s="9"/>
      <c r="R1237" s="9" t="s">
        <v>6549</v>
      </c>
      <c r="S1237" s="9" t="str">
        <f>HYPERLINK("https://seichotoushi-hojo.jp/assets/pdf/koufu_3_4ji/outline_139.pdf","PDFを開く")</f>
        <v>PDFを開く</v>
      </c>
      <c r="T1237" s="9" t="s">
        <v>2593</v>
      </c>
      <c r="U1237" s="9" t="s">
        <v>2594</v>
      </c>
    </row>
    <row r="1238" spans="1:21" ht="39.950000000000003" customHeight="1">
      <c r="A1238" s="2" t="s">
        <v>2587</v>
      </c>
      <c r="B1238" s="2" t="s">
        <v>2430</v>
      </c>
      <c r="C1238" s="8" t="s">
        <v>2588</v>
      </c>
      <c r="D1238" s="8" t="s">
        <v>3184</v>
      </c>
      <c r="E1238" s="8" t="s">
        <v>90</v>
      </c>
      <c r="F1238" s="2"/>
      <c r="G1238" s="2">
        <v>3874</v>
      </c>
      <c r="H1238" s="2"/>
      <c r="I1238" s="2">
        <v>4746</v>
      </c>
      <c r="J1238" s="2" t="s">
        <v>447</v>
      </c>
      <c r="K1238" s="2">
        <v>7</v>
      </c>
      <c r="L1238" s="2">
        <v>7.0014000000000003</v>
      </c>
      <c r="M1238" s="2">
        <v>1.4E-3</v>
      </c>
      <c r="N1238" s="8" t="s">
        <v>11853</v>
      </c>
      <c r="O1238" s="8"/>
      <c r="P1238" s="2">
        <v>2</v>
      </c>
      <c r="Q1238" s="8"/>
      <c r="R1238" s="8" t="s">
        <v>6552</v>
      </c>
      <c r="S1238" s="8" t="str">
        <f>HYPERLINK("https://seichotoushi-hojo.jp/assets/pdf/koufu_3_4ji/outline_139.pdf","PDFを開く")</f>
        <v>PDFを開く</v>
      </c>
      <c r="T1238" s="8" t="s">
        <v>2593</v>
      </c>
      <c r="U1238" s="8" t="s">
        <v>2594</v>
      </c>
    </row>
    <row r="1239" spans="1:21" ht="39.950000000000003" customHeight="1">
      <c r="A1239" s="5" t="s">
        <v>2587</v>
      </c>
      <c r="B1239" s="5" t="s">
        <v>2430</v>
      </c>
      <c r="C1239" s="9" t="s">
        <v>2588</v>
      </c>
      <c r="D1239" s="9" t="s">
        <v>3188</v>
      </c>
      <c r="E1239" s="9" t="s">
        <v>91</v>
      </c>
      <c r="F1239" s="5"/>
      <c r="G1239" s="5"/>
      <c r="H1239" s="5"/>
      <c r="I1239" s="5"/>
      <c r="J1239" s="5" t="s">
        <v>447</v>
      </c>
      <c r="K1239" s="5">
        <v>7</v>
      </c>
      <c r="L1239" s="5"/>
      <c r="M1239" s="5"/>
      <c r="N1239" s="9" t="s">
        <v>11854</v>
      </c>
      <c r="O1239" s="9" t="s">
        <v>11848</v>
      </c>
      <c r="P1239" s="5">
        <v>2</v>
      </c>
      <c r="Q1239" s="9"/>
      <c r="R1239" s="9" t="s">
        <v>6372</v>
      </c>
      <c r="S1239" s="9" t="str">
        <f>HYPERLINK("https://seichotoushi-hojo.jp/assets/pdf/koufu_3_4ji/outline_139.pdf","PDFを開く")</f>
        <v>PDFを開く</v>
      </c>
      <c r="T1239" s="9" t="s">
        <v>2593</v>
      </c>
      <c r="U1239" s="9" t="s">
        <v>2594</v>
      </c>
    </row>
    <row r="1240" spans="1:21" ht="39.950000000000003" customHeight="1">
      <c r="A1240" s="2" t="s">
        <v>2587</v>
      </c>
      <c r="B1240" s="2" t="s">
        <v>2430</v>
      </c>
      <c r="C1240" s="8" t="s">
        <v>2588</v>
      </c>
      <c r="D1240" s="8" t="s">
        <v>3191</v>
      </c>
      <c r="E1240" s="8" t="s">
        <v>92</v>
      </c>
      <c r="F1240" s="2"/>
      <c r="G1240" s="2">
        <v>252</v>
      </c>
      <c r="H1240" s="2"/>
      <c r="I1240" s="2">
        <v>274</v>
      </c>
      <c r="J1240" s="2" t="s">
        <v>2513</v>
      </c>
      <c r="K1240" s="2"/>
      <c r="L1240" s="2"/>
      <c r="M1240" s="2"/>
      <c r="N1240" s="8" t="s">
        <v>11853</v>
      </c>
      <c r="O1240" s="8"/>
      <c r="P1240" s="2">
        <v>2</v>
      </c>
      <c r="Q1240" s="8"/>
      <c r="R1240" s="8" t="s">
        <v>6555</v>
      </c>
      <c r="S1240" s="8" t="str">
        <f>HYPERLINK("https://seichotoushi-hojo.jp/assets/pdf/koufu_3_4ji/outline_139.pdf","PDFを開く")</f>
        <v>PDFを開く</v>
      </c>
      <c r="T1240" s="8" t="s">
        <v>2593</v>
      </c>
      <c r="U1240" s="8" t="s">
        <v>2594</v>
      </c>
    </row>
    <row r="1241" spans="1:21" ht="39.950000000000003" customHeight="1">
      <c r="A1241" s="5" t="s">
        <v>2595</v>
      </c>
      <c r="B1241" s="5" t="s">
        <v>2430</v>
      </c>
      <c r="C1241" s="9" t="s">
        <v>2596</v>
      </c>
      <c r="D1241" s="9" t="s">
        <v>3176</v>
      </c>
      <c r="E1241" s="9" t="s">
        <v>90</v>
      </c>
      <c r="F1241" s="5"/>
      <c r="G1241" s="5">
        <v>12519</v>
      </c>
      <c r="H1241" s="5"/>
      <c r="I1241" s="5">
        <v>28886</v>
      </c>
      <c r="J1241" s="5" t="s">
        <v>447</v>
      </c>
      <c r="K1241" s="5">
        <v>32.1</v>
      </c>
      <c r="L1241" s="5">
        <v>32.141500000000001</v>
      </c>
      <c r="M1241" s="5">
        <v>4.1500000000000002E-2</v>
      </c>
      <c r="N1241" s="9" t="s">
        <v>11853</v>
      </c>
      <c r="O1241" s="9"/>
      <c r="P1241" s="5">
        <v>2</v>
      </c>
      <c r="Q1241" s="9"/>
      <c r="R1241" s="9" t="s">
        <v>6559</v>
      </c>
      <c r="S1241" s="9" t="str">
        <f>HYPERLINK("https://seichotoushi-hojo.jp/assets/pdf/koufu_3_4ji/outline_141.pdf","PDFを開く")</f>
        <v>PDFを開く</v>
      </c>
      <c r="T1241" s="9" t="s">
        <v>2603</v>
      </c>
      <c r="U1241" s="9" t="s">
        <v>2604</v>
      </c>
    </row>
    <row r="1242" spans="1:21" ht="39.950000000000003" customHeight="1">
      <c r="A1242" s="2" t="s">
        <v>2595</v>
      </c>
      <c r="B1242" s="2" t="s">
        <v>2430</v>
      </c>
      <c r="C1242" s="8" t="s">
        <v>2596</v>
      </c>
      <c r="D1242" s="8" t="s">
        <v>3184</v>
      </c>
      <c r="E1242" s="8" t="s">
        <v>90</v>
      </c>
      <c r="F1242" s="2"/>
      <c r="G1242" s="2">
        <v>5651</v>
      </c>
      <c r="H1242" s="2"/>
      <c r="I1242" s="2">
        <v>7001</v>
      </c>
      <c r="J1242" s="2" t="s">
        <v>447</v>
      </c>
      <c r="K1242" s="2">
        <v>7.4</v>
      </c>
      <c r="L1242" s="2">
        <v>7.4017999999999997</v>
      </c>
      <c r="M1242" s="2">
        <v>1.8E-3</v>
      </c>
      <c r="N1242" s="8" t="s">
        <v>11853</v>
      </c>
      <c r="O1242" s="8"/>
      <c r="P1242" s="2">
        <v>2</v>
      </c>
      <c r="Q1242" s="8"/>
      <c r="R1242" s="8" t="s">
        <v>6562</v>
      </c>
      <c r="S1242" s="8" t="str">
        <f>HYPERLINK("https://seichotoushi-hojo.jp/assets/pdf/koufu_3_4ji/outline_141.pdf","PDFを開く")</f>
        <v>PDFを開く</v>
      </c>
      <c r="T1242" s="8" t="s">
        <v>2603</v>
      </c>
      <c r="U1242" s="8" t="s">
        <v>2604</v>
      </c>
    </row>
    <row r="1243" spans="1:21" ht="39.950000000000003" customHeight="1">
      <c r="A1243" s="5" t="s">
        <v>2595</v>
      </c>
      <c r="B1243" s="5" t="s">
        <v>2430</v>
      </c>
      <c r="C1243" s="9" t="s">
        <v>2596</v>
      </c>
      <c r="D1243" s="9" t="s">
        <v>3188</v>
      </c>
      <c r="E1243" s="9" t="s">
        <v>91</v>
      </c>
      <c r="F1243" s="5"/>
      <c r="G1243" s="5"/>
      <c r="H1243" s="5"/>
      <c r="I1243" s="5"/>
      <c r="J1243" s="5" t="s">
        <v>447</v>
      </c>
      <c r="K1243" s="5">
        <v>6.6</v>
      </c>
      <c r="L1243" s="5"/>
      <c r="M1243" s="5"/>
      <c r="N1243" s="9" t="s">
        <v>11854</v>
      </c>
      <c r="O1243" s="9" t="s">
        <v>11848</v>
      </c>
      <c r="P1243" s="5">
        <v>2</v>
      </c>
      <c r="Q1243" s="9"/>
      <c r="R1243" s="9" t="s">
        <v>6425</v>
      </c>
      <c r="S1243" s="9" t="str">
        <f>HYPERLINK("https://seichotoushi-hojo.jp/assets/pdf/koufu_3_4ji/outline_141.pdf","PDFを開く")</f>
        <v>PDFを開く</v>
      </c>
      <c r="T1243" s="9" t="s">
        <v>2603</v>
      </c>
      <c r="U1243" s="9" t="s">
        <v>2604</v>
      </c>
    </row>
    <row r="1244" spans="1:21" ht="39.950000000000003" customHeight="1">
      <c r="A1244" s="2" t="s">
        <v>2595</v>
      </c>
      <c r="B1244" s="2" t="s">
        <v>2430</v>
      </c>
      <c r="C1244" s="8" t="s">
        <v>2596</v>
      </c>
      <c r="D1244" s="8" t="s">
        <v>3191</v>
      </c>
      <c r="E1244" s="8" t="s">
        <v>92</v>
      </c>
      <c r="F1244" s="2"/>
      <c r="G1244" s="2">
        <v>209</v>
      </c>
      <c r="H1244" s="2"/>
      <c r="I1244" s="2">
        <v>213</v>
      </c>
      <c r="J1244" s="2" t="s">
        <v>2513</v>
      </c>
      <c r="K1244" s="2"/>
      <c r="L1244" s="2"/>
      <c r="M1244" s="2"/>
      <c r="N1244" s="8" t="s">
        <v>11853</v>
      </c>
      <c r="O1244" s="8"/>
      <c r="P1244" s="2">
        <v>2</v>
      </c>
      <c r="Q1244" s="8"/>
      <c r="R1244" s="8" t="s">
        <v>6565</v>
      </c>
      <c r="S1244" s="8" t="str">
        <f>HYPERLINK("https://seichotoushi-hojo.jp/assets/pdf/koufu_3_4ji/outline_141.pdf","PDFを開く")</f>
        <v>PDFを開く</v>
      </c>
      <c r="T1244" s="8" t="s">
        <v>2603</v>
      </c>
      <c r="U1244" s="8" t="s">
        <v>2604</v>
      </c>
    </row>
    <row r="1245" spans="1:21" ht="39.950000000000003" customHeight="1">
      <c r="A1245" s="5" t="s">
        <v>2605</v>
      </c>
      <c r="B1245" s="5" t="s">
        <v>2430</v>
      </c>
      <c r="C1245" s="9" t="s">
        <v>2606</v>
      </c>
      <c r="D1245" s="9" t="s">
        <v>3176</v>
      </c>
      <c r="E1245" s="9" t="s">
        <v>90</v>
      </c>
      <c r="F1245" s="5">
        <v>2026</v>
      </c>
      <c r="G1245" s="5">
        <v>9669</v>
      </c>
      <c r="H1245" s="5">
        <v>2029</v>
      </c>
      <c r="I1245" s="5">
        <v>17259</v>
      </c>
      <c r="J1245" s="5" t="s">
        <v>447</v>
      </c>
      <c r="K1245" s="5">
        <v>21.3</v>
      </c>
      <c r="L1245" s="5">
        <v>21.3048</v>
      </c>
      <c r="M1245" s="5">
        <v>4.7999999999999996E-3</v>
      </c>
      <c r="N1245" s="9" t="s">
        <v>11846</v>
      </c>
      <c r="O1245" s="9" t="s">
        <v>11847</v>
      </c>
      <c r="P1245" s="5">
        <v>2</v>
      </c>
      <c r="Q1245" s="9"/>
      <c r="R1245" s="9" t="s">
        <v>6577</v>
      </c>
      <c r="S1245" s="9" t="str">
        <f>HYPERLINK("https://seichotoushi-hojo.jp/assets/pdf/koufu_3_4ji/outline_143.pdf","PDFを開く")</f>
        <v>PDFを開く</v>
      </c>
      <c r="T1245" s="9" t="s">
        <v>2610</v>
      </c>
      <c r="U1245" s="9" t="s">
        <v>2611</v>
      </c>
    </row>
    <row r="1246" spans="1:21" ht="39.950000000000003" customHeight="1">
      <c r="A1246" s="2" t="s">
        <v>2605</v>
      </c>
      <c r="B1246" s="2" t="s">
        <v>2430</v>
      </c>
      <c r="C1246" s="8" t="s">
        <v>2606</v>
      </c>
      <c r="D1246" s="8" t="s">
        <v>3184</v>
      </c>
      <c r="E1246" s="8" t="s">
        <v>90</v>
      </c>
      <c r="F1246" s="2">
        <v>2026</v>
      </c>
      <c r="G1246" s="2">
        <v>2329</v>
      </c>
      <c r="H1246" s="2">
        <v>2029</v>
      </c>
      <c r="I1246" s="2">
        <v>2837</v>
      </c>
      <c r="J1246" s="2" t="s">
        <v>447</v>
      </c>
      <c r="K1246" s="2">
        <v>6.8</v>
      </c>
      <c r="L1246" s="2">
        <v>6.798</v>
      </c>
      <c r="M1246" s="2">
        <v>2E-3</v>
      </c>
      <c r="N1246" s="8" t="s">
        <v>11846</v>
      </c>
      <c r="O1246" s="8" t="s">
        <v>11847</v>
      </c>
      <c r="P1246" s="2">
        <v>2</v>
      </c>
      <c r="Q1246" s="8"/>
      <c r="R1246" s="8" t="s">
        <v>6581</v>
      </c>
      <c r="S1246" s="8" t="str">
        <f>HYPERLINK("https://seichotoushi-hojo.jp/assets/pdf/koufu_3_4ji/outline_143.pdf","PDFを開く")</f>
        <v>PDFを開く</v>
      </c>
      <c r="T1246" s="8" t="s">
        <v>2610</v>
      </c>
      <c r="U1246" s="8" t="s">
        <v>2611</v>
      </c>
    </row>
    <row r="1247" spans="1:21" ht="39.950000000000003" customHeight="1">
      <c r="A1247" s="5" t="s">
        <v>2605</v>
      </c>
      <c r="B1247" s="5" t="s">
        <v>2430</v>
      </c>
      <c r="C1247" s="9" t="s">
        <v>2606</v>
      </c>
      <c r="D1247" s="9" t="s">
        <v>3188</v>
      </c>
      <c r="E1247" s="9" t="s">
        <v>91</v>
      </c>
      <c r="F1247" s="5">
        <v>2026</v>
      </c>
      <c r="G1247" s="5"/>
      <c r="H1247" s="5">
        <v>2029</v>
      </c>
      <c r="I1247" s="5"/>
      <c r="J1247" s="5" t="s">
        <v>447</v>
      </c>
      <c r="K1247" s="5">
        <v>6.8</v>
      </c>
      <c r="L1247" s="5"/>
      <c r="M1247" s="5"/>
      <c r="N1247" s="9" t="s">
        <v>11846</v>
      </c>
      <c r="O1247" s="9" t="s">
        <v>11848</v>
      </c>
      <c r="P1247" s="5">
        <v>2</v>
      </c>
      <c r="Q1247" s="9"/>
      <c r="R1247" s="9" t="s">
        <v>6586</v>
      </c>
      <c r="S1247" s="9" t="str">
        <f>HYPERLINK("https://seichotoushi-hojo.jp/assets/pdf/koufu_3_4ji/outline_143.pdf","PDFを開く")</f>
        <v>PDFを開く</v>
      </c>
      <c r="T1247" s="9" t="s">
        <v>2610</v>
      </c>
      <c r="U1247" s="9" t="s">
        <v>2611</v>
      </c>
    </row>
    <row r="1248" spans="1:21" ht="39.950000000000003" customHeight="1">
      <c r="A1248" s="2" t="s">
        <v>2605</v>
      </c>
      <c r="B1248" s="2" t="s">
        <v>2430</v>
      </c>
      <c r="C1248" s="8" t="s">
        <v>2606</v>
      </c>
      <c r="D1248" s="8" t="s">
        <v>3191</v>
      </c>
      <c r="E1248" s="8" t="s">
        <v>92</v>
      </c>
      <c r="F1248" s="2">
        <v>2026</v>
      </c>
      <c r="G1248" s="2">
        <v>175</v>
      </c>
      <c r="H1248" s="2">
        <v>2029</v>
      </c>
      <c r="I1248" s="2">
        <v>192</v>
      </c>
      <c r="J1248" s="2" t="s">
        <v>2513</v>
      </c>
      <c r="K1248" s="2"/>
      <c r="L1248" s="2"/>
      <c r="M1248" s="2"/>
      <c r="N1248" s="8" t="s">
        <v>11846</v>
      </c>
      <c r="O1248" s="8" t="s">
        <v>11847</v>
      </c>
      <c r="P1248" s="2">
        <v>2</v>
      </c>
      <c r="Q1248" s="8"/>
      <c r="R1248" s="8" t="s">
        <v>6584</v>
      </c>
      <c r="S1248" s="8" t="str">
        <f>HYPERLINK("https://seichotoushi-hojo.jp/assets/pdf/koufu_3_4ji/outline_143.pdf","PDFを開く")</f>
        <v>PDFを開く</v>
      </c>
      <c r="T1248" s="8" t="s">
        <v>2610</v>
      </c>
      <c r="U1248" s="8" t="s">
        <v>2611</v>
      </c>
    </row>
    <row r="1249" spans="1:21" ht="39.950000000000003" customHeight="1">
      <c r="A1249" s="5" t="s">
        <v>2612</v>
      </c>
      <c r="B1249" s="5" t="s">
        <v>2430</v>
      </c>
      <c r="C1249" s="9" t="s">
        <v>2613</v>
      </c>
      <c r="D1249" s="9" t="s">
        <v>3176</v>
      </c>
      <c r="E1249" s="9" t="s">
        <v>90</v>
      </c>
      <c r="F1249" s="5"/>
      <c r="G1249" s="5">
        <v>10990</v>
      </c>
      <c r="H1249" s="5"/>
      <c r="I1249" s="5">
        <v>22268</v>
      </c>
      <c r="J1249" s="5" t="s">
        <v>447</v>
      </c>
      <c r="K1249" s="5">
        <v>26.5</v>
      </c>
      <c r="L1249" s="5">
        <v>26.54</v>
      </c>
      <c r="M1249" s="5">
        <v>0.04</v>
      </c>
      <c r="N1249" s="9" t="s">
        <v>11853</v>
      </c>
      <c r="O1249" s="9"/>
      <c r="P1249" s="5">
        <v>2</v>
      </c>
      <c r="Q1249" s="9"/>
      <c r="R1249" s="9" t="s">
        <v>6590</v>
      </c>
      <c r="S1249" s="9" t="str">
        <f>HYPERLINK("https://seichotoushi-hojo.jp/assets/pdf/koufu_3_4ji/outline_144.pdf","PDFを開く")</f>
        <v>PDFを開く</v>
      </c>
      <c r="T1249" s="9" t="s">
        <v>2618</v>
      </c>
      <c r="U1249" s="9" t="s">
        <v>2619</v>
      </c>
    </row>
    <row r="1250" spans="1:21" ht="39.950000000000003" customHeight="1">
      <c r="A1250" s="2" t="s">
        <v>2612</v>
      </c>
      <c r="B1250" s="2" t="s">
        <v>2430</v>
      </c>
      <c r="C1250" s="8" t="s">
        <v>2613</v>
      </c>
      <c r="D1250" s="8" t="s">
        <v>3184</v>
      </c>
      <c r="E1250" s="8" t="s">
        <v>90</v>
      </c>
      <c r="F1250" s="2"/>
      <c r="G1250" s="2">
        <v>4743</v>
      </c>
      <c r="H1250" s="2"/>
      <c r="I1250" s="2">
        <v>5810</v>
      </c>
      <c r="J1250" s="2" t="s">
        <v>447</v>
      </c>
      <c r="K1250" s="2">
        <v>7</v>
      </c>
      <c r="L1250" s="2">
        <v>6.9977</v>
      </c>
      <c r="M1250" s="2">
        <v>2.3E-3</v>
      </c>
      <c r="N1250" s="8" t="s">
        <v>11853</v>
      </c>
      <c r="O1250" s="8"/>
      <c r="P1250" s="2">
        <v>2</v>
      </c>
      <c r="Q1250" s="8"/>
      <c r="R1250" s="8" t="s">
        <v>6593</v>
      </c>
      <c r="S1250" s="8" t="str">
        <f>HYPERLINK("https://seichotoushi-hojo.jp/assets/pdf/koufu_3_4ji/outline_144.pdf","PDFを開く")</f>
        <v>PDFを開く</v>
      </c>
      <c r="T1250" s="8" t="s">
        <v>2618</v>
      </c>
      <c r="U1250" s="8" t="s">
        <v>2619</v>
      </c>
    </row>
    <row r="1251" spans="1:21" ht="39.950000000000003" customHeight="1">
      <c r="A1251" s="5" t="s">
        <v>2612</v>
      </c>
      <c r="B1251" s="5" t="s">
        <v>2430</v>
      </c>
      <c r="C1251" s="9" t="s">
        <v>2613</v>
      </c>
      <c r="D1251" s="9" t="s">
        <v>3188</v>
      </c>
      <c r="E1251" s="9" t="s">
        <v>91</v>
      </c>
      <c r="F1251" s="5"/>
      <c r="G1251" s="5"/>
      <c r="H1251" s="5"/>
      <c r="I1251" s="5"/>
      <c r="J1251" s="5" t="s">
        <v>447</v>
      </c>
      <c r="K1251" s="5">
        <v>7</v>
      </c>
      <c r="L1251" s="5"/>
      <c r="M1251" s="5"/>
      <c r="N1251" s="9" t="s">
        <v>11854</v>
      </c>
      <c r="O1251" s="9" t="s">
        <v>11848</v>
      </c>
      <c r="P1251" s="5">
        <v>2</v>
      </c>
      <c r="Q1251" s="9"/>
      <c r="R1251" s="9" t="s">
        <v>6372</v>
      </c>
      <c r="S1251" s="9" t="str">
        <f>HYPERLINK("https://seichotoushi-hojo.jp/assets/pdf/koufu_3_4ji/outline_144.pdf","PDFを開く")</f>
        <v>PDFを開く</v>
      </c>
      <c r="T1251" s="9" t="s">
        <v>2618</v>
      </c>
      <c r="U1251" s="9" t="s">
        <v>2619</v>
      </c>
    </row>
    <row r="1252" spans="1:21" ht="39.950000000000003" customHeight="1">
      <c r="A1252" s="2" t="s">
        <v>2612</v>
      </c>
      <c r="B1252" s="2" t="s">
        <v>2430</v>
      </c>
      <c r="C1252" s="8" t="s">
        <v>2613</v>
      </c>
      <c r="D1252" s="8" t="s">
        <v>3191</v>
      </c>
      <c r="E1252" s="8" t="s">
        <v>92</v>
      </c>
      <c r="F1252" s="2"/>
      <c r="G1252" s="2">
        <v>123</v>
      </c>
      <c r="H1252" s="2"/>
      <c r="I1252" s="2">
        <v>168</v>
      </c>
      <c r="J1252" s="2" t="s">
        <v>2513</v>
      </c>
      <c r="K1252" s="2"/>
      <c r="L1252" s="2"/>
      <c r="M1252" s="2"/>
      <c r="N1252" s="8" t="s">
        <v>11853</v>
      </c>
      <c r="O1252" s="8"/>
      <c r="P1252" s="2">
        <v>2</v>
      </c>
      <c r="Q1252" s="8"/>
      <c r="R1252" s="8" t="s">
        <v>6595</v>
      </c>
      <c r="S1252" s="8" t="str">
        <f>HYPERLINK("https://seichotoushi-hojo.jp/assets/pdf/koufu_3_4ji/outline_144.pdf","PDFを開く")</f>
        <v>PDFを開く</v>
      </c>
      <c r="T1252" s="8" t="s">
        <v>2618</v>
      </c>
      <c r="U1252" s="8" t="s">
        <v>2619</v>
      </c>
    </row>
    <row r="1253" spans="1:21" ht="39.950000000000003" customHeight="1">
      <c r="A1253" s="5" t="s">
        <v>2620</v>
      </c>
      <c r="B1253" s="5" t="s">
        <v>2430</v>
      </c>
      <c r="C1253" s="9" t="s">
        <v>2621</v>
      </c>
      <c r="D1253" s="9" t="s">
        <v>3176</v>
      </c>
      <c r="E1253" s="9" t="s">
        <v>90</v>
      </c>
      <c r="F1253" s="5"/>
      <c r="G1253" s="5">
        <v>2872</v>
      </c>
      <c r="H1253" s="5"/>
      <c r="I1253" s="5">
        <v>5843</v>
      </c>
      <c r="J1253" s="5" t="s">
        <v>447</v>
      </c>
      <c r="K1253" s="5">
        <v>26.7</v>
      </c>
      <c r="L1253" s="5">
        <v>26.7118</v>
      </c>
      <c r="M1253" s="5">
        <v>1.18E-2</v>
      </c>
      <c r="N1253" s="9" t="s">
        <v>11853</v>
      </c>
      <c r="O1253" s="9"/>
      <c r="P1253" s="5">
        <v>2</v>
      </c>
      <c r="Q1253" s="9"/>
      <c r="R1253" s="9" t="s">
        <v>6599</v>
      </c>
      <c r="S1253" s="9" t="str">
        <f>HYPERLINK("https://seichotoushi-hojo.jp/assets/pdf/koufu_3_4ji/outline_145.pdf","PDFを開く")</f>
        <v>PDFを開く</v>
      </c>
      <c r="T1253" s="9" t="s">
        <v>2627</v>
      </c>
      <c r="U1253" s="9" t="s">
        <v>2628</v>
      </c>
    </row>
    <row r="1254" spans="1:21" ht="39.950000000000003" customHeight="1">
      <c r="A1254" s="2" t="s">
        <v>2620</v>
      </c>
      <c r="B1254" s="2" t="s">
        <v>2430</v>
      </c>
      <c r="C1254" s="8" t="s">
        <v>2621</v>
      </c>
      <c r="D1254" s="8" t="s">
        <v>3184</v>
      </c>
      <c r="E1254" s="8" t="s">
        <v>90</v>
      </c>
      <c r="F1254" s="2"/>
      <c r="G1254" s="2">
        <v>1723</v>
      </c>
      <c r="H1254" s="2"/>
      <c r="I1254" s="2">
        <v>2099</v>
      </c>
      <c r="J1254" s="2" t="s">
        <v>447</v>
      </c>
      <c r="K1254" s="2">
        <v>6.8</v>
      </c>
      <c r="L1254" s="2">
        <v>6.8010999999999999</v>
      </c>
      <c r="M1254" s="2">
        <v>1.1000000000000001E-3</v>
      </c>
      <c r="N1254" s="8" t="s">
        <v>11853</v>
      </c>
      <c r="O1254" s="8"/>
      <c r="P1254" s="2">
        <v>2</v>
      </c>
      <c r="Q1254" s="8"/>
      <c r="R1254" s="8" t="s">
        <v>6601</v>
      </c>
      <c r="S1254" s="8" t="str">
        <f>HYPERLINK("https://seichotoushi-hojo.jp/assets/pdf/koufu_3_4ji/outline_145.pdf","PDFを開く")</f>
        <v>PDFを開く</v>
      </c>
      <c r="T1254" s="8" t="s">
        <v>2627</v>
      </c>
      <c r="U1254" s="8" t="s">
        <v>2628</v>
      </c>
    </row>
    <row r="1255" spans="1:21" ht="39.950000000000003" customHeight="1">
      <c r="A1255" s="5" t="s">
        <v>2620</v>
      </c>
      <c r="B1255" s="5" t="s">
        <v>2430</v>
      </c>
      <c r="C1255" s="9" t="s">
        <v>2621</v>
      </c>
      <c r="D1255" s="9" t="s">
        <v>3188</v>
      </c>
      <c r="E1255" s="9" t="s">
        <v>90</v>
      </c>
      <c r="F1255" s="5"/>
      <c r="G1255" s="5">
        <v>7166</v>
      </c>
      <c r="H1255" s="5"/>
      <c r="I1255" s="5">
        <v>8415</v>
      </c>
      <c r="J1255" s="5" t="s">
        <v>447</v>
      </c>
      <c r="K1255" s="5">
        <v>5.5</v>
      </c>
      <c r="L1255" s="5">
        <v>5.5015999999999998</v>
      </c>
      <c r="M1255" s="5">
        <v>1.6000000000000001E-3</v>
      </c>
      <c r="N1255" s="9" t="s">
        <v>11853</v>
      </c>
      <c r="O1255" s="9"/>
      <c r="P1255" s="5">
        <v>2</v>
      </c>
      <c r="Q1255" s="9"/>
      <c r="R1255" s="9" t="s">
        <v>6604</v>
      </c>
      <c r="S1255" s="9" t="str">
        <f>HYPERLINK("https://seichotoushi-hojo.jp/assets/pdf/koufu_3_4ji/outline_145.pdf","PDFを開く")</f>
        <v>PDFを開く</v>
      </c>
      <c r="T1255" s="9" t="s">
        <v>2627</v>
      </c>
      <c r="U1255" s="9" t="s">
        <v>2628</v>
      </c>
    </row>
    <row r="1256" spans="1:21" ht="39.950000000000003" customHeight="1">
      <c r="A1256" s="2" t="s">
        <v>2620</v>
      </c>
      <c r="B1256" s="2" t="s">
        <v>2430</v>
      </c>
      <c r="C1256" s="8" t="s">
        <v>2621</v>
      </c>
      <c r="D1256" s="8" t="s">
        <v>3191</v>
      </c>
      <c r="E1256" s="8" t="s">
        <v>92</v>
      </c>
      <c r="F1256" s="2"/>
      <c r="G1256" s="2">
        <v>345</v>
      </c>
      <c r="H1256" s="2"/>
      <c r="I1256" s="2">
        <v>370</v>
      </c>
      <c r="J1256" s="2" t="s">
        <v>2513</v>
      </c>
      <c r="K1256" s="2"/>
      <c r="L1256" s="2"/>
      <c r="M1256" s="2"/>
      <c r="N1256" s="8" t="s">
        <v>11853</v>
      </c>
      <c r="O1256" s="8"/>
      <c r="P1256" s="2">
        <v>2</v>
      </c>
      <c r="Q1256" s="8"/>
      <c r="R1256" s="8" t="s">
        <v>6606</v>
      </c>
      <c r="S1256" s="8" t="str">
        <f>HYPERLINK("https://seichotoushi-hojo.jp/assets/pdf/koufu_3_4ji/outline_145.pdf","PDFを開く")</f>
        <v>PDFを開く</v>
      </c>
      <c r="T1256" s="8" t="s">
        <v>2627</v>
      </c>
      <c r="U1256" s="8" t="s">
        <v>2628</v>
      </c>
    </row>
    <row r="1257" spans="1:21" ht="39.950000000000003" customHeight="1">
      <c r="A1257" s="5" t="s">
        <v>2629</v>
      </c>
      <c r="B1257" s="5" t="s">
        <v>2430</v>
      </c>
      <c r="C1257" s="9" t="s">
        <v>2630</v>
      </c>
      <c r="D1257" s="9" t="s">
        <v>3176</v>
      </c>
      <c r="E1257" s="9" t="s">
        <v>90</v>
      </c>
      <c r="F1257" s="5"/>
      <c r="G1257" s="5">
        <v>16588</v>
      </c>
      <c r="H1257" s="5"/>
      <c r="I1257" s="5">
        <v>42499</v>
      </c>
      <c r="J1257" s="5" t="s">
        <v>447</v>
      </c>
      <c r="K1257" s="5">
        <v>36.799999999999997</v>
      </c>
      <c r="L1257" s="5">
        <v>36.834299999999999</v>
      </c>
      <c r="M1257" s="5">
        <v>3.4299999999999997E-2</v>
      </c>
      <c r="N1257" s="9" t="s">
        <v>11853</v>
      </c>
      <c r="O1257" s="9"/>
      <c r="P1257" s="5">
        <v>2</v>
      </c>
      <c r="Q1257" s="9"/>
      <c r="R1257" s="9" t="s">
        <v>6608</v>
      </c>
      <c r="S1257" s="9" t="str">
        <f>HYPERLINK("https://seichotoushi-hojo.jp/assets/pdf/koufu_3_4ji/outline_146.pdf","PDFを開く")</f>
        <v>PDFを開く</v>
      </c>
      <c r="T1257" s="9" t="s">
        <v>2634</v>
      </c>
      <c r="U1257" s="9" t="s">
        <v>2635</v>
      </c>
    </row>
    <row r="1258" spans="1:21" ht="39.950000000000003" customHeight="1">
      <c r="A1258" s="2" t="s">
        <v>2629</v>
      </c>
      <c r="B1258" s="2" t="s">
        <v>2430</v>
      </c>
      <c r="C1258" s="8" t="s">
        <v>2630</v>
      </c>
      <c r="D1258" s="8" t="s">
        <v>3184</v>
      </c>
      <c r="E1258" s="8" t="s">
        <v>90</v>
      </c>
      <c r="F1258" s="2"/>
      <c r="G1258" s="2">
        <v>5660</v>
      </c>
      <c r="H1258" s="2"/>
      <c r="I1258" s="2">
        <v>6992</v>
      </c>
      <c r="J1258" s="2" t="s">
        <v>447</v>
      </c>
      <c r="K1258" s="2">
        <v>7.3</v>
      </c>
      <c r="L1258" s="2">
        <v>7.2988</v>
      </c>
      <c r="M1258" s="2">
        <v>1.1999999999999999E-3</v>
      </c>
      <c r="N1258" s="8" t="s">
        <v>11853</v>
      </c>
      <c r="O1258" s="8"/>
      <c r="P1258" s="2">
        <v>2</v>
      </c>
      <c r="Q1258" s="8"/>
      <c r="R1258" s="8" t="s">
        <v>6611</v>
      </c>
      <c r="S1258" s="8" t="str">
        <f>HYPERLINK("https://seichotoushi-hojo.jp/assets/pdf/koufu_3_4ji/outline_146.pdf","PDFを開く")</f>
        <v>PDFを開く</v>
      </c>
      <c r="T1258" s="8" t="s">
        <v>2634</v>
      </c>
      <c r="U1258" s="8" t="s">
        <v>2635</v>
      </c>
    </row>
    <row r="1259" spans="1:21" ht="39.950000000000003" customHeight="1">
      <c r="A1259" s="5" t="s">
        <v>2629</v>
      </c>
      <c r="B1259" s="5" t="s">
        <v>2430</v>
      </c>
      <c r="C1259" s="9" t="s">
        <v>2630</v>
      </c>
      <c r="D1259" s="9" t="s">
        <v>3188</v>
      </c>
      <c r="E1259" s="9" t="s">
        <v>91</v>
      </c>
      <c r="F1259" s="5"/>
      <c r="G1259" s="5"/>
      <c r="H1259" s="5"/>
      <c r="I1259" s="5"/>
      <c r="J1259" s="5" t="s">
        <v>447</v>
      </c>
      <c r="K1259" s="5">
        <v>7.3</v>
      </c>
      <c r="L1259" s="5"/>
      <c r="M1259" s="5"/>
      <c r="N1259" s="9" t="s">
        <v>11854</v>
      </c>
      <c r="O1259" s="9" t="s">
        <v>11848</v>
      </c>
      <c r="P1259" s="5">
        <v>2</v>
      </c>
      <c r="Q1259" s="9"/>
      <c r="R1259" s="9" t="s">
        <v>6617</v>
      </c>
      <c r="S1259" s="9" t="str">
        <f>HYPERLINK("https://seichotoushi-hojo.jp/assets/pdf/koufu_3_4ji/outline_146.pdf","PDFを開く")</f>
        <v>PDFを開く</v>
      </c>
      <c r="T1259" s="9" t="s">
        <v>2634</v>
      </c>
      <c r="U1259" s="9" t="s">
        <v>2635</v>
      </c>
    </row>
    <row r="1260" spans="1:21" ht="39.950000000000003" customHeight="1">
      <c r="A1260" s="2" t="s">
        <v>2629</v>
      </c>
      <c r="B1260" s="2" t="s">
        <v>2430</v>
      </c>
      <c r="C1260" s="8" t="s">
        <v>2630</v>
      </c>
      <c r="D1260" s="8" t="s">
        <v>3191</v>
      </c>
      <c r="E1260" s="8" t="s">
        <v>92</v>
      </c>
      <c r="F1260" s="2"/>
      <c r="G1260" s="2">
        <v>58</v>
      </c>
      <c r="H1260" s="2"/>
      <c r="I1260" s="2">
        <v>69</v>
      </c>
      <c r="J1260" s="2" t="s">
        <v>2513</v>
      </c>
      <c r="K1260" s="2"/>
      <c r="L1260" s="2"/>
      <c r="M1260" s="2"/>
      <c r="N1260" s="8" t="s">
        <v>11853</v>
      </c>
      <c r="O1260" s="8"/>
      <c r="P1260" s="2">
        <v>2</v>
      </c>
      <c r="Q1260" s="8"/>
      <c r="R1260" s="8" t="s">
        <v>6614</v>
      </c>
      <c r="S1260" s="8" t="str">
        <f>HYPERLINK("https://seichotoushi-hojo.jp/assets/pdf/koufu_3_4ji/outline_146.pdf","PDFを開く")</f>
        <v>PDFを開く</v>
      </c>
      <c r="T1260" s="8" t="s">
        <v>2634</v>
      </c>
      <c r="U1260" s="8" t="s">
        <v>2635</v>
      </c>
    </row>
    <row r="1261" spans="1:21" ht="39.950000000000003" customHeight="1">
      <c r="A1261" s="5" t="s">
        <v>2636</v>
      </c>
      <c r="B1261" s="5" t="s">
        <v>2430</v>
      </c>
      <c r="C1261" s="9" t="s">
        <v>2637</v>
      </c>
      <c r="D1261" s="9" t="s">
        <v>3176</v>
      </c>
      <c r="E1261" s="9" t="s">
        <v>90</v>
      </c>
      <c r="F1261" s="5">
        <v>2028</v>
      </c>
      <c r="G1261" s="5">
        <v>14191</v>
      </c>
      <c r="H1261" s="5">
        <v>2031</v>
      </c>
      <c r="I1261" s="5">
        <v>24643</v>
      </c>
      <c r="J1261" s="5" t="s">
        <v>447</v>
      </c>
      <c r="K1261" s="5">
        <v>20.2</v>
      </c>
      <c r="L1261" s="5">
        <v>20.196999999999999</v>
      </c>
      <c r="M1261" s="5">
        <v>3.0000000000000001E-3</v>
      </c>
      <c r="N1261" s="9" t="s">
        <v>11846</v>
      </c>
      <c r="O1261" s="9" t="s">
        <v>11847</v>
      </c>
      <c r="P1261" s="5">
        <v>2</v>
      </c>
      <c r="Q1261" s="9"/>
      <c r="R1261" s="9" t="s">
        <v>6622</v>
      </c>
      <c r="S1261" s="9" t="str">
        <f>HYPERLINK("https://seichotoushi-hojo.jp/assets/pdf/koufu_3_4ji/outline_147.pdf","PDFを開く")</f>
        <v>PDFを開く</v>
      </c>
      <c r="T1261" s="9" t="s">
        <v>2644</v>
      </c>
      <c r="U1261" s="9" t="s">
        <v>2645</v>
      </c>
    </row>
    <row r="1262" spans="1:21" ht="39.950000000000003" customHeight="1">
      <c r="A1262" s="2" t="s">
        <v>2636</v>
      </c>
      <c r="B1262" s="2" t="s">
        <v>2430</v>
      </c>
      <c r="C1262" s="8" t="s">
        <v>2637</v>
      </c>
      <c r="D1262" s="8" t="s">
        <v>3184</v>
      </c>
      <c r="E1262" s="8" t="s">
        <v>90</v>
      </c>
      <c r="F1262" s="2">
        <v>2028</v>
      </c>
      <c r="G1262" s="2">
        <v>6710</v>
      </c>
      <c r="H1262" s="2">
        <v>2031</v>
      </c>
      <c r="I1262" s="2">
        <v>8111</v>
      </c>
      <c r="J1262" s="2" t="s">
        <v>447</v>
      </c>
      <c r="K1262" s="2">
        <v>6.5</v>
      </c>
      <c r="L1262" s="2">
        <v>6.5247999999999999</v>
      </c>
      <c r="M1262" s="2">
        <v>2.4799999999999999E-2</v>
      </c>
      <c r="N1262" s="8" t="s">
        <v>11846</v>
      </c>
      <c r="O1262" s="8" t="s">
        <v>11847</v>
      </c>
      <c r="P1262" s="2">
        <v>2</v>
      </c>
      <c r="Q1262" s="8"/>
      <c r="R1262" s="8" t="s">
        <v>6626</v>
      </c>
      <c r="S1262" s="8" t="str">
        <f>HYPERLINK("https://seichotoushi-hojo.jp/assets/pdf/koufu_3_4ji/outline_147.pdf","PDFを開く")</f>
        <v>PDFを開く</v>
      </c>
      <c r="T1262" s="8" t="s">
        <v>2644</v>
      </c>
      <c r="U1262" s="8" t="s">
        <v>2645</v>
      </c>
    </row>
    <row r="1263" spans="1:21" ht="39.950000000000003" customHeight="1">
      <c r="A1263" s="5" t="s">
        <v>2636</v>
      </c>
      <c r="B1263" s="5" t="s">
        <v>2430</v>
      </c>
      <c r="C1263" s="9" t="s">
        <v>2637</v>
      </c>
      <c r="D1263" s="9" t="s">
        <v>3188</v>
      </c>
      <c r="E1263" s="9" t="s">
        <v>156</v>
      </c>
      <c r="F1263" s="5"/>
      <c r="G1263" s="5"/>
      <c r="H1263" s="5"/>
      <c r="I1263" s="5"/>
      <c r="J1263" s="5"/>
      <c r="K1263" s="5"/>
      <c r="L1263" s="5"/>
      <c r="M1263" s="5"/>
      <c r="N1263" s="9" t="s">
        <v>11850</v>
      </c>
      <c r="O1263" s="9"/>
      <c r="P1263" s="5"/>
      <c r="Q1263" s="9" t="s">
        <v>11851</v>
      </c>
      <c r="R1263" s="9"/>
      <c r="S1263" s="9" t="str">
        <f>HYPERLINK("https://seichotoushi-hojo.jp/assets/pdf/koufu_3_4ji/outline_147.pdf","PDFを開く")</f>
        <v>PDFを開く</v>
      </c>
      <c r="T1263" s="9" t="s">
        <v>2644</v>
      </c>
      <c r="U1263" s="9" t="s">
        <v>2645</v>
      </c>
    </row>
    <row r="1264" spans="1:21" ht="39.950000000000003" customHeight="1">
      <c r="A1264" s="2" t="s">
        <v>2636</v>
      </c>
      <c r="B1264" s="2" t="s">
        <v>2430</v>
      </c>
      <c r="C1264" s="8" t="s">
        <v>2637</v>
      </c>
      <c r="D1264" s="8" t="s">
        <v>3191</v>
      </c>
      <c r="E1264" s="8" t="s">
        <v>92</v>
      </c>
      <c r="F1264" s="2">
        <v>2028</v>
      </c>
      <c r="G1264" s="2">
        <v>154</v>
      </c>
      <c r="H1264" s="2">
        <v>2031</v>
      </c>
      <c r="I1264" s="2">
        <v>210</v>
      </c>
      <c r="J1264" s="2" t="s">
        <v>2513</v>
      </c>
      <c r="K1264" s="2"/>
      <c r="L1264" s="2"/>
      <c r="M1264" s="2"/>
      <c r="N1264" s="8" t="s">
        <v>11846</v>
      </c>
      <c r="O1264" s="8" t="s">
        <v>11847</v>
      </c>
      <c r="P1264" s="2">
        <v>2</v>
      </c>
      <c r="Q1264" s="8"/>
      <c r="R1264" s="8" t="s">
        <v>6630</v>
      </c>
      <c r="S1264" s="8" t="str">
        <f>HYPERLINK("https://seichotoushi-hojo.jp/assets/pdf/koufu_3_4ji/outline_147.pdf","PDFを開く")</f>
        <v>PDFを開く</v>
      </c>
      <c r="T1264" s="8" t="s">
        <v>2644</v>
      </c>
      <c r="U1264" s="8" t="s">
        <v>2645</v>
      </c>
    </row>
    <row r="1265" spans="1:21" ht="39.950000000000003" customHeight="1">
      <c r="A1265" s="5" t="s">
        <v>2646</v>
      </c>
      <c r="B1265" s="5" t="s">
        <v>2430</v>
      </c>
      <c r="C1265" s="9" t="s">
        <v>2647</v>
      </c>
      <c r="D1265" s="9" t="s">
        <v>3176</v>
      </c>
      <c r="E1265" s="9" t="s">
        <v>90</v>
      </c>
      <c r="F1265" s="5"/>
      <c r="G1265" s="5">
        <v>9492</v>
      </c>
      <c r="H1265" s="5"/>
      <c r="I1265" s="5">
        <v>16350</v>
      </c>
      <c r="J1265" s="5" t="s">
        <v>447</v>
      </c>
      <c r="K1265" s="5">
        <v>19.899999999999999</v>
      </c>
      <c r="L1265" s="5">
        <v>19.872599999999998</v>
      </c>
      <c r="M1265" s="5">
        <v>2.7400000000000001E-2</v>
      </c>
      <c r="N1265" s="9" t="s">
        <v>11853</v>
      </c>
      <c r="O1265" s="9"/>
      <c r="P1265" s="5">
        <v>2</v>
      </c>
      <c r="Q1265" s="9"/>
      <c r="R1265" s="9" t="s">
        <v>6632</v>
      </c>
      <c r="S1265" s="9" t="str">
        <f>HYPERLINK("https://seichotoushi-hojo.jp/assets/pdf/koufu_3_4ji/outline_148.pdf","PDFを開く")</f>
        <v>PDFを開く</v>
      </c>
      <c r="T1265" s="9" t="s">
        <v>2652</v>
      </c>
      <c r="U1265" s="9" t="s">
        <v>2653</v>
      </c>
    </row>
    <row r="1266" spans="1:21" ht="39.950000000000003" customHeight="1">
      <c r="A1266" s="2" t="s">
        <v>2646</v>
      </c>
      <c r="B1266" s="2" t="s">
        <v>2430</v>
      </c>
      <c r="C1266" s="8" t="s">
        <v>2647</v>
      </c>
      <c r="D1266" s="8" t="s">
        <v>3184</v>
      </c>
      <c r="E1266" s="8" t="s">
        <v>90</v>
      </c>
      <c r="F1266" s="2"/>
      <c r="G1266" s="2">
        <v>4941</v>
      </c>
      <c r="H1266" s="2"/>
      <c r="I1266" s="2">
        <v>5948</v>
      </c>
      <c r="J1266" s="2" t="s">
        <v>447</v>
      </c>
      <c r="K1266" s="2">
        <v>6.4</v>
      </c>
      <c r="L1266" s="2">
        <v>6.3780999999999999</v>
      </c>
      <c r="M1266" s="2">
        <v>2.1899999999999999E-2</v>
      </c>
      <c r="N1266" s="8" t="s">
        <v>11853</v>
      </c>
      <c r="O1266" s="8"/>
      <c r="P1266" s="2">
        <v>2</v>
      </c>
      <c r="Q1266" s="8"/>
      <c r="R1266" s="8" t="s">
        <v>6635</v>
      </c>
      <c r="S1266" s="8" t="str">
        <f>HYPERLINK("https://seichotoushi-hojo.jp/assets/pdf/koufu_3_4ji/outline_148.pdf","PDFを開く")</f>
        <v>PDFを開く</v>
      </c>
      <c r="T1266" s="8" t="s">
        <v>2652</v>
      </c>
      <c r="U1266" s="8" t="s">
        <v>2653</v>
      </c>
    </row>
    <row r="1267" spans="1:21" ht="39.950000000000003" customHeight="1">
      <c r="A1267" s="5" t="s">
        <v>2646</v>
      </c>
      <c r="B1267" s="5" t="s">
        <v>2430</v>
      </c>
      <c r="C1267" s="9" t="s">
        <v>2647</v>
      </c>
      <c r="D1267" s="9" t="s">
        <v>3188</v>
      </c>
      <c r="E1267" s="9" t="s">
        <v>90</v>
      </c>
      <c r="F1267" s="5"/>
      <c r="G1267" s="5">
        <v>19726</v>
      </c>
      <c r="H1267" s="5"/>
      <c r="I1267" s="5">
        <v>23642</v>
      </c>
      <c r="J1267" s="5" t="s">
        <v>447</v>
      </c>
      <c r="K1267" s="5">
        <v>6.2</v>
      </c>
      <c r="L1267" s="5">
        <v>6.2221000000000002</v>
      </c>
      <c r="M1267" s="5">
        <v>2.2100000000000002E-2</v>
      </c>
      <c r="N1267" s="9" t="s">
        <v>11853</v>
      </c>
      <c r="O1267" s="9"/>
      <c r="P1267" s="5">
        <v>2</v>
      </c>
      <c r="Q1267" s="9"/>
      <c r="R1267" s="9" t="s">
        <v>6638</v>
      </c>
      <c r="S1267" s="9" t="str">
        <f>HYPERLINK("https://seichotoushi-hojo.jp/assets/pdf/koufu_3_4ji/outline_148.pdf","PDFを開く")</f>
        <v>PDFを開く</v>
      </c>
      <c r="T1267" s="9" t="s">
        <v>2652</v>
      </c>
      <c r="U1267" s="9" t="s">
        <v>2653</v>
      </c>
    </row>
    <row r="1268" spans="1:21" ht="39.950000000000003" customHeight="1">
      <c r="A1268" s="2" t="s">
        <v>2646</v>
      </c>
      <c r="B1268" s="2" t="s">
        <v>2430</v>
      </c>
      <c r="C1268" s="8" t="s">
        <v>2647</v>
      </c>
      <c r="D1268" s="8" t="s">
        <v>3191</v>
      </c>
      <c r="E1268" s="8" t="s">
        <v>92</v>
      </c>
      <c r="F1268" s="2"/>
      <c r="G1268" s="2">
        <v>177</v>
      </c>
      <c r="H1268" s="2"/>
      <c r="I1268" s="2">
        <v>183</v>
      </c>
      <c r="J1268" s="2" t="s">
        <v>2513</v>
      </c>
      <c r="K1268" s="2"/>
      <c r="L1268" s="2"/>
      <c r="M1268" s="2"/>
      <c r="N1268" s="8" t="s">
        <v>11853</v>
      </c>
      <c r="O1268" s="8"/>
      <c r="P1268" s="2">
        <v>2</v>
      </c>
      <c r="Q1268" s="8"/>
      <c r="R1268" s="8" t="s">
        <v>6640</v>
      </c>
      <c r="S1268" s="8" t="str">
        <f>HYPERLINK("https://seichotoushi-hojo.jp/assets/pdf/koufu_3_4ji/outline_148.pdf","PDFを開く")</f>
        <v>PDFを開く</v>
      </c>
      <c r="T1268" s="8" t="s">
        <v>2652</v>
      </c>
      <c r="U1268" s="8" t="s">
        <v>2653</v>
      </c>
    </row>
    <row r="1269" spans="1:21" ht="39.950000000000003" customHeight="1">
      <c r="A1269" s="5" t="s">
        <v>2654</v>
      </c>
      <c r="B1269" s="5" t="s">
        <v>2430</v>
      </c>
      <c r="C1269" s="9" t="s">
        <v>2655</v>
      </c>
      <c r="D1269" s="9" t="s">
        <v>3176</v>
      </c>
      <c r="E1269" s="9" t="s">
        <v>90</v>
      </c>
      <c r="F1269" s="5"/>
      <c r="G1269" s="5">
        <v>4211</v>
      </c>
      <c r="H1269" s="5"/>
      <c r="I1269" s="5">
        <v>11494</v>
      </c>
      <c r="J1269" s="5" t="s">
        <v>447</v>
      </c>
      <c r="K1269" s="5">
        <v>39.799999999999997</v>
      </c>
      <c r="L1269" s="5">
        <v>39.753300000000003</v>
      </c>
      <c r="M1269" s="5">
        <v>4.6699999999999998E-2</v>
      </c>
      <c r="N1269" s="9" t="s">
        <v>11853</v>
      </c>
      <c r="O1269" s="9"/>
      <c r="P1269" s="5">
        <v>2</v>
      </c>
      <c r="Q1269" s="9"/>
      <c r="R1269" s="9" t="s">
        <v>6642</v>
      </c>
      <c r="S1269" s="9" t="str">
        <f>HYPERLINK("https://seichotoushi-hojo.jp/assets/pdf/koufu_3_4ji/outline_149.pdf","PDFを開く")</f>
        <v>PDFを開く</v>
      </c>
      <c r="T1269" s="9" t="s">
        <v>2660</v>
      </c>
      <c r="U1269" s="9" t="s">
        <v>2661</v>
      </c>
    </row>
    <row r="1270" spans="1:21" ht="39.950000000000003" customHeight="1">
      <c r="A1270" s="2" t="s">
        <v>2654</v>
      </c>
      <c r="B1270" s="2" t="s">
        <v>2430</v>
      </c>
      <c r="C1270" s="8" t="s">
        <v>2655</v>
      </c>
      <c r="D1270" s="8" t="s">
        <v>3184</v>
      </c>
      <c r="E1270" s="8" t="s">
        <v>90</v>
      </c>
      <c r="F1270" s="2"/>
      <c r="G1270" s="2">
        <v>3229</v>
      </c>
      <c r="H1270" s="2"/>
      <c r="I1270" s="2">
        <v>3845</v>
      </c>
      <c r="J1270" s="2" t="s">
        <v>447</v>
      </c>
      <c r="K1270" s="2">
        <v>6</v>
      </c>
      <c r="L1270" s="2">
        <v>5.9927000000000001</v>
      </c>
      <c r="M1270" s="2">
        <v>7.3000000000000001E-3</v>
      </c>
      <c r="N1270" s="8" t="s">
        <v>11853</v>
      </c>
      <c r="O1270" s="8"/>
      <c r="P1270" s="2">
        <v>2</v>
      </c>
      <c r="Q1270" s="8"/>
      <c r="R1270" s="8" t="s">
        <v>6645</v>
      </c>
      <c r="S1270" s="8" t="str">
        <f>HYPERLINK("https://seichotoushi-hojo.jp/assets/pdf/koufu_3_4ji/outline_149.pdf","PDFを開く")</f>
        <v>PDFを開く</v>
      </c>
      <c r="T1270" s="8" t="s">
        <v>2660</v>
      </c>
      <c r="U1270" s="8" t="s">
        <v>2661</v>
      </c>
    </row>
    <row r="1271" spans="1:21" ht="39.950000000000003" customHeight="1">
      <c r="A1271" s="5" t="s">
        <v>2654</v>
      </c>
      <c r="B1271" s="5" t="s">
        <v>2430</v>
      </c>
      <c r="C1271" s="9" t="s">
        <v>2655</v>
      </c>
      <c r="D1271" s="9" t="s">
        <v>3188</v>
      </c>
      <c r="E1271" s="9" t="s">
        <v>91</v>
      </c>
      <c r="F1271" s="5"/>
      <c r="G1271" s="5"/>
      <c r="H1271" s="5"/>
      <c r="I1271" s="5"/>
      <c r="J1271" s="5" t="s">
        <v>447</v>
      </c>
      <c r="K1271" s="5">
        <v>5</v>
      </c>
      <c r="L1271" s="5"/>
      <c r="M1271" s="5"/>
      <c r="N1271" s="9" t="s">
        <v>11854</v>
      </c>
      <c r="O1271" s="9" t="s">
        <v>11848</v>
      </c>
      <c r="P1271" s="5">
        <v>2</v>
      </c>
      <c r="Q1271" s="9"/>
      <c r="R1271" s="9" t="s">
        <v>6384</v>
      </c>
      <c r="S1271" s="9" t="str">
        <f>HYPERLINK("https://seichotoushi-hojo.jp/assets/pdf/koufu_3_4ji/outline_149.pdf","PDFを開く")</f>
        <v>PDFを開く</v>
      </c>
      <c r="T1271" s="9" t="s">
        <v>2660</v>
      </c>
      <c r="U1271" s="9" t="s">
        <v>2661</v>
      </c>
    </row>
    <row r="1272" spans="1:21" ht="39.950000000000003" customHeight="1">
      <c r="A1272" s="2" t="s">
        <v>2654</v>
      </c>
      <c r="B1272" s="2" t="s">
        <v>2430</v>
      </c>
      <c r="C1272" s="8" t="s">
        <v>2655</v>
      </c>
      <c r="D1272" s="8" t="s">
        <v>3191</v>
      </c>
      <c r="E1272" s="8" t="s">
        <v>92</v>
      </c>
      <c r="F1272" s="2"/>
      <c r="G1272" s="2">
        <v>72</v>
      </c>
      <c r="H1272" s="2"/>
      <c r="I1272" s="2">
        <v>72</v>
      </c>
      <c r="J1272" s="2" t="s">
        <v>2513</v>
      </c>
      <c r="K1272" s="2"/>
      <c r="L1272" s="2"/>
      <c r="M1272" s="2"/>
      <c r="N1272" s="8" t="s">
        <v>11853</v>
      </c>
      <c r="O1272" s="8"/>
      <c r="P1272" s="2">
        <v>2</v>
      </c>
      <c r="Q1272" s="8"/>
      <c r="R1272" s="8" t="s">
        <v>6647</v>
      </c>
      <c r="S1272" s="8" t="str">
        <f>HYPERLINK("https://seichotoushi-hojo.jp/assets/pdf/koufu_3_4ji/outline_149.pdf","PDFを開く")</f>
        <v>PDFを開く</v>
      </c>
      <c r="T1272" s="8" t="s">
        <v>2660</v>
      </c>
      <c r="U1272" s="8" t="s">
        <v>2661</v>
      </c>
    </row>
    <row r="1273" spans="1:21" ht="39.950000000000003" customHeight="1">
      <c r="A1273" s="5" t="s">
        <v>2662</v>
      </c>
      <c r="B1273" s="5" t="s">
        <v>2430</v>
      </c>
      <c r="C1273" s="9" t="s">
        <v>2663</v>
      </c>
      <c r="D1273" s="9" t="s">
        <v>3176</v>
      </c>
      <c r="E1273" s="9" t="s">
        <v>90</v>
      </c>
      <c r="F1273" s="5">
        <v>2027</v>
      </c>
      <c r="G1273" s="5">
        <v>4234</v>
      </c>
      <c r="H1273" s="5">
        <v>2030</v>
      </c>
      <c r="I1273" s="5">
        <v>9610</v>
      </c>
      <c r="J1273" s="5" t="s">
        <v>447</v>
      </c>
      <c r="K1273" s="5">
        <v>31.4</v>
      </c>
      <c r="L1273" s="5">
        <v>31.418800000000001</v>
      </c>
      <c r="M1273" s="5">
        <v>1.8800000000000001E-2</v>
      </c>
      <c r="N1273" s="9" t="s">
        <v>11846</v>
      </c>
      <c r="O1273" s="9" t="s">
        <v>11847</v>
      </c>
      <c r="P1273" s="5">
        <v>2</v>
      </c>
      <c r="Q1273" s="9"/>
      <c r="R1273" s="9" t="s">
        <v>6652</v>
      </c>
      <c r="S1273" s="9" t="str">
        <f>HYPERLINK("https://seichotoushi-hojo.jp/assets/pdf/koufu_3_4ji/outline_150.pdf","PDFを開く")</f>
        <v>PDFを開く</v>
      </c>
      <c r="T1273" s="9" t="s">
        <v>2666</v>
      </c>
      <c r="U1273" s="9" t="s">
        <v>2667</v>
      </c>
    </row>
    <row r="1274" spans="1:21" ht="39.950000000000003" customHeight="1">
      <c r="A1274" s="2" t="s">
        <v>2662</v>
      </c>
      <c r="B1274" s="2" t="s">
        <v>2430</v>
      </c>
      <c r="C1274" s="8" t="s">
        <v>2663</v>
      </c>
      <c r="D1274" s="8" t="s">
        <v>3184</v>
      </c>
      <c r="E1274" s="8" t="s">
        <v>90</v>
      </c>
      <c r="F1274" s="2">
        <v>2027</v>
      </c>
      <c r="G1274" s="2">
        <v>3585</v>
      </c>
      <c r="H1274" s="2">
        <v>2030</v>
      </c>
      <c r="I1274" s="2">
        <v>4270</v>
      </c>
      <c r="J1274" s="2" t="s">
        <v>447</v>
      </c>
      <c r="K1274" s="2">
        <v>6</v>
      </c>
      <c r="L1274" s="2">
        <v>6.0016999999999996</v>
      </c>
      <c r="M1274" s="2">
        <v>1.6999999999999999E-3</v>
      </c>
      <c r="N1274" s="8" t="s">
        <v>11846</v>
      </c>
      <c r="O1274" s="8" t="s">
        <v>11847</v>
      </c>
      <c r="P1274" s="2">
        <v>2</v>
      </c>
      <c r="Q1274" s="8"/>
      <c r="R1274" s="8" t="s">
        <v>6656</v>
      </c>
      <c r="S1274" s="8" t="str">
        <f>HYPERLINK("https://seichotoushi-hojo.jp/assets/pdf/koufu_3_4ji/outline_150.pdf","PDFを開く")</f>
        <v>PDFを開く</v>
      </c>
      <c r="T1274" s="8" t="s">
        <v>2666</v>
      </c>
      <c r="U1274" s="8" t="s">
        <v>2667</v>
      </c>
    </row>
    <row r="1275" spans="1:21" ht="39.950000000000003" customHeight="1">
      <c r="A1275" s="5" t="s">
        <v>2662</v>
      </c>
      <c r="B1275" s="5" t="s">
        <v>2430</v>
      </c>
      <c r="C1275" s="9" t="s">
        <v>2663</v>
      </c>
      <c r="D1275" s="9" t="s">
        <v>3188</v>
      </c>
      <c r="E1275" s="9" t="s">
        <v>91</v>
      </c>
      <c r="F1275" s="5">
        <v>2027</v>
      </c>
      <c r="G1275" s="5"/>
      <c r="H1275" s="5">
        <v>2030</v>
      </c>
      <c r="I1275" s="5"/>
      <c r="J1275" s="5" t="s">
        <v>447</v>
      </c>
      <c r="K1275" s="5">
        <v>6</v>
      </c>
      <c r="L1275" s="5"/>
      <c r="M1275" s="5"/>
      <c r="N1275" s="9" t="s">
        <v>11846</v>
      </c>
      <c r="O1275" s="9" t="s">
        <v>11848</v>
      </c>
      <c r="P1275" s="5">
        <v>2</v>
      </c>
      <c r="Q1275" s="9"/>
      <c r="R1275" s="9" t="s">
        <v>6473</v>
      </c>
      <c r="S1275" s="9" t="str">
        <f>HYPERLINK("https://seichotoushi-hojo.jp/assets/pdf/koufu_3_4ji/outline_150.pdf","PDFを開く")</f>
        <v>PDFを開く</v>
      </c>
      <c r="T1275" s="9" t="s">
        <v>2666</v>
      </c>
      <c r="U1275" s="9" t="s">
        <v>2667</v>
      </c>
    </row>
    <row r="1276" spans="1:21" ht="39.950000000000003" customHeight="1">
      <c r="A1276" s="2" t="s">
        <v>2662</v>
      </c>
      <c r="B1276" s="2" t="s">
        <v>2430</v>
      </c>
      <c r="C1276" s="8" t="s">
        <v>2663</v>
      </c>
      <c r="D1276" s="8" t="s">
        <v>3191</v>
      </c>
      <c r="E1276" s="8" t="s">
        <v>92</v>
      </c>
      <c r="F1276" s="2">
        <v>2027</v>
      </c>
      <c r="G1276" s="2">
        <v>200</v>
      </c>
      <c r="H1276" s="2">
        <v>2030</v>
      </c>
      <c r="I1276" s="2">
        <v>270</v>
      </c>
      <c r="J1276" s="2" t="s">
        <v>2513</v>
      </c>
      <c r="K1276" s="2"/>
      <c r="L1276" s="2"/>
      <c r="M1276" s="2"/>
      <c r="N1276" s="8" t="s">
        <v>11846</v>
      </c>
      <c r="O1276" s="8" t="s">
        <v>11847</v>
      </c>
      <c r="P1276" s="2">
        <v>2</v>
      </c>
      <c r="Q1276" s="8"/>
      <c r="R1276" s="8" t="s">
        <v>6658</v>
      </c>
      <c r="S1276" s="8" t="str">
        <f>HYPERLINK("https://seichotoushi-hojo.jp/assets/pdf/koufu_3_4ji/outline_150.pdf","PDFを開く")</f>
        <v>PDFを開く</v>
      </c>
      <c r="T1276" s="8" t="s">
        <v>2666</v>
      </c>
      <c r="U1276" s="8" t="s">
        <v>2667</v>
      </c>
    </row>
    <row r="1277" spans="1:21" ht="39.950000000000003" customHeight="1">
      <c r="A1277" s="5" t="s">
        <v>2668</v>
      </c>
      <c r="B1277" s="5" t="s">
        <v>2430</v>
      </c>
      <c r="C1277" s="9" t="s">
        <v>2669</v>
      </c>
      <c r="D1277" s="9" t="s">
        <v>3176</v>
      </c>
      <c r="E1277" s="9" t="s">
        <v>90</v>
      </c>
      <c r="F1277" s="5"/>
      <c r="G1277" s="5">
        <v>7087</v>
      </c>
      <c r="H1277" s="5"/>
      <c r="I1277" s="5">
        <v>20505</v>
      </c>
      <c r="J1277" s="5" t="s">
        <v>447</v>
      </c>
      <c r="K1277" s="5">
        <v>42.5</v>
      </c>
      <c r="L1277" s="5">
        <v>42.494799999999998</v>
      </c>
      <c r="M1277" s="5">
        <v>5.1999999999999998E-3</v>
      </c>
      <c r="N1277" s="9" t="s">
        <v>11853</v>
      </c>
      <c r="O1277" s="9"/>
      <c r="P1277" s="5">
        <v>2</v>
      </c>
      <c r="Q1277" s="9"/>
      <c r="R1277" s="9" t="s">
        <v>6663</v>
      </c>
      <c r="S1277" s="9" t="str">
        <f>HYPERLINK("https://seichotoushi-hojo.jp/assets/pdf/koufu_3_4ji/outline_152.pdf","PDFを開く")</f>
        <v>PDFを開く</v>
      </c>
      <c r="T1277" s="9" t="s">
        <v>2674</v>
      </c>
      <c r="U1277" s="9" t="s">
        <v>2675</v>
      </c>
    </row>
    <row r="1278" spans="1:21" ht="39.950000000000003" customHeight="1">
      <c r="A1278" s="2" t="s">
        <v>2668</v>
      </c>
      <c r="B1278" s="2" t="s">
        <v>2430</v>
      </c>
      <c r="C1278" s="8" t="s">
        <v>2669</v>
      </c>
      <c r="D1278" s="8" t="s">
        <v>3184</v>
      </c>
      <c r="E1278" s="8" t="s">
        <v>90</v>
      </c>
      <c r="F1278" s="2"/>
      <c r="G1278" s="2">
        <v>4979</v>
      </c>
      <c r="H1278" s="2"/>
      <c r="I1278" s="2">
        <v>5973</v>
      </c>
      <c r="J1278" s="2" t="s">
        <v>447</v>
      </c>
      <c r="K1278" s="2">
        <v>6.3</v>
      </c>
      <c r="L1278" s="2">
        <v>6.2552000000000003</v>
      </c>
      <c r="M1278" s="2">
        <v>4.48E-2</v>
      </c>
      <c r="N1278" s="8" t="s">
        <v>11853</v>
      </c>
      <c r="O1278" s="8"/>
      <c r="P1278" s="2">
        <v>2</v>
      </c>
      <c r="Q1278" s="8"/>
      <c r="R1278" s="8" t="s">
        <v>6666</v>
      </c>
      <c r="S1278" s="8" t="str">
        <f>HYPERLINK("https://seichotoushi-hojo.jp/assets/pdf/koufu_3_4ji/outline_152.pdf","PDFを開く")</f>
        <v>PDFを開く</v>
      </c>
      <c r="T1278" s="8" t="s">
        <v>2674</v>
      </c>
      <c r="U1278" s="8" t="s">
        <v>2675</v>
      </c>
    </row>
    <row r="1279" spans="1:21" ht="39.950000000000003" customHeight="1">
      <c r="A1279" s="5" t="s">
        <v>2668</v>
      </c>
      <c r="B1279" s="5" t="s">
        <v>2430</v>
      </c>
      <c r="C1279" s="9" t="s">
        <v>2669</v>
      </c>
      <c r="D1279" s="9" t="s">
        <v>3188</v>
      </c>
      <c r="E1279" s="9" t="s">
        <v>90</v>
      </c>
      <c r="F1279" s="5"/>
      <c r="G1279" s="5">
        <v>19721</v>
      </c>
      <c r="H1279" s="5"/>
      <c r="I1279" s="5">
        <v>23483</v>
      </c>
      <c r="J1279" s="5" t="s">
        <v>447</v>
      </c>
      <c r="K1279" s="5">
        <v>6</v>
      </c>
      <c r="L1279" s="5">
        <v>5.9923999999999999</v>
      </c>
      <c r="M1279" s="5">
        <v>7.6E-3</v>
      </c>
      <c r="N1279" s="9" t="s">
        <v>11853</v>
      </c>
      <c r="O1279" s="9"/>
      <c r="P1279" s="5">
        <v>2</v>
      </c>
      <c r="Q1279" s="9"/>
      <c r="R1279" s="9" t="s">
        <v>6669</v>
      </c>
      <c r="S1279" s="9" t="str">
        <f>HYPERLINK("https://seichotoushi-hojo.jp/assets/pdf/koufu_3_4ji/outline_152.pdf","PDFを開く")</f>
        <v>PDFを開く</v>
      </c>
      <c r="T1279" s="9" t="s">
        <v>2674</v>
      </c>
      <c r="U1279" s="9" t="s">
        <v>2675</v>
      </c>
    </row>
    <row r="1280" spans="1:21" ht="39.950000000000003" customHeight="1">
      <c r="A1280" s="2" t="s">
        <v>2668</v>
      </c>
      <c r="B1280" s="2" t="s">
        <v>2430</v>
      </c>
      <c r="C1280" s="8" t="s">
        <v>2669</v>
      </c>
      <c r="D1280" s="8" t="s">
        <v>3191</v>
      </c>
      <c r="E1280" s="8" t="s">
        <v>92</v>
      </c>
      <c r="F1280" s="2"/>
      <c r="G1280" s="2">
        <v>128</v>
      </c>
      <c r="H1280" s="2"/>
      <c r="I1280" s="2">
        <v>193</v>
      </c>
      <c r="J1280" s="2" t="s">
        <v>2513</v>
      </c>
      <c r="K1280" s="2"/>
      <c r="L1280" s="2"/>
      <c r="M1280" s="2"/>
      <c r="N1280" s="8" t="s">
        <v>11853</v>
      </c>
      <c r="O1280" s="8"/>
      <c r="P1280" s="2">
        <v>2</v>
      </c>
      <c r="Q1280" s="8"/>
      <c r="R1280" s="8" t="s">
        <v>6671</v>
      </c>
      <c r="S1280" s="8" t="str">
        <f>HYPERLINK("https://seichotoushi-hojo.jp/assets/pdf/koufu_3_4ji/outline_152.pdf","PDFを開く")</f>
        <v>PDFを開く</v>
      </c>
      <c r="T1280" s="8" t="s">
        <v>2674</v>
      </c>
      <c r="U1280" s="8" t="s">
        <v>2675</v>
      </c>
    </row>
    <row r="1281" spans="1:21" ht="39.950000000000003" customHeight="1">
      <c r="A1281" s="5" t="s">
        <v>2676</v>
      </c>
      <c r="B1281" s="5" t="s">
        <v>2430</v>
      </c>
      <c r="C1281" s="9" t="s">
        <v>2677</v>
      </c>
      <c r="D1281" s="9" t="s">
        <v>3176</v>
      </c>
      <c r="E1281" s="9" t="s">
        <v>90</v>
      </c>
      <c r="F1281" s="5"/>
      <c r="G1281" s="5">
        <v>14378</v>
      </c>
      <c r="H1281" s="5"/>
      <c r="I1281" s="5">
        <v>29954</v>
      </c>
      <c r="J1281" s="5" t="s">
        <v>447</v>
      </c>
      <c r="K1281" s="5">
        <v>27.7</v>
      </c>
      <c r="L1281" s="5">
        <v>27.718</v>
      </c>
      <c r="M1281" s="5">
        <v>1.7999999999999999E-2</v>
      </c>
      <c r="N1281" s="9" t="s">
        <v>11853</v>
      </c>
      <c r="O1281" s="9"/>
      <c r="P1281" s="5">
        <v>2</v>
      </c>
      <c r="Q1281" s="9"/>
      <c r="R1281" s="9" t="s">
        <v>6673</v>
      </c>
      <c r="S1281" s="9" t="str">
        <f>HYPERLINK("https://seichotoushi-hojo.jp/assets/pdf/koufu_3_4ji/outline_153.pdf","PDFを開く")</f>
        <v>PDFを開く</v>
      </c>
      <c r="T1281" s="9" t="s">
        <v>2682</v>
      </c>
      <c r="U1281" s="9" t="s">
        <v>2683</v>
      </c>
    </row>
    <row r="1282" spans="1:21" ht="39.950000000000003" customHeight="1">
      <c r="A1282" s="2" t="s">
        <v>2676</v>
      </c>
      <c r="B1282" s="2" t="s">
        <v>2430</v>
      </c>
      <c r="C1282" s="8" t="s">
        <v>2677</v>
      </c>
      <c r="D1282" s="8" t="s">
        <v>3184</v>
      </c>
      <c r="E1282" s="8" t="s">
        <v>90</v>
      </c>
      <c r="F1282" s="2"/>
      <c r="G1282" s="2">
        <v>6413</v>
      </c>
      <c r="H1282" s="2"/>
      <c r="I1282" s="2">
        <v>7969</v>
      </c>
      <c r="J1282" s="2" t="s">
        <v>447</v>
      </c>
      <c r="K1282" s="2">
        <v>7.5</v>
      </c>
      <c r="L1282" s="2">
        <v>7.5096999999999996</v>
      </c>
      <c r="M1282" s="2">
        <v>9.7000000000000003E-3</v>
      </c>
      <c r="N1282" s="8" t="s">
        <v>11853</v>
      </c>
      <c r="O1282" s="8"/>
      <c r="P1282" s="2">
        <v>2</v>
      </c>
      <c r="Q1282" s="8"/>
      <c r="R1282" s="8" t="s">
        <v>6676</v>
      </c>
      <c r="S1282" s="8" t="str">
        <f>HYPERLINK("https://seichotoushi-hojo.jp/assets/pdf/koufu_3_4ji/outline_153.pdf","PDFを開く")</f>
        <v>PDFを開く</v>
      </c>
      <c r="T1282" s="8" t="s">
        <v>2682</v>
      </c>
      <c r="U1282" s="8" t="s">
        <v>2683</v>
      </c>
    </row>
    <row r="1283" spans="1:21" ht="39.950000000000003" customHeight="1">
      <c r="A1283" s="5" t="s">
        <v>2676</v>
      </c>
      <c r="B1283" s="5" t="s">
        <v>2430</v>
      </c>
      <c r="C1283" s="9" t="s">
        <v>2677</v>
      </c>
      <c r="D1283" s="9" t="s">
        <v>3188</v>
      </c>
      <c r="E1283" s="9" t="s">
        <v>91</v>
      </c>
      <c r="F1283" s="5"/>
      <c r="G1283" s="5"/>
      <c r="H1283" s="5"/>
      <c r="I1283" s="5"/>
      <c r="J1283" s="5" t="s">
        <v>447</v>
      </c>
      <c r="K1283" s="5">
        <v>5.5</v>
      </c>
      <c r="L1283" s="5"/>
      <c r="M1283" s="5"/>
      <c r="N1283" s="9" t="s">
        <v>11854</v>
      </c>
      <c r="O1283" s="9" t="s">
        <v>11848</v>
      </c>
      <c r="P1283" s="5">
        <v>2</v>
      </c>
      <c r="Q1283" s="9"/>
      <c r="R1283" s="9" t="s">
        <v>6681</v>
      </c>
      <c r="S1283" s="9" t="str">
        <f>HYPERLINK("https://seichotoushi-hojo.jp/assets/pdf/koufu_3_4ji/outline_153.pdf","PDFを開く")</f>
        <v>PDFを開く</v>
      </c>
      <c r="T1283" s="9" t="s">
        <v>2682</v>
      </c>
      <c r="U1283" s="9" t="s">
        <v>2683</v>
      </c>
    </row>
    <row r="1284" spans="1:21" ht="39.950000000000003" customHeight="1">
      <c r="A1284" s="2" t="s">
        <v>2676</v>
      </c>
      <c r="B1284" s="2" t="s">
        <v>2430</v>
      </c>
      <c r="C1284" s="8" t="s">
        <v>2677</v>
      </c>
      <c r="D1284" s="8" t="s">
        <v>3191</v>
      </c>
      <c r="E1284" s="8" t="s">
        <v>92</v>
      </c>
      <c r="F1284" s="2"/>
      <c r="G1284" s="2">
        <v>63</v>
      </c>
      <c r="H1284" s="2"/>
      <c r="I1284" s="2">
        <v>115</v>
      </c>
      <c r="J1284" s="2" t="s">
        <v>2513</v>
      </c>
      <c r="K1284" s="2"/>
      <c r="L1284" s="2"/>
      <c r="M1284" s="2"/>
      <c r="N1284" s="8" t="s">
        <v>11853</v>
      </c>
      <c r="O1284" s="8"/>
      <c r="P1284" s="2">
        <v>2</v>
      </c>
      <c r="Q1284" s="8"/>
      <c r="R1284" s="8" t="s">
        <v>6679</v>
      </c>
      <c r="S1284" s="8" t="str">
        <f>HYPERLINK("https://seichotoushi-hojo.jp/assets/pdf/koufu_3_4ji/outline_153.pdf","PDFを開く")</f>
        <v>PDFを開く</v>
      </c>
      <c r="T1284" s="8" t="s">
        <v>2682</v>
      </c>
      <c r="U1284" s="8" t="s">
        <v>2683</v>
      </c>
    </row>
    <row r="1285" spans="1:21" ht="39.950000000000003" customHeight="1">
      <c r="A1285" s="5" t="s">
        <v>2684</v>
      </c>
      <c r="B1285" s="5" t="s">
        <v>2430</v>
      </c>
      <c r="C1285" s="9" t="s">
        <v>2685</v>
      </c>
      <c r="D1285" s="9" t="s">
        <v>3176</v>
      </c>
      <c r="E1285" s="9" t="s">
        <v>90</v>
      </c>
      <c r="F1285" s="5"/>
      <c r="G1285" s="5">
        <v>21403</v>
      </c>
      <c r="H1285" s="5"/>
      <c r="I1285" s="5">
        <v>33275</v>
      </c>
      <c r="J1285" s="5" t="s">
        <v>447</v>
      </c>
      <c r="K1285" s="5">
        <v>15.8</v>
      </c>
      <c r="L1285" s="5">
        <v>15.846</v>
      </c>
      <c r="M1285" s="5">
        <v>4.5999999999999999E-2</v>
      </c>
      <c r="N1285" s="9" t="s">
        <v>11853</v>
      </c>
      <c r="O1285" s="9"/>
      <c r="P1285" s="5">
        <v>4</v>
      </c>
      <c r="Q1285" s="9"/>
      <c r="R1285" s="9" t="s">
        <v>6684</v>
      </c>
      <c r="S1285" s="9" t="str">
        <f>HYPERLINK("https://seichotoushi-hojo.jp/assets/pdf/koufu_3_4ji/outline_154.pdf","PDFを開く")</f>
        <v>PDFを開く</v>
      </c>
      <c r="T1285" s="9" t="s">
        <v>2691</v>
      </c>
      <c r="U1285" s="9" t="s">
        <v>2692</v>
      </c>
    </row>
    <row r="1286" spans="1:21" ht="39.950000000000003" customHeight="1">
      <c r="A1286" s="2" t="s">
        <v>2684</v>
      </c>
      <c r="B1286" s="2" t="s">
        <v>2430</v>
      </c>
      <c r="C1286" s="8" t="s">
        <v>2685</v>
      </c>
      <c r="D1286" s="8" t="s">
        <v>3184</v>
      </c>
      <c r="E1286" s="8" t="s">
        <v>90</v>
      </c>
      <c r="F1286" s="2"/>
      <c r="G1286" s="2">
        <v>7512</v>
      </c>
      <c r="H1286" s="2"/>
      <c r="I1286" s="2">
        <v>10029</v>
      </c>
      <c r="J1286" s="2" t="s">
        <v>447</v>
      </c>
      <c r="K1286" s="2">
        <v>10.1</v>
      </c>
      <c r="L1286" s="2">
        <v>10.111800000000001</v>
      </c>
      <c r="M1286" s="2">
        <v>1.18E-2</v>
      </c>
      <c r="N1286" s="8" t="s">
        <v>11853</v>
      </c>
      <c r="O1286" s="8"/>
      <c r="P1286" s="2">
        <v>4</v>
      </c>
      <c r="Q1286" s="8"/>
      <c r="R1286" s="8" t="s">
        <v>6687</v>
      </c>
      <c r="S1286" s="8" t="str">
        <f>HYPERLINK("https://seichotoushi-hojo.jp/assets/pdf/koufu_3_4ji/outline_154.pdf","PDFを開く")</f>
        <v>PDFを開く</v>
      </c>
      <c r="T1286" s="8" t="s">
        <v>2691</v>
      </c>
      <c r="U1286" s="8" t="s">
        <v>2692</v>
      </c>
    </row>
    <row r="1287" spans="1:21" ht="39.950000000000003" customHeight="1">
      <c r="A1287" s="5" t="s">
        <v>2684</v>
      </c>
      <c r="B1287" s="5" t="s">
        <v>2430</v>
      </c>
      <c r="C1287" s="9" t="s">
        <v>2685</v>
      </c>
      <c r="D1287" s="9" t="s">
        <v>3188</v>
      </c>
      <c r="E1287" s="9" t="s">
        <v>90</v>
      </c>
      <c r="F1287" s="5"/>
      <c r="G1287" s="5">
        <v>23716</v>
      </c>
      <c r="H1287" s="5"/>
      <c r="I1287" s="5">
        <v>31566</v>
      </c>
      <c r="J1287" s="5" t="s">
        <v>447</v>
      </c>
      <c r="K1287" s="5">
        <v>10</v>
      </c>
      <c r="L1287" s="5">
        <v>10</v>
      </c>
      <c r="M1287" s="5">
        <v>0</v>
      </c>
      <c r="N1287" s="9" t="s">
        <v>11853</v>
      </c>
      <c r="O1287" s="9"/>
      <c r="P1287" s="5">
        <v>4</v>
      </c>
      <c r="Q1287" s="9"/>
      <c r="R1287" s="9" t="s">
        <v>6690</v>
      </c>
      <c r="S1287" s="9" t="str">
        <f>HYPERLINK("https://seichotoushi-hojo.jp/assets/pdf/koufu_3_4ji/outline_154.pdf","PDFを開く")</f>
        <v>PDFを開く</v>
      </c>
      <c r="T1287" s="9" t="s">
        <v>2691</v>
      </c>
      <c r="U1287" s="9" t="s">
        <v>2692</v>
      </c>
    </row>
    <row r="1288" spans="1:21" ht="39.950000000000003" customHeight="1">
      <c r="A1288" s="2" t="s">
        <v>2684</v>
      </c>
      <c r="B1288" s="2" t="s">
        <v>2430</v>
      </c>
      <c r="C1288" s="8" t="s">
        <v>2685</v>
      </c>
      <c r="D1288" s="8" t="s">
        <v>3191</v>
      </c>
      <c r="E1288" s="8" t="s">
        <v>92</v>
      </c>
      <c r="F1288" s="2"/>
      <c r="G1288" s="2">
        <v>104</v>
      </c>
      <c r="H1288" s="2"/>
      <c r="I1288" s="2">
        <v>140</v>
      </c>
      <c r="J1288" s="2" t="s">
        <v>2513</v>
      </c>
      <c r="K1288" s="2"/>
      <c r="L1288" s="2"/>
      <c r="M1288" s="2"/>
      <c r="N1288" s="8" t="s">
        <v>11853</v>
      </c>
      <c r="O1288" s="8"/>
      <c r="P1288" s="2">
        <v>4</v>
      </c>
      <c r="Q1288" s="8"/>
      <c r="R1288" s="8" t="s">
        <v>6692</v>
      </c>
      <c r="S1288" s="8" t="str">
        <f>HYPERLINK("https://seichotoushi-hojo.jp/assets/pdf/koufu_3_4ji/outline_154.pdf","PDFを開く")</f>
        <v>PDFを開く</v>
      </c>
      <c r="T1288" s="8" t="s">
        <v>2691</v>
      </c>
      <c r="U1288" s="8" t="s">
        <v>2692</v>
      </c>
    </row>
    <row r="1289" spans="1:21" ht="39.950000000000003" customHeight="1">
      <c r="A1289" s="5" t="s">
        <v>2693</v>
      </c>
      <c r="B1289" s="5" t="s">
        <v>2430</v>
      </c>
      <c r="C1289" s="9" t="s">
        <v>2694</v>
      </c>
      <c r="D1289" s="9" t="s">
        <v>3176</v>
      </c>
      <c r="E1289" s="9" t="s">
        <v>90</v>
      </c>
      <c r="F1289" s="5"/>
      <c r="G1289" s="5">
        <v>12516</v>
      </c>
      <c r="H1289" s="5"/>
      <c r="I1289" s="5">
        <v>24779</v>
      </c>
      <c r="J1289" s="5" t="s">
        <v>447</v>
      </c>
      <c r="K1289" s="5">
        <v>25.6</v>
      </c>
      <c r="L1289" s="5">
        <v>25.566199999999998</v>
      </c>
      <c r="M1289" s="5">
        <v>3.3799999999999997E-2</v>
      </c>
      <c r="N1289" s="9" t="s">
        <v>11853</v>
      </c>
      <c r="O1289" s="9"/>
      <c r="P1289" s="5">
        <v>2</v>
      </c>
      <c r="Q1289" s="9"/>
      <c r="R1289" s="9" t="s">
        <v>6694</v>
      </c>
      <c r="S1289" s="9" t="str">
        <f>HYPERLINK("https://seichotoushi-hojo.jp/assets/pdf/koufu_3_4ji/outline_155.pdf","PDFを開く")</f>
        <v>PDFを開く</v>
      </c>
      <c r="T1289" s="9" t="s">
        <v>2698</v>
      </c>
      <c r="U1289" s="9" t="s">
        <v>2699</v>
      </c>
    </row>
    <row r="1290" spans="1:21" ht="39.950000000000003" customHeight="1">
      <c r="A1290" s="2" t="s">
        <v>2693</v>
      </c>
      <c r="B1290" s="2" t="s">
        <v>2430</v>
      </c>
      <c r="C1290" s="8" t="s">
        <v>2694</v>
      </c>
      <c r="D1290" s="8" t="s">
        <v>3184</v>
      </c>
      <c r="E1290" s="8" t="s">
        <v>90</v>
      </c>
      <c r="F1290" s="2"/>
      <c r="G1290" s="2">
        <v>5613</v>
      </c>
      <c r="H1290" s="2"/>
      <c r="I1290" s="2">
        <v>7136</v>
      </c>
      <c r="J1290" s="2" t="s">
        <v>447</v>
      </c>
      <c r="K1290" s="2">
        <v>8.3000000000000007</v>
      </c>
      <c r="L1290" s="2">
        <v>8.3310999999999993</v>
      </c>
      <c r="M1290" s="2">
        <v>3.1099999999999999E-2</v>
      </c>
      <c r="N1290" s="8" t="s">
        <v>11853</v>
      </c>
      <c r="O1290" s="8"/>
      <c r="P1290" s="2">
        <v>2</v>
      </c>
      <c r="Q1290" s="8"/>
      <c r="R1290" s="8" t="s">
        <v>6697</v>
      </c>
      <c r="S1290" s="8" t="str">
        <f>HYPERLINK("https://seichotoushi-hojo.jp/assets/pdf/koufu_3_4ji/outline_155.pdf","PDFを開く")</f>
        <v>PDFを開く</v>
      </c>
      <c r="T1290" s="8" t="s">
        <v>2698</v>
      </c>
      <c r="U1290" s="8" t="s">
        <v>2699</v>
      </c>
    </row>
    <row r="1291" spans="1:21" ht="39.950000000000003" customHeight="1">
      <c r="A1291" s="5" t="s">
        <v>2693</v>
      </c>
      <c r="B1291" s="5" t="s">
        <v>2430</v>
      </c>
      <c r="C1291" s="9" t="s">
        <v>2694</v>
      </c>
      <c r="D1291" s="9" t="s">
        <v>3188</v>
      </c>
      <c r="E1291" s="9" t="s">
        <v>91</v>
      </c>
      <c r="F1291" s="5"/>
      <c r="G1291" s="5"/>
      <c r="H1291" s="5"/>
      <c r="I1291" s="5"/>
      <c r="J1291" s="5" t="s">
        <v>447</v>
      </c>
      <c r="K1291" s="5">
        <v>5.7</v>
      </c>
      <c r="L1291" s="5"/>
      <c r="M1291" s="5"/>
      <c r="N1291" s="9" t="s">
        <v>11854</v>
      </c>
      <c r="O1291" s="9" t="s">
        <v>11848</v>
      </c>
      <c r="P1291" s="5">
        <v>2</v>
      </c>
      <c r="Q1291" s="9"/>
      <c r="R1291" s="9" t="s">
        <v>6702</v>
      </c>
      <c r="S1291" s="9" t="str">
        <f>HYPERLINK("https://seichotoushi-hojo.jp/assets/pdf/koufu_3_4ji/outline_155.pdf","PDFを開く")</f>
        <v>PDFを開く</v>
      </c>
      <c r="T1291" s="9" t="s">
        <v>2698</v>
      </c>
      <c r="U1291" s="9" t="s">
        <v>2699</v>
      </c>
    </row>
    <row r="1292" spans="1:21" ht="39.950000000000003" customHeight="1">
      <c r="A1292" s="2" t="s">
        <v>2693</v>
      </c>
      <c r="B1292" s="2" t="s">
        <v>2430</v>
      </c>
      <c r="C1292" s="8" t="s">
        <v>2694</v>
      </c>
      <c r="D1292" s="8" t="s">
        <v>3191</v>
      </c>
      <c r="E1292" s="8" t="s">
        <v>92</v>
      </c>
      <c r="F1292" s="2"/>
      <c r="G1292" s="2">
        <v>40</v>
      </c>
      <c r="H1292" s="2"/>
      <c r="I1292" s="2">
        <v>49</v>
      </c>
      <c r="J1292" s="2" t="s">
        <v>2513</v>
      </c>
      <c r="K1292" s="2"/>
      <c r="L1292" s="2"/>
      <c r="M1292" s="2"/>
      <c r="N1292" s="8" t="s">
        <v>11853</v>
      </c>
      <c r="O1292" s="8"/>
      <c r="P1292" s="2">
        <v>2</v>
      </c>
      <c r="Q1292" s="8"/>
      <c r="R1292" s="8" t="s">
        <v>6700</v>
      </c>
      <c r="S1292" s="8" t="str">
        <f>HYPERLINK("https://seichotoushi-hojo.jp/assets/pdf/koufu_3_4ji/outline_155.pdf","PDFを開く")</f>
        <v>PDFを開く</v>
      </c>
      <c r="T1292" s="8" t="s">
        <v>2698</v>
      </c>
      <c r="U1292" s="8" t="s">
        <v>2699</v>
      </c>
    </row>
    <row r="1293" spans="1:21" ht="39.950000000000003" customHeight="1">
      <c r="A1293" s="5" t="s">
        <v>2700</v>
      </c>
      <c r="B1293" s="5" t="s">
        <v>2430</v>
      </c>
      <c r="C1293" s="9" t="s">
        <v>2701</v>
      </c>
      <c r="D1293" s="9" t="s">
        <v>3176</v>
      </c>
      <c r="E1293" s="9" t="s">
        <v>90</v>
      </c>
      <c r="F1293" s="5"/>
      <c r="G1293" s="5">
        <v>29819</v>
      </c>
      <c r="H1293" s="5"/>
      <c r="I1293" s="5">
        <v>46030</v>
      </c>
      <c r="J1293" s="5" t="s">
        <v>447</v>
      </c>
      <c r="K1293" s="5">
        <v>15.6</v>
      </c>
      <c r="L1293" s="5">
        <v>15.571099999999999</v>
      </c>
      <c r="M1293" s="5">
        <v>2.8899999999999999E-2</v>
      </c>
      <c r="N1293" s="9" t="s">
        <v>11853</v>
      </c>
      <c r="O1293" s="9"/>
      <c r="P1293" s="5">
        <v>2</v>
      </c>
      <c r="Q1293" s="9"/>
      <c r="R1293" s="9" t="s">
        <v>6706</v>
      </c>
      <c r="S1293" s="9" t="str">
        <f>HYPERLINK("https://seichotoushi-hojo.jp/assets/pdf/koufu_3_4ji/outline_156.pdf","PDFを開く")</f>
        <v>PDFを開く</v>
      </c>
      <c r="T1293" s="9" t="s">
        <v>2707</v>
      </c>
      <c r="U1293" s="9" t="s">
        <v>2708</v>
      </c>
    </row>
    <row r="1294" spans="1:21" ht="39.950000000000003" customHeight="1">
      <c r="A1294" s="2" t="s">
        <v>2700</v>
      </c>
      <c r="B1294" s="2" t="s">
        <v>2430</v>
      </c>
      <c r="C1294" s="8" t="s">
        <v>2701</v>
      </c>
      <c r="D1294" s="8" t="s">
        <v>3184</v>
      </c>
      <c r="E1294" s="8" t="s">
        <v>90</v>
      </c>
      <c r="F1294" s="2"/>
      <c r="G1294" s="2">
        <v>6506</v>
      </c>
      <c r="H1294" s="2"/>
      <c r="I1294" s="2">
        <v>7971</v>
      </c>
      <c r="J1294" s="2" t="s">
        <v>447</v>
      </c>
      <c r="K1294" s="2">
        <v>7</v>
      </c>
      <c r="L1294" s="2">
        <v>7.0038999999999998</v>
      </c>
      <c r="M1294" s="2">
        <v>3.8999999999999998E-3</v>
      </c>
      <c r="N1294" s="8" t="s">
        <v>11853</v>
      </c>
      <c r="O1294" s="8"/>
      <c r="P1294" s="2">
        <v>2</v>
      </c>
      <c r="Q1294" s="8"/>
      <c r="R1294" s="8" t="s">
        <v>6709</v>
      </c>
      <c r="S1294" s="8" t="str">
        <f>HYPERLINK("https://seichotoushi-hojo.jp/assets/pdf/koufu_3_4ji/outline_156.pdf","PDFを開く")</f>
        <v>PDFを開く</v>
      </c>
      <c r="T1294" s="8" t="s">
        <v>2707</v>
      </c>
      <c r="U1294" s="8" t="s">
        <v>2708</v>
      </c>
    </row>
    <row r="1295" spans="1:21" ht="39.950000000000003" customHeight="1">
      <c r="A1295" s="5" t="s">
        <v>2700</v>
      </c>
      <c r="B1295" s="5" t="s">
        <v>2430</v>
      </c>
      <c r="C1295" s="9" t="s">
        <v>2701</v>
      </c>
      <c r="D1295" s="9" t="s">
        <v>3188</v>
      </c>
      <c r="E1295" s="9" t="s">
        <v>156</v>
      </c>
      <c r="F1295" s="5"/>
      <c r="G1295" s="5"/>
      <c r="H1295" s="5"/>
      <c r="I1295" s="5"/>
      <c r="J1295" s="5"/>
      <c r="K1295" s="5"/>
      <c r="L1295" s="5"/>
      <c r="M1295" s="5"/>
      <c r="N1295" s="9" t="s">
        <v>11850</v>
      </c>
      <c r="O1295" s="9"/>
      <c r="P1295" s="5"/>
      <c r="Q1295" s="9" t="s">
        <v>11851</v>
      </c>
      <c r="R1295" s="9"/>
      <c r="S1295" s="9" t="str">
        <f>HYPERLINK("https://seichotoushi-hojo.jp/assets/pdf/koufu_3_4ji/outline_156.pdf","PDFを開く")</f>
        <v>PDFを開く</v>
      </c>
      <c r="T1295" s="9" t="s">
        <v>2707</v>
      </c>
      <c r="U1295" s="9" t="s">
        <v>2708</v>
      </c>
    </row>
    <row r="1296" spans="1:21" ht="39.950000000000003" customHeight="1">
      <c r="A1296" s="2" t="s">
        <v>2700</v>
      </c>
      <c r="B1296" s="2" t="s">
        <v>2430</v>
      </c>
      <c r="C1296" s="8" t="s">
        <v>2701</v>
      </c>
      <c r="D1296" s="8" t="s">
        <v>3191</v>
      </c>
      <c r="E1296" s="8" t="s">
        <v>92</v>
      </c>
      <c r="F1296" s="2"/>
      <c r="G1296" s="2">
        <v>16</v>
      </c>
      <c r="H1296" s="2"/>
      <c r="I1296" s="2">
        <v>46</v>
      </c>
      <c r="J1296" s="2" t="s">
        <v>2513</v>
      </c>
      <c r="K1296" s="2"/>
      <c r="L1296" s="2"/>
      <c r="M1296" s="2"/>
      <c r="N1296" s="8" t="s">
        <v>11853</v>
      </c>
      <c r="O1296" s="8"/>
      <c r="P1296" s="2">
        <v>2</v>
      </c>
      <c r="Q1296" s="8"/>
      <c r="R1296" s="8" t="s">
        <v>6712</v>
      </c>
      <c r="S1296" s="8" t="str">
        <f>HYPERLINK("https://seichotoushi-hojo.jp/assets/pdf/koufu_3_4ji/outline_156.pdf","PDFを開く")</f>
        <v>PDFを開く</v>
      </c>
      <c r="T1296" s="8" t="s">
        <v>2707</v>
      </c>
      <c r="U1296" s="8" t="s">
        <v>2708</v>
      </c>
    </row>
    <row r="1297" spans="1:21" ht="39.950000000000003" customHeight="1">
      <c r="A1297" s="5" t="s">
        <v>2709</v>
      </c>
      <c r="B1297" s="5" t="s">
        <v>2430</v>
      </c>
      <c r="C1297" s="9" t="s">
        <v>2710</v>
      </c>
      <c r="D1297" s="9" t="s">
        <v>3176</v>
      </c>
      <c r="E1297" s="9" t="s">
        <v>90</v>
      </c>
      <c r="F1297" s="5">
        <v>2027</v>
      </c>
      <c r="G1297" s="5">
        <v>648</v>
      </c>
      <c r="H1297" s="5">
        <v>2030</v>
      </c>
      <c r="I1297" s="5">
        <v>877</v>
      </c>
      <c r="J1297" s="5" t="s">
        <v>86</v>
      </c>
      <c r="K1297" s="5">
        <v>10.6</v>
      </c>
      <c r="L1297" s="5">
        <v>10.6135</v>
      </c>
      <c r="M1297" s="5">
        <v>1.35E-2</v>
      </c>
      <c r="N1297" s="9" t="s">
        <v>11846</v>
      </c>
      <c r="O1297" s="9" t="s">
        <v>11847</v>
      </c>
      <c r="P1297" s="5">
        <v>2</v>
      </c>
      <c r="Q1297" s="9"/>
      <c r="R1297" s="9" t="s">
        <v>6715</v>
      </c>
      <c r="S1297" s="9" t="str">
        <f>HYPERLINK("https://seichotoushi-hojo.jp/assets/pdf/koufu_3_4ji/outline_157.pdf","PDFを開く")</f>
        <v>PDFを開く</v>
      </c>
      <c r="T1297" s="9" t="s">
        <v>2715</v>
      </c>
      <c r="U1297" s="9" t="s">
        <v>2716</v>
      </c>
    </row>
    <row r="1298" spans="1:21" ht="39.950000000000003" customHeight="1">
      <c r="A1298" s="2" t="s">
        <v>2709</v>
      </c>
      <c r="B1298" s="2" t="s">
        <v>2430</v>
      </c>
      <c r="C1298" s="8" t="s">
        <v>2710</v>
      </c>
      <c r="D1298" s="8" t="s">
        <v>3184</v>
      </c>
      <c r="E1298" s="8" t="s">
        <v>90</v>
      </c>
      <c r="F1298" s="2">
        <v>2027</v>
      </c>
      <c r="G1298" s="2">
        <v>455</v>
      </c>
      <c r="H1298" s="2">
        <v>2030</v>
      </c>
      <c r="I1298" s="2">
        <v>573</v>
      </c>
      <c r="J1298" s="2" t="s">
        <v>86</v>
      </c>
      <c r="K1298" s="2">
        <v>8</v>
      </c>
      <c r="L1298" s="2">
        <v>7.9893999999999998</v>
      </c>
      <c r="M1298" s="2">
        <v>1.06E-2</v>
      </c>
      <c r="N1298" s="8" t="s">
        <v>11846</v>
      </c>
      <c r="O1298" s="8" t="s">
        <v>11847</v>
      </c>
      <c r="P1298" s="2">
        <v>2</v>
      </c>
      <c r="Q1298" s="8"/>
      <c r="R1298" s="8" t="s">
        <v>6717</v>
      </c>
      <c r="S1298" s="8" t="str">
        <f>HYPERLINK("https://seichotoushi-hojo.jp/assets/pdf/koufu_3_4ji/outline_157.pdf","PDFを開く")</f>
        <v>PDFを開く</v>
      </c>
      <c r="T1298" s="8" t="s">
        <v>2715</v>
      </c>
      <c r="U1298" s="8" t="s">
        <v>2716</v>
      </c>
    </row>
    <row r="1299" spans="1:21" ht="39.950000000000003" customHeight="1">
      <c r="A1299" s="5" t="s">
        <v>2709</v>
      </c>
      <c r="B1299" s="5" t="s">
        <v>2430</v>
      </c>
      <c r="C1299" s="9" t="s">
        <v>2710</v>
      </c>
      <c r="D1299" s="9" t="s">
        <v>3188</v>
      </c>
      <c r="E1299" s="9" t="s">
        <v>90</v>
      </c>
      <c r="F1299" s="5">
        <v>2027</v>
      </c>
      <c r="G1299" s="5">
        <v>1902</v>
      </c>
      <c r="H1299" s="5">
        <v>2030</v>
      </c>
      <c r="I1299" s="5">
        <v>2396</v>
      </c>
      <c r="J1299" s="5" t="s">
        <v>86</v>
      </c>
      <c r="K1299" s="5">
        <v>8</v>
      </c>
      <c r="L1299" s="5">
        <v>8.0004000000000008</v>
      </c>
      <c r="M1299" s="5">
        <v>4.0000000000000002E-4</v>
      </c>
      <c r="N1299" s="9" t="s">
        <v>11846</v>
      </c>
      <c r="O1299" s="9" t="s">
        <v>11847</v>
      </c>
      <c r="P1299" s="5">
        <v>2</v>
      </c>
      <c r="Q1299" s="9"/>
      <c r="R1299" s="9" t="s">
        <v>6718</v>
      </c>
      <c r="S1299" s="9" t="str">
        <f>HYPERLINK("https://seichotoushi-hojo.jp/assets/pdf/koufu_3_4ji/outline_157.pdf","PDFを開く")</f>
        <v>PDFを開く</v>
      </c>
      <c r="T1299" s="9" t="s">
        <v>2715</v>
      </c>
      <c r="U1299" s="9" t="s">
        <v>2716</v>
      </c>
    </row>
    <row r="1300" spans="1:21" ht="39.950000000000003" customHeight="1">
      <c r="A1300" s="2" t="s">
        <v>2709</v>
      </c>
      <c r="B1300" s="2" t="s">
        <v>2430</v>
      </c>
      <c r="C1300" s="8" t="s">
        <v>2710</v>
      </c>
      <c r="D1300" s="8" t="s">
        <v>3191</v>
      </c>
      <c r="E1300" s="8" t="s">
        <v>92</v>
      </c>
      <c r="F1300" s="2">
        <v>2027</v>
      </c>
      <c r="G1300" s="2">
        <v>1332</v>
      </c>
      <c r="H1300" s="2">
        <v>2030</v>
      </c>
      <c r="I1300" s="2">
        <v>1857</v>
      </c>
      <c r="J1300" s="2" t="s">
        <v>2513</v>
      </c>
      <c r="K1300" s="2"/>
      <c r="L1300" s="2"/>
      <c r="M1300" s="2"/>
      <c r="N1300" s="8" t="s">
        <v>11846</v>
      </c>
      <c r="O1300" s="8" t="s">
        <v>11847</v>
      </c>
      <c r="P1300" s="2">
        <v>2</v>
      </c>
      <c r="Q1300" s="8"/>
      <c r="R1300" s="8" t="s">
        <v>6719</v>
      </c>
      <c r="S1300" s="8" t="str">
        <f>HYPERLINK("https://seichotoushi-hojo.jp/assets/pdf/koufu_3_4ji/outline_157.pdf","PDFを開く")</f>
        <v>PDFを開く</v>
      </c>
      <c r="T1300" s="8" t="s">
        <v>2715</v>
      </c>
      <c r="U1300" s="8" t="s">
        <v>2716</v>
      </c>
    </row>
    <row r="1301" spans="1:21" ht="39.950000000000003" customHeight="1">
      <c r="A1301" s="5" t="s">
        <v>2717</v>
      </c>
      <c r="B1301" s="5" t="s">
        <v>2430</v>
      </c>
      <c r="C1301" s="9" t="s">
        <v>2718</v>
      </c>
      <c r="D1301" s="9" t="s">
        <v>3176</v>
      </c>
      <c r="E1301" s="9" t="s">
        <v>90</v>
      </c>
      <c r="F1301" s="5"/>
      <c r="G1301" s="5">
        <v>5031</v>
      </c>
      <c r="H1301" s="5"/>
      <c r="I1301" s="5">
        <v>11248</v>
      </c>
      <c r="J1301" s="5" t="s">
        <v>447</v>
      </c>
      <c r="K1301" s="5">
        <v>30.8</v>
      </c>
      <c r="L1301" s="5">
        <v>30.759599999999999</v>
      </c>
      <c r="M1301" s="5">
        <v>4.0399999999999998E-2</v>
      </c>
      <c r="N1301" s="9" t="s">
        <v>11853</v>
      </c>
      <c r="O1301" s="9"/>
      <c r="P1301" s="5">
        <v>2</v>
      </c>
      <c r="Q1301" s="9"/>
      <c r="R1301" s="9" t="s">
        <v>6722</v>
      </c>
      <c r="S1301" s="9" t="str">
        <f>HYPERLINK("https://seichotoushi-hojo.jp/assets/pdf/koufu_3_4ji/outline_158.pdf","PDFを開く")</f>
        <v>PDFを開く</v>
      </c>
      <c r="T1301" s="9" t="s">
        <v>2723</v>
      </c>
      <c r="U1301" s="9" t="s">
        <v>2724</v>
      </c>
    </row>
    <row r="1302" spans="1:21" ht="39.950000000000003" customHeight="1">
      <c r="A1302" s="2" t="s">
        <v>2717</v>
      </c>
      <c r="B1302" s="2" t="s">
        <v>2430</v>
      </c>
      <c r="C1302" s="8" t="s">
        <v>2718</v>
      </c>
      <c r="D1302" s="8" t="s">
        <v>3184</v>
      </c>
      <c r="E1302" s="8" t="s">
        <v>90</v>
      </c>
      <c r="F1302" s="2"/>
      <c r="G1302" s="2">
        <v>3481</v>
      </c>
      <c r="H1302" s="2"/>
      <c r="I1302" s="2">
        <v>4205</v>
      </c>
      <c r="J1302" s="2" t="s">
        <v>447</v>
      </c>
      <c r="K1302" s="2">
        <v>6.5</v>
      </c>
      <c r="L1302" s="2">
        <v>6.5011000000000001</v>
      </c>
      <c r="M1302" s="2">
        <v>1.1000000000000001E-3</v>
      </c>
      <c r="N1302" s="8" t="s">
        <v>11853</v>
      </c>
      <c r="O1302" s="8"/>
      <c r="P1302" s="2">
        <v>2</v>
      </c>
      <c r="Q1302" s="8"/>
      <c r="R1302" s="8" t="s">
        <v>6725</v>
      </c>
      <c r="S1302" s="8" t="str">
        <f>HYPERLINK("https://seichotoushi-hojo.jp/assets/pdf/koufu_3_4ji/outline_158.pdf","PDFを開く")</f>
        <v>PDFを開く</v>
      </c>
      <c r="T1302" s="8" t="s">
        <v>2723</v>
      </c>
      <c r="U1302" s="8" t="s">
        <v>2724</v>
      </c>
    </row>
    <row r="1303" spans="1:21" ht="39.950000000000003" customHeight="1">
      <c r="A1303" s="5" t="s">
        <v>2717</v>
      </c>
      <c r="B1303" s="5" t="s">
        <v>2430</v>
      </c>
      <c r="C1303" s="9" t="s">
        <v>2718</v>
      </c>
      <c r="D1303" s="9" t="s">
        <v>3188</v>
      </c>
      <c r="E1303" s="9" t="s">
        <v>91</v>
      </c>
      <c r="F1303" s="5"/>
      <c r="G1303" s="5"/>
      <c r="H1303" s="5"/>
      <c r="I1303" s="5"/>
      <c r="J1303" s="5" t="s">
        <v>447</v>
      </c>
      <c r="K1303" s="5">
        <v>6.5</v>
      </c>
      <c r="L1303" s="5"/>
      <c r="M1303" s="5"/>
      <c r="N1303" s="9" t="s">
        <v>11854</v>
      </c>
      <c r="O1303" s="9" t="s">
        <v>11848</v>
      </c>
      <c r="P1303" s="5">
        <v>2</v>
      </c>
      <c r="Q1303" s="9"/>
      <c r="R1303" s="9" t="s">
        <v>6330</v>
      </c>
      <c r="S1303" s="9" t="str">
        <f>HYPERLINK("https://seichotoushi-hojo.jp/assets/pdf/koufu_3_4ji/outline_158.pdf","PDFを開く")</f>
        <v>PDFを開く</v>
      </c>
      <c r="T1303" s="9" t="s">
        <v>2723</v>
      </c>
      <c r="U1303" s="9" t="s">
        <v>2724</v>
      </c>
    </row>
    <row r="1304" spans="1:21" ht="39.950000000000003" customHeight="1">
      <c r="A1304" s="2" t="s">
        <v>2717</v>
      </c>
      <c r="B1304" s="2" t="s">
        <v>2430</v>
      </c>
      <c r="C1304" s="8" t="s">
        <v>2718</v>
      </c>
      <c r="D1304" s="8" t="s">
        <v>3191</v>
      </c>
      <c r="E1304" s="8" t="s">
        <v>92</v>
      </c>
      <c r="F1304" s="2"/>
      <c r="G1304" s="2">
        <v>123</v>
      </c>
      <c r="H1304" s="2"/>
      <c r="I1304" s="2">
        <v>132</v>
      </c>
      <c r="J1304" s="2" t="s">
        <v>2513</v>
      </c>
      <c r="K1304" s="2"/>
      <c r="L1304" s="2"/>
      <c r="M1304" s="2"/>
      <c r="N1304" s="8" t="s">
        <v>11853</v>
      </c>
      <c r="O1304" s="8"/>
      <c r="P1304" s="2">
        <v>2</v>
      </c>
      <c r="Q1304" s="8"/>
      <c r="R1304" s="8" t="s">
        <v>6728</v>
      </c>
      <c r="S1304" s="8" t="str">
        <f>HYPERLINK("https://seichotoushi-hojo.jp/assets/pdf/koufu_3_4ji/outline_158.pdf","PDFを開く")</f>
        <v>PDFを開く</v>
      </c>
      <c r="T1304" s="8" t="s">
        <v>2723</v>
      </c>
      <c r="U1304" s="8" t="s">
        <v>2724</v>
      </c>
    </row>
    <row r="1305" spans="1:21" ht="39.950000000000003" customHeight="1">
      <c r="A1305" s="5" t="s">
        <v>2725</v>
      </c>
      <c r="B1305" s="5" t="s">
        <v>2430</v>
      </c>
      <c r="C1305" s="9" t="s">
        <v>2726</v>
      </c>
      <c r="D1305" s="9" t="s">
        <v>3176</v>
      </c>
      <c r="E1305" s="9" t="s">
        <v>90</v>
      </c>
      <c r="F1305" s="5"/>
      <c r="G1305" s="5">
        <v>10694</v>
      </c>
      <c r="H1305" s="5"/>
      <c r="I1305" s="5">
        <v>16855</v>
      </c>
      <c r="J1305" s="5" t="s">
        <v>447</v>
      </c>
      <c r="K1305" s="5">
        <v>16.399999999999999</v>
      </c>
      <c r="L1305" s="5">
        <v>16.375800000000002</v>
      </c>
      <c r="M1305" s="5">
        <v>2.4199999999999999E-2</v>
      </c>
      <c r="N1305" s="9" t="s">
        <v>11853</v>
      </c>
      <c r="O1305" s="9"/>
      <c r="P1305" s="5">
        <v>2</v>
      </c>
      <c r="Q1305" s="9"/>
      <c r="R1305" s="9" t="s">
        <v>6732</v>
      </c>
      <c r="S1305" s="9" t="str">
        <f>HYPERLINK("https://seichotoushi-hojo.jp/assets/pdf/koufu_3_4ji/outline_159.pdf","PDFを開く")</f>
        <v>PDFを開く</v>
      </c>
      <c r="T1305" s="9" t="s">
        <v>2732</v>
      </c>
      <c r="U1305" s="9" t="s">
        <v>2733</v>
      </c>
    </row>
    <row r="1306" spans="1:21" ht="39.950000000000003" customHeight="1">
      <c r="A1306" s="2" t="s">
        <v>2725</v>
      </c>
      <c r="B1306" s="2" t="s">
        <v>2430</v>
      </c>
      <c r="C1306" s="8" t="s">
        <v>2726</v>
      </c>
      <c r="D1306" s="8" t="s">
        <v>3184</v>
      </c>
      <c r="E1306" s="8" t="s">
        <v>90</v>
      </c>
      <c r="F1306" s="2"/>
      <c r="G1306" s="2">
        <v>3878</v>
      </c>
      <c r="H1306" s="2"/>
      <c r="I1306" s="2">
        <v>4685</v>
      </c>
      <c r="J1306" s="2" t="s">
        <v>447</v>
      </c>
      <c r="K1306" s="2">
        <v>6.5</v>
      </c>
      <c r="L1306" s="2">
        <v>6.5042999999999997</v>
      </c>
      <c r="M1306" s="2">
        <v>4.3E-3</v>
      </c>
      <c r="N1306" s="8" t="s">
        <v>11853</v>
      </c>
      <c r="O1306" s="8"/>
      <c r="P1306" s="2">
        <v>2</v>
      </c>
      <c r="Q1306" s="8"/>
      <c r="R1306" s="8" t="s">
        <v>6735</v>
      </c>
      <c r="S1306" s="8" t="str">
        <f>HYPERLINK("https://seichotoushi-hojo.jp/assets/pdf/koufu_3_4ji/outline_159.pdf","PDFを開く")</f>
        <v>PDFを開く</v>
      </c>
      <c r="T1306" s="8" t="s">
        <v>2732</v>
      </c>
      <c r="U1306" s="8" t="s">
        <v>2733</v>
      </c>
    </row>
    <row r="1307" spans="1:21" ht="39.950000000000003" customHeight="1">
      <c r="A1307" s="5" t="s">
        <v>2725</v>
      </c>
      <c r="B1307" s="5" t="s">
        <v>2430</v>
      </c>
      <c r="C1307" s="9" t="s">
        <v>2726</v>
      </c>
      <c r="D1307" s="9" t="s">
        <v>3188</v>
      </c>
      <c r="E1307" s="9" t="s">
        <v>90</v>
      </c>
      <c r="F1307" s="5"/>
      <c r="G1307" s="5">
        <v>11109</v>
      </c>
      <c r="H1307" s="5"/>
      <c r="I1307" s="5">
        <v>12970</v>
      </c>
      <c r="J1307" s="5" t="s">
        <v>447</v>
      </c>
      <c r="K1307" s="5">
        <v>5.3</v>
      </c>
      <c r="L1307" s="5">
        <v>5.2984</v>
      </c>
      <c r="M1307" s="5">
        <v>1.6000000000000001E-3</v>
      </c>
      <c r="N1307" s="9" t="s">
        <v>11853</v>
      </c>
      <c r="O1307" s="9"/>
      <c r="P1307" s="5">
        <v>2</v>
      </c>
      <c r="Q1307" s="9"/>
      <c r="R1307" s="9" t="s">
        <v>6738</v>
      </c>
      <c r="S1307" s="9" t="str">
        <f>HYPERLINK("https://seichotoushi-hojo.jp/assets/pdf/koufu_3_4ji/outline_159.pdf","PDFを開く")</f>
        <v>PDFを開く</v>
      </c>
      <c r="T1307" s="9" t="s">
        <v>2732</v>
      </c>
      <c r="U1307" s="9" t="s">
        <v>2733</v>
      </c>
    </row>
    <row r="1308" spans="1:21" ht="39.950000000000003" customHeight="1">
      <c r="A1308" s="2" t="s">
        <v>2725</v>
      </c>
      <c r="B1308" s="2" t="s">
        <v>2430</v>
      </c>
      <c r="C1308" s="8" t="s">
        <v>2726</v>
      </c>
      <c r="D1308" s="8" t="s">
        <v>3191</v>
      </c>
      <c r="E1308" s="8" t="s">
        <v>92</v>
      </c>
      <c r="F1308" s="2"/>
      <c r="G1308" s="2">
        <v>70</v>
      </c>
      <c r="H1308" s="2"/>
      <c r="I1308" s="2">
        <v>75</v>
      </c>
      <c r="J1308" s="2" t="s">
        <v>2513</v>
      </c>
      <c r="K1308" s="2"/>
      <c r="L1308" s="2"/>
      <c r="M1308" s="2"/>
      <c r="N1308" s="8" t="s">
        <v>11853</v>
      </c>
      <c r="O1308" s="8"/>
      <c r="P1308" s="2">
        <v>2</v>
      </c>
      <c r="Q1308" s="8"/>
      <c r="R1308" s="8" t="s">
        <v>6740</v>
      </c>
      <c r="S1308" s="8" t="str">
        <f>HYPERLINK("https://seichotoushi-hojo.jp/assets/pdf/koufu_3_4ji/outline_159.pdf","PDFを開く")</f>
        <v>PDFを開く</v>
      </c>
      <c r="T1308" s="8" t="s">
        <v>2732</v>
      </c>
      <c r="U1308" s="8" t="s">
        <v>2733</v>
      </c>
    </row>
    <row r="1309" spans="1:21" ht="39.950000000000003" customHeight="1">
      <c r="A1309" s="5" t="s">
        <v>2734</v>
      </c>
      <c r="B1309" s="5" t="s">
        <v>2430</v>
      </c>
      <c r="C1309" s="9" t="s">
        <v>2735</v>
      </c>
      <c r="D1309" s="9" t="s">
        <v>3176</v>
      </c>
      <c r="E1309" s="9" t="s">
        <v>90</v>
      </c>
      <c r="F1309" s="5"/>
      <c r="G1309" s="5">
        <v>7920</v>
      </c>
      <c r="H1309" s="5"/>
      <c r="I1309" s="5">
        <v>13621</v>
      </c>
      <c r="J1309" s="5" t="s">
        <v>447</v>
      </c>
      <c r="K1309" s="5">
        <v>19.8</v>
      </c>
      <c r="L1309" s="5">
        <v>19.810400000000001</v>
      </c>
      <c r="M1309" s="5">
        <v>1.04E-2</v>
      </c>
      <c r="N1309" s="9" t="s">
        <v>11853</v>
      </c>
      <c r="O1309" s="9"/>
      <c r="P1309" s="5">
        <v>2</v>
      </c>
      <c r="Q1309" s="9"/>
      <c r="R1309" s="9" t="s">
        <v>6742</v>
      </c>
      <c r="S1309" s="9" t="str">
        <f>HYPERLINK("https://seichotoushi-hojo.jp/assets/pdf/koufu_3_4ji/outline_160.pdf","PDFを開く")</f>
        <v>PDFを開く</v>
      </c>
      <c r="T1309" s="9" t="s">
        <v>2739</v>
      </c>
      <c r="U1309" s="9" t="s">
        <v>2740</v>
      </c>
    </row>
    <row r="1310" spans="1:21" ht="39.950000000000003" customHeight="1">
      <c r="A1310" s="2" t="s">
        <v>2734</v>
      </c>
      <c r="B1310" s="2" t="s">
        <v>2430</v>
      </c>
      <c r="C1310" s="8" t="s">
        <v>2735</v>
      </c>
      <c r="D1310" s="8" t="s">
        <v>3184</v>
      </c>
      <c r="E1310" s="8" t="s">
        <v>90</v>
      </c>
      <c r="F1310" s="2"/>
      <c r="G1310" s="2">
        <v>5527</v>
      </c>
      <c r="H1310" s="2"/>
      <c r="I1310" s="2">
        <v>6678</v>
      </c>
      <c r="J1310" s="2" t="s">
        <v>447</v>
      </c>
      <c r="K1310" s="2">
        <v>6.5</v>
      </c>
      <c r="L1310" s="2">
        <v>6.5087999999999999</v>
      </c>
      <c r="M1310" s="2">
        <v>8.8000000000000005E-3</v>
      </c>
      <c r="N1310" s="8" t="s">
        <v>11853</v>
      </c>
      <c r="O1310" s="8"/>
      <c r="P1310" s="2">
        <v>2</v>
      </c>
      <c r="Q1310" s="8"/>
      <c r="R1310" s="8" t="s">
        <v>6745</v>
      </c>
      <c r="S1310" s="8" t="str">
        <f>HYPERLINK("https://seichotoushi-hojo.jp/assets/pdf/koufu_3_4ji/outline_160.pdf","PDFを開く")</f>
        <v>PDFを開く</v>
      </c>
      <c r="T1310" s="8" t="s">
        <v>2739</v>
      </c>
      <c r="U1310" s="8" t="s">
        <v>2740</v>
      </c>
    </row>
    <row r="1311" spans="1:21" ht="39.950000000000003" customHeight="1">
      <c r="A1311" s="5" t="s">
        <v>2734</v>
      </c>
      <c r="B1311" s="5" t="s">
        <v>2430</v>
      </c>
      <c r="C1311" s="9" t="s">
        <v>2735</v>
      </c>
      <c r="D1311" s="9" t="s">
        <v>3188</v>
      </c>
      <c r="E1311" s="9" t="s">
        <v>91</v>
      </c>
      <c r="F1311" s="5"/>
      <c r="G1311" s="5"/>
      <c r="H1311" s="5"/>
      <c r="I1311" s="5"/>
      <c r="J1311" s="5" t="s">
        <v>447</v>
      </c>
      <c r="K1311" s="5">
        <v>6.5</v>
      </c>
      <c r="L1311" s="5"/>
      <c r="M1311" s="5"/>
      <c r="N1311" s="9" t="s">
        <v>11854</v>
      </c>
      <c r="O1311" s="9" t="s">
        <v>11848</v>
      </c>
      <c r="P1311" s="5">
        <v>2</v>
      </c>
      <c r="Q1311" s="9"/>
      <c r="R1311" s="9" t="s">
        <v>6330</v>
      </c>
      <c r="S1311" s="9" t="str">
        <f>HYPERLINK("https://seichotoushi-hojo.jp/assets/pdf/koufu_3_4ji/outline_160.pdf","PDFを開く")</f>
        <v>PDFを開く</v>
      </c>
      <c r="T1311" s="9" t="s">
        <v>2739</v>
      </c>
      <c r="U1311" s="9" t="s">
        <v>2740</v>
      </c>
    </row>
    <row r="1312" spans="1:21" ht="39.950000000000003" customHeight="1">
      <c r="A1312" s="2" t="s">
        <v>2734</v>
      </c>
      <c r="B1312" s="2" t="s">
        <v>2430</v>
      </c>
      <c r="C1312" s="8" t="s">
        <v>2735</v>
      </c>
      <c r="D1312" s="8" t="s">
        <v>3191</v>
      </c>
      <c r="E1312" s="8" t="s">
        <v>92</v>
      </c>
      <c r="F1312" s="2"/>
      <c r="G1312" s="2">
        <v>275</v>
      </c>
      <c r="H1312" s="2"/>
      <c r="I1312" s="2">
        <v>284</v>
      </c>
      <c r="J1312" s="2" t="s">
        <v>2513</v>
      </c>
      <c r="K1312" s="2"/>
      <c r="L1312" s="2"/>
      <c r="M1312" s="2"/>
      <c r="N1312" s="8" t="s">
        <v>11853</v>
      </c>
      <c r="O1312" s="8"/>
      <c r="P1312" s="2">
        <v>2</v>
      </c>
      <c r="Q1312" s="8"/>
      <c r="R1312" s="8" t="s">
        <v>6748</v>
      </c>
      <c r="S1312" s="8" t="str">
        <f>HYPERLINK("https://seichotoushi-hojo.jp/assets/pdf/koufu_3_4ji/outline_160.pdf","PDFを開く")</f>
        <v>PDFを開く</v>
      </c>
      <c r="T1312" s="8" t="s">
        <v>2739</v>
      </c>
      <c r="U1312" s="8" t="s">
        <v>2740</v>
      </c>
    </row>
    <row r="1313" spans="1:21" ht="39.950000000000003" customHeight="1">
      <c r="A1313" s="5" t="s">
        <v>2741</v>
      </c>
      <c r="B1313" s="5" t="s">
        <v>2430</v>
      </c>
      <c r="C1313" s="9" t="s">
        <v>2742</v>
      </c>
      <c r="D1313" s="9" t="s">
        <v>3176</v>
      </c>
      <c r="E1313" s="9" t="s">
        <v>90</v>
      </c>
      <c r="F1313" s="5"/>
      <c r="G1313" s="5">
        <v>16910</v>
      </c>
      <c r="H1313" s="5"/>
      <c r="I1313" s="5">
        <v>57002</v>
      </c>
      <c r="J1313" s="5" t="s">
        <v>447</v>
      </c>
      <c r="K1313" s="5">
        <v>49.9</v>
      </c>
      <c r="L1313" s="5">
        <v>49.939300000000003</v>
      </c>
      <c r="M1313" s="5">
        <v>3.9300000000000002E-2</v>
      </c>
      <c r="N1313" s="9" t="s">
        <v>11853</v>
      </c>
      <c r="O1313" s="9"/>
      <c r="P1313" s="5">
        <v>2</v>
      </c>
      <c r="Q1313" s="9"/>
      <c r="R1313" s="9" t="s">
        <v>6752</v>
      </c>
      <c r="S1313" s="9" t="str">
        <f>HYPERLINK("https://seichotoushi-hojo.jp/assets/pdf/koufu_3_4ji/outline_161.pdf","PDFを開く")</f>
        <v>PDFを開く</v>
      </c>
      <c r="T1313" s="9" t="s">
        <v>2748</v>
      </c>
      <c r="U1313" s="9" t="s">
        <v>2749</v>
      </c>
    </row>
    <row r="1314" spans="1:21" ht="39.950000000000003" customHeight="1">
      <c r="A1314" s="2" t="s">
        <v>2741</v>
      </c>
      <c r="B1314" s="2" t="s">
        <v>2430</v>
      </c>
      <c r="C1314" s="8" t="s">
        <v>2742</v>
      </c>
      <c r="D1314" s="8" t="s">
        <v>3184</v>
      </c>
      <c r="E1314" s="8" t="s">
        <v>90</v>
      </c>
      <c r="F1314" s="2"/>
      <c r="G1314" s="2">
        <v>4738</v>
      </c>
      <c r="H1314" s="2"/>
      <c r="I1314" s="2">
        <v>5820</v>
      </c>
      <c r="J1314" s="2" t="s">
        <v>447</v>
      </c>
      <c r="K1314" s="2">
        <v>7.1</v>
      </c>
      <c r="L1314" s="2">
        <v>7.0967000000000002</v>
      </c>
      <c r="M1314" s="2">
        <v>3.3E-3</v>
      </c>
      <c r="N1314" s="8" t="s">
        <v>11853</v>
      </c>
      <c r="O1314" s="8"/>
      <c r="P1314" s="2">
        <v>2</v>
      </c>
      <c r="Q1314" s="8"/>
      <c r="R1314" s="8" t="s">
        <v>6755</v>
      </c>
      <c r="S1314" s="8" t="str">
        <f>HYPERLINK("https://seichotoushi-hojo.jp/assets/pdf/koufu_3_4ji/outline_161.pdf","PDFを開く")</f>
        <v>PDFを開く</v>
      </c>
      <c r="T1314" s="8" t="s">
        <v>2748</v>
      </c>
      <c r="U1314" s="8" t="s">
        <v>2749</v>
      </c>
    </row>
    <row r="1315" spans="1:21" ht="39.950000000000003" customHeight="1">
      <c r="A1315" s="5" t="s">
        <v>2741</v>
      </c>
      <c r="B1315" s="5" t="s">
        <v>2430</v>
      </c>
      <c r="C1315" s="9" t="s">
        <v>2742</v>
      </c>
      <c r="D1315" s="9" t="s">
        <v>3188</v>
      </c>
      <c r="E1315" s="9" t="s">
        <v>91</v>
      </c>
      <c r="F1315" s="5"/>
      <c r="G1315" s="5"/>
      <c r="H1315" s="5"/>
      <c r="I1315" s="5"/>
      <c r="J1315" s="5" t="s">
        <v>447</v>
      </c>
      <c r="K1315" s="5">
        <v>5.5</v>
      </c>
      <c r="L1315" s="5"/>
      <c r="M1315" s="5"/>
      <c r="N1315" s="9" t="s">
        <v>11854</v>
      </c>
      <c r="O1315" s="9" t="s">
        <v>11848</v>
      </c>
      <c r="P1315" s="5">
        <v>2</v>
      </c>
      <c r="Q1315" s="9"/>
      <c r="R1315" s="9" t="s">
        <v>6681</v>
      </c>
      <c r="S1315" s="9" t="str">
        <f>HYPERLINK("https://seichotoushi-hojo.jp/assets/pdf/koufu_3_4ji/outline_161.pdf","PDFを開く")</f>
        <v>PDFを開く</v>
      </c>
      <c r="T1315" s="9" t="s">
        <v>2748</v>
      </c>
      <c r="U1315" s="9" t="s">
        <v>2749</v>
      </c>
    </row>
    <row r="1316" spans="1:21" ht="39.950000000000003" customHeight="1">
      <c r="A1316" s="2" t="s">
        <v>2741</v>
      </c>
      <c r="B1316" s="2" t="s">
        <v>2430</v>
      </c>
      <c r="C1316" s="8" t="s">
        <v>2742</v>
      </c>
      <c r="D1316" s="8" t="s">
        <v>3191</v>
      </c>
      <c r="E1316" s="8" t="s">
        <v>92</v>
      </c>
      <c r="F1316" s="2"/>
      <c r="G1316" s="2">
        <v>25</v>
      </c>
      <c r="H1316" s="2"/>
      <c r="I1316" s="2">
        <v>35</v>
      </c>
      <c r="J1316" s="2" t="s">
        <v>2513</v>
      </c>
      <c r="K1316" s="2"/>
      <c r="L1316" s="2"/>
      <c r="M1316" s="2"/>
      <c r="N1316" s="8" t="s">
        <v>11853</v>
      </c>
      <c r="O1316" s="8"/>
      <c r="P1316" s="2">
        <v>2</v>
      </c>
      <c r="Q1316" s="8"/>
      <c r="R1316" s="8" t="s">
        <v>6758</v>
      </c>
      <c r="S1316" s="8" t="str">
        <f>HYPERLINK("https://seichotoushi-hojo.jp/assets/pdf/koufu_3_4ji/outline_161.pdf","PDFを開く")</f>
        <v>PDFを開く</v>
      </c>
      <c r="T1316" s="8" t="s">
        <v>2748</v>
      </c>
      <c r="U1316" s="8" t="s">
        <v>2749</v>
      </c>
    </row>
    <row r="1317" spans="1:21" ht="39.950000000000003" customHeight="1">
      <c r="A1317" s="5" t="s">
        <v>2750</v>
      </c>
      <c r="B1317" s="5" t="s">
        <v>2430</v>
      </c>
      <c r="C1317" s="9" t="s">
        <v>2751</v>
      </c>
      <c r="D1317" s="9" t="s">
        <v>3176</v>
      </c>
      <c r="E1317" s="9" t="s">
        <v>90</v>
      </c>
      <c r="F1317" s="5"/>
      <c r="G1317" s="5">
        <v>10225</v>
      </c>
      <c r="H1317" s="5"/>
      <c r="I1317" s="5">
        <v>16783</v>
      </c>
      <c r="J1317" s="5" t="s">
        <v>447</v>
      </c>
      <c r="K1317" s="5">
        <v>18</v>
      </c>
      <c r="L1317" s="5">
        <v>17.9602</v>
      </c>
      <c r="M1317" s="5">
        <v>3.9800000000000002E-2</v>
      </c>
      <c r="N1317" s="9" t="s">
        <v>11853</v>
      </c>
      <c r="O1317" s="9"/>
      <c r="P1317" s="5">
        <v>2</v>
      </c>
      <c r="Q1317" s="9"/>
      <c r="R1317" s="9" t="s">
        <v>6763</v>
      </c>
      <c r="S1317" s="9" t="str">
        <f>HYPERLINK("https://seichotoushi-hojo.jp/assets/pdf/koufu_3_4ji/outline_162.pdf","PDFを開く")</f>
        <v>PDFを開く</v>
      </c>
      <c r="T1317" s="9" t="s">
        <v>2756</v>
      </c>
      <c r="U1317" s="9" t="s">
        <v>2757</v>
      </c>
    </row>
    <row r="1318" spans="1:21" ht="39.950000000000003" customHeight="1">
      <c r="A1318" s="2" t="s">
        <v>2750</v>
      </c>
      <c r="B1318" s="2" t="s">
        <v>2430</v>
      </c>
      <c r="C1318" s="8" t="s">
        <v>2751</v>
      </c>
      <c r="D1318" s="8" t="s">
        <v>3184</v>
      </c>
      <c r="E1318" s="8" t="s">
        <v>90</v>
      </c>
      <c r="F1318" s="2"/>
      <c r="G1318" s="2">
        <v>4103</v>
      </c>
      <c r="H1318" s="2"/>
      <c r="I1318" s="2">
        <v>5026</v>
      </c>
      <c r="J1318" s="2" t="s">
        <v>447</v>
      </c>
      <c r="K1318" s="2">
        <v>7</v>
      </c>
      <c r="L1318" s="2">
        <v>6.9974999999999996</v>
      </c>
      <c r="M1318" s="2">
        <v>2.5000000000000001E-3</v>
      </c>
      <c r="N1318" s="8" t="s">
        <v>11853</v>
      </c>
      <c r="O1318" s="8"/>
      <c r="P1318" s="2">
        <v>2</v>
      </c>
      <c r="Q1318" s="8"/>
      <c r="R1318" s="8" t="s">
        <v>6766</v>
      </c>
      <c r="S1318" s="8" t="str">
        <f>HYPERLINK("https://seichotoushi-hojo.jp/assets/pdf/koufu_3_4ji/outline_162.pdf","PDFを開く")</f>
        <v>PDFを開く</v>
      </c>
      <c r="T1318" s="8" t="s">
        <v>2756</v>
      </c>
      <c r="U1318" s="8" t="s">
        <v>2757</v>
      </c>
    </row>
    <row r="1319" spans="1:21" ht="39.950000000000003" customHeight="1">
      <c r="A1319" s="5" t="s">
        <v>2750</v>
      </c>
      <c r="B1319" s="5" t="s">
        <v>2430</v>
      </c>
      <c r="C1319" s="9" t="s">
        <v>2751</v>
      </c>
      <c r="D1319" s="9" t="s">
        <v>3188</v>
      </c>
      <c r="E1319" s="9" t="s">
        <v>156</v>
      </c>
      <c r="F1319" s="5"/>
      <c r="G1319" s="5"/>
      <c r="H1319" s="5"/>
      <c r="I1319" s="5"/>
      <c r="J1319" s="5"/>
      <c r="K1319" s="5"/>
      <c r="L1319" s="5"/>
      <c r="M1319" s="5"/>
      <c r="N1319" s="9" t="s">
        <v>11850</v>
      </c>
      <c r="O1319" s="9"/>
      <c r="P1319" s="5"/>
      <c r="Q1319" s="9" t="s">
        <v>11851</v>
      </c>
      <c r="R1319" s="9"/>
      <c r="S1319" s="9" t="str">
        <f>HYPERLINK("https://seichotoushi-hojo.jp/assets/pdf/koufu_3_4ji/outline_162.pdf","PDFを開く")</f>
        <v>PDFを開く</v>
      </c>
      <c r="T1319" s="9" t="s">
        <v>2756</v>
      </c>
      <c r="U1319" s="9" t="s">
        <v>2757</v>
      </c>
    </row>
    <row r="1320" spans="1:21" ht="39.950000000000003" customHeight="1">
      <c r="A1320" s="2" t="s">
        <v>2750</v>
      </c>
      <c r="B1320" s="2" t="s">
        <v>2430</v>
      </c>
      <c r="C1320" s="8" t="s">
        <v>2751</v>
      </c>
      <c r="D1320" s="8" t="s">
        <v>3191</v>
      </c>
      <c r="E1320" s="8" t="s">
        <v>92</v>
      </c>
      <c r="F1320" s="2"/>
      <c r="G1320" s="2">
        <v>327</v>
      </c>
      <c r="H1320" s="2"/>
      <c r="I1320" s="2">
        <v>350</v>
      </c>
      <c r="J1320" s="2" t="s">
        <v>2513</v>
      </c>
      <c r="K1320" s="2"/>
      <c r="L1320" s="2"/>
      <c r="M1320" s="2"/>
      <c r="N1320" s="8" t="s">
        <v>11853</v>
      </c>
      <c r="O1320" s="8"/>
      <c r="P1320" s="2">
        <v>2</v>
      </c>
      <c r="Q1320" s="8"/>
      <c r="R1320" s="8" t="s">
        <v>6769</v>
      </c>
      <c r="S1320" s="8" t="str">
        <f>HYPERLINK("https://seichotoushi-hojo.jp/assets/pdf/koufu_3_4ji/outline_162.pdf","PDFを開く")</f>
        <v>PDFを開く</v>
      </c>
      <c r="T1320" s="8" t="s">
        <v>2756</v>
      </c>
      <c r="U1320" s="8" t="s">
        <v>2757</v>
      </c>
    </row>
    <row r="1321" spans="1:21" ht="39.950000000000003" customHeight="1">
      <c r="A1321" s="5" t="s">
        <v>2758</v>
      </c>
      <c r="B1321" s="5" t="s">
        <v>2430</v>
      </c>
      <c r="C1321" s="9" t="s">
        <v>2759</v>
      </c>
      <c r="D1321" s="9" t="s">
        <v>3176</v>
      </c>
      <c r="E1321" s="9" t="s">
        <v>166</v>
      </c>
      <c r="F1321" s="5"/>
      <c r="G1321" s="5">
        <v>8056</v>
      </c>
      <c r="H1321" s="5"/>
      <c r="I1321" s="5">
        <v>24654</v>
      </c>
      <c r="J1321" s="5" t="s">
        <v>86</v>
      </c>
      <c r="K1321" s="5">
        <v>45.2</v>
      </c>
      <c r="L1321" s="5">
        <v>45.185299999999998</v>
      </c>
      <c r="M1321" s="5">
        <v>1.47E-2</v>
      </c>
      <c r="N1321" s="9" t="s">
        <v>11853</v>
      </c>
      <c r="O1321" s="9" t="s">
        <v>292</v>
      </c>
      <c r="P1321" s="5">
        <v>2</v>
      </c>
      <c r="Q1321" s="9"/>
      <c r="R1321" s="9" t="s">
        <v>6780</v>
      </c>
      <c r="S1321" s="9" t="str">
        <f>HYPERLINK("https://seichotoushi-hojo.jp/assets/pdf/koufu_3_4ji/outline_163.pdf","PDFを開く")</f>
        <v>PDFを開く</v>
      </c>
      <c r="T1321" s="9" t="s">
        <v>2764</v>
      </c>
      <c r="U1321" s="9" t="s">
        <v>2765</v>
      </c>
    </row>
    <row r="1322" spans="1:21" ht="39.950000000000003" customHeight="1">
      <c r="A1322" s="2" t="s">
        <v>2758</v>
      </c>
      <c r="B1322" s="2" t="s">
        <v>2430</v>
      </c>
      <c r="C1322" s="8" t="s">
        <v>2759</v>
      </c>
      <c r="D1322" s="8" t="s">
        <v>3184</v>
      </c>
      <c r="E1322" s="8" t="s">
        <v>166</v>
      </c>
      <c r="F1322" s="2"/>
      <c r="G1322" s="2">
        <v>5221</v>
      </c>
      <c r="H1322" s="2"/>
      <c r="I1322" s="2">
        <v>6282</v>
      </c>
      <c r="J1322" s="2" t="s">
        <v>86</v>
      </c>
      <c r="K1322" s="2">
        <v>6.4</v>
      </c>
      <c r="L1322" s="2">
        <v>6.3608000000000002</v>
      </c>
      <c r="M1322" s="2">
        <v>3.9199999999999999E-2</v>
      </c>
      <c r="N1322" s="8" t="s">
        <v>11853</v>
      </c>
      <c r="O1322" s="8" t="s">
        <v>292</v>
      </c>
      <c r="P1322" s="2">
        <v>2</v>
      </c>
      <c r="Q1322" s="8"/>
      <c r="R1322" s="8" t="s">
        <v>6783</v>
      </c>
      <c r="S1322" s="8" t="str">
        <f>HYPERLINK("https://seichotoushi-hojo.jp/assets/pdf/koufu_3_4ji/outline_163.pdf","PDFを開く")</f>
        <v>PDFを開く</v>
      </c>
      <c r="T1322" s="8" t="s">
        <v>2764</v>
      </c>
      <c r="U1322" s="8" t="s">
        <v>2765</v>
      </c>
    </row>
    <row r="1323" spans="1:21" ht="39.950000000000003" customHeight="1">
      <c r="A1323" s="5" t="s">
        <v>2758</v>
      </c>
      <c r="B1323" s="5" t="s">
        <v>2430</v>
      </c>
      <c r="C1323" s="9" t="s">
        <v>2759</v>
      </c>
      <c r="D1323" s="9" t="s">
        <v>3188</v>
      </c>
      <c r="E1323" s="9" t="s">
        <v>156</v>
      </c>
      <c r="F1323" s="5"/>
      <c r="G1323" s="5"/>
      <c r="H1323" s="5"/>
      <c r="I1323" s="5"/>
      <c r="J1323" s="5"/>
      <c r="K1323" s="5"/>
      <c r="L1323" s="5"/>
      <c r="M1323" s="5"/>
      <c r="N1323" s="9" t="s">
        <v>11850</v>
      </c>
      <c r="O1323" s="9"/>
      <c r="P1323" s="5"/>
      <c r="Q1323" s="9" t="s">
        <v>11851</v>
      </c>
      <c r="R1323" s="9"/>
      <c r="S1323" s="9" t="str">
        <f>HYPERLINK("https://seichotoushi-hojo.jp/assets/pdf/koufu_3_4ji/outline_163.pdf","PDFを開く")</f>
        <v>PDFを開く</v>
      </c>
      <c r="T1323" s="9" t="s">
        <v>2764</v>
      </c>
      <c r="U1323" s="9" t="s">
        <v>2765</v>
      </c>
    </row>
    <row r="1324" spans="1:21" ht="39.950000000000003" customHeight="1">
      <c r="A1324" s="2" t="s">
        <v>2758</v>
      </c>
      <c r="B1324" s="2" t="s">
        <v>2430</v>
      </c>
      <c r="C1324" s="8" t="s">
        <v>2759</v>
      </c>
      <c r="D1324" s="8" t="s">
        <v>3191</v>
      </c>
      <c r="E1324" s="8" t="s">
        <v>166</v>
      </c>
      <c r="F1324" s="2"/>
      <c r="G1324" s="2">
        <v>136</v>
      </c>
      <c r="H1324" s="2"/>
      <c r="I1324" s="2">
        <v>142</v>
      </c>
      <c r="J1324" s="2" t="s">
        <v>2513</v>
      </c>
      <c r="K1324" s="2"/>
      <c r="L1324" s="2"/>
      <c r="M1324" s="2"/>
      <c r="N1324" s="8" t="s">
        <v>11853</v>
      </c>
      <c r="O1324" s="8" t="s">
        <v>292</v>
      </c>
      <c r="P1324" s="2">
        <v>2</v>
      </c>
      <c r="Q1324" s="8"/>
      <c r="R1324" s="8" t="s">
        <v>6785</v>
      </c>
      <c r="S1324" s="8" t="str">
        <f>HYPERLINK("https://seichotoushi-hojo.jp/assets/pdf/koufu_3_4ji/outline_163.pdf","PDFを開く")</f>
        <v>PDFを開く</v>
      </c>
      <c r="T1324" s="8" t="s">
        <v>2764</v>
      </c>
      <c r="U1324" s="8" t="s">
        <v>2765</v>
      </c>
    </row>
    <row r="1325" spans="1:21" ht="39.950000000000003" customHeight="1">
      <c r="A1325" s="5" t="s">
        <v>2766</v>
      </c>
      <c r="B1325" s="5" t="s">
        <v>2430</v>
      </c>
      <c r="C1325" s="9" t="s">
        <v>2767</v>
      </c>
      <c r="D1325" s="9" t="s">
        <v>3176</v>
      </c>
      <c r="E1325" s="9" t="s">
        <v>90</v>
      </c>
      <c r="F1325" s="5"/>
      <c r="G1325" s="5">
        <v>6483</v>
      </c>
      <c r="H1325" s="5"/>
      <c r="I1325" s="5">
        <v>13953</v>
      </c>
      <c r="J1325" s="5" t="s">
        <v>447</v>
      </c>
      <c r="K1325" s="5">
        <v>29.1</v>
      </c>
      <c r="L1325" s="5">
        <v>29.1112</v>
      </c>
      <c r="M1325" s="5">
        <v>1.12E-2</v>
      </c>
      <c r="N1325" s="9" t="s">
        <v>11853</v>
      </c>
      <c r="O1325" s="9"/>
      <c r="P1325" s="5">
        <v>2</v>
      </c>
      <c r="Q1325" s="9"/>
      <c r="R1325" s="9" t="s">
        <v>6787</v>
      </c>
      <c r="S1325" s="9" t="str">
        <f>HYPERLINK("https://seichotoushi-hojo.jp/assets/pdf/koufu_3_4ji/outline_164.pdf","PDFを開く")</f>
        <v>PDFを開く</v>
      </c>
      <c r="T1325" s="9" t="s">
        <v>2771</v>
      </c>
      <c r="U1325" s="9" t="s">
        <v>2772</v>
      </c>
    </row>
    <row r="1326" spans="1:21" ht="39.950000000000003" customHeight="1">
      <c r="A1326" s="2" t="s">
        <v>2766</v>
      </c>
      <c r="B1326" s="2" t="s">
        <v>2430</v>
      </c>
      <c r="C1326" s="8" t="s">
        <v>2767</v>
      </c>
      <c r="D1326" s="8" t="s">
        <v>3184</v>
      </c>
      <c r="E1326" s="8" t="s">
        <v>90</v>
      </c>
      <c r="F1326" s="2"/>
      <c r="G1326" s="2">
        <v>4500</v>
      </c>
      <c r="H1326" s="2"/>
      <c r="I1326" s="2">
        <v>5360</v>
      </c>
      <c r="J1326" s="2" t="s">
        <v>447</v>
      </c>
      <c r="K1326" s="2">
        <v>6</v>
      </c>
      <c r="L1326" s="2">
        <v>6.0027999999999997</v>
      </c>
      <c r="M1326" s="2">
        <v>2.8E-3</v>
      </c>
      <c r="N1326" s="8" t="s">
        <v>11853</v>
      </c>
      <c r="O1326" s="8"/>
      <c r="P1326" s="2">
        <v>2</v>
      </c>
      <c r="Q1326" s="8"/>
      <c r="R1326" s="8" t="s">
        <v>6790</v>
      </c>
      <c r="S1326" s="8" t="str">
        <f>HYPERLINK("https://seichotoushi-hojo.jp/assets/pdf/koufu_3_4ji/outline_164.pdf","PDFを開く")</f>
        <v>PDFを開く</v>
      </c>
      <c r="T1326" s="8" t="s">
        <v>2771</v>
      </c>
      <c r="U1326" s="8" t="s">
        <v>2772</v>
      </c>
    </row>
    <row r="1327" spans="1:21" ht="39.950000000000003" customHeight="1">
      <c r="A1327" s="5" t="s">
        <v>2766</v>
      </c>
      <c r="B1327" s="5" t="s">
        <v>2430</v>
      </c>
      <c r="C1327" s="9" t="s">
        <v>2767</v>
      </c>
      <c r="D1327" s="9" t="s">
        <v>3188</v>
      </c>
      <c r="E1327" s="9" t="s">
        <v>91</v>
      </c>
      <c r="F1327" s="5"/>
      <c r="G1327" s="5"/>
      <c r="H1327" s="5"/>
      <c r="I1327" s="5"/>
      <c r="J1327" s="5" t="s">
        <v>447</v>
      </c>
      <c r="K1327" s="5">
        <v>6</v>
      </c>
      <c r="L1327" s="5"/>
      <c r="M1327" s="5"/>
      <c r="N1327" s="9" t="s">
        <v>11854</v>
      </c>
      <c r="O1327" s="9" t="s">
        <v>11848</v>
      </c>
      <c r="P1327" s="5">
        <v>2</v>
      </c>
      <c r="Q1327" s="9"/>
      <c r="R1327" s="9" t="s">
        <v>6473</v>
      </c>
      <c r="S1327" s="9" t="str">
        <f>HYPERLINK("https://seichotoushi-hojo.jp/assets/pdf/koufu_3_4ji/outline_164.pdf","PDFを開く")</f>
        <v>PDFを開く</v>
      </c>
      <c r="T1327" s="9" t="s">
        <v>2771</v>
      </c>
      <c r="U1327" s="9" t="s">
        <v>2772</v>
      </c>
    </row>
    <row r="1328" spans="1:21" ht="39.950000000000003" customHeight="1">
      <c r="A1328" s="2" t="s">
        <v>2766</v>
      </c>
      <c r="B1328" s="2" t="s">
        <v>2430</v>
      </c>
      <c r="C1328" s="8" t="s">
        <v>2767</v>
      </c>
      <c r="D1328" s="8" t="s">
        <v>3191</v>
      </c>
      <c r="E1328" s="8" t="s">
        <v>166</v>
      </c>
      <c r="F1328" s="2">
        <v>2028</v>
      </c>
      <c r="G1328" s="2">
        <v>97</v>
      </c>
      <c r="H1328" s="2">
        <v>2031</v>
      </c>
      <c r="I1328" s="2">
        <v>127</v>
      </c>
      <c r="J1328" s="2" t="s">
        <v>2513</v>
      </c>
      <c r="K1328" s="2"/>
      <c r="L1328" s="2"/>
      <c r="M1328" s="2"/>
      <c r="N1328" s="8" t="s">
        <v>11846</v>
      </c>
      <c r="O1328" s="8" t="s">
        <v>292</v>
      </c>
      <c r="P1328" s="2">
        <v>2</v>
      </c>
      <c r="Q1328" s="8"/>
      <c r="R1328" s="8" t="s">
        <v>6795</v>
      </c>
      <c r="S1328" s="8" t="str">
        <f>HYPERLINK("https://seichotoushi-hojo.jp/assets/pdf/koufu_3_4ji/outline_164.pdf","PDFを開く")</f>
        <v>PDFを開く</v>
      </c>
      <c r="T1328" s="8" t="s">
        <v>2771</v>
      </c>
      <c r="U1328" s="8" t="s">
        <v>2772</v>
      </c>
    </row>
    <row r="1329" spans="1:21" ht="39.950000000000003" customHeight="1">
      <c r="A1329" s="5" t="s">
        <v>2773</v>
      </c>
      <c r="B1329" s="5" t="s">
        <v>2430</v>
      </c>
      <c r="C1329" s="9" t="s">
        <v>2774</v>
      </c>
      <c r="D1329" s="9" t="s">
        <v>3176</v>
      </c>
      <c r="E1329" s="9" t="s">
        <v>90</v>
      </c>
      <c r="F1329" s="5"/>
      <c r="G1329" s="5">
        <v>24686</v>
      </c>
      <c r="H1329" s="5"/>
      <c r="I1329" s="5">
        <v>60676</v>
      </c>
      <c r="J1329" s="5" t="s">
        <v>447</v>
      </c>
      <c r="K1329" s="5">
        <v>35</v>
      </c>
      <c r="L1329" s="5">
        <v>34.954900000000002</v>
      </c>
      <c r="M1329" s="5">
        <v>4.5100000000000001E-2</v>
      </c>
      <c r="N1329" s="9" t="s">
        <v>11853</v>
      </c>
      <c r="O1329" s="9"/>
      <c r="P1329" s="5">
        <v>2</v>
      </c>
      <c r="Q1329" s="9"/>
      <c r="R1329" s="9" t="s">
        <v>6799</v>
      </c>
      <c r="S1329" s="9" t="str">
        <f>HYPERLINK("https://seichotoushi-hojo.jp/assets/pdf/koufu_3_4ji/outline_165.pdf","PDFを開く")</f>
        <v>PDFを開く</v>
      </c>
      <c r="T1329" s="9" t="s">
        <v>2779</v>
      </c>
      <c r="U1329" s="9" t="s">
        <v>2780</v>
      </c>
    </row>
    <row r="1330" spans="1:21" ht="39.950000000000003" customHeight="1">
      <c r="A1330" s="2" t="s">
        <v>2773</v>
      </c>
      <c r="B1330" s="2" t="s">
        <v>2430</v>
      </c>
      <c r="C1330" s="8" t="s">
        <v>2774</v>
      </c>
      <c r="D1330" s="8" t="s">
        <v>3184</v>
      </c>
      <c r="E1330" s="8" t="s">
        <v>90</v>
      </c>
      <c r="F1330" s="2"/>
      <c r="G1330" s="2">
        <v>7187</v>
      </c>
      <c r="H1330" s="2"/>
      <c r="I1330" s="2">
        <v>8676</v>
      </c>
      <c r="J1330" s="2" t="s">
        <v>447</v>
      </c>
      <c r="K1330" s="2">
        <v>6.5</v>
      </c>
      <c r="L1330" s="2">
        <v>6.4774000000000003</v>
      </c>
      <c r="M1330" s="2">
        <v>2.2599999999999999E-2</v>
      </c>
      <c r="N1330" s="8" t="s">
        <v>11853</v>
      </c>
      <c r="O1330" s="8"/>
      <c r="P1330" s="2">
        <v>2</v>
      </c>
      <c r="Q1330" s="8"/>
      <c r="R1330" s="8" t="s">
        <v>6802</v>
      </c>
      <c r="S1330" s="8" t="str">
        <f>HYPERLINK("https://seichotoushi-hojo.jp/assets/pdf/koufu_3_4ji/outline_165.pdf","PDFを開く")</f>
        <v>PDFを開く</v>
      </c>
      <c r="T1330" s="8" t="s">
        <v>2779</v>
      </c>
      <c r="U1330" s="8" t="s">
        <v>2780</v>
      </c>
    </row>
    <row r="1331" spans="1:21" ht="39.950000000000003" customHeight="1">
      <c r="A1331" s="5" t="s">
        <v>2773</v>
      </c>
      <c r="B1331" s="5" t="s">
        <v>2430</v>
      </c>
      <c r="C1331" s="9" t="s">
        <v>2774</v>
      </c>
      <c r="D1331" s="9" t="s">
        <v>3188</v>
      </c>
      <c r="E1331" s="9" t="s">
        <v>156</v>
      </c>
      <c r="F1331" s="5"/>
      <c r="G1331" s="5"/>
      <c r="H1331" s="5"/>
      <c r="I1331" s="5"/>
      <c r="J1331" s="5"/>
      <c r="K1331" s="5"/>
      <c r="L1331" s="5"/>
      <c r="M1331" s="5"/>
      <c r="N1331" s="9" t="s">
        <v>11850</v>
      </c>
      <c r="O1331" s="9"/>
      <c r="P1331" s="5"/>
      <c r="Q1331" s="9" t="s">
        <v>11851</v>
      </c>
      <c r="R1331" s="9"/>
      <c r="S1331" s="9" t="str">
        <f>HYPERLINK("https://seichotoushi-hojo.jp/assets/pdf/koufu_3_4ji/outline_165.pdf","PDFを開く")</f>
        <v>PDFを開く</v>
      </c>
      <c r="T1331" s="9" t="s">
        <v>2779</v>
      </c>
      <c r="U1331" s="9" t="s">
        <v>2780</v>
      </c>
    </row>
    <row r="1332" spans="1:21" ht="39.950000000000003" customHeight="1">
      <c r="A1332" s="2" t="s">
        <v>2773</v>
      </c>
      <c r="B1332" s="2" t="s">
        <v>2430</v>
      </c>
      <c r="C1332" s="8" t="s">
        <v>2774</v>
      </c>
      <c r="D1332" s="8" t="s">
        <v>3191</v>
      </c>
      <c r="E1332" s="8" t="s">
        <v>92</v>
      </c>
      <c r="F1332" s="2"/>
      <c r="G1332" s="2">
        <v>117</v>
      </c>
      <c r="H1332" s="2"/>
      <c r="I1332" s="2">
        <v>134</v>
      </c>
      <c r="J1332" s="2" t="s">
        <v>2513</v>
      </c>
      <c r="K1332" s="2"/>
      <c r="L1332" s="2"/>
      <c r="M1332" s="2"/>
      <c r="N1332" s="8" t="s">
        <v>11853</v>
      </c>
      <c r="O1332" s="8"/>
      <c r="P1332" s="2">
        <v>2</v>
      </c>
      <c r="Q1332" s="8"/>
      <c r="R1332" s="8" t="s">
        <v>6805</v>
      </c>
      <c r="S1332" s="8" t="str">
        <f>HYPERLINK("https://seichotoushi-hojo.jp/assets/pdf/koufu_3_4ji/outline_165.pdf","PDFを開く")</f>
        <v>PDFを開く</v>
      </c>
      <c r="T1332" s="8" t="s">
        <v>2779</v>
      </c>
      <c r="U1332" s="8" t="s">
        <v>2780</v>
      </c>
    </row>
    <row r="1333" spans="1:21" ht="39.950000000000003" customHeight="1">
      <c r="A1333" s="5" t="s">
        <v>2781</v>
      </c>
      <c r="B1333" s="5" t="s">
        <v>2430</v>
      </c>
      <c r="C1333" s="9" t="s">
        <v>2782</v>
      </c>
      <c r="D1333" s="9" t="s">
        <v>3176</v>
      </c>
      <c r="E1333" s="9" t="s">
        <v>90</v>
      </c>
      <c r="F1333" s="5"/>
      <c r="G1333" s="5">
        <v>6383</v>
      </c>
      <c r="H1333" s="5"/>
      <c r="I1333" s="5">
        <v>8567</v>
      </c>
      <c r="J1333" s="5" t="s">
        <v>447</v>
      </c>
      <c r="K1333" s="5">
        <v>10.3</v>
      </c>
      <c r="L1333" s="5">
        <v>10.3066</v>
      </c>
      <c r="M1333" s="5">
        <v>6.6E-3</v>
      </c>
      <c r="N1333" s="9" t="s">
        <v>11853</v>
      </c>
      <c r="O1333" s="9"/>
      <c r="P1333" s="5">
        <v>2</v>
      </c>
      <c r="Q1333" s="9"/>
      <c r="R1333" s="9" t="s">
        <v>6808</v>
      </c>
      <c r="S1333" s="9" t="str">
        <f>HYPERLINK("https://seichotoushi-hojo.jp/assets/pdf/koufu_3_4ji/outline_166.pdf","PDFを開く")</f>
        <v>PDFを開く</v>
      </c>
      <c r="T1333" s="9" t="s">
        <v>2788</v>
      </c>
      <c r="U1333" s="9" t="s">
        <v>2789</v>
      </c>
    </row>
    <row r="1334" spans="1:21" ht="39.950000000000003" customHeight="1">
      <c r="A1334" s="2" t="s">
        <v>2781</v>
      </c>
      <c r="B1334" s="2" t="s">
        <v>2430</v>
      </c>
      <c r="C1334" s="8" t="s">
        <v>2782</v>
      </c>
      <c r="D1334" s="8" t="s">
        <v>3184</v>
      </c>
      <c r="E1334" s="8" t="s">
        <v>90</v>
      </c>
      <c r="F1334" s="2"/>
      <c r="G1334" s="2">
        <v>4536</v>
      </c>
      <c r="H1334" s="2"/>
      <c r="I1334" s="2">
        <v>5479</v>
      </c>
      <c r="J1334" s="2" t="s">
        <v>447</v>
      </c>
      <c r="K1334" s="2">
        <v>6.5</v>
      </c>
      <c r="L1334" s="2">
        <v>6.4983000000000004</v>
      </c>
      <c r="M1334" s="2">
        <v>1.6999999999999999E-3</v>
      </c>
      <c r="N1334" s="8" t="s">
        <v>11853</v>
      </c>
      <c r="O1334" s="8"/>
      <c r="P1334" s="2">
        <v>2</v>
      </c>
      <c r="Q1334" s="8"/>
      <c r="R1334" s="8" t="s">
        <v>6811</v>
      </c>
      <c r="S1334" s="8" t="str">
        <f>HYPERLINK("https://seichotoushi-hojo.jp/assets/pdf/koufu_3_4ji/outline_166.pdf","PDFを開く")</f>
        <v>PDFを開く</v>
      </c>
      <c r="T1334" s="8" t="s">
        <v>2788</v>
      </c>
      <c r="U1334" s="8" t="s">
        <v>2789</v>
      </c>
    </row>
    <row r="1335" spans="1:21" ht="39.950000000000003" customHeight="1">
      <c r="A1335" s="5" t="s">
        <v>2781</v>
      </c>
      <c r="B1335" s="5" t="s">
        <v>2430</v>
      </c>
      <c r="C1335" s="9" t="s">
        <v>2782</v>
      </c>
      <c r="D1335" s="9" t="s">
        <v>3188</v>
      </c>
      <c r="E1335" s="9" t="s">
        <v>91</v>
      </c>
      <c r="F1335" s="5"/>
      <c r="G1335" s="5"/>
      <c r="H1335" s="5"/>
      <c r="I1335" s="5"/>
      <c r="J1335" s="5" t="s">
        <v>447</v>
      </c>
      <c r="K1335" s="5">
        <v>6.5</v>
      </c>
      <c r="L1335" s="5"/>
      <c r="M1335" s="5"/>
      <c r="N1335" s="9" t="s">
        <v>11854</v>
      </c>
      <c r="O1335" s="9" t="s">
        <v>11848</v>
      </c>
      <c r="P1335" s="5">
        <v>2</v>
      </c>
      <c r="Q1335" s="9"/>
      <c r="R1335" s="9" t="s">
        <v>6330</v>
      </c>
      <c r="S1335" s="9" t="str">
        <f>HYPERLINK("https://seichotoushi-hojo.jp/assets/pdf/koufu_3_4ji/outline_166.pdf","PDFを開く")</f>
        <v>PDFを開く</v>
      </c>
      <c r="T1335" s="9" t="s">
        <v>2788</v>
      </c>
      <c r="U1335" s="9" t="s">
        <v>2789</v>
      </c>
    </row>
    <row r="1336" spans="1:21" ht="39.950000000000003" customHeight="1">
      <c r="A1336" s="2" t="s">
        <v>2781</v>
      </c>
      <c r="B1336" s="2" t="s">
        <v>2430</v>
      </c>
      <c r="C1336" s="8" t="s">
        <v>2782</v>
      </c>
      <c r="D1336" s="8" t="s">
        <v>3191</v>
      </c>
      <c r="E1336" s="8" t="s">
        <v>92</v>
      </c>
      <c r="F1336" s="2"/>
      <c r="G1336" s="2">
        <v>697</v>
      </c>
      <c r="H1336" s="2"/>
      <c r="I1336" s="2">
        <v>750</v>
      </c>
      <c r="J1336" s="2" t="s">
        <v>2513</v>
      </c>
      <c r="K1336" s="2"/>
      <c r="L1336" s="2"/>
      <c r="M1336" s="2"/>
      <c r="N1336" s="8" t="s">
        <v>11853</v>
      </c>
      <c r="O1336" s="8"/>
      <c r="P1336" s="2">
        <v>2</v>
      </c>
      <c r="Q1336" s="8"/>
      <c r="R1336" s="8" t="s">
        <v>6814</v>
      </c>
      <c r="S1336" s="8" t="str">
        <f>HYPERLINK("https://seichotoushi-hojo.jp/assets/pdf/koufu_3_4ji/outline_166.pdf","PDFを開く")</f>
        <v>PDFを開く</v>
      </c>
      <c r="T1336" s="8" t="s">
        <v>2788</v>
      </c>
      <c r="U1336" s="8" t="s">
        <v>2789</v>
      </c>
    </row>
    <row r="1337" spans="1:21" ht="39.950000000000003" customHeight="1">
      <c r="A1337" s="5" t="s">
        <v>2790</v>
      </c>
      <c r="B1337" s="5" t="s">
        <v>2430</v>
      </c>
      <c r="C1337" s="9" t="s">
        <v>2791</v>
      </c>
      <c r="D1337" s="9" t="s">
        <v>3176</v>
      </c>
      <c r="E1337" s="9" t="s">
        <v>90</v>
      </c>
      <c r="F1337" s="5"/>
      <c r="G1337" s="5">
        <v>9544</v>
      </c>
      <c r="H1337" s="5"/>
      <c r="I1337" s="5">
        <v>26440</v>
      </c>
      <c r="J1337" s="5" t="s">
        <v>447</v>
      </c>
      <c r="K1337" s="5">
        <v>40.4</v>
      </c>
      <c r="L1337" s="5">
        <v>40.446300000000001</v>
      </c>
      <c r="M1337" s="5">
        <v>4.6300000000000001E-2</v>
      </c>
      <c r="N1337" s="9" t="s">
        <v>11853</v>
      </c>
      <c r="O1337" s="9"/>
      <c r="P1337" s="5">
        <v>2</v>
      </c>
      <c r="Q1337" s="9"/>
      <c r="R1337" s="9" t="s">
        <v>6818</v>
      </c>
      <c r="S1337" s="9" t="str">
        <f>HYPERLINK("https://seichotoushi-hojo.jp/assets/pdf/koufu_3_4ji/outline_167.pdf","PDFを開く")</f>
        <v>PDFを開く</v>
      </c>
      <c r="T1337" s="9" t="s">
        <v>2796</v>
      </c>
      <c r="U1337" s="9" t="s">
        <v>2797</v>
      </c>
    </row>
    <row r="1338" spans="1:21" ht="39.950000000000003" customHeight="1">
      <c r="A1338" s="2" t="s">
        <v>2790</v>
      </c>
      <c r="B1338" s="2" t="s">
        <v>2430</v>
      </c>
      <c r="C1338" s="8" t="s">
        <v>2791</v>
      </c>
      <c r="D1338" s="8" t="s">
        <v>3184</v>
      </c>
      <c r="E1338" s="8" t="s">
        <v>90</v>
      </c>
      <c r="F1338" s="2"/>
      <c r="G1338" s="2">
        <v>6106</v>
      </c>
      <c r="H1338" s="2"/>
      <c r="I1338" s="2">
        <v>7375</v>
      </c>
      <c r="J1338" s="2" t="s">
        <v>447</v>
      </c>
      <c r="K1338" s="2">
        <v>6.5</v>
      </c>
      <c r="L1338" s="2">
        <v>6.4964000000000004</v>
      </c>
      <c r="M1338" s="2">
        <v>3.5999999999999999E-3</v>
      </c>
      <c r="N1338" s="8" t="s">
        <v>11853</v>
      </c>
      <c r="O1338" s="8"/>
      <c r="P1338" s="2">
        <v>2</v>
      </c>
      <c r="Q1338" s="8"/>
      <c r="R1338" s="8" t="s">
        <v>6821</v>
      </c>
      <c r="S1338" s="8" t="str">
        <f>HYPERLINK("https://seichotoushi-hojo.jp/assets/pdf/koufu_3_4ji/outline_167.pdf","PDFを開く")</f>
        <v>PDFを開く</v>
      </c>
      <c r="T1338" s="8" t="s">
        <v>2796</v>
      </c>
      <c r="U1338" s="8" t="s">
        <v>2797</v>
      </c>
    </row>
    <row r="1339" spans="1:21" ht="39.950000000000003" customHeight="1">
      <c r="A1339" s="5" t="s">
        <v>2790</v>
      </c>
      <c r="B1339" s="5" t="s">
        <v>2430</v>
      </c>
      <c r="C1339" s="9" t="s">
        <v>2791</v>
      </c>
      <c r="D1339" s="9" t="s">
        <v>3188</v>
      </c>
      <c r="E1339" s="9" t="s">
        <v>91</v>
      </c>
      <c r="F1339" s="5"/>
      <c r="G1339" s="5"/>
      <c r="H1339" s="5"/>
      <c r="I1339" s="5"/>
      <c r="J1339" s="5" t="s">
        <v>447</v>
      </c>
      <c r="K1339" s="5">
        <v>6.5</v>
      </c>
      <c r="L1339" s="5"/>
      <c r="M1339" s="5"/>
      <c r="N1339" s="9" t="s">
        <v>11854</v>
      </c>
      <c r="O1339" s="9" t="s">
        <v>11848</v>
      </c>
      <c r="P1339" s="5">
        <v>2</v>
      </c>
      <c r="Q1339" s="9"/>
      <c r="R1339" s="9" t="s">
        <v>6330</v>
      </c>
      <c r="S1339" s="9" t="str">
        <f>HYPERLINK("https://seichotoushi-hojo.jp/assets/pdf/koufu_3_4ji/outline_167.pdf","PDFを開く")</f>
        <v>PDFを開く</v>
      </c>
      <c r="T1339" s="9" t="s">
        <v>2796</v>
      </c>
      <c r="U1339" s="9" t="s">
        <v>2797</v>
      </c>
    </row>
    <row r="1340" spans="1:21" ht="39.950000000000003" customHeight="1">
      <c r="A1340" s="2" t="s">
        <v>2790</v>
      </c>
      <c r="B1340" s="2" t="s">
        <v>2430</v>
      </c>
      <c r="C1340" s="8" t="s">
        <v>2791</v>
      </c>
      <c r="D1340" s="8" t="s">
        <v>3191</v>
      </c>
      <c r="E1340" s="8" t="s">
        <v>92</v>
      </c>
      <c r="F1340" s="2"/>
      <c r="G1340" s="2">
        <v>82</v>
      </c>
      <c r="H1340" s="2"/>
      <c r="I1340" s="2">
        <v>88</v>
      </c>
      <c r="J1340" s="2" t="s">
        <v>2513</v>
      </c>
      <c r="K1340" s="2"/>
      <c r="L1340" s="2"/>
      <c r="M1340" s="2"/>
      <c r="N1340" s="8" t="s">
        <v>11853</v>
      </c>
      <c r="O1340" s="8"/>
      <c r="P1340" s="2">
        <v>2</v>
      </c>
      <c r="Q1340" s="8"/>
      <c r="R1340" s="8" t="s">
        <v>6824</v>
      </c>
      <c r="S1340" s="8" t="str">
        <f>HYPERLINK("https://seichotoushi-hojo.jp/assets/pdf/koufu_3_4ji/outline_167.pdf","PDFを開く")</f>
        <v>PDFを開く</v>
      </c>
      <c r="T1340" s="8" t="s">
        <v>2796</v>
      </c>
      <c r="U1340" s="8" t="s">
        <v>2797</v>
      </c>
    </row>
    <row r="1341" spans="1:21" ht="39.950000000000003" customHeight="1">
      <c r="A1341" s="5" t="s">
        <v>2798</v>
      </c>
      <c r="B1341" s="5" t="s">
        <v>2430</v>
      </c>
      <c r="C1341" s="9" t="s">
        <v>2799</v>
      </c>
      <c r="D1341" s="9" t="s">
        <v>3176</v>
      </c>
      <c r="E1341" s="9" t="s">
        <v>90</v>
      </c>
      <c r="F1341" s="5"/>
      <c r="G1341" s="5">
        <v>14783</v>
      </c>
      <c r="H1341" s="5"/>
      <c r="I1341" s="5">
        <v>21274</v>
      </c>
      <c r="J1341" s="5" t="s">
        <v>447</v>
      </c>
      <c r="K1341" s="5">
        <v>12.9</v>
      </c>
      <c r="L1341" s="5">
        <v>12.900399999999999</v>
      </c>
      <c r="M1341" s="5">
        <v>4.0000000000000002E-4</v>
      </c>
      <c r="N1341" s="9" t="s">
        <v>11853</v>
      </c>
      <c r="O1341" s="9"/>
      <c r="P1341" s="5">
        <v>2</v>
      </c>
      <c r="Q1341" s="9"/>
      <c r="R1341" s="9" t="s">
        <v>6828</v>
      </c>
      <c r="S1341" s="9" t="str">
        <f>HYPERLINK("https://seichotoushi-hojo.jp/assets/pdf/koufu_3_4ji/outline_168.pdf","PDFを開く")</f>
        <v>PDFを開く</v>
      </c>
      <c r="T1341" s="9" t="s">
        <v>2807</v>
      </c>
      <c r="U1341" s="9" t="s">
        <v>2808</v>
      </c>
    </row>
    <row r="1342" spans="1:21" ht="39.950000000000003" customHeight="1">
      <c r="A1342" s="2" t="s">
        <v>2798</v>
      </c>
      <c r="B1342" s="2" t="s">
        <v>2430</v>
      </c>
      <c r="C1342" s="8" t="s">
        <v>2799</v>
      </c>
      <c r="D1342" s="8" t="s">
        <v>3184</v>
      </c>
      <c r="E1342" s="8" t="s">
        <v>90</v>
      </c>
      <c r="F1342" s="2"/>
      <c r="G1342" s="2">
        <v>4692</v>
      </c>
      <c r="H1342" s="2"/>
      <c r="I1342" s="2">
        <v>5515</v>
      </c>
      <c r="J1342" s="2" t="s">
        <v>447</v>
      </c>
      <c r="K1342" s="2">
        <v>5.5</v>
      </c>
      <c r="L1342" s="2">
        <v>5.5347999999999997</v>
      </c>
      <c r="M1342" s="2">
        <v>3.4799999999999998E-2</v>
      </c>
      <c r="N1342" s="8" t="s">
        <v>11853</v>
      </c>
      <c r="O1342" s="8"/>
      <c r="P1342" s="2">
        <v>2</v>
      </c>
      <c r="Q1342" s="8"/>
      <c r="R1342" s="8" t="s">
        <v>6831</v>
      </c>
      <c r="S1342" s="8" t="str">
        <f>HYPERLINK("https://seichotoushi-hojo.jp/assets/pdf/koufu_3_4ji/outline_168.pdf","PDFを開く")</f>
        <v>PDFを開く</v>
      </c>
      <c r="T1342" s="8" t="s">
        <v>2807</v>
      </c>
      <c r="U1342" s="8" t="s">
        <v>2808</v>
      </c>
    </row>
    <row r="1343" spans="1:21" ht="39.950000000000003" customHeight="1">
      <c r="A1343" s="5" t="s">
        <v>2798</v>
      </c>
      <c r="B1343" s="5" t="s">
        <v>2430</v>
      </c>
      <c r="C1343" s="9" t="s">
        <v>2799</v>
      </c>
      <c r="D1343" s="9" t="s">
        <v>3188</v>
      </c>
      <c r="E1343" s="9" t="s">
        <v>91</v>
      </c>
      <c r="F1343" s="5">
        <v>2027</v>
      </c>
      <c r="G1343" s="5"/>
      <c r="H1343" s="5"/>
      <c r="I1343" s="5"/>
      <c r="J1343" s="5" t="s">
        <v>447</v>
      </c>
      <c r="K1343" s="5">
        <v>0</v>
      </c>
      <c r="L1343" s="5"/>
      <c r="M1343" s="5"/>
      <c r="N1343" s="9" t="s">
        <v>11854</v>
      </c>
      <c r="O1343" s="9" t="s">
        <v>11848</v>
      </c>
      <c r="P1343" s="5">
        <v>2</v>
      </c>
      <c r="Q1343" s="9"/>
      <c r="R1343" s="9" t="s">
        <v>6843</v>
      </c>
      <c r="S1343" s="9" t="str">
        <f>HYPERLINK("https://seichotoushi-hojo.jp/assets/pdf/koufu_3_4ji/outline_168.pdf","PDFを開く")</f>
        <v>PDFを開く</v>
      </c>
      <c r="T1343" s="9" t="s">
        <v>2807</v>
      </c>
      <c r="U1343" s="9" t="s">
        <v>2808</v>
      </c>
    </row>
    <row r="1344" spans="1:21" ht="39.950000000000003" customHeight="1">
      <c r="A1344" s="2" t="s">
        <v>2798</v>
      </c>
      <c r="B1344" s="2" t="s">
        <v>2430</v>
      </c>
      <c r="C1344" s="8" t="s">
        <v>2799</v>
      </c>
      <c r="D1344" s="8" t="s">
        <v>3191</v>
      </c>
      <c r="E1344" s="8" t="s">
        <v>92</v>
      </c>
      <c r="F1344" s="2"/>
      <c r="G1344" s="2">
        <v>54</v>
      </c>
      <c r="H1344" s="2"/>
      <c r="I1344" s="2">
        <v>84</v>
      </c>
      <c r="J1344" s="2" t="s">
        <v>2513</v>
      </c>
      <c r="K1344" s="2"/>
      <c r="L1344" s="2"/>
      <c r="M1344" s="2"/>
      <c r="N1344" s="8" t="s">
        <v>11853</v>
      </c>
      <c r="O1344" s="8"/>
      <c r="P1344" s="2">
        <v>2</v>
      </c>
      <c r="Q1344" s="8"/>
      <c r="R1344" s="8" t="s">
        <v>6834</v>
      </c>
      <c r="S1344" s="8" t="str">
        <f>HYPERLINK("https://seichotoushi-hojo.jp/assets/pdf/koufu_3_4ji/outline_168.pdf","PDFを開く")</f>
        <v>PDFを開く</v>
      </c>
      <c r="T1344" s="8" t="s">
        <v>2807</v>
      </c>
      <c r="U1344" s="8" t="s">
        <v>2808</v>
      </c>
    </row>
    <row r="1345" spans="1:21" ht="39.950000000000003" customHeight="1">
      <c r="A1345" s="5" t="s">
        <v>2809</v>
      </c>
      <c r="B1345" s="5" t="s">
        <v>2430</v>
      </c>
      <c r="C1345" s="9" t="s">
        <v>2810</v>
      </c>
      <c r="D1345" s="9" t="s">
        <v>3176</v>
      </c>
      <c r="E1345" s="9" t="s">
        <v>90</v>
      </c>
      <c r="F1345" s="5"/>
      <c r="G1345" s="5">
        <v>66170</v>
      </c>
      <c r="H1345" s="5"/>
      <c r="I1345" s="5">
        <v>125750</v>
      </c>
      <c r="J1345" s="5" t="s">
        <v>447</v>
      </c>
      <c r="K1345" s="5">
        <v>23.9</v>
      </c>
      <c r="L1345" s="5">
        <v>23.865100000000002</v>
      </c>
      <c r="M1345" s="5">
        <v>3.49E-2</v>
      </c>
      <c r="N1345" s="9" t="s">
        <v>11853</v>
      </c>
      <c r="O1345" s="9"/>
      <c r="P1345" s="5">
        <v>2</v>
      </c>
      <c r="Q1345" s="9"/>
      <c r="R1345" s="9" t="s">
        <v>6846</v>
      </c>
      <c r="S1345" s="9" t="str">
        <f>HYPERLINK("https://seichotoushi-hojo.jp/assets/pdf/koufu_3_4ji/outline_170.pdf","PDFを開く")</f>
        <v>PDFを開く</v>
      </c>
      <c r="T1345" s="9" t="s">
        <v>2815</v>
      </c>
      <c r="U1345" s="9" t="s">
        <v>2816</v>
      </c>
    </row>
    <row r="1346" spans="1:21" ht="39.950000000000003" customHeight="1">
      <c r="A1346" s="2" t="s">
        <v>2809</v>
      </c>
      <c r="B1346" s="2" t="s">
        <v>2430</v>
      </c>
      <c r="C1346" s="8" t="s">
        <v>2810</v>
      </c>
      <c r="D1346" s="8" t="s">
        <v>3184</v>
      </c>
      <c r="E1346" s="8" t="s">
        <v>90</v>
      </c>
      <c r="F1346" s="2"/>
      <c r="G1346" s="2">
        <v>5067</v>
      </c>
      <c r="H1346" s="2"/>
      <c r="I1346" s="2">
        <v>6383</v>
      </c>
      <c r="J1346" s="2" t="s">
        <v>447</v>
      </c>
      <c r="K1346" s="2">
        <v>8</v>
      </c>
      <c r="L1346" s="2">
        <v>8.0001999999999995</v>
      </c>
      <c r="M1346" s="2">
        <v>2.0000000000000001E-4</v>
      </c>
      <c r="N1346" s="8" t="s">
        <v>11853</v>
      </c>
      <c r="O1346" s="8"/>
      <c r="P1346" s="2">
        <v>2</v>
      </c>
      <c r="Q1346" s="8"/>
      <c r="R1346" s="8" t="s">
        <v>6849</v>
      </c>
      <c r="S1346" s="8" t="str">
        <f>HYPERLINK("https://seichotoushi-hojo.jp/assets/pdf/koufu_3_4ji/outline_170.pdf","PDFを開く")</f>
        <v>PDFを開く</v>
      </c>
      <c r="T1346" s="8" t="s">
        <v>2815</v>
      </c>
      <c r="U1346" s="8" t="s">
        <v>2816</v>
      </c>
    </row>
    <row r="1347" spans="1:21" ht="39.950000000000003" customHeight="1">
      <c r="A1347" s="5" t="s">
        <v>2809</v>
      </c>
      <c r="B1347" s="5" t="s">
        <v>2430</v>
      </c>
      <c r="C1347" s="9" t="s">
        <v>2810</v>
      </c>
      <c r="D1347" s="9" t="s">
        <v>3188</v>
      </c>
      <c r="E1347" s="9" t="s">
        <v>91</v>
      </c>
      <c r="F1347" s="5"/>
      <c r="G1347" s="5"/>
      <c r="H1347" s="5"/>
      <c r="I1347" s="5"/>
      <c r="J1347" s="5" t="s">
        <v>447</v>
      </c>
      <c r="K1347" s="5">
        <v>6.5</v>
      </c>
      <c r="L1347" s="5"/>
      <c r="M1347" s="5"/>
      <c r="N1347" s="9" t="s">
        <v>11854</v>
      </c>
      <c r="O1347" s="9" t="s">
        <v>11848</v>
      </c>
      <c r="P1347" s="5">
        <v>2</v>
      </c>
      <c r="Q1347" s="9"/>
      <c r="R1347" s="9" t="s">
        <v>6853</v>
      </c>
      <c r="S1347" s="9" t="str">
        <f>HYPERLINK("https://seichotoushi-hojo.jp/assets/pdf/koufu_3_4ji/outline_170.pdf","PDFを開く")</f>
        <v>PDFを開く</v>
      </c>
      <c r="T1347" s="9" t="s">
        <v>2815</v>
      </c>
      <c r="U1347" s="9" t="s">
        <v>2816</v>
      </c>
    </row>
    <row r="1348" spans="1:21" ht="39.950000000000003" customHeight="1">
      <c r="A1348" s="2" t="s">
        <v>2809</v>
      </c>
      <c r="B1348" s="2" t="s">
        <v>2430</v>
      </c>
      <c r="C1348" s="8" t="s">
        <v>2810</v>
      </c>
      <c r="D1348" s="8" t="s">
        <v>3191</v>
      </c>
      <c r="E1348" s="8" t="s">
        <v>92</v>
      </c>
      <c r="F1348" s="2"/>
      <c r="G1348" s="2">
        <v>38</v>
      </c>
      <c r="H1348" s="2"/>
      <c r="I1348" s="2">
        <v>40</v>
      </c>
      <c r="J1348" s="2" t="s">
        <v>2513</v>
      </c>
      <c r="K1348" s="2"/>
      <c r="L1348" s="2"/>
      <c r="M1348" s="2"/>
      <c r="N1348" s="8" t="s">
        <v>11853</v>
      </c>
      <c r="O1348" s="8"/>
      <c r="P1348" s="2">
        <v>2</v>
      </c>
      <c r="Q1348" s="8"/>
      <c r="R1348" s="8" t="s">
        <v>6851</v>
      </c>
      <c r="S1348" s="8" t="str">
        <f>HYPERLINK("https://seichotoushi-hojo.jp/assets/pdf/koufu_3_4ji/outline_170.pdf","PDFを開く")</f>
        <v>PDFを開く</v>
      </c>
      <c r="T1348" s="8" t="s">
        <v>2815</v>
      </c>
      <c r="U1348" s="8" t="s">
        <v>2816</v>
      </c>
    </row>
    <row r="1349" spans="1:21" ht="39.950000000000003" customHeight="1">
      <c r="A1349" s="5" t="s">
        <v>2817</v>
      </c>
      <c r="B1349" s="5" t="s">
        <v>2430</v>
      </c>
      <c r="C1349" s="9" t="s">
        <v>2818</v>
      </c>
      <c r="D1349" s="9" t="s">
        <v>3176</v>
      </c>
      <c r="E1349" s="9" t="s">
        <v>90</v>
      </c>
      <c r="F1349" s="5"/>
      <c r="G1349" s="5">
        <v>5866</v>
      </c>
      <c r="H1349" s="5"/>
      <c r="I1349" s="5">
        <v>16506</v>
      </c>
      <c r="J1349" s="5" t="s">
        <v>447</v>
      </c>
      <c r="K1349" s="5">
        <v>41.2</v>
      </c>
      <c r="L1349" s="5">
        <v>41.177900000000001</v>
      </c>
      <c r="M1349" s="5">
        <v>2.2100000000000002E-2</v>
      </c>
      <c r="N1349" s="9" t="s">
        <v>11853</v>
      </c>
      <c r="O1349" s="9"/>
      <c r="P1349" s="5">
        <v>2</v>
      </c>
      <c r="Q1349" s="9"/>
      <c r="R1349" s="9" t="s">
        <v>6857</v>
      </c>
      <c r="S1349" s="9" t="str">
        <f>HYPERLINK("https://seichotoushi-hojo.jp/assets/pdf/koufu_3_4ji/outline_171.pdf","PDFを開く")</f>
        <v>PDFを開く</v>
      </c>
      <c r="T1349" s="9" t="s">
        <v>2823</v>
      </c>
      <c r="U1349" s="9" t="s">
        <v>2824</v>
      </c>
    </row>
    <row r="1350" spans="1:21" ht="39.950000000000003" customHeight="1">
      <c r="A1350" s="2" t="s">
        <v>2817</v>
      </c>
      <c r="B1350" s="2" t="s">
        <v>2430</v>
      </c>
      <c r="C1350" s="8" t="s">
        <v>2818</v>
      </c>
      <c r="D1350" s="8" t="s">
        <v>3184</v>
      </c>
      <c r="E1350" s="8" t="s">
        <v>90</v>
      </c>
      <c r="F1350" s="2"/>
      <c r="G1350" s="2">
        <v>3463</v>
      </c>
      <c r="H1350" s="2"/>
      <c r="I1350" s="2">
        <v>4148</v>
      </c>
      <c r="J1350" s="2" t="s">
        <v>447</v>
      </c>
      <c r="K1350" s="2">
        <v>6.2</v>
      </c>
      <c r="L1350" s="2">
        <v>6.2009999999999996</v>
      </c>
      <c r="M1350" s="2">
        <v>1E-3</v>
      </c>
      <c r="N1350" s="8" t="s">
        <v>11853</v>
      </c>
      <c r="O1350" s="8"/>
      <c r="P1350" s="2">
        <v>2</v>
      </c>
      <c r="Q1350" s="8"/>
      <c r="R1350" s="8" t="s">
        <v>6860</v>
      </c>
      <c r="S1350" s="8" t="str">
        <f>HYPERLINK("https://seichotoushi-hojo.jp/assets/pdf/koufu_3_4ji/outline_171.pdf","PDFを開く")</f>
        <v>PDFを開く</v>
      </c>
      <c r="T1350" s="8" t="s">
        <v>2823</v>
      </c>
      <c r="U1350" s="8" t="s">
        <v>2824</v>
      </c>
    </row>
    <row r="1351" spans="1:21" ht="39.950000000000003" customHeight="1">
      <c r="A1351" s="5" t="s">
        <v>2817</v>
      </c>
      <c r="B1351" s="5" t="s">
        <v>2430</v>
      </c>
      <c r="C1351" s="9" t="s">
        <v>2818</v>
      </c>
      <c r="D1351" s="9" t="s">
        <v>3188</v>
      </c>
      <c r="E1351" s="9" t="s">
        <v>91</v>
      </c>
      <c r="F1351" s="5"/>
      <c r="G1351" s="5"/>
      <c r="H1351" s="5"/>
      <c r="I1351" s="5"/>
      <c r="J1351" s="5" t="s">
        <v>447</v>
      </c>
      <c r="K1351" s="5">
        <v>6.2</v>
      </c>
      <c r="L1351" s="5"/>
      <c r="M1351" s="5"/>
      <c r="N1351" s="9" t="s">
        <v>11854</v>
      </c>
      <c r="O1351" s="9" t="s">
        <v>11848</v>
      </c>
      <c r="P1351" s="5">
        <v>2</v>
      </c>
      <c r="Q1351" s="9"/>
      <c r="R1351" s="9" t="s">
        <v>6439</v>
      </c>
      <c r="S1351" s="9" t="str">
        <f>HYPERLINK("https://seichotoushi-hojo.jp/assets/pdf/koufu_3_4ji/outline_171.pdf","PDFを開く")</f>
        <v>PDFを開く</v>
      </c>
      <c r="T1351" s="9" t="s">
        <v>2823</v>
      </c>
      <c r="U1351" s="9" t="s">
        <v>2824</v>
      </c>
    </row>
    <row r="1352" spans="1:21" ht="39.950000000000003" customHeight="1">
      <c r="A1352" s="2" t="s">
        <v>2817</v>
      </c>
      <c r="B1352" s="2" t="s">
        <v>2430</v>
      </c>
      <c r="C1352" s="8" t="s">
        <v>2818</v>
      </c>
      <c r="D1352" s="8" t="s">
        <v>3191</v>
      </c>
      <c r="E1352" s="8" t="s">
        <v>92</v>
      </c>
      <c r="F1352" s="2"/>
      <c r="G1352" s="2">
        <v>58</v>
      </c>
      <c r="H1352" s="2"/>
      <c r="I1352" s="2">
        <v>91</v>
      </c>
      <c r="J1352" s="2" t="s">
        <v>2513</v>
      </c>
      <c r="K1352" s="2"/>
      <c r="L1352" s="2"/>
      <c r="M1352" s="2"/>
      <c r="N1352" s="8" t="s">
        <v>11853</v>
      </c>
      <c r="O1352" s="8"/>
      <c r="P1352" s="2">
        <v>2</v>
      </c>
      <c r="Q1352" s="8"/>
      <c r="R1352" s="8" t="s">
        <v>6863</v>
      </c>
      <c r="S1352" s="8" t="str">
        <f>HYPERLINK("https://seichotoushi-hojo.jp/assets/pdf/koufu_3_4ji/outline_171.pdf","PDFを開く")</f>
        <v>PDFを開く</v>
      </c>
      <c r="T1352" s="8" t="s">
        <v>2823</v>
      </c>
      <c r="U1352" s="8" t="s">
        <v>2824</v>
      </c>
    </row>
    <row r="1353" spans="1:21" ht="39.950000000000003" customHeight="1">
      <c r="A1353" s="5" t="s">
        <v>2825</v>
      </c>
      <c r="B1353" s="5" t="s">
        <v>2430</v>
      </c>
      <c r="C1353" s="9" t="s">
        <v>2826</v>
      </c>
      <c r="D1353" s="9" t="s">
        <v>3176</v>
      </c>
      <c r="E1353" s="9" t="s">
        <v>90</v>
      </c>
      <c r="F1353" s="5"/>
      <c r="G1353" s="5">
        <v>10345</v>
      </c>
      <c r="H1353" s="5"/>
      <c r="I1353" s="5">
        <v>20065</v>
      </c>
      <c r="J1353" s="5" t="s">
        <v>447</v>
      </c>
      <c r="K1353" s="5">
        <v>24.7</v>
      </c>
      <c r="L1353" s="5">
        <v>24.7105</v>
      </c>
      <c r="M1353" s="5">
        <v>1.0500000000000001E-2</v>
      </c>
      <c r="N1353" s="9" t="s">
        <v>11853</v>
      </c>
      <c r="O1353" s="9"/>
      <c r="P1353" s="5">
        <v>2</v>
      </c>
      <c r="Q1353" s="9"/>
      <c r="R1353" s="9" t="s">
        <v>6868</v>
      </c>
      <c r="S1353" s="9" t="str">
        <f>HYPERLINK("https://seichotoushi-hojo.jp/assets/pdf/koufu_3_4ji/outline_172.pdf","PDFを開く")</f>
        <v>PDFを開く</v>
      </c>
      <c r="T1353" s="9" t="s">
        <v>2831</v>
      </c>
      <c r="U1353" s="9" t="s">
        <v>2832</v>
      </c>
    </row>
    <row r="1354" spans="1:21" ht="39.950000000000003" customHeight="1">
      <c r="A1354" s="2" t="s">
        <v>2825</v>
      </c>
      <c r="B1354" s="2" t="s">
        <v>2430</v>
      </c>
      <c r="C1354" s="8" t="s">
        <v>2826</v>
      </c>
      <c r="D1354" s="8" t="s">
        <v>3184</v>
      </c>
      <c r="E1354" s="8" t="s">
        <v>90</v>
      </c>
      <c r="F1354" s="2"/>
      <c r="G1354" s="2">
        <v>3869</v>
      </c>
      <c r="H1354" s="2"/>
      <c r="I1354" s="2">
        <v>4674</v>
      </c>
      <c r="J1354" s="2" t="s">
        <v>447</v>
      </c>
      <c r="K1354" s="2">
        <v>6.5</v>
      </c>
      <c r="L1354" s="2">
        <v>6.5034000000000001</v>
      </c>
      <c r="M1354" s="2">
        <v>3.3999999999999998E-3</v>
      </c>
      <c r="N1354" s="8" t="s">
        <v>11853</v>
      </c>
      <c r="O1354" s="8"/>
      <c r="P1354" s="2">
        <v>2</v>
      </c>
      <c r="Q1354" s="8"/>
      <c r="R1354" s="8" t="s">
        <v>6871</v>
      </c>
      <c r="S1354" s="8" t="str">
        <f>HYPERLINK("https://seichotoushi-hojo.jp/assets/pdf/koufu_3_4ji/outline_172.pdf","PDFを開く")</f>
        <v>PDFを開く</v>
      </c>
      <c r="T1354" s="8" t="s">
        <v>2831</v>
      </c>
      <c r="U1354" s="8" t="s">
        <v>2832</v>
      </c>
    </row>
    <row r="1355" spans="1:21" ht="39.950000000000003" customHeight="1">
      <c r="A1355" s="5" t="s">
        <v>2825</v>
      </c>
      <c r="B1355" s="5" t="s">
        <v>2430</v>
      </c>
      <c r="C1355" s="9" t="s">
        <v>2826</v>
      </c>
      <c r="D1355" s="9" t="s">
        <v>3188</v>
      </c>
      <c r="E1355" s="9" t="s">
        <v>91</v>
      </c>
      <c r="F1355" s="5"/>
      <c r="G1355" s="5"/>
      <c r="H1355" s="5"/>
      <c r="I1355" s="5"/>
      <c r="J1355" s="5" t="s">
        <v>447</v>
      </c>
      <c r="K1355" s="5">
        <v>5.8</v>
      </c>
      <c r="L1355" s="5"/>
      <c r="M1355" s="5"/>
      <c r="N1355" s="9" t="s">
        <v>11854</v>
      </c>
      <c r="O1355" s="9" t="s">
        <v>11848</v>
      </c>
      <c r="P1355" s="5">
        <v>2</v>
      </c>
      <c r="Q1355" s="9"/>
      <c r="R1355" s="9" t="s">
        <v>6876</v>
      </c>
      <c r="S1355" s="9" t="str">
        <f>HYPERLINK("https://seichotoushi-hojo.jp/assets/pdf/koufu_3_4ji/outline_172.pdf","PDFを開く")</f>
        <v>PDFを開く</v>
      </c>
      <c r="T1355" s="9" t="s">
        <v>2831</v>
      </c>
      <c r="U1355" s="9" t="s">
        <v>2832</v>
      </c>
    </row>
    <row r="1356" spans="1:21" ht="39.950000000000003" customHeight="1">
      <c r="A1356" s="2" t="s">
        <v>2825</v>
      </c>
      <c r="B1356" s="2" t="s">
        <v>2430</v>
      </c>
      <c r="C1356" s="8" t="s">
        <v>2826</v>
      </c>
      <c r="D1356" s="8" t="s">
        <v>3191</v>
      </c>
      <c r="E1356" s="8" t="s">
        <v>92</v>
      </c>
      <c r="F1356" s="2"/>
      <c r="G1356" s="2">
        <v>55</v>
      </c>
      <c r="H1356" s="2"/>
      <c r="I1356" s="2">
        <v>65</v>
      </c>
      <c r="J1356" s="2" t="s">
        <v>2513</v>
      </c>
      <c r="K1356" s="2"/>
      <c r="L1356" s="2"/>
      <c r="M1356" s="2"/>
      <c r="N1356" s="8" t="s">
        <v>11853</v>
      </c>
      <c r="O1356" s="8"/>
      <c r="P1356" s="2">
        <v>2</v>
      </c>
      <c r="Q1356" s="8"/>
      <c r="R1356" s="8" t="s">
        <v>6874</v>
      </c>
      <c r="S1356" s="8" t="str">
        <f>HYPERLINK("https://seichotoushi-hojo.jp/assets/pdf/koufu_3_4ji/outline_172.pdf","PDFを開く")</f>
        <v>PDFを開く</v>
      </c>
      <c r="T1356" s="8" t="s">
        <v>2831</v>
      </c>
      <c r="U1356" s="8" t="s">
        <v>2832</v>
      </c>
    </row>
    <row r="1357" spans="1:21" ht="39.950000000000003" customHeight="1">
      <c r="A1357" s="5" t="s">
        <v>2833</v>
      </c>
      <c r="B1357" s="5" t="s">
        <v>2430</v>
      </c>
      <c r="C1357" s="9" t="s">
        <v>2834</v>
      </c>
      <c r="D1357" s="9" t="s">
        <v>3176</v>
      </c>
      <c r="E1357" s="9" t="s">
        <v>90</v>
      </c>
      <c r="F1357" s="5"/>
      <c r="G1357" s="5">
        <v>9956</v>
      </c>
      <c r="H1357" s="5"/>
      <c r="I1357" s="5">
        <v>28294</v>
      </c>
      <c r="J1357" s="5" t="s">
        <v>447</v>
      </c>
      <c r="K1357" s="5">
        <v>41.6</v>
      </c>
      <c r="L1357" s="5">
        <v>41.645600000000002</v>
      </c>
      <c r="M1357" s="5">
        <v>4.5600000000000002E-2</v>
      </c>
      <c r="N1357" s="9" t="s">
        <v>11853</v>
      </c>
      <c r="O1357" s="9"/>
      <c r="P1357" s="5">
        <v>2</v>
      </c>
      <c r="Q1357" s="9"/>
      <c r="R1357" s="9" t="s">
        <v>6880</v>
      </c>
      <c r="S1357" s="9" t="str">
        <f>HYPERLINK("https://seichotoushi-hojo.jp/assets/pdf/koufu_3_4ji/outline_174.pdf","PDFを開く")</f>
        <v>PDFを開く</v>
      </c>
      <c r="T1357" s="9" t="s">
        <v>2839</v>
      </c>
      <c r="U1357" s="9" t="s">
        <v>2840</v>
      </c>
    </row>
    <row r="1358" spans="1:21" ht="39.950000000000003" customHeight="1">
      <c r="A1358" s="2" t="s">
        <v>2833</v>
      </c>
      <c r="B1358" s="2" t="s">
        <v>2430</v>
      </c>
      <c r="C1358" s="8" t="s">
        <v>2834</v>
      </c>
      <c r="D1358" s="8" t="s">
        <v>3184</v>
      </c>
      <c r="E1358" s="8" t="s">
        <v>90</v>
      </c>
      <c r="F1358" s="2"/>
      <c r="G1358" s="2">
        <v>6046</v>
      </c>
      <c r="H1358" s="2"/>
      <c r="I1358" s="2">
        <v>7305</v>
      </c>
      <c r="J1358" s="2" t="s">
        <v>447</v>
      </c>
      <c r="K1358" s="2">
        <v>6.5</v>
      </c>
      <c r="L1358" s="2">
        <v>6.5084</v>
      </c>
      <c r="M1358" s="2">
        <v>8.3999999999999995E-3</v>
      </c>
      <c r="N1358" s="8" t="s">
        <v>11853</v>
      </c>
      <c r="O1358" s="8"/>
      <c r="P1358" s="2">
        <v>2</v>
      </c>
      <c r="Q1358" s="8"/>
      <c r="R1358" s="8" t="s">
        <v>6883</v>
      </c>
      <c r="S1358" s="8" t="str">
        <f>HYPERLINK("https://seichotoushi-hojo.jp/assets/pdf/koufu_3_4ji/outline_174.pdf","PDFを開く")</f>
        <v>PDFを開く</v>
      </c>
      <c r="T1358" s="8" t="s">
        <v>2839</v>
      </c>
      <c r="U1358" s="8" t="s">
        <v>2840</v>
      </c>
    </row>
    <row r="1359" spans="1:21" ht="39.950000000000003" customHeight="1">
      <c r="A1359" s="5" t="s">
        <v>2833</v>
      </c>
      <c r="B1359" s="5" t="s">
        <v>2430</v>
      </c>
      <c r="C1359" s="9" t="s">
        <v>2834</v>
      </c>
      <c r="D1359" s="9" t="s">
        <v>3188</v>
      </c>
      <c r="E1359" s="9" t="s">
        <v>91</v>
      </c>
      <c r="F1359" s="5"/>
      <c r="G1359" s="5"/>
      <c r="H1359" s="5"/>
      <c r="I1359" s="5"/>
      <c r="J1359" s="5" t="s">
        <v>447</v>
      </c>
      <c r="K1359" s="5">
        <v>6.5</v>
      </c>
      <c r="L1359" s="5"/>
      <c r="M1359" s="5"/>
      <c r="N1359" s="9" t="s">
        <v>11854</v>
      </c>
      <c r="O1359" s="9" t="s">
        <v>11848</v>
      </c>
      <c r="P1359" s="5">
        <v>2</v>
      </c>
      <c r="Q1359" s="9"/>
      <c r="R1359" s="9" t="s">
        <v>6330</v>
      </c>
      <c r="S1359" s="9" t="str">
        <f>HYPERLINK("https://seichotoushi-hojo.jp/assets/pdf/koufu_3_4ji/outline_174.pdf","PDFを開く")</f>
        <v>PDFを開く</v>
      </c>
      <c r="T1359" s="9" t="s">
        <v>2839</v>
      </c>
      <c r="U1359" s="9" t="s">
        <v>2840</v>
      </c>
    </row>
    <row r="1360" spans="1:21" ht="39.950000000000003" customHeight="1">
      <c r="A1360" s="2" t="s">
        <v>2833</v>
      </c>
      <c r="B1360" s="2" t="s">
        <v>2430</v>
      </c>
      <c r="C1360" s="8" t="s">
        <v>2834</v>
      </c>
      <c r="D1360" s="8" t="s">
        <v>3191</v>
      </c>
      <c r="E1360" s="8" t="s">
        <v>92</v>
      </c>
      <c r="F1360" s="2"/>
      <c r="G1360" s="2">
        <v>75</v>
      </c>
      <c r="H1360" s="2"/>
      <c r="I1360" s="2">
        <v>90</v>
      </c>
      <c r="J1360" s="2" t="s">
        <v>2513</v>
      </c>
      <c r="K1360" s="2"/>
      <c r="L1360" s="2"/>
      <c r="M1360" s="2"/>
      <c r="N1360" s="8" t="s">
        <v>11853</v>
      </c>
      <c r="O1360" s="8"/>
      <c r="P1360" s="2">
        <v>2</v>
      </c>
      <c r="Q1360" s="8"/>
      <c r="R1360" s="8" t="s">
        <v>6885</v>
      </c>
      <c r="S1360" s="8" t="str">
        <f>HYPERLINK("https://seichotoushi-hojo.jp/assets/pdf/koufu_3_4ji/outline_174.pdf","PDFを開く")</f>
        <v>PDFを開く</v>
      </c>
      <c r="T1360" s="8" t="s">
        <v>2839</v>
      </c>
      <c r="U1360" s="8" t="s">
        <v>2840</v>
      </c>
    </row>
    <row r="1361" spans="1:21" ht="39.950000000000003" customHeight="1">
      <c r="A1361" s="5" t="s">
        <v>2841</v>
      </c>
      <c r="B1361" s="5" t="s">
        <v>2430</v>
      </c>
      <c r="C1361" s="9" t="s">
        <v>2842</v>
      </c>
      <c r="D1361" s="9" t="s">
        <v>3176</v>
      </c>
      <c r="E1361" s="9" t="s">
        <v>90</v>
      </c>
      <c r="F1361" s="5"/>
      <c r="G1361" s="5">
        <v>9341</v>
      </c>
      <c r="H1361" s="5"/>
      <c r="I1361" s="5">
        <v>16690</v>
      </c>
      <c r="J1361" s="5" t="s">
        <v>447</v>
      </c>
      <c r="K1361" s="5">
        <v>21.3</v>
      </c>
      <c r="L1361" s="5">
        <v>21.3447</v>
      </c>
      <c r="M1361" s="5">
        <v>4.4699999999999997E-2</v>
      </c>
      <c r="N1361" s="9" t="s">
        <v>11853</v>
      </c>
      <c r="O1361" s="9"/>
      <c r="P1361" s="5">
        <v>2</v>
      </c>
      <c r="Q1361" s="9"/>
      <c r="R1361" s="9" t="s">
        <v>6889</v>
      </c>
      <c r="S1361" s="9" t="str">
        <f>HYPERLINK("https://seichotoushi-hojo.jp/assets/pdf/koufu_3_4ji/outline_175.pdf","PDFを開く")</f>
        <v>PDFを開く</v>
      </c>
      <c r="T1361" s="9" t="s">
        <v>2847</v>
      </c>
      <c r="U1361" s="9" t="s">
        <v>2848</v>
      </c>
    </row>
    <row r="1362" spans="1:21" ht="39.950000000000003" customHeight="1">
      <c r="A1362" s="2" t="s">
        <v>2841</v>
      </c>
      <c r="B1362" s="2" t="s">
        <v>2430</v>
      </c>
      <c r="C1362" s="8" t="s">
        <v>2842</v>
      </c>
      <c r="D1362" s="8" t="s">
        <v>3184</v>
      </c>
      <c r="E1362" s="8" t="s">
        <v>90</v>
      </c>
      <c r="F1362" s="2"/>
      <c r="G1362" s="2">
        <v>4136</v>
      </c>
      <c r="H1362" s="2"/>
      <c r="I1362" s="2">
        <v>5067</v>
      </c>
      <c r="J1362" s="2" t="s">
        <v>447</v>
      </c>
      <c r="K1362" s="2">
        <v>7</v>
      </c>
      <c r="L1362" s="2">
        <v>7.0015999999999998</v>
      </c>
      <c r="M1362" s="2">
        <v>1.6000000000000001E-3</v>
      </c>
      <c r="N1362" s="8" t="s">
        <v>11853</v>
      </c>
      <c r="O1362" s="8"/>
      <c r="P1362" s="2">
        <v>2</v>
      </c>
      <c r="Q1362" s="8"/>
      <c r="R1362" s="8" t="s">
        <v>6892</v>
      </c>
      <c r="S1362" s="8" t="str">
        <f>HYPERLINK("https://seichotoushi-hojo.jp/assets/pdf/koufu_3_4ji/outline_175.pdf","PDFを開く")</f>
        <v>PDFを開く</v>
      </c>
      <c r="T1362" s="8" t="s">
        <v>2847</v>
      </c>
      <c r="U1362" s="8" t="s">
        <v>2848</v>
      </c>
    </row>
    <row r="1363" spans="1:21" ht="39.950000000000003" customHeight="1">
      <c r="A1363" s="5" t="s">
        <v>2841</v>
      </c>
      <c r="B1363" s="5" t="s">
        <v>2430</v>
      </c>
      <c r="C1363" s="9" t="s">
        <v>2842</v>
      </c>
      <c r="D1363" s="9" t="s">
        <v>3188</v>
      </c>
      <c r="E1363" s="9" t="s">
        <v>91</v>
      </c>
      <c r="F1363" s="5"/>
      <c r="G1363" s="5"/>
      <c r="H1363" s="5"/>
      <c r="I1363" s="5"/>
      <c r="J1363" s="5" t="s">
        <v>447</v>
      </c>
      <c r="K1363" s="5">
        <v>5.3</v>
      </c>
      <c r="L1363" s="5"/>
      <c r="M1363" s="5"/>
      <c r="N1363" s="9" t="s">
        <v>11854</v>
      </c>
      <c r="O1363" s="9" t="s">
        <v>11848</v>
      </c>
      <c r="P1363" s="5">
        <v>2</v>
      </c>
      <c r="Q1363" s="9"/>
      <c r="R1363" s="9" t="s">
        <v>6897</v>
      </c>
      <c r="S1363" s="9" t="str">
        <f>HYPERLINK("https://seichotoushi-hojo.jp/assets/pdf/koufu_3_4ji/outline_175.pdf","PDFを開く")</f>
        <v>PDFを開く</v>
      </c>
      <c r="T1363" s="9" t="s">
        <v>2847</v>
      </c>
      <c r="U1363" s="9" t="s">
        <v>2848</v>
      </c>
    </row>
    <row r="1364" spans="1:21" ht="39.950000000000003" customHeight="1">
      <c r="A1364" s="2" t="s">
        <v>2841</v>
      </c>
      <c r="B1364" s="2" t="s">
        <v>2430</v>
      </c>
      <c r="C1364" s="8" t="s">
        <v>2842</v>
      </c>
      <c r="D1364" s="8" t="s">
        <v>3191</v>
      </c>
      <c r="E1364" s="8" t="s">
        <v>92</v>
      </c>
      <c r="F1364" s="2"/>
      <c r="G1364" s="2">
        <v>190</v>
      </c>
      <c r="H1364" s="2"/>
      <c r="I1364" s="2">
        <v>199</v>
      </c>
      <c r="J1364" s="2" t="s">
        <v>2513</v>
      </c>
      <c r="K1364" s="2"/>
      <c r="L1364" s="2"/>
      <c r="M1364" s="2"/>
      <c r="N1364" s="8" t="s">
        <v>11853</v>
      </c>
      <c r="O1364" s="8"/>
      <c r="P1364" s="2">
        <v>2</v>
      </c>
      <c r="Q1364" s="8"/>
      <c r="R1364" s="8" t="s">
        <v>6894</v>
      </c>
      <c r="S1364" s="8" t="str">
        <f>HYPERLINK("https://seichotoushi-hojo.jp/assets/pdf/koufu_3_4ji/outline_175.pdf","PDFを開く")</f>
        <v>PDFを開く</v>
      </c>
      <c r="T1364" s="8" t="s">
        <v>2847</v>
      </c>
      <c r="U1364" s="8" t="s">
        <v>2848</v>
      </c>
    </row>
    <row r="1365" spans="1:21" ht="39.950000000000003" customHeight="1">
      <c r="A1365" s="5" t="s">
        <v>2849</v>
      </c>
      <c r="B1365" s="5" t="s">
        <v>2430</v>
      </c>
      <c r="C1365" s="9" t="s">
        <v>2850</v>
      </c>
      <c r="D1365" s="9" t="s">
        <v>3176</v>
      </c>
      <c r="E1365" s="9" t="s">
        <v>90</v>
      </c>
      <c r="F1365" s="5"/>
      <c r="G1365" s="5">
        <v>51556</v>
      </c>
      <c r="H1365" s="5"/>
      <c r="I1365" s="5">
        <v>162123</v>
      </c>
      <c r="J1365" s="5" t="s">
        <v>447</v>
      </c>
      <c r="K1365" s="5">
        <v>46.5</v>
      </c>
      <c r="L1365" s="5">
        <v>46.505899999999997</v>
      </c>
      <c r="M1365" s="5">
        <v>5.8999999999999999E-3</v>
      </c>
      <c r="N1365" s="9" t="s">
        <v>11853</v>
      </c>
      <c r="O1365" s="9"/>
      <c r="P1365" s="5">
        <v>2</v>
      </c>
      <c r="Q1365" s="9"/>
      <c r="R1365" s="9" t="s">
        <v>6901</v>
      </c>
      <c r="S1365" s="9" t="str">
        <f>HYPERLINK("https://seichotoushi-hojo.jp/assets/pdf/koufu_3_4ji/outline_176.pdf","PDFを開く")</f>
        <v>PDFを開く</v>
      </c>
      <c r="T1365" s="9" t="s">
        <v>2855</v>
      </c>
      <c r="U1365" s="9" t="s">
        <v>2856</v>
      </c>
    </row>
    <row r="1366" spans="1:21" ht="39.950000000000003" customHeight="1">
      <c r="A1366" s="2" t="s">
        <v>2849</v>
      </c>
      <c r="B1366" s="2" t="s">
        <v>2430</v>
      </c>
      <c r="C1366" s="8" t="s">
        <v>2850</v>
      </c>
      <c r="D1366" s="8" t="s">
        <v>3184</v>
      </c>
      <c r="E1366" s="8" t="s">
        <v>90</v>
      </c>
      <c r="F1366" s="2"/>
      <c r="G1366" s="2">
        <v>2640</v>
      </c>
      <c r="H1366" s="2"/>
      <c r="I1366" s="2">
        <v>4630</v>
      </c>
      <c r="J1366" s="2" t="s">
        <v>447</v>
      </c>
      <c r="K1366" s="2">
        <v>20.6</v>
      </c>
      <c r="L1366" s="2">
        <v>20.594000000000001</v>
      </c>
      <c r="M1366" s="2">
        <v>6.0000000000000001E-3</v>
      </c>
      <c r="N1366" s="8" t="s">
        <v>11853</v>
      </c>
      <c r="O1366" s="8"/>
      <c r="P1366" s="2">
        <v>2</v>
      </c>
      <c r="Q1366" s="8"/>
      <c r="R1366" s="8" t="s">
        <v>6903</v>
      </c>
      <c r="S1366" s="8" t="str">
        <f>HYPERLINK("https://seichotoushi-hojo.jp/assets/pdf/koufu_3_4ji/outline_176.pdf","PDFを開く")</f>
        <v>PDFを開く</v>
      </c>
      <c r="T1366" s="8" t="s">
        <v>2855</v>
      </c>
      <c r="U1366" s="8" t="s">
        <v>2856</v>
      </c>
    </row>
    <row r="1367" spans="1:21" ht="39.950000000000003" customHeight="1">
      <c r="A1367" s="5" t="s">
        <v>2849</v>
      </c>
      <c r="B1367" s="5" t="s">
        <v>2430</v>
      </c>
      <c r="C1367" s="9" t="s">
        <v>2850</v>
      </c>
      <c r="D1367" s="9" t="s">
        <v>3188</v>
      </c>
      <c r="E1367" s="9" t="s">
        <v>90</v>
      </c>
      <c r="F1367" s="5"/>
      <c r="G1367" s="5">
        <v>18000</v>
      </c>
      <c r="H1367" s="5"/>
      <c r="I1367" s="5">
        <v>60000</v>
      </c>
      <c r="J1367" s="5" t="s">
        <v>447</v>
      </c>
      <c r="K1367" s="5">
        <v>49.4</v>
      </c>
      <c r="L1367" s="5">
        <v>49.380200000000002</v>
      </c>
      <c r="M1367" s="5">
        <v>1.9800000000000002E-2</v>
      </c>
      <c r="N1367" s="9" t="s">
        <v>11853</v>
      </c>
      <c r="O1367" s="9"/>
      <c r="P1367" s="5">
        <v>2</v>
      </c>
      <c r="Q1367" s="9"/>
      <c r="R1367" s="9" t="s">
        <v>6906</v>
      </c>
      <c r="S1367" s="9" t="str">
        <f>HYPERLINK("https://seichotoushi-hojo.jp/assets/pdf/koufu_3_4ji/outline_176.pdf","PDFを開く")</f>
        <v>PDFを開く</v>
      </c>
      <c r="T1367" s="9" t="s">
        <v>2855</v>
      </c>
      <c r="U1367" s="9" t="s">
        <v>2856</v>
      </c>
    </row>
    <row r="1368" spans="1:21" ht="39.950000000000003" customHeight="1">
      <c r="A1368" s="2" t="s">
        <v>2849</v>
      </c>
      <c r="B1368" s="2" t="s">
        <v>2430</v>
      </c>
      <c r="C1368" s="8" t="s">
        <v>2850</v>
      </c>
      <c r="D1368" s="8" t="s">
        <v>3191</v>
      </c>
      <c r="E1368" s="8" t="s">
        <v>92</v>
      </c>
      <c r="F1368" s="2"/>
      <c r="G1368" s="2">
        <v>16</v>
      </c>
      <c r="H1368" s="2"/>
      <c r="I1368" s="2">
        <v>33</v>
      </c>
      <c r="J1368" s="2" t="s">
        <v>2513</v>
      </c>
      <c r="K1368" s="2"/>
      <c r="L1368" s="2"/>
      <c r="M1368" s="2"/>
      <c r="N1368" s="8" t="s">
        <v>11853</v>
      </c>
      <c r="O1368" s="8"/>
      <c r="P1368" s="2">
        <v>2</v>
      </c>
      <c r="Q1368" s="8"/>
      <c r="R1368" s="8" t="s">
        <v>6908</v>
      </c>
      <c r="S1368" s="8" t="str">
        <f>HYPERLINK("https://seichotoushi-hojo.jp/assets/pdf/koufu_3_4ji/outline_176.pdf","PDFを開く")</f>
        <v>PDFを開く</v>
      </c>
      <c r="T1368" s="8" t="s">
        <v>2855</v>
      </c>
      <c r="U1368" s="8" t="s">
        <v>2856</v>
      </c>
    </row>
    <row r="1369" spans="1:21" ht="39.950000000000003" customHeight="1">
      <c r="A1369" s="5" t="s">
        <v>2857</v>
      </c>
      <c r="B1369" s="5" t="s">
        <v>2430</v>
      </c>
      <c r="C1369" s="9" t="s">
        <v>2858</v>
      </c>
      <c r="D1369" s="9" t="s">
        <v>3176</v>
      </c>
      <c r="E1369" s="9" t="s">
        <v>166</v>
      </c>
      <c r="F1369" s="5">
        <v>2027</v>
      </c>
      <c r="G1369" s="5">
        <v>1881</v>
      </c>
      <c r="H1369" s="5">
        <v>2030</v>
      </c>
      <c r="I1369" s="5">
        <v>2512</v>
      </c>
      <c r="J1369" s="5" t="s">
        <v>86</v>
      </c>
      <c r="K1369" s="5">
        <v>10.1</v>
      </c>
      <c r="L1369" s="5">
        <v>10.1227</v>
      </c>
      <c r="M1369" s="5">
        <v>2.2700000000000001E-2</v>
      </c>
      <c r="N1369" s="9" t="s">
        <v>11846</v>
      </c>
      <c r="O1369" s="9" t="s">
        <v>292</v>
      </c>
      <c r="P1369" s="5">
        <v>2</v>
      </c>
      <c r="Q1369" s="9"/>
      <c r="R1369" s="9" t="s">
        <v>6919</v>
      </c>
      <c r="S1369" s="9" t="str">
        <f>HYPERLINK("https://seichotoushi-hojo.jp/assets/pdf/koufu_3_4ji/outline_177.pdf","PDFを開く")</f>
        <v>PDFを開く</v>
      </c>
      <c r="T1369" s="9" t="s">
        <v>2863</v>
      </c>
      <c r="U1369" s="9" t="s">
        <v>2864</v>
      </c>
    </row>
    <row r="1370" spans="1:21" ht="39.950000000000003" customHeight="1">
      <c r="A1370" s="2" t="s">
        <v>2857</v>
      </c>
      <c r="B1370" s="2" t="s">
        <v>2430</v>
      </c>
      <c r="C1370" s="8" t="s">
        <v>2858</v>
      </c>
      <c r="D1370" s="8" t="s">
        <v>3184</v>
      </c>
      <c r="E1370" s="8" t="s">
        <v>166</v>
      </c>
      <c r="F1370" s="2">
        <v>2027</v>
      </c>
      <c r="G1370" s="2">
        <v>8089</v>
      </c>
      <c r="H1370" s="2">
        <v>2030</v>
      </c>
      <c r="I1370" s="2">
        <v>9893</v>
      </c>
      <c r="J1370" s="2" t="s">
        <v>86</v>
      </c>
      <c r="K1370" s="2">
        <v>6.9</v>
      </c>
      <c r="L1370" s="2">
        <v>6.9409999999999998</v>
      </c>
      <c r="M1370" s="2">
        <v>4.1000000000000002E-2</v>
      </c>
      <c r="N1370" s="8" t="s">
        <v>11846</v>
      </c>
      <c r="O1370" s="8" t="s">
        <v>292</v>
      </c>
      <c r="P1370" s="2">
        <v>2</v>
      </c>
      <c r="Q1370" s="8"/>
      <c r="R1370" s="8" t="s">
        <v>6922</v>
      </c>
      <c r="S1370" s="8" t="str">
        <f>HYPERLINK("https://seichotoushi-hojo.jp/assets/pdf/koufu_3_4ji/outline_177.pdf","PDFを開く")</f>
        <v>PDFを開く</v>
      </c>
      <c r="T1370" s="8" t="s">
        <v>2863</v>
      </c>
      <c r="U1370" s="8" t="s">
        <v>2864</v>
      </c>
    </row>
    <row r="1371" spans="1:21" ht="39.950000000000003" customHeight="1">
      <c r="A1371" s="5" t="s">
        <v>2857</v>
      </c>
      <c r="B1371" s="5" t="s">
        <v>2430</v>
      </c>
      <c r="C1371" s="9" t="s">
        <v>2858</v>
      </c>
      <c r="D1371" s="9" t="s">
        <v>3188</v>
      </c>
      <c r="E1371" s="9" t="s">
        <v>156</v>
      </c>
      <c r="F1371" s="5"/>
      <c r="G1371" s="5"/>
      <c r="H1371" s="5"/>
      <c r="I1371" s="5"/>
      <c r="J1371" s="5"/>
      <c r="K1371" s="5"/>
      <c r="L1371" s="5"/>
      <c r="M1371" s="5"/>
      <c r="N1371" s="9" t="s">
        <v>11850</v>
      </c>
      <c r="O1371" s="9"/>
      <c r="P1371" s="5"/>
      <c r="Q1371" s="9" t="s">
        <v>11851</v>
      </c>
      <c r="R1371" s="9"/>
      <c r="S1371" s="9" t="str">
        <f>HYPERLINK("https://seichotoushi-hojo.jp/assets/pdf/koufu_3_4ji/outline_177.pdf","PDFを開く")</f>
        <v>PDFを開く</v>
      </c>
      <c r="T1371" s="9" t="s">
        <v>2863</v>
      </c>
      <c r="U1371" s="9" t="s">
        <v>2864</v>
      </c>
    </row>
    <row r="1372" spans="1:21" ht="39.950000000000003" customHeight="1">
      <c r="A1372" s="2" t="s">
        <v>2857</v>
      </c>
      <c r="B1372" s="2" t="s">
        <v>2430</v>
      </c>
      <c r="C1372" s="8" t="s">
        <v>2858</v>
      </c>
      <c r="D1372" s="8" t="s">
        <v>3191</v>
      </c>
      <c r="E1372" s="8" t="s">
        <v>166</v>
      </c>
      <c r="F1372" s="2">
        <v>2027</v>
      </c>
      <c r="G1372" s="2">
        <v>47</v>
      </c>
      <c r="H1372" s="2">
        <v>2030</v>
      </c>
      <c r="I1372" s="2">
        <v>138</v>
      </c>
      <c r="J1372" s="2" t="s">
        <v>2513</v>
      </c>
      <c r="K1372" s="2">
        <v>43.2</v>
      </c>
      <c r="L1372" s="2"/>
      <c r="M1372" s="2"/>
      <c r="N1372" s="8" t="s">
        <v>11846</v>
      </c>
      <c r="O1372" s="8" t="s">
        <v>292</v>
      </c>
      <c r="P1372" s="2">
        <v>2</v>
      </c>
      <c r="Q1372" s="8"/>
      <c r="R1372" s="8" t="s">
        <v>6924</v>
      </c>
      <c r="S1372" s="8" t="str">
        <f>HYPERLINK("https://seichotoushi-hojo.jp/assets/pdf/koufu_3_4ji/outline_177.pdf","PDFを開く")</f>
        <v>PDFを開く</v>
      </c>
      <c r="T1372" s="8" t="s">
        <v>2863</v>
      </c>
      <c r="U1372" s="8" t="s">
        <v>2864</v>
      </c>
    </row>
    <row r="1373" spans="1:21" ht="39.950000000000003" customHeight="1">
      <c r="A1373" s="5" t="s">
        <v>2865</v>
      </c>
      <c r="B1373" s="5" t="s">
        <v>2430</v>
      </c>
      <c r="C1373" s="9" t="s">
        <v>2866</v>
      </c>
      <c r="D1373" s="9" t="s">
        <v>3176</v>
      </c>
      <c r="E1373" s="9" t="s">
        <v>90</v>
      </c>
      <c r="F1373" s="5"/>
      <c r="G1373" s="5">
        <v>9008</v>
      </c>
      <c r="H1373" s="5"/>
      <c r="I1373" s="5">
        <v>14366</v>
      </c>
      <c r="J1373" s="5" t="s">
        <v>447</v>
      </c>
      <c r="K1373" s="5">
        <v>16.8</v>
      </c>
      <c r="L1373" s="5">
        <v>16.834</v>
      </c>
      <c r="M1373" s="5">
        <v>3.4000000000000002E-2</v>
      </c>
      <c r="N1373" s="9" t="s">
        <v>11853</v>
      </c>
      <c r="O1373" s="9"/>
      <c r="P1373" s="5">
        <v>2</v>
      </c>
      <c r="Q1373" s="9"/>
      <c r="R1373" s="9" t="s">
        <v>6926</v>
      </c>
      <c r="S1373" s="9" t="str">
        <f>HYPERLINK("https://seichotoushi-hojo.jp/assets/pdf/koufu_3_4ji/outline_178.pdf","PDFを開く")</f>
        <v>PDFを開く</v>
      </c>
      <c r="T1373" s="9" t="s">
        <v>2871</v>
      </c>
      <c r="U1373" s="9" t="s">
        <v>2872</v>
      </c>
    </row>
    <row r="1374" spans="1:21" ht="39.950000000000003" customHeight="1">
      <c r="A1374" s="2" t="s">
        <v>2865</v>
      </c>
      <c r="B1374" s="2" t="s">
        <v>2430</v>
      </c>
      <c r="C1374" s="8" t="s">
        <v>2866</v>
      </c>
      <c r="D1374" s="8" t="s">
        <v>3184</v>
      </c>
      <c r="E1374" s="8" t="s">
        <v>90</v>
      </c>
      <c r="F1374" s="2"/>
      <c r="G1374" s="2">
        <v>6037</v>
      </c>
      <c r="H1374" s="2"/>
      <c r="I1374" s="2">
        <v>7089</v>
      </c>
      <c r="J1374" s="2" t="s">
        <v>447</v>
      </c>
      <c r="K1374" s="2">
        <v>5.5</v>
      </c>
      <c r="L1374" s="2">
        <v>5.5004999999999997</v>
      </c>
      <c r="M1374" s="2">
        <v>5.0000000000000001E-4</v>
      </c>
      <c r="N1374" s="8" t="s">
        <v>11853</v>
      </c>
      <c r="O1374" s="8"/>
      <c r="P1374" s="2">
        <v>2</v>
      </c>
      <c r="Q1374" s="8"/>
      <c r="R1374" s="8" t="s">
        <v>6929</v>
      </c>
      <c r="S1374" s="8" t="str">
        <f>HYPERLINK("https://seichotoushi-hojo.jp/assets/pdf/koufu_3_4ji/outline_178.pdf","PDFを開く")</f>
        <v>PDFを開く</v>
      </c>
      <c r="T1374" s="8" t="s">
        <v>2871</v>
      </c>
      <c r="U1374" s="8" t="s">
        <v>2872</v>
      </c>
    </row>
    <row r="1375" spans="1:21" ht="39.950000000000003" customHeight="1">
      <c r="A1375" s="5" t="s">
        <v>2865</v>
      </c>
      <c r="B1375" s="5" t="s">
        <v>2430</v>
      </c>
      <c r="C1375" s="9" t="s">
        <v>2866</v>
      </c>
      <c r="D1375" s="9" t="s">
        <v>3188</v>
      </c>
      <c r="E1375" s="9" t="s">
        <v>91</v>
      </c>
      <c r="F1375" s="5"/>
      <c r="G1375" s="5"/>
      <c r="H1375" s="5"/>
      <c r="I1375" s="5"/>
      <c r="J1375" s="5" t="s">
        <v>447</v>
      </c>
      <c r="K1375" s="5">
        <v>5</v>
      </c>
      <c r="L1375" s="5"/>
      <c r="M1375" s="5"/>
      <c r="N1375" s="9" t="s">
        <v>11854</v>
      </c>
      <c r="O1375" s="9" t="s">
        <v>11848</v>
      </c>
      <c r="P1375" s="5">
        <v>2</v>
      </c>
      <c r="Q1375" s="9"/>
      <c r="R1375" s="9" t="s">
        <v>6384</v>
      </c>
      <c r="S1375" s="9" t="str">
        <f>HYPERLINK("https://seichotoushi-hojo.jp/assets/pdf/koufu_3_4ji/outline_178.pdf","PDFを開く")</f>
        <v>PDFを開く</v>
      </c>
      <c r="T1375" s="9" t="s">
        <v>2871</v>
      </c>
      <c r="U1375" s="9" t="s">
        <v>2872</v>
      </c>
    </row>
    <row r="1376" spans="1:21" ht="39.950000000000003" customHeight="1">
      <c r="A1376" s="2" t="s">
        <v>2865</v>
      </c>
      <c r="B1376" s="2" t="s">
        <v>2430</v>
      </c>
      <c r="C1376" s="8" t="s">
        <v>2866</v>
      </c>
      <c r="D1376" s="8" t="s">
        <v>3191</v>
      </c>
      <c r="E1376" s="8" t="s">
        <v>92</v>
      </c>
      <c r="F1376" s="2"/>
      <c r="G1376" s="2">
        <v>442</v>
      </c>
      <c r="H1376" s="2"/>
      <c r="I1376" s="2">
        <v>451</v>
      </c>
      <c r="J1376" s="2" t="s">
        <v>2513</v>
      </c>
      <c r="K1376" s="2"/>
      <c r="L1376" s="2"/>
      <c r="M1376" s="2"/>
      <c r="N1376" s="8" t="s">
        <v>11853</v>
      </c>
      <c r="O1376" s="8"/>
      <c r="P1376" s="2">
        <v>2</v>
      </c>
      <c r="Q1376" s="8"/>
      <c r="R1376" s="8" t="s">
        <v>6931</v>
      </c>
      <c r="S1376" s="8" t="str">
        <f>HYPERLINK("https://seichotoushi-hojo.jp/assets/pdf/koufu_3_4ji/outline_178.pdf","PDFを開く")</f>
        <v>PDFを開く</v>
      </c>
      <c r="T1376" s="8" t="s">
        <v>2871</v>
      </c>
      <c r="U1376" s="8" t="s">
        <v>2872</v>
      </c>
    </row>
    <row r="1377" spans="1:21" ht="39.950000000000003" customHeight="1">
      <c r="A1377" s="5" t="s">
        <v>2873</v>
      </c>
      <c r="B1377" s="5" t="s">
        <v>2430</v>
      </c>
      <c r="C1377" s="9" t="s">
        <v>2874</v>
      </c>
      <c r="D1377" s="9" t="s">
        <v>3176</v>
      </c>
      <c r="E1377" s="9" t="s">
        <v>90</v>
      </c>
      <c r="F1377" s="5"/>
      <c r="G1377" s="5">
        <v>9985</v>
      </c>
      <c r="H1377" s="5"/>
      <c r="I1377" s="5">
        <v>23175</v>
      </c>
      <c r="J1377" s="5" t="s">
        <v>447</v>
      </c>
      <c r="K1377" s="5">
        <v>32.4</v>
      </c>
      <c r="L1377" s="5">
        <v>32.400799999999997</v>
      </c>
      <c r="M1377" s="5">
        <v>8.0000000000000004E-4</v>
      </c>
      <c r="N1377" s="9" t="s">
        <v>11853</v>
      </c>
      <c r="O1377" s="9"/>
      <c r="P1377" s="5">
        <v>2</v>
      </c>
      <c r="Q1377" s="9"/>
      <c r="R1377" s="9" t="s">
        <v>6935</v>
      </c>
      <c r="S1377" s="9" t="str">
        <f>HYPERLINK("https://seichotoushi-hojo.jp/assets/pdf/koufu_3_4ji/outline_179.pdf","PDFを開く")</f>
        <v>PDFを開く</v>
      </c>
      <c r="T1377" s="9" t="s">
        <v>2879</v>
      </c>
      <c r="U1377" s="9" t="s">
        <v>2880</v>
      </c>
    </row>
    <row r="1378" spans="1:21" ht="39.950000000000003" customHeight="1">
      <c r="A1378" s="2" t="s">
        <v>2873</v>
      </c>
      <c r="B1378" s="2" t="s">
        <v>2430</v>
      </c>
      <c r="C1378" s="8" t="s">
        <v>2874</v>
      </c>
      <c r="D1378" s="8" t="s">
        <v>3184</v>
      </c>
      <c r="E1378" s="8" t="s">
        <v>90</v>
      </c>
      <c r="F1378" s="2"/>
      <c r="G1378" s="2">
        <v>4748</v>
      </c>
      <c r="H1378" s="2"/>
      <c r="I1378" s="2">
        <v>5998</v>
      </c>
      <c r="J1378" s="2" t="s">
        <v>447</v>
      </c>
      <c r="K1378" s="2">
        <v>8.1</v>
      </c>
      <c r="L1378" s="2">
        <v>8.1014999999999997</v>
      </c>
      <c r="M1378" s="2">
        <v>1.5E-3</v>
      </c>
      <c r="N1378" s="8" t="s">
        <v>11853</v>
      </c>
      <c r="O1378" s="8"/>
      <c r="P1378" s="2">
        <v>2</v>
      </c>
      <c r="Q1378" s="8"/>
      <c r="R1378" s="8" t="s">
        <v>6938</v>
      </c>
      <c r="S1378" s="8" t="str">
        <f>HYPERLINK("https://seichotoushi-hojo.jp/assets/pdf/koufu_3_4ji/outline_179.pdf","PDFを開く")</f>
        <v>PDFを開く</v>
      </c>
      <c r="T1378" s="8" t="s">
        <v>2879</v>
      </c>
      <c r="U1378" s="8" t="s">
        <v>2880</v>
      </c>
    </row>
    <row r="1379" spans="1:21" ht="39.950000000000003" customHeight="1">
      <c r="A1379" s="5" t="s">
        <v>2873</v>
      </c>
      <c r="B1379" s="5" t="s">
        <v>2430</v>
      </c>
      <c r="C1379" s="9" t="s">
        <v>2874</v>
      </c>
      <c r="D1379" s="9" t="s">
        <v>3188</v>
      </c>
      <c r="E1379" s="9" t="s">
        <v>91</v>
      </c>
      <c r="F1379" s="5"/>
      <c r="G1379" s="5"/>
      <c r="H1379" s="5"/>
      <c r="I1379" s="5"/>
      <c r="J1379" s="5" t="s">
        <v>447</v>
      </c>
      <c r="K1379" s="5">
        <v>5.5</v>
      </c>
      <c r="L1379" s="5"/>
      <c r="M1379" s="5"/>
      <c r="N1379" s="9" t="s">
        <v>11854</v>
      </c>
      <c r="O1379" s="9" t="s">
        <v>11848</v>
      </c>
      <c r="P1379" s="5">
        <v>2</v>
      </c>
      <c r="Q1379" s="9"/>
      <c r="R1379" s="9" t="s">
        <v>6681</v>
      </c>
      <c r="S1379" s="9" t="str">
        <f>HYPERLINK("https://seichotoushi-hojo.jp/assets/pdf/koufu_3_4ji/outline_179.pdf","PDFを開く")</f>
        <v>PDFを開く</v>
      </c>
      <c r="T1379" s="9" t="s">
        <v>2879</v>
      </c>
      <c r="U1379" s="9" t="s">
        <v>2880</v>
      </c>
    </row>
    <row r="1380" spans="1:21" ht="39.950000000000003" customHeight="1">
      <c r="A1380" s="2" t="s">
        <v>2873</v>
      </c>
      <c r="B1380" s="2" t="s">
        <v>2430</v>
      </c>
      <c r="C1380" s="8" t="s">
        <v>2874</v>
      </c>
      <c r="D1380" s="8" t="s">
        <v>3191</v>
      </c>
      <c r="E1380" s="8" t="s">
        <v>92</v>
      </c>
      <c r="F1380" s="2"/>
      <c r="G1380" s="2">
        <v>83</v>
      </c>
      <c r="H1380" s="2"/>
      <c r="I1380" s="2">
        <v>94</v>
      </c>
      <c r="J1380" s="2" t="s">
        <v>2513</v>
      </c>
      <c r="K1380" s="2"/>
      <c r="L1380" s="2"/>
      <c r="M1380" s="2"/>
      <c r="N1380" s="8" t="s">
        <v>11853</v>
      </c>
      <c r="O1380" s="8"/>
      <c r="P1380" s="2">
        <v>2</v>
      </c>
      <c r="Q1380" s="8"/>
      <c r="R1380" s="8" t="s">
        <v>6940</v>
      </c>
      <c r="S1380" s="8" t="str">
        <f>HYPERLINK("https://seichotoushi-hojo.jp/assets/pdf/koufu_3_4ji/outline_179.pdf","PDFを開く")</f>
        <v>PDFを開く</v>
      </c>
      <c r="T1380" s="8" t="s">
        <v>2879</v>
      </c>
      <c r="U1380" s="8" t="s">
        <v>2880</v>
      </c>
    </row>
    <row r="1381" spans="1:21" ht="39.950000000000003" customHeight="1">
      <c r="A1381" s="5" t="s">
        <v>2881</v>
      </c>
      <c r="B1381" s="5" t="s">
        <v>2430</v>
      </c>
      <c r="C1381" s="9" t="s">
        <v>2882</v>
      </c>
      <c r="D1381" s="9" t="s">
        <v>3176</v>
      </c>
      <c r="E1381" s="9" t="s">
        <v>90</v>
      </c>
      <c r="F1381" s="5">
        <v>2027</v>
      </c>
      <c r="G1381" s="5">
        <v>5804</v>
      </c>
      <c r="H1381" s="5">
        <v>2030</v>
      </c>
      <c r="I1381" s="5">
        <v>10024</v>
      </c>
      <c r="J1381" s="5" t="s">
        <v>447</v>
      </c>
      <c r="K1381" s="5">
        <v>20</v>
      </c>
      <c r="L1381" s="5">
        <v>19.9788</v>
      </c>
      <c r="M1381" s="5">
        <v>2.12E-2</v>
      </c>
      <c r="N1381" s="9" t="s">
        <v>11846</v>
      </c>
      <c r="O1381" s="9" t="s">
        <v>11847</v>
      </c>
      <c r="P1381" s="5">
        <v>2</v>
      </c>
      <c r="Q1381" s="9"/>
      <c r="R1381" s="9" t="s">
        <v>6944</v>
      </c>
      <c r="S1381" s="9" t="str">
        <f>HYPERLINK("https://seichotoushi-hojo.jp/assets/pdf/koufu_3_4ji/outline_180.pdf","PDFを開く")</f>
        <v>PDFを開く</v>
      </c>
      <c r="T1381" s="9" t="s">
        <v>2887</v>
      </c>
      <c r="U1381" s="9" t="s">
        <v>2888</v>
      </c>
    </row>
    <row r="1382" spans="1:21" ht="39.950000000000003" customHeight="1">
      <c r="A1382" s="2" t="s">
        <v>2881</v>
      </c>
      <c r="B1382" s="2" t="s">
        <v>2430</v>
      </c>
      <c r="C1382" s="8" t="s">
        <v>2882</v>
      </c>
      <c r="D1382" s="8" t="s">
        <v>3184</v>
      </c>
      <c r="E1382" s="8" t="s">
        <v>90</v>
      </c>
      <c r="F1382" s="2">
        <v>2027</v>
      </c>
      <c r="G1382" s="2">
        <v>3942</v>
      </c>
      <c r="H1382" s="2">
        <v>2030</v>
      </c>
      <c r="I1382" s="2">
        <v>4619</v>
      </c>
      <c r="J1382" s="2" t="s">
        <v>447</v>
      </c>
      <c r="K1382" s="2">
        <v>5.4</v>
      </c>
      <c r="L1382" s="2">
        <v>5.4249999999999998</v>
      </c>
      <c r="M1382" s="2">
        <v>2.5000000000000001E-2</v>
      </c>
      <c r="N1382" s="8" t="s">
        <v>11846</v>
      </c>
      <c r="O1382" s="8" t="s">
        <v>11847</v>
      </c>
      <c r="P1382" s="2">
        <v>2</v>
      </c>
      <c r="Q1382" s="8"/>
      <c r="R1382" s="8" t="s">
        <v>6947</v>
      </c>
      <c r="S1382" s="8" t="str">
        <f>HYPERLINK("https://seichotoushi-hojo.jp/assets/pdf/koufu_3_4ji/outline_180.pdf","PDFを開く")</f>
        <v>PDFを開く</v>
      </c>
      <c r="T1382" s="8" t="s">
        <v>2887</v>
      </c>
      <c r="U1382" s="8" t="s">
        <v>2888</v>
      </c>
    </row>
    <row r="1383" spans="1:21" ht="39.950000000000003" customHeight="1">
      <c r="A1383" s="5" t="s">
        <v>2881</v>
      </c>
      <c r="B1383" s="5" t="s">
        <v>2430</v>
      </c>
      <c r="C1383" s="9" t="s">
        <v>2882</v>
      </c>
      <c r="D1383" s="9" t="s">
        <v>3188</v>
      </c>
      <c r="E1383" s="9" t="s">
        <v>91</v>
      </c>
      <c r="F1383" s="5">
        <v>2027</v>
      </c>
      <c r="G1383" s="5"/>
      <c r="H1383" s="5">
        <v>2030</v>
      </c>
      <c r="I1383" s="5"/>
      <c r="J1383" s="5" t="s">
        <v>447</v>
      </c>
      <c r="K1383" s="5">
        <v>7</v>
      </c>
      <c r="L1383" s="5"/>
      <c r="M1383" s="5"/>
      <c r="N1383" s="9" t="s">
        <v>11846</v>
      </c>
      <c r="O1383" s="9" t="s">
        <v>11848</v>
      </c>
      <c r="P1383" s="5">
        <v>2</v>
      </c>
      <c r="Q1383" s="9"/>
      <c r="R1383" s="9" t="s">
        <v>6372</v>
      </c>
      <c r="S1383" s="9" t="str">
        <f>HYPERLINK("https://seichotoushi-hojo.jp/assets/pdf/koufu_3_4ji/outline_180.pdf","PDFを開く")</f>
        <v>PDFを開く</v>
      </c>
      <c r="T1383" s="9" t="s">
        <v>2887</v>
      </c>
      <c r="U1383" s="9" t="s">
        <v>2888</v>
      </c>
    </row>
    <row r="1384" spans="1:21" ht="39.950000000000003" customHeight="1">
      <c r="A1384" s="2" t="s">
        <v>2881</v>
      </c>
      <c r="B1384" s="2" t="s">
        <v>2430</v>
      </c>
      <c r="C1384" s="8" t="s">
        <v>2882</v>
      </c>
      <c r="D1384" s="8" t="s">
        <v>3191</v>
      </c>
      <c r="E1384" s="8" t="s">
        <v>92</v>
      </c>
      <c r="F1384" s="2">
        <v>2027</v>
      </c>
      <c r="G1384" s="2">
        <v>554</v>
      </c>
      <c r="H1384" s="2">
        <v>2030</v>
      </c>
      <c r="I1384" s="2">
        <v>599</v>
      </c>
      <c r="J1384" s="2" t="s">
        <v>2513</v>
      </c>
      <c r="K1384" s="2"/>
      <c r="L1384" s="2"/>
      <c r="M1384" s="2"/>
      <c r="N1384" s="8" t="s">
        <v>11846</v>
      </c>
      <c r="O1384" s="8" t="s">
        <v>11847</v>
      </c>
      <c r="P1384" s="2">
        <v>2</v>
      </c>
      <c r="Q1384" s="8"/>
      <c r="R1384" s="8" t="s">
        <v>6951</v>
      </c>
      <c r="S1384" s="8" t="str">
        <f>HYPERLINK("https://seichotoushi-hojo.jp/assets/pdf/koufu_3_4ji/outline_180.pdf","PDFを開く")</f>
        <v>PDFを開く</v>
      </c>
      <c r="T1384" s="8" t="s">
        <v>2887</v>
      </c>
      <c r="U1384" s="8" t="s">
        <v>2888</v>
      </c>
    </row>
    <row r="1385" spans="1:21" ht="39.950000000000003" customHeight="1">
      <c r="A1385" s="5" t="s">
        <v>2889</v>
      </c>
      <c r="B1385" s="5" t="s">
        <v>2430</v>
      </c>
      <c r="C1385" s="9" t="s">
        <v>2890</v>
      </c>
      <c r="D1385" s="9" t="s">
        <v>3176</v>
      </c>
      <c r="E1385" s="9" t="s">
        <v>90</v>
      </c>
      <c r="F1385" s="5"/>
      <c r="G1385" s="5">
        <v>5394</v>
      </c>
      <c r="H1385" s="5"/>
      <c r="I1385" s="5">
        <v>8492</v>
      </c>
      <c r="J1385" s="5" t="s">
        <v>447</v>
      </c>
      <c r="K1385" s="5">
        <v>16.3</v>
      </c>
      <c r="L1385" s="5">
        <v>16.332100000000001</v>
      </c>
      <c r="M1385" s="5">
        <v>3.2099999999999997E-2</v>
      </c>
      <c r="N1385" s="9" t="s">
        <v>11853</v>
      </c>
      <c r="O1385" s="9"/>
      <c r="P1385" s="5">
        <v>2</v>
      </c>
      <c r="Q1385" s="9"/>
      <c r="R1385" s="9" t="s">
        <v>6955</v>
      </c>
      <c r="S1385" s="9" t="str">
        <f>HYPERLINK("https://seichotoushi-hojo.jp/assets/pdf/koufu_3_4ji/outline_181.pdf","PDFを開く")</f>
        <v>PDFを開く</v>
      </c>
      <c r="T1385" s="9" t="s">
        <v>2895</v>
      </c>
      <c r="U1385" s="9" t="s">
        <v>2896</v>
      </c>
    </row>
    <row r="1386" spans="1:21" ht="39.950000000000003" customHeight="1">
      <c r="A1386" s="2" t="s">
        <v>2889</v>
      </c>
      <c r="B1386" s="2" t="s">
        <v>2430</v>
      </c>
      <c r="C1386" s="8" t="s">
        <v>2890</v>
      </c>
      <c r="D1386" s="8" t="s">
        <v>3184</v>
      </c>
      <c r="E1386" s="8" t="s">
        <v>90</v>
      </c>
      <c r="F1386" s="2"/>
      <c r="G1386" s="2">
        <v>2625</v>
      </c>
      <c r="H1386" s="2"/>
      <c r="I1386" s="2">
        <v>3329</v>
      </c>
      <c r="J1386" s="2" t="s">
        <v>447</v>
      </c>
      <c r="K1386" s="2">
        <v>8.1999999999999993</v>
      </c>
      <c r="L1386" s="2">
        <v>8.2417999999999996</v>
      </c>
      <c r="M1386" s="2">
        <v>4.1799999999999997E-2</v>
      </c>
      <c r="N1386" s="8" t="s">
        <v>11853</v>
      </c>
      <c r="O1386" s="8"/>
      <c r="P1386" s="2">
        <v>2</v>
      </c>
      <c r="Q1386" s="8"/>
      <c r="R1386" s="8" t="s">
        <v>6958</v>
      </c>
      <c r="S1386" s="8" t="str">
        <f>HYPERLINK("https://seichotoushi-hojo.jp/assets/pdf/koufu_3_4ji/outline_181.pdf","PDFを開く")</f>
        <v>PDFを開く</v>
      </c>
      <c r="T1386" s="8" t="s">
        <v>2895</v>
      </c>
      <c r="U1386" s="8" t="s">
        <v>2896</v>
      </c>
    </row>
    <row r="1387" spans="1:21" ht="39.950000000000003" customHeight="1">
      <c r="A1387" s="5" t="s">
        <v>2889</v>
      </c>
      <c r="B1387" s="5" t="s">
        <v>2430</v>
      </c>
      <c r="C1387" s="9" t="s">
        <v>2890</v>
      </c>
      <c r="D1387" s="9" t="s">
        <v>3188</v>
      </c>
      <c r="E1387" s="9" t="s">
        <v>156</v>
      </c>
      <c r="F1387" s="5"/>
      <c r="G1387" s="5"/>
      <c r="H1387" s="5"/>
      <c r="I1387" s="5"/>
      <c r="J1387" s="5"/>
      <c r="K1387" s="5"/>
      <c r="L1387" s="5"/>
      <c r="M1387" s="5"/>
      <c r="N1387" s="9" t="s">
        <v>11850</v>
      </c>
      <c r="O1387" s="9"/>
      <c r="P1387" s="5"/>
      <c r="Q1387" s="9" t="s">
        <v>11851</v>
      </c>
      <c r="R1387" s="9"/>
      <c r="S1387" s="9" t="str">
        <f>HYPERLINK("https://seichotoushi-hojo.jp/assets/pdf/koufu_3_4ji/outline_181.pdf","PDFを開く")</f>
        <v>PDFを開く</v>
      </c>
      <c r="T1387" s="9" t="s">
        <v>2895</v>
      </c>
      <c r="U1387" s="9" t="s">
        <v>2896</v>
      </c>
    </row>
    <row r="1388" spans="1:21" ht="39.950000000000003" customHeight="1">
      <c r="A1388" s="2" t="s">
        <v>2889</v>
      </c>
      <c r="B1388" s="2" t="s">
        <v>2430</v>
      </c>
      <c r="C1388" s="8" t="s">
        <v>2890</v>
      </c>
      <c r="D1388" s="8" t="s">
        <v>3191</v>
      </c>
      <c r="E1388" s="8" t="s">
        <v>92</v>
      </c>
      <c r="F1388" s="2"/>
      <c r="G1388" s="2">
        <v>359</v>
      </c>
      <c r="H1388" s="2"/>
      <c r="I1388" s="2">
        <v>329</v>
      </c>
      <c r="J1388" s="2" t="s">
        <v>2513</v>
      </c>
      <c r="K1388" s="2"/>
      <c r="L1388" s="2"/>
      <c r="M1388" s="2"/>
      <c r="N1388" s="8" t="s">
        <v>11853</v>
      </c>
      <c r="O1388" s="8"/>
      <c r="P1388" s="2">
        <v>2</v>
      </c>
      <c r="Q1388" s="8"/>
      <c r="R1388" s="8" t="s">
        <v>6962</v>
      </c>
      <c r="S1388" s="8" t="str">
        <f>HYPERLINK("https://seichotoushi-hojo.jp/assets/pdf/koufu_3_4ji/outline_181.pdf","PDFを開く")</f>
        <v>PDFを開く</v>
      </c>
      <c r="T1388" s="8" t="s">
        <v>2895</v>
      </c>
      <c r="U1388" s="8" t="s">
        <v>2896</v>
      </c>
    </row>
    <row r="1389" spans="1:21" ht="39.950000000000003" customHeight="1">
      <c r="A1389" s="5" t="s">
        <v>2897</v>
      </c>
      <c r="B1389" s="5" t="s">
        <v>2430</v>
      </c>
      <c r="C1389" s="9" t="s">
        <v>2898</v>
      </c>
      <c r="D1389" s="9" t="s">
        <v>3176</v>
      </c>
      <c r="E1389" s="9" t="s">
        <v>90</v>
      </c>
      <c r="F1389" s="5">
        <v>2027</v>
      </c>
      <c r="G1389" s="5">
        <v>1074</v>
      </c>
      <c r="H1389" s="5">
        <v>2030</v>
      </c>
      <c r="I1389" s="5">
        <v>2821</v>
      </c>
      <c r="J1389" s="5" t="s">
        <v>86</v>
      </c>
      <c r="K1389" s="5">
        <v>38</v>
      </c>
      <c r="L1389" s="5">
        <v>37.974699999999999</v>
      </c>
      <c r="M1389" s="5">
        <v>2.53E-2</v>
      </c>
      <c r="N1389" s="9" t="s">
        <v>11846</v>
      </c>
      <c r="O1389" s="9" t="s">
        <v>11847</v>
      </c>
      <c r="P1389" s="5">
        <v>2</v>
      </c>
      <c r="Q1389" s="9"/>
      <c r="R1389" s="9" t="s">
        <v>6964</v>
      </c>
      <c r="S1389" s="9" t="str">
        <f>HYPERLINK("https://seichotoushi-hojo.jp/assets/pdf/koufu_3_4ji/outline_182.pdf","PDFを開く")</f>
        <v>PDFを開く</v>
      </c>
      <c r="T1389" s="9" t="s">
        <v>2901</v>
      </c>
      <c r="U1389" s="9" t="s">
        <v>2902</v>
      </c>
    </row>
    <row r="1390" spans="1:21" ht="39.950000000000003" customHeight="1">
      <c r="A1390" s="2" t="s">
        <v>2897</v>
      </c>
      <c r="B1390" s="2" t="s">
        <v>2430</v>
      </c>
      <c r="C1390" s="8" t="s">
        <v>2898</v>
      </c>
      <c r="D1390" s="8" t="s">
        <v>3184</v>
      </c>
      <c r="E1390" s="8" t="s">
        <v>90</v>
      </c>
      <c r="F1390" s="2">
        <v>2027</v>
      </c>
      <c r="G1390" s="2">
        <v>445</v>
      </c>
      <c r="H1390" s="2">
        <v>2030</v>
      </c>
      <c r="I1390" s="2">
        <v>568</v>
      </c>
      <c r="J1390" s="2" t="s">
        <v>86</v>
      </c>
      <c r="K1390" s="2">
        <v>8.5</v>
      </c>
      <c r="L1390" s="2">
        <v>8.4748999999999999</v>
      </c>
      <c r="M1390" s="2">
        <v>2.5100000000000001E-2</v>
      </c>
      <c r="N1390" s="8" t="s">
        <v>11846</v>
      </c>
      <c r="O1390" s="8" t="s">
        <v>11847</v>
      </c>
      <c r="P1390" s="2">
        <v>2</v>
      </c>
      <c r="Q1390" s="8"/>
      <c r="R1390" s="8" t="s">
        <v>6967</v>
      </c>
      <c r="S1390" s="8" t="str">
        <f>HYPERLINK("https://seichotoushi-hojo.jp/assets/pdf/koufu_3_4ji/outline_182.pdf","PDFを開く")</f>
        <v>PDFを開く</v>
      </c>
      <c r="T1390" s="8" t="s">
        <v>2901</v>
      </c>
      <c r="U1390" s="8" t="s">
        <v>2902</v>
      </c>
    </row>
    <row r="1391" spans="1:21" ht="39.950000000000003" customHeight="1">
      <c r="A1391" s="5" t="s">
        <v>2897</v>
      </c>
      <c r="B1391" s="5" t="s">
        <v>2430</v>
      </c>
      <c r="C1391" s="9" t="s">
        <v>2898</v>
      </c>
      <c r="D1391" s="9" t="s">
        <v>3188</v>
      </c>
      <c r="E1391" s="9" t="s">
        <v>91</v>
      </c>
      <c r="F1391" s="5">
        <v>2027</v>
      </c>
      <c r="G1391" s="5"/>
      <c r="H1391" s="5">
        <v>2030</v>
      </c>
      <c r="I1391" s="5"/>
      <c r="J1391" s="5" t="s">
        <v>86</v>
      </c>
      <c r="K1391" s="5">
        <v>7</v>
      </c>
      <c r="L1391" s="5"/>
      <c r="M1391" s="5"/>
      <c r="N1391" s="9" t="s">
        <v>11846</v>
      </c>
      <c r="O1391" s="9" t="s">
        <v>11848</v>
      </c>
      <c r="P1391" s="5">
        <v>2</v>
      </c>
      <c r="Q1391" s="9"/>
      <c r="R1391" s="9" t="s">
        <v>5327</v>
      </c>
      <c r="S1391" s="9" t="str">
        <f>HYPERLINK("https://seichotoushi-hojo.jp/assets/pdf/koufu_3_4ji/outline_182.pdf","PDFを開く")</f>
        <v>PDFを開く</v>
      </c>
      <c r="T1391" s="9" t="s">
        <v>2901</v>
      </c>
      <c r="U1391" s="9" t="s">
        <v>2902</v>
      </c>
    </row>
    <row r="1392" spans="1:21" ht="39.950000000000003" customHeight="1">
      <c r="A1392" s="2" t="s">
        <v>2897</v>
      </c>
      <c r="B1392" s="2" t="s">
        <v>2430</v>
      </c>
      <c r="C1392" s="8" t="s">
        <v>2898</v>
      </c>
      <c r="D1392" s="8" t="s">
        <v>3191</v>
      </c>
      <c r="E1392" s="8" t="s">
        <v>92</v>
      </c>
      <c r="F1392" s="2">
        <v>2027</v>
      </c>
      <c r="G1392" s="2">
        <v>12</v>
      </c>
      <c r="H1392" s="2">
        <v>2030</v>
      </c>
      <c r="I1392" s="2">
        <v>18</v>
      </c>
      <c r="J1392" s="2" t="s">
        <v>2513</v>
      </c>
      <c r="K1392" s="2"/>
      <c r="L1392" s="2"/>
      <c r="M1392" s="2"/>
      <c r="N1392" s="8" t="s">
        <v>11846</v>
      </c>
      <c r="O1392" s="8" t="s">
        <v>11847</v>
      </c>
      <c r="P1392" s="2">
        <v>2</v>
      </c>
      <c r="Q1392" s="8"/>
      <c r="R1392" s="8" t="s">
        <v>6968</v>
      </c>
      <c r="S1392" s="8" t="str">
        <f>HYPERLINK("https://seichotoushi-hojo.jp/assets/pdf/koufu_3_4ji/outline_182.pdf","PDFを開く")</f>
        <v>PDFを開く</v>
      </c>
      <c r="T1392" s="8" t="s">
        <v>2901</v>
      </c>
      <c r="U1392" s="8" t="s">
        <v>2902</v>
      </c>
    </row>
    <row r="1393" spans="1:21" ht="39.950000000000003" customHeight="1">
      <c r="A1393" s="5" t="s">
        <v>2903</v>
      </c>
      <c r="B1393" s="5" t="s">
        <v>2430</v>
      </c>
      <c r="C1393" s="9" t="s">
        <v>2904</v>
      </c>
      <c r="D1393" s="9" t="s">
        <v>3176</v>
      </c>
      <c r="E1393" s="9" t="s">
        <v>90</v>
      </c>
      <c r="F1393" s="5">
        <v>2027</v>
      </c>
      <c r="G1393" s="5">
        <v>15758</v>
      </c>
      <c r="H1393" s="5">
        <v>2030</v>
      </c>
      <c r="I1393" s="5">
        <v>22484</v>
      </c>
      <c r="J1393" s="5" t="s">
        <v>447</v>
      </c>
      <c r="K1393" s="5">
        <v>12.6</v>
      </c>
      <c r="L1393" s="5">
        <v>12.579000000000001</v>
      </c>
      <c r="M1393" s="5">
        <v>2.1000000000000001E-2</v>
      </c>
      <c r="N1393" s="9" t="s">
        <v>11846</v>
      </c>
      <c r="O1393" s="9" t="s">
        <v>11847</v>
      </c>
      <c r="P1393" s="5">
        <v>5</v>
      </c>
      <c r="Q1393" s="9"/>
      <c r="R1393" s="9" t="s">
        <v>6972</v>
      </c>
      <c r="S1393" s="9" t="str">
        <f>HYPERLINK("https://seichotoushi-hojo.jp/assets/pdf/koufu_3_4ji/outline_183.pdf","PDFを開く")</f>
        <v>PDFを開く</v>
      </c>
      <c r="T1393" s="9" t="s">
        <v>2908</v>
      </c>
      <c r="U1393" s="9" t="s">
        <v>2909</v>
      </c>
    </row>
    <row r="1394" spans="1:21" ht="39.950000000000003" customHeight="1">
      <c r="A1394" s="2" t="s">
        <v>2903</v>
      </c>
      <c r="B1394" s="2" t="s">
        <v>2430</v>
      </c>
      <c r="C1394" s="8" t="s">
        <v>2904</v>
      </c>
      <c r="D1394" s="8" t="s">
        <v>3184</v>
      </c>
      <c r="E1394" s="8" t="s">
        <v>90</v>
      </c>
      <c r="F1394" s="2">
        <v>2027</v>
      </c>
      <c r="G1394" s="2">
        <v>6164</v>
      </c>
      <c r="H1394" s="2">
        <v>2030</v>
      </c>
      <c r="I1394" s="2">
        <v>7445</v>
      </c>
      <c r="J1394" s="2" t="s">
        <v>447</v>
      </c>
      <c r="K1394" s="2">
        <v>6.5</v>
      </c>
      <c r="L1394" s="2">
        <v>6.4962</v>
      </c>
      <c r="M1394" s="2">
        <v>3.8E-3</v>
      </c>
      <c r="N1394" s="8" t="s">
        <v>11846</v>
      </c>
      <c r="O1394" s="8" t="s">
        <v>11847</v>
      </c>
      <c r="P1394" s="2">
        <v>5</v>
      </c>
      <c r="Q1394" s="8"/>
      <c r="R1394" s="8" t="s">
        <v>6975</v>
      </c>
      <c r="S1394" s="8" t="str">
        <f>HYPERLINK("https://seichotoushi-hojo.jp/assets/pdf/koufu_3_4ji/outline_183.pdf","PDFを開く")</f>
        <v>PDFを開く</v>
      </c>
      <c r="T1394" s="8" t="s">
        <v>2908</v>
      </c>
      <c r="U1394" s="8" t="s">
        <v>2909</v>
      </c>
    </row>
    <row r="1395" spans="1:21" ht="39.950000000000003" customHeight="1">
      <c r="A1395" s="5" t="s">
        <v>2903</v>
      </c>
      <c r="B1395" s="5" t="s">
        <v>2430</v>
      </c>
      <c r="C1395" s="9" t="s">
        <v>2904</v>
      </c>
      <c r="D1395" s="9" t="s">
        <v>3188</v>
      </c>
      <c r="E1395" s="9" t="s">
        <v>91</v>
      </c>
      <c r="F1395" s="5">
        <v>2027</v>
      </c>
      <c r="G1395" s="5"/>
      <c r="H1395" s="5">
        <v>2030</v>
      </c>
      <c r="I1395" s="5"/>
      <c r="J1395" s="5" t="s">
        <v>447</v>
      </c>
      <c r="K1395" s="5">
        <v>6.5</v>
      </c>
      <c r="L1395" s="5"/>
      <c r="M1395" s="5"/>
      <c r="N1395" s="9" t="s">
        <v>11846</v>
      </c>
      <c r="O1395" s="9" t="s">
        <v>11848</v>
      </c>
      <c r="P1395" s="5">
        <v>5</v>
      </c>
      <c r="Q1395" s="9"/>
      <c r="R1395" s="9" t="s">
        <v>6330</v>
      </c>
      <c r="S1395" s="9" t="str">
        <f>HYPERLINK("https://seichotoushi-hojo.jp/assets/pdf/koufu_3_4ji/outline_183.pdf","PDFを開く")</f>
        <v>PDFを開く</v>
      </c>
      <c r="T1395" s="9" t="s">
        <v>2908</v>
      </c>
      <c r="U1395" s="9" t="s">
        <v>2909</v>
      </c>
    </row>
    <row r="1396" spans="1:21" ht="39.950000000000003" customHeight="1">
      <c r="A1396" s="2" t="s">
        <v>2903</v>
      </c>
      <c r="B1396" s="2" t="s">
        <v>2430</v>
      </c>
      <c r="C1396" s="8" t="s">
        <v>2904</v>
      </c>
      <c r="D1396" s="8" t="s">
        <v>3191</v>
      </c>
      <c r="E1396" s="8" t="s">
        <v>92</v>
      </c>
      <c r="F1396" s="2">
        <v>2027</v>
      </c>
      <c r="G1396" s="2">
        <v>425</v>
      </c>
      <c r="H1396" s="2">
        <v>2030</v>
      </c>
      <c r="I1396" s="2">
        <v>613</v>
      </c>
      <c r="J1396" s="2" t="s">
        <v>2513</v>
      </c>
      <c r="K1396" s="2"/>
      <c r="L1396" s="2"/>
      <c r="M1396" s="2"/>
      <c r="N1396" s="8" t="s">
        <v>11846</v>
      </c>
      <c r="O1396" s="8" t="s">
        <v>11847</v>
      </c>
      <c r="P1396" s="2">
        <v>5</v>
      </c>
      <c r="Q1396" s="8"/>
      <c r="R1396" s="8" t="s">
        <v>6977</v>
      </c>
      <c r="S1396" s="8" t="str">
        <f>HYPERLINK("https://seichotoushi-hojo.jp/assets/pdf/koufu_3_4ji/outline_183.pdf","PDFを開く")</f>
        <v>PDFを開く</v>
      </c>
      <c r="T1396" s="8" t="s">
        <v>2908</v>
      </c>
      <c r="U1396" s="8" t="s">
        <v>2909</v>
      </c>
    </row>
    <row r="1397" spans="1:21" ht="39.950000000000003" customHeight="1">
      <c r="A1397" s="5" t="s">
        <v>2910</v>
      </c>
      <c r="B1397" s="5" t="s">
        <v>2430</v>
      </c>
      <c r="C1397" s="9" t="s">
        <v>2911</v>
      </c>
      <c r="D1397" s="9" t="s">
        <v>3176</v>
      </c>
      <c r="E1397" s="9" t="s">
        <v>166</v>
      </c>
      <c r="F1397" s="5"/>
      <c r="G1397" s="5">
        <v>6972</v>
      </c>
      <c r="H1397" s="5"/>
      <c r="I1397" s="5">
        <v>14561</v>
      </c>
      <c r="J1397" s="5" t="s">
        <v>447</v>
      </c>
      <c r="K1397" s="5">
        <v>27.8</v>
      </c>
      <c r="L1397" s="5">
        <v>27.823699999999999</v>
      </c>
      <c r="M1397" s="5">
        <v>2.3699999999999999E-2</v>
      </c>
      <c r="N1397" s="9" t="s">
        <v>11853</v>
      </c>
      <c r="O1397" s="9" t="s">
        <v>292</v>
      </c>
      <c r="P1397" s="5">
        <v>2</v>
      </c>
      <c r="Q1397" s="9"/>
      <c r="R1397" s="9" t="s">
        <v>6984</v>
      </c>
      <c r="S1397" s="9" t="str">
        <f>HYPERLINK("https://seichotoushi-hojo.jp/assets/pdf/koufu_3_4ji/outline_184.pdf","PDFを開く")</f>
        <v>PDFを開く</v>
      </c>
      <c r="T1397" s="9" t="s">
        <v>2916</v>
      </c>
      <c r="U1397" s="9" t="s">
        <v>2917</v>
      </c>
    </row>
    <row r="1398" spans="1:21" ht="39.950000000000003" customHeight="1">
      <c r="A1398" s="2" t="s">
        <v>2910</v>
      </c>
      <c r="B1398" s="2" t="s">
        <v>2430</v>
      </c>
      <c r="C1398" s="8" t="s">
        <v>2911</v>
      </c>
      <c r="D1398" s="8" t="s">
        <v>3184</v>
      </c>
      <c r="E1398" s="8" t="s">
        <v>166</v>
      </c>
      <c r="F1398" s="2"/>
      <c r="G1398" s="2">
        <v>5031</v>
      </c>
      <c r="H1398" s="2"/>
      <c r="I1398" s="2">
        <v>6163</v>
      </c>
      <c r="J1398" s="2" t="s">
        <v>447</v>
      </c>
      <c r="K1398" s="2">
        <v>7</v>
      </c>
      <c r="L1398" s="2">
        <v>6.9988999999999999</v>
      </c>
      <c r="M1398" s="2">
        <v>1.1000000000000001E-3</v>
      </c>
      <c r="N1398" s="8" t="s">
        <v>11853</v>
      </c>
      <c r="O1398" s="8" t="s">
        <v>292</v>
      </c>
      <c r="P1398" s="2">
        <v>2</v>
      </c>
      <c r="Q1398" s="8"/>
      <c r="R1398" s="8" t="s">
        <v>6987</v>
      </c>
      <c r="S1398" s="8" t="str">
        <f>HYPERLINK("https://seichotoushi-hojo.jp/assets/pdf/koufu_3_4ji/outline_184.pdf","PDFを開く")</f>
        <v>PDFを開く</v>
      </c>
      <c r="T1398" s="8" t="s">
        <v>2916</v>
      </c>
      <c r="U1398" s="8" t="s">
        <v>2917</v>
      </c>
    </row>
    <row r="1399" spans="1:21" ht="39.950000000000003" customHeight="1">
      <c r="A1399" s="5" t="s">
        <v>2910</v>
      </c>
      <c r="B1399" s="5" t="s">
        <v>2430</v>
      </c>
      <c r="C1399" s="9" t="s">
        <v>2911</v>
      </c>
      <c r="D1399" s="9" t="s">
        <v>3188</v>
      </c>
      <c r="E1399" s="9" t="s">
        <v>157</v>
      </c>
      <c r="F1399" s="5"/>
      <c r="G1399" s="5"/>
      <c r="H1399" s="5"/>
      <c r="I1399" s="5"/>
      <c r="J1399" s="5"/>
      <c r="K1399" s="5"/>
      <c r="L1399" s="5"/>
      <c r="M1399" s="5"/>
      <c r="N1399" s="9" t="s">
        <v>11850</v>
      </c>
      <c r="O1399" s="9"/>
      <c r="P1399" s="5"/>
      <c r="Q1399" s="9" t="s">
        <v>11851</v>
      </c>
      <c r="R1399" s="9"/>
      <c r="S1399" s="9" t="str">
        <f>HYPERLINK("https://seichotoushi-hojo.jp/assets/pdf/koufu_3_4ji/outline_184.pdf","PDFを開く")</f>
        <v>PDFを開く</v>
      </c>
      <c r="T1399" s="9" t="s">
        <v>2916</v>
      </c>
      <c r="U1399" s="9" t="s">
        <v>2917</v>
      </c>
    </row>
    <row r="1400" spans="1:21" ht="39.950000000000003" customHeight="1">
      <c r="A1400" s="2" t="s">
        <v>2910</v>
      </c>
      <c r="B1400" s="2" t="s">
        <v>2430</v>
      </c>
      <c r="C1400" s="8" t="s">
        <v>2911</v>
      </c>
      <c r="D1400" s="8" t="s">
        <v>3191</v>
      </c>
      <c r="E1400" s="8" t="s">
        <v>166</v>
      </c>
      <c r="F1400" s="2"/>
      <c r="G1400" s="2">
        <v>240</v>
      </c>
      <c r="H1400" s="2"/>
      <c r="I1400" s="2">
        <v>261</v>
      </c>
      <c r="J1400" s="2" t="s">
        <v>2513</v>
      </c>
      <c r="K1400" s="2">
        <v>2.8</v>
      </c>
      <c r="L1400" s="2"/>
      <c r="M1400" s="2"/>
      <c r="N1400" s="8" t="s">
        <v>11853</v>
      </c>
      <c r="O1400" s="8" t="s">
        <v>292</v>
      </c>
      <c r="P1400" s="2">
        <v>2</v>
      </c>
      <c r="Q1400" s="8"/>
      <c r="R1400" s="8" t="s">
        <v>6989</v>
      </c>
      <c r="S1400" s="8" t="str">
        <f>HYPERLINK("https://seichotoushi-hojo.jp/assets/pdf/koufu_3_4ji/outline_184.pdf","PDFを開く")</f>
        <v>PDFを開く</v>
      </c>
      <c r="T1400" s="8" t="s">
        <v>2916</v>
      </c>
      <c r="U1400" s="8" t="s">
        <v>2917</v>
      </c>
    </row>
    <row r="1401" spans="1:21" ht="39.950000000000003" customHeight="1">
      <c r="A1401" s="5" t="s">
        <v>2918</v>
      </c>
      <c r="B1401" s="5" t="s">
        <v>2430</v>
      </c>
      <c r="C1401" s="9" t="s">
        <v>2919</v>
      </c>
      <c r="D1401" s="9" t="s">
        <v>3176</v>
      </c>
      <c r="E1401" s="9" t="s">
        <v>166</v>
      </c>
      <c r="F1401" s="5"/>
      <c r="G1401" s="5">
        <v>15160</v>
      </c>
      <c r="H1401" s="5"/>
      <c r="I1401" s="5">
        <v>32134</v>
      </c>
      <c r="J1401" s="5" t="s">
        <v>447</v>
      </c>
      <c r="K1401" s="5">
        <v>28.5</v>
      </c>
      <c r="L1401" s="5">
        <v>28.456199999999999</v>
      </c>
      <c r="M1401" s="5">
        <v>4.3799999999999999E-2</v>
      </c>
      <c r="N1401" s="9" t="s">
        <v>11853</v>
      </c>
      <c r="O1401" s="9" t="s">
        <v>292</v>
      </c>
      <c r="P1401" s="5">
        <v>2</v>
      </c>
      <c r="Q1401" s="9"/>
      <c r="R1401" s="9" t="s">
        <v>6998</v>
      </c>
      <c r="S1401" s="9" t="str">
        <f>HYPERLINK("https://seichotoushi-hojo.jp/assets/pdf/koufu_3_4ji/outline_187.pdf","PDFを開く")</f>
        <v>PDFを開く</v>
      </c>
      <c r="T1401" s="9" t="s">
        <v>2924</v>
      </c>
      <c r="U1401" s="9" t="s">
        <v>2925</v>
      </c>
    </row>
    <row r="1402" spans="1:21" ht="39.950000000000003" customHeight="1">
      <c r="A1402" s="2" t="s">
        <v>2918</v>
      </c>
      <c r="B1402" s="2" t="s">
        <v>2430</v>
      </c>
      <c r="C1402" s="8" t="s">
        <v>2919</v>
      </c>
      <c r="D1402" s="8" t="s">
        <v>3184</v>
      </c>
      <c r="E1402" s="8" t="s">
        <v>166</v>
      </c>
      <c r="F1402" s="2"/>
      <c r="G1402" s="2">
        <v>6264</v>
      </c>
      <c r="H1402" s="2"/>
      <c r="I1402" s="2">
        <v>7891</v>
      </c>
      <c r="J1402" s="2" t="s">
        <v>447</v>
      </c>
      <c r="K1402" s="2">
        <v>8</v>
      </c>
      <c r="L1402" s="2">
        <v>8.0007000000000001</v>
      </c>
      <c r="M1402" s="2">
        <v>6.9999999999999999E-4</v>
      </c>
      <c r="N1402" s="8" t="s">
        <v>11853</v>
      </c>
      <c r="O1402" s="8" t="s">
        <v>292</v>
      </c>
      <c r="P1402" s="2">
        <v>2</v>
      </c>
      <c r="Q1402" s="8"/>
      <c r="R1402" s="8" t="s">
        <v>7001</v>
      </c>
      <c r="S1402" s="8" t="str">
        <f>HYPERLINK("https://seichotoushi-hojo.jp/assets/pdf/koufu_3_4ji/outline_187.pdf","PDFを開く")</f>
        <v>PDFを開く</v>
      </c>
      <c r="T1402" s="8" t="s">
        <v>2924</v>
      </c>
      <c r="U1402" s="8" t="s">
        <v>2925</v>
      </c>
    </row>
    <row r="1403" spans="1:21" ht="39.950000000000003" customHeight="1">
      <c r="A1403" s="5" t="s">
        <v>2918</v>
      </c>
      <c r="B1403" s="5" t="s">
        <v>2430</v>
      </c>
      <c r="C1403" s="9" t="s">
        <v>2919</v>
      </c>
      <c r="D1403" s="9" t="s">
        <v>3188</v>
      </c>
      <c r="E1403" s="9" t="s">
        <v>91</v>
      </c>
      <c r="F1403" s="5"/>
      <c r="G1403" s="5"/>
      <c r="H1403" s="5"/>
      <c r="I1403" s="5"/>
      <c r="J1403" s="5" t="s">
        <v>447</v>
      </c>
      <c r="K1403" s="5">
        <v>6</v>
      </c>
      <c r="L1403" s="5"/>
      <c r="M1403" s="5"/>
      <c r="N1403" s="9" t="s">
        <v>11854</v>
      </c>
      <c r="O1403" s="9" t="s">
        <v>11848</v>
      </c>
      <c r="P1403" s="5">
        <v>2</v>
      </c>
      <c r="Q1403" s="9"/>
      <c r="R1403" s="9" t="s">
        <v>6473</v>
      </c>
      <c r="S1403" s="9" t="str">
        <f>HYPERLINK("https://seichotoushi-hojo.jp/assets/pdf/koufu_3_4ji/outline_187.pdf","PDFを開く")</f>
        <v>PDFを開く</v>
      </c>
      <c r="T1403" s="9" t="s">
        <v>2924</v>
      </c>
      <c r="U1403" s="9" t="s">
        <v>2925</v>
      </c>
    </row>
    <row r="1404" spans="1:21" ht="39.950000000000003" customHeight="1">
      <c r="A1404" s="2" t="s">
        <v>2918</v>
      </c>
      <c r="B1404" s="2" t="s">
        <v>2430</v>
      </c>
      <c r="C1404" s="8" t="s">
        <v>2919</v>
      </c>
      <c r="D1404" s="8" t="s">
        <v>3191</v>
      </c>
      <c r="E1404" s="8" t="s">
        <v>166</v>
      </c>
      <c r="F1404" s="2"/>
      <c r="G1404" s="2">
        <v>145</v>
      </c>
      <c r="H1404" s="2"/>
      <c r="I1404" s="2">
        <v>180</v>
      </c>
      <c r="J1404" s="2" t="s">
        <v>2513</v>
      </c>
      <c r="K1404" s="2"/>
      <c r="L1404" s="2"/>
      <c r="M1404" s="2"/>
      <c r="N1404" s="8" t="s">
        <v>11853</v>
      </c>
      <c r="O1404" s="8" t="s">
        <v>292</v>
      </c>
      <c r="P1404" s="2">
        <v>2</v>
      </c>
      <c r="Q1404" s="8"/>
      <c r="R1404" s="8" t="s">
        <v>7003</v>
      </c>
      <c r="S1404" s="8" t="str">
        <f>HYPERLINK("https://seichotoushi-hojo.jp/assets/pdf/koufu_3_4ji/outline_187.pdf","PDFを開く")</f>
        <v>PDFを開く</v>
      </c>
      <c r="T1404" s="8" t="s">
        <v>2924</v>
      </c>
      <c r="U1404" s="8" t="s">
        <v>2925</v>
      </c>
    </row>
    <row r="1405" spans="1:21" ht="39.950000000000003" customHeight="1">
      <c r="A1405" s="5" t="s">
        <v>2926</v>
      </c>
      <c r="B1405" s="5" t="s">
        <v>2430</v>
      </c>
      <c r="C1405" s="9" t="s">
        <v>2927</v>
      </c>
      <c r="D1405" s="9" t="s">
        <v>3176</v>
      </c>
      <c r="E1405" s="9" t="s">
        <v>166</v>
      </c>
      <c r="F1405" s="5">
        <v>2027</v>
      </c>
      <c r="G1405" s="5">
        <v>4602</v>
      </c>
      <c r="H1405" s="5">
        <v>2030</v>
      </c>
      <c r="I1405" s="5">
        <v>9039</v>
      </c>
      <c r="J1405" s="5" t="s">
        <v>86</v>
      </c>
      <c r="K1405" s="5">
        <v>25.2</v>
      </c>
      <c r="L1405" s="5">
        <v>25.2347</v>
      </c>
      <c r="M1405" s="5">
        <v>3.4700000000000002E-2</v>
      </c>
      <c r="N1405" s="9" t="s">
        <v>11846</v>
      </c>
      <c r="O1405" s="9" t="s">
        <v>292</v>
      </c>
      <c r="P1405" s="5">
        <v>2</v>
      </c>
      <c r="Q1405" s="9"/>
      <c r="R1405" s="9" t="s">
        <v>7011</v>
      </c>
      <c r="S1405" s="9" t="str">
        <f>HYPERLINK("https://seichotoushi-hojo.jp/assets/pdf/koufu_3_4ji/outline_189.pdf","PDFを開く")</f>
        <v>PDFを開く</v>
      </c>
      <c r="T1405" s="9" t="s">
        <v>2933</v>
      </c>
      <c r="U1405" s="9" t="s">
        <v>2934</v>
      </c>
    </row>
    <row r="1406" spans="1:21" ht="39.950000000000003" customHeight="1">
      <c r="A1406" s="2" t="s">
        <v>2926</v>
      </c>
      <c r="B1406" s="2" t="s">
        <v>2430</v>
      </c>
      <c r="C1406" s="8" t="s">
        <v>2927</v>
      </c>
      <c r="D1406" s="8" t="s">
        <v>3184</v>
      </c>
      <c r="E1406" s="8" t="s">
        <v>166</v>
      </c>
      <c r="F1406" s="2">
        <v>2027</v>
      </c>
      <c r="G1406" s="2">
        <v>3298</v>
      </c>
      <c r="H1406" s="2">
        <v>2030</v>
      </c>
      <c r="I1406" s="2">
        <v>4040</v>
      </c>
      <c r="J1406" s="2" t="s">
        <v>86</v>
      </c>
      <c r="K1406" s="2">
        <v>7</v>
      </c>
      <c r="L1406" s="2">
        <v>6.9983000000000004</v>
      </c>
      <c r="M1406" s="2">
        <v>1.6999999999999999E-3</v>
      </c>
      <c r="N1406" s="8" t="s">
        <v>11846</v>
      </c>
      <c r="O1406" s="8" t="s">
        <v>292</v>
      </c>
      <c r="P1406" s="2">
        <v>2</v>
      </c>
      <c r="Q1406" s="8"/>
      <c r="R1406" s="8" t="s">
        <v>7014</v>
      </c>
      <c r="S1406" s="8" t="str">
        <f>HYPERLINK("https://seichotoushi-hojo.jp/assets/pdf/koufu_3_4ji/outline_189.pdf","PDFを開く")</f>
        <v>PDFを開く</v>
      </c>
      <c r="T1406" s="8" t="s">
        <v>2933</v>
      </c>
      <c r="U1406" s="8" t="s">
        <v>2934</v>
      </c>
    </row>
    <row r="1407" spans="1:21" ht="39.950000000000003" customHeight="1">
      <c r="A1407" s="5" t="s">
        <v>2926</v>
      </c>
      <c r="B1407" s="5" t="s">
        <v>2430</v>
      </c>
      <c r="C1407" s="9" t="s">
        <v>2927</v>
      </c>
      <c r="D1407" s="9" t="s">
        <v>3188</v>
      </c>
      <c r="E1407" s="9" t="s">
        <v>166</v>
      </c>
      <c r="F1407" s="5">
        <v>2027</v>
      </c>
      <c r="G1407" s="5">
        <v>10000</v>
      </c>
      <c r="H1407" s="5">
        <v>2030</v>
      </c>
      <c r="I1407" s="5">
        <v>12250</v>
      </c>
      <c r="J1407" s="5" t="s">
        <v>86</v>
      </c>
      <c r="K1407" s="5">
        <v>7</v>
      </c>
      <c r="L1407" s="5">
        <v>6.9987000000000004</v>
      </c>
      <c r="M1407" s="5">
        <v>1.2999999999999999E-3</v>
      </c>
      <c r="N1407" s="9" t="s">
        <v>11846</v>
      </c>
      <c r="O1407" s="9" t="s">
        <v>292</v>
      </c>
      <c r="P1407" s="5">
        <v>2</v>
      </c>
      <c r="Q1407" s="9"/>
      <c r="R1407" s="9" t="s">
        <v>7017</v>
      </c>
      <c r="S1407" s="9" t="str">
        <f>HYPERLINK("https://seichotoushi-hojo.jp/assets/pdf/koufu_3_4ji/outline_189.pdf","PDFを開く")</f>
        <v>PDFを開く</v>
      </c>
      <c r="T1407" s="9" t="s">
        <v>2933</v>
      </c>
      <c r="U1407" s="9" t="s">
        <v>2934</v>
      </c>
    </row>
    <row r="1408" spans="1:21" ht="39.950000000000003" customHeight="1">
      <c r="A1408" s="2" t="s">
        <v>2926</v>
      </c>
      <c r="B1408" s="2" t="s">
        <v>2430</v>
      </c>
      <c r="C1408" s="8" t="s">
        <v>2927</v>
      </c>
      <c r="D1408" s="8" t="s">
        <v>3191</v>
      </c>
      <c r="E1408" s="8" t="s">
        <v>166</v>
      </c>
      <c r="F1408" s="2">
        <v>2027</v>
      </c>
      <c r="G1408" s="2">
        <v>687</v>
      </c>
      <c r="H1408" s="2">
        <v>2030</v>
      </c>
      <c r="I1408" s="2">
        <v>724</v>
      </c>
      <c r="J1408" s="2" t="s">
        <v>2513</v>
      </c>
      <c r="K1408" s="2"/>
      <c r="L1408" s="2"/>
      <c r="M1408" s="2"/>
      <c r="N1408" s="8" t="s">
        <v>11846</v>
      </c>
      <c r="O1408" s="8" t="s">
        <v>292</v>
      </c>
      <c r="P1408" s="2">
        <v>2</v>
      </c>
      <c r="Q1408" s="8"/>
      <c r="R1408" s="8" t="s">
        <v>7020</v>
      </c>
      <c r="S1408" s="8" t="str">
        <f>HYPERLINK("https://seichotoushi-hojo.jp/assets/pdf/koufu_3_4ji/outline_189.pdf","PDFを開く")</f>
        <v>PDFを開く</v>
      </c>
      <c r="T1408" s="8" t="s">
        <v>2933</v>
      </c>
      <c r="U1408" s="8" t="s">
        <v>2934</v>
      </c>
    </row>
    <row r="1409" spans="1:21" ht="39.950000000000003" customHeight="1">
      <c r="A1409" s="5" t="s">
        <v>2935</v>
      </c>
      <c r="B1409" s="5" t="s">
        <v>2430</v>
      </c>
      <c r="C1409" s="9" t="s">
        <v>2936</v>
      </c>
      <c r="D1409" s="9" t="s">
        <v>3176</v>
      </c>
      <c r="E1409" s="9" t="s">
        <v>166</v>
      </c>
      <c r="F1409" s="5">
        <v>2028</v>
      </c>
      <c r="G1409" s="5">
        <v>36767</v>
      </c>
      <c r="H1409" s="5">
        <v>2031</v>
      </c>
      <c r="I1409" s="5">
        <v>66038</v>
      </c>
      <c r="J1409" s="5" t="s">
        <v>86</v>
      </c>
      <c r="K1409" s="5">
        <v>21.6</v>
      </c>
      <c r="L1409" s="5">
        <v>21.5566</v>
      </c>
      <c r="M1409" s="5">
        <v>4.3400000000000001E-2</v>
      </c>
      <c r="N1409" s="9" t="s">
        <v>11846</v>
      </c>
      <c r="O1409" s="9" t="s">
        <v>292</v>
      </c>
      <c r="P1409" s="5">
        <v>2</v>
      </c>
      <c r="Q1409" s="9"/>
      <c r="R1409" s="9" t="s">
        <v>7030</v>
      </c>
      <c r="S1409" s="9" t="str">
        <f>HYPERLINK("https://seichotoushi-hojo.jp/assets/pdf/koufu_3_4ji/outline_191.pdf","PDFを開く")</f>
        <v>PDFを開く</v>
      </c>
      <c r="T1409" s="9" t="s">
        <v>2941</v>
      </c>
      <c r="U1409" s="9" t="s">
        <v>2942</v>
      </c>
    </row>
    <row r="1410" spans="1:21" ht="39.950000000000003" customHeight="1">
      <c r="A1410" s="2" t="s">
        <v>2935</v>
      </c>
      <c r="B1410" s="2" t="s">
        <v>2430</v>
      </c>
      <c r="C1410" s="8" t="s">
        <v>2936</v>
      </c>
      <c r="D1410" s="8" t="s">
        <v>3184</v>
      </c>
      <c r="E1410" s="8" t="s">
        <v>166</v>
      </c>
      <c r="F1410" s="2">
        <v>2028</v>
      </c>
      <c r="G1410" s="2">
        <v>4342</v>
      </c>
      <c r="H1410" s="2">
        <v>2031</v>
      </c>
      <c r="I1410" s="2">
        <v>5470</v>
      </c>
      <c r="J1410" s="2" t="s">
        <v>86</v>
      </c>
      <c r="K1410" s="2">
        <v>8</v>
      </c>
      <c r="L1410" s="2">
        <v>8.0022000000000002</v>
      </c>
      <c r="M1410" s="2">
        <v>2.2000000000000001E-3</v>
      </c>
      <c r="N1410" s="8" t="s">
        <v>11846</v>
      </c>
      <c r="O1410" s="8" t="s">
        <v>292</v>
      </c>
      <c r="P1410" s="2">
        <v>2</v>
      </c>
      <c r="Q1410" s="8"/>
      <c r="R1410" s="8" t="s">
        <v>7033</v>
      </c>
      <c r="S1410" s="8" t="str">
        <f>HYPERLINK("https://seichotoushi-hojo.jp/assets/pdf/koufu_3_4ji/outline_191.pdf","PDFを開く")</f>
        <v>PDFを開く</v>
      </c>
      <c r="T1410" s="8" t="s">
        <v>2941</v>
      </c>
      <c r="U1410" s="8" t="s">
        <v>2942</v>
      </c>
    </row>
    <row r="1411" spans="1:21" ht="39.950000000000003" customHeight="1">
      <c r="A1411" s="5" t="s">
        <v>2935</v>
      </c>
      <c r="B1411" s="5" t="s">
        <v>2430</v>
      </c>
      <c r="C1411" s="9" t="s">
        <v>2936</v>
      </c>
      <c r="D1411" s="9" t="s">
        <v>3188</v>
      </c>
      <c r="E1411" s="9" t="s">
        <v>91</v>
      </c>
      <c r="F1411" s="5"/>
      <c r="G1411" s="5"/>
      <c r="H1411" s="5"/>
      <c r="I1411" s="5"/>
      <c r="J1411" s="5" t="s">
        <v>447</v>
      </c>
      <c r="K1411" s="5">
        <v>8</v>
      </c>
      <c r="L1411" s="5"/>
      <c r="M1411" s="5"/>
      <c r="N1411" s="9" t="s">
        <v>11854</v>
      </c>
      <c r="O1411" s="9" t="s">
        <v>11848</v>
      </c>
      <c r="P1411" s="5">
        <v>2</v>
      </c>
      <c r="Q1411" s="9"/>
      <c r="R1411" s="9" t="s">
        <v>7037</v>
      </c>
      <c r="S1411" s="9" t="str">
        <f>HYPERLINK("https://seichotoushi-hojo.jp/assets/pdf/koufu_3_4ji/outline_191.pdf","PDFを開く")</f>
        <v>PDFを開く</v>
      </c>
      <c r="T1411" s="9" t="s">
        <v>2941</v>
      </c>
      <c r="U1411" s="9" t="s">
        <v>2942</v>
      </c>
    </row>
    <row r="1412" spans="1:21" ht="39.950000000000003" customHeight="1">
      <c r="A1412" s="2" t="s">
        <v>2935</v>
      </c>
      <c r="B1412" s="2" t="s">
        <v>2430</v>
      </c>
      <c r="C1412" s="8" t="s">
        <v>2936</v>
      </c>
      <c r="D1412" s="8" t="s">
        <v>3191</v>
      </c>
      <c r="E1412" s="8" t="s">
        <v>166</v>
      </c>
      <c r="F1412" s="2">
        <v>2028</v>
      </c>
      <c r="G1412" s="2">
        <v>35</v>
      </c>
      <c r="H1412" s="2">
        <v>2031</v>
      </c>
      <c r="I1412" s="2">
        <v>100</v>
      </c>
      <c r="J1412" s="2" t="s">
        <v>2513</v>
      </c>
      <c r="K1412" s="2"/>
      <c r="L1412" s="2"/>
      <c r="M1412" s="2"/>
      <c r="N1412" s="8" t="s">
        <v>11846</v>
      </c>
      <c r="O1412" s="8" t="s">
        <v>292</v>
      </c>
      <c r="P1412" s="2">
        <v>2</v>
      </c>
      <c r="Q1412" s="8"/>
      <c r="R1412" s="8" t="s">
        <v>7035</v>
      </c>
      <c r="S1412" s="8" t="str">
        <f>HYPERLINK("https://seichotoushi-hojo.jp/assets/pdf/koufu_3_4ji/outline_191.pdf","PDFを開く")</f>
        <v>PDFを開く</v>
      </c>
      <c r="T1412" s="8" t="s">
        <v>2941</v>
      </c>
      <c r="U1412" s="8" t="s">
        <v>2942</v>
      </c>
    </row>
    <row r="1413" spans="1:21" ht="39.950000000000003" customHeight="1">
      <c r="A1413" s="5" t="s">
        <v>2943</v>
      </c>
      <c r="B1413" s="5" t="s">
        <v>2430</v>
      </c>
      <c r="C1413" s="9" t="s">
        <v>2944</v>
      </c>
      <c r="D1413" s="9" t="s">
        <v>3176</v>
      </c>
      <c r="E1413" s="9" t="s">
        <v>90</v>
      </c>
      <c r="F1413" s="5"/>
      <c r="G1413" s="5">
        <v>17445</v>
      </c>
      <c r="H1413" s="5"/>
      <c r="I1413" s="5">
        <v>32752</v>
      </c>
      <c r="J1413" s="5" t="s">
        <v>447</v>
      </c>
      <c r="K1413" s="5">
        <v>23.4</v>
      </c>
      <c r="L1413" s="5">
        <v>23.364100000000001</v>
      </c>
      <c r="M1413" s="5">
        <v>3.5900000000000001E-2</v>
      </c>
      <c r="N1413" s="9" t="s">
        <v>11853</v>
      </c>
      <c r="O1413" s="9"/>
      <c r="P1413" s="5">
        <v>2</v>
      </c>
      <c r="Q1413" s="9"/>
      <c r="R1413" s="9" t="s">
        <v>7040</v>
      </c>
      <c r="S1413" s="9" t="str">
        <f>HYPERLINK("https://seichotoushi-hojo.jp/assets/pdf/koufu_3_4ji/outline_192.pdf","PDFを開く")</f>
        <v>PDFを開く</v>
      </c>
      <c r="T1413" s="9" t="s">
        <v>2948</v>
      </c>
      <c r="U1413" s="9" t="s">
        <v>2949</v>
      </c>
    </row>
    <row r="1414" spans="1:21" ht="39.950000000000003" customHeight="1">
      <c r="A1414" s="2" t="s">
        <v>2943</v>
      </c>
      <c r="B1414" s="2" t="s">
        <v>2430</v>
      </c>
      <c r="C1414" s="8" t="s">
        <v>2944</v>
      </c>
      <c r="D1414" s="8" t="s">
        <v>3184</v>
      </c>
      <c r="E1414" s="8" t="s">
        <v>90</v>
      </c>
      <c r="F1414" s="2"/>
      <c r="G1414" s="2">
        <v>5242</v>
      </c>
      <c r="H1414" s="2"/>
      <c r="I1414" s="2">
        <v>6279</v>
      </c>
      <c r="J1414" s="2" t="s">
        <v>447</v>
      </c>
      <c r="K1414" s="2">
        <v>6.2</v>
      </c>
      <c r="L1414" s="2">
        <v>6.2016</v>
      </c>
      <c r="M1414" s="2">
        <v>1.6000000000000001E-3</v>
      </c>
      <c r="N1414" s="8" t="s">
        <v>11853</v>
      </c>
      <c r="O1414" s="8"/>
      <c r="P1414" s="2">
        <v>2</v>
      </c>
      <c r="Q1414" s="8"/>
      <c r="R1414" s="8" t="s">
        <v>7043</v>
      </c>
      <c r="S1414" s="8" t="str">
        <f>HYPERLINK("https://seichotoushi-hojo.jp/assets/pdf/koufu_3_4ji/outline_192.pdf","PDFを開く")</f>
        <v>PDFを開く</v>
      </c>
      <c r="T1414" s="8" t="s">
        <v>2948</v>
      </c>
      <c r="U1414" s="8" t="s">
        <v>2949</v>
      </c>
    </row>
    <row r="1415" spans="1:21" ht="39.950000000000003" customHeight="1">
      <c r="A1415" s="5" t="s">
        <v>2943</v>
      </c>
      <c r="B1415" s="5" t="s">
        <v>2430</v>
      </c>
      <c r="C1415" s="9" t="s">
        <v>2944</v>
      </c>
      <c r="D1415" s="9" t="s">
        <v>3188</v>
      </c>
      <c r="E1415" s="9" t="s">
        <v>91</v>
      </c>
      <c r="F1415" s="5"/>
      <c r="G1415" s="5"/>
      <c r="H1415" s="5"/>
      <c r="I1415" s="5"/>
      <c r="J1415" s="5" t="s">
        <v>447</v>
      </c>
      <c r="K1415" s="5">
        <v>6.2</v>
      </c>
      <c r="L1415" s="5"/>
      <c r="M1415" s="5"/>
      <c r="N1415" s="9" t="s">
        <v>11854</v>
      </c>
      <c r="O1415" s="9" t="s">
        <v>11848</v>
      </c>
      <c r="P1415" s="5">
        <v>2</v>
      </c>
      <c r="Q1415" s="9"/>
      <c r="R1415" s="9" t="s">
        <v>6439</v>
      </c>
      <c r="S1415" s="9" t="str">
        <f>HYPERLINK("https://seichotoushi-hojo.jp/assets/pdf/koufu_3_4ji/outline_192.pdf","PDFを開く")</f>
        <v>PDFを開く</v>
      </c>
      <c r="T1415" s="9" t="s">
        <v>2948</v>
      </c>
      <c r="U1415" s="9" t="s">
        <v>2949</v>
      </c>
    </row>
    <row r="1416" spans="1:21" ht="39.950000000000003" customHeight="1">
      <c r="A1416" s="2" t="s">
        <v>2943</v>
      </c>
      <c r="B1416" s="2" t="s">
        <v>2430</v>
      </c>
      <c r="C1416" s="8" t="s">
        <v>2944</v>
      </c>
      <c r="D1416" s="8" t="s">
        <v>3191</v>
      </c>
      <c r="E1416" s="8" t="s">
        <v>92</v>
      </c>
      <c r="F1416" s="2"/>
      <c r="G1416" s="2">
        <v>40</v>
      </c>
      <c r="H1416" s="2"/>
      <c r="I1416" s="2">
        <v>60</v>
      </c>
      <c r="J1416" s="2" t="s">
        <v>2513</v>
      </c>
      <c r="K1416" s="2"/>
      <c r="L1416" s="2"/>
      <c r="M1416" s="2"/>
      <c r="N1416" s="8" t="s">
        <v>11853</v>
      </c>
      <c r="O1416" s="8"/>
      <c r="P1416" s="2">
        <v>2</v>
      </c>
      <c r="Q1416" s="8"/>
      <c r="R1416" s="8" t="s">
        <v>7046</v>
      </c>
      <c r="S1416" s="8" t="str">
        <f>HYPERLINK("https://seichotoushi-hojo.jp/assets/pdf/koufu_3_4ji/outline_192.pdf","PDFを開く")</f>
        <v>PDFを開く</v>
      </c>
      <c r="T1416" s="8" t="s">
        <v>2948</v>
      </c>
      <c r="U1416" s="8" t="s">
        <v>2949</v>
      </c>
    </row>
    <row r="1417" spans="1:21" ht="39.950000000000003" customHeight="1">
      <c r="A1417" s="5" t="s">
        <v>2950</v>
      </c>
      <c r="B1417" s="5" t="s">
        <v>2430</v>
      </c>
      <c r="C1417" s="9" t="s">
        <v>2951</v>
      </c>
      <c r="D1417" s="9" t="s">
        <v>3176</v>
      </c>
      <c r="E1417" s="9" t="s">
        <v>90</v>
      </c>
      <c r="F1417" s="5"/>
      <c r="G1417" s="5">
        <v>10270</v>
      </c>
      <c r="H1417" s="5"/>
      <c r="I1417" s="5">
        <v>19298</v>
      </c>
      <c r="J1417" s="5" t="s">
        <v>447</v>
      </c>
      <c r="K1417" s="5">
        <v>23.4</v>
      </c>
      <c r="L1417" s="5">
        <v>23.399699999999999</v>
      </c>
      <c r="M1417" s="5">
        <v>2.9999999999999997E-4</v>
      </c>
      <c r="N1417" s="9" t="s">
        <v>11853</v>
      </c>
      <c r="O1417" s="9"/>
      <c r="P1417" s="5">
        <v>2</v>
      </c>
      <c r="Q1417" s="9"/>
      <c r="R1417" s="9" t="s">
        <v>7050</v>
      </c>
      <c r="S1417" s="9" t="str">
        <f>HYPERLINK("https://seichotoushi-hojo.jp/assets/pdf/koufu_3_4ji/outline_193.pdf","PDFを開く")</f>
        <v>PDFを開く</v>
      </c>
      <c r="T1417" s="9" t="s">
        <v>2956</v>
      </c>
      <c r="U1417" s="9" t="s">
        <v>2957</v>
      </c>
    </row>
    <row r="1418" spans="1:21" ht="39.950000000000003" customHeight="1">
      <c r="A1418" s="2" t="s">
        <v>2950</v>
      </c>
      <c r="B1418" s="2" t="s">
        <v>2430</v>
      </c>
      <c r="C1418" s="8" t="s">
        <v>2951</v>
      </c>
      <c r="D1418" s="8" t="s">
        <v>3184</v>
      </c>
      <c r="E1418" s="8" t="s">
        <v>90</v>
      </c>
      <c r="F1418" s="2"/>
      <c r="G1418" s="2">
        <v>5497</v>
      </c>
      <c r="H1418" s="2"/>
      <c r="I1418" s="2">
        <v>6640</v>
      </c>
      <c r="J1418" s="2" t="s">
        <v>447</v>
      </c>
      <c r="K1418" s="2">
        <v>6.5</v>
      </c>
      <c r="L1418" s="2">
        <v>6.4995000000000003</v>
      </c>
      <c r="M1418" s="2">
        <v>5.0000000000000001E-4</v>
      </c>
      <c r="N1418" s="8" t="s">
        <v>11853</v>
      </c>
      <c r="O1418" s="8"/>
      <c r="P1418" s="2">
        <v>2</v>
      </c>
      <c r="Q1418" s="8"/>
      <c r="R1418" s="8" t="s">
        <v>7053</v>
      </c>
      <c r="S1418" s="8" t="str">
        <f>HYPERLINK("https://seichotoushi-hojo.jp/assets/pdf/koufu_3_4ji/outline_193.pdf","PDFを開く")</f>
        <v>PDFを開く</v>
      </c>
      <c r="T1418" s="8" t="s">
        <v>2956</v>
      </c>
      <c r="U1418" s="8" t="s">
        <v>2957</v>
      </c>
    </row>
    <row r="1419" spans="1:21" ht="39.950000000000003" customHeight="1">
      <c r="A1419" s="5" t="s">
        <v>2950</v>
      </c>
      <c r="B1419" s="5" t="s">
        <v>2430</v>
      </c>
      <c r="C1419" s="9" t="s">
        <v>2951</v>
      </c>
      <c r="D1419" s="9" t="s">
        <v>3188</v>
      </c>
      <c r="E1419" s="9" t="s">
        <v>91</v>
      </c>
      <c r="F1419" s="5"/>
      <c r="G1419" s="5"/>
      <c r="H1419" s="5"/>
      <c r="I1419" s="5"/>
      <c r="J1419" s="5" t="s">
        <v>447</v>
      </c>
      <c r="K1419" s="5">
        <v>5</v>
      </c>
      <c r="L1419" s="5"/>
      <c r="M1419" s="5"/>
      <c r="N1419" s="9" t="s">
        <v>11854</v>
      </c>
      <c r="O1419" s="9" t="s">
        <v>11848</v>
      </c>
      <c r="P1419" s="5">
        <v>2</v>
      </c>
      <c r="Q1419" s="9"/>
      <c r="R1419" s="9" t="s">
        <v>6384</v>
      </c>
      <c r="S1419" s="9" t="str">
        <f>HYPERLINK("https://seichotoushi-hojo.jp/assets/pdf/koufu_3_4ji/outline_193.pdf","PDFを開く")</f>
        <v>PDFを開く</v>
      </c>
      <c r="T1419" s="9" t="s">
        <v>2956</v>
      </c>
      <c r="U1419" s="9" t="s">
        <v>2957</v>
      </c>
    </row>
    <row r="1420" spans="1:21" ht="39.950000000000003" customHeight="1">
      <c r="A1420" s="2" t="s">
        <v>2950</v>
      </c>
      <c r="B1420" s="2" t="s">
        <v>2430</v>
      </c>
      <c r="C1420" s="8" t="s">
        <v>2951</v>
      </c>
      <c r="D1420" s="8" t="s">
        <v>3191</v>
      </c>
      <c r="E1420" s="8" t="s">
        <v>92</v>
      </c>
      <c r="F1420" s="2"/>
      <c r="G1420" s="2">
        <v>595</v>
      </c>
      <c r="H1420" s="2"/>
      <c r="I1420" s="2">
        <v>631</v>
      </c>
      <c r="J1420" s="2" t="s">
        <v>2513</v>
      </c>
      <c r="K1420" s="2"/>
      <c r="L1420" s="2"/>
      <c r="M1420" s="2"/>
      <c r="N1420" s="8" t="s">
        <v>11853</v>
      </c>
      <c r="O1420" s="8"/>
      <c r="P1420" s="2">
        <v>2</v>
      </c>
      <c r="Q1420" s="8"/>
      <c r="R1420" s="8" t="s">
        <v>7056</v>
      </c>
      <c r="S1420" s="8" t="str">
        <f>HYPERLINK("https://seichotoushi-hojo.jp/assets/pdf/koufu_3_4ji/outline_193.pdf","PDFを開く")</f>
        <v>PDFを開く</v>
      </c>
      <c r="T1420" s="8" t="s">
        <v>2956</v>
      </c>
      <c r="U1420" s="8" t="s">
        <v>2957</v>
      </c>
    </row>
    <row r="1421" spans="1:21" ht="39.950000000000003" customHeight="1">
      <c r="A1421" s="5" t="s">
        <v>2958</v>
      </c>
      <c r="B1421" s="5" t="s">
        <v>2430</v>
      </c>
      <c r="C1421" s="9" t="s">
        <v>2959</v>
      </c>
      <c r="D1421" s="9" t="s">
        <v>3176</v>
      </c>
      <c r="E1421" s="9" t="s">
        <v>90</v>
      </c>
      <c r="F1421" s="5"/>
      <c r="G1421" s="5">
        <v>10647</v>
      </c>
      <c r="H1421" s="5"/>
      <c r="I1421" s="5">
        <v>13174</v>
      </c>
      <c r="J1421" s="5" t="s">
        <v>447</v>
      </c>
      <c r="K1421" s="5">
        <v>7.4</v>
      </c>
      <c r="L1421" s="5">
        <v>7.3569000000000004</v>
      </c>
      <c r="M1421" s="5">
        <v>4.3099999999999999E-2</v>
      </c>
      <c r="N1421" s="9" t="s">
        <v>11853</v>
      </c>
      <c r="O1421" s="9"/>
      <c r="P1421" s="5">
        <v>2</v>
      </c>
      <c r="Q1421" s="9"/>
      <c r="R1421" s="9" t="s">
        <v>7060</v>
      </c>
      <c r="S1421" s="9" t="str">
        <f>HYPERLINK("https://seichotoushi-hojo.jp/assets/pdf/koufu_3_4ji/outline_194.pdf","PDFを開く")</f>
        <v>PDFを開く</v>
      </c>
      <c r="T1421" s="9" t="s">
        <v>2963</v>
      </c>
      <c r="U1421" s="9" t="s">
        <v>2964</v>
      </c>
    </row>
    <row r="1422" spans="1:21" ht="39.950000000000003" customHeight="1">
      <c r="A1422" s="2" t="s">
        <v>2958</v>
      </c>
      <c r="B1422" s="2" t="s">
        <v>2430</v>
      </c>
      <c r="C1422" s="8" t="s">
        <v>2959</v>
      </c>
      <c r="D1422" s="8" t="s">
        <v>3184</v>
      </c>
      <c r="E1422" s="8" t="s">
        <v>90</v>
      </c>
      <c r="F1422" s="2"/>
      <c r="G1422" s="2">
        <v>3728</v>
      </c>
      <c r="H1422" s="2"/>
      <c r="I1422" s="2">
        <v>4609</v>
      </c>
      <c r="J1422" s="2" t="s">
        <v>447</v>
      </c>
      <c r="K1422" s="2">
        <v>7.3</v>
      </c>
      <c r="L1422" s="2">
        <v>7.3273000000000001</v>
      </c>
      <c r="M1422" s="2">
        <v>2.7300000000000001E-2</v>
      </c>
      <c r="N1422" s="8" t="s">
        <v>11853</v>
      </c>
      <c r="O1422" s="8"/>
      <c r="P1422" s="2">
        <v>2</v>
      </c>
      <c r="Q1422" s="8"/>
      <c r="R1422" s="8" t="s">
        <v>7063</v>
      </c>
      <c r="S1422" s="8" t="str">
        <f>HYPERLINK("https://seichotoushi-hojo.jp/assets/pdf/koufu_3_4ji/outline_194.pdf","PDFを開く")</f>
        <v>PDFを開く</v>
      </c>
      <c r="T1422" s="8" t="s">
        <v>2963</v>
      </c>
      <c r="U1422" s="8" t="s">
        <v>2964</v>
      </c>
    </row>
    <row r="1423" spans="1:21" ht="39.950000000000003" customHeight="1">
      <c r="A1423" s="5" t="s">
        <v>2958</v>
      </c>
      <c r="B1423" s="5" t="s">
        <v>2430</v>
      </c>
      <c r="C1423" s="9" t="s">
        <v>2959</v>
      </c>
      <c r="D1423" s="9" t="s">
        <v>3188</v>
      </c>
      <c r="E1423" s="9" t="s">
        <v>91</v>
      </c>
      <c r="F1423" s="5"/>
      <c r="G1423" s="5"/>
      <c r="H1423" s="5"/>
      <c r="I1423" s="5"/>
      <c r="J1423" s="5" t="s">
        <v>447</v>
      </c>
      <c r="K1423" s="5">
        <v>6</v>
      </c>
      <c r="L1423" s="5"/>
      <c r="M1423" s="5"/>
      <c r="N1423" s="9" t="s">
        <v>11854</v>
      </c>
      <c r="O1423" s="9" t="s">
        <v>11848</v>
      </c>
      <c r="P1423" s="5">
        <v>2</v>
      </c>
      <c r="Q1423" s="9"/>
      <c r="R1423" s="9" t="s">
        <v>6473</v>
      </c>
      <c r="S1423" s="9" t="str">
        <f>HYPERLINK("https://seichotoushi-hojo.jp/assets/pdf/koufu_3_4ji/outline_194.pdf","PDFを開く")</f>
        <v>PDFを開く</v>
      </c>
      <c r="T1423" s="9" t="s">
        <v>2963</v>
      </c>
      <c r="U1423" s="9" t="s">
        <v>2964</v>
      </c>
    </row>
    <row r="1424" spans="1:21" ht="39.950000000000003" customHeight="1">
      <c r="A1424" s="2" t="s">
        <v>2958</v>
      </c>
      <c r="B1424" s="2" t="s">
        <v>2430</v>
      </c>
      <c r="C1424" s="8" t="s">
        <v>2959</v>
      </c>
      <c r="D1424" s="8" t="s">
        <v>3191</v>
      </c>
      <c r="E1424" s="8" t="s">
        <v>92</v>
      </c>
      <c r="F1424" s="2"/>
      <c r="G1424" s="2">
        <v>120</v>
      </c>
      <c r="H1424" s="2"/>
      <c r="I1424" s="2">
        <v>135</v>
      </c>
      <c r="J1424" s="2" t="s">
        <v>2513</v>
      </c>
      <c r="K1424" s="2"/>
      <c r="L1424" s="2"/>
      <c r="M1424" s="2"/>
      <c r="N1424" s="8" t="s">
        <v>11853</v>
      </c>
      <c r="O1424" s="8"/>
      <c r="P1424" s="2">
        <v>2</v>
      </c>
      <c r="Q1424" s="8"/>
      <c r="R1424" s="8" t="s">
        <v>7066</v>
      </c>
      <c r="S1424" s="8" t="str">
        <f>HYPERLINK("https://seichotoushi-hojo.jp/assets/pdf/koufu_3_4ji/outline_194.pdf","PDFを開く")</f>
        <v>PDFを開く</v>
      </c>
      <c r="T1424" s="8" t="s">
        <v>2963</v>
      </c>
      <c r="U1424" s="8" t="s">
        <v>2964</v>
      </c>
    </row>
    <row r="1425" spans="1:21" ht="39.950000000000003" customHeight="1">
      <c r="A1425" s="5" t="s">
        <v>2965</v>
      </c>
      <c r="B1425" s="5" t="s">
        <v>2430</v>
      </c>
      <c r="C1425" s="9" t="s">
        <v>2966</v>
      </c>
      <c r="D1425" s="9" t="s">
        <v>3176</v>
      </c>
      <c r="E1425" s="9" t="s">
        <v>90</v>
      </c>
      <c r="F1425" s="5">
        <v>2026</v>
      </c>
      <c r="G1425" s="5">
        <v>410</v>
      </c>
      <c r="H1425" s="5">
        <v>2029</v>
      </c>
      <c r="I1425" s="5">
        <v>795</v>
      </c>
      <c r="J1425" s="5" t="s">
        <v>86</v>
      </c>
      <c r="K1425" s="5">
        <v>24.7</v>
      </c>
      <c r="L1425" s="5">
        <v>24.698499999999999</v>
      </c>
      <c r="M1425" s="5">
        <v>1.5E-3</v>
      </c>
      <c r="N1425" s="9" t="s">
        <v>11846</v>
      </c>
      <c r="O1425" s="9" t="s">
        <v>11847</v>
      </c>
      <c r="P1425" s="5">
        <v>2</v>
      </c>
      <c r="Q1425" s="9"/>
      <c r="R1425" s="9" t="s">
        <v>7069</v>
      </c>
      <c r="S1425" s="9" t="str">
        <f>HYPERLINK("https://seichotoushi-hojo.jp/assets/pdf/koufu_3_4ji/outline_195.pdf","PDFを開く")</f>
        <v>PDFを開く</v>
      </c>
      <c r="T1425" s="9" t="s">
        <v>2970</v>
      </c>
      <c r="U1425" s="9" t="s">
        <v>2971</v>
      </c>
    </row>
    <row r="1426" spans="1:21" ht="39.950000000000003" customHeight="1">
      <c r="A1426" s="2" t="s">
        <v>2965</v>
      </c>
      <c r="B1426" s="2" t="s">
        <v>2430</v>
      </c>
      <c r="C1426" s="8" t="s">
        <v>2966</v>
      </c>
      <c r="D1426" s="8" t="s">
        <v>3184</v>
      </c>
      <c r="E1426" s="8" t="s">
        <v>90</v>
      </c>
      <c r="F1426" s="2">
        <v>2026</v>
      </c>
      <c r="G1426" s="2">
        <v>331</v>
      </c>
      <c r="H1426" s="2">
        <v>2029</v>
      </c>
      <c r="I1426" s="2">
        <v>397</v>
      </c>
      <c r="J1426" s="2" t="s">
        <v>86</v>
      </c>
      <c r="K1426" s="2">
        <v>6.2</v>
      </c>
      <c r="L1426" s="2">
        <v>6.2480000000000002</v>
      </c>
      <c r="M1426" s="2">
        <v>4.8000000000000001E-2</v>
      </c>
      <c r="N1426" s="8" t="s">
        <v>11846</v>
      </c>
      <c r="O1426" s="8" t="s">
        <v>11847</v>
      </c>
      <c r="P1426" s="2">
        <v>2</v>
      </c>
      <c r="Q1426" s="8"/>
      <c r="R1426" s="8" t="s">
        <v>7070</v>
      </c>
      <c r="S1426" s="8" t="str">
        <f>HYPERLINK("https://seichotoushi-hojo.jp/assets/pdf/koufu_3_4ji/outline_195.pdf","PDFを開く")</f>
        <v>PDFを開く</v>
      </c>
      <c r="T1426" s="8" t="s">
        <v>2970</v>
      </c>
      <c r="U1426" s="8" t="s">
        <v>2971</v>
      </c>
    </row>
    <row r="1427" spans="1:21" ht="39.950000000000003" customHeight="1">
      <c r="A1427" s="5" t="s">
        <v>2965</v>
      </c>
      <c r="B1427" s="5" t="s">
        <v>2430</v>
      </c>
      <c r="C1427" s="9" t="s">
        <v>2966</v>
      </c>
      <c r="D1427" s="9" t="s">
        <v>3188</v>
      </c>
      <c r="E1427" s="9" t="s">
        <v>156</v>
      </c>
      <c r="F1427" s="5"/>
      <c r="G1427" s="5"/>
      <c r="H1427" s="5"/>
      <c r="I1427" s="5"/>
      <c r="J1427" s="5"/>
      <c r="K1427" s="5"/>
      <c r="L1427" s="5"/>
      <c r="M1427" s="5"/>
      <c r="N1427" s="9" t="s">
        <v>11850</v>
      </c>
      <c r="O1427" s="9"/>
      <c r="P1427" s="5"/>
      <c r="Q1427" s="9" t="s">
        <v>11851</v>
      </c>
      <c r="R1427" s="9"/>
      <c r="S1427" s="9" t="str">
        <f>HYPERLINK("https://seichotoushi-hojo.jp/assets/pdf/koufu_3_4ji/outline_195.pdf","PDFを開く")</f>
        <v>PDFを開く</v>
      </c>
      <c r="T1427" s="9" t="s">
        <v>2970</v>
      </c>
      <c r="U1427" s="9" t="s">
        <v>2971</v>
      </c>
    </row>
    <row r="1428" spans="1:21" ht="39.950000000000003" customHeight="1">
      <c r="A1428" s="2" t="s">
        <v>2965</v>
      </c>
      <c r="B1428" s="2" t="s">
        <v>2430</v>
      </c>
      <c r="C1428" s="8" t="s">
        <v>2966</v>
      </c>
      <c r="D1428" s="8" t="s">
        <v>3191</v>
      </c>
      <c r="E1428" s="8" t="s">
        <v>92</v>
      </c>
      <c r="F1428" s="2">
        <v>2026</v>
      </c>
      <c r="G1428" s="2">
        <v>102</v>
      </c>
      <c r="H1428" s="2">
        <v>2029</v>
      </c>
      <c r="I1428" s="2">
        <v>108</v>
      </c>
      <c r="J1428" s="2" t="s">
        <v>2513</v>
      </c>
      <c r="K1428" s="2"/>
      <c r="L1428" s="2"/>
      <c r="M1428" s="2"/>
      <c r="N1428" s="8" t="s">
        <v>11846</v>
      </c>
      <c r="O1428" s="8" t="s">
        <v>11847</v>
      </c>
      <c r="P1428" s="2">
        <v>2</v>
      </c>
      <c r="Q1428" s="8"/>
      <c r="R1428" s="8" t="s">
        <v>7071</v>
      </c>
      <c r="S1428" s="8" t="str">
        <f>HYPERLINK("https://seichotoushi-hojo.jp/assets/pdf/koufu_3_4ji/outline_195.pdf","PDFを開く")</f>
        <v>PDFを開く</v>
      </c>
      <c r="T1428" s="8" t="s">
        <v>2970</v>
      </c>
      <c r="U1428" s="8" t="s">
        <v>2971</v>
      </c>
    </row>
    <row r="1429" spans="1:21" ht="39.950000000000003" customHeight="1">
      <c r="A1429" s="5" t="s">
        <v>2972</v>
      </c>
      <c r="B1429" s="5" t="s">
        <v>2430</v>
      </c>
      <c r="C1429" s="9" t="s">
        <v>2973</v>
      </c>
      <c r="D1429" s="9" t="s">
        <v>3176</v>
      </c>
      <c r="E1429" s="9" t="s">
        <v>90</v>
      </c>
      <c r="F1429" s="5"/>
      <c r="G1429" s="5">
        <v>4766</v>
      </c>
      <c r="H1429" s="5"/>
      <c r="I1429" s="5">
        <v>10804</v>
      </c>
      <c r="J1429" s="5" t="s">
        <v>447</v>
      </c>
      <c r="K1429" s="5">
        <v>31.4</v>
      </c>
      <c r="L1429" s="5">
        <v>31.364100000000001</v>
      </c>
      <c r="M1429" s="5">
        <v>3.5900000000000001E-2</v>
      </c>
      <c r="N1429" s="9" t="s">
        <v>11853</v>
      </c>
      <c r="O1429" s="9"/>
      <c r="P1429" s="5">
        <v>2</v>
      </c>
      <c r="Q1429" s="9"/>
      <c r="R1429" s="9" t="s">
        <v>7073</v>
      </c>
      <c r="S1429" s="9" t="str">
        <f>HYPERLINK("https://seichotoushi-hojo.jp/assets/pdf/koufu_3_4ji/outline_196.pdf","PDFを開く")</f>
        <v>PDFを開く</v>
      </c>
      <c r="T1429" s="9" t="s">
        <v>2978</v>
      </c>
      <c r="U1429" s="9" t="s">
        <v>2979</v>
      </c>
    </row>
    <row r="1430" spans="1:21" ht="39.950000000000003" customHeight="1">
      <c r="A1430" s="2" t="s">
        <v>2972</v>
      </c>
      <c r="B1430" s="2" t="s">
        <v>2430</v>
      </c>
      <c r="C1430" s="8" t="s">
        <v>2973</v>
      </c>
      <c r="D1430" s="8" t="s">
        <v>3184</v>
      </c>
      <c r="E1430" s="8" t="s">
        <v>90</v>
      </c>
      <c r="F1430" s="2"/>
      <c r="G1430" s="2">
        <v>4007</v>
      </c>
      <c r="H1430" s="2"/>
      <c r="I1430" s="2">
        <v>4694</v>
      </c>
      <c r="J1430" s="2" t="s">
        <v>447</v>
      </c>
      <c r="K1430" s="2">
        <v>5.4</v>
      </c>
      <c r="L1430" s="2">
        <v>5.4162999999999997</v>
      </c>
      <c r="M1430" s="2">
        <v>1.6299999999999999E-2</v>
      </c>
      <c r="N1430" s="8" t="s">
        <v>11853</v>
      </c>
      <c r="O1430" s="8"/>
      <c r="P1430" s="2">
        <v>2</v>
      </c>
      <c r="Q1430" s="8"/>
      <c r="R1430" s="8" t="s">
        <v>7076</v>
      </c>
      <c r="S1430" s="8" t="str">
        <f>HYPERLINK("https://seichotoushi-hojo.jp/assets/pdf/koufu_3_4ji/outline_196.pdf","PDFを開く")</f>
        <v>PDFを開く</v>
      </c>
      <c r="T1430" s="8" t="s">
        <v>2978</v>
      </c>
      <c r="U1430" s="8" t="s">
        <v>2979</v>
      </c>
    </row>
    <row r="1431" spans="1:21" ht="39.950000000000003" customHeight="1">
      <c r="A1431" s="5" t="s">
        <v>2972</v>
      </c>
      <c r="B1431" s="5" t="s">
        <v>2430</v>
      </c>
      <c r="C1431" s="9" t="s">
        <v>2973</v>
      </c>
      <c r="D1431" s="9" t="s">
        <v>3188</v>
      </c>
      <c r="E1431" s="9" t="s">
        <v>91</v>
      </c>
      <c r="F1431" s="5"/>
      <c r="G1431" s="5"/>
      <c r="H1431" s="5"/>
      <c r="I1431" s="5"/>
      <c r="J1431" s="5" t="s">
        <v>447</v>
      </c>
      <c r="K1431" s="5">
        <v>4.5999999999999996</v>
      </c>
      <c r="L1431" s="5"/>
      <c r="M1431" s="5"/>
      <c r="N1431" s="9" t="s">
        <v>11854</v>
      </c>
      <c r="O1431" s="9" t="s">
        <v>11848</v>
      </c>
      <c r="P1431" s="5">
        <v>2</v>
      </c>
      <c r="Q1431" s="9"/>
      <c r="R1431" s="9" t="s">
        <v>7081</v>
      </c>
      <c r="S1431" s="9" t="str">
        <f>HYPERLINK("https://seichotoushi-hojo.jp/assets/pdf/koufu_3_4ji/outline_196.pdf","PDFを開く")</f>
        <v>PDFを開く</v>
      </c>
      <c r="T1431" s="9" t="s">
        <v>2978</v>
      </c>
      <c r="U1431" s="9" t="s">
        <v>2979</v>
      </c>
    </row>
    <row r="1432" spans="1:21" ht="39.950000000000003" customHeight="1">
      <c r="A1432" s="2" t="s">
        <v>2972</v>
      </c>
      <c r="B1432" s="2" t="s">
        <v>2430</v>
      </c>
      <c r="C1432" s="8" t="s">
        <v>2973</v>
      </c>
      <c r="D1432" s="8" t="s">
        <v>3191</v>
      </c>
      <c r="E1432" s="8" t="s">
        <v>92</v>
      </c>
      <c r="F1432" s="2"/>
      <c r="G1432" s="2">
        <v>306</v>
      </c>
      <c r="H1432" s="2"/>
      <c r="I1432" s="2">
        <v>393</v>
      </c>
      <c r="J1432" s="2" t="s">
        <v>2513</v>
      </c>
      <c r="K1432" s="2"/>
      <c r="L1432" s="2"/>
      <c r="M1432" s="2"/>
      <c r="N1432" s="8" t="s">
        <v>11853</v>
      </c>
      <c r="O1432" s="8"/>
      <c r="P1432" s="2">
        <v>2</v>
      </c>
      <c r="Q1432" s="8"/>
      <c r="R1432" s="8" t="s">
        <v>7079</v>
      </c>
      <c r="S1432" s="8" t="str">
        <f>HYPERLINK("https://seichotoushi-hojo.jp/assets/pdf/koufu_3_4ji/outline_196.pdf","PDFを開く")</f>
        <v>PDFを開く</v>
      </c>
      <c r="T1432" s="8" t="s">
        <v>2978</v>
      </c>
      <c r="U1432" s="8" t="s">
        <v>2979</v>
      </c>
    </row>
    <row r="1433" spans="1:21" ht="39.950000000000003" customHeight="1">
      <c r="A1433" s="5" t="s">
        <v>2980</v>
      </c>
      <c r="B1433" s="5" t="s">
        <v>2430</v>
      </c>
      <c r="C1433" s="9" t="s">
        <v>2981</v>
      </c>
      <c r="D1433" s="9" t="s">
        <v>3176</v>
      </c>
      <c r="E1433" s="9" t="s">
        <v>90</v>
      </c>
      <c r="F1433" s="5"/>
      <c r="G1433" s="5">
        <v>14945</v>
      </c>
      <c r="H1433" s="5"/>
      <c r="I1433" s="5">
        <v>23446</v>
      </c>
      <c r="J1433" s="5" t="s">
        <v>447</v>
      </c>
      <c r="K1433" s="5">
        <v>16.2</v>
      </c>
      <c r="L1433" s="5">
        <v>16.195900000000002</v>
      </c>
      <c r="M1433" s="5">
        <v>4.1000000000000003E-3</v>
      </c>
      <c r="N1433" s="9" t="s">
        <v>11853</v>
      </c>
      <c r="O1433" s="9"/>
      <c r="P1433" s="5">
        <v>2</v>
      </c>
      <c r="Q1433" s="9"/>
      <c r="R1433" s="9" t="s">
        <v>7085</v>
      </c>
      <c r="S1433" s="9" t="str">
        <f>HYPERLINK("https://seichotoushi-hojo.jp/assets/pdf/koufu_3_4ji/outline_199.pdf","PDFを開く")</f>
        <v>PDFを開く</v>
      </c>
      <c r="T1433" s="9" t="s">
        <v>2985</v>
      </c>
      <c r="U1433" s="9" t="s">
        <v>2986</v>
      </c>
    </row>
    <row r="1434" spans="1:21" ht="39.950000000000003" customHeight="1">
      <c r="A1434" s="2" t="s">
        <v>2980</v>
      </c>
      <c r="B1434" s="2" t="s">
        <v>2430</v>
      </c>
      <c r="C1434" s="8" t="s">
        <v>2981</v>
      </c>
      <c r="D1434" s="8" t="s">
        <v>3184</v>
      </c>
      <c r="E1434" s="8" t="s">
        <v>90</v>
      </c>
      <c r="F1434" s="2"/>
      <c r="G1434" s="2">
        <v>7029</v>
      </c>
      <c r="H1434" s="2"/>
      <c r="I1434" s="2">
        <v>8424</v>
      </c>
      <c r="J1434" s="2" t="s">
        <v>447</v>
      </c>
      <c r="K1434" s="2">
        <v>6.2</v>
      </c>
      <c r="L1434" s="2">
        <v>6.2205000000000004</v>
      </c>
      <c r="M1434" s="2">
        <v>2.0500000000000001E-2</v>
      </c>
      <c r="N1434" s="8" t="s">
        <v>11853</v>
      </c>
      <c r="O1434" s="8"/>
      <c r="P1434" s="2">
        <v>2</v>
      </c>
      <c r="Q1434" s="8"/>
      <c r="R1434" s="8" t="s">
        <v>7088</v>
      </c>
      <c r="S1434" s="8" t="str">
        <f>HYPERLINK("https://seichotoushi-hojo.jp/assets/pdf/koufu_3_4ji/outline_199.pdf","PDFを開く")</f>
        <v>PDFを開く</v>
      </c>
      <c r="T1434" s="8" t="s">
        <v>2985</v>
      </c>
      <c r="U1434" s="8" t="s">
        <v>2986</v>
      </c>
    </row>
    <row r="1435" spans="1:21" ht="39.950000000000003" customHeight="1">
      <c r="A1435" s="5" t="s">
        <v>2980</v>
      </c>
      <c r="B1435" s="5" t="s">
        <v>2430</v>
      </c>
      <c r="C1435" s="9" t="s">
        <v>2981</v>
      </c>
      <c r="D1435" s="9" t="s">
        <v>3188</v>
      </c>
      <c r="E1435" s="9" t="s">
        <v>91</v>
      </c>
      <c r="F1435" s="5"/>
      <c r="G1435" s="5"/>
      <c r="H1435" s="5"/>
      <c r="I1435" s="5"/>
      <c r="J1435" s="5" t="s">
        <v>447</v>
      </c>
      <c r="K1435" s="5">
        <v>5</v>
      </c>
      <c r="L1435" s="5"/>
      <c r="M1435" s="5"/>
      <c r="N1435" s="9" t="s">
        <v>11854</v>
      </c>
      <c r="O1435" s="9" t="s">
        <v>11848</v>
      </c>
      <c r="P1435" s="5">
        <v>2</v>
      </c>
      <c r="Q1435" s="9"/>
      <c r="R1435" s="9" t="s">
        <v>6384</v>
      </c>
      <c r="S1435" s="9" t="str">
        <f>HYPERLINK("https://seichotoushi-hojo.jp/assets/pdf/koufu_3_4ji/outline_199.pdf","PDFを開く")</f>
        <v>PDFを開く</v>
      </c>
      <c r="T1435" s="9" t="s">
        <v>2985</v>
      </c>
      <c r="U1435" s="9" t="s">
        <v>2986</v>
      </c>
    </row>
    <row r="1436" spans="1:21" ht="39.950000000000003" customHeight="1">
      <c r="A1436" s="2" t="s">
        <v>2980</v>
      </c>
      <c r="B1436" s="2" t="s">
        <v>2430</v>
      </c>
      <c r="C1436" s="8" t="s">
        <v>2981</v>
      </c>
      <c r="D1436" s="8" t="s">
        <v>3191</v>
      </c>
      <c r="E1436" s="8" t="s">
        <v>92</v>
      </c>
      <c r="F1436" s="2"/>
      <c r="G1436" s="2">
        <v>340</v>
      </c>
      <c r="H1436" s="2"/>
      <c r="I1436" s="2">
        <v>330</v>
      </c>
      <c r="J1436" s="2" t="s">
        <v>2513</v>
      </c>
      <c r="K1436" s="2"/>
      <c r="L1436" s="2"/>
      <c r="M1436" s="2"/>
      <c r="N1436" s="8" t="s">
        <v>11853</v>
      </c>
      <c r="O1436" s="8"/>
      <c r="P1436" s="2">
        <v>2</v>
      </c>
      <c r="Q1436" s="8"/>
      <c r="R1436" s="8" t="s">
        <v>7091</v>
      </c>
      <c r="S1436" s="8" t="str">
        <f>HYPERLINK("https://seichotoushi-hojo.jp/assets/pdf/koufu_3_4ji/outline_199.pdf","PDFを開く")</f>
        <v>PDFを開く</v>
      </c>
      <c r="T1436" s="8" t="s">
        <v>2985</v>
      </c>
      <c r="U1436" s="8" t="s">
        <v>2986</v>
      </c>
    </row>
    <row r="1437" spans="1:21" ht="39.950000000000003" customHeight="1">
      <c r="A1437" s="5" t="s">
        <v>2987</v>
      </c>
      <c r="B1437" s="5" t="s">
        <v>2430</v>
      </c>
      <c r="C1437" s="9" t="s">
        <v>2988</v>
      </c>
      <c r="D1437" s="9" t="s">
        <v>3176</v>
      </c>
      <c r="E1437" s="9" t="s">
        <v>90</v>
      </c>
      <c r="F1437" s="5">
        <v>2027</v>
      </c>
      <c r="G1437" s="5">
        <v>8512</v>
      </c>
      <c r="H1437" s="5">
        <v>2030</v>
      </c>
      <c r="I1437" s="5">
        <v>12833</v>
      </c>
      <c r="J1437" s="5" t="s">
        <v>447</v>
      </c>
      <c r="K1437" s="5">
        <v>14.7</v>
      </c>
      <c r="L1437" s="5">
        <v>14.6653</v>
      </c>
      <c r="M1437" s="5">
        <v>3.4700000000000002E-2</v>
      </c>
      <c r="N1437" s="9" t="s">
        <v>11846</v>
      </c>
      <c r="O1437" s="9" t="s">
        <v>11847</v>
      </c>
      <c r="P1437" s="5">
        <v>2</v>
      </c>
      <c r="Q1437" s="9"/>
      <c r="R1437" s="9" t="s">
        <v>7095</v>
      </c>
      <c r="S1437" s="9" t="str">
        <f>HYPERLINK("https://seichotoushi-hojo.jp/assets/pdf/koufu_3_4ji/outline_200.pdf","PDFを開く")</f>
        <v>PDFを開く</v>
      </c>
      <c r="T1437" s="9" t="s">
        <v>2993</v>
      </c>
      <c r="U1437" s="9" t="s">
        <v>2994</v>
      </c>
    </row>
    <row r="1438" spans="1:21" ht="39.950000000000003" customHeight="1">
      <c r="A1438" s="2" t="s">
        <v>2987</v>
      </c>
      <c r="B1438" s="2" t="s">
        <v>2430</v>
      </c>
      <c r="C1438" s="8" t="s">
        <v>2988</v>
      </c>
      <c r="D1438" s="8" t="s">
        <v>3184</v>
      </c>
      <c r="E1438" s="8" t="s">
        <v>90</v>
      </c>
      <c r="F1438" s="2">
        <v>2027</v>
      </c>
      <c r="G1438" s="2">
        <v>5629</v>
      </c>
      <c r="H1438" s="2">
        <v>2030</v>
      </c>
      <c r="I1438" s="2">
        <v>6898</v>
      </c>
      <c r="J1438" s="2" t="s">
        <v>447</v>
      </c>
      <c r="K1438" s="2">
        <v>7</v>
      </c>
      <c r="L1438" s="2">
        <v>7.0114999999999998</v>
      </c>
      <c r="M1438" s="2">
        <v>1.15E-2</v>
      </c>
      <c r="N1438" s="8" t="s">
        <v>11846</v>
      </c>
      <c r="O1438" s="8" t="s">
        <v>11847</v>
      </c>
      <c r="P1438" s="2">
        <v>2</v>
      </c>
      <c r="Q1438" s="8"/>
      <c r="R1438" s="8" t="s">
        <v>7098</v>
      </c>
      <c r="S1438" s="8" t="str">
        <f>HYPERLINK("https://seichotoushi-hojo.jp/assets/pdf/koufu_3_4ji/outline_200.pdf","PDFを開く")</f>
        <v>PDFを開く</v>
      </c>
      <c r="T1438" s="8" t="s">
        <v>2993</v>
      </c>
      <c r="U1438" s="8" t="s">
        <v>2994</v>
      </c>
    </row>
    <row r="1439" spans="1:21" ht="39.950000000000003" customHeight="1">
      <c r="A1439" s="5" t="s">
        <v>2987</v>
      </c>
      <c r="B1439" s="5" t="s">
        <v>2430</v>
      </c>
      <c r="C1439" s="9" t="s">
        <v>2988</v>
      </c>
      <c r="D1439" s="9" t="s">
        <v>3188</v>
      </c>
      <c r="E1439" s="9" t="s">
        <v>91</v>
      </c>
      <c r="F1439" s="5">
        <v>2027</v>
      </c>
      <c r="G1439" s="5"/>
      <c r="H1439" s="5">
        <v>2030</v>
      </c>
      <c r="I1439" s="5"/>
      <c r="J1439" s="5" t="s">
        <v>447</v>
      </c>
      <c r="K1439" s="5">
        <v>5</v>
      </c>
      <c r="L1439" s="5"/>
      <c r="M1439" s="5"/>
      <c r="N1439" s="9" t="s">
        <v>11846</v>
      </c>
      <c r="O1439" s="9" t="s">
        <v>11848</v>
      </c>
      <c r="P1439" s="5">
        <v>2</v>
      </c>
      <c r="Q1439" s="9"/>
      <c r="R1439" s="9" t="s">
        <v>6384</v>
      </c>
      <c r="S1439" s="9" t="str">
        <f>HYPERLINK("https://seichotoushi-hojo.jp/assets/pdf/koufu_3_4ji/outline_200.pdf","PDFを開く")</f>
        <v>PDFを開く</v>
      </c>
      <c r="T1439" s="9" t="s">
        <v>2993</v>
      </c>
      <c r="U1439" s="9" t="s">
        <v>2994</v>
      </c>
    </row>
    <row r="1440" spans="1:21" ht="39.950000000000003" customHeight="1">
      <c r="A1440" s="2" t="s">
        <v>2987</v>
      </c>
      <c r="B1440" s="2" t="s">
        <v>2430</v>
      </c>
      <c r="C1440" s="8" t="s">
        <v>2988</v>
      </c>
      <c r="D1440" s="8" t="s">
        <v>3191</v>
      </c>
      <c r="E1440" s="8" t="s">
        <v>92</v>
      </c>
      <c r="F1440" s="2">
        <v>2027</v>
      </c>
      <c r="G1440" s="2">
        <v>150</v>
      </c>
      <c r="H1440" s="2">
        <v>2030</v>
      </c>
      <c r="I1440" s="2">
        <v>212</v>
      </c>
      <c r="J1440" s="2" t="s">
        <v>2513</v>
      </c>
      <c r="K1440" s="2"/>
      <c r="L1440" s="2"/>
      <c r="M1440" s="2"/>
      <c r="N1440" s="8" t="s">
        <v>11846</v>
      </c>
      <c r="O1440" s="8" t="s">
        <v>11847</v>
      </c>
      <c r="P1440" s="2">
        <v>2</v>
      </c>
      <c r="Q1440" s="8"/>
      <c r="R1440" s="8" t="s">
        <v>7101</v>
      </c>
      <c r="S1440" s="8" t="str">
        <f>HYPERLINK("https://seichotoushi-hojo.jp/assets/pdf/koufu_3_4ji/outline_200.pdf","PDFを開く")</f>
        <v>PDFを開く</v>
      </c>
      <c r="T1440" s="8" t="s">
        <v>2993</v>
      </c>
      <c r="U1440" s="8" t="s">
        <v>2994</v>
      </c>
    </row>
    <row r="1441" spans="1:21" ht="39.950000000000003" customHeight="1">
      <c r="A1441" s="5" t="s">
        <v>2995</v>
      </c>
      <c r="B1441" s="5" t="s">
        <v>2430</v>
      </c>
      <c r="C1441" s="9" t="s">
        <v>2996</v>
      </c>
      <c r="D1441" s="9" t="s">
        <v>3176</v>
      </c>
      <c r="E1441" s="9" t="s">
        <v>90</v>
      </c>
      <c r="F1441" s="5">
        <v>2027</v>
      </c>
      <c r="G1441" s="5">
        <v>811</v>
      </c>
      <c r="H1441" s="5">
        <v>2030</v>
      </c>
      <c r="I1441" s="5">
        <v>1608</v>
      </c>
      <c r="J1441" s="5" t="s">
        <v>86</v>
      </c>
      <c r="K1441" s="5">
        <v>25.6</v>
      </c>
      <c r="L1441" s="5">
        <v>25.628599999999999</v>
      </c>
      <c r="M1441" s="5">
        <v>2.86E-2</v>
      </c>
      <c r="N1441" s="9" t="s">
        <v>11846</v>
      </c>
      <c r="O1441" s="9" t="s">
        <v>11847</v>
      </c>
      <c r="P1441" s="5">
        <v>3</v>
      </c>
      <c r="Q1441" s="9"/>
      <c r="R1441" s="9" t="s">
        <v>7105</v>
      </c>
      <c r="S1441" s="9" t="str">
        <f>HYPERLINK("https://seichotoushi-hojo.jp/assets/pdf/koufu_3_4ji/outline_201.pdf","PDFを開く")</f>
        <v>PDFを開く</v>
      </c>
      <c r="T1441" s="9" t="s">
        <v>3000</v>
      </c>
      <c r="U1441" s="9" t="s">
        <v>3001</v>
      </c>
    </row>
    <row r="1442" spans="1:21" ht="39.950000000000003" customHeight="1">
      <c r="A1442" s="2" t="s">
        <v>2995</v>
      </c>
      <c r="B1442" s="2" t="s">
        <v>2430</v>
      </c>
      <c r="C1442" s="8" t="s">
        <v>2996</v>
      </c>
      <c r="D1442" s="8" t="s">
        <v>3184</v>
      </c>
      <c r="E1442" s="8" t="s">
        <v>90</v>
      </c>
      <c r="F1442" s="2">
        <v>2027</v>
      </c>
      <c r="G1442" s="2">
        <v>457</v>
      </c>
      <c r="H1442" s="2">
        <v>2030</v>
      </c>
      <c r="I1442" s="2">
        <v>552</v>
      </c>
      <c r="J1442" s="2" t="s">
        <v>86</v>
      </c>
      <c r="K1442" s="2">
        <v>6.5</v>
      </c>
      <c r="L1442" s="2">
        <v>6.4978999999999996</v>
      </c>
      <c r="M1442" s="2">
        <v>2.0999999999999999E-3</v>
      </c>
      <c r="N1442" s="8" t="s">
        <v>11846</v>
      </c>
      <c r="O1442" s="8" t="s">
        <v>11847</v>
      </c>
      <c r="P1442" s="2">
        <v>3</v>
      </c>
      <c r="Q1442" s="8"/>
      <c r="R1442" s="8" t="s">
        <v>7106</v>
      </c>
      <c r="S1442" s="8" t="str">
        <f>HYPERLINK("https://seichotoushi-hojo.jp/assets/pdf/koufu_3_4ji/outline_201.pdf","PDFを開く")</f>
        <v>PDFを開く</v>
      </c>
      <c r="T1442" s="8" t="s">
        <v>3000</v>
      </c>
      <c r="U1442" s="8" t="s">
        <v>3001</v>
      </c>
    </row>
    <row r="1443" spans="1:21" ht="39.950000000000003" customHeight="1">
      <c r="A1443" s="5" t="s">
        <v>2995</v>
      </c>
      <c r="B1443" s="5" t="s">
        <v>2430</v>
      </c>
      <c r="C1443" s="9" t="s">
        <v>2996</v>
      </c>
      <c r="D1443" s="9" t="s">
        <v>3188</v>
      </c>
      <c r="E1443" s="9" t="s">
        <v>156</v>
      </c>
      <c r="F1443" s="5"/>
      <c r="G1443" s="5"/>
      <c r="H1443" s="5"/>
      <c r="I1443" s="5"/>
      <c r="J1443" s="5"/>
      <c r="K1443" s="5"/>
      <c r="L1443" s="5"/>
      <c r="M1443" s="5"/>
      <c r="N1443" s="9" t="s">
        <v>11850</v>
      </c>
      <c r="O1443" s="9"/>
      <c r="P1443" s="5"/>
      <c r="Q1443" s="9" t="s">
        <v>11851</v>
      </c>
      <c r="R1443" s="9"/>
      <c r="S1443" s="9" t="str">
        <f>HYPERLINK("https://seichotoushi-hojo.jp/assets/pdf/koufu_3_4ji/outline_201.pdf","PDFを開く")</f>
        <v>PDFを開く</v>
      </c>
      <c r="T1443" s="9" t="s">
        <v>3000</v>
      </c>
      <c r="U1443" s="9" t="s">
        <v>3001</v>
      </c>
    </row>
    <row r="1444" spans="1:21" ht="39.950000000000003" customHeight="1">
      <c r="A1444" s="2" t="s">
        <v>2995</v>
      </c>
      <c r="B1444" s="2" t="s">
        <v>2430</v>
      </c>
      <c r="C1444" s="8" t="s">
        <v>2996</v>
      </c>
      <c r="D1444" s="8" t="s">
        <v>3191</v>
      </c>
      <c r="E1444" s="8" t="s">
        <v>92</v>
      </c>
      <c r="F1444" s="2">
        <v>2027</v>
      </c>
      <c r="G1444" s="2">
        <v>205</v>
      </c>
      <c r="H1444" s="2">
        <v>2030</v>
      </c>
      <c r="I1444" s="2">
        <v>227</v>
      </c>
      <c r="J1444" s="2" t="s">
        <v>2513</v>
      </c>
      <c r="K1444" s="2"/>
      <c r="L1444" s="2"/>
      <c r="M1444" s="2"/>
      <c r="N1444" s="8" t="s">
        <v>11846</v>
      </c>
      <c r="O1444" s="8" t="s">
        <v>11847</v>
      </c>
      <c r="P1444" s="2">
        <v>3</v>
      </c>
      <c r="Q1444" s="8"/>
      <c r="R1444" s="8" t="s">
        <v>7108</v>
      </c>
      <c r="S1444" s="8" t="str">
        <f>HYPERLINK("https://seichotoushi-hojo.jp/assets/pdf/koufu_3_4ji/outline_201.pdf","PDFを開く")</f>
        <v>PDFを開く</v>
      </c>
      <c r="T1444" s="8" t="s">
        <v>3000</v>
      </c>
      <c r="U1444" s="8" t="s">
        <v>3001</v>
      </c>
    </row>
    <row r="1445" spans="1:21" ht="39.950000000000003" customHeight="1">
      <c r="A1445" s="5" t="s">
        <v>3002</v>
      </c>
      <c r="B1445" s="5" t="s">
        <v>2430</v>
      </c>
      <c r="C1445" s="9" t="s">
        <v>3003</v>
      </c>
      <c r="D1445" s="9" t="s">
        <v>3176</v>
      </c>
      <c r="E1445" s="9" t="s">
        <v>90</v>
      </c>
      <c r="F1445" s="5"/>
      <c r="G1445" s="5">
        <v>11134</v>
      </c>
      <c r="H1445" s="5"/>
      <c r="I1445" s="5">
        <v>48228</v>
      </c>
      <c r="J1445" s="5" t="s">
        <v>447</v>
      </c>
      <c r="K1445" s="5">
        <v>63</v>
      </c>
      <c r="L1445" s="5">
        <v>63.0107</v>
      </c>
      <c r="M1445" s="5">
        <v>1.0699999999999999E-2</v>
      </c>
      <c r="N1445" s="9" t="s">
        <v>11853</v>
      </c>
      <c r="O1445" s="9"/>
      <c r="P1445" s="5">
        <v>2</v>
      </c>
      <c r="Q1445" s="9"/>
      <c r="R1445" s="9" t="s">
        <v>7110</v>
      </c>
      <c r="S1445" s="9" t="str">
        <f>HYPERLINK("https://seichotoushi-hojo.jp/assets/pdf/koufu_3_4ji/outline_202.pdf","PDFを開く")</f>
        <v>PDFを開く</v>
      </c>
      <c r="T1445" s="9" t="s">
        <v>3008</v>
      </c>
      <c r="U1445" s="9" t="s">
        <v>3009</v>
      </c>
    </row>
    <row r="1446" spans="1:21" ht="39.950000000000003" customHeight="1">
      <c r="A1446" s="2" t="s">
        <v>3002</v>
      </c>
      <c r="B1446" s="2" t="s">
        <v>2430</v>
      </c>
      <c r="C1446" s="8" t="s">
        <v>3003</v>
      </c>
      <c r="D1446" s="8" t="s">
        <v>3184</v>
      </c>
      <c r="E1446" s="8" t="s">
        <v>90</v>
      </c>
      <c r="F1446" s="2"/>
      <c r="G1446" s="2">
        <v>4833</v>
      </c>
      <c r="H1446" s="2"/>
      <c r="I1446" s="2">
        <v>5838</v>
      </c>
      <c r="J1446" s="2" t="s">
        <v>447</v>
      </c>
      <c r="K1446" s="2">
        <v>6.5</v>
      </c>
      <c r="L1446" s="2">
        <v>6.4999000000000002</v>
      </c>
      <c r="M1446" s="2">
        <v>1E-4</v>
      </c>
      <c r="N1446" s="8" t="s">
        <v>11853</v>
      </c>
      <c r="O1446" s="8"/>
      <c r="P1446" s="2">
        <v>2</v>
      </c>
      <c r="Q1446" s="8"/>
      <c r="R1446" s="8" t="s">
        <v>7113</v>
      </c>
      <c r="S1446" s="8" t="str">
        <f>HYPERLINK("https://seichotoushi-hojo.jp/assets/pdf/koufu_3_4ji/outline_202.pdf","PDFを開く")</f>
        <v>PDFを開く</v>
      </c>
      <c r="T1446" s="8" t="s">
        <v>3008</v>
      </c>
      <c r="U1446" s="8" t="s">
        <v>3009</v>
      </c>
    </row>
    <row r="1447" spans="1:21" ht="39.950000000000003" customHeight="1">
      <c r="A1447" s="5" t="s">
        <v>3002</v>
      </c>
      <c r="B1447" s="5" t="s">
        <v>2430</v>
      </c>
      <c r="C1447" s="9" t="s">
        <v>3003</v>
      </c>
      <c r="D1447" s="9" t="s">
        <v>3188</v>
      </c>
      <c r="E1447" s="9" t="s">
        <v>91</v>
      </c>
      <c r="F1447" s="5"/>
      <c r="G1447" s="5"/>
      <c r="H1447" s="5"/>
      <c r="I1447" s="5"/>
      <c r="J1447" s="5" t="s">
        <v>447</v>
      </c>
      <c r="K1447" s="5">
        <v>6.5</v>
      </c>
      <c r="L1447" s="5"/>
      <c r="M1447" s="5"/>
      <c r="N1447" s="9" t="s">
        <v>11854</v>
      </c>
      <c r="O1447" s="9" t="s">
        <v>11848</v>
      </c>
      <c r="P1447" s="5">
        <v>2</v>
      </c>
      <c r="Q1447" s="9"/>
      <c r="R1447" s="9" t="s">
        <v>6330</v>
      </c>
      <c r="S1447" s="9" t="str">
        <f>HYPERLINK("https://seichotoushi-hojo.jp/assets/pdf/koufu_3_4ji/outline_202.pdf","PDFを開く")</f>
        <v>PDFを開く</v>
      </c>
      <c r="T1447" s="9" t="s">
        <v>3008</v>
      </c>
      <c r="U1447" s="9" t="s">
        <v>3009</v>
      </c>
    </row>
    <row r="1448" spans="1:21" ht="39.950000000000003" customHeight="1">
      <c r="A1448" s="2" t="s">
        <v>3002</v>
      </c>
      <c r="B1448" s="2" t="s">
        <v>2430</v>
      </c>
      <c r="C1448" s="8" t="s">
        <v>3003</v>
      </c>
      <c r="D1448" s="8" t="s">
        <v>3191</v>
      </c>
      <c r="E1448" s="8" t="s">
        <v>92</v>
      </c>
      <c r="F1448" s="2"/>
      <c r="G1448" s="2">
        <v>11</v>
      </c>
      <c r="H1448" s="2"/>
      <c r="I1448" s="2">
        <v>23</v>
      </c>
      <c r="J1448" s="2" t="s">
        <v>2513</v>
      </c>
      <c r="K1448" s="2"/>
      <c r="L1448" s="2"/>
      <c r="M1448" s="2"/>
      <c r="N1448" s="8" t="s">
        <v>11853</v>
      </c>
      <c r="O1448" s="8"/>
      <c r="P1448" s="2">
        <v>2</v>
      </c>
      <c r="Q1448" s="8"/>
      <c r="R1448" s="8" t="s">
        <v>7115</v>
      </c>
      <c r="S1448" s="8" t="str">
        <f>HYPERLINK("https://seichotoushi-hojo.jp/assets/pdf/koufu_3_4ji/outline_202.pdf","PDFを開く")</f>
        <v>PDFを開く</v>
      </c>
      <c r="T1448" s="8" t="s">
        <v>3008</v>
      </c>
      <c r="U1448" s="8" t="s">
        <v>3009</v>
      </c>
    </row>
    <row r="1449" spans="1:21" ht="39.950000000000003" customHeight="1">
      <c r="A1449" s="5" t="s">
        <v>3010</v>
      </c>
      <c r="B1449" s="5" t="s">
        <v>2430</v>
      </c>
      <c r="C1449" s="9" t="s">
        <v>3011</v>
      </c>
      <c r="D1449" s="9" t="s">
        <v>3176</v>
      </c>
      <c r="E1449" s="9" t="s">
        <v>90</v>
      </c>
      <c r="F1449" s="5">
        <v>2027</v>
      </c>
      <c r="G1449" s="5">
        <v>1997</v>
      </c>
      <c r="H1449" s="5">
        <v>2030</v>
      </c>
      <c r="I1449" s="5">
        <v>3167</v>
      </c>
      <c r="J1449" s="5" t="s">
        <v>86</v>
      </c>
      <c r="K1449" s="5">
        <v>16.600000000000001</v>
      </c>
      <c r="L1449" s="5">
        <v>16.615600000000001</v>
      </c>
      <c r="M1449" s="5">
        <v>1.5599999999999999E-2</v>
      </c>
      <c r="N1449" s="9" t="s">
        <v>11846</v>
      </c>
      <c r="O1449" s="9" t="s">
        <v>11847</v>
      </c>
      <c r="P1449" s="5">
        <v>2</v>
      </c>
      <c r="Q1449" s="9"/>
      <c r="R1449" s="9" t="s">
        <v>7119</v>
      </c>
      <c r="S1449" s="9" t="str">
        <f>HYPERLINK("https://seichotoushi-hojo.jp/assets/pdf/koufu_3_4ji/outline_204.pdf","PDFを開く")</f>
        <v>PDFを開く</v>
      </c>
      <c r="T1449" s="9" t="s">
        <v>3017</v>
      </c>
      <c r="U1449" s="9" t="s">
        <v>3018</v>
      </c>
    </row>
    <row r="1450" spans="1:21" ht="39.950000000000003" customHeight="1">
      <c r="A1450" s="2" t="s">
        <v>3010</v>
      </c>
      <c r="B1450" s="2" t="s">
        <v>2430</v>
      </c>
      <c r="C1450" s="8" t="s">
        <v>3011</v>
      </c>
      <c r="D1450" s="8" t="s">
        <v>3184</v>
      </c>
      <c r="E1450" s="8" t="s">
        <v>90</v>
      </c>
      <c r="F1450" s="2">
        <v>2027</v>
      </c>
      <c r="G1450" s="2">
        <v>780</v>
      </c>
      <c r="H1450" s="2">
        <v>2030</v>
      </c>
      <c r="I1450" s="2">
        <v>942</v>
      </c>
      <c r="J1450" s="2" t="s">
        <v>86</v>
      </c>
      <c r="K1450" s="2">
        <v>6.5</v>
      </c>
      <c r="L1450" s="2">
        <v>6.4923999999999999</v>
      </c>
      <c r="M1450" s="2">
        <v>7.6E-3</v>
      </c>
      <c r="N1450" s="8" t="s">
        <v>11846</v>
      </c>
      <c r="O1450" s="8" t="s">
        <v>11847</v>
      </c>
      <c r="P1450" s="2">
        <v>2</v>
      </c>
      <c r="Q1450" s="8"/>
      <c r="R1450" s="8" t="s">
        <v>7121</v>
      </c>
      <c r="S1450" s="8" t="str">
        <f>HYPERLINK("https://seichotoushi-hojo.jp/assets/pdf/koufu_3_4ji/outline_204.pdf","PDFを開く")</f>
        <v>PDFを開く</v>
      </c>
      <c r="T1450" s="8" t="s">
        <v>3017</v>
      </c>
      <c r="U1450" s="8" t="s">
        <v>3018</v>
      </c>
    </row>
    <row r="1451" spans="1:21" ht="39.950000000000003" customHeight="1">
      <c r="A1451" s="5" t="s">
        <v>3010</v>
      </c>
      <c r="B1451" s="5" t="s">
        <v>2430</v>
      </c>
      <c r="C1451" s="9" t="s">
        <v>3011</v>
      </c>
      <c r="D1451" s="9" t="s">
        <v>3188</v>
      </c>
      <c r="E1451" s="9" t="s">
        <v>156</v>
      </c>
      <c r="F1451" s="5"/>
      <c r="G1451" s="5"/>
      <c r="H1451" s="5"/>
      <c r="I1451" s="5"/>
      <c r="J1451" s="5"/>
      <c r="K1451" s="5"/>
      <c r="L1451" s="5"/>
      <c r="M1451" s="5"/>
      <c r="N1451" s="9" t="s">
        <v>11850</v>
      </c>
      <c r="O1451" s="9"/>
      <c r="P1451" s="5"/>
      <c r="Q1451" s="9" t="s">
        <v>11851</v>
      </c>
      <c r="R1451" s="9"/>
      <c r="S1451" s="9" t="str">
        <f>HYPERLINK("https://seichotoushi-hojo.jp/assets/pdf/koufu_3_4ji/outline_204.pdf","PDFを開く")</f>
        <v>PDFを開く</v>
      </c>
      <c r="T1451" s="9" t="s">
        <v>3017</v>
      </c>
      <c r="U1451" s="9" t="s">
        <v>3018</v>
      </c>
    </row>
    <row r="1452" spans="1:21" ht="39.950000000000003" customHeight="1">
      <c r="A1452" s="2" t="s">
        <v>3010</v>
      </c>
      <c r="B1452" s="2" t="s">
        <v>2430</v>
      </c>
      <c r="C1452" s="8" t="s">
        <v>3011</v>
      </c>
      <c r="D1452" s="8" t="s">
        <v>3191</v>
      </c>
      <c r="E1452" s="8" t="s">
        <v>92</v>
      </c>
      <c r="F1452" s="2">
        <v>2027</v>
      </c>
      <c r="G1452" s="2">
        <v>801</v>
      </c>
      <c r="H1452" s="2">
        <v>2030</v>
      </c>
      <c r="I1452" s="2">
        <v>890</v>
      </c>
      <c r="J1452" s="2" t="s">
        <v>2513</v>
      </c>
      <c r="K1452" s="2"/>
      <c r="L1452" s="2"/>
      <c r="M1452" s="2"/>
      <c r="N1452" s="8" t="s">
        <v>11846</v>
      </c>
      <c r="O1452" s="8" t="s">
        <v>11847</v>
      </c>
      <c r="P1452" s="2">
        <v>2</v>
      </c>
      <c r="Q1452" s="8"/>
      <c r="R1452" s="8" t="s">
        <v>7124</v>
      </c>
      <c r="S1452" s="8" t="str">
        <f>HYPERLINK("https://seichotoushi-hojo.jp/assets/pdf/koufu_3_4ji/outline_204.pdf","PDFを開く")</f>
        <v>PDFを開く</v>
      </c>
      <c r="T1452" s="8" t="s">
        <v>3017</v>
      </c>
      <c r="U1452" s="8" t="s">
        <v>3018</v>
      </c>
    </row>
    <row r="1453" spans="1:21" ht="39.950000000000003" customHeight="1">
      <c r="A1453" s="5" t="s">
        <v>3019</v>
      </c>
      <c r="B1453" s="5" t="s">
        <v>2430</v>
      </c>
      <c r="C1453" s="9" t="s">
        <v>3020</v>
      </c>
      <c r="D1453" s="9" t="s">
        <v>3176</v>
      </c>
      <c r="E1453" s="9" t="s">
        <v>90</v>
      </c>
      <c r="F1453" s="5"/>
      <c r="G1453" s="5">
        <v>9529</v>
      </c>
      <c r="H1453" s="5"/>
      <c r="I1453" s="5">
        <v>19550</v>
      </c>
      <c r="J1453" s="5" t="s">
        <v>447</v>
      </c>
      <c r="K1453" s="5">
        <v>27.1</v>
      </c>
      <c r="L1453" s="5">
        <v>27.0671</v>
      </c>
      <c r="M1453" s="5">
        <v>3.2899999999999999E-2</v>
      </c>
      <c r="N1453" s="9" t="s">
        <v>11853</v>
      </c>
      <c r="O1453" s="9"/>
      <c r="P1453" s="5">
        <v>2</v>
      </c>
      <c r="Q1453" s="9"/>
      <c r="R1453" s="9" t="s">
        <v>7127</v>
      </c>
      <c r="S1453" s="9" t="str">
        <f>HYPERLINK("https://seichotoushi-hojo.jp/assets/pdf/koufu_3_4ji/outline_206.pdf","PDFを開く")</f>
        <v>PDFを開く</v>
      </c>
      <c r="T1453" s="9" t="s">
        <v>3024</v>
      </c>
      <c r="U1453" s="9" t="s">
        <v>3025</v>
      </c>
    </row>
    <row r="1454" spans="1:21" ht="39.950000000000003" customHeight="1">
      <c r="A1454" s="2" t="s">
        <v>3019</v>
      </c>
      <c r="B1454" s="2" t="s">
        <v>2430</v>
      </c>
      <c r="C1454" s="8" t="s">
        <v>3020</v>
      </c>
      <c r="D1454" s="8" t="s">
        <v>3184</v>
      </c>
      <c r="E1454" s="8" t="s">
        <v>90</v>
      </c>
      <c r="F1454" s="2"/>
      <c r="G1454" s="2">
        <v>3873</v>
      </c>
      <c r="H1454" s="2"/>
      <c r="I1454" s="2">
        <v>4687</v>
      </c>
      <c r="J1454" s="2" t="s">
        <v>447</v>
      </c>
      <c r="K1454" s="2">
        <v>6.6</v>
      </c>
      <c r="L1454" s="2">
        <v>6.5652999999999997</v>
      </c>
      <c r="M1454" s="2">
        <v>3.4700000000000002E-2</v>
      </c>
      <c r="N1454" s="8" t="s">
        <v>11853</v>
      </c>
      <c r="O1454" s="8"/>
      <c r="P1454" s="2">
        <v>2</v>
      </c>
      <c r="Q1454" s="8"/>
      <c r="R1454" s="8" t="s">
        <v>7130</v>
      </c>
      <c r="S1454" s="8" t="str">
        <f>HYPERLINK("https://seichotoushi-hojo.jp/assets/pdf/koufu_3_4ji/outline_206.pdf","PDFを開く")</f>
        <v>PDFを開く</v>
      </c>
      <c r="T1454" s="8" t="s">
        <v>3024</v>
      </c>
      <c r="U1454" s="8" t="s">
        <v>3025</v>
      </c>
    </row>
    <row r="1455" spans="1:21" ht="39.950000000000003" customHeight="1">
      <c r="A1455" s="5" t="s">
        <v>3019</v>
      </c>
      <c r="B1455" s="5" t="s">
        <v>2430</v>
      </c>
      <c r="C1455" s="9" t="s">
        <v>3020</v>
      </c>
      <c r="D1455" s="9" t="s">
        <v>3188</v>
      </c>
      <c r="E1455" s="9" t="s">
        <v>156</v>
      </c>
      <c r="F1455" s="5"/>
      <c r="G1455" s="5"/>
      <c r="H1455" s="5"/>
      <c r="I1455" s="5"/>
      <c r="J1455" s="5"/>
      <c r="K1455" s="5"/>
      <c r="L1455" s="5"/>
      <c r="M1455" s="5"/>
      <c r="N1455" s="9" t="s">
        <v>11850</v>
      </c>
      <c r="O1455" s="9"/>
      <c r="P1455" s="5"/>
      <c r="Q1455" s="9" t="s">
        <v>11851</v>
      </c>
      <c r="R1455" s="9"/>
      <c r="S1455" s="9" t="str">
        <f>HYPERLINK("https://seichotoushi-hojo.jp/assets/pdf/koufu_3_4ji/outline_206.pdf","PDFを開く")</f>
        <v>PDFを開く</v>
      </c>
      <c r="T1455" s="9" t="s">
        <v>3024</v>
      </c>
      <c r="U1455" s="9" t="s">
        <v>3025</v>
      </c>
    </row>
    <row r="1456" spans="1:21" ht="39.950000000000003" customHeight="1">
      <c r="A1456" s="2" t="s">
        <v>3019</v>
      </c>
      <c r="B1456" s="2" t="s">
        <v>2430</v>
      </c>
      <c r="C1456" s="8" t="s">
        <v>3020</v>
      </c>
      <c r="D1456" s="8" t="s">
        <v>3191</v>
      </c>
      <c r="E1456" s="8" t="s">
        <v>92</v>
      </c>
      <c r="F1456" s="2"/>
      <c r="G1456" s="2">
        <v>54</v>
      </c>
      <c r="H1456" s="2"/>
      <c r="I1456" s="2">
        <v>31</v>
      </c>
      <c r="J1456" s="2" t="s">
        <v>2513</v>
      </c>
      <c r="K1456" s="2"/>
      <c r="L1456" s="2"/>
      <c r="M1456" s="2"/>
      <c r="N1456" s="8" t="s">
        <v>11853</v>
      </c>
      <c r="O1456" s="8"/>
      <c r="P1456" s="2">
        <v>2</v>
      </c>
      <c r="Q1456" s="8"/>
      <c r="R1456" s="8" t="s">
        <v>7133</v>
      </c>
      <c r="S1456" s="8" t="str">
        <f>HYPERLINK("https://seichotoushi-hojo.jp/assets/pdf/koufu_3_4ji/outline_206.pdf","PDFを開く")</f>
        <v>PDFを開く</v>
      </c>
      <c r="T1456" s="8" t="s">
        <v>3024</v>
      </c>
      <c r="U1456" s="8" t="s">
        <v>3025</v>
      </c>
    </row>
    <row r="1457" spans="1:21" ht="39.950000000000003" customHeight="1">
      <c r="A1457" s="5" t="s">
        <v>3026</v>
      </c>
      <c r="B1457" s="5" t="s">
        <v>2430</v>
      </c>
      <c r="C1457" s="9" t="s">
        <v>3027</v>
      </c>
      <c r="D1457" s="9" t="s">
        <v>3176</v>
      </c>
      <c r="E1457" s="9" t="s">
        <v>90</v>
      </c>
      <c r="F1457" s="5"/>
      <c r="G1457" s="5">
        <v>8985</v>
      </c>
      <c r="H1457" s="5"/>
      <c r="I1457" s="5">
        <v>17343</v>
      </c>
      <c r="J1457" s="5" t="s">
        <v>447</v>
      </c>
      <c r="K1457" s="5">
        <v>24.5</v>
      </c>
      <c r="L1457" s="5">
        <v>24.509399999999999</v>
      </c>
      <c r="M1457" s="5">
        <v>9.4000000000000004E-3</v>
      </c>
      <c r="N1457" s="9" t="s">
        <v>11853</v>
      </c>
      <c r="O1457" s="9"/>
      <c r="P1457" s="5">
        <v>2</v>
      </c>
      <c r="Q1457" s="9"/>
      <c r="R1457" s="9" t="s">
        <v>7135</v>
      </c>
      <c r="S1457" s="9" t="str">
        <f>HYPERLINK("https://seichotoushi-hojo.jp/assets/pdf/koufu_3_4ji/outline_207.pdf","PDFを開く")</f>
        <v>PDFを開く</v>
      </c>
      <c r="T1457" s="9" t="s">
        <v>3032</v>
      </c>
      <c r="U1457" s="9" t="s">
        <v>3033</v>
      </c>
    </row>
    <row r="1458" spans="1:21" ht="39.950000000000003" customHeight="1">
      <c r="A1458" s="2" t="s">
        <v>3026</v>
      </c>
      <c r="B1458" s="2" t="s">
        <v>2430</v>
      </c>
      <c r="C1458" s="8" t="s">
        <v>3027</v>
      </c>
      <c r="D1458" s="8" t="s">
        <v>3184</v>
      </c>
      <c r="E1458" s="8" t="s">
        <v>90</v>
      </c>
      <c r="F1458" s="2"/>
      <c r="G1458" s="2">
        <v>6130</v>
      </c>
      <c r="H1458" s="2"/>
      <c r="I1458" s="2">
        <v>7342</v>
      </c>
      <c r="J1458" s="2" t="s">
        <v>447</v>
      </c>
      <c r="K1458" s="2">
        <v>6.2</v>
      </c>
      <c r="L1458" s="2">
        <v>6.1984000000000004</v>
      </c>
      <c r="M1458" s="2">
        <v>1.6000000000000001E-3</v>
      </c>
      <c r="N1458" s="8" t="s">
        <v>11853</v>
      </c>
      <c r="O1458" s="8"/>
      <c r="P1458" s="2">
        <v>2</v>
      </c>
      <c r="Q1458" s="8"/>
      <c r="R1458" s="8" t="s">
        <v>7138</v>
      </c>
      <c r="S1458" s="8" t="str">
        <f>HYPERLINK("https://seichotoushi-hojo.jp/assets/pdf/koufu_3_4ji/outline_207.pdf","PDFを開く")</f>
        <v>PDFを開く</v>
      </c>
      <c r="T1458" s="8" t="s">
        <v>3032</v>
      </c>
      <c r="U1458" s="8" t="s">
        <v>3033</v>
      </c>
    </row>
    <row r="1459" spans="1:21" ht="39.950000000000003" customHeight="1">
      <c r="A1459" s="5" t="s">
        <v>3026</v>
      </c>
      <c r="B1459" s="5" t="s">
        <v>2430</v>
      </c>
      <c r="C1459" s="9" t="s">
        <v>3027</v>
      </c>
      <c r="D1459" s="9" t="s">
        <v>3188</v>
      </c>
      <c r="E1459" s="9" t="s">
        <v>90</v>
      </c>
      <c r="F1459" s="5"/>
      <c r="G1459" s="5">
        <v>11143</v>
      </c>
      <c r="H1459" s="5"/>
      <c r="I1459" s="5">
        <v>12899</v>
      </c>
      <c r="J1459" s="5" t="s">
        <v>447</v>
      </c>
      <c r="K1459" s="5">
        <v>5</v>
      </c>
      <c r="L1459" s="5">
        <v>4.9988999999999999</v>
      </c>
      <c r="M1459" s="5">
        <v>1.1000000000000001E-3</v>
      </c>
      <c r="N1459" s="9" t="s">
        <v>11853</v>
      </c>
      <c r="O1459" s="9"/>
      <c r="P1459" s="5">
        <v>2</v>
      </c>
      <c r="Q1459" s="9"/>
      <c r="R1459" s="9" t="s">
        <v>7141</v>
      </c>
      <c r="S1459" s="9" t="str">
        <f>HYPERLINK("https://seichotoushi-hojo.jp/assets/pdf/koufu_3_4ji/outline_207.pdf","PDFを開く")</f>
        <v>PDFを開く</v>
      </c>
      <c r="T1459" s="9" t="s">
        <v>3032</v>
      </c>
      <c r="U1459" s="9" t="s">
        <v>3033</v>
      </c>
    </row>
    <row r="1460" spans="1:21" ht="39.950000000000003" customHeight="1">
      <c r="A1460" s="2" t="s">
        <v>3026</v>
      </c>
      <c r="B1460" s="2" t="s">
        <v>2430</v>
      </c>
      <c r="C1460" s="8" t="s">
        <v>3027</v>
      </c>
      <c r="D1460" s="8" t="s">
        <v>3191</v>
      </c>
      <c r="E1460" s="8" t="s">
        <v>92</v>
      </c>
      <c r="F1460" s="2"/>
      <c r="G1460" s="2">
        <v>280</v>
      </c>
      <c r="H1460" s="2"/>
      <c r="I1460" s="2">
        <v>300</v>
      </c>
      <c r="J1460" s="2" t="s">
        <v>2513</v>
      </c>
      <c r="K1460" s="2"/>
      <c r="L1460" s="2"/>
      <c r="M1460" s="2"/>
      <c r="N1460" s="8" t="s">
        <v>11853</v>
      </c>
      <c r="O1460" s="8"/>
      <c r="P1460" s="2">
        <v>2</v>
      </c>
      <c r="Q1460" s="8"/>
      <c r="R1460" s="8" t="s">
        <v>7143</v>
      </c>
      <c r="S1460" s="8" t="str">
        <f>HYPERLINK("https://seichotoushi-hojo.jp/assets/pdf/koufu_3_4ji/outline_207.pdf","PDFを開く")</f>
        <v>PDFを開く</v>
      </c>
      <c r="T1460" s="8" t="s">
        <v>3032</v>
      </c>
      <c r="U1460" s="8" t="s">
        <v>3033</v>
      </c>
    </row>
    <row r="1461" spans="1:21" ht="39.950000000000003" customHeight="1">
      <c r="A1461" s="5" t="s">
        <v>3034</v>
      </c>
      <c r="B1461" s="5" t="s">
        <v>2430</v>
      </c>
      <c r="C1461" s="9" t="s">
        <v>3035</v>
      </c>
      <c r="D1461" s="9" t="s">
        <v>3176</v>
      </c>
      <c r="E1461" s="9" t="s">
        <v>90</v>
      </c>
      <c r="F1461" s="5"/>
      <c r="G1461" s="5">
        <v>9331</v>
      </c>
      <c r="H1461" s="5"/>
      <c r="I1461" s="5">
        <v>23183</v>
      </c>
      <c r="J1461" s="5" t="s">
        <v>447</v>
      </c>
      <c r="K1461" s="5">
        <v>35.4</v>
      </c>
      <c r="L1461" s="5">
        <v>35.440100000000001</v>
      </c>
      <c r="M1461" s="5">
        <v>4.0099999999999997E-2</v>
      </c>
      <c r="N1461" s="9" t="s">
        <v>11853</v>
      </c>
      <c r="O1461" s="9"/>
      <c r="P1461" s="5">
        <v>2</v>
      </c>
      <c r="Q1461" s="9"/>
      <c r="R1461" s="9" t="s">
        <v>7146</v>
      </c>
      <c r="S1461" s="9" t="str">
        <f>HYPERLINK("https://seichotoushi-hojo.jp/assets/pdf/koufu_3_4ji/outline_208.pdf","PDFを開く")</f>
        <v>PDFを開く</v>
      </c>
      <c r="T1461" s="9" t="s">
        <v>3039</v>
      </c>
      <c r="U1461" s="9" t="s">
        <v>3040</v>
      </c>
    </row>
    <row r="1462" spans="1:21" ht="39.950000000000003" customHeight="1">
      <c r="A1462" s="2" t="s">
        <v>3034</v>
      </c>
      <c r="B1462" s="2" t="s">
        <v>2430</v>
      </c>
      <c r="C1462" s="8" t="s">
        <v>3035</v>
      </c>
      <c r="D1462" s="8" t="s">
        <v>3184</v>
      </c>
      <c r="E1462" s="8" t="s">
        <v>90</v>
      </c>
      <c r="F1462" s="2"/>
      <c r="G1462" s="2">
        <v>4581</v>
      </c>
      <c r="H1462" s="2"/>
      <c r="I1462" s="2">
        <v>5611</v>
      </c>
      <c r="J1462" s="2" t="s">
        <v>447</v>
      </c>
      <c r="K1462" s="2">
        <v>7</v>
      </c>
      <c r="L1462" s="2">
        <v>6.9941000000000004</v>
      </c>
      <c r="M1462" s="2">
        <v>5.8999999999999999E-3</v>
      </c>
      <c r="N1462" s="8" t="s">
        <v>11853</v>
      </c>
      <c r="O1462" s="8"/>
      <c r="P1462" s="2">
        <v>2</v>
      </c>
      <c r="Q1462" s="8"/>
      <c r="R1462" s="8" t="s">
        <v>7149</v>
      </c>
      <c r="S1462" s="8" t="str">
        <f>HYPERLINK("https://seichotoushi-hojo.jp/assets/pdf/koufu_3_4ji/outline_208.pdf","PDFを開く")</f>
        <v>PDFを開く</v>
      </c>
      <c r="T1462" s="8" t="s">
        <v>3039</v>
      </c>
      <c r="U1462" s="8" t="s">
        <v>3040</v>
      </c>
    </row>
    <row r="1463" spans="1:21" ht="39.950000000000003" customHeight="1">
      <c r="A1463" s="5" t="s">
        <v>3034</v>
      </c>
      <c r="B1463" s="5" t="s">
        <v>2430</v>
      </c>
      <c r="C1463" s="9" t="s">
        <v>3035</v>
      </c>
      <c r="D1463" s="9" t="s">
        <v>3188</v>
      </c>
      <c r="E1463" s="9" t="s">
        <v>157</v>
      </c>
      <c r="F1463" s="5"/>
      <c r="G1463" s="5"/>
      <c r="H1463" s="5"/>
      <c r="I1463" s="5"/>
      <c r="J1463" s="5"/>
      <c r="K1463" s="5"/>
      <c r="L1463" s="5"/>
      <c r="M1463" s="5"/>
      <c r="N1463" s="9" t="s">
        <v>11850</v>
      </c>
      <c r="O1463" s="9"/>
      <c r="P1463" s="5"/>
      <c r="Q1463" s="9" t="s">
        <v>11851</v>
      </c>
      <c r="R1463" s="9"/>
      <c r="S1463" s="9" t="str">
        <f>HYPERLINK("https://seichotoushi-hojo.jp/assets/pdf/koufu_3_4ji/outline_208.pdf","PDFを開く")</f>
        <v>PDFを開く</v>
      </c>
      <c r="T1463" s="9" t="s">
        <v>3039</v>
      </c>
      <c r="U1463" s="9" t="s">
        <v>3040</v>
      </c>
    </row>
    <row r="1464" spans="1:21" ht="39.950000000000003" customHeight="1">
      <c r="A1464" s="2" t="s">
        <v>3034</v>
      </c>
      <c r="B1464" s="2" t="s">
        <v>2430</v>
      </c>
      <c r="C1464" s="8" t="s">
        <v>3035</v>
      </c>
      <c r="D1464" s="8" t="s">
        <v>3191</v>
      </c>
      <c r="E1464" s="8" t="s">
        <v>92</v>
      </c>
      <c r="F1464" s="2"/>
      <c r="G1464" s="2">
        <v>91</v>
      </c>
      <c r="H1464" s="2"/>
      <c r="I1464" s="2">
        <v>118</v>
      </c>
      <c r="J1464" s="2" t="s">
        <v>2513</v>
      </c>
      <c r="K1464" s="2"/>
      <c r="L1464" s="2"/>
      <c r="M1464" s="2"/>
      <c r="N1464" s="8" t="s">
        <v>11853</v>
      </c>
      <c r="O1464" s="8"/>
      <c r="P1464" s="2">
        <v>2</v>
      </c>
      <c r="Q1464" s="8"/>
      <c r="R1464" s="8" t="s">
        <v>7152</v>
      </c>
      <c r="S1464" s="8" t="str">
        <f>HYPERLINK("https://seichotoushi-hojo.jp/assets/pdf/koufu_3_4ji/outline_208.pdf","PDFを開く")</f>
        <v>PDFを開く</v>
      </c>
      <c r="T1464" s="8" t="s">
        <v>3039</v>
      </c>
      <c r="U1464" s="8" t="s">
        <v>3040</v>
      </c>
    </row>
    <row r="1465" spans="1:21" ht="39.950000000000003" customHeight="1">
      <c r="A1465" s="5" t="s">
        <v>3041</v>
      </c>
      <c r="B1465" s="5" t="s">
        <v>2430</v>
      </c>
      <c r="C1465" s="9" t="s">
        <v>3042</v>
      </c>
      <c r="D1465" s="9" t="s">
        <v>3176</v>
      </c>
      <c r="E1465" s="9" t="s">
        <v>90</v>
      </c>
      <c r="F1465" s="5"/>
      <c r="G1465" s="5">
        <v>4733</v>
      </c>
      <c r="H1465" s="5"/>
      <c r="I1465" s="5">
        <v>8839</v>
      </c>
      <c r="J1465" s="5" t="s">
        <v>447</v>
      </c>
      <c r="K1465" s="5">
        <v>23.1</v>
      </c>
      <c r="L1465" s="5">
        <v>23.1465</v>
      </c>
      <c r="M1465" s="5">
        <v>4.65E-2</v>
      </c>
      <c r="N1465" s="9" t="s">
        <v>11853</v>
      </c>
      <c r="O1465" s="9"/>
      <c r="P1465" s="5">
        <v>2</v>
      </c>
      <c r="Q1465" s="9"/>
      <c r="R1465" s="9" t="s">
        <v>7154</v>
      </c>
      <c r="S1465" s="9" t="str">
        <f>HYPERLINK("https://seichotoushi-hojo.jp/assets/pdf/koufu_3_4ji/outline_210.pdf","PDFを開く")</f>
        <v>PDFを開く</v>
      </c>
      <c r="T1465" s="9" t="s">
        <v>3047</v>
      </c>
      <c r="U1465" s="9" t="s">
        <v>3048</v>
      </c>
    </row>
    <row r="1466" spans="1:21" ht="39.950000000000003" customHeight="1">
      <c r="A1466" s="2" t="s">
        <v>3041</v>
      </c>
      <c r="B1466" s="2" t="s">
        <v>2430</v>
      </c>
      <c r="C1466" s="8" t="s">
        <v>3042</v>
      </c>
      <c r="D1466" s="8" t="s">
        <v>3184</v>
      </c>
      <c r="E1466" s="8" t="s">
        <v>90</v>
      </c>
      <c r="F1466" s="2"/>
      <c r="G1466" s="2">
        <v>4402</v>
      </c>
      <c r="H1466" s="2"/>
      <c r="I1466" s="2">
        <v>5318</v>
      </c>
      <c r="J1466" s="2" t="s">
        <v>447</v>
      </c>
      <c r="K1466" s="2">
        <v>6.5</v>
      </c>
      <c r="L1466" s="2">
        <v>6.5039999999999996</v>
      </c>
      <c r="M1466" s="2">
        <v>4.0000000000000001E-3</v>
      </c>
      <c r="N1466" s="8" t="s">
        <v>11853</v>
      </c>
      <c r="O1466" s="8"/>
      <c r="P1466" s="2">
        <v>2</v>
      </c>
      <c r="Q1466" s="8"/>
      <c r="R1466" s="8" t="s">
        <v>7157</v>
      </c>
      <c r="S1466" s="8" t="str">
        <f>HYPERLINK("https://seichotoushi-hojo.jp/assets/pdf/koufu_3_4ji/outline_210.pdf","PDFを開く")</f>
        <v>PDFを開く</v>
      </c>
      <c r="T1466" s="8" t="s">
        <v>3047</v>
      </c>
      <c r="U1466" s="8" t="s">
        <v>3048</v>
      </c>
    </row>
    <row r="1467" spans="1:21" ht="39.950000000000003" customHeight="1">
      <c r="A1467" s="5" t="s">
        <v>3041</v>
      </c>
      <c r="B1467" s="5" t="s">
        <v>2430</v>
      </c>
      <c r="C1467" s="9" t="s">
        <v>3042</v>
      </c>
      <c r="D1467" s="9" t="s">
        <v>3188</v>
      </c>
      <c r="E1467" s="9" t="s">
        <v>91</v>
      </c>
      <c r="F1467" s="5"/>
      <c r="G1467" s="5"/>
      <c r="H1467" s="5"/>
      <c r="I1467" s="5"/>
      <c r="J1467" s="5" t="s">
        <v>447</v>
      </c>
      <c r="K1467" s="5">
        <v>5</v>
      </c>
      <c r="L1467" s="5"/>
      <c r="M1467" s="5"/>
      <c r="N1467" s="9" t="s">
        <v>11854</v>
      </c>
      <c r="O1467" s="9" t="s">
        <v>11848</v>
      </c>
      <c r="P1467" s="5">
        <v>2</v>
      </c>
      <c r="Q1467" s="9"/>
      <c r="R1467" s="9" t="s">
        <v>6384</v>
      </c>
      <c r="S1467" s="9" t="str">
        <f>HYPERLINK("https://seichotoushi-hojo.jp/assets/pdf/koufu_3_4ji/outline_210.pdf","PDFを開く")</f>
        <v>PDFを開く</v>
      </c>
      <c r="T1467" s="9" t="s">
        <v>3047</v>
      </c>
      <c r="U1467" s="9" t="s">
        <v>3048</v>
      </c>
    </row>
    <row r="1468" spans="1:21" ht="39.950000000000003" customHeight="1">
      <c r="A1468" s="2" t="s">
        <v>3041</v>
      </c>
      <c r="B1468" s="2" t="s">
        <v>2430</v>
      </c>
      <c r="C1468" s="8" t="s">
        <v>3042</v>
      </c>
      <c r="D1468" s="8" t="s">
        <v>3191</v>
      </c>
      <c r="E1468" s="8" t="s">
        <v>92</v>
      </c>
      <c r="F1468" s="2"/>
      <c r="G1468" s="2">
        <v>114</v>
      </c>
      <c r="H1468" s="2"/>
      <c r="I1468" s="2">
        <v>128</v>
      </c>
      <c r="J1468" s="2" t="s">
        <v>2513</v>
      </c>
      <c r="K1468" s="2"/>
      <c r="L1468" s="2"/>
      <c r="M1468" s="2"/>
      <c r="N1468" s="8" t="s">
        <v>11853</v>
      </c>
      <c r="O1468" s="8"/>
      <c r="P1468" s="2">
        <v>2</v>
      </c>
      <c r="Q1468" s="8"/>
      <c r="R1468" s="8" t="s">
        <v>7159</v>
      </c>
      <c r="S1468" s="8" t="str">
        <f>HYPERLINK("https://seichotoushi-hojo.jp/assets/pdf/koufu_3_4ji/outline_210.pdf","PDFを開く")</f>
        <v>PDFを開く</v>
      </c>
      <c r="T1468" s="8" t="s">
        <v>3047</v>
      </c>
      <c r="U1468" s="8" t="s">
        <v>3048</v>
      </c>
    </row>
    <row r="1469" spans="1:21" ht="39.950000000000003" customHeight="1">
      <c r="A1469" s="5" t="s">
        <v>3049</v>
      </c>
      <c r="B1469" s="5" t="s">
        <v>2430</v>
      </c>
      <c r="C1469" s="9" t="s">
        <v>3050</v>
      </c>
      <c r="D1469" s="9" t="s">
        <v>3176</v>
      </c>
      <c r="E1469" s="9" t="s">
        <v>90</v>
      </c>
      <c r="F1469" s="5">
        <v>2028</v>
      </c>
      <c r="G1469" s="5">
        <v>3059</v>
      </c>
      <c r="H1469" s="5">
        <v>2031</v>
      </c>
      <c r="I1469" s="5">
        <v>3736</v>
      </c>
      <c r="J1469" s="5" t="s">
        <v>86</v>
      </c>
      <c r="K1469" s="5">
        <v>6.9</v>
      </c>
      <c r="L1469" s="5">
        <v>6.8913000000000002</v>
      </c>
      <c r="M1469" s="5">
        <v>8.6999999999999994E-3</v>
      </c>
      <c r="N1469" s="9" t="s">
        <v>11846</v>
      </c>
      <c r="O1469" s="9" t="s">
        <v>11847</v>
      </c>
      <c r="P1469" s="5">
        <v>2</v>
      </c>
      <c r="Q1469" s="9"/>
      <c r="R1469" s="9" t="s">
        <v>7162</v>
      </c>
      <c r="S1469" s="9" t="str">
        <f>HYPERLINK("https://seichotoushi-hojo.jp/assets/pdf/koufu_3_4ji/outline_211.pdf","PDFを開く")</f>
        <v>PDFを開く</v>
      </c>
      <c r="T1469" s="9" t="s">
        <v>3055</v>
      </c>
      <c r="U1469" s="9" t="s">
        <v>3056</v>
      </c>
    </row>
    <row r="1470" spans="1:21" ht="39.950000000000003" customHeight="1">
      <c r="A1470" s="2" t="s">
        <v>3049</v>
      </c>
      <c r="B1470" s="2" t="s">
        <v>2430</v>
      </c>
      <c r="C1470" s="8" t="s">
        <v>3050</v>
      </c>
      <c r="D1470" s="8" t="s">
        <v>3184</v>
      </c>
      <c r="E1470" s="8" t="s">
        <v>90</v>
      </c>
      <c r="F1470" s="2">
        <v>2028</v>
      </c>
      <c r="G1470" s="2">
        <v>652</v>
      </c>
      <c r="H1470" s="2">
        <v>2031</v>
      </c>
      <c r="I1470" s="2">
        <v>787</v>
      </c>
      <c r="J1470" s="2" t="s">
        <v>86</v>
      </c>
      <c r="K1470" s="2">
        <v>6.5</v>
      </c>
      <c r="L1470" s="2">
        <v>6.4737</v>
      </c>
      <c r="M1470" s="2">
        <v>2.63E-2</v>
      </c>
      <c r="N1470" s="8" t="s">
        <v>11846</v>
      </c>
      <c r="O1470" s="8" t="s">
        <v>11847</v>
      </c>
      <c r="P1470" s="2">
        <v>2</v>
      </c>
      <c r="Q1470" s="8"/>
      <c r="R1470" s="8" t="s">
        <v>7165</v>
      </c>
      <c r="S1470" s="8" t="str">
        <f>HYPERLINK("https://seichotoushi-hojo.jp/assets/pdf/koufu_3_4ji/outline_211.pdf","PDFを開く")</f>
        <v>PDFを開く</v>
      </c>
      <c r="T1470" s="8" t="s">
        <v>3055</v>
      </c>
      <c r="U1470" s="8" t="s">
        <v>3056</v>
      </c>
    </row>
    <row r="1471" spans="1:21" ht="39.950000000000003" customHeight="1">
      <c r="A1471" s="5" t="s">
        <v>3049</v>
      </c>
      <c r="B1471" s="5" t="s">
        <v>2430</v>
      </c>
      <c r="C1471" s="9" t="s">
        <v>3050</v>
      </c>
      <c r="D1471" s="9" t="s">
        <v>3188</v>
      </c>
      <c r="E1471" s="9" t="s">
        <v>91</v>
      </c>
      <c r="F1471" s="5">
        <v>2028</v>
      </c>
      <c r="G1471" s="5"/>
      <c r="H1471" s="5">
        <v>2031</v>
      </c>
      <c r="I1471" s="5"/>
      <c r="J1471" s="5" t="s">
        <v>86</v>
      </c>
      <c r="K1471" s="5">
        <v>6.5</v>
      </c>
      <c r="L1471" s="5"/>
      <c r="M1471" s="5"/>
      <c r="N1471" s="9" t="s">
        <v>11846</v>
      </c>
      <c r="O1471" s="9" t="s">
        <v>11848</v>
      </c>
      <c r="P1471" s="5">
        <v>2</v>
      </c>
      <c r="Q1471" s="9"/>
      <c r="R1471" s="9" t="s">
        <v>5445</v>
      </c>
      <c r="S1471" s="9" t="str">
        <f>HYPERLINK("https://seichotoushi-hojo.jp/assets/pdf/koufu_3_4ji/outline_211.pdf","PDFを開く")</f>
        <v>PDFを開く</v>
      </c>
      <c r="T1471" s="9" t="s">
        <v>3055</v>
      </c>
      <c r="U1471" s="9" t="s">
        <v>3056</v>
      </c>
    </row>
    <row r="1472" spans="1:21" ht="39.950000000000003" customHeight="1">
      <c r="A1472" s="2" t="s">
        <v>3049</v>
      </c>
      <c r="B1472" s="2" t="s">
        <v>2430</v>
      </c>
      <c r="C1472" s="8" t="s">
        <v>3050</v>
      </c>
      <c r="D1472" s="8" t="s">
        <v>3191</v>
      </c>
      <c r="E1472" s="8" t="s">
        <v>92</v>
      </c>
      <c r="F1472" s="2">
        <v>2028</v>
      </c>
      <c r="G1472" s="2">
        <v>548</v>
      </c>
      <c r="H1472" s="2">
        <v>2031</v>
      </c>
      <c r="I1472" s="2">
        <v>542</v>
      </c>
      <c r="J1472" s="2" t="s">
        <v>2513</v>
      </c>
      <c r="K1472" s="2"/>
      <c r="L1472" s="2"/>
      <c r="M1472" s="2"/>
      <c r="N1472" s="8" t="s">
        <v>11846</v>
      </c>
      <c r="O1472" s="8" t="s">
        <v>11847</v>
      </c>
      <c r="P1472" s="2">
        <v>2</v>
      </c>
      <c r="Q1472" s="8"/>
      <c r="R1472" s="8" t="s">
        <v>7166</v>
      </c>
      <c r="S1472" s="8" t="str">
        <f>HYPERLINK("https://seichotoushi-hojo.jp/assets/pdf/koufu_3_4ji/outline_211.pdf","PDFを開く")</f>
        <v>PDFを開く</v>
      </c>
      <c r="T1472" s="8" t="s">
        <v>3055</v>
      </c>
      <c r="U1472" s="8" t="s">
        <v>3056</v>
      </c>
    </row>
    <row r="1473" spans="1:21" ht="39.950000000000003" customHeight="1">
      <c r="A1473" s="5" t="s">
        <v>3057</v>
      </c>
      <c r="B1473" s="5" t="s">
        <v>2430</v>
      </c>
      <c r="C1473" s="9" t="s">
        <v>3058</v>
      </c>
      <c r="D1473" s="9" t="s">
        <v>3176</v>
      </c>
      <c r="E1473" s="9" t="s">
        <v>90</v>
      </c>
      <c r="F1473" s="5">
        <v>2028</v>
      </c>
      <c r="G1473" s="5">
        <v>6499</v>
      </c>
      <c r="H1473" s="5">
        <v>2031</v>
      </c>
      <c r="I1473" s="5">
        <v>15439</v>
      </c>
      <c r="J1473" s="5" t="s">
        <v>447</v>
      </c>
      <c r="K1473" s="5">
        <v>33.4</v>
      </c>
      <c r="L1473" s="5">
        <v>33.431199999999997</v>
      </c>
      <c r="M1473" s="5">
        <v>3.1199999999999999E-2</v>
      </c>
      <c r="N1473" s="9" t="s">
        <v>11846</v>
      </c>
      <c r="O1473" s="9" t="s">
        <v>11847</v>
      </c>
      <c r="P1473" s="5">
        <v>2</v>
      </c>
      <c r="Q1473" s="9"/>
      <c r="R1473" s="9" t="s">
        <v>7172</v>
      </c>
      <c r="S1473" s="9" t="str">
        <f>HYPERLINK("https://seichotoushi-hojo.jp/assets/pdf/koufu_3_4ji/outline_213.pdf","PDFを開く")</f>
        <v>PDFを開く</v>
      </c>
      <c r="T1473" s="9" t="s">
        <v>3063</v>
      </c>
      <c r="U1473" s="9" t="s">
        <v>3064</v>
      </c>
    </row>
    <row r="1474" spans="1:21" ht="39.950000000000003" customHeight="1">
      <c r="A1474" s="2" t="s">
        <v>3057</v>
      </c>
      <c r="B1474" s="2" t="s">
        <v>2430</v>
      </c>
      <c r="C1474" s="8" t="s">
        <v>3058</v>
      </c>
      <c r="D1474" s="8" t="s">
        <v>3184</v>
      </c>
      <c r="E1474" s="8" t="s">
        <v>90</v>
      </c>
      <c r="F1474" s="2">
        <v>2028</v>
      </c>
      <c r="G1474" s="2">
        <v>3743</v>
      </c>
      <c r="H1474" s="2">
        <v>2031</v>
      </c>
      <c r="I1474" s="2">
        <v>4483</v>
      </c>
      <c r="J1474" s="2" t="s">
        <v>447</v>
      </c>
      <c r="K1474" s="2">
        <v>6.2</v>
      </c>
      <c r="L1474" s="2">
        <v>6.1980000000000004</v>
      </c>
      <c r="M1474" s="2">
        <v>2E-3</v>
      </c>
      <c r="N1474" s="8" t="s">
        <v>11846</v>
      </c>
      <c r="O1474" s="8" t="s">
        <v>11847</v>
      </c>
      <c r="P1474" s="2">
        <v>2</v>
      </c>
      <c r="Q1474" s="8"/>
      <c r="R1474" s="8" t="s">
        <v>7176</v>
      </c>
      <c r="S1474" s="8" t="str">
        <f>HYPERLINK("https://seichotoushi-hojo.jp/assets/pdf/koufu_3_4ji/outline_213.pdf","PDFを開く")</f>
        <v>PDFを開く</v>
      </c>
      <c r="T1474" s="8" t="s">
        <v>3063</v>
      </c>
      <c r="U1474" s="8" t="s">
        <v>3064</v>
      </c>
    </row>
    <row r="1475" spans="1:21" ht="39.950000000000003" customHeight="1">
      <c r="A1475" s="5" t="s">
        <v>3057</v>
      </c>
      <c r="B1475" s="5" t="s">
        <v>2430</v>
      </c>
      <c r="C1475" s="9" t="s">
        <v>3058</v>
      </c>
      <c r="D1475" s="9" t="s">
        <v>3188</v>
      </c>
      <c r="E1475" s="9" t="s">
        <v>91</v>
      </c>
      <c r="F1475" s="5">
        <v>2028</v>
      </c>
      <c r="G1475" s="5"/>
      <c r="H1475" s="5">
        <v>2031</v>
      </c>
      <c r="I1475" s="5"/>
      <c r="J1475" s="5" t="s">
        <v>447</v>
      </c>
      <c r="K1475" s="5">
        <v>5.3</v>
      </c>
      <c r="L1475" s="5"/>
      <c r="M1475" s="5"/>
      <c r="N1475" s="9" t="s">
        <v>11846</v>
      </c>
      <c r="O1475" s="9" t="s">
        <v>11848</v>
      </c>
      <c r="P1475" s="5">
        <v>2</v>
      </c>
      <c r="Q1475" s="9"/>
      <c r="R1475" s="9" t="s">
        <v>7181</v>
      </c>
      <c r="S1475" s="9" t="str">
        <f>HYPERLINK("https://seichotoushi-hojo.jp/assets/pdf/koufu_3_4ji/outline_213.pdf","PDFを開く")</f>
        <v>PDFを開く</v>
      </c>
      <c r="T1475" s="9" t="s">
        <v>3063</v>
      </c>
      <c r="U1475" s="9" t="s">
        <v>3064</v>
      </c>
    </row>
    <row r="1476" spans="1:21" ht="39.950000000000003" customHeight="1">
      <c r="A1476" s="2" t="s">
        <v>3057</v>
      </c>
      <c r="B1476" s="2" t="s">
        <v>2430</v>
      </c>
      <c r="C1476" s="8" t="s">
        <v>3058</v>
      </c>
      <c r="D1476" s="8" t="s">
        <v>3191</v>
      </c>
      <c r="E1476" s="8" t="s">
        <v>92</v>
      </c>
      <c r="F1476" s="2">
        <v>2028</v>
      </c>
      <c r="G1476" s="2">
        <v>180</v>
      </c>
      <c r="H1476" s="2">
        <v>2031</v>
      </c>
      <c r="I1476" s="2">
        <v>232</v>
      </c>
      <c r="J1476" s="2" t="s">
        <v>2513</v>
      </c>
      <c r="K1476" s="2"/>
      <c r="L1476" s="2"/>
      <c r="M1476" s="2"/>
      <c r="N1476" s="8" t="s">
        <v>11846</v>
      </c>
      <c r="O1476" s="8" t="s">
        <v>11847</v>
      </c>
      <c r="P1476" s="2">
        <v>2</v>
      </c>
      <c r="Q1476" s="8"/>
      <c r="R1476" s="8" t="s">
        <v>7179</v>
      </c>
      <c r="S1476" s="8" t="str">
        <f>HYPERLINK("https://seichotoushi-hojo.jp/assets/pdf/koufu_3_4ji/outline_213.pdf","PDFを開く")</f>
        <v>PDFを開く</v>
      </c>
      <c r="T1476" s="8" t="s">
        <v>3063</v>
      </c>
      <c r="U1476" s="8" t="s">
        <v>3064</v>
      </c>
    </row>
    <row r="1477" spans="1:21" ht="39.950000000000003" customHeight="1">
      <c r="A1477" s="5" t="s">
        <v>3065</v>
      </c>
      <c r="B1477" s="5" t="s">
        <v>2430</v>
      </c>
      <c r="C1477" s="9" t="s">
        <v>3066</v>
      </c>
      <c r="D1477" s="9" t="s">
        <v>3176</v>
      </c>
      <c r="E1477" s="9" t="s">
        <v>90</v>
      </c>
      <c r="F1477" s="5"/>
      <c r="G1477" s="5">
        <v>9759</v>
      </c>
      <c r="H1477" s="5"/>
      <c r="I1477" s="5">
        <v>18400</v>
      </c>
      <c r="J1477" s="5" t="s">
        <v>447</v>
      </c>
      <c r="K1477" s="5">
        <v>23.5</v>
      </c>
      <c r="L1477" s="5">
        <v>23.539000000000001</v>
      </c>
      <c r="M1477" s="5">
        <v>3.9E-2</v>
      </c>
      <c r="N1477" s="9" t="s">
        <v>11853</v>
      </c>
      <c r="O1477" s="9"/>
      <c r="P1477" s="5">
        <v>2</v>
      </c>
      <c r="Q1477" s="9"/>
      <c r="R1477" s="9" t="s">
        <v>7185</v>
      </c>
      <c r="S1477" s="9" t="str">
        <f>HYPERLINK("https://seichotoushi-hojo.jp/assets/pdf/koufu_3_4ji/outline_217.pdf","PDFを開く")</f>
        <v>PDFを開く</v>
      </c>
      <c r="T1477" s="9" t="s">
        <v>3070</v>
      </c>
      <c r="U1477" s="9" t="s">
        <v>3071</v>
      </c>
    </row>
    <row r="1478" spans="1:21" ht="39.950000000000003" customHeight="1">
      <c r="A1478" s="2" t="s">
        <v>3065</v>
      </c>
      <c r="B1478" s="2" t="s">
        <v>2430</v>
      </c>
      <c r="C1478" s="8" t="s">
        <v>3066</v>
      </c>
      <c r="D1478" s="8" t="s">
        <v>3184</v>
      </c>
      <c r="E1478" s="8" t="s">
        <v>90</v>
      </c>
      <c r="F1478" s="2"/>
      <c r="G1478" s="2">
        <v>5054</v>
      </c>
      <c r="H1478" s="2"/>
      <c r="I1478" s="2">
        <v>6054</v>
      </c>
      <c r="J1478" s="2" t="s">
        <v>447</v>
      </c>
      <c r="K1478" s="2">
        <v>6.2</v>
      </c>
      <c r="L1478" s="2">
        <v>6.2027000000000001</v>
      </c>
      <c r="M1478" s="2">
        <v>2.7000000000000001E-3</v>
      </c>
      <c r="N1478" s="8" t="s">
        <v>11853</v>
      </c>
      <c r="O1478" s="8"/>
      <c r="P1478" s="2">
        <v>2</v>
      </c>
      <c r="Q1478" s="8"/>
      <c r="R1478" s="8" t="s">
        <v>7188</v>
      </c>
      <c r="S1478" s="8" t="str">
        <f>HYPERLINK("https://seichotoushi-hojo.jp/assets/pdf/koufu_3_4ji/outline_217.pdf","PDFを開く")</f>
        <v>PDFを開く</v>
      </c>
      <c r="T1478" s="8" t="s">
        <v>3070</v>
      </c>
      <c r="U1478" s="8" t="s">
        <v>3071</v>
      </c>
    </row>
    <row r="1479" spans="1:21" ht="39.950000000000003" customHeight="1">
      <c r="A1479" s="5" t="s">
        <v>3065</v>
      </c>
      <c r="B1479" s="5" t="s">
        <v>2430</v>
      </c>
      <c r="C1479" s="9" t="s">
        <v>3066</v>
      </c>
      <c r="D1479" s="9" t="s">
        <v>3188</v>
      </c>
      <c r="E1479" s="9" t="s">
        <v>90</v>
      </c>
      <c r="F1479" s="5"/>
      <c r="G1479" s="5">
        <v>31024</v>
      </c>
      <c r="H1479" s="5"/>
      <c r="I1479" s="5">
        <v>37160</v>
      </c>
      <c r="J1479" s="5" t="s">
        <v>447</v>
      </c>
      <c r="K1479" s="5">
        <v>6.2</v>
      </c>
      <c r="L1479" s="5">
        <v>6.2004000000000001</v>
      </c>
      <c r="M1479" s="5">
        <v>4.0000000000000002E-4</v>
      </c>
      <c r="N1479" s="9" t="s">
        <v>11853</v>
      </c>
      <c r="O1479" s="9"/>
      <c r="P1479" s="5">
        <v>2</v>
      </c>
      <c r="Q1479" s="9"/>
      <c r="R1479" s="9" t="s">
        <v>7191</v>
      </c>
      <c r="S1479" s="9" t="str">
        <f>HYPERLINK("https://seichotoushi-hojo.jp/assets/pdf/koufu_3_4ji/outline_217.pdf","PDFを開く")</f>
        <v>PDFを開く</v>
      </c>
      <c r="T1479" s="9" t="s">
        <v>3070</v>
      </c>
      <c r="U1479" s="9" t="s">
        <v>3071</v>
      </c>
    </row>
    <row r="1480" spans="1:21" ht="39.950000000000003" customHeight="1">
      <c r="A1480" s="2" t="s">
        <v>3065</v>
      </c>
      <c r="B1480" s="2" t="s">
        <v>2430</v>
      </c>
      <c r="C1480" s="8" t="s">
        <v>3066</v>
      </c>
      <c r="D1480" s="8" t="s">
        <v>3191</v>
      </c>
      <c r="E1480" s="8" t="s">
        <v>92</v>
      </c>
      <c r="F1480" s="2"/>
      <c r="G1480" s="2">
        <v>287</v>
      </c>
      <c r="H1480" s="2"/>
      <c r="I1480" s="2">
        <v>297</v>
      </c>
      <c r="J1480" s="2" t="s">
        <v>2513</v>
      </c>
      <c r="K1480" s="2"/>
      <c r="L1480" s="2"/>
      <c r="M1480" s="2"/>
      <c r="N1480" s="8" t="s">
        <v>11853</v>
      </c>
      <c r="O1480" s="8"/>
      <c r="P1480" s="2">
        <v>2</v>
      </c>
      <c r="Q1480" s="8"/>
      <c r="R1480" s="8" t="s">
        <v>7193</v>
      </c>
      <c r="S1480" s="8" t="str">
        <f>HYPERLINK("https://seichotoushi-hojo.jp/assets/pdf/koufu_3_4ji/outline_217.pdf","PDFを開く")</f>
        <v>PDFを開く</v>
      </c>
      <c r="T1480" s="8" t="s">
        <v>3070</v>
      </c>
      <c r="U1480" s="8" t="s">
        <v>3071</v>
      </c>
    </row>
    <row r="1481" spans="1:21" ht="39.950000000000003" customHeight="1">
      <c r="A1481" s="5" t="s">
        <v>3072</v>
      </c>
      <c r="B1481" s="5" t="s">
        <v>2430</v>
      </c>
      <c r="C1481" s="9" t="s">
        <v>3073</v>
      </c>
      <c r="D1481" s="9" t="s">
        <v>3176</v>
      </c>
      <c r="E1481" s="9" t="s">
        <v>90</v>
      </c>
      <c r="F1481" s="5"/>
      <c r="G1481" s="5">
        <v>12537</v>
      </c>
      <c r="H1481" s="5"/>
      <c r="I1481" s="5">
        <v>17774</v>
      </c>
      <c r="J1481" s="5" t="s">
        <v>447</v>
      </c>
      <c r="K1481" s="5">
        <v>12.3</v>
      </c>
      <c r="L1481" s="5">
        <v>12.339</v>
      </c>
      <c r="M1481" s="5">
        <v>3.9E-2</v>
      </c>
      <c r="N1481" s="9" t="s">
        <v>11853</v>
      </c>
      <c r="O1481" s="9"/>
      <c r="P1481" s="5">
        <v>3</v>
      </c>
      <c r="Q1481" s="9"/>
      <c r="R1481" s="9" t="s">
        <v>7196</v>
      </c>
      <c r="S1481" s="9" t="str">
        <f>HYPERLINK("https://seichotoushi-hojo.jp/assets/pdf/koufu_3_4ji/outline_218.pdf","PDFを開く")</f>
        <v>PDFを開く</v>
      </c>
      <c r="T1481" s="9" t="s">
        <v>3077</v>
      </c>
      <c r="U1481" s="9" t="s">
        <v>3078</v>
      </c>
    </row>
    <row r="1482" spans="1:21" ht="39.950000000000003" customHeight="1">
      <c r="A1482" s="2" t="s">
        <v>3072</v>
      </c>
      <c r="B1482" s="2" t="s">
        <v>2430</v>
      </c>
      <c r="C1482" s="8" t="s">
        <v>3073</v>
      </c>
      <c r="D1482" s="8" t="s">
        <v>3184</v>
      </c>
      <c r="E1482" s="8" t="s">
        <v>90</v>
      </c>
      <c r="F1482" s="2"/>
      <c r="G1482" s="2">
        <v>4000</v>
      </c>
      <c r="H1482" s="2"/>
      <c r="I1482" s="2">
        <v>4914</v>
      </c>
      <c r="J1482" s="2" t="s">
        <v>447</v>
      </c>
      <c r="K1482" s="2">
        <v>7.1</v>
      </c>
      <c r="L1482" s="2">
        <v>7.1006</v>
      </c>
      <c r="M1482" s="2">
        <v>5.9999999999999995E-4</v>
      </c>
      <c r="N1482" s="8" t="s">
        <v>11853</v>
      </c>
      <c r="O1482" s="8"/>
      <c r="P1482" s="2">
        <v>3</v>
      </c>
      <c r="Q1482" s="8"/>
      <c r="R1482" s="8" t="s">
        <v>7199</v>
      </c>
      <c r="S1482" s="8" t="str">
        <f>HYPERLINK("https://seichotoushi-hojo.jp/assets/pdf/koufu_3_4ji/outline_218.pdf","PDFを開く")</f>
        <v>PDFを開く</v>
      </c>
      <c r="T1482" s="8" t="s">
        <v>3077</v>
      </c>
      <c r="U1482" s="8" t="s">
        <v>3078</v>
      </c>
    </row>
    <row r="1483" spans="1:21" ht="39.950000000000003" customHeight="1">
      <c r="A1483" s="5" t="s">
        <v>3072</v>
      </c>
      <c r="B1483" s="5" t="s">
        <v>2430</v>
      </c>
      <c r="C1483" s="9" t="s">
        <v>3073</v>
      </c>
      <c r="D1483" s="9" t="s">
        <v>3188</v>
      </c>
      <c r="E1483" s="9" t="s">
        <v>90</v>
      </c>
      <c r="F1483" s="5"/>
      <c r="G1483" s="5">
        <v>6000</v>
      </c>
      <c r="H1483" s="5"/>
      <c r="I1483" s="5">
        <v>7187</v>
      </c>
      <c r="J1483" s="5" t="s">
        <v>447</v>
      </c>
      <c r="K1483" s="5">
        <v>6.2</v>
      </c>
      <c r="L1483" s="5">
        <v>6.2019000000000002</v>
      </c>
      <c r="M1483" s="5">
        <v>1.9E-3</v>
      </c>
      <c r="N1483" s="9" t="s">
        <v>11853</v>
      </c>
      <c r="O1483" s="9"/>
      <c r="P1483" s="5">
        <v>3</v>
      </c>
      <c r="Q1483" s="9"/>
      <c r="R1483" s="9" t="s">
        <v>7202</v>
      </c>
      <c r="S1483" s="9" t="str">
        <f>HYPERLINK("https://seichotoushi-hojo.jp/assets/pdf/koufu_3_4ji/outline_218.pdf","PDFを開く")</f>
        <v>PDFを開く</v>
      </c>
      <c r="T1483" s="9" t="s">
        <v>3077</v>
      </c>
      <c r="U1483" s="9" t="s">
        <v>3078</v>
      </c>
    </row>
    <row r="1484" spans="1:21" ht="39.950000000000003" customHeight="1">
      <c r="A1484" s="2" t="s">
        <v>3072</v>
      </c>
      <c r="B1484" s="2" t="s">
        <v>2430</v>
      </c>
      <c r="C1484" s="8" t="s">
        <v>3073</v>
      </c>
      <c r="D1484" s="8" t="s">
        <v>3191</v>
      </c>
      <c r="E1484" s="8" t="s">
        <v>92</v>
      </c>
      <c r="F1484" s="2"/>
      <c r="G1484" s="2">
        <v>20</v>
      </c>
      <c r="H1484" s="2"/>
      <c r="I1484" s="2">
        <v>46</v>
      </c>
      <c r="J1484" s="2" t="s">
        <v>2513</v>
      </c>
      <c r="K1484" s="2"/>
      <c r="L1484" s="2"/>
      <c r="M1484" s="2"/>
      <c r="N1484" s="8" t="s">
        <v>11853</v>
      </c>
      <c r="O1484" s="8"/>
      <c r="P1484" s="2">
        <v>3</v>
      </c>
      <c r="Q1484" s="8"/>
      <c r="R1484" s="8" t="s">
        <v>7203</v>
      </c>
      <c r="S1484" s="8" t="str">
        <f>HYPERLINK("https://seichotoushi-hojo.jp/assets/pdf/koufu_3_4ji/outline_218.pdf","PDFを開く")</f>
        <v>PDFを開く</v>
      </c>
      <c r="T1484" s="8" t="s">
        <v>3077</v>
      </c>
      <c r="U1484" s="8" t="s">
        <v>3078</v>
      </c>
    </row>
    <row r="1485" spans="1:21" ht="39.950000000000003" customHeight="1">
      <c r="A1485" s="5" t="s">
        <v>3079</v>
      </c>
      <c r="B1485" s="5" t="s">
        <v>2430</v>
      </c>
      <c r="C1485" s="9" t="s">
        <v>3080</v>
      </c>
      <c r="D1485" s="9" t="s">
        <v>3176</v>
      </c>
      <c r="E1485" s="9" t="s">
        <v>90</v>
      </c>
      <c r="F1485" s="5"/>
      <c r="G1485" s="5">
        <v>7720</v>
      </c>
      <c r="H1485" s="5"/>
      <c r="I1485" s="5">
        <v>12314</v>
      </c>
      <c r="J1485" s="5" t="s">
        <v>447</v>
      </c>
      <c r="K1485" s="5">
        <v>16.8</v>
      </c>
      <c r="L1485" s="5">
        <v>16.840599999999998</v>
      </c>
      <c r="M1485" s="5">
        <v>4.0599999999999997E-2</v>
      </c>
      <c r="N1485" s="9" t="s">
        <v>11853</v>
      </c>
      <c r="O1485" s="9"/>
      <c r="P1485" s="5">
        <v>2</v>
      </c>
      <c r="Q1485" s="9"/>
      <c r="R1485" s="9" t="s">
        <v>7205</v>
      </c>
      <c r="S1485" s="9" t="str">
        <f>HYPERLINK("https://seichotoushi-hojo.jp/assets/pdf/koufu_3_4ji/outline_219.pdf","PDFを開く")</f>
        <v>PDFを開く</v>
      </c>
      <c r="T1485" s="9" t="s">
        <v>3085</v>
      </c>
      <c r="U1485" s="9" t="s">
        <v>3086</v>
      </c>
    </row>
    <row r="1486" spans="1:21" ht="39.950000000000003" customHeight="1">
      <c r="A1486" s="2" t="s">
        <v>3079</v>
      </c>
      <c r="B1486" s="2" t="s">
        <v>2430</v>
      </c>
      <c r="C1486" s="8" t="s">
        <v>3080</v>
      </c>
      <c r="D1486" s="8" t="s">
        <v>3184</v>
      </c>
      <c r="E1486" s="8" t="s">
        <v>90</v>
      </c>
      <c r="F1486" s="2"/>
      <c r="G1486" s="2">
        <v>5640</v>
      </c>
      <c r="H1486" s="2"/>
      <c r="I1486" s="2">
        <v>6813</v>
      </c>
      <c r="J1486" s="2" t="s">
        <v>447</v>
      </c>
      <c r="K1486" s="2">
        <v>6.5</v>
      </c>
      <c r="L1486" s="2">
        <v>6.5008999999999997</v>
      </c>
      <c r="M1486" s="2">
        <v>8.9999999999999998E-4</v>
      </c>
      <c r="N1486" s="8" t="s">
        <v>11853</v>
      </c>
      <c r="O1486" s="8"/>
      <c r="P1486" s="2">
        <v>2</v>
      </c>
      <c r="Q1486" s="8"/>
      <c r="R1486" s="8" t="s">
        <v>7208</v>
      </c>
      <c r="S1486" s="8" t="str">
        <f>HYPERLINK("https://seichotoushi-hojo.jp/assets/pdf/koufu_3_4ji/outline_219.pdf","PDFを開く")</f>
        <v>PDFを開く</v>
      </c>
      <c r="T1486" s="8" t="s">
        <v>3085</v>
      </c>
      <c r="U1486" s="8" t="s">
        <v>3086</v>
      </c>
    </row>
    <row r="1487" spans="1:21" ht="39.950000000000003" customHeight="1">
      <c r="A1487" s="5" t="s">
        <v>3079</v>
      </c>
      <c r="B1487" s="5" t="s">
        <v>2430</v>
      </c>
      <c r="C1487" s="9" t="s">
        <v>3080</v>
      </c>
      <c r="D1487" s="9" t="s">
        <v>3188</v>
      </c>
      <c r="E1487" s="9" t="s">
        <v>92</v>
      </c>
      <c r="F1487" s="5"/>
      <c r="G1487" s="5">
        <v>0</v>
      </c>
      <c r="H1487" s="5"/>
      <c r="I1487" s="5">
        <v>0</v>
      </c>
      <c r="J1487" s="5" t="s">
        <v>447</v>
      </c>
      <c r="K1487" s="5">
        <v>0</v>
      </c>
      <c r="L1487" s="5"/>
      <c r="M1487" s="5"/>
      <c r="N1487" s="9" t="s">
        <v>11853</v>
      </c>
      <c r="O1487" s="9"/>
      <c r="P1487" s="5">
        <v>2</v>
      </c>
      <c r="Q1487" s="9"/>
      <c r="R1487" s="9" t="s">
        <v>7210</v>
      </c>
      <c r="S1487" s="9" t="str">
        <f>HYPERLINK("https://seichotoushi-hojo.jp/assets/pdf/koufu_3_4ji/outline_219.pdf","PDFを開く")</f>
        <v>PDFを開く</v>
      </c>
      <c r="T1487" s="9" t="s">
        <v>3085</v>
      </c>
      <c r="U1487" s="9" t="s">
        <v>3086</v>
      </c>
    </row>
    <row r="1488" spans="1:21" ht="39.950000000000003" customHeight="1">
      <c r="A1488" s="2" t="s">
        <v>3079</v>
      </c>
      <c r="B1488" s="2" t="s">
        <v>2430</v>
      </c>
      <c r="C1488" s="8" t="s">
        <v>3080</v>
      </c>
      <c r="D1488" s="8" t="s">
        <v>3191</v>
      </c>
      <c r="E1488" s="8" t="s">
        <v>92</v>
      </c>
      <c r="F1488" s="2"/>
      <c r="G1488" s="2">
        <v>60</v>
      </c>
      <c r="H1488" s="2"/>
      <c r="I1488" s="2">
        <v>178</v>
      </c>
      <c r="J1488" s="2" t="s">
        <v>2513</v>
      </c>
      <c r="K1488" s="2"/>
      <c r="L1488" s="2"/>
      <c r="M1488" s="2"/>
      <c r="N1488" s="8" t="s">
        <v>11853</v>
      </c>
      <c r="O1488" s="8"/>
      <c r="P1488" s="2">
        <v>2</v>
      </c>
      <c r="Q1488" s="8"/>
      <c r="R1488" s="8" t="s">
        <v>7211</v>
      </c>
      <c r="S1488" s="8" t="str">
        <f>HYPERLINK("https://seichotoushi-hojo.jp/assets/pdf/koufu_3_4ji/outline_219.pdf","PDFを開く")</f>
        <v>PDFを開く</v>
      </c>
      <c r="T1488" s="8" t="s">
        <v>3085</v>
      </c>
      <c r="U1488" s="8" t="s">
        <v>3086</v>
      </c>
    </row>
    <row r="1489" spans="1:21" ht="39.950000000000003" customHeight="1">
      <c r="A1489" s="5" t="s">
        <v>3087</v>
      </c>
      <c r="B1489" s="5" t="s">
        <v>2430</v>
      </c>
      <c r="C1489" s="9" t="s">
        <v>3088</v>
      </c>
      <c r="D1489" s="9" t="s">
        <v>3176</v>
      </c>
      <c r="E1489" s="9" t="s">
        <v>90</v>
      </c>
      <c r="F1489" s="5"/>
      <c r="G1489" s="5">
        <v>6833</v>
      </c>
      <c r="H1489" s="5"/>
      <c r="I1489" s="5">
        <v>9005</v>
      </c>
      <c r="J1489" s="5" t="s">
        <v>447</v>
      </c>
      <c r="K1489" s="5">
        <v>9.6</v>
      </c>
      <c r="L1489" s="5">
        <v>9.6371000000000002</v>
      </c>
      <c r="M1489" s="5">
        <v>3.7100000000000001E-2</v>
      </c>
      <c r="N1489" s="9" t="s">
        <v>11853</v>
      </c>
      <c r="O1489" s="9"/>
      <c r="P1489" s="5">
        <v>2</v>
      </c>
      <c r="Q1489" s="9"/>
      <c r="R1489" s="9" t="s">
        <v>7213</v>
      </c>
      <c r="S1489" s="9" t="str">
        <f>HYPERLINK("https://seichotoushi-hojo.jp/assets/pdf/koufu_3_4ji/outline_220.pdf","PDFを開く")</f>
        <v>PDFを開く</v>
      </c>
      <c r="T1489" s="9" t="s">
        <v>3092</v>
      </c>
      <c r="U1489" s="9" t="s">
        <v>3093</v>
      </c>
    </row>
    <row r="1490" spans="1:21" ht="39.950000000000003" customHeight="1">
      <c r="A1490" s="2" t="s">
        <v>3087</v>
      </c>
      <c r="B1490" s="2" t="s">
        <v>2430</v>
      </c>
      <c r="C1490" s="8" t="s">
        <v>3088</v>
      </c>
      <c r="D1490" s="8" t="s">
        <v>3184</v>
      </c>
      <c r="E1490" s="8" t="s">
        <v>90</v>
      </c>
      <c r="F1490" s="2"/>
      <c r="G1490" s="2">
        <v>4009</v>
      </c>
      <c r="H1490" s="2"/>
      <c r="I1490" s="2">
        <v>4842</v>
      </c>
      <c r="J1490" s="2" t="s">
        <v>447</v>
      </c>
      <c r="K1490" s="2">
        <v>6.5</v>
      </c>
      <c r="L1490" s="2">
        <v>6.4950999999999999</v>
      </c>
      <c r="M1490" s="2">
        <v>4.8999999999999998E-3</v>
      </c>
      <c r="N1490" s="8" t="s">
        <v>11853</v>
      </c>
      <c r="O1490" s="8"/>
      <c r="P1490" s="2">
        <v>2</v>
      </c>
      <c r="Q1490" s="8"/>
      <c r="R1490" s="8" t="s">
        <v>7216</v>
      </c>
      <c r="S1490" s="8" t="str">
        <f>HYPERLINK("https://seichotoushi-hojo.jp/assets/pdf/koufu_3_4ji/outline_220.pdf","PDFを開く")</f>
        <v>PDFを開く</v>
      </c>
      <c r="T1490" s="8" t="s">
        <v>3092</v>
      </c>
      <c r="U1490" s="8" t="s">
        <v>3093</v>
      </c>
    </row>
    <row r="1491" spans="1:21" ht="39.950000000000003" customHeight="1">
      <c r="A1491" s="5" t="s">
        <v>3087</v>
      </c>
      <c r="B1491" s="5" t="s">
        <v>2430</v>
      </c>
      <c r="C1491" s="9" t="s">
        <v>3088</v>
      </c>
      <c r="D1491" s="9" t="s">
        <v>3188</v>
      </c>
      <c r="E1491" s="9" t="s">
        <v>91</v>
      </c>
      <c r="F1491" s="5"/>
      <c r="G1491" s="5"/>
      <c r="H1491" s="5"/>
      <c r="I1491" s="5"/>
      <c r="J1491" s="5" t="s">
        <v>447</v>
      </c>
      <c r="K1491" s="5">
        <v>6.5</v>
      </c>
      <c r="L1491" s="5"/>
      <c r="M1491" s="5"/>
      <c r="N1491" s="9" t="s">
        <v>11854</v>
      </c>
      <c r="O1491" s="9" t="s">
        <v>11848</v>
      </c>
      <c r="P1491" s="5">
        <v>2</v>
      </c>
      <c r="Q1491" s="9"/>
      <c r="R1491" s="9" t="s">
        <v>6330</v>
      </c>
      <c r="S1491" s="9" t="str">
        <f>HYPERLINK("https://seichotoushi-hojo.jp/assets/pdf/koufu_3_4ji/outline_220.pdf","PDFを開く")</f>
        <v>PDFを開く</v>
      </c>
      <c r="T1491" s="9" t="s">
        <v>3092</v>
      </c>
      <c r="U1491" s="9" t="s">
        <v>3093</v>
      </c>
    </row>
    <row r="1492" spans="1:21" ht="39.950000000000003" customHeight="1">
      <c r="A1492" s="2" t="s">
        <v>3087</v>
      </c>
      <c r="B1492" s="2" t="s">
        <v>2430</v>
      </c>
      <c r="C1492" s="8" t="s">
        <v>3088</v>
      </c>
      <c r="D1492" s="8" t="s">
        <v>3191</v>
      </c>
      <c r="E1492" s="8" t="s">
        <v>92</v>
      </c>
      <c r="F1492" s="2"/>
      <c r="G1492" s="2">
        <v>1269</v>
      </c>
      <c r="H1492" s="2"/>
      <c r="I1492" s="2">
        <v>1269</v>
      </c>
      <c r="J1492" s="2" t="s">
        <v>2513</v>
      </c>
      <c r="K1492" s="2"/>
      <c r="L1492" s="2"/>
      <c r="M1492" s="2"/>
      <c r="N1492" s="8" t="s">
        <v>11853</v>
      </c>
      <c r="O1492" s="8"/>
      <c r="P1492" s="2">
        <v>2</v>
      </c>
      <c r="Q1492" s="8"/>
      <c r="R1492" s="8" t="s">
        <v>7219</v>
      </c>
      <c r="S1492" s="8" t="str">
        <f>HYPERLINK("https://seichotoushi-hojo.jp/assets/pdf/koufu_3_4ji/outline_220.pdf","PDFを開く")</f>
        <v>PDFを開く</v>
      </c>
      <c r="T1492" s="8" t="s">
        <v>3092</v>
      </c>
      <c r="U1492" s="8" t="s">
        <v>3093</v>
      </c>
    </row>
    <row r="1493" spans="1:21" ht="39.950000000000003" customHeight="1">
      <c r="A1493" s="5" t="s">
        <v>3094</v>
      </c>
      <c r="B1493" s="5" t="s">
        <v>2430</v>
      </c>
      <c r="C1493" s="9" t="s">
        <v>3095</v>
      </c>
      <c r="D1493" s="9" t="s">
        <v>3176</v>
      </c>
      <c r="E1493" s="9" t="s">
        <v>90</v>
      </c>
      <c r="F1493" s="5"/>
      <c r="G1493" s="5">
        <v>3213</v>
      </c>
      <c r="H1493" s="5"/>
      <c r="I1493" s="5">
        <v>9837</v>
      </c>
      <c r="J1493" s="5" t="s">
        <v>447</v>
      </c>
      <c r="K1493" s="5">
        <v>45.2</v>
      </c>
      <c r="L1493" s="5">
        <v>45.205800000000004</v>
      </c>
      <c r="M1493" s="5">
        <v>5.7999999999999996E-3</v>
      </c>
      <c r="N1493" s="9" t="s">
        <v>11853</v>
      </c>
      <c r="O1493" s="9"/>
      <c r="P1493" s="5">
        <v>2</v>
      </c>
      <c r="Q1493" s="9"/>
      <c r="R1493" s="9" t="s">
        <v>7223</v>
      </c>
      <c r="S1493" s="9" t="str">
        <f>HYPERLINK("https://seichotoushi-hojo.jp/assets/pdf/koufu_3_4ji/outline_221.pdf","PDFを開く")</f>
        <v>PDFを開く</v>
      </c>
      <c r="T1493" s="9" t="s">
        <v>3100</v>
      </c>
      <c r="U1493" s="9" t="s">
        <v>3101</v>
      </c>
    </row>
    <row r="1494" spans="1:21" ht="39.950000000000003" customHeight="1">
      <c r="A1494" s="2" t="s">
        <v>3094</v>
      </c>
      <c r="B1494" s="2" t="s">
        <v>2430</v>
      </c>
      <c r="C1494" s="8" t="s">
        <v>3095</v>
      </c>
      <c r="D1494" s="8" t="s">
        <v>3184</v>
      </c>
      <c r="E1494" s="8" t="s">
        <v>90</v>
      </c>
      <c r="F1494" s="2"/>
      <c r="G1494" s="2">
        <v>3120</v>
      </c>
      <c r="H1494" s="2"/>
      <c r="I1494" s="2">
        <v>3716</v>
      </c>
      <c r="J1494" s="2" t="s">
        <v>447</v>
      </c>
      <c r="K1494" s="2">
        <v>6</v>
      </c>
      <c r="L1494" s="2">
        <v>6.0003000000000002</v>
      </c>
      <c r="M1494" s="2">
        <v>2.9999999999999997E-4</v>
      </c>
      <c r="N1494" s="8" t="s">
        <v>11853</v>
      </c>
      <c r="O1494" s="8"/>
      <c r="P1494" s="2">
        <v>2</v>
      </c>
      <c r="Q1494" s="8"/>
      <c r="R1494" s="8" t="s">
        <v>7226</v>
      </c>
      <c r="S1494" s="8" t="str">
        <f>HYPERLINK("https://seichotoushi-hojo.jp/assets/pdf/koufu_3_4ji/outline_221.pdf","PDFを開く")</f>
        <v>PDFを開く</v>
      </c>
      <c r="T1494" s="8" t="s">
        <v>3100</v>
      </c>
      <c r="U1494" s="8" t="s">
        <v>3101</v>
      </c>
    </row>
    <row r="1495" spans="1:21" ht="39.950000000000003" customHeight="1">
      <c r="A1495" s="5" t="s">
        <v>3094</v>
      </c>
      <c r="B1495" s="5" t="s">
        <v>2430</v>
      </c>
      <c r="C1495" s="9" t="s">
        <v>3095</v>
      </c>
      <c r="D1495" s="9" t="s">
        <v>3188</v>
      </c>
      <c r="E1495" s="9" t="s">
        <v>90</v>
      </c>
      <c r="F1495" s="5"/>
      <c r="G1495" s="5">
        <v>12580</v>
      </c>
      <c r="H1495" s="5"/>
      <c r="I1495" s="5">
        <v>14360</v>
      </c>
      <c r="J1495" s="5" t="s">
        <v>447</v>
      </c>
      <c r="K1495" s="5">
        <v>4.5</v>
      </c>
      <c r="L1495" s="5">
        <v>4.51</v>
      </c>
      <c r="M1495" s="5">
        <v>0.01</v>
      </c>
      <c r="N1495" s="9" t="s">
        <v>11853</v>
      </c>
      <c r="O1495" s="9"/>
      <c r="P1495" s="5">
        <v>2</v>
      </c>
      <c r="Q1495" s="9"/>
      <c r="R1495" s="9" t="s">
        <v>7229</v>
      </c>
      <c r="S1495" s="9" t="str">
        <f>HYPERLINK("https://seichotoushi-hojo.jp/assets/pdf/koufu_3_4ji/outline_221.pdf","PDFを開く")</f>
        <v>PDFを開く</v>
      </c>
      <c r="T1495" s="9" t="s">
        <v>3100</v>
      </c>
      <c r="U1495" s="9" t="s">
        <v>3101</v>
      </c>
    </row>
    <row r="1496" spans="1:21" ht="39.950000000000003" customHeight="1">
      <c r="A1496" s="2" t="s">
        <v>3094</v>
      </c>
      <c r="B1496" s="2" t="s">
        <v>2430</v>
      </c>
      <c r="C1496" s="8" t="s">
        <v>3095</v>
      </c>
      <c r="D1496" s="8" t="s">
        <v>3191</v>
      </c>
      <c r="E1496" s="8" t="s">
        <v>92</v>
      </c>
      <c r="F1496" s="2"/>
      <c r="G1496" s="2">
        <v>106</v>
      </c>
      <c r="H1496" s="2"/>
      <c r="I1496" s="2">
        <v>116</v>
      </c>
      <c r="J1496" s="2" t="s">
        <v>2513</v>
      </c>
      <c r="K1496" s="2"/>
      <c r="L1496" s="2"/>
      <c r="M1496" s="2"/>
      <c r="N1496" s="8" t="s">
        <v>11853</v>
      </c>
      <c r="O1496" s="8"/>
      <c r="P1496" s="2">
        <v>2</v>
      </c>
      <c r="Q1496" s="8"/>
      <c r="R1496" s="8" t="s">
        <v>7231</v>
      </c>
      <c r="S1496" s="8" t="str">
        <f>HYPERLINK("https://seichotoushi-hojo.jp/assets/pdf/koufu_3_4ji/outline_221.pdf","PDFを開く")</f>
        <v>PDFを開く</v>
      </c>
      <c r="T1496" s="8" t="s">
        <v>3100</v>
      </c>
      <c r="U1496" s="8" t="s">
        <v>3101</v>
      </c>
    </row>
    <row r="1497" spans="1:21" ht="39.950000000000003" customHeight="1">
      <c r="A1497" s="5" t="s">
        <v>3102</v>
      </c>
      <c r="B1497" s="5" t="s">
        <v>2430</v>
      </c>
      <c r="C1497" s="9" t="s">
        <v>3103</v>
      </c>
      <c r="D1497" s="9" t="s">
        <v>3176</v>
      </c>
      <c r="E1497" s="9" t="s">
        <v>90</v>
      </c>
      <c r="F1497" s="5"/>
      <c r="G1497" s="5">
        <v>21000</v>
      </c>
      <c r="H1497" s="5"/>
      <c r="I1497" s="5">
        <v>46797</v>
      </c>
      <c r="J1497" s="5" t="s">
        <v>447</v>
      </c>
      <c r="K1497" s="5">
        <v>30.6</v>
      </c>
      <c r="L1497" s="5">
        <v>30.617000000000001</v>
      </c>
      <c r="M1497" s="5">
        <v>1.7000000000000001E-2</v>
      </c>
      <c r="N1497" s="9" t="s">
        <v>11853</v>
      </c>
      <c r="O1497" s="9"/>
      <c r="P1497" s="5">
        <v>2</v>
      </c>
      <c r="Q1497" s="9"/>
      <c r="R1497" s="9" t="s">
        <v>7233</v>
      </c>
      <c r="S1497" s="9" t="str">
        <f>HYPERLINK("https://seichotoushi-hojo.jp/assets/pdf/koufu_3_4ji/outline_222.pdf","PDFを開く")</f>
        <v>PDFを開く</v>
      </c>
      <c r="T1497" s="9" t="s">
        <v>3107</v>
      </c>
      <c r="U1497" s="9" t="s">
        <v>3108</v>
      </c>
    </row>
    <row r="1498" spans="1:21" ht="39.950000000000003" customHeight="1">
      <c r="A1498" s="2" t="s">
        <v>3102</v>
      </c>
      <c r="B1498" s="2" t="s">
        <v>2430</v>
      </c>
      <c r="C1498" s="8" t="s">
        <v>3103</v>
      </c>
      <c r="D1498" s="8" t="s">
        <v>3184</v>
      </c>
      <c r="E1498" s="8" t="s">
        <v>90</v>
      </c>
      <c r="F1498" s="2"/>
      <c r="G1498" s="2">
        <v>4000</v>
      </c>
      <c r="H1498" s="2"/>
      <c r="I1498" s="2">
        <v>5185</v>
      </c>
      <c r="J1498" s="2" t="s">
        <v>447</v>
      </c>
      <c r="K1498" s="2">
        <v>9</v>
      </c>
      <c r="L1498" s="2">
        <v>9.0342000000000002</v>
      </c>
      <c r="M1498" s="2">
        <v>3.4200000000000001E-2</v>
      </c>
      <c r="N1498" s="8" t="s">
        <v>11853</v>
      </c>
      <c r="O1498" s="8"/>
      <c r="P1498" s="2">
        <v>2</v>
      </c>
      <c r="Q1498" s="8"/>
      <c r="R1498" s="8" t="s">
        <v>7235</v>
      </c>
      <c r="S1498" s="8" t="str">
        <f>HYPERLINK("https://seichotoushi-hojo.jp/assets/pdf/koufu_3_4ji/outline_222.pdf","PDFを開く")</f>
        <v>PDFを開く</v>
      </c>
      <c r="T1498" s="8" t="s">
        <v>3107</v>
      </c>
      <c r="U1498" s="8" t="s">
        <v>3108</v>
      </c>
    </row>
    <row r="1499" spans="1:21" ht="39.950000000000003" customHeight="1">
      <c r="A1499" s="5" t="s">
        <v>3102</v>
      </c>
      <c r="B1499" s="5" t="s">
        <v>2430</v>
      </c>
      <c r="C1499" s="9" t="s">
        <v>3103</v>
      </c>
      <c r="D1499" s="9" t="s">
        <v>3188</v>
      </c>
      <c r="E1499" s="9" t="s">
        <v>157</v>
      </c>
      <c r="F1499" s="5"/>
      <c r="G1499" s="5"/>
      <c r="H1499" s="5"/>
      <c r="I1499" s="5"/>
      <c r="J1499" s="5"/>
      <c r="K1499" s="5"/>
      <c r="L1499" s="5"/>
      <c r="M1499" s="5"/>
      <c r="N1499" s="9" t="s">
        <v>11850</v>
      </c>
      <c r="O1499" s="9"/>
      <c r="P1499" s="5"/>
      <c r="Q1499" s="9" t="s">
        <v>11851</v>
      </c>
      <c r="R1499" s="9"/>
      <c r="S1499" s="9" t="str">
        <f>HYPERLINK("https://seichotoushi-hojo.jp/assets/pdf/koufu_3_4ji/outline_222.pdf","PDFを開く")</f>
        <v>PDFを開く</v>
      </c>
      <c r="T1499" s="9" t="s">
        <v>3107</v>
      </c>
      <c r="U1499" s="9" t="s">
        <v>3108</v>
      </c>
    </row>
    <row r="1500" spans="1:21" ht="39.950000000000003" customHeight="1">
      <c r="A1500" s="2" t="s">
        <v>3102</v>
      </c>
      <c r="B1500" s="2" t="s">
        <v>2430</v>
      </c>
      <c r="C1500" s="8" t="s">
        <v>3103</v>
      </c>
      <c r="D1500" s="8" t="s">
        <v>3191</v>
      </c>
      <c r="E1500" s="8" t="s">
        <v>92</v>
      </c>
      <c r="F1500" s="2"/>
      <c r="G1500" s="2">
        <v>2</v>
      </c>
      <c r="H1500" s="2"/>
      <c r="I1500" s="2">
        <v>58</v>
      </c>
      <c r="J1500" s="2" t="s">
        <v>2513</v>
      </c>
      <c r="K1500" s="2"/>
      <c r="L1500" s="2"/>
      <c r="M1500" s="2"/>
      <c r="N1500" s="8" t="s">
        <v>11853</v>
      </c>
      <c r="O1500" s="8"/>
      <c r="P1500" s="2">
        <v>2</v>
      </c>
      <c r="Q1500" s="8"/>
      <c r="R1500" s="8" t="s">
        <v>7238</v>
      </c>
      <c r="S1500" s="8" t="str">
        <f>HYPERLINK("https://seichotoushi-hojo.jp/assets/pdf/koufu_3_4ji/outline_222.pdf","PDFを開く")</f>
        <v>PDFを開く</v>
      </c>
      <c r="T1500" s="8" t="s">
        <v>3107</v>
      </c>
      <c r="U1500" s="8" t="s">
        <v>3108</v>
      </c>
    </row>
    <row r="1501" spans="1:21" ht="39.950000000000003" customHeight="1">
      <c r="A1501" s="5" t="s">
        <v>3109</v>
      </c>
      <c r="B1501" s="5" t="s">
        <v>2430</v>
      </c>
      <c r="C1501" s="9" t="s">
        <v>3110</v>
      </c>
      <c r="D1501" s="9" t="s">
        <v>3176</v>
      </c>
      <c r="E1501" s="9" t="s">
        <v>90</v>
      </c>
      <c r="F1501" s="5"/>
      <c r="G1501" s="5">
        <v>6537</v>
      </c>
      <c r="H1501" s="5"/>
      <c r="I1501" s="5">
        <v>14093</v>
      </c>
      <c r="J1501" s="5" t="s">
        <v>447</v>
      </c>
      <c r="K1501" s="5">
        <v>29.2</v>
      </c>
      <c r="L1501" s="5">
        <v>29.183900000000001</v>
      </c>
      <c r="M1501" s="5">
        <v>1.61E-2</v>
      </c>
      <c r="N1501" s="9" t="s">
        <v>11853</v>
      </c>
      <c r="O1501" s="9"/>
      <c r="P1501" s="5">
        <v>2</v>
      </c>
      <c r="Q1501" s="9"/>
      <c r="R1501" s="9" t="s">
        <v>7240</v>
      </c>
      <c r="S1501" s="9" t="str">
        <f>HYPERLINK("https://seichotoushi-hojo.jp/assets/pdf/koufu_3_4ji/outline_223.pdf","PDFを開く")</f>
        <v>PDFを開く</v>
      </c>
      <c r="T1501" s="9" t="s">
        <v>3115</v>
      </c>
      <c r="U1501" s="9" t="s">
        <v>3116</v>
      </c>
    </row>
    <row r="1502" spans="1:21" ht="39.950000000000003" customHeight="1">
      <c r="A1502" s="2" t="s">
        <v>3109</v>
      </c>
      <c r="B1502" s="2" t="s">
        <v>2430</v>
      </c>
      <c r="C1502" s="8" t="s">
        <v>3110</v>
      </c>
      <c r="D1502" s="8" t="s">
        <v>3184</v>
      </c>
      <c r="E1502" s="8" t="s">
        <v>90</v>
      </c>
      <c r="F1502" s="2"/>
      <c r="G1502" s="2">
        <v>3986</v>
      </c>
      <c r="H1502" s="2"/>
      <c r="I1502" s="2">
        <v>5022</v>
      </c>
      <c r="J1502" s="2" t="s">
        <v>447</v>
      </c>
      <c r="K1502" s="2">
        <v>8</v>
      </c>
      <c r="L1502" s="2">
        <v>8.0055999999999994</v>
      </c>
      <c r="M1502" s="2">
        <v>5.5999999999999999E-3</v>
      </c>
      <c r="N1502" s="8" t="s">
        <v>11853</v>
      </c>
      <c r="O1502" s="8"/>
      <c r="P1502" s="2">
        <v>2</v>
      </c>
      <c r="Q1502" s="8"/>
      <c r="R1502" s="8" t="s">
        <v>7243</v>
      </c>
      <c r="S1502" s="8" t="str">
        <f>HYPERLINK("https://seichotoushi-hojo.jp/assets/pdf/koufu_3_4ji/outline_223.pdf","PDFを開く")</f>
        <v>PDFを開く</v>
      </c>
      <c r="T1502" s="8" t="s">
        <v>3115</v>
      </c>
      <c r="U1502" s="8" t="s">
        <v>3116</v>
      </c>
    </row>
    <row r="1503" spans="1:21" ht="39.950000000000003" customHeight="1">
      <c r="A1503" s="5" t="s">
        <v>3109</v>
      </c>
      <c r="B1503" s="5" t="s">
        <v>2430</v>
      </c>
      <c r="C1503" s="9" t="s">
        <v>3110</v>
      </c>
      <c r="D1503" s="9" t="s">
        <v>3188</v>
      </c>
      <c r="E1503" s="9" t="s">
        <v>91</v>
      </c>
      <c r="F1503" s="5"/>
      <c r="G1503" s="5"/>
      <c r="H1503" s="5"/>
      <c r="I1503" s="5"/>
      <c r="J1503" s="5" t="s">
        <v>447</v>
      </c>
      <c r="K1503" s="5">
        <v>6</v>
      </c>
      <c r="L1503" s="5"/>
      <c r="M1503" s="5"/>
      <c r="N1503" s="9" t="s">
        <v>11854</v>
      </c>
      <c r="O1503" s="9" t="s">
        <v>11848</v>
      </c>
      <c r="P1503" s="5">
        <v>2</v>
      </c>
      <c r="Q1503" s="9"/>
      <c r="R1503" s="9" t="s">
        <v>6473</v>
      </c>
      <c r="S1503" s="9" t="str">
        <f>HYPERLINK("https://seichotoushi-hojo.jp/assets/pdf/koufu_3_4ji/outline_223.pdf","PDFを開く")</f>
        <v>PDFを開く</v>
      </c>
      <c r="T1503" s="9" t="s">
        <v>3115</v>
      </c>
      <c r="U1503" s="9" t="s">
        <v>3116</v>
      </c>
    </row>
    <row r="1504" spans="1:21" ht="39.950000000000003" customHeight="1">
      <c r="A1504" s="2" t="s">
        <v>3109</v>
      </c>
      <c r="B1504" s="2" t="s">
        <v>2430</v>
      </c>
      <c r="C1504" s="8" t="s">
        <v>3110</v>
      </c>
      <c r="D1504" s="8" t="s">
        <v>3191</v>
      </c>
      <c r="E1504" s="8" t="s">
        <v>92</v>
      </c>
      <c r="F1504" s="2"/>
      <c r="G1504" s="2">
        <v>60</v>
      </c>
      <c r="H1504" s="2"/>
      <c r="I1504" s="2">
        <v>120</v>
      </c>
      <c r="J1504" s="2" t="s">
        <v>2513</v>
      </c>
      <c r="K1504" s="2"/>
      <c r="L1504" s="2"/>
      <c r="M1504" s="2"/>
      <c r="N1504" s="8" t="s">
        <v>11853</v>
      </c>
      <c r="O1504" s="8"/>
      <c r="P1504" s="2">
        <v>2</v>
      </c>
      <c r="Q1504" s="8"/>
      <c r="R1504" s="8" t="s">
        <v>7245</v>
      </c>
      <c r="S1504" s="8" t="str">
        <f>HYPERLINK("https://seichotoushi-hojo.jp/assets/pdf/koufu_3_4ji/outline_223.pdf","PDFを開く")</f>
        <v>PDFを開く</v>
      </c>
      <c r="T1504" s="8" t="s">
        <v>3115</v>
      </c>
      <c r="U1504" s="8" t="s">
        <v>3116</v>
      </c>
    </row>
    <row r="1505" spans="1:21" ht="39.950000000000003" customHeight="1">
      <c r="A1505" s="5" t="s">
        <v>3117</v>
      </c>
      <c r="B1505" s="5" t="s">
        <v>2430</v>
      </c>
      <c r="C1505" s="9" t="s">
        <v>3118</v>
      </c>
      <c r="D1505" s="9" t="s">
        <v>3176</v>
      </c>
      <c r="E1505" s="9" t="s">
        <v>90</v>
      </c>
      <c r="F1505" s="5"/>
      <c r="G1505" s="5">
        <v>6739</v>
      </c>
      <c r="H1505" s="5"/>
      <c r="I1505" s="5">
        <v>17566</v>
      </c>
      <c r="J1505" s="5" t="s">
        <v>447</v>
      </c>
      <c r="K1505" s="5">
        <v>37.6</v>
      </c>
      <c r="L1505" s="5">
        <v>37.6235</v>
      </c>
      <c r="M1505" s="5">
        <v>2.35E-2</v>
      </c>
      <c r="N1505" s="9" t="s">
        <v>11853</v>
      </c>
      <c r="O1505" s="9"/>
      <c r="P1505" s="5">
        <v>2</v>
      </c>
      <c r="Q1505" s="9"/>
      <c r="R1505" s="9" t="s">
        <v>7249</v>
      </c>
      <c r="S1505" s="9" t="str">
        <f>HYPERLINK("https://seichotoushi-hojo.jp/assets/pdf/koufu_3_4ji/outline_225.pdf","PDFを開く")</f>
        <v>PDFを開く</v>
      </c>
      <c r="T1505" s="9" t="s">
        <v>3123</v>
      </c>
      <c r="U1505" s="9" t="s">
        <v>3124</v>
      </c>
    </row>
    <row r="1506" spans="1:21" ht="39.950000000000003" customHeight="1">
      <c r="A1506" s="2" t="s">
        <v>3117</v>
      </c>
      <c r="B1506" s="2" t="s">
        <v>2430</v>
      </c>
      <c r="C1506" s="8" t="s">
        <v>3118</v>
      </c>
      <c r="D1506" s="8" t="s">
        <v>3184</v>
      </c>
      <c r="E1506" s="8" t="s">
        <v>90</v>
      </c>
      <c r="F1506" s="2"/>
      <c r="G1506" s="2">
        <v>4808</v>
      </c>
      <c r="H1506" s="2"/>
      <c r="I1506" s="2">
        <v>5808</v>
      </c>
      <c r="J1506" s="2" t="s">
        <v>447</v>
      </c>
      <c r="K1506" s="2">
        <v>6.5</v>
      </c>
      <c r="L1506" s="2">
        <v>6.5011000000000001</v>
      </c>
      <c r="M1506" s="2">
        <v>1.1000000000000001E-3</v>
      </c>
      <c r="N1506" s="8" t="s">
        <v>11853</v>
      </c>
      <c r="O1506" s="8"/>
      <c r="P1506" s="2">
        <v>2</v>
      </c>
      <c r="Q1506" s="8"/>
      <c r="R1506" s="8" t="s">
        <v>7251</v>
      </c>
      <c r="S1506" s="8" t="str">
        <f>HYPERLINK("https://seichotoushi-hojo.jp/assets/pdf/koufu_3_4ji/outline_225.pdf","PDFを開く")</f>
        <v>PDFを開く</v>
      </c>
      <c r="T1506" s="8" t="s">
        <v>3123</v>
      </c>
      <c r="U1506" s="8" t="s">
        <v>3124</v>
      </c>
    </row>
    <row r="1507" spans="1:21" ht="39.950000000000003" customHeight="1">
      <c r="A1507" s="5" t="s">
        <v>3117</v>
      </c>
      <c r="B1507" s="5" t="s">
        <v>2430</v>
      </c>
      <c r="C1507" s="9" t="s">
        <v>3118</v>
      </c>
      <c r="D1507" s="9" t="s">
        <v>3188</v>
      </c>
      <c r="E1507" s="9" t="s">
        <v>91</v>
      </c>
      <c r="F1507" s="5"/>
      <c r="G1507" s="5"/>
      <c r="H1507" s="5"/>
      <c r="I1507" s="5"/>
      <c r="J1507" s="5" t="s">
        <v>447</v>
      </c>
      <c r="K1507" s="5">
        <v>6</v>
      </c>
      <c r="L1507" s="5"/>
      <c r="M1507" s="5"/>
      <c r="N1507" s="9" t="s">
        <v>11854</v>
      </c>
      <c r="O1507" s="9" t="s">
        <v>11848</v>
      </c>
      <c r="P1507" s="5">
        <v>2</v>
      </c>
      <c r="Q1507" s="9"/>
      <c r="R1507" s="9" t="s">
        <v>6473</v>
      </c>
      <c r="S1507" s="9" t="str">
        <f>HYPERLINK("https://seichotoushi-hojo.jp/assets/pdf/koufu_3_4ji/outline_225.pdf","PDFを開く")</f>
        <v>PDFを開く</v>
      </c>
      <c r="T1507" s="9" t="s">
        <v>3123</v>
      </c>
      <c r="U1507" s="9" t="s">
        <v>3124</v>
      </c>
    </row>
    <row r="1508" spans="1:21" ht="39.950000000000003" customHeight="1">
      <c r="A1508" s="2" t="s">
        <v>3117</v>
      </c>
      <c r="B1508" s="2" t="s">
        <v>2430</v>
      </c>
      <c r="C1508" s="8" t="s">
        <v>3118</v>
      </c>
      <c r="D1508" s="8" t="s">
        <v>3191</v>
      </c>
      <c r="E1508" s="8" t="s">
        <v>92</v>
      </c>
      <c r="F1508" s="2"/>
      <c r="G1508" s="2">
        <v>245</v>
      </c>
      <c r="H1508" s="2"/>
      <c r="I1508" s="2">
        <v>270</v>
      </c>
      <c r="J1508" s="2" t="s">
        <v>2513</v>
      </c>
      <c r="K1508" s="2"/>
      <c r="L1508" s="2"/>
      <c r="M1508" s="2"/>
      <c r="N1508" s="8" t="s">
        <v>11853</v>
      </c>
      <c r="O1508" s="8"/>
      <c r="P1508" s="2">
        <v>2</v>
      </c>
      <c r="Q1508" s="8"/>
      <c r="R1508" s="8" t="s">
        <v>7255</v>
      </c>
      <c r="S1508" s="8" t="str">
        <f>HYPERLINK("https://seichotoushi-hojo.jp/assets/pdf/koufu_3_4ji/outline_225.pdf","PDFを開く")</f>
        <v>PDFを開く</v>
      </c>
      <c r="T1508" s="8" t="s">
        <v>3123</v>
      </c>
      <c r="U1508" s="8" t="s">
        <v>3124</v>
      </c>
    </row>
    <row r="1509" spans="1:21" ht="39.950000000000003" customHeight="1">
      <c r="A1509" s="5" t="s">
        <v>3125</v>
      </c>
      <c r="B1509" s="5" t="s">
        <v>2430</v>
      </c>
      <c r="C1509" s="9" t="s">
        <v>3126</v>
      </c>
      <c r="D1509" s="9" t="s">
        <v>3176</v>
      </c>
      <c r="E1509" s="9" t="s">
        <v>90</v>
      </c>
      <c r="F1509" s="5"/>
      <c r="G1509" s="5">
        <v>18619</v>
      </c>
      <c r="H1509" s="5"/>
      <c r="I1509" s="5">
        <v>61917</v>
      </c>
      <c r="J1509" s="5" t="s">
        <v>447</v>
      </c>
      <c r="K1509" s="5">
        <v>49.3</v>
      </c>
      <c r="L1509" s="5">
        <v>49.262700000000002</v>
      </c>
      <c r="M1509" s="5">
        <v>3.73E-2</v>
      </c>
      <c r="N1509" s="9" t="s">
        <v>11853</v>
      </c>
      <c r="O1509" s="9"/>
      <c r="P1509" s="5">
        <v>2</v>
      </c>
      <c r="Q1509" s="9"/>
      <c r="R1509" s="9" t="s">
        <v>7259</v>
      </c>
      <c r="S1509" s="9" t="str">
        <f>HYPERLINK("https://seichotoushi-hojo.jp/assets/pdf/koufu_3_4ji/outline_226.pdf","PDFを開く")</f>
        <v>PDFを開く</v>
      </c>
      <c r="T1509" s="9" t="s">
        <v>3131</v>
      </c>
      <c r="U1509" s="9" t="s">
        <v>3132</v>
      </c>
    </row>
    <row r="1510" spans="1:21" ht="39.950000000000003" customHeight="1">
      <c r="A1510" s="2" t="s">
        <v>3125</v>
      </c>
      <c r="B1510" s="2" t="s">
        <v>2430</v>
      </c>
      <c r="C1510" s="8" t="s">
        <v>3126</v>
      </c>
      <c r="D1510" s="8" t="s">
        <v>3184</v>
      </c>
      <c r="E1510" s="8" t="s">
        <v>90</v>
      </c>
      <c r="F1510" s="2"/>
      <c r="G1510" s="2">
        <v>5353</v>
      </c>
      <c r="H1510" s="2"/>
      <c r="I1510" s="2">
        <v>6370</v>
      </c>
      <c r="J1510" s="2" t="s">
        <v>447</v>
      </c>
      <c r="K1510" s="2">
        <v>6</v>
      </c>
      <c r="L1510" s="2">
        <v>5.9695</v>
      </c>
      <c r="M1510" s="2">
        <v>3.0499999999999999E-2</v>
      </c>
      <c r="N1510" s="8" t="s">
        <v>11853</v>
      </c>
      <c r="O1510" s="8"/>
      <c r="P1510" s="2">
        <v>2</v>
      </c>
      <c r="Q1510" s="8"/>
      <c r="R1510" s="8" t="s">
        <v>7262</v>
      </c>
      <c r="S1510" s="8" t="str">
        <f>HYPERLINK("https://seichotoushi-hojo.jp/assets/pdf/koufu_3_4ji/outline_226.pdf","PDFを開く")</f>
        <v>PDFを開く</v>
      </c>
      <c r="T1510" s="8" t="s">
        <v>3131</v>
      </c>
      <c r="U1510" s="8" t="s">
        <v>3132</v>
      </c>
    </row>
    <row r="1511" spans="1:21" ht="39.950000000000003" customHeight="1">
      <c r="A1511" s="5" t="s">
        <v>3125</v>
      </c>
      <c r="B1511" s="5" t="s">
        <v>2430</v>
      </c>
      <c r="C1511" s="9" t="s">
        <v>3126</v>
      </c>
      <c r="D1511" s="9" t="s">
        <v>3188</v>
      </c>
      <c r="E1511" s="9" t="s">
        <v>91</v>
      </c>
      <c r="F1511" s="5"/>
      <c r="G1511" s="5"/>
      <c r="H1511" s="5"/>
      <c r="I1511" s="5"/>
      <c r="J1511" s="5" t="s">
        <v>447</v>
      </c>
      <c r="K1511" s="5">
        <v>6.3</v>
      </c>
      <c r="L1511" s="5"/>
      <c r="M1511" s="5"/>
      <c r="N1511" s="9" t="s">
        <v>11854</v>
      </c>
      <c r="O1511" s="9" t="s">
        <v>11848</v>
      </c>
      <c r="P1511" s="5">
        <v>2</v>
      </c>
      <c r="Q1511" s="9"/>
      <c r="R1511" s="9" t="s">
        <v>7267</v>
      </c>
      <c r="S1511" s="9" t="str">
        <f>HYPERLINK("https://seichotoushi-hojo.jp/assets/pdf/koufu_3_4ji/outline_226.pdf","PDFを開く")</f>
        <v>PDFを開く</v>
      </c>
      <c r="T1511" s="9" t="s">
        <v>3131</v>
      </c>
      <c r="U1511" s="9" t="s">
        <v>3132</v>
      </c>
    </row>
    <row r="1512" spans="1:21" ht="39.950000000000003" customHeight="1">
      <c r="A1512" s="2" t="s">
        <v>3125</v>
      </c>
      <c r="B1512" s="2" t="s">
        <v>2430</v>
      </c>
      <c r="C1512" s="8" t="s">
        <v>3126</v>
      </c>
      <c r="D1512" s="8" t="s">
        <v>3191</v>
      </c>
      <c r="E1512" s="8" t="s">
        <v>92</v>
      </c>
      <c r="F1512" s="2"/>
      <c r="G1512" s="2">
        <v>31</v>
      </c>
      <c r="H1512" s="2"/>
      <c r="I1512" s="2">
        <v>37</v>
      </c>
      <c r="J1512" s="2" t="s">
        <v>2513</v>
      </c>
      <c r="K1512" s="2"/>
      <c r="L1512" s="2"/>
      <c r="M1512" s="2"/>
      <c r="N1512" s="8" t="s">
        <v>11853</v>
      </c>
      <c r="O1512" s="8"/>
      <c r="P1512" s="2">
        <v>2</v>
      </c>
      <c r="Q1512" s="8"/>
      <c r="R1512" s="8" t="s">
        <v>7265</v>
      </c>
      <c r="S1512" s="8" t="str">
        <f>HYPERLINK("https://seichotoushi-hojo.jp/assets/pdf/koufu_3_4ji/outline_226.pdf","PDFを開く")</f>
        <v>PDFを開く</v>
      </c>
      <c r="T1512" s="8" t="s">
        <v>3131</v>
      </c>
      <c r="U1512" s="8" t="s">
        <v>3132</v>
      </c>
    </row>
    <row r="1513" spans="1:21" ht="39.950000000000003" customHeight="1">
      <c r="A1513" s="5" t="s">
        <v>3133</v>
      </c>
      <c r="B1513" s="5" t="s">
        <v>2430</v>
      </c>
      <c r="C1513" s="9" t="s">
        <v>3134</v>
      </c>
      <c r="D1513" s="9" t="s">
        <v>3176</v>
      </c>
      <c r="E1513" s="9" t="s">
        <v>90</v>
      </c>
      <c r="F1513" s="5"/>
      <c r="G1513" s="5">
        <v>13936</v>
      </c>
      <c r="H1513" s="5"/>
      <c r="I1513" s="5">
        <v>20656</v>
      </c>
      <c r="J1513" s="5" t="s">
        <v>447</v>
      </c>
      <c r="K1513" s="5">
        <v>14</v>
      </c>
      <c r="L1513" s="5">
        <v>14.0169</v>
      </c>
      <c r="M1513" s="5">
        <v>1.6899999999999998E-2</v>
      </c>
      <c r="N1513" s="9" t="s">
        <v>11853</v>
      </c>
      <c r="O1513" s="9"/>
      <c r="P1513" s="5">
        <v>2</v>
      </c>
      <c r="Q1513" s="9"/>
      <c r="R1513" s="9" t="s">
        <v>7270</v>
      </c>
      <c r="S1513" s="9" t="str">
        <f>HYPERLINK("https://seichotoushi-hojo.jp/assets/pdf/koufu_3_4ji/outline_227.pdf","PDFを開く")</f>
        <v>PDFを開く</v>
      </c>
      <c r="T1513" s="9" t="s">
        <v>3139</v>
      </c>
      <c r="U1513" s="9" t="s">
        <v>3140</v>
      </c>
    </row>
    <row r="1514" spans="1:21" ht="39.950000000000003" customHeight="1">
      <c r="A1514" s="2" t="s">
        <v>3133</v>
      </c>
      <c r="B1514" s="2" t="s">
        <v>2430</v>
      </c>
      <c r="C1514" s="8" t="s">
        <v>3134</v>
      </c>
      <c r="D1514" s="8" t="s">
        <v>3184</v>
      </c>
      <c r="E1514" s="8" t="s">
        <v>90</v>
      </c>
      <c r="F1514" s="2"/>
      <c r="G1514" s="2">
        <v>5169</v>
      </c>
      <c r="H1514" s="2"/>
      <c r="I1514" s="2">
        <v>6338</v>
      </c>
      <c r="J1514" s="2" t="s">
        <v>447</v>
      </c>
      <c r="K1514" s="2">
        <v>7</v>
      </c>
      <c r="L1514" s="2">
        <v>7.0324</v>
      </c>
      <c r="M1514" s="2">
        <v>3.2399999999999998E-2</v>
      </c>
      <c r="N1514" s="8" t="s">
        <v>11853</v>
      </c>
      <c r="O1514" s="8"/>
      <c r="P1514" s="2">
        <v>2</v>
      </c>
      <c r="Q1514" s="8"/>
      <c r="R1514" s="8" t="s">
        <v>7273</v>
      </c>
      <c r="S1514" s="8" t="str">
        <f>HYPERLINK("https://seichotoushi-hojo.jp/assets/pdf/koufu_3_4ji/outline_227.pdf","PDFを開く")</f>
        <v>PDFを開く</v>
      </c>
      <c r="T1514" s="8" t="s">
        <v>3139</v>
      </c>
      <c r="U1514" s="8" t="s">
        <v>3140</v>
      </c>
    </row>
    <row r="1515" spans="1:21" ht="39.950000000000003" customHeight="1">
      <c r="A1515" s="5" t="s">
        <v>3133</v>
      </c>
      <c r="B1515" s="5" t="s">
        <v>2430</v>
      </c>
      <c r="C1515" s="9" t="s">
        <v>3134</v>
      </c>
      <c r="D1515" s="9" t="s">
        <v>3188</v>
      </c>
      <c r="E1515" s="9" t="s">
        <v>91</v>
      </c>
      <c r="F1515" s="5"/>
      <c r="G1515" s="5"/>
      <c r="H1515" s="5"/>
      <c r="I1515" s="5"/>
      <c r="J1515" s="5" t="s">
        <v>447</v>
      </c>
      <c r="K1515" s="5">
        <v>5.7</v>
      </c>
      <c r="L1515" s="5"/>
      <c r="M1515" s="5"/>
      <c r="N1515" s="9" t="s">
        <v>11854</v>
      </c>
      <c r="O1515" s="9" t="s">
        <v>11848</v>
      </c>
      <c r="P1515" s="5">
        <v>2</v>
      </c>
      <c r="Q1515" s="9"/>
      <c r="R1515" s="9" t="s">
        <v>6702</v>
      </c>
      <c r="S1515" s="9" t="str">
        <f>HYPERLINK("https://seichotoushi-hojo.jp/assets/pdf/koufu_3_4ji/outline_227.pdf","PDFを開く")</f>
        <v>PDFを開く</v>
      </c>
      <c r="T1515" s="9" t="s">
        <v>3139</v>
      </c>
      <c r="U1515" s="9" t="s">
        <v>3140</v>
      </c>
    </row>
    <row r="1516" spans="1:21" ht="39.950000000000003" customHeight="1">
      <c r="A1516" s="2" t="s">
        <v>3133</v>
      </c>
      <c r="B1516" s="2" t="s">
        <v>2430</v>
      </c>
      <c r="C1516" s="8" t="s">
        <v>3134</v>
      </c>
      <c r="D1516" s="8" t="s">
        <v>3191</v>
      </c>
      <c r="E1516" s="8" t="s">
        <v>92</v>
      </c>
      <c r="F1516" s="2"/>
      <c r="G1516" s="2">
        <v>195</v>
      </c>
      <c r="H1516" s="2"/>
      <c r="I1516" s="2">
        <v>210</v>
      </c>
      <c r="J1516" s="2" t="s">
        <v>2513</v>
      </c>
      <c r="K1516" s="2"/>
      <c r="L1516" s="2"/>
      <c r="M1516" s="2"/>
      <c r="N1516" s="8" t="s">
        <v>11853</v>
      </c>
      <c r="O1516" s="8"/>
      <c r="P1516" s="2">
        <v>2</v>
      </c>
      <c r="Q1516" s="8"/>
      <c r="R1516" s="8" t="s">
        <v>7276</v>
      </c>
      <c r="S1516" s="8" t="str">
        <f>HYPERLINK("https://seichotoushi-hojo.jp/assets/pdf/koufu_3_4ji/outline_227.pdf","PDFを開く")</f>
        <v>PDFを開く</v>
      </c>
      <c r="T1516" s="8" t="s">
        <v>3139</v>
      </c>
      <c r="U1516" s="8" t="s">
        <v>3140</v>
      </c>
    </row>
    <row r="1517" spans="1:21" ht="39.950000000000003" customHeight="1">
      <c r="A1517" s="5" t="s">
        <v>3141</v>
      </c>
      <c r="B1517" s="5" t="s">
        <v>2430</v>
      </c>
      <c r="C1517" s="9" t="s">
        <v>3142</v>
      </c>
      <c r="D1517" s="9" t="s">
        <v>3176</v>
      </c>
      <c r="E1517" s="9" t="s">
        <v>90</v>
      </c>
      <c r="F1517" s="5"/>
      <c r="G1517" s="5">
        <v>7496</v>
      </c>
      <c r="H1517" s="5"/>
      <c r="I1517" s="5">
        <v>9762</v>
      </c>
      <c r="J1517" s="5" t="s">
        <v>447</v>
      </c>
      <c r="K1517" s="5">
        <v>9.1999999999999993</v>
      </c>
      <c r="L1517" s="5">
        <v>9.2035</v>
      </c>
      <c r="M1517" s="5">
        <v>3.5000000000000001E-3</v>
      </c>
      <c r="N1517" s="9" t="s">
        <v>11853</v>
      </c>
      <c r="O1517" s="9"/>
      <c r="P1517" s="5">
        <v>2</v>
      </c>
      <c r="Q1517" s="9"/>
      <c r="R1517" s="9" t="s">
        <v>7280</v>
      </c>
      <c r="S1517" s="9" t="str">
        <f>HYPERLINK("https://seichotoushi-hojo.jp/assets/pdf/koufu_3_4ji/outline_228.pdf","PDFを開く")</f>
        <v>PDFを開く</v>
      </c>
      <c r="T1517" s="9" t="s">
        <v>3147</v>
      </c>
      <c r="U1517" s="9" t="s">
        <v>3148</v>
      </c>
    </row>
    <row r="1518" spans="1:21" ht="39.950000000000003" customHeight="1">
      <c r="A1518" s="2" t="s">
        <v>3141</v>
      </c>
      <c r="B1518" s="2" t="s">
        <v>2430</v>
      </c>
      <c r="C1518" s="8" t="s">
        <v>3142</v>
      </c>
      <c r="D1518" s="8" t="s">
        <v>3184</v>
      </c>
      <c r="E1518" s="8" t="s">
        <v>90</v>
      </c>
      <c r="F1518" s="2"/>
      <c r="G1518" s="2">
        <v>3830</v>
      </c>
      <c r="H1518" s="2"/>
      <c r="I1518" s="2">
        <v>4700</v>
      </c>
      <c r="J1518" s="2" t="s">
        <v>447</v>
      </c>
      <c r="K1518" s="2">
        <v>7.1</v>
      </c>
      <c r="L1518" s="2">
        <v>7.0613999999999999</v>
      </c>
      <c r="M1518" s="2">
        <v>3.8600000000000002E-2</v>
      </c>
      <c r="N1518" s="8" t="s">
        <v>11853</v>
      </c>
      <c r="O1518" s="8"/>
      <c r="P1518" s="2">
        <v>2</v>
      </c>
      <c r="Q1518" s="8"/>
      <c r="R1518" s="8" t="s">
        <v>7283</v>
      </c>
      <c r="S1518" s="8" t="str">
        <f>HYPERLINK("https://seichotoushi-hojo.jp/assets/pdf/koufu_3_4ji/outline_228.pdf","PDFを開く")</f>
        <v>PDFを開く</v>
      </c>
      <c r="T1518" s="8" t="s">
        <v>3147</v>
      </c>
      <c r="U1518" s="8" t="s">
        <v>3148</v>
      </c>
    </row>
    <row r="1519" spans="1:21" ht="39.950000000000003" customHeight="1">
      <c r="A1519" s="5" t="s">
        <v>3141</v>
      </c>
      <c r="B1519" s="5" t="s">
        <v>2430</v>
      </c>
      <c r="C1519" s="9" t="s">
        <v>3142</v>
      </c>
      <c r="D1519" s="9" t="s">
        <v>3188</v>
      </c>
      <c r="E1519" s="9" t="s">
        <v>91</v>
      </c>
      <c r="F1519" s="5"/>
      <c r="G1519" s="5"/>
      <c r="H1519" s="5"/>
      <c r="I1519" s="5"/>
      <c r="J1519" s="5" t="s">
        <v>447</v>
      </c>
      <c r="K1519" s="5">
        <v>5</v>
      </c>
      <c r="L1519" s="5"/>
      <c r="M1519" s="5"/>
      <c r="N1519" s="9" t="s">
        <v>11854</v>
      </c>
      <c r="O1519" s="9" t="s">
        <v>11848</v>
      </c>
      <c r="P1519" s="5">
        <v>2</v>
      </c>
      <c r="Q1519" s="9"/>
      <c r="R1519" s="9" t="s">
        <v>6384</v>
      </c>
      <c r="S1519" s="9" t="str">
        <f>HYPERLINK("https://seichotoushi-hojo.jp/assets/pdf/koufu_3_4ji/outline_228.pdf","PDFを開く")</f>
        <v>PDFを開く</v>
      </c>
      <c r="T1519" s="9" t="s">
        <v>3147</v>
      </c>
      <c r="U1519" s="9" t="s">
        <v>3148</v>
      </c>
    </row>
    <row r="1520" spans="1:21" ht="39.950000000000003" customHeight="1">
      <c r="A1520" s="2" t="s">
        <v>3141</v>
      </c>
      <c r="B1520" s="2" t="s">
        <v>2430</v>
      </c>
      <c r="C1520" s="8" t="s">
        <v>3142</v>
      </c>
      <c r="D1520" s="8" t="s">
        <v>3191</v>
      </c>
      <c r="E1520" s="8" t="s">
        <v>92</v>
      </c>
      <c r="F1520" s="2"/>
      <c r="G1520" s="2">
        <v>47</v>
      </c>
      <c r="H1520" s="2"/>
      <c r="I1520" s="2">
        <v>100</v>
      </c>
      <c r="J1520" s="2" t="s">
        <v>2513</v>
      </c>
      <c r="K1520" s="2"/>
      <c r="L1520" s="2"/>
      <c r="M1520" s="2"/>
      <c r="N1520" s="8" t="s">
        <v>11853</v>
      </c>
      <c r="O1520" s="8"/>
      <c r="P1520" s="2">
        <v>2</v>
      </c>
      <c r="Q1520" s="8"/>
      <c r="R1520" s="8" t="s">
        <v>7285</v>
      </c>
      <c r="S1520" s="8" t="str">
        <f>HYPERLINK("https://seichotoushi-hojo.jp/assets/pdf/koufu_3_4ji/outline_228.pdf","PDFを開く")</f>
        <v>PDFを開く</v>
      </c>
      <c r="T1520" s="8" t="s">
        <v>3147</v>
      </c>
      <c r="U1520" s="8" t="s">
        <v>3148</v>
      </c>
    </row>
    <row r="1521" spans="1:21" ht="39.950000000000003" customHeight="1">
      <c r="A1521" s="5" t="s">
        <v>3149</v>
      </c>
      <c r="B1521" s="5" t="s">
        <v>2430</v>
      </c>
      <c r="C1521" s="9" t="s">
        <v>3150</v>
      </c>
      <c r="D1521" s="9" t="s">
        <v>3176</v>
      </c>
      <c r="E1521" s="9" t="s">
        <v>90</v>
      </c>
      <c r="F1521" s="5">
        <v>2027</v>
      </c>
      <c r="G1521" s="5">
        <v>41258</v>
      </c>
      <c r="H1521" s="5">
        <v>2030</v>
      </c>
      <c r="I1521" s="5">
        <v>67145</v>
      </c>
      <c r="J1521" s="5" t="s">
        <v>86</v>
      </c>
      <c r="K1521" s="5">
        <v>17.600000000000001</v>
      </c>
      <c r="L1521" s="5">
        <v>17.625599999999999</v>
      </c>
      <c r="M1521" s="5">
        <v>2.5600000000000001E-2</v>
      </c>
      <c r="N1521" s="9" t="s">
        <v>11846</v>
      </c>
      <c r="O1521" s="9" t="s">
        <v>11847</v>
      </c>
      <c r="P1521" s="5">
        <v>2</v>
      </c>
      <c r="Q1521" s="9"/>
      <c r="R1521" s="9" t="s">
        <v>7289</v>
      </c>
      <c r="S1521" s="9" t="str">
        <f>HYPERLINK("https://seichotoushi-hojo.jp/assets/pdf/koufu_3_4ji/outline_230.pdf","PDFを開く")</f>
        <v>PDFを開く</v>
      </c>
      <c r="T1521" s="9" t="s">
        <v>3153</v>
      </c>
      <c r="U1521" s="9" t="s">
        <v>3154</v>
      </c>
    </row>
    <row r="1522" spans="1:21" ht="39.950000000000003" customHeight="1">
      <c r="A1522" s="2" t="s">
        <v>3149</v>
      </c>
      <c r="B1522" s="2" t="s">
        <v>2430</v>
      </c>
      <c r="C1522" s="8" t="s">
        <v>3150</v>
      </c>
      <c r="D1522" s="8" t="s">
        <v>3184</v>
      </c>
      <c r="E1522" s="8" t="s">
        <v>90</v>
      </c>
      <c r="F1522" s="2">
        <v>2027</v>
      </c>
      <c r="G1522" s="2">
        <v>3819</v>
      </c>
      <c r="H1522" s="2">
        <v>2030</v>
      </c>
      <c r="I1522" s="2">
        <v>4925</v>
      </c>
      <c r="J1522" s="2" t="s">
        <v>86</v>
      </c>
      <c r="K1522" s="2">
        <v>8.8000000000000007</v>
      </c>
      <c r="L1522" s="2">
        <v>8.8475999999999999</v>
      </c>
      <c r="M1522" s="2">
        <v>4.7600000000000003E-2</v>
      </c>
      <c r="N1522" s="8" t="s">
        <v>11846</v>
      </c>
      <c r="O1522" s="8" t="s">
        <v>11847</v>
      </c>
      <c r="P1522" s="2">
        <v>2</v>
      </c>
      <c r="Q1522" s="8"/>
      <c r="R1522" s="8" t="s">
        <v>7292</v>
      </c>
      <c r="S1522" s="8" t="str">
        <f>HYPERLINK("https://seichotoushi-hojo.jp/assets/pdf/koufu_3_4ji/outline_230.pdf","PDFを開く")</f>
        <v>PDFを開く</v>
      </c>
      <c r="T1522" s="8" t="s">
        <v>3153</v>
      </c>
      <c r="U1522" s="8" t="s">
        <v>3154</v>
      </c>
    </row>
    <row r="1523" spans="1:21" ht="39.950000000000003" customHeight="1">
      <c r="A1523" s="5" t="s">
        <v>3149</v>
      </c>
      <c r="B1523" s="5" t="s">
        <v>2430</v>
      </c>
      <c r="C1523" s="9" t="s">
        <v>3150</v>
      </c>
      <c r="D1523" s="9" t="s">
        <v>3188</v>
      </c>
      <c r="E1523" s="9" t="s">
        <v>91</v>
      </c>
      <c r="F1523" s="5">
        <v>2027</v>
      </c>
      <c r="G1523" s="5"/>
      <c r="H1523" s="5">
        <v>2030</v>
      </c>
      <c r="I1523" s="5"/>
      <c r="J1523" s="5" t="s">
        <v>447</v>
      </c>
      <c r="K1523" s="5">
        <v>0</v>
      </c>
      <c r="L1523" s="5"/>
      <c r="M1523" s="5"/>
      <c r="N1523" s="9" t="s">
        <v>11846</v>
      </c>
      <c r="O1523" s="9" t="s">
        <v>11848</v>
      </c>
      <c r="P1523" s="5">
        <v>2</v>
      </c>
      <c r="Q1523" s="9"/>
      <c r="R1523" s="9" t="s">
        <v>7297</v>
      </c>
      <c r="S1523" s="9" t="str">
        <f>HYPERLINK("https://seichotoushi-hojo.jp/assets/pdf/koufu_3_4ji/outline_230.pdf","PDFを開く")</f>
        <v>PDFを開く</v>
      </c>
      <c r="T1523" s="9" t="s">
        <v>3153</v>
      </c>
      <c r="U1523" s="9" t="s">
        <v>3154</v>
      </c>
    </row>
    <row r="1524" spans="1:21" ht="39.950000000000003" customHeight="1">
      <c r="A1524" s="2" t="s">
        <v>3149</v>
      </c>
      <c r="B1524" s="2" t="s">
        <v>2430</v>
      </c>
      <c r="C1524" s="8" t="s">
        <v>3150</v>
      </c>
      <c r="D1524" s="8" t="s">
        <v>3191</v>
      </c>
      <c r="E1524" s="8" t="s">
        <v>92</v>
      </c>
      <c r="F1524" s="2">
        <v>2027</v>
      </c>
      <c r="G1524" s="2">
        <v>54</v>
      </c>
      <c r="H1524" s="2">
        <v>2030</v>
      </c>
      <c r="I1524" s="2">
        <v>120</v>
      </c>
      <c r="J1524" s="2" t="s">
        <v>2513</v>
      </c>
      <c r="K1524" s="2"/>
      <c r="L1524" s="2"/>
      <c r="M1524" s="2"/>
      <c r="N1524" s="8" t="s">
        <v>11846</v>
      </c>
      <c r="O1524" s="8" t="s">
        <v>11847</v>
      </c>
      <c r="P1524" s="2">
        <v>2</v>
      </c>
      <c r="Q1524" s="8"/>
      <c r="R1524" s="8" t="s">
        <v>7295</v>
      </c>
      <c r="S1524" s="8" t="str">
        <f>HYPERLINK("https://seichotoushi-hojo.jp/assets/pdf/koufu_3_4ji/outline_230.pdf","PDFを開く")</f>
        <v>PDFを開く</v>
      </c>
      <c r="T1524" s="8" t="s">
        <v>3153</v>
      </c>
      <c r="U1524" s="8" t="s">
        <v>3154</v>
      </c>
    </row>
    <row r="1525" spans="1:21" ht="39.950000000000003" customHeight="1">
      <c r="A1525" s="5" t="s">
        <v>3155</v>
      </c>
      <c r="B1525" s="5" t="s">
        <v>2430</v>
      </c>
      <c r="C1525" s="9" t="s">
        <v>3156</v>
      </c>
      <c r="D1525" s="9" t="s">
        <v>3176</v>
      </c>
      <c r="E1525" s="9" t="s">
        <v>90</v>
      </c>
      <c r="F1525" s="5">
        <v>2027</v>
      </c>
      <c r="G1525" s="5">
        <v>7287</v>
      </c>
      <c r="H1525" s="5">
        <v>2030</v>
      </c>
      <c r="I1525" s="5">
        <v>22699</v>
      </c>
      <c r="J1525" s="5" t="s">
        <v>447</v>
      </c>
      <c r="K1525" s="5">
        <v>46</v>
      </c>
      <c r="L1525" s="5">
        <v>46.044800000000002</v>
      </c>
      <c r="M1525" s="5">
        <v>4.48E-2</v>
      </c>
      <c r="N1525" s="9" t="s">
        <v>11846</v>
      </c>
      <c r="O1525" s="9" t="s">
        <v>11847</v>
      </c>
      <c r="P1525" s="5">
        <v>2</v>
      </c>
      <c r="Q1525" s="9"/>
      <c r="R1525" s="9" t="s">
        <v>7302</v>
      </c>
      <c r="S1525" s="9" t="str">
        <f>HYPERLINK("https://seichotoushi-hojo.jp/assets/pdf/koufu_3_4ji/outline_231.pdf","PDFを開く")</f>
        <v>PDFを開く</v>
      </c>
      <c r="T1525" s="9" t="s">
        <v>3161</v>
      </c>
      <c r="U1525" s="9" t="s">
        <v>3162</v>
      </c>
    </row>
    <row r="1526" spans="1:21" ht="39.950000000000003" customHeight="1">
      <c r="A1526" s="2" t="s">
        <v>3155</v>
      </c>
      <c r="B1526" s="2" t="s">
        <v>2430</v>
      </c>
      <c r="C1526" s="8" t="s">
        <v>3156</v>
      </c>
      <c r="D1526" s="8" t="s">
        <v>3184</v>
      </c>
      <c r="E1526" s="8" t="s">
        <v>90</v>
      </c>
      <c r="F1526" s="2">
        <v>2027</v>
      </c>
      <c r="G1526" s="2">
        <v>5025</v>
      </c>
      <c r="H1526" s="2">
        <v>2030</v>
      </c>
      <c r="I1526" s="2">
        <v>6070</v>
      </c>
      <c r="J1526" s="2" t="s">
        <v>447</v>
      </c>
      <c r="K1526" s="2">
        <v>6.5</v>
      </c>
      <c r="L1526" s="2">
        <v>6.5003000000000002</v>
      </c>
      <c r="M1526" s="2">
        <v>2.9999999999999997E-4</v>
      </c>
      <c r="N1526" s="8" t="s">
        <v>11846</v>
      </c>
      <c r="O1526" s="8" t="s">
        <v>11847</v>
      </c>
      <c r="P1526" s="2">
        <v>2</v>
      </c>
      <c r="Q1526" s="8"/>
      <c r="R1526" s="8" t="s">
        <v>7306</v>
      </c>
      <c r="S1526" s="8" t="str">
        <f>HYPERLINK("https://seichotoushi-hojo.jp/assets/pdf/koufu_3_4ji/outline_231.pdf","PDFを開く")</f>
        <v>PDFを開く</v>
      </c>
      <c r="T1526" s="8" t="s">
        <v>3161</v>
      </c>
      <c r="U1526" s="8" t="s">
        <v>3162</v>
      </c>
    </row>
    <row r="1527" spans="1:21" ht="39.950000000000003" customHeight="1">
      <c r="A1527" s="5" t="s">
        <v>3155</v>
      </c>
      <c r="B1527" s="5" t="s">
        <v>2430</v>
      </c>
      <c r="C1527" s="9" t="s">
        <v>3156</v>
      </c>
      <c r="D1527" s="9" t="s">
        <v>3188</v>
      </c>
      <c r="E1527" s="9" t="s">
        <v>91</v>
      </c>
      <c r="F1527" s="5">
        <v>2027</v>
      </c>
      <c r="G1527" s="5"/>
      <c r="H1527" s="5">
        <v>2030</v>
      </c>
      <c r="I1527" s="5"/>
      <c r="J1527" s="5" t="s">
        <v>447</v>
      </c>
      <c r="K1527" s="5">
        <v>5.7</v>
      </c>
      <c r="L1527" s="5"/>
      <c r="M1527" s="5"/>
      <c r="N1527" s="9" t="s">
        <v>11846</v>
      </c>
      <c r="O1527" s="9" t="s">
        <v>11848</v>
      </c>
      <c r="P1527" s="5">
        <v>2</v>
      </c>
      <c r="Q1527" s="9"/>
      <c r="R1527" s="9" t="s">
        <v>7311</v>
      </c>
      <c r="S1527" s="9" t="str">
        <f>HYPERLINK("https://seichotoushi-hojo.jp/assets/pdf/koufu_3_4ji/outline_231.pdf","PDFを開く")</f>
        <v>PDFを開く</v>
      </c>
      <c r="T1527" s="9" t="s">
        <v>3161</v>
      </c>
      <c r="U1527" s="9" t="s">
        <v>3162</v>
      </c>
    </row>
    <row r="1528" spans="1:21" ht="39.950000000000003" customHeight="1">
      <c r="A1528" s="3" t="s">
        <v>3155</v>
      </c>
      <c r="B1528" s="3" t="s">
        <v>2430</v>
      </c>
      <c r="C1528" s="20" t="s">
        <v>3156</v>
      </c>
      <c r="D1528" s="20" t="s">
        <v>3191</v>
      </c>
      <c r="E1528" s="20" t="s">
        <v>92</v>
      </c>
      <c r="F1528" s="3">
        <v>2027</v>
      </c>
      <c r="G1528" s="3">
        <v>156</v>
      </c>
      <c r="H1528" s="3">
        <v>2030</v>
      </c>
      <c r="I1528" s="3">
        <v>196</v>
      </c>
      <c r="J1528" s="3" t="s">
        <v>2513</v>
      </c>
      <c r="K1528" s="3"/>
      <c r="L1528" s="3"/>
      <c r="M1528" s="3"/>
      <c r="N1528" s="20" t="s">
        <v>11846</v>
      </c>
      <c r="O1528" s="20" t="s">
        <v>11847</v>
      </c>
      <c r="P1528" s="3">
        <v>2</v>
      </c>
      <c r="Q1528" s="20"/>
      <c r="R1528" s="20" t="s">
        <v>7309</v>
      </c>
      <c r="S1528" s="20" t="str">
        <f>HYPERLINK("https://seichotoushi-hojo.jp/assets/pdf/koufu_3_4ji/outline_231.pdf","PDFを開く")</f>
        <v>PDFを開く</v>
      </c>
      <c r="T1528" s="20" t="s">
        <v>3161</v>
      </c>
      <c r="U1528" s="20" t="s">
        <v>3162</v>
      </c>
    </row>
  </sheetData>
  <mergeCells count="2">
    <mergeCell ref="A1:U1"/>
    <mergeCell ref="A2:U2"/>
  </mergeCells>
  <phoneticPr fontId="8"/>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0"/>
  <sheetViews>
    <sheetView showGridLines="0" workbookViewId="0"/>
  </sheetViews>
  <sheetFormatPr defaultRowHeight="14.25"/>
  <cols>
    <col min="1" max="10" width="16" customWidth="1"/>
  </cols>
  <sheetData>
    <row r="1" spans="1:10" ht="30" customHeight="1">
      <c r="A1" s="24" t="s">
        <v>11858</v>
      </c>
      <c r="B1" s="24"/>
      <c r="C1" s="24"/>
      <c r="D1" s="24"/>
      <c r="E1" s="24"/>
      <c r="F1" s="24"/>
      <c r="G1" s="24"/>
      <c r="H1" s="24"/>
      <c r="I1" s="24"/>
      <c r="J1" s="24"/>
    </row>
    <row r="2" spans="1:10" ht="38.1" customHeight="1">
      <c r="A2" s="25" t="s">
        <v>11859</v>
      </c>
      <c r="B2" s="25"/>
      <c r="C2" s="25"/>
      <c r="D2" s="25"/>
      <c r="E2" s="25"/>
      <c r="F2" s="25"/>
      <c r="G2" s="25"/>
      <c r="H2" s="25"/>
      <c r="I2" s="25"/>
      <c r="J2" s="25"/>
    </row>
    <row r="4" spans="1:10" ht="15">
      <c r="A4" s="26" t="s">
        <v>11860</v>
      </c>
      <c r="B4" s="26"/>
      <c r="C4" s="26"/>
      <c r="D4" s="26"/>
      <c r="E4" s="26"/>
      <c r="F4" s="26"/>
      <c r="G4" s="26"/>
      <c r="H4" s="26"/>
      <c r="I4" s="26"/>
      <c r="J4" s="26"/>
    </row>
    <row r="5" spans="1:10">
      <c r="A5" s="27" t="s">
        <v>11861</v>
      </c>
      <c r="B5" s="28"/>
      <c r="C5" s="28"/>
      <c r="D5" s="28"/>
      <c r="E5" s="28"/>
      <c r="F5" s="28"/>
      <c r="G5" s="28"/>
      <c r="H5" s="28"/>
      <c r="I5" s="28"/>
      <c r="J5" s="29"/>
    </row>
    <row r="6" spans="1:10">
      <c r="A6" s="30"/>
      <c r="B6" s="31"/>
      <c r="C6" s="31"/>
      <c r="D6" s="31"/>
      <c r="E6" s="31"/>
      <c r="F6" s="31"/>
      <c r="G6" s="31"/>
      <c r="H6" s="31"/>
      <c r="I6" s="31"/>
      <c r="J6" s="32"/>
    </row>
    <row r="7" spans="1:10">
      <c r="A7" s="30"/>
      <c r="B7" s="31"/>
      <c r="C7" s="31"/>
      <c r="D7" s="31"/>
      <c r="E7" s="31"/>
      <c r="F7" s="31"/>
      <c r="G7" s="31"/>
      <c r="H7" s="31"/>
      <c r="I7" s="31"/>
      <c r="J7" s="32"/>
    </row>
    <row r="8" spans="1:10">
      <c r="A8" s="30"/>
      <c r="B8" s="31"/>
      <c r="C8" s="31"/>
      <c r="D8" s="31"/>
      <c r="E8" s="31"/>
      <c r="F8" s="31"/>
      <c r="G8" s="31"/>
      <c r="H8" s="31"/>
      <c r="I8" s="31"/>
      <c r="J8" s="32"/>
    </row>
    <row r="9" spans="1:10">
      <c r="A9" s="30"/>
      <c r="B9" s="31"/>
      <c r="C9" s="31"/>
      <c r="D9" s="31"/>
      <c r="E9" s="31"/>
      <c r="F9" s="31"/>
      <c r="G9" s="31"/>
      <c r="H9" s="31"/>
      <c r="I9" s="31"/>
      <c r="J9" s="32"/>
    </row>
    <row r="10" spans="1:10">
      <c r="A10" s="30"/>
      <c r="B10" s="31"/>
      <c r="C10" s="31"/>
      <c r="D10" s="31"/>
      <c r="E10" s="31"/>
      <c r="F10" s="31"/>
      <c r="G10" s="31"/>
      <c r="H10" s="31"/>
      <c r="I10" s="31"/>
      <c r="J10" s="32"/>
    </row>
    <row r="11" spans="1:10">
      <c r="A11" s="33"/>
      <c r="B11" s="34"/>
      <c r="C11" s="34"/>
      <c r="D11" s="34"/>
      <c r="E11" s="34"/>
      <c r="F11" s="34"/>
      <c r="G11" s="34"/>
      <c r="H11" s="34"/>
      <c r="I11" s="34"/>
      <c r="J11" s="35"/>
    </row>
    <row r="13" spans="1:10" ht="15">
      <c r="A13" s="36" t="s">
        <v>11862</v>
      </c>
      <c r="B13" s="36"/>
      <c r="C13" s="36"/>
      <c r="D13" s="36"/>
      <c r="E13" s="36"/>
      <c r="F13" s="36"/>
      <c r="G13" s="36"/>
      <c r="H13" s="36"/>
      <c r="I13" s="36"/>
      <c r="J13" s="36"/>
    </row>
    <row r="14" spans="1:10">
      <c r="A14" s="37" t="s">
        <v>11863</v>
      </c>
      <c r="B14" s="38"/>
      <c r="C14" s="38"/>
      <c r="D14" s="38"/>
      <c r="E14" s="38"/>
      <c r="F14" s="38"/>
      <c r="G14" s="38"/>
      <c r="H14" s="38"/>
      <c r="I14" s="38"/>
      <c r="J14" s="39"/>
    </row>
    <row r="15" spans="1:10">
      <c r="A15" s="40"/>
      <c r="B15" s="41"/>
      <c r="C15" s="41"/>
      <c r="D15" s="41"/>
      <c r="E15" s="41"/>
      <c r="F15" s="41"/>
      <c r="G15" s="41"/>
      <c r="H15" s="41"/>
      <c r="I15" s="41"/>
      <c r="J15" s="42"/>
    </row>
    <row r="16" spans="1:10">
      <c r="A16" s="40"/>
      <c r="B16" s="41"/>
      <c r="C16" s="41"/>
      <c r="D16" s="41"/>
      <c r="E16" s="41"/>
      <c r="F16" s="41"/>
      <c r="G16" s="41"/>
      <c r="H16" s="41"/>
      <c r="I16" s="41"/>
      <c r="J16" s="42"/>
    </row>
    <row r="17" spans="1:10">
      <c r="A17" s="40"/>
      <c r="B17" s="41"/>
      <c r="C17" s="41"/>
      <c r="D17" s="41"/>
      <c r="E17" s="41"/>
      <c r="F17" s="41"/>
      <c r="G17" s="41"/>
      <c r="H17" s="41"/>
      <c r="I17" s="41"/>
      <c r="J17" s="42"/>
    </row>
    <row r="18" spans="1:10">
      <c r="A18" s="40"/>
      <c r="B18" s="41"/>
      <c r="C18" s="41"/>
      <c r="D18" s="41"/>
      <c r="E18" s="41"/>
      <c r="F18" s="41"/>
      <c r="G18" s="41"/>
      <c r="H18" s="41"/>
      <c r="I18" s="41"/>
      <c r="J18" s="42"/>
    </row>
    <row r="19" spans="1:10">
      <c r="A19" s="40"/>
      <c r="B19" s="41"/>
      <c r="C19" s="41"/>
      <c r="D19" s="41"/>
      <c r="E19" s="41"/>
      <c r="F19" s="41"/>
      <c r="G19" s="41"/>
      <c r="H19" s="41"/>
      <c r="I19" s="41"/>
      <c r="J19" s="42"/>
    </row>
    <row r="20" spans="1:10">
      <c r="A20" s="43"/>
      <c r="B20" s="44"/>
      <c r="C20" s="44"/>
      <c r="D20" s="44"/>
      <c r="E20" s="44"/>
      <c r="F20" s="44"/>
      <c r="G20" s="44"/>
      <c r="H20" s="44"/>
      <c r="I20" s="44"/>
      <c r="J20" s="45"/>
    </row>
  </sheetData>
  <mergeCells count="6">
    <mergeCell ref="A14:J20"/>
    <mergeCell ref="A1:J1"/>
    <mergeCell ref="A2:J2"/>
    <mergeCell ref="A4:J4"/>
    <mergeCell ref="A5:J11"/>
    <mergeCell ref="A13:J13"/>
  </mergeCells>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案件_全381件</vt:lpstr>
      <vt:lpstr>指標_全件縦持ち</vt:lpstr>
      <vt:lpstr>売上目標Box_全381件</vt:lpstr>
      <vt:lpstr>売上目標_年次縦持ち</vt:lpstr>
      <vt:lpstr>文章_全件原文</vt:lpstr>
      <vt:lpstr>Box_全ページ縦持ち</vt:lpstr>
      <vt:lpstr>その他Box_全件</vt:lpstr>
      <vt:lpstr>ページ原文_887頁</vt:lpstr>
      <vt:lpstr>確認ログ_全件</vt:lpstr>
      <vt:lpstr>主要4指標_全件検証</vt:lpstr>
      <vt:lpstr>読み方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篤 鈴木</cp:lastModifiedBy>
  <dcterms:modified xsi:type="dcterms:W3CDTF">2026-07-14T08:08:46Z</dcterms:modified>
</cp:coreProperties>
</file>